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tables/table467.xml" ContentType="application/vnd.openxmlformats-officedocument.spreadsheetml.table+xml"/>
  <Override PartName="/xl/tables/table468.xml" ContentType="application/vnd.openxmlformats-officedocument.spreadsheetml.table+xml"/>
  <Override PartName="/xl/tables/table469.xml" ContentType="application/vnd.openxmlformats-officedocument.spreadsheetml.table+xml"/>
  <Override PartName="/xl/tables/table470.xml" ContentType="application/vnd.openxmlformats-officedocument.spreadsheetml.table+xml"/>
  <Override PartName="/xl/tables/table471.xml" ContentType="application/vnd.openxmlformats-officedocument.spreadsheetml.table+xml"/>
  <Override PartName="/xl/tables/table472.xml" ContentType="application/vnd.openxmlformats-officedocument.spreadsheetml.table+xml"/>
  <Override PartName="/xl/tables/table473.xml" ContentType="application/vnd.openxmlformats-officedocument.spreadsheetml.table+xml"/>
  <Override PartName="/xl/tables/table474.xml" ContentType="application/vnd.openxmlformats-officedocument.spreadsheetml.table+xml"/>
  <Override PartName="/xl/tables/table475.xml" ContentType="application/vnd.openxmlformats-officedocument.spreadsheetml.table+xml"/>
  <Override PartName="/xl/tables/table476.xml" ContentType="application/vnd.openxmlformats-officedocument.spreadsheetml.table+xml"/>
  <Override PartName="/xl/tables/table477.xml" ContentType="application/vnd.openxmlformats-officedocument.spreadsheetml.table+xml"/>
  <Override PartName="/xl/tables/table478.xml" ContentType="application/vnd.openxmlformats-officedocument.spreadsheetml.table+xml"/>
  <Override PartName="/xl/tables/table479.xml" ContentType="application/vnd.openxmlformats-officedocument.spreadsheetml.table+xml"/>
  <Override PartName="/xl/tables/table480.xml" ContentType="application/vnd.openxmlformats-officedocument.spreadsheetml.table+xml"/>
  <Override PartName="/xl/tables/table481.xml" ContentType="application/vnd.openxmlformats-officedocument.spreadsheetml.table+xml"/>
  <Override PartName="/xl/tables/table482.xml" ContentType="application/vnd.openxmlformats-officedocument.spreadsheetml.table+xml"/>
  <Override PartName="/xl/tables/table483.xml" ContentType="application/vnd.openxmlformats-officedocument.spreadsheetml.table+xml"/>
  <Override PartName="/xl/tables/table484.xml" ContentType="application/vnd.openxmlformats-officedocument.spreadsheetml.table+xml"/>
  <Override PartName="/xl/tables/table485.xml" ContentType="application/vnd.openxmlformats-officedocument.spreadsheetml.table+xml"/>
  <Override PartName="/xl/tables/table486.xml" ContentType="application/vnd.openxmlformats-officedocument.spreadsheetml.table+xml"/>
  <Override PartName="/xl/tables/table487.xml" ContentType="application/vnd.openxmlformats-officedocument.spreadsheetml.table+xml"/>
  <Override PartName="/xl/tables/table488.xml" ContentType="application/vnd.openxmlformats-officedocument.spreadsheetml.table+xml"/>
  <Override PartName="/xl/tables/table489.xml" ContentType="application/vnd.openxmlformats-officedocument.spreadsheetml.table+xml"/>
  <Override PartName="/xl/tables/table490.xml" ContentType="application/vnd.openxmlformats-officedocument.spreadsheetml.table+xml"/>
  <Override PartName="/xl/tables/table491.xml" ContentType="application/vnd.openxmlformats-officedocument.spreadsheetml.table+xml"/>
  <Override PartName="/xl/tables/table492.xml" ContentType="application/vnd.openxmlformats-officedocument.spreadsheetml.table+xml"/>
  <Override PartName="/xl/tables/table493.xml" ContentType="application/vnd.openxmlformats-officedocument.spreadsheetml.table+xml"/>
  <Override PartName="/xl/tables/table494.xml" ContentType="application/vnd.openxmlformats-officedocument.spreadsheetml.table+xml"/>
  <Override PartName="/xl/tables/table495.xml" ContentType="application/vnd.openxmlformats-officedocument.spreadsheetml.table+xml"/>
  <Override PartName="/xl/tables/table496.xml" ContentType="application/vnd.openxmlformats-officedocument.spreadsheetml.table+xml"/>
  <Override PartName="/xl/tables/table497.xml" ContentType="application/vnd.openxmlformats-officedocument.spreadsheetml.table+xml"/>
  <Override PartName="/xl/tables/table498.xml" ContentType="application/vnd.openxmlformats-officedocument.spreadsheetml.table+xml"/>
  <Override PartName="/xl/tables/table499.xml" ContentType="application/vnd.openxmlformats-officedocument.spreadsheetml.table+xml"/>
  <Override PartName="/xl/tables/table500.xml" ContentType="application/vnd.openxmlformats-officedocument.spreadsheetml.table+xml"/>
  <Override PartName="/xl/tables/table501.xml" ContentType="application/vnd.openxmlformats-officedocument.spreadsheetml.table+xml"/>
  <Override PartName="/xl/tables/table502.xml" ContentType="application/vnd.openxmlformats-officedocument.spreadsheetml.table+xml"/>
  <Override PartName="/xl/tables/table503.xml" ContentType="application/vnd.openxmlformats-officedocument.spreadsheetml.table+xml"/>
  <Override PartName="/xl/tables/table504.xml" ContentType="application/vnd.openxmlformats-officedocument.spreadsheetml.table+xml"/>
  <Override PartName="/xl/tables/table505.xml" ContentType="application/vnd.openxmlformats-officedocument.spreadsheetml.table+xml"/>
  <Override PartName="/xl/tables/table506.xml" ContentType="application/vnd.openxmlformats-officedocument.spreadsheetml.table+xml"/>
  <Override PartName="/xl/tables/table507.xml" ContentType="application/vnd.openxmlformats-officedocument.spreadsheetml.table+xml"/>
  <Override PartName="/xl/tables/table508.xml" ContentType="application/vnd.openxmlformats-officedocument.spreadsheetml.table+xml"/>
  <Override PartName="/xl/tables/table509.xml" ContentType="application/vnd.openxmlformats-officedocument.spreadsheetml.table+xml"/>
  <Override PartName="/xl/tables/table510.xml" ContentType="application/vnd.openxmlformats-officedocument.spreadsheetml.table+xml"/>
  <Override PartName="/xl/tables/table511.xml" ContentType="application/vnd.openxmlformats-officedocument.spreadsheetml.table+xml"/>
  <Override PartName="/xl/tables/table512.xml" ContentType="application/vnd.openxmlformats-officedocument.spreadsheetml.table+xml"/>
  <Override PartName="/xl/tables/table513.xml" ContentType="application/vnd.openxmlformats-officedocument.spreadsheetml.table+xml"/>
  <Override PartName="/xl/tables/table514.xml" ContentType="application/vnd.openxmlformats-officedocument.spreadsheetml.table+xml"/>
  <Override PartName="/xl/tables/table515.xml" ContentType="application/vnd.openxmlformats-officedocument.spreadsheetml.table+xml"/>
  <Override PartName="/xl/tables/table516.xml" ContentType="application/vnd.openxmlformats-officedocument.spreadsheetml.table+xml"/>
  <Override PartName="/xl/tables/table517.xml" ContentType="application/vnd.openxmlformats-officedocument.spreadsheetml.table+xml"/>
  <Override PartName="/xl/tables/table518.xml" ContentType="application/vnd.openxmlformats-officedocument.spreadsheetml.table+xml"/>
  <Override PartName="/xl/tables/table519.xml" ContentType="application/vnd.openxmlformats-officedocument.spreadsheetml.table+xml"/>
  <Override PartName="/xl/tables/table520.xml" ContentType="application/vnd.openxmlformats-officedocument.spreadsheetml.table+xml"/>
  <Override PartName="/xl/tables/table521.xml" ContentType="application/vnd.openxmlformats-officedocument.spreadsheetml.table+xml"/>
  <Override PartName="/xl/tables/table522.xml" ContentType="application/vnd.openxmlformats-officedocument.spreadsheetml.table+xml"/>
  <Override PartName="/xl/tables/table523.xml" ContentType="application/vnd.openxmlformats-officedocument.spreadsheetml.table+xml"/>
  <Override PartName="/xl/tables/table524.xml" ContentType="application/vnd.openxmlformats-officedocument.spreadsheetml.table+xml"/>
  <Override PartName="/xl/tables/table525.xml" ContentType="application/vnd.openxmlformats-officedocument.spreadsheetml.table+xml"/>
  <Override PartName="/xl/tables/table526.xml" ContentType="application/vnd.openxmlformats-officedocument.spreadsheetml.table+xml"/>
  <Override PartName="/xl/tables/table527.xml" ContentType="application/vnd.openxmlformats-officedocument.spreadsheetml.table+xml"/>
  <Override PartName="/xl/tables/table528.xml" ContentType="application/vnd.openxmlformats-officedocument.spreadsheetml.table+xml"/>
  <Override PartName="/xl/tables/table529.xml" ContentType="application/vnd.openxmlformats-officedocument.spreadsheetml.table+xml"/>
  <Override PartName="/xl/tables/table530.xml" ContentType="application/vnd.openxmlformats-officedocument.spreadsheetml.table+xml"/>
  <Override PartName="/xl/tables/table531.xml" ContentType="application/vnd.openxmlformats-officedocument.spreadsheetml.table+xml"/>
  <Override PartName="/xl/tables/table532.xml" ContentType="application/vnd.openxmlformats-officedocument.spreadsheetml.table+xml"/>
  <Override PartName="/xl/tables/table533.xml" ContentType="application/vnd.openxmlformats-officedocument.spreadsheetml.table+xml"/>
  <Override PartName="/xl/tables/table534.xml" ContentType="application/vnd.openxmlformats-officedocument.spreadsheetml.table+xml"/>
  <Override PartName="/xl/tables/table535.xml" ContentType="application/vnd.openxmlformats-officedocument.spreadsheetml.table+xml"/>
  <Override PartName="/xl/tables/table536.xml" ContentType="application/vnd.openxmlformats-officedocument.spreadsheetml.table+xml"/>
  <Override PartName="/xl/tables/table537.xml" ContentType="application/vnd.openxmlformats-officedocument.spreadsheetml.table+xml"/>
  <Override PartName="/xl/tables/table538.xml" ContentType="application/vnd.openxmlformats-officedocument.spreadsheetml.table+xml"/>
  <Override PartName="/xl/tables/table539.xml" ContentType="application/vnd.openxmlformats-officedocument.spreadsheetml.table+xml"/>
  <Override PartName="/xl/tables/table540.xml" ContentType="application/vnd.openxmlformats-officedocument.spreadsheetml.table+xml"/>
  <Override PartName="/xl/tables/table541.xml" ContentType="application/vnd.openxmlformats-officedocument.spreadsheetml.table+xml"/>
  <Override PartName="/xl/tables/table542.xml" ContentType="application/vnd.openxmlformats-officedocument.spreadsheetml.table+xml"/>
  <Override PartName="/xl/tables/table543.xml" ContentType="application/vnd.openxmlformats-officedocument.spreadsheetml.table+xml"/>
  <Override PartName="/xl/tables/table544.xml" ContentType="application/vnd.openxmlformats-officedocument.spreadsheetml.table+xml"/>
  <Override PartName="/xl/tables/table545.xml" ContentType="application/vnd.openxmlformats-officedocument.spreadsheetml.table+xml"/>
  <Override PartName="/xl/tables/table546.xml" ContentType="application/vnd.openxmlformats-officedocument.spreadsheetml.table+xml"/>
  <Override PartName="/xl/tables/table547.xml" ContentType="application/vnd.openxmlformats-officedocument.spreadsheetml.table+xml"/>
  <Override PartName="/xl/tables/table548.xml" ContentType="application/vnd.openxmlformats-officedocument.spreadsheetml.table+xml"/>
  <Override PartName="/xl/tables/table549.xml" ContentType="application/vnd.openxmlformats-officedocument.spreadsheetml.table+xml"/>
  <Override PartName="/xl/tables/table550.xml" ContentType="application/vnd.openxmlformats-officedocument.spreadsheetml.table+xml"/>
  <Override PartName="/xl/tables/table551.xml" ContentType="application/vnd.openxmlformats-officedocument.spreadsheetml.table+xml"/>
  <Override PartName="/xl/tables/table552.xml" ContentType="application/vnd.openxmlformats-officedocument.spreadsheetml.table+xml"/>
  <Override PartName="/xl/tables/table553.xml" ContentType="application/vnd.openxmlformats-officedocument.spreadsheetml.table+xml"/>
  <Override PartName="/xl/tables/table554.xml" ContentType="application/vnd.openxmlformats-officedocument.spreadsheetml.table+xml"/>
  <Override PartName="/xl/tables/table555.xml" ContentType="application/vnd.openxmlformats-officedocument.spreadsheetml.table+xml"/>
  <Override PartName="/xl/tables/table556.xml" ContentType="application/vnd.openxmlformats-officedocument.spreadsheetml.table+xml"/>
  <Override PartName="/xl/tables/table557.xml" ContentType="application/vnd.openxmlformats-officedocument.spreadsheetml.table+xml"/>
  <Override PartName="/xl/tables/table558.xml" ContentType="application/vnd.openxmlformats-officedocument.spreadsheetml.table+xml"/>
  <Override PartName="/xl/tables/table559.xml" ContentType="application/vnd.openxmlformats-officedocument.spreadsheetml.table+xml"/>
  <Override PartName="/xl/tables/table560.xml" ContentType="application/vnd.openxmlformats-officedocument.spreadsheetml.table+xml"/>
  <Override PartName="/xl/tables/table561.xml" ContentType="application/vnd.openxmlformats-officedocument.spreadsheetml.table+xml"/>
  <Override PartName="/xl/tables/table562.xml" ContentType="application/vnd.openxmlformats-officedocument.spreadsheetml.table+xml"/>
  <Override PartName="/xl/tables/table563.xml" ContentType="application/vnd.openxmlformats-officedocument.spreadsheetml.table+xml"/>
  <Override PartName="/xl/tables/table564.xml" ContentType="application/vnd.openxmlformats-officedocument.spreadsheetml.table+xml"/>
  <Override PartName="/xl/tables/table565.xml" ContentType="application/vnd.openxmlformats-officedocument.spreadsheetml.table+xml"/>
  <Override PartName="/xl/tables/table566.xml" ContentType="application/vnd.openxmlformats-officedocument.spreadsheetml.table+xml"/>
  <Override PartName="/xl/tables/table567.xml" ContentType="application/vnd.openxmlformats-officedocument.spreadsheetml.table+xml"/>
  <Override PartName="/xl/tables/table568.xml" ContentType="application/vnd.openxmlformats-officedocument.spreadsheetml.table+xml"/>
  <Override PartName="/xl/tables/table569.xml" ContentType="application/vnd.openxmlformats-officedocument.spreadsheetml.table+xml"/>
  <Override PartName="/xl/tables/table57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filterPrivacy="1" codeName="ThisWorkbook" hidePivotFieldList="1"/>
  <xr:revisionPtr revIDLastSave="0" documentId="13_ncr:1_{68EA946D-C592-42D0-88A7-30350AC875D6}" xr6:coauthVersionLast="47" xr6:coauthVersionMax="47" xr10:uidLastSave="{00000000-0000-0000-0000-000000000000}"/>
  <bookViews>
    <workbookView xWindow="792" yWindow="1284" windowWidth="17124" windowHeight="10680" xr2:uid="{00000000-000D-0000-FFFF-FFFF00000000}"/>
  </bookViews>
  <sheets>
    <sheet name="目次" sheetId="198" r:id="rId1"/>
    <sheet name="産業大分類" sheetId="5" r:id="rId2"/>
    <sheet name="産業中分類" sheetId="6" r:id="rId3"/>
    <sheet name="産業小分類" sheetId="7" r:id="rId4"/>
    <sheet name="北海道" sheetId="8" r:id="rId5"/>
    <sheet name="札幌市" sheetId="9" r:id="rId6"/>
    <sheet name="札幌市中央区" sheetId="10" r:id="rId7"/>
    <sheet name="札幌市北区" sheetId="11" r:id="rId8"/>
    <sheet name="札幌市東区" sheetId="12" r:id="rId9"/>
    <sheet name="札幌市白石区" sheetId="13" r:id="rId10"/>
    <sheet name="札幌市豊平区" sheetId="14" r:id="rId11"/>
    <sheet name="札幌市南区" sheetId="15" r:id="rId12"/>
    <sheet name="札幌市西区" sheetId="16" r:id="rId13"/>
    <sheet name="札幌市厚別区" sheetId="17" r:id="rId14"/>
    <sheet name="札幌市手稲区" sheetId="18" r:id="rId15"/>
    <sheet name="札幌市清田区" sheetId="19" r:id="rId16"/>
    <sheet name="函館市" sheetId="20" r:id="rId17"/>
    <sheet name="小樽市" sheetId="21" r:id="rId18"/>
    <sheet name="旭川市" sheetId="22" r:id="rId19"/>
    <sheet name="室蘭市" sheetId="23" r:id="rId20"/>
    <sheet name="釧路市" sheetId="24" r:id="rId21"/>
    <sheet name="帯広市" sheetId="25" r:id="rId22"/>
    <sheet name="北見市" sheetId="26" r:id="rId23"/>
    <sheet name="夕張市" sheetId="27" r:id="rId24"/>
    <sheet name="岩見沢市" sheetId="28" r:id="rId25"/>
    <sheet name="網走市" sheetId="29" r:id="rId26"/>
    <sheet name="留萌市" sheetId="30" r:id="rId27"/>
    <sheet name="苫小牧市" sheetId="31" r:id="rId28"/>
    <sheet name="稚内市" sheetId="32" r:id="rId29"/>
    <sheet name="美唄市" sheetId="33" r:id="rId30"/>
    <sheet name="芦別市" sheetId="34" r:id="rId31"/>
    <sheet name="江別市" sheetId="35" r:id="rId32"/>
    <sheet name="赤平市" sheetId="36" r:id="rId33"/>
    <sheet name="紋別市" sheetId="37" r:id="rId34"/>
    <sheet name="士別市" sheetId="38" r:id="rId35"/>
    <sheet name="名寄市" sheetId="39" r:id="rId36"/>
    <sheet name="三笠市" sheetId="40" r:id="rId37"/>
    <sheet name="根室市" sheetId="41" r:id="rId38"/>
    <sheet name="千歳市" sheetId="42" r:id="rId39"/>
    <sheet name="滝川市" sheetId="43" r:id="rId40"/>
    <sheet name="砂川市" sheetId="44" r:id="rId41"/>
    <sheet name="歌志内市" sheetId="45" r:id="rId42"/>
    <sheet name="深川市" sheetId="46" r:id="rId43"/>
    <sheet name="富良野市" sheetId="47" r:id="rId44"/>
    <sheet name="登別市" sheetId="48" r:id="rId45"/>
    <sheet name="恵庭市" sheetId="49" r:id="rId46"/>
    <sheet name="伊達市" sheetId="50" r:id="rId47"/>
    <sheet name="北広島市" sheetId="51" r:id="rId48"/>
    <sheet name="石狩市" sheetId="52" r:id="rId49"/>
    <sheet name="北斗市" sheetId="53" r:id="rId50"/>
    <sheet name="石狩郡当別町" sheetId="54" r:id="rId51"/>
    <sheet name="石狩郡新篠津村" sheetId="55" r:id="rId52"/>
    <sheet name="松前郡松前町" sheetId="56" r:id="rId53"/>
    <sheet name="松前郡福島町" sheetId="57" r:id="rId54"/>
    <sheet name="上磯郡知内町" sheetId="58" r:id="rId55"/>
    <sheet name="上磯郡木古内町" sheetId="59" r:id="rId56"/>
    <sheet name="亀田郡七飯町" sheetId="60" r:id="rId57"/>
    <sheet name="茅部郡鹿部町" sheetId="61" r:id="rId58"/>
    <sheet name="茅部郡森町" sheetId="62" r:id="rId59"/>
    <sheet name="二海郡八雲町" sheetId="63" r:id="rId60"/>
    <sheet name="山越郡長万部町" sheetId="64" r:id="rId61"/>
    <sheet name="檜山郡江差町" sheetId="65" r:id="rId62"/>
    <sheet name="檜山郡上ノ国町" sheetId="66" r:id="rId63"/>
    <sheet name="檜山郡厚沢部町" sheetId="67" r:id="rId64"/>
    <sheet name="爾志郡乙部町" sheetId="68" r:id="rId65"/>
    <sheet name="奥尻郡奥尻町" sheetId="69" r:id="rId66"/>
    <sheet name="瀬棚郡今金町" sheetId="70" r:id="rId67"/>
    <sheet name="久遠郡せたな町" sheetId="71" r:id="rId68"/>
    <sheet name="島牧郡島牧村" sheetId="72" r:id="rId69"/>
    <sheet name="寿都郡寿都町" sheetId="73" r:id="rId70"/>
    <sheet name="寿都郡黒松内町" sheetId="74" r:id="rId71"/>
    <sheet name="磯谷郡蘭越町" sheetId="75" r:id="rId72"/>
    <sheet name="虻田郡ニセコ町" sheetId="76" r:id="rId73"/>
    <sheet name="虻田郡真狩村" sheetId="77" r:id="rId74"/>
    <sheet name="虻田郡留寿都村" sheetId="78" r:id="rId75"/>
    <sheet name="虻田郡喜茂別町" sheetId="79" r:id="rId76"/>
    <sheet name="虻田郡京極町" sheetId="80" r:id="rId77"/>
    <sheet name="虻田郡倶知安町" sheetId="81" r:id="rId78"/>
    <sheet name="岩内郡共和町" sheetId="82" r:id="rId79"/>
    <sheet name="岩内郡岩内町" sheetId="83" r:id="rId80"/>
    <sheet name="古宇郡泊村" sheetId="84" r:id="rId81"/>
    <sheet name="古宇郡神恵内村" sheetId="85" r:id="rId82"/>
    <sheet name="積丹郡積丹町" sheetId="86" r:id="rId83"/>
    <sheet name="古平郡古平町" sheetId="87" r:id="rId84"/>
    <sheet name="余市郡仁木町" sheetId="88" r:id="rId85"/>
    <sheet name="余市郡余市町" sheetId="89" r:id="rId86"/>
    <sheet name="余市郡赤井川村" sheetId="90" r:id="rId87"/>
    <sheet name="空知郡南幌町" sheetId="91" r:id="rId88"/>
    <sheet name="空知郡奈井江町" sheetId="92" r:id="rId89"/>
    <sheet name="空知郡上砂川町" sheetId="93" r:id="rId90"/>
    <sheet name="夕張郡由仁町" sheetId="94" r:id="rId91"/>
    <sheet name="夕張郡長沼町" sheetId="95" r:id="rId92"/>
    <sheet name="夕張郡栗山町" sheetId="96" r:id="rId93"/>
    <sheet name="樺戸郡月形町" sheetId="97" r:id="rId94"/>
    <sheet name="樺戸郡浦臼町" sheetId="98" r:id="rId95"/>
    <sheet name="樺戸郡新十津川町" sheetId="99" r:id="rId96"/>
    <sheet name="雨竜郡妹背牛町" sheetId="100" r:id="rId97"/>
    <sheet name="雨竜郡秩父別町" sheetId="101" r:id="rId98"/>
    <sheet name="雨竜郡雨竜町" sheetId="102" r:id="rId99"/>
    <sheet name="雨竜郡北竜町" sheetId="103" r:id="rId100"/>
    <sheet name="雨竜郡沼田町" sheetId="104" r:id="rId101"/>
    <sheet name="上川郡鷹栖町" sheetId="105" r:id="rId102"/>
    <sheet name="上川郡東神楽町" sheetId="106" r:id="rId103"/>
    <sheet name="上川郡当麻町" sheetId="107" r:id="rId104"/>
    <sheet name="上川郡比布町" sheetId="108" r:id="rId105"/>
    <sheet name="上川郡愛別町" sheetId="109" r:id="rId106"/>
    <sheet name="上川郡上川町" sheetId="110" r:id="rId107"/>
    <sheet name="上川郡東川町" sheetId="111" r:id="rId108"/>
    <sheet name="上川郡美瑛町" sheetId="112" r:id="rId109"/>
    <sheet name="空知郡上富良野町" sheetId="113" r:id="rId110"/>
    <sheet name="空知郡中富良野町" sheetId="114" r:id="rId111"/>
    <sheet name="空知郡南富良野町" sheetId="115" r:id="rId112"/>
    <sheet name="勇払郡占冠村" sheetId="116" r:id="rId113"/>
    <sheet name="上川郡和寒町" sheetId="117" r:id="rId114"/>
    <sheet name="上川郡剣淵町" sheetId="118" r:id="rId115"/>
    <sheet name="上川郡下川町" sheetId="119" r:id="rId116"/>
    <sheet name="中川郡美深町" sheetId="120" r:id="rId117"/>
    <sheet name="中川郡音威子府村" sheetId="121" r:id="rId118"/>
    <sheet name="中川郡中川町" sheetId="122" r:id="rId119"/>
    <sheet name="雨竜郡幌加内町" sheetId="123" r:id="rId120"/>
    <sheet name="増毛郡増毛町" sheetId="124" r:id="rId121"/>
    <sheet name="留萌郡小平町" sheetId="125" r:id="rId122"/>
    <sheet name="苫前郡苫前町" sheetId="126" r:id="rId123"/>
    <sheet name="苫前郡羽幌町" sheetId="127" r:id="rId124"/>
    <sheet name="苫前郡初山別村" sheetId="128" r:id="rId125"/>
    <sheet name="天塩郡遠別町" sheetId="129" r:id="rId126"/>
    <sheet name="天塩郡天塩町" sheetId="130" r:id="rId127"/>
    <sheet name="宗谷郡猿払村" sheetId="131" r:id="rId128"/>
    <sheet name="枝幸郡浜頓別町" sheetId="132" r:id="rId129"/>
    <sheet name="枝幸郡中頓別町" sheetId="133" r:id="rId130"/>
    <sheet name="枝幸郡枝幸町" sheetId="134" r:id="rId131"/>
    <sheet name="天塩郡豊富町" sheetId="135" r:id="rId132"/>
    <sheet name="礼文郡礼文町" sheetId="136" r:id="rId133"/>
    <sheet name="利尻郡利尻町" sheetId="137" r:id="rId134"/>
    <sheet name="利尻郡利尻富士町" sheetId="138" r:id="rId135"/>
    <sheet name="天塩郡幌延町" sheetId="139" r:id="rId136"/>
    <sheet name="網走郡美幌町" sheetId="140" r:id="rId137"/>
    <sheet name="網走郡津別町" sheetId="141" r:id="rId138"/>
    <sheet name="斜里郡斜里町" sheetId="142" r:id="rId139"/>
    <sheet name="斜里郡清里町" sheetId="143" r:id="rId140"/>
    <sheet name="斜里郡小清水町" sheetId="144" r:id="rId141"/>
    <sheet name="常呂郡訓子府町" sheetId="145" r:id="rId142"/>
    <sheet name="常呂郡置戸町" sheetId="146" r:id="rId143"/>
    <sheet name="常呂郡佐呂間町" sheetId="147" r:id="rId144"/>
    <sheet name="紋別郡遠軽町" sheetId="148" r:id="rId145"/>
    <sheet name="紋別郡湧別町" sheetId="149" r:id="rId146"/>
    <sheet name="紋別郡滝上町" sheetId="150" r:id="rId147"/>
    <sheet name="紋別郡興部町" sheetId="151" r:id="rId148"/>
    <sheet name="紋別郡西興部村" sheetId="152" r:id="rId149"/>
    <sheet name="紋別郡雄武町" sheetId="153" r:id="rId150"/>
    <sheet name="網走郡大空町" sheetId="154" r:id="rId151"/>
    <sheet name="虻田郡豊浦町" sheetId="155" r:id="rId152"/>
    <sheet name="有珠郡壮瞥町" sheetId="156" r:id="rId153"/>
    <sheet name="白老郡白老町" sheetId="157" r:id="rId154"/>
    <sheet name="勇払郡厚真町" sheetId="158" r:id="rId155"/>
    <sheet name="虻田郡洞爺湖町" sheetId="159" r:id="rId156"/>
    <sheet name="勇払郡安平町" sheetId="160" r:id="rId157"/>
    <sheet name="勇払郡むかわ町" sheetId="161" r:id="rId158"/>
    <sheet name="沙流郡日高町" sheetId="162" r:id="rId159"/>
    <sheet name="沙流郡平取町" sheetId="163" r:id="rId160"/>
    <sheet name="新冠郡新冠町" sheetId="164" r:id="rId161"/>
    <sheet name="浦河郡浦河町" sheetId="165" r:id="rId162"/>
    <sheet name="様似郡様似町" sheetId="166" r:id="rId163"/>
    <sheet name="幌泉郡えりも町" sheetId="167" r:id="rId164"/>
    <sheet name="日高郡新ひだか町" sheetId="168" r:id="rId165"/>
    <sheet name="河東郡音更町" sheetId="169" r:id="rId166"/>
    <sheet name="河東郡士幌町" sheetId="170" r:id="rId167"/>
    <sheet name="河東郡上士幌町" sheetId="171" r:id="rId168"/>
    <sheet name="河東郡鹿追町" sheetId="172" r:id="rId169"/>
    <sheet name="上川郡新得町" sheetId="173" r:id="rId170"/>
    <sheet name="上川郡清水町" sheetId="174" r:id="rId171"/>
    <sheet name="河西郡芽室町" sheetId="175" r:id="rId172"/>
    <sheet name="河西郡中札内村" sheetId="176" r:id="rId173"/>
    <sheet name="河西郡更別村" sheetId="177" r:id="rId174"/>
    <sheet name="広尾郡大樹町" sheetId="178" r:id="rId175"/>
    <sheet name="広尾郡広尾町" sheetId="179" r:id="rId176"/>
    <sheet name="中川郡幕別町" sheetId="180" r:id="rId177"/>
    <sheet name="中川郡池田町" sheetId="181" r:id="rId178"/>
    <sheet name="中川郡豊頃町" sheetId="182" r:id="rId179"/>
    <sheet name="中川郡本別町" sheetId="183" r:id="rId180"/>
    <sheet name="足寄郡足寄町" sheetId="184" r:id="rId181"/>
    <sheet name="足寄郡陸別町" sheetId="185" r:id="rId182"/>
    <sheet name="十勝郡浦幌町" sheetId="186" r:id="rId183"/>
    <sheet name="釧路郡釧路町" sheetId="187" r:id="rId184"/>
    <sheet name="厚岸郡厚岸町" sheetId="188" r:id="rId185"/>
    <sheet name="厚岸郡浜中町" sheetId="189" r:id="rId186"/>
    <sheet name="川上郡標茶町" sheetId="190" r:id="rId187"/>
    <sheet name="川上郡弟子屈町" sheetId="191" r:id="rId188"/>
    <sheet name="阿寒郡鶴居村" sheetId="192" r:id="rId189"/>
    <sheet name="白糠郡白糠町" sheetId="193" r:id="rId190"/>
    <sheet name="野付郡別海町" sheetId="194" r:id="rId191"/>
    <sheet name="標津郡中標津町" sheetId="195" r:id="rId192"/>
    <sheet name="標津郡標津町" sheetId="196" r:id="rId193"/>
    <sheet name="目梨郡羅臼町" sheetId="197" r:id="rId194"/>
  </sheets>
  <definedNames>
    <definedName name="_xlnm.Print_Titles" localSheetId="3">産業小分類!$1:$1</definedName>
    <definedName name="_xlnm.Print_Titles" localSheetId="1">産業大分類!$1:$1</definedName>
    <definedName name="_xlnm.Print_Titles" localSheetId="2">産業中分類!$1:$1</definedName>
  </definedNames>
  <calcPr calcId="191029"/>
  <pivotCaches>
    <pivotCache cacheId="2128" r:id="rId195"/>
    <pivotCache cacheId="2129" r:id="rId196"/>
    <pivotCache cacheId="2130" r:id="rId19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197" l="1"/>
  <c r="G21" i="197"/>
  <c r="E21" i="197"/>
  <c r="I20" i="197"/>
  <c r="G20" i="197"/>
  <c r="E20" i="197"/>
  <c r="C20" i="197"/>
  <c r="I21" i="196"/>
  <c r="G21" i="196"/>
  <c r="E21" i="196"/>
  <c r="I20" i="196"/>
  <c r="G20" i="196"/>
  <c r="E20" i="196"/>
  <c r="C20" i="196"/>
  <c r="I21" i="195"/>
  <c r="G21" i="195"/>
  <c r="E21" i="195"/>
  <c r="I20" i="195"/>
  <c r="G20" i="195"/>
  <c r="E20" i="195"/>
  <c r="C20" i="195"/>
  <c r="I21" i="194"/>
  <c r="G21" i="194"/>
  <c r="E21" i="194"/>
  <c r="I20" i="194"/>
  <c r="G20" i="194"/>
  <c r="E20" i="194"/>
  <c r="C20" i="194"/>
  <c r="I21" i="193"/>
  <c r="G21" i="193"/>
  <c r="E21" i="193"/>
  <c r="I20" i="193"/>
  <c r="G20" i="193"/>
  <c r="E20" i="193"/>
  <c r="C20" i="193"/>
  <c r="I21" i="192"/>
  <c r="G21" i="192"/>
  <c r="E21" i="192"/>
  <c r="I20" i="192"/>
  <c r="G20" i="192"/>
  <c r="E20" i="192"/>
  <c r="C20" i="192"/>
  <c r="I21" i="191"/>
  <c r="G21" i="191"/>
  <c r="E21" i="191"/>
  <c r="I20" i="191"/>
  <c r="G20" i="191"/>
  <c r="E20" i="191"/>
  <c r="C20" i="191"/>
  <c r="I21" i="190"/>
  <c r="G21" i="190"/>
  <c r="E21" i="190"/>
  <c r="I20" i="190"/>
  <c r="G20" i="190"/>
  <c r="E20" i="190"/>
  <c r="C20" i="190"/>
  <c r="I21" i="189"/>
  <c r="G21" i="189"/>
  <c r="E21" i="189"/>
  <c r="I20" i="189"/>
  <c r="G20" i="189"/>
  <c r="E20" i="189"/>
  <c r="C20" i="189"/>
  <c r="I21" i="188"/>
  <c r="G21" i="188"/>
  <c r="E21" i="188"/>
  <c r="I20" i="188"/>
  <c r="G20" i="188"/>
  <c r="E20" i="188"/>
  <c r="C20" i="188"/>
  <c r="I21" i="187"/>
  <c r="G21" i="187"/>
  <c r="E21" i="187"/>
  <c r="I20" i="187"/>
  <c r="G20" i="187"/>
  <c r="E20" i="187"/>
  <c r="C20" i="187"/>
  <c r="I21" i="186"/>
  <c r="G21" i="186"/>
  <c r="E21" i="186"/>
  <c r="I20" i="186"/>
  <c r="G20" i="186"/>
  <c r="E20" i="186"/>
  <c r="C20" i="186"/>
  <c r="I21" i="185"/>
  <c r="G21" i="185"/>
  <c r="E21" i="185"/>
  <c r="I20" i="185"/>
  <c r="G20" i="185"/>
  <c r="E20" i="185"/>
  <c r="C20" i="185"/>
  <c r="I21" i="184"/>
  <c r="G21" i="184"/>
  <c r="E21" i="184"/>
  <c r="I20" i="184"/>
  <c r="G20" i="184"/>
  <c r="E20" i="184"/>
  <c r="C20" i="184"/>
  <c r="I21" i="183"/>
  <c r="G21" i="183"/>
  <c r="E21" i="183"/>
  <c r="I20" i="183"/>
  <c r="G20" i="183"/>
  <c r="E20" i="183"/>
  <c r="C20" i="183"/>
  <c r="I21" i="182"/>
  <c r="G21" i="182"/>
  <c r="E21" i="182"/>
  <c r="I20" i="182"/>
  <c r="G20" i="182"/>
  <c r="E20" i="182"/>
  <c r="C20" i="182"/>
  <c r="I21" i="181"/>
  <c r="G21" i="181"/>
  <c r="E21" i="181"/>
  <c r="I20" i="181"/>
  <c r="G20" i="181"/>
  <c r="E20" i="181"/>
  <c r="C20" i="181"/>
  <c r="I21" i="180"/>
  <c r="G21" i="180"/>
  <c r="E21" i="180"/>
  <c r="I20" i="180"/>
  <c r="G20" i="180"/>
  <c r="E20" i="180"/>
  <c r="C20" i="180"/>
  <c r="I21" i="179"/>
  <c r="G21" i="179"/>
  <c r="E21" i="179"/>
  <c r="I20" i="179"/>
  <c r="G20" i="179"/>
  <c r="E20" i="179"/>
  <c r="C20" i="179"/>
  <c r="I21" i="178"/>
  <c r="G21" i="178"/>
  <c r="E21" i="178"/>
  <c r="I20" i="178"/>
  <c r="G20" i="178"/>
  <c r="E20" i="178"/>
  <c r="C20" i="178"/>
  <c r="I21" i="177"/>
  <c r="G21" i="177"/>
  <c r="E21" i="177"/>
  <c r="I20" i="177"/>
  <c r="G20" i="177"/>
  <c r="E20" i="177"/>
  <c r="C20" i="177"/>
  <c r="I21" i="176"/>
  <c r="G21" i="176"/>
  <c r="E21" i="176"/>
  <c r="I20" i="176"/>
  <c r="G20" i="176"/>
  <c r="E20" i="176"/>
  <c r="C20" i="176"/>
  <c r="I21" i="175"/>
  <c r="G21" i="175"/>
  <c r="E21" i="175"/>
  <c r="I20" i="175"/>
  <c r="G20" i="175"/>
  <c r="E20" i="175"/>
  <c r="C20" i="175"/>
  <c r="I21" i="174"/>
  <c r="G21" i="174"/>
  <c r="E21" i="174"/>
  <c r="I20" i="174"/>
  <c r="G20" i="174"/>
  <c r="E20" i="174"/>
  <c r="C20" i="174"/>
  <c r="I21" i="173"/>
  <c r="G21" i="173"/>
  <c r="E21" i="173"/>
  <c r="I20" i="173"/>
  <c r="G20" i="173"/>
  <c r="E20" i="173"/>
  <c r="C20" i="173"/>
  <c r="I21" i="172"/>
  <c r="G21" i="172"/>
  <c r="E21" i="172"/>
  <c r="I20" i="172"/>
  <c r="G20" i="172"/>
  <c r="E20" i="172"/>
  <c r="C20" i="172"/>
  <c r="I21" i="171"/>
  <c r="G21" i="171"/>
  <c r="E21" i="171"/>
  <c r="I20" i="171"/>
  <c r="G20" i="171"/>
  <c r="E20" i="171"/>
  <c r="C20" i="171"/>
  <c r="I21" i="170"/>
  <c r="G21" i="170"/>
  <c r="E21" i="170"/>
  <c r="I20" i="170"/>
  <c r="G20" i="170"/>
  <c r="E20" i="170"/>
  <c r="C20" i="170"/>
  <c r="I21" i="169"/>
  <c r="G21" i="169"/>
  <c r="E21" i="169"/>
  <c r="I20" i="169"/>
  <c r="G20" i="169"/>
  <c r="E20" i="169"/>
  <c r="C20" i="169"/>
  <c r="I21" i="168"/>
  <c r="G21" i="168"/>
  <c r="E21" i="168"/>
  <c r="I20" i="168"/>
  <c r="G20" i="168"/>
  <c r="E20" i="168"/>
  <c r="C20" i="168"/>
  <c r="I21" i="167"/>
  <c r="G21" i="167"/>
  <c r="E21" i="167"/>
  <c r="I20" i="167"/>
  <c r="G20" i="167"/>
  <c r="E20" i="167"/>
  <c r="C20" i="167"/>
  <c r="I21" i="166"/>
  <c r="G21" i="166"/>
  <c r="E21" i="166"/>
  <c r="I20" i="166"/>
  <c r="G20" i="166"/>
  <c r="E20" i="166"/>
  <c r="C20" i="166"/>
  <c r="I21" i="165"/>
  <c r="G21" i="165"/>
  <c r="E21" i="165"/>
  <c r="I20" i="165"/>
  <c r="G20" i="165"/>
  <c r="E20" i="165"/>
  <c r="C20" i="165"/>
  <c r="I21" i="164"/>
  <c r="G21" i="164"/>
  <c r="E21" i="164"/>
  <c r="I20" i="164"/>
  <c r="G20" i="164"/>
  <c r="E20" i="164"/>
  <c r="C20" i="164"/>
  <c r="I21" i="163"/>
  <c r="G21" i="163"/>
  <c r="E21" i="163"/>
  <c r="I20" i="163"/>
  <c r="G20" i="163"/>
  <c r="E20" i="163"/>
  <c r="C20" i="163"/>
  <c r="I21" i="162"/>
  <c r="G21" i="162"/>
  <c r="E21" i="162"/>
  <c r="I20" i="162"/>
  <c r="G20" i="162"/>
  <c r="E20" i="162"/>
  <c r="C20" i="162"/>
  <c r="I21" i="161"/>
  <c r="G21" i="161"/>
  <c r="E21" i="161"/>
  <c r="I20" i="161"/>
  <c r="G20" i="161"/>
  <c r="E20" i="161"/>
  <c r="C20" i="161"/>
  <c r="I21" i="160"/>
  <c r="G21" i="160"/>
  <c r="E21" i="160"/>
  <c r="I20" i="160"/>
  <c r="G20" i="160"/>
  <c r="E20" i="160"/>
  <c r="C20" i="160"/>
  <c r="I21" i="159"/>
  <c r="G21" i="159"/>
  <c r="E21" i="159"/>
  <c r="I20" i="159"/>
  <c r="G20" i="159"/>
  <c r="E20" i="159"/>
  <c r="C20" i="159"/>
  <c r="I21" i="158"/>
  <c r="G21" i="158"/>
  <c r="E21" i="158"/>
  <c r="I20" i="158"/>
  <c r="G20" i="158"/>
  <c r="E20" i="158"/>
  <c r="C20" i="158"/>
  <c r="I21" i="157"/>
  <c r="G21" i="157"/>
  <c r="E21" i="157"/>
  <c r="I20" i="157"/>
  <c r="G20" i="157"/>
  <c r="E20" i="157"/>
  <c r="C20" i="157"/>
  <c r="I21" i="156"/>
  <c r="G21" i="156"/>
  <c r="E21" i="156"/>
  <c r="I20" i="156"/>
  <c r="G20" i="156"/>
  <c r="E20" i="156"/>
  <c r="C20" i="156"/>
  <c r="I21" i="155"/>
  <c r="G21" i="155"/>
  <c r="E21" i="155"/>
  <c r="I20" i="155"/>
  <c r="G20" i="155"/>
  <c r="E20" i="155"/>
  <c r="C20" i="155"/>
  <c r="I21" i="154"/>
  <c r="G21" i="154"/>
  <c r="E21" i="154"/>
  <c r="I20" i="154"/>
  <c r="G20" i="154"/>
  <c r="E20" i="154"/>
  <c r="C20" i="154"/>
  <c r="I21" i="153"/>
  <c r="G21" i="153"/>
  <c r="E21" i="153"/>
  <c r="I20" i="153"/>
  <c r="G20" i="153"/>
  <c r="E20" i="153"/>
  <c r="C20" i="153"/>
  <c r="I21" i="152"/>
  <c r="G21" i="152"/>
  <c r="E21" i="152"/>
  <c r="I20" i="152"/>
  <c r="G20" i="152"/>
  <c r="E20" i="152"/>
  <c r="C20" i="152"/>
  <c r="I21" i="151"/>
  <c r="G21" i="151"/>
  <c r="E21" i="151"/>
  <c r="I20" i="151"/>
  <c r="G20" i="151"/>
  <c r="E20" i="151"/>
  <c r="C20" i="151"/>
  <c r="I21" i="150"/>
  <c r="G21" i="150"/>
  <c r="E21" i="150"/>
  <c r="I20" i="150"/>
  <c r="G20" i="150"/>
  <c r="E20" i="150"/>
  <c r="C20" i="150"/>
  <c r="I21" i="149"/>
  <c r="G21" i="149"/>
  <c r="E21" i="149"/>
  <c r="I20" i="149"/>
  <c r="G20" i="149"/>
  <c r="E20" i="149"/>
  <c r="C20" i="149"/>
  <c r="I21" i="148"/>
  <c r="G21" i="148"/>
  <c r="E21" i="148"/>
  <c r="I20" i="148"/>
  <c r="G20" i="148"/>
  <c r="E20" i="148"/>
  <c r="C20" i="148"/>
  <c r="I21" i="147"/>
  <c r="G21" i="147"/>
  <c r="E21" i="147"/>
  <c r="I20" i="147"/>
  <c r="G20" i="147"/>
  <c r="E20" i="147"/>
  <c r="C20" i="147"/>
  <c r="I21" i="146"/>
  <c r="G21" i="146"/>
  <c r="E21" i="146"/>
  <c r="I20" i="146"/>
  <c r="G20" i="146"/>
  <c r="E20" i="146"/>
  <c r="C20" i="146"/>
  <c r="I21" i="145"/>
  <c r="G21" i="145"/>
  <c r="E21" i="145"/>
  <c r="I20" i="145"/>
  <c r="G20" i="145"/>
  <c r="E20" i="145"/>
  <c r="C20" i="145"/>
  <c r="I21" i="144"/>
  <c r="G21" i="144"/>
  <c r="E21" i="144"/>
  <c r="I20" i="144"/>
  <c r="G20" i="144"/>
  <c r="E20" i="144"/>
  <c r="C20" i="144"/>
  <c r="I21" i="143"/>
  <c r="G21" i="143"/>
  <c r="E21" i="143"/>
  <c r="I20" i="143"/>
  <c r="G20" i="143"/>
  <c r="E20" i="143"/>
  <c r="C20" i="143"/>
  <c r="I21" i="142"/>
  <c r="G21" i="142"/>
  <c r="E21" i="142"/>
  <c r="I20" i="142"/>
  <c r="G20" i="142"/>
  <c r="E20" i="142"/>
  <c r="C20" i="142"/>
  <c r="I21" i="141"/>
  <c r="G21" i="141"/>
  <c r="E21" i="141"/>
  <c r="I20" i="141"/>
  <c r="G20" i="141"/>
  <c r="E20" i="141"/>
  <c r="C20" i="141"/>
  <c r="I21" i="140"/>
  <c r="G21" i="140"/>
  <c r="E21" i="140"/>
  <c r="I20" i="140"/>
  <c r="G20" i="140"/>
  <c r="E20" i="140"/>
  <c r="C20" i="140"/>
  <c r="I21" i="139"/>
  <c r="G21" i="139"/>
  <c r="E21" i="139"/>
  <c r="I20" i="139"/>
  <c r="G20" i="139"/>
  <c r="E20" i="139"/>
  <c r="C20" i="139"/>
  <c r="I21" i="138"/>
  <c r="G21" i="138"/>
  <c r="E21" i="138"/>
  <c r="I20" i="138"/>
  <c r="G20" i="138"/>
  <c r="E20" i="138"/>
  <c r="C20" i="138"/>
  <c r="I21" i="137"/>
  <c r="G21" i="137"/>
  <c r="E21" i="137"/>
  <c r="I20" i="137"/>
  <c r="G20" i="137"/>
  <c r="E20" i="137"/>
  <c r="C20" i="137"/>
  <c r="I21" i="136"/>
  <c r="G21" i="136"/>
  <c r="E21" i="136"/>
  <c r="I20" i="136"/>
  <c r="G20" i="136"/>
  <c r="E20" i="136"/>
  <c r="C20" i="136"/>
  <c r="I21" i="135"/>
  <c r="G21" i="135"/>
  <c r="E21" i="135"/>
  <c r="I20" i="135"/>
  <c r="G20" i="135"/>
  <c r="E20" i="135"/>
  <c r="C20" i="135"/>
  <c r="I21" i="134"/>
  <c r="G21" i="134"/>
  <c r="E21" i="134"/>
  <c r="I20" i="134"/>
  <c r="G20" i="134"/>
  <c r="E20" i="134"/>
  <c r="C20" i="134"/>
  <c r="I21" i="133"/>
  <c r="G21" i="133"/>
  <c r="E21" i="133"/>
  <c r="I20" i="133"/>
  <c r="G20" i="133"/>
  <c r="E20" i="133"/>
  <c r="C20" i="133"/>
  <c r="I21" i="132"/>
  <c r="G21" i="132"/>
  <c r="E21" i="132"/>
  <c r="I20" i="132"/>
  <c r="G20" i="132"/>
  <c r="E20" i="132"/>
  <c r="C20" i="132"/>
  <c r="I21" i="131"/>
  <c r="G21" i="131"/>
  <c r="E21" i="131"/>
  <c r="I20" i="131"/>
  <c r="G20" i="131"/>
  <c r="E20" i="131"/>
  <c r="C20" i="131"/>
  <c r="I21" i="130"/>
  <c r="G21" i="130"/>
  <c r="E21" i="130"/>
  <c r="I20" i="130"/>
  <c r="G20" i="130"/>
  <c r="E20" i="130"/>
  <c r="C20" i="130"/>
  <c r="I21" i="129"/>
  <c r="G21" i="129"/>
  <c r="E21" i="129"/>
  <c r="I20" i="129"/>
  <c r="G20" i="129"/>
  <c r="E20" i="129"/>
  <c r="C20" i="129"/>
  <c r="I21" i="128"/>
  <c r="G21" i="128"/>
  <c r="E21" i="128"/>
  <c r="I20" i="128"/>
  <c r="G20" i="128"/>
  <c r="E20" i="128"/>
  <c r="C20" i="128"/>
  <c r="I21" i="127"/>
  <c r="G21" i="127"/>
  <c r="E21" i="127"/>
  <c r="I20" i="127"/>
  <c r="G20" i="127"/>
  <c r="E20" i="127"/>
  <c r="C20" i="127"/>
  <c r="I21" i="126"/>
  <c r="G21" i="126"/>
  <c r="E21" i="126"/>
  <c r="I20" i="126"/>
  <c r="G20" i="126"/>
  <c r="E20" i="126"/>
  <c r="C20" i="126"/>
  <c r="I21" i="125"/>
  <c r="G21" i="125"/>
  <c r="E21" i="125"/>
  <c r="I20" i="125"/>
  <c r="G20" i="125"/>
  <c r="E20" i="125"/>
  <c r="C20" i="125"/>
  <c r="I21" i="124"/>
  <c r="G21" i="124"/>
  <c r="E21" i="124"/>
  <c r="I20" i="124"/>
  <c r="G20" i="124"/>
  <c r="E20" i="124"/>
  <c r="C20" i="124"/>
  <c r="I21" i="123"/>
  <c r="G21" i="123"/>
  <c r="E21" i="123"/>
  <c r="I20" i="123"/>
  <c r="G20" i="123"/>
  <c r="E20" i="123"/>
  <c r="C20" i="123"/>
  <c r="I21" i="122"/>
  <c r="G21" i="122"/>
  <c r="E21" i="122"/>
  <c r="I20" i="122"/>
  <c r="G20" i="122"/>
  <c r="E20" i="122"/>
  <c r="C20" i="122"/>
  <c r="I21" i="121"/>
  <c r="G21" i="121"/>
  <c r="E21" i="121"/>
  <c r="I20" i="121"/>
  <c r="G20" i="121"/>
  <c r="E20" i="121"/>
  <c r="C20" i="121"/>
  <c r="I21" i="120"/>
  <c r="G21" i="120"/>
  <c r="E21" i="120"/>
  <c r="I20" i="120"/>
  <c r="G20" i="120"/>
  <c r="E20" i="120"/>
  <c r="C20" i="120"/>
  <c r="I21" i="119"/>
  <c r="G21" i="119"/>
  <c r="E21" i="119"/>
  <c r="I20" i="119"/>
  <c r="G20" i="119"/>
  <c r="E20" i="119"/>
  <c r="C20" i="119"/>
  <c r="I21" i="118"/>
  <c r="G21" i="118"/>
  <c r="E21" i="118"/>
  <c r="I20" i="118"/>
  <c r="G20" i="118"/>
  <c r="E20" i="118"/>
  <c r="C20" i="118"/>
  <c r="I21" i="117"/>
  <c r="G21" i="117"/>
  <c r="E21" i="117"/>
  <c r="I20" i="117"/>
  <c r="G20" i="117"/>
  <c r="E20" i="117"/>
  <c r="C20" i="117"/>
  <c r="I21" i="116"/>
  <c r="G21" i="116"/>
  <c r="E21" i="116"/>
  <c r="I20" i="116"/>
  <c r="G20" i="116"/>
  <c r="E20" i="116"/>
  <c r="C20" i="116"/>
  <c r="I21" i="115"/>
  <c r="G21" i="115"/>
  <c r="E21" i="115"/>
  <c r="I20" i="115"/>
  <c r="G20" i="115"/>
  <c r="E20" i="115"/>
  <c r="C20" i="115"/>
  <c r="I21" i="114"/>
  <c r="G21" i="114"/>
  <c r="E21" i="114"/>
  <c r="I20" i="114"/>
  <c r="G20" i="114"/>
  <c r="E20" i="114"/>
  <c r="C20" i="114"/>
  <c r="I21" i="113"/>
  <c r="G21" i="113"/>
  <c r="E21" i="113"/>
  <c r="I20" i="113"/>
  <c r="G20" i="113"/>
  <c r="E20" i="113"/>
  <c r="C20" i="113"/>
  <c r="I21" i="112"/>
  <c r="G21" i="112"/>
  <c r="E21" i="112"/>
  <c r="I20" i="112"/>
  <c r="G20" i="112"/>
  <c r="E20" i="112"/>
  <c r="C20" i="112"/>
  <c r="I21" i="111"/>
  <c r="G21" i="111"/>
  <c r="E21" i="111"/>
  <c r="I20" i="111"/>
  <c r="G20" i="111"/>
  <c r="E20" i="111"/>
  <c r="C20" i="111"/>
  <c r="I21" i="110"/>
  <c r="G21" i="110"/>
  <c r="E21" i="110"/>
  <c r="I20" i="110"/>
  <c r="G20" i="110"/>
  <c r="E20" i="110"/>
  <c r="C20" i="110"/>
  <c r="I21" i="109"/>
  <c r="G21" i="109"/>
  <c r="E21" i="109"/>
  <c r="I20" i="109"/>
  <c r="G20" i="109"/>
  <c r="E20" i="109"/>
  <c r="C20" i="109"/>
  <c r="I21" i="108"/>
  <c r="G21" i="108"/>
  <c r="E21" i="108"/>
  <c r="I20" i="108"/>
  <c r="G20" i="108"/>
  <c r="E20" i="108"/>
  <c r="C20" i="108"/>
  <c r="I21" i="107"/>
  <c r="G21" i="107"/>
  <c r="E21" i="107"/>
  <c r="I20" i="107"/>
  <c r="G20" i="107"/>
  <c r="E20" i="107"/>
  <c r="C20" i="107"/>
  <c r="I21" i="106"/>
  <c r="G21" i="106"/>
  <c r="E21" i="106"/>
  <c r="I20" i="106"/>
  <c r="G20" i="106"/>
  <c r="E20" i="106"/>
  <c r="C20" i="106"/>
  <c r="I21" i="105"/>
  <c r="G21" i="105"/>
  <c r="E21" i="105"/>
  <c r="I20" i="105"/>
  <c r="G20" i="105"/>
  <c r="E20" i="105"/>
  <c r="C20" i="105"/>
  <c r="I21" i="104"/>
  <c r="G21" i="104"/>
  <c r="E21" i="104"/>
  <c r="I20" i="104"/>
  <c r="G20" i="104"/>
  <c r="E20" i="104"/>
  <c r="C20" i="104"/>
  <c r="I21" i="103"/>
  <c r="G21" i="103"/>
  <c r="E21" i="103"/>
  <c r="I20" i="103"/>
  <c r="G20" i="103"/>
  <c r="E20" i="103"/>
  <c r="C20" i="103"/>
  <c r="I21" i="102"/>
  <c r="G21" i="102"/>
  <c r="E21" i="102"/>
  <c r="I20" i="102"/>
  <c r="G20" i="102"/>
  <c r="E20" i="102"/>
  <c r="C20" i="102"/>
  <c r="I21" i="101"/>
  <c r="G21" i="101"/>
  <c r="E21" i="101"/>
  <c r="I20" i="101"/>
  <c r="G20" i="101"/>
  <c r="E20" i="101"/>
  <c r="C20" i="101"/>
  <c r="I21" i="100"/>
  <c r="G21" i="100"/>
  <c r="E21" i="100"/>
  <c r="I20" i="100"/>
  <c r="G20" i="100"/>
  <c r="E20" i="100"/>
  <c r="C20" i="100"/>
  <c r="I21" i="99"/>
  <c r="G21" i="99"/>
  <c r="E21" i="99"/>
  <c r="I20" i="99"/>
  <c r="G20" i="99"/>
  <c r="E20" i="99"/>
  <c r="C20" i="99"/>
  <c r="I21" i="98"/>
  <c r="G21" i="98"/>
  <c r="E21" i="98"/>
  <c r="I20" i="98"/>
  <c r="G20" i="98"/>
  <c r="E20" i="98"/>
  <c r="C20" i="98"/>
  <c r="I21" i="97"/>
  <c r="G21" i="97"/>
  <c r="E21" i="97"/>
  <c r="I20" i="97"/>
  <c r="G20" i="97"/>
  <c r="E20" i="97"/>
  <c r="C20" i="97"/>
  <c r="I21" i="96"/>
  <c r="G21" i="96"/>
  <c r="E21" i="96"/>
  <c r="I20" i="96"/>
  <c r="G20" i="96"/>
  <c r="E20" i="96"/>
  <c r="C20" i="96"/>
  <c r="I21" i="95"/>
  <c r="G21" i="95"/>
  <c r="E21" i="95"/>
  <c r="I20" i="95"/>
  <c r="G20" i="95"/>
  <c r="E20" i="95"/>
  <c r="C20" i="95"/>
  <c r="I21" i="94"/>
  <c r="G21" i="94"/>
  <c r="E21" i="94"/>
  <c r="I20" i="94"/>
  <c r="G20" i="94"/>
  <c r="E20" i="94"/>
  <c r="C20" i="94"/>
  <c r="I21" i="93"/>
  <c r="G21" i="93"/>
  <c r="E21" i="93"/>
  <c r="I20" i="93"/>
  <c r="G20" i="93"/>
  <c r="E20" i="93"/>
  <c r="C20" i="93"/>
  <c r="I21" i="92"/>
  <c r="G21" i="92"/>
  <c r="E21" i="92"/>
  <c r="I20" i="92"/>
  <c r="G20" i="92"/>
  <c r="E20" i="92"/>
  <c r="C20" i="92"/>
  <c r="I21" i="91"/>
  <c r="G21" i="91"/>
  <c r="E21" i="91"/>
  <c r="I20" i="91"/>
  <c r="G20" i="91"/>
  <c r="E20" i="91"/>
  <c r="C20" i="91"/>
  <c r="I21" i="90"/>
  <c r="G21" i="90"/>
  <c r="E21" i="90"/>
  <c r="I20" i="90"/>
  <c r="G20" i="90"/>
  <c r="E20" i="90"/>
  <c r="C20" i="90"/>
  <c r="I21" i="89"/>
  <c r="G21" i="89"/>
  <c r="E21" i="89"/>
  <c r="I20" i="89"/>
  <c r="G20" i="89"/>
  <c r="E20" i="89"/>
  <c r="C20" i="89"/>
  <c r="I21" i="88"/>
  <c r="G21" i="88"/>
  <c r="E21" i="88"/>
  <c r="I20" i="88"/>
  <c r="G20" i="88"/>
  <c r="E20" i="88"/>
  <c r="C20" i="88"/>
  <c r="I21" i="87"/>
  <c r="G21" i="87"/>
  <c r="E21" i="87"/>
  <c r="I20" i="87"/>
  <c r="G20" i="87"/>
  <c r="E20" i="87"/>
  <c r="C20" i="87"/>
  <c r="I21" i="86"/>
  <c r="G21" i="86"/>
  <c r="E21" i="86"/>
  <c r="I20" i="86"/>
  <c r="G20" i="86"/>
  <c r="E20" i="86"/>
  <c r="C20" i="86"/>
  <c r="I21" i="85"/>
  <c r="G21" i="85"/>
  <c r="E21" i="85"/>
  <c r="I20" i="85"/>
  <c r="G20" i="85"/>
  <c r="E20" i="85"/>
  <c r="C20" i="85"/>
  <c r="I21" i="84"/>
  <c r="G21" i="84"/>
  <c r="E21" i="84"/>
  <c r="I20" i="84"/>
  <c r="G20" i="84"/>
  <c r="E20" i="84"/>
  <c r="C20" i="84"/>
  <c r="I21" i="83"/>
  <c r="G21" i="83"/>
  <c r="E21" i="83"/>
  <c r="I20" i="83"/>
  <c r="G20" i="83"/>
  <c r="E20" i="83"/>
  <c r="C20" i="83"/>
  <c r="I21" i="82"/>
  <c r="G21" i="82"/>
  <c r="E21" i="82"/>
  <c r="I20" i="82"/>
  <c r="G20" i="82"/>
  <c r="E20" i="82"/>
  <c r="C20" i="82"/>
  <c r="I21" i="81"/>
  <c r="G21" i="81"/>
  <c r="E21" i="81"/>
  <c r="I20" i="81"/>
  <c r="G20" i="81"/>
  <c r="E20" i="81"/>
  <c r="C20" i="81"/>
  <c r="I21" i="80"/>
  <c r="G21" i="80"/>
  <c r="E21" i="80"/>
  <c r="I20" i="80"/>
  <c r="G20" i="80"/>
  <c r="E20" i="80"/>
  <c r="C20" i="80"/>
  <c r="I21" i="79"/>
  <c r="G21" i="79"/>
  <c r="E21" i="79"/>
  <c r="I20" i="79"/>
  <c r="G20" i="79"/>
  <c r="E20" i="79"/>
  <c r="C20" i="79"/>
  <c r="I21" i="78"/>
  <c r="G21" i="78"/>
  <c r="E21" i="78"/>
  <c r="I20" i="78"/>
  <c r="G20" i="78"/>
  <c r="E20" i="78"/>
  <c r="C20" i="78"/>
  <c r="I21" i="77"/>
  <c r="G21" i="77"/>
  <c r="E21" i="77"/>
  <c r="I20" i="77"/>
  <c r="G20" i="77"/>
  <c r="E20" i="77"/>
  <c r="C20" i="77"/>
  <c r="I21" i="76"/>
  <c r="G21" i="76"/>
  <c r="E21" i="76"/>
  <c r="I20" i="76"/>
  <c r="G20" i="76"/>
  <c r="E20" i="76"/>
  <c r="C20" i="76"/>
  <c r="I21" i="75"/>
  <c r="G21" i="75"/>
  <c r="E21" i="75"/>
  <c r="I20" i="75"/>
  <c r="G20" i="75"/>
  <c r="E20" i="75"/>
  <c r="C20" i="75"/>
  <c r="I21" i="74"/>
  <c r="G21" i="74"/>
  <c r="E21" i="74"/>
  <c r="I20" i="74"/>
  <c r="G20" i="74"/>
  <c r="E20" i="74"/>
  <c r="C20" i="74"/>
  <c r="I21" i="73"/>
  <c r="G21" i="73"/>
  <c r="E21" i="73"/>
  <c r="I20" i="73"/>
  <c r="G20" i="73"/>
  <c r="E20" i="73"/>
  <c r="C20" i="73"/>
  <c r="I21" i="72"/>
  <c r="G21" i="72"/>
  <c r="E21" i="72"/>
  <c r="I20" i="72"/>
  <c r="G20" i="72"/>
  <c r="E20" i="72"/>
  <c r="C20" i="72"/>
  <c r="I21" i="71"/>
  <c r="G21" i="71"/>
  <c r="E21" i="71"/>
  <c r="I20" i="71"/>
  <c r="G20" i="71"/>
  <c r="E20" i="71"/>
  <c r="C20" i="71"/>
  <c r="I21" i="70"/>
  <c r="G21" i="70"/>
  <c r="E21" i="70"/>
  <c r="I20" i="70"/>
  <c r="G20" i="70"/>
  <c r="E20" i="70"/>
  <c r="C20" i="70"/>
  <c r="I21" i="69"/>
  <c r="G21" i="69"/>
  <c r="E21" i="69"/>
  <c r="I20" i="69"/>
  <c r="G20" i="69"/>
  <c r="E20" i="69"/>
  <c r="C20" i="69"/>
  <c r="I21" i="68"/>
  <c r="G21" i="68"/>
  <c r="E21" i="68"/>
  <c r="I20" i="68"/>
  <c r="G20" i="68"/>
  <c r="E20" i="68"/>
  <c r="C20" i="68"/>
  <c r="I21" i="67"/>
  <c r="G21" i="67"/>
  <c r="E21" i="67"/>
  <c r="I20" i="67"/>
  <c r="G20" i="67"/>
  <c r="E20" i="67"/>
  <c r="C20" i="67"/>
  <c r="I21" i="66"/>
  <c r="G21" i="66"/>
  <c r="E21" i="66"/>
  <c r="I20" i="66"/>
  <c r="G20" i="66"/>
  <c r="E20" i="66"/>
  <c r="C20" i="66"/>
  <c r="I21" i="65"/>
  <c r="G21" i="65"/>
  <c r="E21" i="65"/>
  <c r="I20" i="65"/>
  <c r="G20" i="65"/>
  <c r="E20" i="65"/>
  <c r="C20" i="65"/>
  <c r="I21" i="64"/>
  <c r="G21" i="64"/>
  <c r="E21" i="64"/>
  <c r="I20" i="64"/>
  <c r="G20" i="64"/>
  <c r="E20" i="64"/>
  <c r="C20" i="64"/>
  <c r="I21" i="63"/>
  <c r="G21" i="63"/>
  <c r="E21" i="63"/>
  <c r="I20" i="63"/>
  <c r="G20" i="63"/>
  <c r="E20" i="63"/>
  <c r="C20" i="63"/>
  <c r="I21" i="62"/>
  <c r="G21" i="62"/>
  <c r="E21" i="62"/>
  <c r="I20" i="62"/>
  <c r="G20" i="62"/>
  <c r="E20" i="62"/>
  <c r="C20" i="62"/>
  <c r="I21" i="61"/>
  <c r="G21" i="61"/>
  <c r="E21" i="61"/>
  <c r="I20" i="61"/>
  <c r="G20" i="61"/>
  <c r="E20" i="61"/>
  <c r="C20" i="61"/>
  <c r="I21" i="60"/>
  <c r="G21" i="60"/>
  <c r="E21" i="60"/>
  <c r="I20" i="60"/>
  <c r="G20" i="60"/>
  <c r="E20" i="60"/>
  <c r="C20" i="60"/>
  <c r="I21" i="59"/>
  <c r="G21" i="59"/>
  <c r="E21" i="59"/>
  <c r="I20" i="59"/>
  <c r="G20" i="59"/>
  <c r="E20" i="59"/>
  <c r="C20" i="59"/>
  <c r="I21" i="58"/>
  <c r="G21" i="58"/>
  <c r="E21" i="58"/>
  <c r="I20" i="58"/>
  <c r="G20" i="58"/>
  <c r="E20" i="58"/>
  <c r="C20" i="58"/>
  <c r="I21" i="57"/>
  <c r="G21" i="57"/>
  <c r="E21" i="57"/>
  <c r="I20" i="57"/>
  <c r="G20" i="57"/>
  <c r="E20" i="57"/>
  <c r="C20" i="57"/>
  <c r="I21" i="56"/>
  <c r="G21" i="56"/>
  <c r="E21" i="56"/>
  <c r="I20" i="56"/>
  <c r="G20" i="56"/>
  <c r="E20" i="56"/>
  <c r="C20" i="56"/>
  <c r="I21" i="55"/>
  <c r="G21" i="55"/>
  <c r="E21" i="55"/>
  <c r="I20" i="55"/>
  <c r="G20" i="55"/>
  <c r="E20" i="55"/>
  <c r="C20" i="55"/>
  <c r="I21" i="54"/>
  <c r="G21" i="54"/>
  <c r="E21" i="54"/>
  <c r="I20" i="54"/>
  <c r="G20" i="54"/>
  <c r="E20" i="54"/>
  <c r="C20" i="54"/>
  <c r="I21" i="53"/>
  <c r="G21" i="53"/>
  <c r="E21" i="53"/>
  <c r="I20" i="53"/>
  <c r="G20" i="53"/>
  <c r="E20" i="53"/>
  <c r="C20" i="53"/>
  <c r="I21" i="52"/>
  <c r="G21" i="52"/>
  <c r="E21" i="52"/>
  <c r="I20" i="52"/>
  <c r="G20" i="52"/>
  <c r="E20" i="52"/>
  <c r="C20" i="52"/>
  <c r="I21" i="51"/>
  <c r="G21" i="51"/>
  <c r="E21" i="51"/>
  <c r="I20" i="51"/>
  <c r="G20" i="51"/>
  <c r="E20" i="51"/>
  <c r="C20" i="51"/>
  <c r="I21" i="50"/>
  <c r="G21" i="50"/>
  <c r="E21" i="50"/>
  <c r="I20" i="50"/>
  <c r="G20" i="50"/>
  <c r="E20" i="50"/>
  <c r="C20" i="50"/>
  <c r="I21" i="49"/>
  <c r="G21" i="49"/>
  <c r="E21" i="49"/>
  <c r="I20" i="49"/>
  <c r="G20" i="49"/>
  <c r="E20" i="49"/>
  <c r="C20" i="49"/>
  <c r="I21" i="48"/>
  <c r="G21" i="48"/>
  <c r="E21" i="48"/>
  <c r="I20" i="48"/>
  <c r="G20" i="48"/>
  <c r="E20" i="48"/>
  <c r="C20" i="48"/>
  <c r="I21" i="47"/>
  <c r="G21" i="47"/>
  <c r="E21" i="47"/>
  <c r="I20" i="47"/>
  <c r="G20" i="47"/>
  <c r="E20" i="47"/>
  <c r="C20" i="47"/>
  <c r="I21" i="46"/>
  <c r="G21" i="46"/>
  <c r="E21" i="46"/>
  <c r="I20" i="46"/>
  <c r="G20" i="46"/>
  <c r="E20" i="46"/>
  <c r="C20" i="46"/>
  <c r="I21" i="45"/>
  <c r="G21" i="45"/>
  <c r="E21" i="45"/>
  <c r="I20" i="45"/>
  <c r="G20" i="45"/>
  <c r="E20" i="45"/>
  <c r="C20" i="45"/>
  <c r="I21" i="44"/>
  <c r="G21" i="44"/>
  <c r="E21" i="44"/>
  <c r="I20" i="44"/>
  <c r="G20" i="44"/>
  <c r="E20" i="44"/>
  <c r="C20" i="44"/>
  <c r="I21" i="43"/>
  <c r="G21" i="43"/>
  <c r="E21" i="43"/>
  <c r="I20" i="43"/>
  <c r="G20" i="43"/>
  <c r="E20" i="43"/>
  <c r="C20" i="43"/>
  <c r="I21" i="42"/>
  <c r="G21" i="42"/>
  <c r="E21" i="42"/>
  <c r="I20" i="42"/>
  <c r="G20" i="42"/>
  <c r="E20" i="42"/>
  <c r="C20" i="42"/>
  <c r="I21" i="41"/>
  <c r="G21" i="41"/>
  <c r="E21" i="41"/>
  <c r="I20" i="41"/>
  <c r="G20" i="41"/>
  <c r="E20" i="41"/>
  <c r="C20" i="41"/>
  <c r="I21" i="40"/>
  <c r="G21" i="40"/>
  <c r="E21" i="40"/>
  <c r="I20" i="40"/>
  <c r="G20" i="40"/>
  <c r="E20" i="40"/>
  <c r="C20" i="40"/>
  <c r="I21" i="39"/>
  <c r="G21" i="39"/>
  <c r="E21" i="39"/>
  <c r="I20" i="39"/>
  <c r="G20" i="39"/>
  <c r="E20" i="39"/>
  <c r="C20" i="39"/>
  <c r="I21" i="38"/>
  <c r="G21" i="38"/>
  <c r="E21" i="38"/>
  <c r="I20" i="38"/>
  <c r="G20" i="38"/>
  <c r="E20" i="38"/>
  <c r="C20" i="38"/>
  <c r="I21" i="37"/>
  <c r="G21" i="37"/>
  <c r="E21" i="37"/>
  <c r="I20" i="37"/>
  <c r="G20" i="37"/>
  <c r="E20" i="37"/>
  <c r="C20" i="37"/>
  <c r="I21" i="36"/>
  <c r="G21" i="36"/>
  <c r="E21" i="36"/>
  <c r="I20" i="36"/>
  <c r="G20" i="36"/>
  <c r="E20" i="36"/>
  <c r="C20" i="36"/>
  <c r="I21" i="35"/>
  <c r="G21" i="35"/>
  <c r="E21" i="35"/>
  <c r="I20" i="35"/>
  <c r="G20" i="35"/>
  <c r="E20" i="35"/>
  <c r="C20" i="35"/>
  <c r="I21" i="34"/>
  <c r="G21" i="34"/>
  <c r="E21" i="34"/>
  <c r="I20" i="34"/>
  <c r="G20" i="34"/>
  <c r="E20" i="34"/>
  <c r="C20" i="34"/>
  <c r="I21" i="33"/>
  <c r="G21" i="33"/>
  <c r="E21" i="33"/>
  <c r="I20" i="33"/>
  <c r="G20" i="33"/>
  <c r="E20" i="33"/>
  <c r="C20" i="33"/>
  <c r="I21" i="32"/>
  <c r="G21" i="32"/>
  <c r="E21" i="32"/>
  <c r="I20" i="32"/>
  <c r="G20" i="32"/>
  <c r="E20" i="32"/>
  <c r="C20" i="32"/>
  <c r="I21" i="31"/>
  <c r="G21" i="31"/>
  <c r="E21" i="31"/>
  <c r="I20" i="31"/>
  <c r="G20" i="31"/>
  <c r="E20" i="31"/>
  <c r="C20" i="31"/>
  <c r="I21" i="30"/>
  <c r="G21" i="30"/>
  <c r="E21" i="30"/>
  <c r="I20" i="30"/>
  <c r="G20" i="30"/>
  <c r="E20" i="30"/>
  <c r="C20" i="30"/>
  <c r="I21" i="29"/>
  <c r="G21" i="29"/>
  <c r="E21" i="29"/>
  <c r="I20" i="29"/>
  <c r="G20" i="29"/>
  <c r="E20" i="29"/>
  <c r="C20" i="29"/>
  <c r="I21" i="28"/>
  <c r="G21" i="28"/>
  <c r="E21" i="28"/>
  <c r="I20" i="28"/>
  <c r="G20" i="28"/>
  <c r="E20" i="28"/>
  <c r="C20" i="28"/>
  <c r="I21" i="27"/>
  <c r="G21" i="27"/>
  <c r="E21" i="27"/>
  <c r="I20" i="27"/>
  <c r="G20" i="27"/>
  <c r="E20" i="27"/>
  <c r="C20" i="27"/>
  <c r="I21" i="26"/>
  <c r="G21" i="26"/>
  <c r="E21" i="26"/>
  <c r="I20" i="26"/>
  <c r="G20" i="26"/>
  <c r="E20" i="26"/>
  <c r="C20" i="26"/>
  <c r="I21" i="25"/>
  <c r="G21" i="25"/>
  <c r="E21" i="25"/>
  <c r="I20" i="25"/>
  <c r="G20" i="25"/>
  <c r="E20" i="25"/>
  <c r="C20" i="25"/>
  <c r="I21" i="24"/>
  <c r="G21" i="24"/>
  <c r="E21" i="24"/>
  <c r="I20" i="24"/>
  <c r="G20" i="24"/>
  <c r="E20" i="24"/>
  <c r="C20" i="24"/>
  <c r="I21" i="23"/>
  <c r="G21" i="23"/>
  <c r="E21" i="23"/>
  <c r="I20" i="23"/>
  <c r="G20" i="23"/>
  <c r="E20" i="23"/>
  <c r="C20" i="23"/>
  <c r="I21" i="22"/>
  <c r="G21" i="22"/>
  <c r="E21" i="22"/>
  <c r="I20" i="22"/>
  <c r="G20" i="22"/>
  <c r="E20" i="22"/>
  <c r="C20" i="22"/>
  <c r="I21" i="21"/>
  <c r="G21" i="21"/>
  <c r="E21" i="21"/>
  <c r="I20" i="21"/>
  <c r="G20" i="21"/>
  <c r="E20" i="21"/>
  <c r="C20" i="21"/>
  <c r="I21" i="20"/>
  <c r="G21" i="20"/>
  <c r="E21" i="20"/>
  <c r="I20" i="20"/>
  <c r="G20" i="20"/>
  <c r="E20" i="20"/>
  <c r="C20" i="20"/>
  <c r="I21" i="19"/>
  <c r="G21" i="19"/>
  <c r="E21" i="19"/>
  <c r="I20" i="19"/>
  <c r="G20" i="19"/>
  <c r="E20" i="19"/>
  <c r="C20" i="19"/>
  <c r="I21" i="18"/>
  <c r="G21" i="18"/>
  <c r="E21" i="18"/>
  <c r="I20" i="18"/>
  <c r="G20" i="18"/>
  <c r="E20" i="18"/>
  <c r="C20" i="18"/>
  <c r="I21" i="17"/>
  <c r="G21" i="17"/>
  <c r="E21" i="17"/>
  <c r="I20" i="17"/>
  <c r="G20" i="17"/>
  <c r="E20" i="17"/>
  <c r="C20" i="17"/>
  <c r="I21" i="16"/>
  <c r="G21" i="16"/>
  <c r="E21" i="16"/>
  <c r="I20" i="16"/>
  <c r="G20" i="16"/>
  <c r="E20" i="16"/>
  <c r="C20" i="16"/>
  <c r="I21" i="15"/>
  <c r="G21" i="15"/>
  <c r="E21" i="15"/>
  <c r="I20" i="15"/>
  <c r="G20" i="15"/>
  <c r="E20" i="15"/>
  <c r="C20" i="15"/>
  <c r="I21" i="14"/>
  <c r="G21" i="14"/>
  <c r="E21" i="14"/>
  <c r="I20" i="14"/>
  <c r="G20" i="14"/>
  <c r="E20" i="14"/>
  <c r="C20" i="14"/>
  <c r="I21" i="13"/>
  <c r="G21" i="13"/>
  <c r="E21" i="13"/>
  <c r="I20" i="13"/>
  <c r="G20" i="13"/>
  <c r="E20" i="13"/>
  <c r="C20" i="13"/>
  <c r="I21" i="12"/>
  <c r="G21" i="12"/>
  <c r="E21" i="12"/>
  <c r="I20" i="12"/>
  <c r="G20" i="12"/>
  <c r="E20" i="12"/>
  <c r="C20" i="12"/>
  <c r="I21" i="11"/>
  <c r="G21" i="11"/>
  <c r="E21" i="11"/>
  <c r="I20" i="11"/>
  <c r="G20" i="11"/>
  <c r="E20" i="11"/>
  <c r="C20" i="11"/>
  <c r="I21" i="10"/>
  <c r="G21" i="10"/>
  <c r="E21" i="10"/>
  <c r="I20" i="10"/>
  <c r="G20" i="10"/>
  <c r="E20" i="10"/>
  <c r="C20" i="10"/>
  <c r="I21" i="9"/>
  <c r="G21" i="9"/>
  <c r="E21" i="9"/>
  <c r="I20" i="9"/>
  <c r="G20" i="9"/>
  <c r="E20" i="9"/>
  <c r="C20" i="9"/>
  <c r="I21" i="8"/>
  <c r="G21" i="8"/>
  <c r="E21" i="8"/>
  <c r="I20" i="8"/>
  <c r="G20" i="8"/>
  <c r="E20" i="8"/>
  <c r="C20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3000000}" name="ec2021 L" type="1" refreshedVersion="8" deleted="1" saveData="1">
    <dbPr connection="" command=""/>
    <extLst>
      <ext xmlns:x15="http://schemas.microsoft.com/office/spreadsheetml/2010/11/main" uri="{DE250136-89BD-433C-8126-D09CA5730AF9}">
        <x15:connection id="" excludeFromRefreshAll="1"/>
      </ext>
    </extLst>
  </connection>
  <connection id="2" xr16:uid="{00000000-0015-0000-FFFF-FFFF06000000}" name="ec2021 M" type="1" refreshedVersion="8" deleted="1" saveData="1">
    <dbPr connection="" command=""/>
    <extLst>
      <ext xmlns:x15="http://schemas.microsoft.com/office/spreadsheetml/2010/11/main" uri="{DE250136-89BD-433C-8126-D09CA5730AF9}">
        <x15:connection id="" excludeFromRefreshAll="1"/>
      </ext>
    </extLst>
  </connection>
  <connection id="3" xr16:uid="{00000000-0015-0000-FFFF-FFFF08000000}" name="ec2021 S" type="1" refreshedVersion="8" deleted="1" saveData="1">
    <dbPr connection="" command=""/>
    <extLst>
      <ext xmlns:x15="http://schemas.microsoft.com/office/spreadsheetml/2010/11/main" uri="{DE250136-89BD-433C-8126-D09CA5730AF9}">
        <x15:connection id="" excludeFromRefreshAll="1"/>
      </ext>
    </extLst>
  </connection>
</connections>
</file>

<file path=xl/sharedStrings.xml><?xml version="1.0" encoding="utf-8"?>
<sst xmlns="http://schemas.openxmlformats.org/spreadsheetml/2006/main" count="31302" uniqueCount="913">
  <si>
    <t>01000 北海道</t>
  </si>
  <si>
    <t>01100 札幌市</t>
  </si>
  <si>
    <t>01101 札幌市中央区</t>
  </si>
  <si>
    <t>01102 札幌市北区</t>
  </si>
  <si>
    <t>01103 札幌市東区</t>
  </si>
  <si>
    <t>01104 札幌市白石区</t>
  </si>
  <si>
    <t>01105 札幌市豊平区</t>
  </si>
  <si>
    <t>01106 札幌市南区</t>
  </si>
  <si>
    <t>01107 札幌市西区</t>
  </si>
  <si>
    <t>01108 札幌市厚別区</t>
  </si>
  <si>
    <t>01109 札幌市手稲区</t>
  </si>
  <si>
    <t>01110 札幌市清田区</t>
  </si>
  <si>
    <t>01202 函館市</t>
  </si>
  <si>
    <t>01203 小樽市</t>
  </si>
  <si>
    <t>01204 旭川市</t>
  </si>
  <si>
    <t>01205 室蘭市</t>
  </si>
  <si>
    <t>01206 釧路市</t>
  </si>
  <si>
    <t>01207 帯広市</t>
  </si>
  <si>
    <t>01208 北見市</t>
  </si>
  <si>
    <t>01209 夕張市</t>
  </si>
  <si>
    <t>01210 岩見沢市</t>
  </si>
  <si>
    <t>01211 網走市</t>
  </si>
  <si>
    <t>01212 留萌市</t>
  </si>
  <si>
    <t>01213 苫小牧市</t>
  </si>
  <si>
    <t>01214 稚内市</t>
  </si>
  <si>
    <t>01215 美唄市</t>
  </si>
  <si>
    <t>01216 芦別市</t>
  </si>
  <si>
    <t>01217 江別市</t>
  </si>
  <si>
    <t>01218 赤平市</t>
  </si>
  <si>
    <t>01219 紋別市</t>
  </si>
  <si>
    <t>01220 士別市</t>
  </si>
  <si>
    <t>01221 名寄市</t>
  </si>
  <si>
    <t>01222 三笠市</t>
  </si>
  <si>
    <t>01223 根室市</t>
  </si>
  <si>
    <t>01224 千歳市</t>
  </si>
  <si>
    <t>01225 滝川市</t>
  </si>
  <si>
    <t>01226 砂川市</t>
  </si>
  <si>
    <t>01227 歌志内市</t>
  </si>
  <si>
    <t>01228 深川市</t>
  </si>
  <si>
    <t>01229 富良野市</t>
  </si>
  <si>
    <t>01230 登別市</t>
  </si>
  <si>
    <t>01231 恵庭市</t>
  </si>
  <si>
    <t>01233 伊達市</t>
  </si>
  <si>
    <t>01234 北広島市</t>
  </si>
  <si>
    <t>01235 石狩市</t>
  </si>
  <si>
    <t>01236 北斗市</t>
  </si>
  <si>
    <t>01303 石狩郡当別町</t>
  </si>
  <si>
    <t>01304 石狩郡新篠津村</t>
  </si>
  <si>
    <t>01331 松前郡松前町</t>
  </si>
  <si>
    <t>01332 松前郡福島町</t>
  </si>
  <si>
    <t>01333 上磯郡知内町</t>
  </si>
  <si>
    <t>01334 上磯郡木古内町</t>
  </si>
  <si>
    <t>01337 亀田郡七飯町</t>
  </si>
  <si>
    <t>01343 茅部郡鹿部町</t>
  </si>
  <si>
    <t>01345 茅部郡森町</t>
  </si>
  <si>
    <t>01346 二海郡八雲町</t>
  </si>
  <si>
    <t>01347 山越郡長万部町</t>
  </si>
  <si>
    <t>01361 檜山郡江差町</t>
  </si>
  <si>
    <t>01362 檜山郡上ノ国町</t>
  </si>
  <si>
    <t>01363 檜山郡厚沢部町</t>
  </si>
  <si>
    <t>01364 爾志郡乙部町</t>
  </si>
  <si>
    <t>01367 奥尻郡奥尻町</t>
  </si>
  <si>
    <t>01370 瀬棚郡今金町</t>
  </si>
  <si>
    <t>01371 久遠郡せたな町</t>
  </si>
  <si>
    <t>01391 島牧郡島牧村</t>
  </si>
  <si>
    <t>01392 寿都郡寿都町</t>
  </si>
  <si>
    <t>01393 寿都郡黒松内町</t>
  </si>
  <si>
    <t>01394 磯谷郡蘭越町</t>
  </si>
  <si>
    <t>01395 虻田郡ニセコ町</t>
  </si>
  <si>
    <t>01396 虻田郡真狩村</t>
  </si>
  <si>
    <t>01397 虻田郡留寿都村</t>
  </si>
  <si>
    <t>01398 虻田郡喜茂別町</t>
  </si>
  <si>
    <t>01399 虻田郡京極町</t>
  </si>
  <si>
    <t>01400 虻田郡倶知安町</t>
  </si>
  <si>
    <t>01401 岩内郡共和町</t>
  </si>
  <si>
    <t>01402 岩内郡岩内町</t>
  </si>
  <si>
    <t>01403 古宇郡泊村</t>
  </si>
  <si>
    <t>01404 古宇郡神恵内村</t>
  </si>
  <si>
    <t>01405 積丹郡積丹町</t>
  </si>
  <si>
    <t>01406 古平郡古平町</t>
  </si>
  <si>
    <t>01407 余市郡仁木町</t>
  </si>
  <si>
    <t>01408 余市郡余市町</t>
  </si>
  <si>
    <t>01409 余市郡赤井川村</t>
  </si>
  <si>
    <t>01423 空知郡南幌町</t>
  </si>
  <si>
    <t>01424 空知郡奈井江町</t>
  </si>
  <si>
    <t>01425 空知郡上砂川町</t>
  </si>
  <si>
    <t>01427 夕張郡由仁町</t>
  </si>
  <si>
    <t>01428 夕張郡長沼町</t>
  </si>
  <si>
    <t>01429 夕張郡栗山町</t>
  </si>
  <si>
    <t>01430 樺戸郡月形町</t>
  </si>
  <si>
    <t>01431 樺戸郡浦臼町</t>
  </si>
  <si>
    <t>01432 樺戸郡新十津川町</t>
  </si>
  <si>
    <t>01433 雨竜郡妹背牛町</t>
  </si>
  <si>
    <t>01434 雨竜郡秩父別町</t>
  </si>
  <si>
    <t>01436 雨竜郡雨竜町</t>
  </si>
  <si>
    <t>01437 雨竜郡北竜町</t>
  </si>
  <si>
    <t>01438 雨竜郡沼田町</t>
  </si>
  <si>
    <t>01452 上川郡鷹栖町</t>
  </si>
  <si>
    <t>01453 上川郡東神楽町</t>
  </si>
  <si>
    <t>01454 上川郡当麻町</t>
  </si>
  <si>
    <t>01455 上川郡比布町</t>
  </si>
  <si>
    <t>01456 上川郡愛別町</t>
  </si>
  <si>
    <t>01457 上川郡上川町</t>
  </si>
  <si>
    <t>01458 上川郡東川町</t>
  </si>
  <si>
    <t>01459 上川郡美瑛町</t>
  </si>
  <si>
    <t>01460 空知郡上富良野町</t>
  </si>
  <si>
    <t>01461 空知郡中富良野町</t>
  </si>
  <si>
    <t>01462 空知郡南富良野町</t>
  </si>
  <si>
    <t>01463 勇払郡占冠村</t>
  </si>
  <si>
    <t>01464 上川郡和寒町</t>
  </si>
  <si>
    <t>01465 上川郡剣淵町</t>
  </si>
  <si>
    <t>01468 上川郡下川町</t>
  </si>
  <si>
    <t>01469 中川郡美深町</t>
  </si>
  <si>
    <t>01470 中川郡音威子府村</t>
  </si>
  <si>
    <t>01471 中川郡中川町</t>
  </si>
  <si>
    <t>01472 雨竜郡幌加内町</t>
  </si>
  <si>
    <t>01481 増毛郡増毛町</t>
  </si>
  <si>
    <t>01482 留萌郡小平町</t>
  </si>
  <si>
    <t>01483 苫前郡苫前町</t>
  </si>
  <si>
    <t>01484 苫前郡羽幌町</t>
  </si>
  <si>
    <t>01485 苫前郡初山別村</t>
  </si>
  <si>
    <t>01486 天塩郡遠別町</t>
  </si>
  <si>
    <t>01487 天塩郡天塩町</t>
  </si>
  <si>
    <t>01511 宗谷郡猿払村</t>
  </si>
  <si>
    <t>01512 枝幸郡浜頓別町</t>
  </si>
  <si>
    <t>01513 枝幸郡中頓別町</t>
  </si>
  <si>
    <t>01514 枝幸郡枝幸町</t>
  </si>
  <si>
    <t>01516 天塩郡豊富町</t>
  </si>
  <si>
    <t>01517 礼文郡礼文町</t>
  </si>
  <si>
    <t>01518 利尻郡利尻町</t>
  </si>
  <si>
    <t>01519 利尻郡利尻富士町</t>
  </si>
  <si>
    <t>01520 天塩郡幌延町</t>
  </si>
  <si>
    <t>01543 網走郡美幌町</t>
  </si>
  <si>
    <t>01544 網走郡津別町</t>
  </si>
  <si>
    <t>01545 斜里郡斜里町</t>
  </si>
  <si>
    <t>01546 斜里郡清里町</t>
  </si>
  <si>
    <t>01547 斜里郡小清水町</t>
  </si>
  <si>
    <t>01549 常呂郡訓子府町</t>
  </si>
  <si>
    <t>01550 常呂郡置戸町</t>
  </si>
  <si>
    <t>01552 常呂郡佐呂間町</t>
  </si>
  <si>
    <t>01555 紋別郡遠軽町</t>
  </si>
  <si>
    <t>01559 紋別郡湧別町</t>
  </si>
  <si>
    <t>01560 紋別郡滝上町</t>
  </si>
  <si>
    <t>01561 紋別郡興部町</t>
  </si>
  <si>
    <t>01562 紋別郡西興部村</t>
  </si>
  <si>
    <t>01563 紋別郡雄武町</t>
  </si>
  <si>
    <t>01564 網走郡大空町</t>
  </si>
  <si>
    <t>01571 虻田郡豊浦町</t>
  </si>
  <si>
    <t>01575 有珠郡壮瞥町</t>
  </si>
  <si>
    <t>01578 白老郡白老町</t>
  </si>
  <si>
    <t>01581 勇払郡厚真町</t>
  </si>
  <si>
    <t>01584 虻田郡洞爺湖町</t>
  </si>
  <si>
    <t>01585 勇払郡安平町</t>
  </si>
  <si>
    <t>01586 勇払郡むかわ町</t>
  </si>
  <si>
    <t>01601 沙流郡日高町</t>
  </si>
  <si>
    <t>01602 沙流郡平取町</t>
  </si>
  <si>
    <t>01604 新冠郡新冠町</t>
  </si>
  <si>
    <t>01607 浦河郡浦河町</t>
  </si>
  <si>
    <t>01608 様似郡様似町</t>
  </si>
  <si>
    <t>01609 幌泉郡えりも町</t>
  </si>
  <si>
    <t>01610 日高郡新ひだか町</t>
  </si>
  <si>
    <t>01631 河東郡音更町</t>
  </si>
  <si>
    <t>01632 河東郡士幌町</t>
  </si>
  <si>
    <t>01633 河東郡上士幌町</t>
  </si>
  <si>
    <t>01634 河東郡鹿追町</t>
  </si>
  <si>
    <t>01635 上川郡新得町</t>
  </si>
  <si>
    <t>01636 上川郡清水町</t>
  </si>
  <si>
    <t>01637 河西郡芽室町</t>
  </si>
  <si>
    <t>01638 河西郡中札内村</t>
  </si>
  <si>
    <t>01639 河西郡更別村</t>
  </si>
  <si>
    <t>01641 広尾郡大樹町</t>
  </si>
  <si>
    <t>01642 広尾郡広尾町</t>
  </si>
  <si>
    <t>01643 中川郡幕別町</t>
  </si>
  <si>
    <t>01644 中川郡池田町</t>
  </si>
  <si>
    <t>01645 中川郡豊頃町</t>
  </si>
  <si>
    <t>01646 中川郡本別町</t>
  </si>
  <si>
    <t>01647 足寄郡足寄町</t>
  </si>
  <si>
    <t>01648 足寄郡陸別町</t>
  </si>
  <si>
    <t>01649 十勝郡浦幌町</t>
  </si>
  <si>
    <t>01661 釧路郡釧路町</t>
  </si>
  <si>
    <t>01662 厚岸郡厚岸町</t>
  </si>
  <si>
    <t>01663 厚岸郡浜中町</t>
  </si>
  <si>
    <t>01664 川上郡標茶町</t>
  </si>
  <si>
    <t>01665 川上郡弟子屈町</t>
  </si>
  <si>
    <t>01667 阿寒郡鶴居村</t>
  </si>
  <si>
    <t>01668 白糠郡白糠町</t>
  </si>
  <si>
    <t>01691 野付郡別海町</t>
  </si>
  <si>
    <t>01692 標津郡中標津町</t>
  </si>
  <si>
    <t>01693 標津郡標津町</t>
  </si>
  <si>
    <t>01694 目梨郡羅臼町</t>
  </si>
  <si>
    <t>C 鉱業，採石業，砂利採取業</t>
  </si>
  <si>
    <t>D 建設業</t>
  </si>
  <si>
    <t>E 製造業</t>
  </si>
  <si>
    <t>F 電気・ガス・熱供給・水道業</t>
  </si>
  <si>
    <t>G 情報通信業</t>
  </si>
  <si>
    <t>H 運輸業，郵便業</t>
  </si>
  <si>
    <t>I 卸売業，小売業</t>
  </si>
  <si>
    <t>J 金融業，保険業</t>
  </si>
  <si>
    <t>K 不動産業，物品賃貸業</t>
  </si>
  <si>
    <t>L 学術研究，専門・技術サービス業</t>
  </si>
  <si>
    <t>M 宿泊業，飲食サービス業</t>
  </si>
  <si>
    <t>N 生活関連サービス業，娯楽業</t>
  </si>
  <si>
    <t>O 教育，学習支援業</t>
  </si>
  <si>
    <t>P 医療，福祉</t>
  </si>
  <si>
    <t>R サービス業（他に分類されないもの）</t>
  </si>
  <si>
    <t>自治体／産業大分類</t>
  </si>
  <si>
    <t>総数／事業所数</t>
  </si>
  <si>
    <t>総数／構成比</t>
  </si>
  <si>
    <t>個人／事業所数</t>
  </si>
  <si>
    <t>個人／構成比</t>
  </si>
  <si>
    <t>法人／事業所数</t>
  </si>
  <si>
    <t>法人／構成比</t>
  </si>
  <si>
    <t>法人以外の団体／事業所数</t>
  </si>
  <si>
    <t>06 総合工事業</t>
  </si>
  <si>
    <t>07 職別工事業（設備工事業を除く）</t>
  </si>
  <si>
    <t>08 設備工事業</t>
  </si>
  <si>
    <t>52 飲食料品卸売業</t>
  </si>
  <si>
    <t>53 建築材料，鉱物・金属材料等卸売業</t>
  </si>
  <si>
    <t>54 機械器具卸売業</t>
  </si>
  <si>
    <t>55 その他の卸売業</t>
  </si>
  <si>
    <t>57 織物・衣服・身の回り品小売業</t>
  </si>
  <si>
    <t>58 飲食料品小売業</t>
  </si>
  <si>
    <t>59 機械器具小売業</t>
  </si>
  <si>
    <t>60 その他の小売業</t>
  </si>
  <si>
    <t>69 不動産賃貸業・管理業</t>
  </si>
  <si>
    <t>72 専門サービス業（他に分類されないもの）</t>
  </si>
  <si>
    <t>74 技術サービス業（他に分類されないもの）</t>
  </si>
  <si>
    <t>76 飲食店</t>
  </si>
  <si>
    <t>78 洗濯・理容・美容・浴場業</t>
  </si>
  <si>
    <t>79 その他の生活関連サービス業</t>
  </si>
  <si>
    <t>82 その他の教育，学習支援業</t>
  </si>
  <si>
    <t>83 医療業</t>
  </si>
  <si>
    <t>85 社会保険・社会福祉・介護事業</t>
  </si>
  <si>
    <t>68 不動産取引業</t>
  </si>
  <si>
    <t>92 その他の事業サービス業</t>
  </si>
  <si>
    <t>39 情報サービス業</t>
  </si>
  <si>
    <t>61 無店舗小売業</t>
  </si>
  <si>
    <t>67 保険業（保険媒介代理業，保険サービス業を含む）</t>
  </si>
  <si>
    <t>43 道路旅客運送業</t>
  </si>
  <si>
    <t>77 持ち帰り・配達飲食サービス業</t>
  </si>
  <si>
    <t>89 自動車整備業</t>
  </si>
  <si>
    <t>09 食料品製造業</t>
  </si>
  <si>
    <t>90 機械等修理業（別掲を除く）</t>
  </si>
  <si>
    <t>75 宿泊業</t>
  </si>
  <si>
    <t>12 木材・木製品製造業（家具を除く）</t>
  </si>
  <si>
    <t>26 生産用機械器具製造業</t>
  </si>
  <si>
    <t>70 物品賃貸業</t>
  </si>
  <si>
    <t>80 娯楽業</t>
  </si>
  <si>
    <t>44 道路貨物運送業</t>
  </si>
  <si>
    <t>88 廃棄物処理業</t>
  </si>
  <si>
    <t>95 その他のサービス業</t>
  </si>
  <si>
    <t>11 繊維工業</t>
  </si>
  <si>
    <t>15 印刷・同関連業</t>
  </si>
  <si>
    <t>24 金属製品製造業</t>
  </si>
  <si>
    <t>21 窯業・土石製品製造業</t>
  </si>
  <si>
    <t>36 水道業</t>
  </si>
  <si>
    <t>71 学術・開発研究機関</t>
  </si>
  <si>
    <t>31 輸送用機械器具製造業</t>
  </si>
  <si>
    <t>13 家具・装備品製造業</t>
  </si>
  <si>
    <t>18 プラスチック製品製造業（別掲を除く）</t>
  </si>
  <si>
    <t>47 倉庫業</t>
  </si>
  <si>
    <t>48 運輸に附帯するサービス業</t>
  </si>
  <si>
    <t>10 飲料・たばこ・飼料製造業</t>
  </si>
  <si>
    <t>16 化学工業</t>
  </si>
  <si>
    <t>17 石油製品・石炭製品製造業</t>
  </si>
  <si>
    <t>33 電気業</t>
  </si>
  <si>
    <t>56 各種商品小売業</t>
  </si>
  <si>
    <t>25 はん用機械器具製造業</t>
  </si>
  <si>
    <t>32 その他の製造業</t>
  </si>
  <si>
    <t>34 ガス業</t>
  </si>
  <si>
    <t>91 職業紹介・労働者派遣業</t>
  </si>
  <si>
    <t>73 広告業</t>
  </si>
  <si>
    <t>22 鉄鋼業</t>
  </si>
  <si>
    <t>05 鉱業，採石業，砂利採取業</t>
  </si>
  <si>
    <t>45 水運業</t>
  </si>
  <si>
    <t>40 インターネット附随サービス業</t>
  </si>
  <si>
    <t>29 電気機械器具製造業</t>
  </si>
  <si>
    <t>41 映像・音声・文字情報制作業</t>
  </si>
  <si>
    <t>28 電子部品・デバイス・電子回路製造業</t>
  </si>
  <si>
    <t>20 なめし革・同製品・毛皮製造業</t>
  </si>
  <si>
    <t>42 鉄道業</t>
  </si>
  <si>
    <t>37 通信業</t>
  </si>
  <si>
    <t>49 郵便業（信書便事業を含む）</t>
  </si>
  <si>
    <t>38 放送業</t>
  </si>
  <si>
    <t>27 業務用機械器具製造業</t>
  </si>
  <si>
    <t>14 パルプ・紙・紙加工品製造業</t>
  </si>
  <si>
    <t>自治体</t>
  </si>
  <si>
    <t>産業中分類</t>
  </si>
  <si>
    <t>062 土木工事業（舗装工事業を除く）</t>
  </si>
  <si>
    <t>064 建築工事業（木造建築工事業を除く）</t>
  </si>
  <si>
    <t>081 電気工事業</t>
  </si>
  <si>
    <t>083 管工事業（さく井工事業を除く）</t>
  </si>
  <si>
    <t>589 その他の飲食料品小売業</t>
  </si>
  <si>
    <t>591 自動車小売業</t>
  </si>
  <si>
    <t>603 医薬品・化粧品小売業</t>
  </si>
  <si>
    <t>609 他に分類されない小売業</t>
  </si>
  <si>
    <t>691 不動産賃貸業（貸家業，貸間業を除く）</t>
  </si>
  <si>
    <t>692 貸家業，貸間業</t>
  </si>
  <si>
    <t>742 土木建築サービス業</t>
  </si>
  <si>
    <t>762 専門料理店</t>
  </si>
  <si>
    <t>765 酒場，ビヤホール</t>
  </si>
  <si>
    <t>766 バー，キャバレー，ナイトクラブ</t>
  </si>
  <si>
    <t>767 喫茶店</t>
  </si>
  <si>
    <t>782 理容業</t>
  </si>
  <si>
    <t>783 美容業</t>
  </si>
  <si>
    <t>824 教養・技能教授業</t>
  </si>
  <si>
    <t>835 療術業</t>
  </si>
  <si>
    <t>891 自動車整備業</t>
  </si>
  <si>
    <t>078 床・内装工事業</t>
  </si>
  <si>
    <t>559 他に分類されない卸売業</t>
  </si>
  <si>
    <t>682 不動産代理業・仲介業</t>
  </si>
  <si>
    <t>694 不動産管理業</t>
  </si>
  <si>
    <t>833 歯科診療所</t>
  </si>
  <si>
    <t>391 ソフトウェア業</t>
  </si>
  <si>
    <t>573 婦人・子供服小売業</t>
  </si>
  <si>
    <t>721 法律事務所，特許事務所</t>
  </si>
  <si>
    <t>724 公認会計士事務所，税理士事務所</t>
  </si>
  <si>
    <t>789 その他の洗濯・理容・美容・浴場業</t>
  </si>
  <si>
    <t>929 他に分類されない事業サービス業</t>
  </si>
  <si>
    <t>066 建築リフォーム工事業</t>
  </si>
  <si>
    <t>079 その他の職別工事業</t>
  </si>
  <si>
    <t>541 産業機械器具卸売業</t>
  </si>
  <si>
    <t>674 保険媒介代理業</t>
  </si>
  <si>
    <t>781 洗濯業</t>
  </si>
  <si>
    <t>521 農畜産物・水産物卸売業</t>
  </si>
  <si>
    <t>772 配達飲食サービス業</t>
  </si>
  <si>
    <t>432 一般乗用旅客自動車運送業</t>
  </si>
  <si>
    <t>823 学習塾</t>
  </si>
  <si>
    <t>065 木造建築工事業</t>
  </si>
  <si>
    <t>586 菓子・パン小売業</t>
  </si>
  <si>
    <t>605 燃料小売業</t>
  </si>
  <si>
    <t>854 老人福祉・介護事業</t>
  </si>
  <si>
    <t>585 酒小売業</t>
  </si>
  <si>
    <t>077 塗装工事業</t>
  </si>
  <si>
    <t>761 食堂，レストラン（専門料理店を除く）</t>
  </si>
  <si>
    <t>593 機械器具小売業（自動車，自転車を除く）</t>
  </si>
  <si>
    <t>582 野菜・果実小売業</t>
  </si>
  <si>
    <t>606 書籍・文房具小売業</t>
  </si>
  <si>
    <t>608 写真機・時計・眼鏡小売業</t>
  </si>
  <si>
    <t>751 旅館，ホテル</t>
  </si>
  <si>
    <t>821 社会教育</t>
  </si>
  <si>
    <t>853 児童福祉事業</t>
  </si>
  <si>
    <t>092 水産食料品製造業</t>
  </si>
  <si>
    <t>076 板金・金物工事業</t>
  </si>
  <si>
    <t>611 通信販売・訪問販売小売業</t>
  </si>
  <si>
    <t>951 集会場</t>
  </si>
  <si>
    <t>531 建築材料卸売業</t>
  </si>
  <si>
    <t>855 障害者福祉事業</t>
  </si>
  <si>
    <t>922 建物サービス業</t>
  </si>
  <si>
    <t>764 すし店</t>
  </si>
  <si>
    <t>441 一般貨物自動車運送業</t>
  </si>
  <si>
    <t>099 その他の食料品製造業</t>
  </si>
  <si>
    <t>799 他に分類されない生活関連サービス業</t>
  </si>
  <si>
    <t>071 大工工事業</t>
  </si>
  <si>
    <t>581 各種食料品小売業</t>
  </si>
  <si>
    <t>619 その他の無店舗小売業</t>
  </si>
  <si>
    <t>784 一般公衆浴場業</t>
  </si>
  <si>
    <t>313 船舶製造・修理業，舶用機関製造業</t>
  </si>
  <si>
    <t>522 食料・飲料卸売業</t>
  </si>
  <si>
    <t>131 家具製造業</t>
  </si>
  <si>
    <t>184 発泡・強化プラスチック製品製造業</t>
  </si>
  <si>
    <t>360 管理，補助的経済活動を行う事業所</t>
  </si>
  <si>
    <t>361 上水道業</t>
  </si>
  <si>
    <t>471 倉庫業（冷蔵倉庫業を除く）</t>
  </si>
  <si>
    <t>489 その他の運輸に附帯するサービス業</t>
  </si>
  <si>
    <t>574 靴・履物小売業</t>
  </si>
  <si>
    <t>583 食肉小売業</t>
  </si>
  <si>
    <t>693 駐車場業</t>
  </si>
  <si>
    <t>804 スポーツ施設提供業</t>
  </si>
  <si>
    <t>859 その他の社会保険・社会福祉・介護事業</t>
  </si>
  <si>
    <t>881 一般廃棄物処理業</t>
  </si>
  <si>
    <t>901 機械修理業（電気機械器具を除く）</t>
  </si>
  <si>
    <t>604 農耕用品小売業</t>
  </si>
  <si>
    <t>607 スポーツ用品・がん具・娯楽用品・楽器小売業</t>
  </si>
  <si>
    <t>244 建設用・建築用金属製品製造業（製缶板金業を含む）</t>
  </si>
  <si>
    <t>072 とび・土工・コンクリート工事業</t>
  </si>
  <si>
    <t>093 野菜缶詰・果実缶詰・農産保存食料品製造業</t>
  </si>
  <si>
    <t>094 調味料製造業</t>
  </si>
  <si>
    <t>106 飼料・有機質肥料製造業</t>
  </si>
  <si>
    <t>534 鉄鋼製品卸売業</t>
  </si>
  <si>
    <t>584 鮮魚小売業</t>
  </si>
  <si>
    <t>133 建具製造業</t>
  </si>
  <si>
    <t>579 その他の織物・衣服・身の回り品小売業</t>
  </si>
  <si>
    <t>723 行政書士事務所</t>
  </si>
  <si>
    <t>121 製材業，木製品製造業</t>
  </si>
  <si>
    <t>212 セメント・同製品製造業</t>
  </si>
  <si>
    <t>259 その他のはん用機械・同部分品製造業</t>
  </si>
  <si>
    <t>331 電気業</t>
  </si>
  <si>
    <t>552 医薬品・化粧品等卸売業</t>
  </si>
  <si>
    <t>592 自転車小売業</t>
  </si>
  <si>
    <t>769 その他の飲食店</t>
  </si>
  <si>
    <t>796 冠婚葬祭業</t>
  </si>
  <si>
    <t>909 その他の修理業</t>
  </si>
  <si>
    <t>075 左官工事業</t>
  </si>
  <si>
    <t>097 パン・菓子製造業</t>
  </si>
  <si>
    <t>102 酒類製造業</t>
  </si>
  <si>
    <t>704 自動車賃貸業</t>
  </si>
  <si>
    <t>882 産業廃棄物処理業</t>
  </si>
  <si>
    <t>063 舗装工事業</t>
  </si>
  <si>
    <t>151 印刷業</t>
  </si>
  <si>
    <t>571 呉服・服地・寝具小売業</t>
  </si>
  <si>
    <t>601 家具・建具・畳小売業</t>
  </si>
  <si>
    <t>602 じゅう器小売業</t>
  </si>
  <si>
    <t>711 自然科学研究所</t>
  </si>
  <si>
    <t>731 広告業</t>
  </si>
  <si>
    <t>759 その他の宿泊業</t>
  </si>
  <si>
    <t>225 鉄素形材製造業</t>
  </si>
  <si>
    <t>363 下水道業</t>
  </si>
  <si>
    <t>482 貨物運送取扱業（集配利用運送業を除く）</t>
  </si>
  <si>
    <t>746 写真業</t>
  </si>
  <si>
    <t>795 火葬・墓地管理業</t>
  </si>
  <si>
    <t>809 その他の娯楽業</t>
  </si>
  <si>
    <t>852 福祉事務所</t>
  </si>
  <si>
    <t>091 畜産食料品製造業</t>
  </si>
  <si>
    <t>325 がん具・運動用具製造業</t>
  </si>
  <si>
    <t>702 産業用機械器具賃貸業</t>
  </si>
  <si>
    <t>722 公証人役場，司法書士事務所，土地家屋調査士事務所</t>
  </si>
  <si>
    <t>727 著述・芸術家業</t>
  </si>
  <si>
    <t>749 その他の技術サービス業</t>
  </si>
  <si>
    <t>763 そば・うどん店</t>
  </si>
  <si>
    <t>912 労働者派遣業</t>
  </si>
  <si>
    <t>542 自動車卸売業</t>
  </si>
  <si>
    <t>752 簡易宿所</t>
  </si>
  <si>
    <t>771 持ち帰り飲食サービス業</t>
  </si>
  <si>
    <t>116 外衣・シャツ製造業（和式を除く）</t>
  </si>
  <si>
    <t>261 農業用機械製造業（農業用器具を除く）</t>
  </si>
  <si>
    <t>681 建物売買業，土地売買業</t>
  </si>
  <si>
    <t>054 採石業，砂・砂利・玉石採取業</t>
  </si>
  <si>
    <t>572 男子服小売業</t>
  </si>
  <si>
    <t>728 経営コンサルタント業，純粋持株会社</t>
  </si>
  <si>
    <t>729 その他の専門サービス業</t>
  </si>
  <si>
    <t>095 糖類製造業</t>
  </si>
  <si>
    <t>218 骨材・石工品等製造業</t>
  </si>
  <si>
    <t>253 一般産業用機械・装置製造業</t>
  </si>
  <si>
    <t>174 舗装材料製造業</t>
  </si>
  <si>
    <t>328 畳等生活雑貨製品製造業</t>
  </si>
  <si>
    <t>082 電気通信・信号装置工事業</t>
  </si>
  <si>
    <t>084 機械器具設置工事業</t>
  </si>
  <si>
    <t>326 ペン・鉛筆・絵画用品・その他の事務用品製造業</t>
  </si>
  <si>
    <t>330 管理，補助的経済活動を行う事業所</t>
  </si>
  <si>
    <t>543 電気機械器具卸売業</t>
  </si>
  <si>
    <t>549 その他の機械器具卸売業</t>
  </si>
  <si>
    <t>061 一般土木建築工事業</t>
  </si>
  <si>
    <t>101 清涼飲料製造業</t>
  </si>
  <si>
    <t>163 有機化学工業製品製造業</t>
  </si>
  <si>
    <t>401 インターネット附随サービス業</t>
  </si>
  <si>
    <t>536 再生資源卸売業</t>
  </si>
  <si>
    <t>850 管理，補助的経済活動を行う事業所</t>
  </si>
  <si>
    <t>753 下宿業</t>
  </si>
  <si>
    <t>612 自動販売機による小売業</t>
  </si>
  <si>
    <t>073 鉄骨・鉄筋工事業</t>
  </si>
  <si>
    <t>329 他に分類されない製造業</t>
  </si>
  <si>
    <t>533 石油・鉱物卸売業</t>
  </si>
  <si>
    <t>089 その他の設備工事業</t>
  </si>
  <si>
    <t>179 その他の石油製品・石炭製品製造業</t>
  </si>
  <si>
    <t>299 その他の電気機械器具製造業</t>
  </si>
  <si>
    <t>959 他に分類されないサービス業</t>
  </si>
  <si>
    <t>242 洋食器・刃物・手道具・金物類製造業</t>
  </si>
  <si>
    <t>569 その他の各種商品小売業（従業者が常時50人未満のもの）</t>
  </si>
  <si>
    <t>805 公園，遊園地</t>
  </si>
  <si>
    <t>911 職業紹介業</t>
  </si>
  <si>
    <t>129 その他の木製品製造業（竹，とうを含む）</t>
  </si>
  <si>
    <t>291 発電用・送電用・配電用電気機械器具製造業</t>
  </si>
  <si>
    <t>431 一般乗合旅客自動車運送業</t>
  </si>
  <si>
    <t>214 陶磁器・同関連製品製造業</t>
  </si>
  <si>
    <t>229 その他の鉄鋼業</t>
  </si>
  <si>
    <t>433 一般貸切旅客自動車運送業</t>
  </si>
  <si>
    <t>590 管理，補助的経済活動を行う事業所</t>
  </si>
  <si>
    <t>793 衣服裁縫修理業</t>
  </si>
  <si>
    <t>836 医療に附帯するサービス業</t>
  </si>
  <si>
    <t>265 基礎素材産業用機械製造業</t>
  </si>
  <si>
    <t>551 家具・建具・じゅう器等卸売業</t>
  </si>
  <si>
    <t>414 出版業</t>
  </si>
  <si>
    <t>802 興行場（別掲を除く），興行団</t>
  </si>
  <si>
    <t>319 その他の輸送用機械器具製造業</t>
  </si>
  <si>
    <t>902 電気機械器具修理業</t>
  </si>
  <si>
    <t>701 各種物品賃貸業</t>
  </si>
  <si>
    <t>411 映像情報制作・配給業</t>
  </si>
  <si>
    <t>443 貨物軽自動車運送業</t>
  </si>
  <si>
    <t>553 紙・紙製品卸売業</t>
  </si>
  <si>
    <t>122 造作材・合板・建築用組立材料製造業</t>
  </si>
  <si>
    <t>324 楽器製造業</t>
  </si>
  <si>
    <t>741 獣医業</t>
  </si>
  <si>
    <t>139 その他の家具・装備品製造業</t>
  </si>
  <si>
    <t>055 窯業原料用鉱物鉱業（耐火物・陶磁器・ガラス・セメント原料用に限る）</t>
  </si>
  <si>
    <t>207 袋物製造業</t>
  </si>
  <si>
    <t>219 その他の窯業・土石製品製造業</t>
  </si>
  <si>
    <t>453 内陸水運業</t>
  </si>
  <si>
    <t>673 共済事業，少額短期保険業</t>
  </si>
  <si>
    <t>169 その他の化学工業</t>
  </si>
  <si>
    <t>421 鉄道業</t>
  </si>
  <si>
    <t>123 木製容器製造業（竹，とうを含む）</t>
  </si>
  <si>
    <t>806 遊戯場</t>
  </si>
  <si>
    <t>923 警備業</t>
  </si>
  <si>
    <t>096 精穀・製粉業</t>
  </si>
  <si>
    <t>726 デザイン業</t>
  </si>
  <si>
    <t>439 その他の道路旅客運送業</t>
  </si>
  <si>
    <t>889 その他の廃棄物処理業</t>
  </si>
  <si>
    <t>416 映像・音声・文字情報制作に附帯するサービス業</t>
  </si>
  <si>
    <t>535 非鉄金属卸売業</t>
  </si>
  <si>
    <t>671 生命保険業</t>
  </si>
  <si>
    <t>059 その他の鉱業</t>
  </si>
  <si>
    <t>161 化学肥料製造業</t>
  </si>
  <si>
    <t>373 電気通信に附帯するサービス業</t>
  </si>
  <si>
    <t>472 冷蔵倉庫業</t>
  </si>
  <si>
    <t>791 旅行業</t>
  </si>
  <si>
    <t>745 計量証明業</t>
  </si>
  <si>
    <t>165 医薬品製造業</t>
  </si>
  <si>
    <t>413 新聞業</t>
  </si>
  <si>
    <t>383 有線放送業</t>
  </si>
  <si>
    <t>103 茶・コーヒー製造業（清涼飲料を除く）</t>
  </si>
  <si>
    <t>119 その他の繊維製品製造業</t>
  </si>
  <si>
    <t>210 管理，補助的経済活動を行う事業所</t>
  </si>
  <si>
    <t>705 スポーツ・娯楽用品賃貸業</t>
  </si>
  <si>
    <t>803 競輪・競馬等の競走場，競技団</t>
  </si>
  <si>
    <t>725 社会保険労務士事務所</t>
  </si>
  <si>
    <t>520 管理，補助的経済活動を行う事業所</t>
  </si>
  <si>
    <t>098 動植物油脂製造業</t>
  </si>
  <si>
    <t>182 プラスチックフィルム・シート・床材・合成皮革製造業</t>
  </si>
  <si>
    <t>829 他に分類されない教育，学習支援業</t>
  </si>
  <si>
    <t>189 その他のプラスチック製品製造業</t>
  </si>
  <si>
    <t>744 商品・非破壊検査業</t>
  </si>
  <si>
    <t>149 その他のパルプ・紙・紙加工品製造業</t>
  </si>
  <si>
    <t>920 管理，補助的経済活動を行う事業所</t>
  </si>
  <si>
    <t>415 広告制作業</t>
  </si>
  <si>
    <t>104 製氷業</t>
  </si>
  <si>
    <t>産業小分類</t>
  </si>
  <si>
    <t>01000　北海道</t>
  </si>
  <si>
    <t>産業大分類</t>
  </si>
  <si>
    <t>合計</t>
  </si>
  <si>
    <t>産業中分類上位２０</t>
    <phoneticPr fontId="1"/>
  </si>
  <si>
    <t>産業小分類上位２０</t>
    <phoneticPr fontId="1"/>
  </si>
  <si>
    <t>※当資料は『令和３年経済センサス-活動調査』の調査結果データより作成したものです。</t>
  </si>
  <si>
    <t>01100　札幌市</t>
  </si>
  <si>
    <t>01101　札幌市中央区</t>
  </si>
  <si>
    <t>01102　札幌市北区</t>
  </si>
  <si>
    <t>01103　札幌市東区</t>
  </si>
  <si>
    <t>01104　札幌市白石区</t>
  </si>
  <si>
    <t>01105　札幌市豊平区</t>
  </si>
  <si>
    <t>01106　札幌市南区</t>
  </si>
  <si>
    <t>01107　札幌市西区</t>
  </si>
  <si>
    <t>01108　札幌市厚別区</t>
  </si>
  <si>
    <t>01109　札幌市手稲区</t>
  </si>
  <si>
    <t>01110　札幌市清田区</t>
  </si>
  <si>
    <t>01202　函館市</t>
  </si>
  <si>
    <t>01203　小樽市</t>
  </si>
  <si>
    <t>01204　旭川市</t>
  </si>
  <si>
    <t>01205　室蘭市</t>
  </si>
  <si>
    <t>01206　釧路市</t>
  </si>
  <si>
    <t>01207　帯広市</t>
  </si>
  <si>
    <t>01208　北見市</t>
  </si>
  <si>
    <t>01209　夕張市</t>
  </si>
  <si>
    <t>01210　岩見沢市</t>
  </si>
  <si>
    <t>01211　網走市</t>
  </si>
  <si>
    <t>01212　留萌市</t>
  </si>
  <si>
    <t>01213　苫小牧市</t>
  </si>
  <si>
    <t>01214　稚内市</t>
  </si>
  <si>
    <t>01215　美唄市</t>
  </si>
  <si>
    <t>01216　芦別市</t>
  </si>
  <si>
    <t>01217　江別市</t>
  </si>
  <si>
    <t>01218　赤平市</t>
  </si>
  <si>
    <t>01219　紋別市</t>
  </si>
  <si>
    <t>01220　士別市</t>
  </si>
  <si>
    <t>01221　名寄市</t>
  </si>
  <si>
    <t>01222　三笠市</t>
  </si>
  <si>
    <t>01223　根室市</t>
  </si>
  <si>
    <t>01224　千歳市</t>
  </si>
  <si>
    <t>01225　滝川市</t>
  </si>
  <si>
    <t>01226　砂川市</t>
  </si>
  <si>
    <t>01227　歌志内市</t>
  </si>
  <si>
    <t>01228　深川市</t>
  </si>
  <si>
    <t>01229　富良野市</t>
  </si>
  <si>
    <t>01230　登別市</t>
  </si>
  <si>
    <t>01231　恵庭市</t>
  </si>
  <si>
    <t>01233　伊達市</t>
  </si>
  <si>
    <t>01234　北広島市</t>
  </si>
  <si>
    <t>01235　石狩市</t>
  </si>
  <si>
    <t>01236　北斗市</t>
  </si>
  <si>
    <t>01303　石狩郡当別町</t>
  </si>
  <si>
    <t>01304　石狩郡新篠津村</t>
  </si>
  <si>
    <t>01331　松前郡松前町</t>
  </si>
  <si>
    <t>01332　松前郡福島町</t>
  </si>
  <si>
    <t>01333　上磯郡知内町</t>
  </si>
  <si>
    <t>01334　上磯郡木古内町</t>
  </si>
  <si>
    <t>01337　亀田郡七飯町</t>
  </si>
  <si>
    <t>01343　茅部郡鹿部町</t>
  </si>
  <si>
    <t>01345　茅部郡森町</t>
  </si>
  <si>
    <t>01346　二海郡八雲町</t>
  </si>
  <si>
    <t>01347　山越郡長万部町</t>
  </si>
  <si>
    <t>01361　檜山郡江差町</t>
  </si>
  <si>
    <t>01362　檜山郡上ノ国町</t>
  </si>
  <si>
    <t>01363　檜山郡厚沢部町</t>
  </si>
  <si>
    <t>01364　爾志郡乙部町</t>
  </si>
  <si>
    <t>01367　奥尻郡奥尻町</t>
  </si>
  <si>
    <t>01370　瀬棚郡今金町</t>
  </si>
  <si>
    <t>01371　久遠郡せたな町</t>
  </si>
  <si>
    <t>01391　島牧郡島牧村</t>
  </si>
  <si>
    <t>01392　寿都郡寿都町</t>
  </si>
  <si>
    <t>01393　寿都郡黒松内町</t>
  </si>
  <si>
    <t>01394　磯谷郡蘭越町</t>
  </si>
  <si>
    <t>01395　虻田郡ニセコ町</t>
  </si>
  <si>
    <t>01396　虻田郡真狩村</t>
  </si>
  <si>
    <t>01397　虻田郡留寿都村</t>
  </si>
  <si>
    <t>01398　虻田郡喜茂別町</t>
  </si>
  <si>
    <t>01399　虻田郡京極町</t>
  </si>
  <si>
    <t>01400　虻田郡倶知安町</t>
  </si>
  <si>
    <t>01401　岩内郡共和町</t>
  </si>
  <si>
    <t>01402　岩内郡岩内町</t>
  </si>
  <si>
    <t>01403　古宇郡泊村</t>
  </si>
  <si>
    <t>01404　古宇郡神恵内村</t>
  </si>
  <si>
    <t>01405　積丹郡積丹町</t>
  </si>
  <si>
    <t>01406　古平郡古平町</t>
  </si>
  <si>
    <t>01407　余市郡仁木町</t>
  </si>
  <si>
    <t>01408　余市郡余市町</t>
  </si>
  <si>
    <t>01409　余市郡赤井川村</t>
  </si>
  <si>
    <t>01423　空知郡南幌町</t>
  </si>
  <si>
    <t>01424　空知郡奈井江町</t>
  </si>
  <si>
    <t>01425　空知郡上砂川町</t>
  </si>
  <si>
    <t>01427　夕張郡由仁町</t>
  </si>
  <si>
    <t>01428　夕張郡長沼町</t>
  </si>
  <si>
    <t>01429　夕張郡栗山町</t>
  </si>
  <si>
    <t>01430　樺戸郡月形町</t>
  </si>
  <si>
    <t>01431　樺戸郡浦臼町</t>
  </si>
  <si>
    <t>01432　樺戸郡新十津川町</t>
  </si>
  <si>
    <t>01433　雨竜郡妹背牛町</t>
  </si>
  <si>
    <t>01434　雨竜郡秩父別町</t>
  </si>
  <si>
    <t>01436　雨竜郡雨竜町</t>
  </si>
  <si>
    <t>01437　雨竜郡北竜町</t>
  </si>
  <si>
    <t>01438　雨竜郡沼田町</t>
  </si>
  <si>
    <t>01452　上川郡鷹栖町</t>
  </si>
  <si>
    <t>01453　上川郡東神楽町</t>
  </si>
  <si>
    <t>01454　上川郡当麻町</t>
  </si>
  <si>
    <t>01455　上川郡比布町</t>
  </si>
  <si>
    <t>01456　上川郡愛別町</t>
  </si>
  <si>
    <t>01457　上川郡上川町</t>
  </si>
  <si>
    <t>01458　上川郡東川町</t>
  </si>
  <si>
    <t>01459　上川郡美瑛町</t>
  </si>
  <si>
    <t>01460　空知郡上富良野町</t>
  </si>
  <si>
    <t>01461　空知郡中富良野町</t>
  </si>
  <si>
    <t>01462　空知郡南富良野町</t>
  </si>
  <si>
    <t>01463　勇払郡占冠村</t>
  </si>
  <si>
    <t>01464　上川郡和寒町</t>
  </si>
  <si>
    <t>01465　上川郡剣淵町</t>
  </si>
  <si>
    <t>01468　上川郡下川町</t>
  </si>
  <si>
    <t>01469　中川郡美深町</t>
  </si>
  <si>
    <t>01470　中川郡音威子府村</t>
  </si>
  <si>
    <t>01471　中川郡中川町</t>
  </si>
  <si>
    <t>01472　雨竜郡幌加内町</t>
  </si>
  <si>
    <t>01481　増毛郡増毛町</t>
  </si>
  <si>
    <t>01482　留萌郡小平町</t>
  </si>
  <si>
    <t>01483　苫前郡苫前町</t>
  </si>
  <si>
    <t>01484　苫前郡羽幌町</t>
  </si>
  <si>
    <t>01485　苫前郡初山別村</t>
  </si>
  <si>
    <t>01486　天塩郡遠別町</t>
  </si>
  <si>
    <t>01487　天塩郡天塩町</t>
  </si>
  <si>
    <t>01511　宗谷郡猿払村</t>
  </si>
  <si>
    <t>01512　枝幸郡浜頓別町</t>
  </si>
  <si>
    <t>01513　枝幸郡中頓別町</t>
  </si>
  <si>
    <t>01514　枝幸郡枝幸町</t>
  </si>
  <si>
    <t>01516　天塩郡豊富町</t>
  </si>
  <si>
    <t>01517　礼文郡礼文町</t>
  </si>
  <si>
    <t>01518　利尻郡利尻町</t>
  </si>
  <si>
    <t>01519　利尻郡利尻富士町</t>
  </si>
  <si>
    <t>01520　天塩郡幌延町</t>
  </si>
  <si>
    <t>01543　網走郡美幌町</t>
  </si>
  <si>
    <t>01544　網走郡津別町</t>
  </si>
  <si>
    <t>01545　斜里郡斜里町</t>
  </si>
  <si>
    <t>01546　斜里郡清里町</t>
  </si>
  <si>
    <t>01547　斜里郡小清水町</t>
  </si>
  <si>
    <t>01549　常呂郡訓子府町</t>
  </si>
  <si>
    <t>01550　常呂郡置戸町</t>
  </si>
  <si>
    <t>01552　常呂郡佐呂間町</t>
  </si>
  <si>
    <t>01555　紋別郡遠軽町</t>
  </si>
  <si>
    <t>01559　紋別郡湧別町</t>
  </si>
  <si>
    <t>01560　紋別郡滝上町</t>
  </si>
  <si>
    <t>01561　紋別郡興部町</t>
  </si>
  <si>
    <t>01562　紋別郡西興部村</t>
  </si>
  <si>
    <t>01563　紋別郡雄武町</t>
  </si>
  <si>
    <t>01564　網走郡大空町</t>
  </si>
  <si>
    <t>01571　虻田郡豊浦町</t>
  </si>
  <si>
    <t>01575　有珠郡壮瞥町</t>
  </si>
  <si>
    <t>01578　白老郡白老町</t>
  </si>
  <si>
    <t>01581　勇払郡厚真町</t>
  </si>
  <si>
    <t>01584　虻田郡洞爺湖町</t>
  </si>
  <si>
    <t>01585　勇払郡安平町</t>
  </si>
  <si>
    <t>01586　勇払郡むかわ町</t>
  </si>
  <si>
    <t>01601　沙流郡日高町</t>
  </si>
  <si>
    <t>01602　沙流郡平取町</t>
  </si>
  <si>
    <t>01604　新冠郡新冠町</t>
  </si>
  <si>
    <t>01607　浦河郡浦河町</t>
  </si>
  <si>
    <t>01608　様似郡様似町</t>
  </si>
  <si>
    <t>01609　幌泉郡えりも町</t>
  </si>
  <si>
    <t>01610　日高郡新ひだか町</t>
  </si>
  <si>
    <t>01631　河東郡音更町</t>
  </si>
  <si>
    <t>01632　河東郡士幌町</t>
  </si>
  <si>
    <t>01633　河東郡上士幌町</t>
  </si>
  <si>
    <t>01634　河東郡鹿追町</t>
  </si>
  <si>
    <t>01635　上川郡新得町</t>
  </si>
  <si>
    <t>01636　上川郡清水町</t>
  </si>
  <si>
    <t>01637　河西郡芽室町</t>
  </si>
  <si>
    <t>01638　河西郡中札内村</t>
  </si>
  <si>
    <t>01639　河西郡更別村</t>
  </si>
  <si>
    <t>01641　広尾郡大樹町</t>
  </si>
  <si>
    <t>01642　広尾郡広尾町</t>
  </si>
  <si>
    <t>01643　中川郡幕別町</t>
  </si>
  <si>
    <t>01644　中川郡池田町</t>
  </si>
  <si>
    <t>01645　中川郡豊頃町</t>
  </si>
  <si>
    <t>01646　中川郡本別町</t>
  </si>
  <si>
    <t>01647　足寄郡足寄町</t>
  </si>
  <si>
    <t>01648　足寄郡陸別町</t>
  </si>
  <si>
    <t>01649　十勝郡浦幌町</t>
  </si>
  <si>
    <t>01661　釧路郡釧路町</t>
  </si>
  <si>
    <t>01662　厚岸郡厚岸町</t>
  </si>
  <si>
    <t>01663　厚岸郡浜中町</t>
  </si>
  <si>
    <t>01664　川上郡標茶町</t>
  </si>
  <si>
    <t>01665　川上郡弟子屈町</t>
  </si>
  <si>
    <t>01667　阿寒郡鶴居村</t>
  </si>
  <si>
    <t>01668　白糠郡白糠町</t>
  </si>
  <si>
    <t>01691　野付郡別海町</t>
  </si>
  <si>
    <t>01692　標津郡中標津町</t>
  </si>
  <si>
    <t>01693　標津郡標津町</t>
  </si>
  <si>
    <t>01694　目梨郡羅臼町</t>
  </si>
  <si>
    <t>北海道</t>
  </si>
  <si>
    <t>札幌市</t>
  </si>
  <si>
    <t>札幌市中央区</t>
  </si>
  <si>
    <t>札幌市北区</t>
  </si>
  <si>
    <t>札幌市東区</t>
  </si>
  <si>
    <t>札幌市白石区</t>
  </si>
  <si>
    <t>札幌市豊平区</t>
  </si>
  <si>
    <t>札幌市南区</t>
  </si>
  <si>
    <t>札幌市西区</t>
  </si>
  <si>
    <t>札幌市厚別区</t>
  </si>
  <si>
    <t>札幌市手稲区</t>
  </si>
  <si>
    <t>札幌市清田区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</si>
  <si>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</si>
  <si>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</si>
  <si>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</si>
  <si>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</si>
  <si>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</si>
  <si>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</si>
  <si>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</si>
  <si>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</si>
  <si>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</si>
  <si>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</si>
  <si>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</si>
  <si>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</si>
  <si>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</si>
  <si>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</si>
  <si>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</si>
  <si>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</si>
  <si>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</si>
  <si>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</si>
  <si>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</si>
  <si>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</si>
  <si>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</si>
  <si>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</si>
  <si>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</si>
  <si>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</si>
  <si>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</si>
  <si>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</si>
  <si>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</si>
  <si>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</si>
  <si>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</si>
  <si>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</si>
  <si>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</si>
  <si>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</si>
  <si>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</si>
  <si>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</si>
  <si>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石狩郡当別町</t>
  </si>
  <si>
    <t>石狩郡新篠津村</t>
  </si>
  <si>
    <t>松前郡松前町</t>
  </si>
  <si>
    <t>松前郡福島町</t>
  </si>
  <si>
    <t>上磯郡知内町</t>
  </si>
  <si>
    <t>上磯郡木古内町</t>
  </si>
  <si>
    <t>亀田郡七飯町</t>
  </si>
  <si>
    <t>茅部郡鹿部町</t>
  </si>
  <si>
    <t>茅部郡森町</t>
  </si>
  <si>
    <t>二海郡八雲町</t>
  </si>
  <si>
    <t>山越郡長万部町</t>
  </si>
  <si>
    <t>檜山郡江差町</t>
  </si>
  <si>
    <t>檜山郡上ノ国町</t>
  </si>
  <si>
    <t>檜山郡厚沢部町</t>
  </si>
  <si>
    <t>爾志郡乙部町</t>
  </si>
  <si>
    <t>奥尻郡奥尻町</t>
  </si>
  <si>
    <t>瀬棚郡今金町</t>
  </si>
  <si>
    <t>久遠郡せたな町</t>
  </si>
  <si>
    <t>島牧郡島牧村</t>
  </si>
  <si>
    <t>寿都郡寿都町</t>
  </si>
  <si>
    <t>寿都郡黒松内町</t>
  </si>
  <si>
    <t>磯谷郡蘭越町</t>
  </si>
  <si>
    <t>虻田郡ニセコ町</t>
  </si>
  <si>
    <t>虻田郡真狩村</t>
  </si>
  <si>
    <t>虻田郡留寿都村</t>
  </si>
  <si>
    <t>虻田郡喜茂別町</t>
  </si>
  <si>
    <t>虻田郡京極町</t>
  </si>
  <si>
    <t>虻田郡倶知安町</t>
  </si>
  <si>
    <t>岩内郡共和町</t>
  </si>
  <si>
    <t>岩内郡岩内町</t>
  </si>
  <si>
    <t>古宇郡泊村</t>
  </si>
  <si>
    <t>古宇郡神恵内村</t>
  </si>
  <si>
    <t>積丹郡積丹町</t>
  </si>
  <si>
    <t>古平郡古平町</t>
  </si>
  <si>
    <t>余市郡仁木町</t>
  </si>
  <si>
    <t>余市郡余市町</t>
  </si>
  <si>
    <t>余市郡赤井川村</t>
  </si>
  <si>
    <t>空知郡南幌町</t>
  </si>
  <si>
    <t>空知郡奈井江町</t>
  </si>
  <si>
    <t>空知郡上砂川町</t>
  </si>
  <si>
    <t>夕張郡由仁町</t>
  </si>
  <si>
    <t>夕張郡長沼町</t>
  </si>
  <si>
    <t>夕張郡栗山町</t>
  </si>
  <si>
    <t>樺戸郡月形町</t>
  </si>
  <si>
    <t>樺戸郡浦臼町</t>
  </si>
  <si>
    <t>樺戸郡新十津川町</t>
  </si>
  <si>
    <t>雨竜郡妹背牛町</t>
  </si>
  <si>
    <t>雨竜郡秩父別町</t>
  </si>
  <si>
    <t>雨竜郡雨竜町</t>
  </si>
  <si>
    <t>雨竜郡北竜町</t>
  </si>
  <si>
    <t>雨竜郡沼田町</t>
  </si>
  <si>
    <t>上川郡鷹栖町</t>
  </si>
  <si>
    <t>上川郡東神楽町</t>
  </si>
  <si>
    <t>上川郡当麻町</t>
  </si>
  <si>
    <t>上川郡比布町</t>
  </si>
  <si>
    <t>上川郡愛別町</t>
  </si>
  <si>
    <t>上川郡上川町</t>
  </si>
  <si>
    <t>上川郡東川町</t>
  </si>
  <si>
    <t>上川郡美瑛町</t>
  </si>
  <si>
    <t>空知郡上富良野町</t>
  </si>
  <si>
    <t>空知郡中富良野町</t>
  </si>
  <si>
    <t>空知郡南富良野町</t>
  </si>
  <si>
    <t>勇払郡占冠村</t>
  </si>
  <si>
    <t>上川郡和寒町</t>
  </si>
  <si>
    <t>上川郡剣淵町</t>
  </si>
  <si>
    <t>上川郡下川町</t>
  </si>
  <si>
    <t>中川郡美深町</t>
  </si>
  <si>
    <t>中川郡音威子府村</t>
  </si>
  <si>
    <t>中川郡中川町</t>
  </si>
  <si>
    <t>雨竜郡幌加内町</t>
  </si>
  <si>
    <t>増毛郡増毛町</t>
  </si>
  <si>
    <t>留萌郡小平町</t>
  </si>
  <si>
    <t>苫前郡苫前町</t>
  </si>
  <si>
    <t>苫前郡羽幌町</t>
  </si>
  <si>
    <t>苫前郡初山別村</t>
  </si>
  <si>
    <t>天塩郡遠別町</t>
  </si>
  <si>
    <t>天塩郡天塩町</t>
  </si>
  <si>
    <t>宗谷郡猿払村</t>
  </si>
  <si>
    <t>枝幸郡浜頓別町</t>
  </si>
  <si>
    <t>枝幸郡中頓別町</t>
  </si>
  <si>
    <t>枝幸郡枝幸町</t>
  </si>
  <si>
    <t>天塩郡豊富町</t>
  </si>
  <si>
    <t>礼文郡礼文町</t>
  </si>
  <si>
    <t>利尻郡利尻町</t>
  </si>
  <si>
    <t>利尻郡利尻富士町</t>
  </si>
  <si>
    <t>天塩郡幌延町</t>
  </si>
  <si>
    <t>網走郡美幌町</t>
  </si>
  <si>
    <t>網走郡津別町</t>
  </si>
  <si>
    <t>斜里郡斜里町</t>
  </si>
  <si>
    <t>斜里郡清里町</t>
  </si>
  <si>
    <t>斜里郡小清水町</t>
  </si>
  <si>
    <t>常呂郡訓子府町</t>
  </si>
  <si>
    <t>常呂郡置戸町</t>
  </si>
  <si>
    <t>常呂郡佐呂間町</t>
  </si>
  <si>
    <t>紋別郡遠軽町</t>
  </si>
  <si>
    <t>紋別郡湧別町</t>
  </si>
  <si>
    <t>紋別郡滝上町</t>
  </si>
  <si>
    <t>紋別郡興部町</t>
  </si>
  <si>
    <t>紋別郡西興部村</t>
  </si>
  <si>
    <t>紋別郡雄武町</t>
  </si>
  <si>
    <t>網走郡大空町</t>
  </si>
  <si>
    <t>虻田郡豊浦町</t>
  </si>
  <si>
    <t>有珠郡壮瞥町</t>
  </si>
  <si>
    <t>白老郡白老町</t>
  </si>
  <si>
    <t>勇払郡厚真町</t>
  </si>
  <si>
    <t>虻田郡洞爺湖町</t>
  </si>
  <si>
    <t>勇払郡安平町</t>
  </si>
  <si>
    <t>勇払郡むかわ町</t>
  </si>
  <si>
    <t>沙流郡日高町</t>
  </si>
  <si>
    <t>沙流郡平取町</t>
  </si>
  <si>
    <t>新冠郡新冠町</t>
  </si>
  <si>
    <t>浦河郡浦河町</t>
  </si>
  <si>
    <t>様似郡様似町</t>
  </si>
  <si>
    <t>幌泉郡えりも町</t>
  </si>
  <si>
    <t>日高郡新ひだか町</t>
  </si>
  <si>
    <t>河東郡音更町</t>
  </si>
  <si>
    <t>河東郡士幌町</t>
  </si>
  <si>
    <t>河東郡上士幌町</t>
  </si>
  <si>
    <t>河東郡鹿追町</t>
  </si>
  <si>
    <t>上川郡新得町</t>
  </si>
  <si>
    <t>上川郡清水町</t>
  </si>
  <si>
    <t>河西郡芽室町</t>
  </si>
  <si>
    <t>河西郡中札内村</t>
  </si>
  <si>
    <t>河西郡更別村</t>
  </si>
  <si>
    <t>広尾郡大樹町</t>
  </si>
  <si>
    <t>広尾郡広尾町</t>
  </si>
  <si>
    <t>中川郡幕別町</t>
  </si>
  <si>
    <t>中川郡池田町</t>
  </si>
  <si>
    <t>中川郡豊頃町</t>
  </si>
  <si>
    <t>中川郡本別町</t>
  </si>
  <si>
    <t>足寄郡足寄町</t>
  </si>
  <si>
    <t>足寄郡陸別町</t>
  </si>
  <si>
    <t>十勝郡浦幌町</t>
  </si>
  <si>
    <t>釧路郡釧路町</t>
  </si>
  <si>
    <t>厚岸郡厚岸町</t>
  </si>
  <si>
    <t>厚岸郡浜中町</t>
  </si>
  <si>
    <t>川上郡標茶町</t>
  </si>
  <si>
    <t>川上郡弟子屈町</t>
  </si>
  <si>
    <t>阿寒郡鶴居村</t>
  </si>
  <si>
    <t>白糠郡白糠町</t>
  </si>
  <si>
    <t>野付郡別海町</t>
  </si>
  <si>
    <t>標津郡中標津町</t>
  </si>
  <si>
    <t>標津郡標津町</t>
  </si>
  <si>
    <t>目梨郡羅臼町</t>
  </si>
  <si>
    <t>目次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</si>
</sst>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0.0_ &quot;%&quot;"/>
    <numFmt numFmtId="178" formatCode="0.00_ &quot;%&quot;"/>
  </numFmts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0" fillId="0" borderId="0" xfId="0" pivotButton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3" fillId="0" borderId="0" xfId="0" pivotButton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8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0" fontId="0" fillId="0" borderId="0" xfId="0" applyNumberFormat="1">
      <alignment vertical="center"/>
    </xf>
    <xf numFmtId="38" fontId="0" fillId="0" borderId="0" xfId="1" applyFont="1">
      <alignment vertical="center"/>
    </xf>
    <xf numFmtId="0" fontId="4" fillId="0" borderId="0" xfId="2">
      <alignment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2710"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numFmt numFmtId="178" formatCode="0.00_ &quot;%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family val="2"/>
        <charset val="128"/>
        <scheme val="minor"/>
      </font>
    </dxf>
    <dxf>
      <alignment horizontal="center" vertical="center" textRotation="0" wrapText="0" indent="0" justifyLastLine="0" shrinkToFit="0" readingOrder="0"/>
    </dxf>
    <dxf>
      <alignment horizontal="center"/>
    </dxf>
    <dxf>
      <alignment wrapText="1"/>
    </dxf>
    <dxf>
      <alignment horizontal="center"/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color theme="1"/>
        <family val="3"/>
        <charset val="128"/>
      </font>
    </dxf>
    <dxf>
      <font>
        <color theme="1"/>
        <family val="3"/>
        <charset val="128"/>
      </font>
    </dxf>
    <dxf>
      <font>
        <sz val="10"/>
        <family val="3"/>
      </font>
    </dxf>
    <dxf>
      <font>
        <sz val="10"/>
        <family val="3"/>
      </font>
    </dxf>
    <dxf>
      <numFmt numFmtId="176" formatCode="#,##0_ "/>
    </dxf>
    <dxf>
      <numFmt numFmtId="178" formatCode="0.00_ &quot;%&quot;"/>
    </dxf>
    <dxf>
      <numFmt numFmtId="176" formatCode="#,##0_ "/>
    </dxf>
    <dxf>
      <numFmt numFmtId="178" formatCode="0.00_ &quot;%&quot;"/>
    </dxf>
    <dxf>
      <numFmt numFmtId="176" formatCode="#,##0_ "/>
    </dxf>
    <dxf>
      <numFmt numFmtId="178" formatCode="0.00_ &quot;%&quot;"/>
    </dxf>
    <dxf>
      <numFmt numFmtId="176" formatCode="#,##0_ "/>
    </dxf>
    <dxf>
      <alignment horizontal="center"/>
    </dxf>
    <dxf>
      <alignment horizontal="center"/>
    </dxf>
    <dxf>
      <alignment wrapText="1"/>
    </dxf>
    <dxf>
      <alignment horizontal="center"/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color theme="1"/>
        <family val="3"/>
        <charset val="128"/>
      </font>
    </dxf>
    <dxf>
      <font>
        <color theme="1"/>
        <family val="3"/>
        <charset val="128"/>
      </font>
    </dxf>
    <dxf>
      <font>
        <sz val="10"/>
        <family val="3"/>
      </font>
    </dxf>
    <dxf>
      <font>
        <sz val="10"/>
        <family val="3"/>
      </font>
    </dxf>
    <dxf>
      <numFmt numFmtId="176" formatCode="#,##0_ "/>
    </dxf>
    <dxf>
      <numFmt numFmtId="178" formatCode="0.00_ &quot;%&quot;"/>
    </dxf>
    <dxf>
      <numFmt numFmtId="176" formatCode="#,##0_ "/>
    </dxf>
    <dxf>
      <numFmt numFmtId="178" formatCode="0.00_ &quot;%&quot;"/>
    </dxf>
    <dxf>
      <numFmt numFmtId="176" formatCode="#,##0_ "/>
    </dxf>
    <dxf>
      <numFmt numFmtId="178" formatCode="0.00_ &quot;%&quot;"/>
    </dxf>
    <dxf>
      <numFmt numFmtId="176" formatCode="#,##0_ "/>
    </dxf>
    <dxf>
      <alignment horizontal="center"/>
    </dxf>
    <dxf>
      <alignment wrapText="1"/>
    </dxf>
    <dxf>
      <alignment horizontal="center"/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color theme="1"/>
        <family val="3"/>
        <charset val="128"/>
      </font>
    </dxf>
    <dxf>
      <font>
        <color theme="1"/>
        <family val="3"/>
        <charset val="128"/>
      </font>
    </dxf>
    <dxf>
      <font>
        <sz val="10"/>
        <family val="3"/>
      </font>
    </dxf>
    <dxf>
      <font>
        <sz val="10"/>
        <family val="3"/>
      </font>
    </dxf>
    <dxf>
      <numFmt numFmtId="176" formatCode="#,##0_ "/>
    </dxf>
    <dxf>
      <numFmt numFmtId="177" formatCode="0.0_ &quot;%&quot;"/>
    </dxf>
    <dxf>
      <numFmt numFmtId="176" formatCode="#,##0_ "/>
    </dxf>
    <dxf>
      <numFmt numFmtId="177" formatCode="0.0_ &quot;%&quot;"/>
    </dxf>
    <dxf>
      <numFmt numFmtId="176" formatCode="#,##0_ "/>
    </dxf>
    <dxf>
      <numFmt numFmtId="177" formatCode="0.0_ &quot;%&quot;"/>
    </dxf>
    <dxf>
      <numFmt numFmtId="176" formatCode="#,##0_ 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connections" Target="connection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pivotCacheDefinition" Target="pivotCache/pivotCacheDefinition1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pivotCacheDefinition" Target="pivotCache/pivotCacheDefinition2.xml"/><Relationship Id="rId200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pivotCacheDefinition" Target="pivotCache/pivotCacheDefinition3.xml"/><Relationship Id="rId201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202" Type="http://schemas.openxmlformats.org/officeDocument/2006/relationships/calcChain" Target="calcChai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作成者" refreshedDate="45155.44016435185" createdVersion="5" refreshedVersion="8" minRefreshableVersion="3" recordCount="2850" xr:uid="{578A0FCA-6988-49E1-93EF-05B3CC9BC05A}">
  <cacheSource type="external" connectionId="1"/>
  <cacheFields count="11">
    <cacheField name="都道府県" numFmtId="0" sqlType="-9">
      <sharedItems count="1">
        <s v="01 北海道"/>
      </sharedItems>
    </cacheField>
    <cacheField name="自治体名" numFmtId="0" sqlType="-9">
      <sharedItems/>
    </cacheField>
    <cacheField name="自治体" numFmtId="0" sqlType="-9">
      <sharedItems count="190">
        <s v="01000 北海道"/>
        <s v="01100 札幌市"/>
        <s v="01101 札幌市中央区"/>
        <s v="01102 札幌市北区"/>
        <s v="01103 札幌市東区"/>
        <s v="01104 札幌市白石区"/>
        <s v="01105 札幌市豊平区"/>
        <s v="01106 札幌市南区"/>
        <s v="01107 札幌市西区"/>
        <s v="01108 札幌市厚別区"/>
        <s v="01109 札幌市手稲区"/>
        <s v="01110 札幌市清田区"/>
        <s v="01202 函館市"/>
        <s v="01203 小樽市"/>
        <s v="01204 旭川市"/>
        <s v="01205 室蘭市"/>
        <s v="01206 釧路市"/>
        <s v="01207 帯広市"/>
        <s v="01208 北見市"/>
        <s v="01209 夕張市"/>
        <s v="01210 岩見沢市"/>
        <s v="01211 網走市"/>
        <s v="01212 留萌市"/>
        <s v="01213 苫小牧市"/>
        <s v="01214 稚内市"/>
        <s v="01215 美唄市"/>
        <s v="01216 芦別市"/>
        <s v="01217 江別市"/>
        <s v="01218 赤平市"/>
        <s v="01219 紋別市"/>
        <s v="01220 士別市"/>
        <s v="01221 名寄市"/>
        <s v="01222 三笠市"/>
        <s v="01223 根室市"/>
        <s v="01224 千歳市"/>
        <s v="01225 滝川市"/>
        <s v="01226 砂川市"/>
        <s v="01227 歌志内市"/>
        <s v="01228 深川市"/>
        <s v="01229 富良野市"/>
        <s v="01230 登別市"/>
        <s v="01231 恵庭市"/>
        <s v="01233 伊達市"/>
        <s v="01234 北広島市"/>
        <s v="01235 石狩市"/>
        <s v="01236 北斗市"/>
        <s v="01303 石狩郡当別町"/>
        <s v="01304 石狩郡新篠津村"/>
        <s v="01331 松前郡松前町"/>
        <s v="01332 松前郡福島町"/>
        <s v="01333 上磯郡知内町"/>
        <s v="01334 上磯郡木古内町"/>
        <s v="01337 亀田郡七飯町"/>
        <s v="01343 茅部郡鹿部町"/>
        <s v="01345 茅部郡森町"/>
        <s v="01346 二海郡八雲町"/>
        <s v="01347 山越郡長万部町"/>
        <s v="01361 檜山郡江差町"/>
        <s v="01362 檜山郡上ノ国町"/>
        <s v="01363 檜山郡厚沢部町"/>
        <s v="01364 爾志郡乙部町"/>
        <s v="01367 奥尻郡奥尻町"/>
        <s v="01370 瀬棚郡今金町"/>
        <s v="01371 久遠郡せたな町"/>
        <s v="01391 島牧郡島牧村"/>
        <s v="01392 寿都郡寿都町"/>
        <s v="01393 寿都郡黒松内町"/>
        <s v="01394 磯谷郡蘭越町"/>
        <s v="01395 虻田郡ニセコ町"/>
        <s v="01396 虻田郡真狩村"/>
        <s v="01397 虻田郡留寿都村"/>
        <s v="01398 虻田郡喜茂別町"/>
        <s v="01399 虻田郡京極町"/>
        <s v="01400 虻田郡倶知安町"/>
        <s v="01401 岩内郡共和町"/>
        <s v="01402 岩内郡岩内町"/>
        <s v="01403 古宇郡泊村"/>
        <s v="01404 古宇郡神恵内村"/>
        <s v="01405 積丹郡積丹町"/>
        <s v="01406 古平郡古平町"/>
        <s v="01407 余市郡仁木町"/>
        <s v="01408 余市郡余市町"/>
        <s v="01409 余市郡赤井川村"/>
        <s v="01423 空知郡南幌町"/>
        <s v="01424 空知郡奈井江町"/>
        <s v="01425 空知郡上砂川町"/>
        <s v="01427 夕張郡由仁町"/>
        <s v="01428 夕張郡長沼町"/>
        <s v="01429 夕張郡栗山町"/>
        <s v="01430 樺戸郡月形町"/>
        <s v="01431 樺戸郡浦臼町"/>
        <s v="01432 樺戸郡新十津川町"/>
        <s v="01433 雨竜郡妹背牛町"/>
        <s v="01434 雨竜郡秩父別町"/>
        <s v="01436 雨竜郡雨竜町"/>
        <s v="01437 雨竜郡北竜町"/>
        <s v="01438 雨竜郡沼田町"/>
        <s v="01452 上川郡鷹栖町"/>
        <s v="01453 上川郡東神楽町"/>
        <s v="01454 上川郡当麻町"/>
        <s v="01455 上川郡比布町"/>
        <s v="01456 上川郡愛別町"/>
        <s v="01457 上川郡上川町"/>
        <s v="01458 上川郡東川町"/>
        <s v="01459 上川郡美瑛町"/>
        <s v="01460 空知郡上富良野町"/>
        <s v="01461 空知郡中富良野町"/>
        <s v="01462 空知郡南富良野町"/>
        <s v="01463 勇払郡占冠村"/>
        <s v="01464 上川郡和寒町"/>
        <s v="01465 上川郡剣淵町"/>
        <s v="01468 上川郡下川町"/>
        <s v="01469 中川郡美深町"/>
        <s v="01470 中川郡音威子府村"/>
        <s v="01471 中川郡中川町"/>
        <s v="01472 雨竜郡幌加内町"/>
        <s v="01481 増毛郡増毛町"/>
        <s v="01482 留萌郡小平町"/>
        <s v="01483 苫前郡苫前町"/>
        <s v="01484 苫前郡羽幌町"/>
        <s v="01485 苫前郡初山別村"/>
        <s v="01486 天塩郡遠別町"/>
        <s v="01487 天塩郡天塩町"/>
        <s v="01511 宗谷郡猿払村"/>
        <s v="01512 枝幸郡浜頓別町"/>
        <s v="01513 枝幸郡中頓別町"/>
        <s v="01514 枝幸郡枝幸町"/>
        <s v="01516 天塩郡豊富町"/>
        <s v="01517 礼文郡礼文町"/>
        <s v="01518 利尻郡利尻町"/>
        <s v="01519 利尻郡利尻富士町"/>
        <s v="01520 天塩郡幌延町"/>
        <s v="01543 網走郡美幌町"/>
        <s v="01544 網走郡津別町"/>
        <s v="01545 斜里郡斜里町"/>
        <s v="01546 斜里郡清里町"/>
        <s v="01547 斜里郡小清水町"/>
        <s v="01549 常呂郡訓子府町"/>
        <s v="01550 常呂郡置戸町"/>
        <s v="01552 常呂郡佐呂間町"/>
        <s v="01555 紋別郡遠軽町"/>
        <s v="01559 紋別郡湧別町"/>
        <s v="01560 紋別郡滝上町"/>
        <s v="01561 紋別郡興部町"/>
        <s v="01562 紋別郡西興部村"/>
        <s v="01563 紋別郡雄武町"/>
        <s v="01564 網走郡大空町"/>
        <s v="01571 虻田郡豊浦町"/>
        <s v="01575 有珠郡壮瞥町"/>
        <s v="01578 白老郡白老町"/>
        <s v="01581 勇払郡厚真町"/>
        <s v="01584 虻田郡洞爺湖町"/>
        <s v="01585 勇払郡安平町"/>
        <s v="01586 勇払郡むかわ町"/>
        <s v="01601 沙流郡日高町"/>
        <s v="01602 沙流郡平取町"/>
        <s v="01604 新冠郡新冠町"/>
        <s v="01607 浦河郡浦河町"/>
        <s v="01608 様似郡様似町"/>
        <s v="01609 幌泉郡えりも町"/>
        <s v="01610 日高郡新ひだか町"/>
        <s v="01631 河東郡音更町"/>
        <s v="01632 河東郡士幌町"/>
        <s v="01633 河東郡上士幌町"/>
        <s v="01634 河東郡鹿追町"/>
        <s v="01635 上川郡新得町"/>
        <s v="01636 上川郡清水町"/>
        <s v="01637 河西郡芽室町"/>
        <s v="01638 河西郡中札内村"/>
        <s v="01639 河西郡更別村"/>
        <s v="01641 広尾郡大樹町"/>
        <s v="01642 広尾郡広尾町"/>
        <s v="01643 中川郡幕別町"/>
        <s v="01644 中川郡池田町"/>
        <s v="01645 中川郡豊頃町"/>
        <s v="01646 中川郡本別町"/>
        <s v="01647 足寄郡足寄町"/>
        <s v="01648 足寄郡陸別町"/>
        <s v="01649 十勝郡浦幌町"/>
        <s v="01661 釧路郡釧路町"/>
        <s v="01662 厚岸郡厚岸町"/>
        <s v="01663 厚岸郡浜中町"/>
        <s v="01664 川上郡標茶町"/>
        <s v="01665 川上郡弟子屈町"/>
        <s v="01667 阿寒郡鶴居村"/>
        <s v="01668 白糠郡白糠町"/>
        <s v="01691 野付郡別海町"/>
        <s v="01692 標津郡中標津町"/>
        <s v="01693 標津郡標津町"/>
        <s v="01694 目梨郡羅臼町"/>
      </sharedItems>
    </cacheField>
    <cacheField name="産業大分類" numFmtId="0" sqlType="-9">
      <sharedItems count="15">
        <s v="C 鉱業，採石業，砂利採取業"/>
        <s v="D 建設業"/>
        <s v="E 製造業"/>
        <s v="F 電気・ガス・熱供給・水道業"/>
        <s v="G 情報通信業"/>
        <s v="H 運輸業，郵便業"/>
        <s v="I 卸売業，小売業"/>
        <s v="J 金融業，保険業"/>
        <s v="K 不動産業，物品賃貸業"/>
        <s v="L 学術研究，専門・技術サービス業"/>
        <s v="M 宿泊業，飲食サービス業"/>
        <s v="N 生活関連サービス業，娯楽業"/>
        <s v="O 教育，学習支援業"/>
        <s v="P 医療，福祉"/>
        <s v="R サービス業（他に分類されないもの）"/>
      </sharedItems>
    </cacheField>
    <cacheField name="総数" numFmtId="0" sqlType="4">
      <sharedItems containsSemiMixedTypes="0" containsString="0" containsNumber="1" containsInteger="1" minValue="0" maxValue="26797"/>
    </cacheField>
    <cacheField name="構成比" numFmtId="0" sqlType="3">
      <sharedItems containsSemiMixedTypes="0" containsString="0" containsNumber="1" minValue="0" maxValue="39.619999999999997"/>
    </cacheField>
    <cacheField name="総数（個人）" numFmtId="0" sqlType="4">
      <sharedItems containsSemiMixedTypes="0" containsString="0" containsNumber="1" containsInteger="1" minValue="0" maxValue="13711"/>
    </cacheField>
    <cacheField name="構成比（個人）" numFmtId="0" sqlType="3">
      <sharedItems containsSemiMixedTypes="0" containsString="0" containsNumber="1" minValue="0" maxValue="50.48"/>
    </cacheField>
    <cacheField name="総数（法人）" numFmtId="0" sqlType="4">
      <sharedItems containsSemiMixedTypes="0" containsString="0" containsNumber="1" containsInteger="1" minValue="0" maxValue="18535"/>
    </cacheField>
    <cacheField name="構成比（法人）" numFmtId="0" sqlType="3">
      <sharedItems containsSemiMixedTypes="0" containsString="0" containsNumber="1" minValue="0" maxValue="50"/>
    </cacheField>
    <cacheField name="総数（法人以外の団体）" numFmtId="0" sqlType="4">
      <sharedItems containsSemiMixedTypes="0" containsString="0" containsNumber="1" containsInteger="1" minValue="0" maxValue="190" count="22">
        <n v="0"/>
        <n v="1"/>
        <n v="18"/>
        <n v="6"/>
        <n v="28"/>
        <n v="42"/>
        <n v="10"/>
        <n v="23"/>
        <n v="24"/>
        <n v="21"/>
        <n v="33"/>
        <n v="190"/>
        <n v="3"/>
        <n v="7"/>
        <n v="2"/>
        <n v="71"/>
        <n v="14"/>
        <n v="9"/>
        <n v="5"/>
        <n v="4"/>
        <n v="29"/>
        <n v="1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作成者" refreshedDate="45155.44030185185" createdVersion="5" refreshedVersion="8" minRefreshableVersion="3" recordCount="4470" xr:uid="{7F1639E5-A35F-4F0D-9C16-CFC38E80A70A}">
  <cacheSource type="external" connectionId="2"/>
  <cacheFields count="14">
    <cacheField name="都道府県" numFmtId="0" sqlType="-9">
      <sharedItems count="1">
        <s v="01 北海道"/>
      </sharedItems>
    </cacheField>
    <cacheField name="自治体名" numFmtId="0" sqlType="-9">
      <sharedItems count="190">
        <s v="北海道"/>
        <s v="札幌市"/>
        <s v="札幌市中央区"/>
        <s v="札幌市北区"/>
        <s v="札幌市東区"/>
        <s v="札幌市白石区"/>
        <s v="札幌市豊平区"/>
        <s v="札幌市南区"/>
        <s v="札幌市西区"/>
        <s v="札幌市厚別区"/>
        <s v="札幌市手稲区"/>
        <s v="札幌市清田区"/>
        <s v="函館市"/>
        <s v="小樽市"/>
        <s v="旭川市"/>
        <s v="室蘭市"/>
        <s v="釧路市"/>
        <s v="帯広市"/>
        <s v="北見市"/>
        <s v="夕張市"/>
        <s v="岩見沢市"/>
        <s v="網走市"/>
        <s v="留萌市"/>
        <s v="苫小牧市"/>
        <s v="稚内市"/>
        <s v="美唄市"/>
        <s v="芦別市"/>
        <s v="江別市"/>
        <s v="赤平市"/>
        <s v="紋別市"/>
        <s v="士別市"/>
        <s v="名寄市"/>
        <s v="三笠市"/>
        <s v="根室市"/>
        <s v="千歳市"/>
        <s v="滝川市"/>
        <s v="砂川市"/>
        <s v="歌志内市"/>
        <s v="深川市"/>
        <s v="富良野市"/>
        <s v="登別市"/>
        <s v="恵庭市"/>
        <s v="伊達市"/>
        <s v="北広島市"/>
        <s v="石狩市"/>
        <s v="北斗市"/>
        <s v="石狩郡当別町"/>
        <s v="石狩郡新篠津村"/>
        <s v="松前郡松前町"/>
        <s v="松前郡福島町"/>
        <s v="上磯郡知内町"/>
        <s v="上磯郡木古内町"/>
        <s v="亀田郡七飯町"/>
        <s v="茅部郡鹿部町"/>
        <s v="茅部郡森町"/>
        <s v="二海郡八雲町"/>
        <s v="山越郡長万部町"/>
        <s v="檜山郡江差町"/>
        <s v="檜山郡上ノ国町"/>
        <s v="檜山郡厚沢部町"/>
        <s v="爾志郡乙部町"/>
        <s v="奥尻郡奥尻町"/>
        <s v="瀬棚郡今金町"/>
        <s v="久遠郡せたな町"/>
        <s v="島牧郡島牧村"/>
        <s v="寿都郡寿都町"/>
        <s v="寿都郡黒松内町"/>
        <s v="磯谷郡蘭越町"/>
        <s v="虻田郡ニセコ町"/>
        <s v="虻田郡真狩村"/>
        <s v="虻田郡留寿都村"/>
        <s v="虻田郡喜茂別町"/>
        <s v="虻田郡京極町"/>
        <s v="虻田郡倶知安町"/>
        <s v="岩内郡共和町"/>
        <s v="岩内郡岩内町"/>
        <s v="古宇郡泊村"/>
        <s v="古宇郡神恵内村"/>
        <s v="積丹郡積丹町"/>
        <s v="古平郡古平町"/>
        <s v="余市郡仁木町"/>
        <s v="余市郡余市町"/>
        <s v="余市郡赤井川村"/>
        <s v="空知郡南幌町"/>
        <s v="空知郡奈井江町"/>
        <s v="空知郡上砂川町"/>
        <s v="夕張郡由仁町"/>
        <s v="夕張郡長沼町"/>
        <s v="夕張郡栗山町"/>
        <s v="樺戸郡月形町"/>
        <s v="樺戸郡浦臼町"/>
        <s v="樺戸郡新十津川町"/>
        <s v="雨竜郡妹背牛町"/>
        <s v="雨竜郡秩父別町"/>
        <s v="雨竜郡雨竜町"/>
        <s v="雨竜郡北竜町"/>
        <s v="雨竜郡沼田町"/>
        <s v="上川郡鷹栖町"/>
        <s v="上川郡東神楽町"/>
        <s v="上川郡当麻町"/>
        <s v="上川郡比布町"/>
        <s v="上川郡愛別町"/>
        <s v="上川郡上川町"/>
        <s v="上川郡東川町"/>
        <s v="上川郡美瑛町"/>
        <s v="空知郡上富良野町"/>
        <s v="空知郡中富良野町"/>
        <s v="空知郡南富良野町"/>
        <s v="勇払郡占冠村"/>
        <s v="上川郡和寒町"/>
        <s v="上川郡剣淵町"/>
        <s v="上川郡下川町"/>
        <s v="中川郡美深町"/>
        <s v="中川郡音威子府村"/>
        <s v="中川郡中川町"/>
        <s v="雨竜郡幌加内町"/>
        <s v="増毛郡増毛町"/>
        <s v="留萌郡小平町"/>
        <s v="苫前郡苫前町"/>
        <s v="苫前郡羽幌町"/>
        <s v="苫前郡初山別村"/>
        <s v="天塩郡遠別町"/>
        <s v="天塩郡天塩町"/>
        <s v="宗谷郡猿払村"/>
        <s v="枝幸郡浜頓別町"/>
        <s v="枝幸郡中頓別町"/>
        <s v="枝幸郡枝幸町"/>
        <s v="天塩郡豊富町"/>
        <s v="礼文郡礼文町"/>
        <s v="利尻郡利尻町"/>
        <s v="利尻郡利尻富士町"/>
        <s v="天塩郡幌延町"/>
        <s v="網走郡美幌町"/>
        <s v="網走郡津別町"/>
        <s v="斜里郡斜里町"/>
        <s v="斜里郡清里町"/>
        <s v="斜里郡小清水町"/>
        <s v="常呂郡訓子府町"/>
        <s v="常呂郡置戸町"/>
        <s v="常呂郡佐呂間町"/>
        <s v="紋別郡遠軽町"/>
        <s v="紋別郡湧別町"/>
        <s v="紋別郡滝上町"/>
        <s v="紋別郡興部町"/>
        <s v="紋別郡西興部村"/>
        <s v="紋別郡雄武町"/>
        <s v="網走郡大空町"/>
        <s v="虻田郡豊浦町"/>
        <s v="有珠郡壮瞥町"/>
        <s v="白老郡白老町"/>
        <s v="勇払郡厚真町"/>
        <s v="虻田郡洞爺湖町"/>
        <s v="勇払郡安平町"/>
        <s v="勇払郡むかわ町"/>
        <s v="沙流郡日高町"/>
        <s v="沙流郡平取町"/>
        <s v="新冠郡新冠町"/>
        <s v="浦河郡浦河町"/>
        <s v="様似郡様似町"/>
        <s v="幌泉郡えりも町"/>
        <s v="日高郡新ひだか町"/>
        <s v="河東郡音更町"/>
        <s v="河東郡士幌町"/>
        <s v="河東郡上士幌町"/>
        <s v="河東郡鹿追町"/>
        <s v="上川郡新得町"/>
        <s v="上川郡清水町"/>
        <s v="河西郡芽室町"/>
        <s v="河西郡中札内村"/>
        <s v="河西郡更別村"/>
        <s v="広尾郡大樹町"/>
        <s v="広尾郡広尾町"/>
        <s v="中川郡幕別町"/>
        <s v="中川郡池田町"/>
        <s v="中川郡豊頃町"/>
        <s v="中川郡本別町"/>
        <s v="足寄郡足寄町"/>
        <s v="足寄郡陸別町"/>
        <s v="十勝郡浦幌町"/>
        <s v="釧路郡釧路町"/>
        <s v="厚岸郡厚岸町"/>
        <s v="厚岸郡浜中町"/>
        <s v="川上郡標茶町"/>
        <s v="川上郡弟子屈町"/>
        <s v="阿寒郡鶴居村"/>
        <s v="白糠郡白糠町"/>
        <s v="野付郡別海町"/>
        <s v="標津郡中標津町"/>
        <s v="標津郡標津町"/>
        <s v="目梨郡羅臼町"/>
      </sharedItems>
    </cacheField>
    <cacheField name="自治体" numFmtId="0" sqlType="-9">
      <sharedItems count="190">
        <s v="01000 北海道"/>
        <s v="01100 札幌市"/>
        <s v="01101 札幌市中央区"/>
        <s v="01102 札幌市北区"/>
        <s v="01103 札幌市東区"/>
        <s v="01104 札幌市白石区"/>
        <s v="01105 札幌市豊平区"/>
        <s v="01106 札幌市南区"/>
        <s v="01107 札幌市西区"/>
        <s v="01108 札幌市厚別区"/>
        <s v="01109 札幌市手稲区"/>
        <s v="01110 札幌市清田区"/>
        <s v="01202 函館市"/>
        <s v="01203 小樽市"/>
        <s v="01204 旭川市"/>
        <s v="01205 室蘭市"/>
        <s v="01206 釧路市"/>
        <s v="01207 帯広市"/>
        <s v="01208 北見市"/>
        <s v="01209 夕張市"/>
        <s v="01210 岩見沢市"/>
        <s v="01211 網走市"/>
        <s v="01212 留萌市"/>
        <s v="01213 苫小牧市"/>
        <s v="01214 稚内市"/>
        <s v="01215 美唄市"/>
        <s v="01216 芦別市"/>
        <s v="01217 江別市"/>
        <s v="01218 赤平市"/>
        <s v="01219 紋別市"/>
        <s v="01220 士別市"/>
        <s v="01221 名寄市"/>
        <s v="01222 三笠市"/>
        <s v="01223 根室市"/>
        <s v="01224 千歳市"/>
        <s v="01225 滝川市"/>
        <s v="01226 砂川市"/>
        <s v="01227 歌志内市"/>
        <s v="01228 深川市"/>
        <s v="01229 富良野市"/>
        <s v="01230 登別市"/>
        <s v="01231 恵庭市"/>
        <s v="01233 伊達市"/>
        <s v="01234 北広島市"/>
        <s v="01235 石狩市"/>
        <s v="01236 北斗市"/>
        <s v="01303 石狩郡当別町"/>
        <s v="01304 石狩郡新篠津村"/>
        <s v="01331 松前郡松前町"/>
        <s v="01332 松前郡福島町"/>
        <s v="01333 上磯郡知内町"/>
        <s v="01334 上磯郡木古内町"/>
        <s v="01337 亀田郡七飯町"/>
        <s v="01343 茅部郡鹿部町"/>
        <s v="01345 茅部郡森町"/>
        <s v="01346 二海郡八雲町"/>
        <s v="01347 山越郡長万部町"/>
        <s v="01361 檜山郡江差町"/>
        <s v="01362 檜山郡上ノ国町"/>
        <s v="01363 檜山郡厚沢部町"/>
        <s v="01364 爾志郡乙部町"/>
        <s v="01367 奥尻郡奥尻町"/>
        <s v="01370 瀬棚郡今金町"/>
        <s v="01371 久遠郡せたな町"/>
        <s v="01391 島牧郡島牧村"/>
        <s v="01392 寿都郡寿都町"/>
        <s v="01393 寿都郡黒松内町"/>
        <s v="01394 磯谷郡蘭越町"/>
        <s v="01395 虻田郡ニセコ町"/>
        <s v="01396 虻田郡真狩村"/>
        <s v="01397 虻田郡留寿都村"/>
        <s v="01398 虻田郡喜茂別町"/>
        <s v="01399 虻田郡京極町"/>
        <s v="01400 虻田郡倶知安町"/>
        <s v="01401 岩内郡共和町"/>
        <s v="01402 岩内郡岩内町"/>
        <s v="01403 古宇郡泊村"/>
        <s v="01404 古宇郡神恵内村"/>
        <s v="01405 積丹郡積丹町"/>
        <s v="01406 古平郡古平町"/>
        <s v="01407 余市郡仁木町"/>
        <s v="01408 余市郡余市町"/>
        <s v="01409 余市郡赤井川村"/>
        <s v="01423 空知郡南幌町"/>
        <s v="01424 空知郡奈井江町"/>
        <s v="01425 空知郡上砂川町"/>
        <s v="01427 夕張郡由仁町"/>
        <s v="01428 夕張郡長沼町"/>
        <s v="01429 夕張郡栗山町"/>
        <s v="01430 樺戸郡月形町"/>
        <s v="01431 樺戸郡浦臼町"/>
        <s v="01432 樺戸郡新十津川町"/>
        <s v="01433 雨竜郡妹背牛町"/>
        <s v="01434 雨竜郡秩父別町"/>
        <s v="01436 雨竜郡雨竜町"/>
        <s v="01437 雨竜郡北竜町"/>
        <s v="01438 雨竜郡沼田町"/>
        <s v="01452 上川郡鷹栖町"/>
        <s v="01453 上川郡東神楽町"/>
        <s v="01454 上川郡当麻町"/>
        <s v="01455 上川郡比布町"/>
        <s v="01456 上川郡愛別町"/>
        <s v="01457 上川郡上川町"/>
        <s v="01458 上川郡東川町"/>
        <s v="01459 上川郡美瑛町"/>
        <s v="01460 空知郡上富良野町"/>
        <s v="01461 空知郡中富良野町"/>
        <s v="01462 空知郡南富良野町"/>
        <s v="01463 勇払郡占冠村"/>
        <s v="01464 上川郡和寒町"/>
        <s v="01465 上川郡剣淵町"/>
        <s v="01468 上川郡下川町"/>
        <s v="01469 中川郡美深町"/>
        <s v="01470 中川郡音威子府村"/>
        <s v="01471 中川郡中川町"/>
        <s v="01472 雨竜郡幌加内町"/>
        <s v="01481 増毛郡増毛町"/>
        <s v="01482 留萌郡小平町"/>
        <s v="01483 苫前郡苫前町"/>
        <s v="01484 苫前郡羽幌町"/>
        <s v="01485 苫前郡初山別村"/>
        <s v="01486 天塩郡遠別町"/>
        <s v="01487 天塩郡天塩町"/>
        <s v="01511 宗谷郡猿払村"/>
        <s v="01512 枝幸郡浜頓別町"/>
        <s v="01513 枝幸郡中頓別町"/>
        <s v="01514 枝幸郡枝幸町"/>
        <s v="01516 天塩郡豊富町"/>
        <s v="01517 礼文郡礼文町"/>
        <s v="01518 利尻郡利尻町"/>
        <s v="01519 利尻郡利尻富士町"/>
        <s v="01520 天塩郡幌延町"/>
        <s v="01543 網走郡美幌町"/>
        <s v="01544 網走郡津別町"/>
        <s v="01545 斜里郡斜里町"/>
        <s v="01546 斜里郡清里町"/>
        <s v="01547 斜里郡小清水町"/>
        <s v="01549 常呂郡訓子府町"/>
        <s v="01550 常呂郡置戸町"/>
        <s v="01552 常呂郡佐呂間町"/>
        <s v="01555 紋別郡遠軽町"/>
        <s v="01559 紋別郡湧別町"/>
        <s v="01560 紋別郡滝上町"/>
        <s v="01561 紋別郡興部町"/>
        <s v="01562 紋別郡西興部村"/>
        <s v="01563 紋別郡雄武町"/>
        <s v="01564 網走郡大空町"/>
        <s v="01571 虻田郡豊浦町"/>
        <s v="01575 有珠郡壮瞥町"/>
        <s v="01578 白老郡白老町"/>
        <s v="01581 勇払郡厚真町"/>
        <s v="01584 虻田郡洞爺湖町"/>
        <s v="01585 勇払郡安平町"/>
        <s v="01586 勇払郡むかわ町"/>
        <s v="01601 沙流郡日高町"/>
        <s v="01602 沙流郡平取町"/>
        <s v="01604 新冠郡新冠町"/>
        <s v="01607 浦河郡浦河町"/>
        <s v="01608 様似郡様似町"/>
        <s v="01609 幌泉郡えりも町"/>
        <s v="01610 日高郡新ひだか町"/>
        <s v="01631 河東郡音更町"/>
        <s v="01632 河東郡士幌町"/>
        <s v="01633 河東郡上士幌町"/>
        <s v="01634 河東郡鹿追町"/>
        <s v="01635 上川郡新得町"/>
        <s v="01636 上川郡清水町"/>
        <s v="01637 河西郡芽室町"/>
        <s v="01638 河西郡中札内村"/>
        <s v="01639 河西郡更別村"/>
        <s v="01641 広尾郡大樹町"/>
        <s v="01642 広尾郡広尾町"/>
        <s v="01643 中川郡幕別町"/>
        <s v="01644 中川郡池田町"/>
        <s v="01645 中川郡豊頃町"/>
        <s v="01646 中川郡本別町"/>
        <s v="01647 足寄郡足寄町"/>
        <s v="01648 足寄郡陸別町"/>
        <s v="01649 十勝郡浦幌町"/>
        <s v="01661 釧路郡釧路町"/>
        <s v="01662 厚岸郡厚岸町"/>
        <s v="01663 厚岸郡浜中町"/>
        <s v="01664 川上郡標茶町"/>
        <s v="01665 川上郡弟子屈町"/>
        <s v="01667 阿寒郡鶴居村"/>
        <s v="01668 白糠郡白糠町"/>
        <s v="01691 野付郡別海町"/>
        <s v="01692 標津郡中標津町"/>
        <s v="01693 標津郡標津町"/>
        <s v="01694 目梨郡羅臼町"/>
      </sharedItems>
    </cacheField>
    <cacheField name="産業分類コード" numFmtId="0" sqlType="-8">
      <sharedItems count="73">
        <s v="76"/>
        <s v="78"/>
        <s v="69"/>
        <s v="60"/>
        <s v="06"/>
        <s v="07"/>
        <s v="58"/>
        <s v="83"/>
        <s v="08"/>
        <s v="82"/>
        <s v="72"/>
        <s v="59"/>
        <s v="74"/>
        <s v="57"/>
        <s v="85"/>
        <s v="54"/>
        <s v="55"/>
        <s v="53"/>
        <s v="52"/>
        <s v="79"/>
        <s v="68"/>
        <s v="92"/>
        <s v="39"/>
        <s v="61"/>
        <s v="67"/>
        <s v="43"/>
        <s v="77"/>
        <s v="89"/>
        <s v="09"/>
        <s v="90"/>
        <s v="75"/>
        <s v="70"/>
        <s v="12"/>
        <s v="26"/>
        <s v="80"/>
        <s v="44"/>
        <s v="88"/>
        <s v="95"/>
        <s v="15"/>
        <s v="11"/>
        <s v="24"/>
        <s v="36"/>
        <s v="21"/>
        <s v="71"/>
        <s v="31"/>
        <s v="13"/>
        <s v="18"/>
        <s v="47"/>
        <s v="48"/>
        <s v="10"/>
        <s v="16"/>
        <s v="17"/>
        <s v="33"/>
        <s v="56"/>
        <s v="25"/>
        <s v="32"/>
        <s v="34"/>
        <s v="91"/>
        <s v="73"/>
        <s v="22"/>
        <s v="05"/>
        <s v="45"/>
        <s v="40"/>
        <s v="29"/>
        <s v="41"/>
        <s v="28"/>
        <s v="20"/>
        <s v="42"/>
        <s v="37"/>
        <s v="49"/>
        <s v="38"/>
        <s v="27"/>
        <s v="14"/>
      </sharedItems>
    </cacheField>
    <cacheField name="産業分類" numFmtId="0" sqlType="-9">
      <sharedItems count="73">
        <s v="飲食店"/>
        <s v="洗濯・理容・美容・浴場業"/>
        <s v="不動産賃貸業・管理業"/>
        <s v="その他の小売業"/>
        <s v="総合工事業"/>
        <s v="職別工事業（設備工事業を除く）"/>
        <s v="飲食料品小売業"/>
        <s v="医療業"/>
        <s v="設備工事業"/>
        <s v="その他の教育，学習支援業"/>
        <s v="専門サービス業（他に分類されないもの）"/>
        <s v="機械器具小売業"/>
        <s v="技術サービス業（他に分類されないもの）"/>
        <s v="織物・衣服・身の回り品小売業"/>
        <s v="社会保険・社会福祉・介護事業"/>
        <s v="機械器具卸売業"/>
        <s v="その他の卸売業"/>
        <s v="建築材料，鉱物・金属材料等卸売業"/>
        <s v="飲食料品卸売業"/>
        <s v="その他の生活関連サービス業"/>
        <s v="不動産取引業"/>
        <s v="その他の事業サービス業"/>
        <s v="情報サービス業"/>
        <s v="無店舗小売業"/>
        <s v="保険業（保険媒介代理業，保険サービス業を含む）"/>
        <s v="道路旅客運送業"/>
        <s v="持ち帰り・配達飲食サービス業"/>
        <s v="自動車整備業"/>
        <s v="食料品製造業"/>
        <s v="機械等修理業（別掲を除く）"/>
        <s v="宿泊業"/>
        <s v="物品賃貸業"/>
        <s v="木材・木製品製造業（家具を除く）"/>
        <s v="生産用機械器具製造業"/>
        <s v="娯楽業"/>
        <s v="道路貨物運送業"/>
        <s v="廃棄物処理業"/>
        <s v="その他のサービス業"/>
        <s v="印刷・同関連業"/>
        <s v="繊維工業"/>
        <s v="金属製品製造業"/>
        <s v="水道業"/>
        <s v="窯業・土石製品製造業"/>
        <s v="学術・開発研究機関"/>
        <s v="輸送用機械器具製造業"/>
        <s v="家具・装備品製造業"/>
        <s v="プラスチック製品製造業（別掲を除く）"/>
        <s v="倉庫業"/>
        <s v="運輸に附帯するサービス業"/>
        <s v="飲料・たばこ・飼料製造業"/>
        <s v="化学工業"/>
        <s v="石油製品・石炭製品製造業"/>
        <s v="電気業"/>
        <s v="各種商品小売業"/>
        <s v="はん用機械器具製造業"/>
        <s v="その他の製造業"/>
        <s v="ガス業"/>
        <s v="職業紹介・労働者派遣業"/>
        <s v="広告業"/>
        <s v="鉄鋼業"/>
        <s v="鉱業，採石業，砂利採取業"/>
        <s v="水運業"/>
        <s v="インターネット附随サービス業"/>
        <s v="電気機械器具製造業"/>
        <s v="映像・音声・文字情報制作業"/>
        <s v="電子部品・デバイス・電子回路製造業"/>
        <s v="なめし革・同製品・毛皮製造業"/>
        <s v="鉄道業"/>
        <s v="通信業"/>
        <s v="郵便業（信書便事業を含む）"/>
        <s v="放送業"/>
        <s v="業務用機械器具製造業"/>
        <s v="パルプ・紙・紙加工品製造業"/>
      </sharedItems>
    </cacheField>
    <cacheField name="産業中分類" numFmtId="0" sqlType="-9">
      <sharedItems count="73">
        <s v="76 飲食店"/>
        <s v="78 洗濯・理容・美容・浴場業"/>
        <s v="69 不動産賃貸業・管理業"/>
        <s v="60 その他の小売業"/>
        <s v="06 総合工事業"/>
        <s v="07 職別工事業（設備工事業を除く）"/>
        <s v="58 飲食料品小売業"/>
        <s v="83 医療業"/>
        <s v="08 設備工事業"/>
        <s v="82 その他の教育，学習支援業"/>
        <s v="72 専門サービス業（他に分類されないもの）"/>
        <s v="59 機械器具小売業"/>
        <s v="74 技術サービス業（他に分類されないもの）"/>
        <s v="57 織物・衣服・身の回り品小売業"/>
        <s v="85 社会保険・社会福祉・介護事業"/>
        <s v="54 機械器具卸売業"/>
        <s v="55 その他の卸売業"/>
        <s v="53 建築材料，鉱物・金属材料等卸売業"/>
        <s v="52 飲食料品卸売業"/>
        <s v="79 その他の生活関連サービス業"/>
        <s v="68 不動産取引業"/>
        <s v="92 その他の事業サービス業"/>
        <s v="39 情報サービス業"/>
        <s v="61 無店舗小売業"/>
        <s v="67 保険業（保険媒介代理業，保険サービス業を含む）"/>
        <s v="43 道路旅客運送業"/>
        <s v="77 持ち帰り・配達飲食サービス業"/>
        <s v="89 自動車整備業"/>
        <s v="09 食料品製造業"/>
        <s v="90 機械等修理業（別掲を除く）"/>
        <s v="75 宿泊業"/>
        <s v="70 物品賃貸業"/>
        <s v="12 木材・木製品製造業（家具を除く）"/>
        <s v="26 生産用機械器具製造業"/>
        <s v="80 娯楽業"/>
        <s v="44 道路貨物運送業"/>
        <s v="88 廃棄物処理業"/>
        <s v="95 その他のサービス業"/>
        <s v="15 印刷・同関連業"/>
        <s v="11 繊維工業"/>
        <s v="24 金属製品製造業"/>
        <s v="36 水道業"/>
        <s v="21 窯業・土石製品製造業"/>
        <s v="71 学術・開発研究機関"/>
        <s v="31 輸送用機械器具製造業"/>
        <s v="13 家具・装備品製造業"/>
        <s v="18 プラスチック製品製造業（別掲を除く）"/>
        <s v="47 倉庫業"/>
        <s v="48 運輸に附帯するサービス業"/>
        <s v="10 飲料・たばこ・飼料製造業"/>
        <s v="16 化学工業"/>
        <s v="17 石油製品・石炭製品製造業"/>
        <s v="33 電気業"/>
        <s v="56 各種商品小売業"/>
        <s v="25 はん用機械器具製造業"/>
        <s v="32 その他の製造業"/>
        <s v="34 ガス業"/>
        <s v="91 職業紹介・労働者派遣業"/>
        <s v="73 広告業"/>
        <s v="22 鉄鋼業"/>
        <s v="05 鉱業，採石業，砂利採取業"/>
        <s v="45 水運業"/>
        <s v="40 インターネット附随サービス業"/>
        <s v="29 電気機械器具製造業"/>
        <s v="41 映像・音声・文字情報制作業"/>
        <s v="28 電子部品・デバイス・電子回路製造業"/>
        <s v="20 なめし革・同製品・毛皮製造業"/>
        <s v="42 鉄道業"/>
        <s v="37 通信業"/>
        <s v="49 郵便業（信書便事業を含む）"/>
        <s v="38 放送業"/>
        <s v="27 業務用機械器具製造業"/>
        <s v="14 パルプ・紙・紙加工品製造業"/>
      </sharedItems>
    </cacheField>
    <cacheField name="rank" numFmtId="0" sqlType="-5">
      <sharedItems containsSemiMixedTypes="0" containsString="0" containsNumber="1" containsInteger="1" minValue="1" maxValue="20" count="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</sharedItems>
    </cacheField>
    <cacheField name="総数" numFmtId="0" sqlType="4">
      <sharedItems containsSemiMixedTypes="0" containsString="0" containsNumber="1" containsInteger="1" minValue="1" maxValue="15292" count="290">
        <n v="15292"/>
        <n v="12610"/>
        <n v="10462"/>
        <n v="7641"/>
        <n v="6113"/>
        <n v="5685"/>
        <n v="4745"/>
        <n v="4216"/>
        <n v="4086"/>
        <n v="3594"/>
        <n v="3032"/>
        <n v="3030"/>
        <n v="2635"/>
        <n v="2586"/>
        <n v="2530"/>
        <n v="2079"/>
        <n v="1836"/>
        <n v="1785"/>
        <n v="1567"/>
        <n v="1471"/>
        <n v="4796"/>
        <n v="4486"/>
        <n v="3537"/>
        <n v="1926"/>
        <n v="1824"/>
        <n v="1716"/>
        <n v="1685"/>
        <n v="1608"/>
        <n v="1500"/>
        <n v="1143"/>
        <n v="1088"/>
        <n v="953"/>
        <n v="901"/>
        <n v="875"/>
        <n v="803"/>
        <n v="757"/>
        <n v="710"/>
        <n v="661"/>
        <n v="644"/>
        <n v="602"/>
        <n v="2267"/>
        <n v="994"/>
        <n v="920"/>
        <n v="822"/>
        <n v="567"/>
        <n v="388"/>
        <n v="369"/>
        <n v="336"/>
        <n v="292"/>
        <n v="286"/>
        <n v="263"/>
        <n v="255"/>
        <n v="244"/>
        <n v="211"/>
        <n v="193"/>
        <n v="176"/>
        <n v="166"/>
        <n v="147"/>
        <n v="144"/>
        <n v="508"/>
        <n v="499"/>
        <n v="384"/>
        <n v="365"/>
        <n v="306"/>
        <n v="300"/>
        <n v="220"/>
        <n v="185"/>
        <n v="149"/>
        <n v="128"/>
        <n v="127"/>
        <n v="116"/>
        <n v="109"/>
        <n v="103"/>
        <n v="97"/>
        <n v="88"/>
        <n v="84"/>
        <n v="82"/>
        <n v="73"/>
        <n v="629"/>
        <n v="392"/>
        <n v="351"/>
        <n v="276"/>
        <n v="261"/>
        <n v="259"/>
        <n v="192"/>
        <n v="172"/>
        <n v="160"/>
        <n v="120"/>
        <n v="117"/>
        <n v="114"/>
        <n v="101"/>
        <n v="100"/>
        <n v="96"/>
        <n v="91"/>
        <n v="71"/>
        <n v="64"/>
        <n v="683"/>
        <n v="356"/>
        <n v="333"/>
        <n v="320"/>
        <n v="226"/>
        <n v="186"/>
        <n v="175"/>
        <n v="148"/>
        <n v="124"/>
        <n v="113"/>
        <n v="112"/>
        <n v="79"/>
        <n v="72"/>
        <n v="68"/>
        <n v="66"/>
        <n v="685"/>
        <n v="379"/>
        <n v="274"/>
        <n v="167"/>
        <n v="154"/>
        <n v="152"/>
        <n v="146"/>
        <n v="105"/>
        <n v="95"/>
        <n v="85"/>
        <n v="81"/>
        <n v="62"/>
        <n v="58"/>
        <n v="47"/>
        <n v="284"/>
        <n v="227"/>
        <n v="219"/>
        <n v="123"/>
        <n v="111"/>
        <n v="70"/>
        <n v="65"/>
        <n v="63"/>
        <n v="44"/>
        <n v="42"/>
        <n v="35"/>
        <n v="32"/>
        <n v="30"/>
        <n v="28"/>
        <n v="27"/>
        <n v="26"/>
        <n v="510"/>
        <n v="380"/>
        <n v="323"/>
        <n v="179"/>
        <n v="159"/>
        <n v="156"/>
        <n v="140"/>
        <n v="130"/>
        <n v="98"/>
        <n v="89"/>
        <n v="83"/>
        <n v="61"/>
        <n v="60"/>
        <n v="45"/>
        <n v="115"/>
        <n v="55"/>
        <n v="52"/>
        <n v="49"/>
        <n v="43"/>
        <n v="34"/>
        <n v="31"/>
        <n v="25"/>
        <n v="24"/>
        <n v="22"/>
        <n v="221"/>
        <n v="145"/>
        <n v="94"/>
        <n v="48"/>
        <n v="46"/>
        <n v="121"/>
        <n v="93"/>
        <n v="76"/>
        <n v="54"/>
        <n v="29"/>
        <n v="23"/>
        <n v="851"/>
        <n v="791"/>
        <n v="543"/>
        <n v="464"/>
        <n v="427"/>
        <n v="376"/>
        <n v="251"/>
        <n v="225"/>
        <n v="208"/>
        <n v="199"/>
        <n v="155"/>
        <n v="136"/>
        <n v="108"/>
        <n v="99"/>
        <n v="92"/>
        <n v="454"/>
        <n v="315"/>
        <n v="283"/>
        <n v="59"/>
        <n v="57"/>
        <n v="50"/>
        <n v="41"/>
        <n v="36"/>
        <n v="1055"/>
        <n v="902"/>
        <n v="705"/>
        <n v="457"/>
        <n v="389"/>
        <n v="386"/>
        <n v="250"/>
        <n v="241"/>
        <n v="224"/>
        <n v="207"/>
        <n v="168"/>
        <n v="143"/>
        <n v="122"/>
        <n v="322"/>
        <n v="184"/>
        <n v="142"/>
        <n v="86"/>
        <n v="51"/>
        <n v="39"/>
        <n v="33"/>
        <n v="773"/>
        <n v="517"/>
        <n v="514"/>
        <n v="171"/>
        <n v="165"/>
        <n v="162"/>
        <n v="141"/>
        <n v="102"/>
        <n v="87"/>
        <n v="769"/>
        <n v="555"/>
        <n v="325"/>
        <n v="294"/>
        <n v="243"/>
        <n v="182"/>
        <n v="135"/>
        <n v="131"/>
        <n v="129"/>
        <n v="67"/>
        <n v="368"/>
        <n v="317"/>
        <n v="233"/>
        <n v="178"/>
        <n v="119"/>
        <n v="90"/>
        <n v="38"/>
        <n v="20"/>
        <n v="13"/>
        <n v="7"/>
        <n v="6"/>
        <n v="5"/>
        <n v="4"/>
        <n v="3"/>
        <n v="2"/>
        <n v="198"/>
        <n v="195"/>
        <n v="187"/>
        <n v="80"/>
        <n v="56"/>
        <n v="19"/>
        <n v="18"/>
        <n v="21"/>
        <n v="17"/>
        <n v="16"/>
        <n v="12"/>
        <n v="11"/>
        <n v="74"/>
        <n v="37"/>
        <n v="15"/>
        <n v="9"/>
        <n v="8"/>
        <n v="437"/>
        <n v="433"/>
        <n v="201"/>
        <n v="191"/>
        <n v="173"/>
        <n v="132"/>
        <n v="77"/>
        <n v="157"/>
        <n v="53"/>
        <n v="14"/>
        <n v="10"/>
        <n v="212"/>
        <n v="133"/>
        <n v="40"/>
        <n v="125"/>
        <n v="267"/>
        <n v="107"/>
        <n v="1"/>
        <n v="69"/>
        <n v="75"/>
      </sharedItems>
    </cacheField>
    <cacheField name="構成比" numFmtId="0" sqlType="3">
      <sharedItems containsSemiMixedTypes="0" containsString="0" containsNumber="1" minValue="0.75" maxValue="24.66" count="929">
        <n v="12.71"/>
        <n v="10.48"/>
        <n v="8.69"/>
        <n v="6.35"/>
        <n v="5.08"/>
        <n v="4.72"/>
        <n v="3.94"/>
        <n v="3.5"/>
        <n v="3.4"/>
        <n v="2.99"/>
        <n v="2.52"/>
        <n v="2.19"/>
        <n v="2.15"/>
        <n v="2.1"/>
        <n v="1.73"/>
        <n v="1.53"/>
        <n v="1.48"/>
        <n v="1.3"/>
        <n v="1.22"/>
        <n v="12.29"/>
        <n v="11.5"/>
        <n v="9.07"/>
        <n v="4.9400000000000004"/>
        <n v="4.67"/>
        <n v="4.4000000000000004"/>
        <n v="4.32"/>
        <n v="4.12"/>
        <n v="3.84"/>
        <n v="2.93"/>
        <n v="2.79"/>
        <n v="2.44"/>
        <n v="2.31"/>
        <n v="2.2400000000000002"/>
        <n v="2.06"/>
        <n v="1.94"/>
        <n v="1.82"/>
        <n v="1.69"/>
        <n v="1.65"/>
        <n v="1.54"/>
        <n v="20.8"/>
        <n v="9.1199999999999992"/>
        <n v="8.44"/>
        <n v="7.54"/>
        <n v="5.2"/>
        <n v="3.56"/>
        <n v="3.39"/>
        <n v="3.08"/>
        <n v="2.68"/>
        <n v="2.62"/>
        <n v="2.41"/>
        <n v="2.34"/>
        <n v="1.77"/>
        <n v="1.61"/>
        <n v="1.52"/>
        <n v="1.35"/>
        <n v="1.32"/>
        <n v="10.23"/>
        <n v="10.039999999999999"/>
        <n v="7.73"/>
        <n v="7.35"/>
        <n v="6.16"/>
        <n v="6.04"/>
        <n v="4.43"/>
        <n v="4.25"/>
        <n v="3.72"/>
        <n v="3"/>
        <n v="2.58"/>
        <n v="2.56"/>
        <n v="2.33"/>
        <n v="2.0699999999999998"/>
        <n v="1.95"/>
        <n v="1.47"/>
        <n v="13.52"/>
        <n v="8.43"/>
        <n v="7.55"/>
        <n v="5.93"/>
        <n v="5.61"/>
        <n v="5.57"/>
        <n v="4.13"/>
        <n v="3.7"/>
        <n v="3.44"/>
        <n v="2.4500000000000002"/>
        <n v="2.17"/>
        <n v="1.96"/>
        <n v="1.89"/>
        <n v="1.38"/>
        <n v="15.3"/>
        <n v="7.97"/>
        <n v="7.46"/>
        <n v="7.17"/>
        <n v="5.0599999999999996"/>
        <n v="4.17"/>
        <n v="3.92"/>
        <n v="3.31"/>
        <n v="2.78"/>
        <n v="2.5299999999999998"/>
        <n v="2.5099999999999998"/>
        <n v="1.88"/>
        <n v="1.63"/>
        <n v="1.43"/>
        <n v="19.989999999999998"/>
        <n v="11.06"/>
        <n v="8"/>
        <n v="4.87"/>
        <n v="4.49"/>
        <n v="4.4400000000000004"/>
        <n v="4.26"/>
        <n v="3.06"/>
        <n v="3.01"/>
        <n v="2.95"/>
        <n v="2.83"/>
        <n v="2.77"/>
        <n v="2.48"/>
        <n v="2.36"/>
        <n v="1.81"/>
        <n v="1.37"/>
        <n v="13.94"/>
        <n v="11.14"/>
        <n v="10.75"/>
        <n v="5.45"/>
        <n v="3.19"/>
        <n v="3.09"/>
        <n v="2.16"/>
        <n v="1.72"/>
        <n v="1.57"/>
        <n v="1.33"/>
        <n v="1.28"/>
        <n v="13.93"/>
        <n v="10.38"/>
        <n v="8.82"/>
        <n v="4.8899999999999997"/>
        <n v="4.34"/>
        <n v="3.82"/>
        <n v="3.55"/>
        <n v="3.36"/>
        <n v="2.4300000000000002"/>
        <n v="2.27"/>
        <n v="1.75"/>
        <n v="1.67"/>
        <n v="1.64"/>
        <n v="1.23"/>
        <n v="15.35"/>
        <n v="10.62"/>
        <n v="8.36"/>
        <n v="5.31"/>
        <n v="4.8"/>
        <n v="4"/>
        <n v="3.78"/>
        <n v="3.2"/>
        <n v="3.13"/>
        <n v="2.5499999999999998"/>
        <n v="2.4700000000000002"/>
        <n v="2.25"/>
        <n v="2.04"/>
        <n v="1.6"/>
        <n v="11.64"/>
        <n v="7.8"/>
        <n v="7.64"/>
        <n v="6.53"/>
        <n v="5.85"/>
        <n v="5.16"/>
        <n v="4.95"/>
        <n v="4.79"/>
        <n v="3.37"/>
        <n v="2.74"/>
        <n v="2.42"/>
        <n v="1.79"/>
        <n v="1.42"/>
        <n v="10.52"/>
        <n v="8.81"/>
        <n v="7.4"/>
        <n v="7.09"/>
        <n v="6.85"/>
        <n v="5.69"/>
        <n v="4.83"/>
        <n v="4.6500000000000004"/>
        <n v="3.98"/>
        <n v="3.3"/>
        <n v="2.63"/>
        <n v="2.08"/>
        <n v="1.59"/>
        <n v="1.41"/>
        <n v="12.72"/>
        <n v="11.83"/>
        <n v="8.1199999999999992"/>
        <n v="6.94"/>
        <n v="6.38"/>
        <n v="5.62"/>
        <n v="3.75"/>
        <n v="3.11"/>
        <n v="2.98"/>
        <n v="2.57"/>
        <n v="2.3199999999999998"/>
        <n v="2.0299999999999998"/>
        <n v="1.85"/>
        <n v="15.36"/>
        <n v="10.66"/>
        <n v="9.57"/>
        <n v="7.14"/>
        <n v="4.1900000000000004"/>
        <n v="4.0599999999999996"/>
        <n v="3.89"/>
        <n v="3.42"/>
        <n v="2.81"/>
        <n v="2.37"/>
        <n v="2.2999999999999998"/>
        <n v="2"/>
        <n v="1.93"/>
        <n v="1.49"/>
        <n v="1.39"/>
        <n v="1.1499999999999999"/>
        <n v="13.39"/>
        <n v="11.45"/>
        <n v="8.9499999999999993"/>
        <n v="5.8"/>
        <n v="4.9000000000000004"/>
        <n v="4.2300000000000004"/>
        <n v="3.17"/>
        <n v="2.84"/>
        <n v="2.1800000000000002"/>
        <n v="2.13"/>
        <n v="1.55"/>
        <n v="15.59"/>
        <n v="10.84"/>
        <n v="8.91"/>
        <n v="6.87"/>
        <n v="4.74"/>
        <n v="4.5999999999999996"/>
        <n v="4.16"/>
        <n v="4.07"/>
        <n v="2.23"/>
        <n v="1.45"/>
        <n v="1.4"/>
        <n v="1.31"/>
        <n v="16.88"/>
        <n v="11.29"/>
        <n v="11.22"/>
        <n v="5.66"/>
        <n v="3.73"/>
        <n v="3.6"/>
        <n v="3.54"/>
        <n v="1.9"/>
        <n v="1.66"/>
        <n v="15.45"/>
        <n v="11.15"/>
        <n v="5.91"/>
        <n v="4.88"/>
        <n v="3.66"/>
        <n v="2.71"/>
        <n v="2.59"/>
        <n v="13.12"/>
        <n v="11.3"/>
        <n v="8.31"/>
        <n v="4.24"/>
        <n v="3.35"/>
        <n v="3.32"/>
        <n v="3.21"/>
        <n v="2.39"/>
        <n v="1.68"/>
        <n v="17.8"/>
        <n v="14.66"/>
        <n v="14.14"/>
        <n v="10.47"/>
        <n v="6.81"/>
        <n v="3.14"/>
        <n v="2.09"/>
        <n v="1.05"/>
        <n v="11.93"/>
        <n v="11.75"/>
        <n v="11.27"/>
        <n v="5.18"/>
        <n v="4.82"/>
        <n v="3.38"/>
        <n v="3.07"/>
        <n v="2.89"/>
        <n v="2.11"/>
        <n v="1.99"/>
        <n v="1.08"/>
        <n v="12.77"/>
        <n v="11.53"/>
        <n v="9.7200000000000006"/>
        <n v="8.02"/>
        <n v="5.76"/>
        <n v="4.41"/>
        <n v="2.82"/>
        <n v="2.6"/>
        <n v="2.4900000000000002"/>
        <n v="1.92"/>
        <n v="1.36"/>
        <n v="1.24"/>
        <n v="14.43"/>
        <n v="12.13"/>
        <n v="8.0299999999999994"/>
        <n v="6.07"/>
        <n v="5.41"/>
        <n v="3.61"/>
        <n v="2.46"/>
        <n v="1.97"/>
        <n v="1.8"/>
        <n v="12"/>
        <n v="11.89"/>
        <n v="6.2"/>
        <n v="5.52"/>
        <n v="5.24"/>
        <n v="4.75"/>
        <n v="3.62"/>
        <n v="3.05"/>
        <n v="2.61"/>
        <n v="2.2200000000000002"/>
        <n v="1.84"/>
        <n v="1.51"/>
        <n v="16.29"/>
        <n v="7.37"/>
        <n v="6.43"/>
        <n v="5.5"/>
        <n v="4.7699999999999996"/>
        <n v="3.63"/>
        <n v="2.2799999999999998"/>
        <n v="1.87"/>
        <n v="1.76"/>
        <n v="1.56"/>
        <n v="13.23"/>
        <n v="11.42"/>
        <n v="8.2200000000000006"/>
        <n v="5.01"/>
        <n v="3.41"/>
        <n v="1.2"/>
        <n v="1"/>
        <n v="0.8"/>
        <n v="15.74"/>
        <n v="14.87"/>
        <n v="8.16"/>
        <n v="7"/>
        <n v="5.25"/>
        <n v="4.66"/>
        <n v="2.92"/>
        <n v="1.46"/>
        <n v="1.17"/>
        <n v="0.87"/>
        <n v="11.63"/>
        <n v="9.16"/>
        <n v="7.95"/>
        <n v="7.3"/>
        <n v="6.64"/>
        <n v="6.31"/>
        <n v="6.14"/>
        <n v="5.54"/>
        <n v="2.69"/>
        <n v="1.21"/>
        <n v="1.1000000000000001"/>
        <n v="15"/>
        <n v="13.33"/>
        <n v="12.92"/>
        <n v="8.33"/>
        <n v="5.83"/>
        <n v="5.42"/>
        <n v="2.5"/>
        <n v="1.25"/>
        <n v="0.83"/>
        <n v="16.920000000000002"/>
        <n v="11.2"/>
        <n v="4.2"/>
        <n v="3.69"/>
        <n v="2.29"/>
        <n v="1.91"/>
        <n v="15.75"/>
        <n v="11.13"/>
        <n v="8.39"/>
        <n v="6.51"/>
        <n v="4.62"/>
        <n v="4.28"/>
        <n v="4.1100000000000003"/>
        <n v="3.25"/>
        <n v="2.0499999999999998"/>
        <n v="1.71"/>
        <n v="14.71"/>
        <n v="14.58"/>
        <n v="11.38"/>
        <n v="7.42"/>
        <n v="4.4800000000000004"/>
        <n v="4.09"/>
        <n v="14.97"/>
        <n v="10.16"/>
        <n v="9.09"/>
        <n v="7.49"/>
        <n v="4.8099999999999996"/>
        <n v="3.74"/>
        <n v="2.67"/>
        <n v="1.07"/>
        <n v="15.55"/>
        <n v="13.56"/>
        <n v="6.84"/>
        <n v="5.35"/>
        <n v="4.9800000000000004"/>
        <n v="1.74"/>
        <n v="1.62"/>
        <n v="17.510000000000002"/>
        <n v="11.54"/>
        <n v="7.02"/>
        <n v="4.33"/>
        <n v="3.87"/>
        <n v="3.15"/>
        <n v="1.44"/>
        <n v="1.1100000000000001"/>
        <n v="16.399999999999999"/>
        <n v="13.04"/>
        <n v="6.62"/>
        <n v="6.23"/>
        <n v="4.84"/>
        <n v="3.85"/>
        <n v="3.46"/>
        <n v="3.26"/>
        <n v="1.98"/>
        <n v="1.58"/>
        <n v="18.27"/>
        <n v="7.45"/>
        <n v="6.01"/>
        <n v="2.88"/>
        <n v="2.64"/>
        <n v="2.4"/>
        <n v="13.43"/>
        <n v="10.45"/>
        <n v="5.97"/>
        <n v="15.4"/>
        <n v="13.54"/>
        <n v="7.61"/>
        <n v="7.24"/>
        <n v="5.38"/>
        <n v="3.9"/>
        <n v="2.97"/>
        <n v="1.86"/>
        <n v="0.93"/>
        <n v="17.47"/>
        <n v="10.61"/>
        <n v="10.3"/>
        <n v="8.74"/>
        <n v="5.46"/>
        <n v="4.99"/>
        <n v="3.12"/>
        <n v="2.96"/>
        <n v="2.65"/>
        <n v="13.02"/>
        <n v="10.76"/>
        <n v="8.7200000000000006"/>
        <n v="7.86"/>
        <n v="6.67"/>
        <n v="3.88"/>
        <n v="3.23"/>
        <n v="1.18"/>
        <n v="15.23"/>
        <n v="10.19"/>
        <n v="8.11"/>
        <n v="6.63"/>
        <n v="5.74"/>
        <n v="5.64"/>
        <n v="1.29"/>
        <n v="1.19"/>
        <n v="13.38"/>
        <n v="12.21"/>
        <n v="11.95"/>
        <n v="3.77"/>
        <n v="3.51"/>
        <n v="2.73"/>
        <n v="2.21"/>
        <n v="8.0500000000000007"/>
        <n v="6.75"/>
        <n v="6.27"/>
        <n v="6.15"/>
        <n v="5.44"/>
        <n v="5.33"/>
        <n v="4.97"/>
        <n v="3.67"/>
        <n v="2.72"/>
        <n v="2.0099999999999998"/>
        <n v="9.73"/>
        <n v="8.48"/>
        <n v="7.32"/>
        <n v="3.93"/>
        <n v="2.86"/>
        <n v="1.1599999999999999"/>
        <n v="13.29"/>
        <n v="8.5"/>
        <n v="6.11"/>
        <n v="5.87"/>
        <n v="5.39"/>
        <n v="3.95"/>
        <n v="3.59"/>
        <n v="2.75"/>
        <n v="13.47"/>
        <n v="10.44"/>
        <n v="9.43"/>
        <n v="6.4"/>
        <n v="5.05"/>
        <n v="4.04"/>
        <n v="3.03"/>
        <n v="2.02"/>
        <n v="1.01"/>
        <n v="12.12"/>
        <n v="6.06"/>
        <n v="15.69"/>
        <n v="14.22"/>
        <n v="12.25"/>
        <n v="6.86"/>
        <n v="3.43"/>
        <n v="0.98"/>
        <n v="12.1"/>
        <n v="10.83"/>
        <n v="9.5500000000000007"/>
        <n v="7.01"/>
        <n v="6.37"/>
        <n v="5.0999999999999996"/>
        <n v="4.46"/>
        <n v="3.18"/>
        <n v="1.27"/>
        <n v="11.11"/>
        <n v="8.08"/>
        <n v="14.18"/>
        <n v="9.6999999999999993"/>
        <n v="6.72"/>
        <n v="5.22"/>
        <n v="12.26"/>
        <n v="9.25"/>
        <n v="7.31"/>
        <n v="6.02"/>
        <n v="5.59"/>
        <n v="4.7300000000000004"/>
        <n v="4.3"/>
        <n v="2.8"/>
        <n v="13.48"/>
        <n v="12.36"/>
        <n v="11.24"/>
        <n v="8.99"/>
        <n v="1.1200000000000001"/>
        <n v="12.7"/>
        <n v="10.08"/>
        <n v="8.8699999999999992"/>
        <n v="6.65"/>
        <n v="5.04"/>
        <n v="3.02"/>
        <n v="13.45"/>
        <n v="7.23"/>
        <n v="15.43"/>
        <n v="9.7100000000000009"/>
        <n v="6.29"/>
        <n v="5.71"/>
        <n v="1.1399999999999999"/>
        <n v="16.07"/>
        <n v="10.36"/>
        <n v="4.6399999999999997"/>
        <n v="4.29"/>
        <n v="17.07"/>
        <n v="9.76"/>
        <n v="8.94"/>
        <n v="6.5"/>
        <n v="0.81"/>
        <n v="11.4"/>
        <n v="10.53"/>
        <n v="7.89"/>
        <n v="13.91"/>
        <n v="7.83"/>
        <n v="6.09"/>
        <n v="4.3499999999999996"/>
        <n v="3.48"/>
        <n v="17.16"/>
        <n v="12.69"/>
        <n v="11.19"/>
        <n v="8.2100000000000009"/>
        <n v="0.75"/>
        <n v="15.29"/>
        <n v="12.74"/>
        <n v="8.2799999999999994"/>
        <n v="11.68"/>
        <n v="10.31"/>
        <n v="9.6199999999999992"/>
        <n v="9.2799999999999994"/>
        <n v="6.19"/>
        <n v="5.15"/>
        <n v="4.47"/>
        <n v="1.03"/>
        <n v="20.45"/>
        <n v="13.64"/>
        <n v="6.82"/>
        <n v="4.55"/>
        <n v="16.87"/>
        <n v="14.46"/>
        <n v="11.25"/>
        <n v="10"/>
        <n v="7.5"/>
        <n v="6.25"/>
        <n v="5"/>
        <n v="8.9600000000000009"/>
        <n v="15.54"/>
        <n v="15.03"/>
        <n v="7.77"/>
        <n v="5.7"/>
        <n v="24"/>
        <n v="15.71"/>
        <n v="14.29"/>
        <n v="12.86"/>
        <n v="8.57"/>
        <n v="15.94"/>
        <n v="14.49"/>
        <n v="11.59"/>
        <n v="7.25"/>
        <n v="2.9"/>
        <n v="14.12"/>
        <n v="11.76"/>
        <n v="9.41"/>
        <n v="8.24"/>
        <n v="3.53"/>
        <n v="2.35"/>
        <n v="17.68"/>
        <n v="14.26"/>
        <n v="7.98"/>
        <n v="7.22"/>
        <n v="4.18"/>
        <n v="3.99"/>
        <n v="3.04"/>
        <n v="2.85"/>
        <n v="9.48"/>
        <n v="8.6199999999999992"/>
        <n v="7.76"/>
        <n v="5.17"/>
        <n v="4.3099999999999996"/>
        <n v="3.45"/>
        <n v="16.7"/>
        <n v="11.43"/>
        <n v="7.91"/>
        <n v="3.96"/>
        <n v="3.52"/>
        <n v="2.2000000000000002"/>
        <n v="15.09"/>
        <n v="13.21"/>
        <n v="11.32"/>
        <n v="18.920000000000002"/>
        <n v="10.81"/>
        <n v="2.7"/>
        <n v="16.850000000000001"/>
        <n v="6.74"/>
        <n v="12.38"/>
        <n v="7.62"/>
        <n v="4.76"/>
        <n v="3.81"/>
        <n v="0.95"/>
        <n v="9.33"/>
        <n v="9.98"/>
        <n v="9.7799999999999994"/>
        <n v="9"/>
        <n v="7.44"/>
        <n v="4.5"/>
        <n v="3.91"/>
        <n v="2.94"/>
        <n v="16.670000000000002"/>
        <n v="12.5"/>
        <n v="14.39"/>
        <n v="10.79"/>
        <n v="9.92"/>
        <n v="8.4"/>
        <n v="7.63"/>
        <n v="5.34"/>
        <n v="4.58"/>
        <n v="19.350000000000001"/>
        <n v="9.68"/>
        <n v="6.45"/>
        <n v="3.57"/>
        <n v="2.14"/>
        <n v="17.39"/>
        <n v="6.52"/>
        <n v="2.54"/>
        <n v="12.81"/>
        <n v="10.94"/>
        <n v="9.3800000000000008"/>
        <n v="5.94"/>
        <n v="4.6900000000000004"/>
        <n v="9.3000000000000007"/>
        <n v="6.98"/>
        <n v="12.94"/>
        <n v="10.59"/>
        <n v="7.06"/>
        <n v="4.71"/>
        <n v="7.41"/>
        <n v="6.17"/>
        <n v="15.38"/>
        <n v="7.69"/>
        <n v="9.8000000000000007"/>
        <n v="7.84"/>
        <n v="5.88"/>
        <n v="20"/>
        <n v="17.48"/>
        <n v="6.8"/>
        <n v="4.8499999999999996"/>
        <n v="0.97"/>
        <n v="9.7899999999999991"/>
        <n v="6.99"/>
        <n v="7.82"/>
        <n v="7.26"/>
        <n v="9.2100000000000009"/>
        <n v="6.58"/>
        <n v="5.92"/>
        <n v="5.26"/>
        <n v="3.29"/>
        <n v="8.6"/>
        <n v="7.53"/>
        <n v="14.84"/>
        <n v="7.03"/>
        <n v="10.32"/>
        <n v="9.0299999999999994"/>
        <n v="7.1"/>
        <n v="5.81"/>
        <n v="9.1300000000000008"/>
        <n v="2.38"/>
        <n v="20.28"/>
        <n v="9.9600000000000009"/>
        <n v="1.78"/>
        <n v="18.87"/>
        <n v="17.920000000000002"/>
        <n v="8.49"/>
        <n v="0.94"/>
        <n v="24.66"/>
        <n v="5.48"/>
        <n v="18.18"/>
        <n v="7.27"/>
        <n v="3.64"/>
        <n v="12.37"/>
        <n v="11.34"/>
        <n v="13.92"/>
        <n v="7.59"/>
        <n v="3.8"/>
        <n v="13.95"/>
        <n v="8.5299999999999994"/>
        <n v="7.75"/>
        <n v="12.06"/>
        <n v="9.2200000000000006"/>
        <n v="8.51"/>
        <n v="12.9"/>
        <n v="14.89"/>
        <n v="13.1"/>
        <n v="10.34"/>
        <n v="2.76"/>
        <n v="12.16"/>
        <n v="9.4600000000000009"/>
        <n v="6.76"/>
        <n v="4.05"/>
        <n v="15.63"/>
        <n v="11.46"/>
        <n v="10.42"/>
        <n v="1.04"/>
        <n v="7.33"/>
        <n v="6.33"/>
        <n v="6"/>
        <n v="23.33"/>
        <n v="3.33"/>
        <n v="10.87"/>
        <n v="5.43"/>
        <n v="1.0900000000000001"/>
        <n v="16.510000000000002"/>
        <n v="10.09"/>
        <n v="8.26"/>
        <n v="4.59"/>
        <n v="1.83"/>
        <n v="0.92"/>
        <n v="12.82"/>
        <n v="10.26"/>
        <n v="5.13"/>
        <n v="11"/>
        <n v="17.739999999999998"/>
        <n v="8.06"/>
        <n v="16.09"/>
        <n v="14.35"/>
        <n v="6.96"/>
        <n v="5.56"/>
        <n v="3.47"/>
        <n v="18.45"/>
        <n v="14.56"/>
        <n v="10.68"/>
        <n v="2.91"/>
        <n v="17.170000000000002"/>
        <n v="16.16"/>
        <n v="9.17"/>
        <n v="9.64"/>
        <n v="14.67"/>
        <n v="9.93"/>
        <n v="2.2599999999999998"/>
        <n v="9.65"/>
        <n v="8.77"/>
        <n v="4.3899999999999997"/>
        <n v="12.24"/>
        <n v="7.81"/>
        <n v="8.75"/>
        <n v="12.23"/>
        <n v="6.47"/>
        <n v="13.19"/>
        <n v="12.09"/>
        <n v="6.59"/>
        <n v="5.49"/>
        <n v="21.3"/>
        <n v="12.04"/>
        <n v="4.63"/>
        <n v="12.08"/>
        <n v="7.38"/>
        <n v="4.7"/>
        <n v="4.03"/>
        <n v="1.34"/>
        <n v="14.81"/>
        <n v="12.07"/>
        <n v="9.11"/>
        <n v="5.47"/>
        <n v="4.5599999999999996"/>
        <n v="4.0999999999999996"/>
        <n v="6.77"/>
        <n v="5.98"/>
        <n v="4.38"/>
        <n v="10.98"/>
        <n v="6.1"/>
        <n v="11.7"/>
        <n v="5.32"/>
        <n v="1.06"/>
        <n v="9.52"/>
        <n v="20.329999999999998"/>
        <n v="13.01"/>
        <n v="8.1300000000000008"/>
        <n v="13.22"/>
        <n v="9.1999999999999993"/>
        <n v="6.32"/>
        <n v="4.0199999999999996"/>
        <n v="2.87"/>
        <n v="10.69"/>
        <n v="13.41"/>
        <n v="8.5399999999999991"/>
        <n v="13.27"/>
        <n v="11.79"/>
        <n v="4.91"/>
        <n v="4.42"/>
        <n v="20.62"/>
        <n v="8.93"/>
        <n v="7.56"/>
        <n v="5.84"/>
        <n v="12.3"/>
        <n v="9.6300000000000008"/>
        <n v="8.56"/>
        <n v="17.54"/>
        <n v="7.58"/>
        <n v="14.86"/>
        <n v="11.49"/>
        <n v="13.89"/>
        <n v="4.8600000000000003"/>
        <n v="10.29"/>
        <n v="3.68"/>
        <n v="14.08"/>
        <n v="10.5"/>
        <n v="6.92"/>
        <n v="5.73"/>
        <n v="3.34"/>
        <n v="3.1"/>
        <n v="12.78"/>
        <n v="11.28"/>
        <n v="9.77"/>
        <n v="4.51"/>
        <n v="3.76"/>
        <n v="1.5"/>
        <n v="13.46"/>
        <n v="10.9"/>
        <n v="7.05"/>
        <n v="6.41"/>
        <n v="5.77"/>
        <n v="14.98"/>
        <n v="10.14"/>
        <n v="7.72"/>
        <n v="5.75"/>
        <n v="5.6"/>
        <n v="0.91"/>
        <n v="14.61"/>
        <n v="6.88"/>
        <n v="13.18"/>
        <n v="0.78"/>
        <n v="14"/>
        <n v="11.33"/>
        <n v="8.67"/>
        <n v="9.42"/>
        <n v="5.07"/>
        <n v="17.37"/>
        <n v="5.99"/>
        <n v="12.8"/>
        <n v="10.43"/>
        <n v="8.6999999999999993"/>
        <n v="8.41"/>
        <n v="9.35"/>
        <n v="6.54"/>
        <n v="15.88"/>
        <n v="7.65"/>
        <n v="5.29"/>
        <n v="11.84"/>
        <n v="11.02"/>
        <n v="8.98"/>
        <n v="3.27"/>
        <n v="11.96"/>
        <n v="9.91"/>
        <n v="7.85"/>
        <n v="7.66"/>
        <n v="10.28"/>
        <n v="7.48"/>
        <n v="4.21"/>
        <n v="12.15"/>
        <n v="11.21"/>
        <n v="15.15"/>
        <n v="9.6"/>
        <n v="10.130000000000001"/>
        <n v="9.58"/>
        <n v="7.96"/>
        <n v="5.79"/>
        <n v="7.29"/>
        <n v="6.6"/>
        <n v="5.9"/>
        <n v="12.93"/>
        <n v="4.08"/>
        <n v="18.399999999999999"/>
        <n v="18.97"/>
        <n v="6.9"/>
        <n v="15.05"/>
        <n v="12.14"/>
        <n v="9.5399999999999991"/>
        <n v="12.97"/>
        <n v="5.09"/>
        <n v="1.7"/>
        <n v="13.61"/>
        <n v="6.12"/>
        <n v="15.12"/>
        <n v="13.37"/>
        <n v="3.49"/>
      </sharedItems>
    </cacheField>
    <cacheField name="総数（個人）" numFmtId="0" sqlType="4">
      <sharedItems containsSemiMixedTypes="0" containsString="0" containsNumber="1" containsInteger="1" minValue="0" maxValue="12632" count="191">
        <n v="12632"/>
        <n v="10507"/>
        <n v="5465"/>
        <n v="2756"/>
        <n v="793"/>
        <n v="1625"/>
        <n v="2435"/>
        <n v="3516"/>
        <n v="580"/>
        <n v="2361"/>
        <n v="1909"/>
        <n v="1181"/>
        <n v="710"/>
        <n v="905"/>
        <n v="39"/>
        <n v="127"/>
        <n v="193"/>
        <n v="171"/>
        <n v="184"/>
        <n v="611"/>
        <n v="2106"/>
        <n v="3371"/>
        <n v="2593"/>
        <n v="150"/>
        <n v="465"/>
        <n v="60"/>
        <n v="964"/>
        <n v="1255"/>
        <n v="67"/>
        <n v="703"/>
        <n v="189"/>
        <n v="16"/>
        <n v="337"/>
        <n v="36"/>
        <n v="17"/>
        <n v="134"/>
        <n v="182"/>
        <n v="35"/>
        <n v="13"/>
        <n v="29"/>
        <n v="1628"/>
        <n v="314"/>
        <n v="576"/>
        <n v="541"/>
        <n v="135"/>
        <n v="306"/>
        <n v="50"/>
        <n v="178"/>
        <n v="1"/>
        <n v="72"/>
        <n v="8"/>
        <n v="4"/>
        <n v="3"/>
        <n v="7"/>
        <n v="192"/>
        <n v="389"/>
        <n v="299"/>
        <n v="25"/>
        <n v="12"/>
        <n v="159"/>
        <n v="92"/>
        <n v="20"/>
        <n v="71"/>
        <n v="37"/>
        <n v="2"/>
        <n v="5"/>
        <n v="23"/>
        <n v="279"/>
        <n v="305"/>
        <n v="24"/>
        <n v="11"/>
        <n v="218"/>
        <n v="43"/>
        <n v="122"/>
        <n v="21"/>
        <n v="54"/>
        <n v="18"/>
        <n v="0"/>
        <n v="10"/>
        <n v="414"/>
        <n v="276"/>
        <n v="269"/>
        <n v="6"/>
        <n v="131"/>
        <n v="41"/>
        <n v="47"/>
        <n v="379"/>
        <n v="278"/>
        <n v="212"/>
        <n v="130"/>
        <n v="69"/>
        <n v="45"/>
        <n v="15"/>
        <n v="137"/>
        <n v="168"/>
        <n v="161"/>
        <n v="9"/>
        <n v="30"/>
        <n v="28"/>
        <n v="251"/>
        <n v="295"/>
        <n v="232"/>
        <n v="140"/>
        <n v="49"/>
        <n v="87"/>
        <n v="63"/>
        <n v="52"/>
        <n v="98"/>
        <n v="73"/>
        <n v="46"/>
        <n v="26"/>
        <n v="14"/>
        <n v="177"/>
        <n v="115"/>
        <n v="97"/>
        <n v="22"/>
        <n v="66"/>
        <n v="19"/>
        <n v="129"/>
        <n v="31"/>
        <n v="101"/>
        <n v="56"/>
        <n v="55"/>
        <n v="683"/>
        <n v="674"/>
        <n v="268"/>
        <n v="197"/>
        <n v="235"/>
        <n v="85"/>
        <n v="170"/>
        <n v="148"/>
        <n v="34"/>
        <n v="48"/>
        <n v="365"/>
        <n v="267"/>
        <n v="89"/>
        <n v="105"/>
        <n v="40"/>
        <n v="33"/>
        <n v="895"/>
        <n v="757"/>
        <n v="397"/>
        <n v="160"/>
        <n v="114"/>
        <n v="95"/>
        <n v="80"/>
        <n v="138"/>
        <n v="118"/>
        <n v="42"/>
        <n v="57"/>
        <n v="287"/>
        <n v="53"/>
        <n v="32"/>
        <n v="434"/>
        <n v="106"/>
        <n v="64"/>
        <n v="51"/>
        <n v="104"/>
        <n v="38"/>
        <n v="466"/>
        <n v="103"/>
        <n v="164"/>
        <n v="321"/>
        <n v="273"/>
        <n v="123"/>
        <n v="162"/>
        <n v="27"/>
        <n v="81"/>
        <n v="378"/>
        <n v="367"/>
        <n v="65"/>
        <n v="94"/>
        <n v="139"/>
        <n v="174"/>
        <n v="117"/>
        <n v="79"/>
        <n v="76"/>
        <n v="96"/>
        <n v="202"/>
        <n v="136"/>
        <n v="116"/>
        <n v="70"/>
        <n v="83"/>
        <n v="58"/>
        <n v="77"/>
        <n v="59"/>
        <n v="68"/>
        <n v="61"/>
        <n v="62"/>
        <n v="86"/>
        <n v="91"/>
      </sharedItems>
    </cacheField>
    <cacheField name="構成比（個人）" numFmtId="0" sqlType="3">
      <sharedItems containsSemiMixedTypes="0" containsString="0" containsNumber="1" minValue="0" maxValue="44.44" count="949">
        <n v="23.39"/>
        <n v="19.46"/>
        <n v="10.119999999999999"/>
        <n v="5.0999999999999996"/>
        <n v="1.47"/>
        <n v="3.01"/>
        <n v="4.51"/>
        <n v="6.51"/>
        <n v="1.07"/>
        <n v="4.37"/>
        <n v="3.54"/>
        <n v="2.19"/>
        <n v="1.31"/>
        <n v="1.68"/>
        <n v="7.0000000000000007E-2"/>
        <n v="0.24"/>
        <n v="0.36"/>
        <n v="0.32"/>
        <n v="0.34"/>
        <n v="1.1299999999999999"/>
        <n v="15.32"/>
        <n v="24.52"/>
        <n v="18.86"/>
        <n v="1.0900000000000001"/>
        <n v="3.38"/>
        <n v="0.44"/>
        <n v="7.01"/>
        <n v="9.1300000000000008"/>
        <n v="0.49"/>
        <n v="5.1100000000000003"/>
        <n v="1.37"/>
        <n v="0.12"/>
        <n v="2.4500000000000002"/>
        <n v="0.26"/>
        <n v="0.97"/>
        <n v="1.32"/>
        <n v="0.25"/>
        <n v="0.09"/>
        <n v="0.21"/>
        <n v="40.14"/>
        <n v="7.74"/>
        <n v="14.2"/>
        <n v="13.34"/>
        <n v="3.33"/>
        <n v="7.54"/>
        <n v="1.23"/>
        <n v="4.3899999999999997"/>
        <n v="0.02"/>
        <n v="1.48"/>
        <n v="1.78"/>
        <n v="0.2"/>
        <n v="0.1"/>
        <n v="0.17"/>
        <n v="12.2"/>
        <n v="24.71"/>
        <n v="19"/>
        <n v="1.59"/>
        <n v="0.76"/>
        <n v="0.51"/>
        <n v="3.81"/>
        <n v="10.1"/>
        <n v="5.84"/>
        <n v="1.27"/>
        <n v="0.06"/>
        <n v="2.35"/>
        <n v="2.48"/>
        <n v="0.13"/>
        <n v="1.08"/>
        <n v="1.46"/>
        <n v="20.54"/>
        <n v="22.46"/>
        <n v="1.77"/>
        <n v="0.81"/>
        <n v="16.05"/>
        <n v="3.17"/>
        <n v="0.15"/>
        <n v="8.98"/>
        <n v="0.22"/>
        <n v="1.55"/>
        <n v="3.98"/>
        <n v="1.33"/>
        <n v="4.42"/>
        <n v="0.59"/>
        <n v="0"/>
        <n v="2.58"/>
        <n v="0.37"/>
        <n v="0.74"/>
        <n v="27.88"/>
        <n v="18.59"/>
        <n v="1.62"/>
        <n v="18.11"/>
        <n v="0.4"/>
        <n v="4.04"/>
        <n v="0.27"/>
        <n v="8.82"/>
        <n v="1.95"/>
        <n v="2.76"/>
        <n v="3.16"/>
        <n v="28.03"/>
        <n v="20.56"/>
        <n v="15.68"/>
        <n v="9.6199999999999992"/>
        <n v="2.74"/>
        <n v="1.26"/>
        <n v="2.88"/>
        <n v="1.1100000000000001"/>
        <n v="16.77"/>
        <n v="19.71"/>
        <n v="0.73"/>
        <n v="3.55"/>
        <n v="1.1000000000000001"/>
        <n v="8.4499999999999993"/>
        <n v="1.84"/>
        <n v="0.61"/>
        <n v="5.26"/>
        <n v="3.67"/>
        <n v="3.06"/>
        <n v="3.43"/>
        <n v="1.22"/>
        <n v="18.28"/>
        <n v="21.49"/>
        <n v="16.899999999999999"/>
        <n v="10.199999999999999"/>
        <n v="3.57"/>
        <n v="6.34"/>
        <n v="4.59"/>
        <n v="1.53"/>
        <n v="3.79"/>
        <n v="0.28999999999999998"/>
        <n v="1.17"/>
        <n v="15.63"/>
        <n v="24.32"/>
        <n v="3.97"/>
        <n v="11.41"/>
        <n v="1.74"/>
        <n v="0.5"/>
        <n v="0.99"/>
        <n v="6.45"/>
        <n v="3.47"/>
        <n v="1.24"/>
        <n v="23.47"/>
        <n v="6.1"/>
        <n v="15.25"/>
        <n v="1.99"/>
        <n v="1.72"/>
        <n v="12.86"/>
        <n v="1.19"/>
        <n v="2.92"/>
        <n v="8.75"/>
        <n v="2.79"/>
        <n v="6.23"/>
        <n v="3.45"/>
        <n v="2.52"/>
        <n v="1.06"/>
        <n v="0.8"/>
        <n v="0.53"/>
        <n v="22.36"/>
        <n v="5.37"/>
        <n v="17.5"/>
        <n v="1.91"/>
        <n v="0.52"/>
        <n v="1.39"/>
        <n v="2.4300000000000002"/>
        <n v="9.7100000000000009"/>
        <n v="9.5299999999999994"/>
        <n v="2.95"/>
        <n v="6.07"/>
        <n v="2.08"/>
        <n v="7.11"/>
        <n v="1.73"/>
        <n v="1.21"/>
        <n v="1.04"/>
        <n v="21.44"/>
        <n v="21.16"/>
        <n v="8.41"/>
        <n v="6.19"/>
        <n v="7.38"/>
        <n v="1.76"/>
        <n v="2.67"/>
        <n v="1.1599999999999999"/>
        <n v="5.34"/>
        <n v="4.6500000000000004"/>
        <n v="2.29"/>
        <n v="2.89"/>
        <n v="1.51"/>
        <n v="0.38"/>
        <n v="0.47"/>
        <n v="27.82"/>
        <n v="20.350000000000001"/>
        <n v="6.78"/>
        <n v="6.63"/>
        <n v="1.75"/>
        <n v="8"/>
        <n v="3.05"/>
        <n v="2.21"/>
        <n v="3.58"/>
        <n v="0.69"/>
        <n v="0.23"/>
        <n v="0.84"/>
        <n v="24.09"/>
        <n v="20.38"/>
        <n v="10.69"/>
        <n v="4.3099999999999996"/>
        <n v="3.07"/>
        <n v="7.43"/>
        <n v="2.56"/>
        <n v="3.1"/>
        <n v="2.15"/>
        <n v="3.71"/>
        <n v="3.18"/>
        <n v="0.11"/>
        <n v="0.08"/>
        <n v="28.87"/>
        <n v="19.010000000000002"/>
        <n v="9.76"/>
        <n v="5.33"/>
        <n v="1.01"/>
        <n v="4.53"/>
        <n v="2.11"/>
        <n v="0.3"/>
        <n v="1.71"/>
        <n v="2.41"/>
        <n v="3.22"/>
        <n v="0.91"/>
        <n v="0.6"/>
        <n v="28.51"/>
        <n v="18.36"/>
        <n v="16.03"/>
        <n v="4.4800000000000004"/>
        <n v="2.71"/>
        <n v="0.93"/>
        <n v="2.16"/>
        <n v="4.4400000000000004"/>
        <n v="4.4000000000000004"/>
        <n v="1.18"/>
        <n v="0.04"/>
        <n v="1.69"/>
        <n v="1.61"/>
        <n v="1.57"/>
        <n v="28.05"/>
        <n v="19.39"/>
        <n v="5.58"/>
        <n v="4.29"/>
        <n v="1.41"/>
        <n v="3.83"/>
        <n v="6.82"/>
        <n v="1.66"/>
        <n v="1.58"/>
        <n v="3"/>
        <n v="0.54"/>
        <n v="0.46"/>
        <n v="24.58"/>
        <n v="20.9"/>
        <n v="9.34"/>
        <n v="5.51"/>
        <n v="1.3"/>
        <n v="2.99"/>
        <n v="3.52"/>
        <n v="2.6"/>
        <n v="1.38"/>
        <n v="2.68"/>
        <n v="0.77"/>
        <n v="2.2999999999999998"/>
        <n v="2.2200000000000002"/>
        <n v="28.3"/>
        <n v="13.21"/>
        <n v="22.64"/>
        <n v="10.38"/>
        <n v="0.94"/>
        <n v="4.72"/>
        <n v="1.89"/>
        <n v="3.77"/>
        <n v="2.83"/>
        <n v="21.4"/>
        <n v="15.39"/>
        <n v="20.28"/>
        <n v="4.01"/>
        <n v="0.63"/>
        <n v="4.88"/>
        <n v="4.63"/>
        <n v="6.13"/>
        <n v="2.13"/>
        <n v="4.38"/>
        <n v="0.88"/>
        <n v="4.13"/>
        <n v="1.63"/>
        <n v="0.75"/>
        <n v="17.7"/>
        <n v="19.25"/>
        <n v="15.93"/>
        <n v="5.97"/>
        <n v="5.31"/>
        <n v="3.76"/>
        <n v="0.66"/>
        <n v="24.47"/>
        <n v="19.940000000000001"/>
        <n v="6.95"/>
        <n v="4.83"/>
        <n v="4.2300000000000004"/>
        <n v="1.81"/>
        <n v="5.14"/>
        <n v="3.32"/>
        <n v="24.4"/>
        <n v="23.69"/>
        <n v="2.78"/>
        <n v="4.2"/>
        <n v="6.52"/>
        <n v="2.0699999999999998"/>
        <n v="1.42"/>
        <n v="2.39"/>
        <n v="3.42"/>
        <n v="2.65"/>
        <n v="0.19"/>
        <n v="28.9"/>
        <n v="21.83"/>
        <n v="9.56"/>
        <n v="4.78"/>
        <n v="1.25"/>
        <n v="0.42"/>
        <n v="3.53"/>
        <n v="0.62"/>
        <n v="1.87"/>
        <n v="2.4900000000000002"/>
        <n v="20.65"/>
        <n v="18.12"/>
        <n v="12.68"/>
        <n v="8.6999999999999993"/>
        <n v="7.25"/>
        <n v="2.54"/>
        <n v="2.9"/>
        <n v="3.62"/>
        <n v="2.17"/>
        <n v="3.99"/>
        <n v="5.07"/>
        <n v="0.72"/>
        <n v="29.21"/>
        <n v="25.28"/>
        <n v="6.18"/>
        <n v="3.37"/>
        <n v="2.81"/>
        <n v="1.1200000000000001"/>
        <n v="0.56000000000000005"/>
        <n v="19.57"/>
        <n v="15.07"/>
        <n v="11.02"/>
        <n v="3.6"/>
        <n v="11.7"/>
        <n v="4.5"/>
        <n v="1.35"/>
        <n v="0.9"/>
        <n v="2.02"/>
        <n v="3.15"/>
        <n v="29.73"/>
        <n v="22.52"/>
        <n v="9.91"/>
        <n v="6.31"/>
        <n v="2.7"/>
        <n v="5.41"/>
        <n v="1.8"/>
        <n v="26.17"/>
        <n v="17.670000000000002"/>
        <n v="4.03"/>
        <n v="4.92"/>
        <n v="3.36"/>
        <n v="1.34"/>
        <n v="3.13"/>
        <n v="0.45"/>
        <n v="0.67"/>
        <n v="2.46"/>
        <n v="25.29"/>
        <n v="18.309999999999999"/>
        <n v="9.59"/>
        <n v="5.23"/>
        <n v="3.78"/>
        <n v="0.57999999999999996"/>
        <n v="4.07"/>
        <n v="4.3600000000000003"/>
        <n v="3.2"/>
        <n v="2.62"/>
        <n v="0.87"/>
        <n v="2.0299999999999998"/>
        <n v="20"/>
        <n v="22.32"/>
        <n v="16"/>
        <n v="4.21"/>
        <n v="5.05"/>
        <n v="2.3199999999999998"/>
        <n v="1.05"/>
        <n v="2.5299999999999998"/>
        <n v="30.67"/>
        <n v="22.67"/>
        <n v="9.33"/>
        <n v="6.67"/>
        <n v="27.13"/>
        <n v="22.07"/>
        <n v="4.5999999999999996"/>
        <n v="3.68"/>
        <n v="5.0599999999999996"/>
        <n v="4.1399999999999997"/>
        <n v="0.92"/>
        <n v="1.1499999999999999"/>
        <n v="32.369999999999997"/>
        <n v="22.28"/>
        <n v="4.8099999999999996"/>
        <n v="7.85"/>
        <n v="3.85"/>
        <n v="8.49"/>
        <n v="1.6"/>
        <n v="0.64"/>
        <n v="2.2400000000000002"/>
        <n v="3.21"/>
        <n v="1.44"/>
        <n v="0.16"/>
        <n v="26.05"/>
        <n v="22.22"/>
        <n v="8.24"/>
        <n v="4.0199999999999996"/>
        <n v="0.96"/>
        <n v="6.7"/>
        <n v="3.26"/>
        <n v="0.56999999999999995"/>
        <n v="29.65"/>
        <n v="18.14"/>
        <n v="5.75"/>
        <n v="4.87"/>
        <n v="18.18"/>
        <n v="21.21"/>
        <n v="6.06"/>
        <n v="3.03"/>
        <n v="9.09"/>
        <n v="23.57"/>
        <n v="5.39"/>
        <n v="9.43"/>
        <n v="8.08"/>
        <n v="2.69"/>
        <n v="22.55"/>
        <n v="16.71"/>
        <n v="13.53"/>
        <n v="6.37"/>
        <n v="5.57"/>
        <n v="23.04"/>
        <n v="18.57"/>
        <n v="10.74"/>
        <n v="6.49"/>
        <n v="4.7"/>
        <n v="7.61"/>
        <n v="5.15"/>
        <n v="2.0099999999999998"/>
        <n v="0.89"/>
        <n v="26.08"/>
        <n v="17.04"/>
        <n v="9.4499999999999993"/>
        <n v="8.01"/>
        <n v="0.82"/>
        <n v="4.1100000000000003"/>
        <n v="7.6"/>
        <n v="3.7"/>
        <n v="2.87"/>
        <n v="1.64"/>
        <n v="1.03"/>
        <n v="19.82"/>
        <n v="19.36"/>
        <n v="6.61"/>
        <n v="1.82"/>
        <n v="6.83"/>
        <n v="3.87"/>
        <n v="3.19"/>
        <n v="1.1399999999999999"/>
        <n v="0.68"/>
        <n v="2.5099999999999998"/>
        <n v="18.149999999999999"/>
        <n v="2.82"/>
        <n v="7.66"/>
        <n v="11.69"/>
        <n v="3.23"/>
        <n v="2.42"/>
        <n v="3.63"/>
        <n v="5.24"/>
        <n v="3.93"/>
        <n v="23.26"/>
        <n v="22.05"/>
        <n v="5.44"/>
        <n v="8.16"/>
        <n v="2.72"/>
        <n v="3.02"/>
        <n v="27.37"/>
        <n v="3.91"/>
        <n v="12.01"/>
        <n v="5.87"/>
        <n v="8.1"/>
        <n v="1.4"/>
        <n v="5.59"/>
        <n v="0.28000000000000003"/>
        <n v="2.23"/>
        <n v="1.96"/>
        <n v="21.53"/>
        <n v="20.14"/>
        <n v="4.8600000000000003"/>
        <n v="10.42"/>
        <n v="4.17"/>
        <n v="12.5"/>
        <n v="37.5"/>
        <n v="25"/>
        <n v="24.43"/>
        <n v="13.74"/>
        <n v="14.5"/>
        <n v="8.4"/>
        <n v="6.11"/>
        <n v="4.58"/>
        <n v="16.670000000000002"/>
        <n v="11.76"/>
        <n v="7.84"/>
        <n v="5.88"/>
        <n v="10.78"/>
        <n v="6.86"/>
        <n v="2.94"/>
        <n v="0.98"/>
        <n v="20.34"/>
        <n v="16.95"/>
        <n v="11.86"/>
        <n v="8.4700000000000006"/>
        <n v="3.39"/>
        <n v="22.62"/>
        <n v="8.33"/>
        <n v="5.95"/>
        <n v="4.76"/>
        <n v="2.38"/>
        <n v="23.81"/>
        <n v="12.38"/>
        <n v="7.14"/>
        <n v="2.86"/>
        <n v="0.95"/>
        <n v="1.43"/>
        <n v="22"/>
        <n v="14"/>
        <n v="10"/>
        <n v="4"/>
        <n v="2"/>
        <n v="21.74"/>
        <n v="11.59"/>
        <n v="6.16"/>
        <n v="5.8"/>
        <n v="1.45"/>
        <n v="22.43"/>
        <n v="4.18"/>
        <n v="10.65"/>
        <n v="4.9400000000000004"/>
        <n v="6.84"/>
        <n v="4.5599999999999996"/>
        <n v="2.66"/>
        <n v="1.9"/>
        <n v="2.2799999999999998"/>
        <n v="3.04"/>
        <n v="17.649999999999999"/>
        <n v="4.71"/>
        <n v="27.46"/>
        <n v="7.04"/>
        <n v="5.63"/>
        <n v="7.75"/>
        <n v="0.7"/>
        <n v="29.23"/>
        <n v="15.38"/>
        <n v="10.77"/>
        <n v="12.31"/>
        <n v="1.54"/>
        <n v="7.69"/>
        <n v="4.62"/>
        <n v="3.08"/>
        <n v="12"/>
        <n v="29.09"/>
        <n v="10.91"/>
        <n v="3.64"/>
        <n v="16.36"/>
        <n v="7.27"/>
        <n v="5.45"/>
        <n v="18.82"/>
        <n v="9.41"/>
        <n v="14.12"/>
        <n v="22.58"/>
        <n v="21.51"/>
        <n v="11.83"/>
        <n v="4.3"/>
        <n v="17.75"/>
        <n v="16.57"/>
        <n v="11.24"/>
        <n v="5.92"/>
        <n v="2.96"/>
        <n v="2.37"/>
        <n v="20.69"/>
        <n v="17.239999999999998"/>
        <n v="10.34"/>
        <n v="13.79"/>
        <n v="6.9"/>
        <n v="19.23"/>
        <n v="11.54"/>
        <n v="1.92"/>
        <n v="5.77"/>
        <n v="17.07"/>
        <n v="14.63"/>
        <n v="7.32"/>
        <n v="2.44"/>
        <n v="18.059999999999999"/>
        <n v="6.94"/>
        <n v="5.56"/>
        <n v="25.71"/>
        <n v="21.9"/>
        <n v="7.62"/>
        <n v="29.79"/>
        <n v="14.89"/>
        <n v="6.38"/>
        <n v="4.26"/>
        <n v="8.51"/>
        <n v="25.64"/>
        <n v="20.51"/>
        <n v="10.26"/>
        <n v="5.13"/>
        <n v="24.39"/>
        <n v="21.95"/>
        <n v="22.45"/>
        <n v="20.41"/>
        <n v="14.29"/>
        <n v="2.04"/>
        <n v="25.47"/>
        <n v="18.350000000000001"/>
        <n v="9.74"/>
        <n v="4.49"/>
        <n v="2.25"/>
        <n v="5.62"/>
        <n v="1.5"/>
        <n v="11.11"/>
        <n v="23.02"/>
        <n v="14.72"/>
        <n v="17.739999999999998"/>
        <n v="5.66"/>
        <n v="6.04"/>
        <n v="2.64"/>
        <n v="3.4"/>
        <n v="2.2599999999999998"/>
        <n v="28"/>
        <n v="26.09"/>
        <n v="13.04"/>
        <n v="4.3499999999999996"/>
        <n v="18.87"/>
        <n v="20.75"/>
        <n v="15.09"/>
        <n v="7.55"/>
        <n v="20.97"/>
        <n v="9.68"/>
        <n v="14.52"/>
        <n v="4.84"/>
        <n v="23.08"/>
        <n v="26.92"/>
        <n v="19.559999999999999"/>
        <n v="15.13"/>
        <n v="13.28"/>
        <n v="4.8"/>
        <n v="8.86"/>
        <n v="6.27"/>
        <n v="5.54"/>
        <n v="5.17"/>
        <n v="1.85"/>
        <n v="30"/>
        <n v="28.33"/>
        <n v="1.67"/>
        <n v="13.73"/>
        <n v="3.92"/>
        <n v="32.26"/>
        <n v="16.13"/>
        <n v="5"/>
        <n v="33.33"/>
        <n v="15.87"/>
        <n v="6.35"/>
        <n v="0.79"/>
        <n v="18.29"/>
        <n v="6.29"/>
        <n v="11.43"/>
        <n v="4.57"/>
        <n v="12.12"/>
        <n v="6.25"/>
        <n v="18.75"/>
        <n v="2.5"/>
        <n v="15"/>
        <n v="7.5"/>
        <n v="17.78"/>
        <n v="8.89"/>
        <n v="26.19"/>
        <n v="21.43"/>
        <n v="11.9"/>
        <n v="10.71"/>
        <n v="20.83"/>
        <n v="11.67"/>
        <n v="10.14"/>
        <n v="14.49"/>
        <n v="18.46"/>
        <n v="21.54"/>
        <n v="6.15"/>
        <n v="12.33"/>
        <n v="8.2200000000000006"/>
        <n v="13.7"/>
        <n v="5.48"/>
        <n v="22.86"/>
        <n v="17.14"/>
        <n v="5.71"/>
        <n v="8.57"/>
        <n v="21.92"/>
        <n v="13.41"/>
        <n v="10.98"/>
        <n v="3.66"/>
        <n v="18.63"/>
        <n v="19.88"/>
        <n v="11.8"/>
        <n v="10.56"/>
        <n v="3.73"/>
        <n v="3.11"/>
        <n v="1.86"/>
        <n v="26.67"/>
        <n v="13.33"/>
        <n v="5.64"/>
        <n v="3.59"/>
        <n v="2.0499999999999998"/>
        <n v="24.66"/>
        <n v="10.96"/>
        <n v="6.85"/>
        <n v="43.24"/>
        <n v="8.11"/>
        <n v="13.51"/>
        <n v="17.39"/>
        <n v="12.07"/>
        <n v="18.97"/>
        <n v="8.6199999999999992"/>
        <n v="10.64"/>
        <n v="21.28"/>
        <n v="12.77"/>
        <n v="27.69"/>
        <n v="9.23"/>
        <n v="12.66"/>
        <n v="20.25"/>
        <n v="15.19"/>
        <n v="3.8"/>
        <n v="44.44"/>
        <n v="15.15"/>
        <n v="13.64"/>
        <n v="22.73"/>
        <n v="4.55"/>
        <n v="21.25"/>
        <n v="3.75"/>
        <n v="10.53"/>
        <n v="13.16"/>
        <n v="7.89"/>
        <n v="18.420000000000002"/>
        <n v="2.63"/>
        <n v="28.57"/>
        <n v="4.08"/>
        <n v="6.12"/>
        <n v="18.37"/>
        <n v="25.27"/>
        <n v="5.38"/>
        <n v="9.14"/>
        <n v="6.99"/>
        <n v="5.08"/>
        <n v="31.03"/>
        <n v="22.41"/>
        <n v="36.36"/>
        <n v="31.43"/>
        <n v="22.92"/>
        <n v="21.31"/>
        <n v="19.670000000000002"/>
        <n v="3.28"/>
        <n v="8.1999999999999993"/>
        <n v="22.54"/>
        <n v="14.08"/>
        <n v="15.49"/>
        <n v="9.86"/>
        <n v="11.27"/>
        <n v="27.59"/>
        <n v="9.3800000000000008"/>
        <n v="23.22"/>
        <n v="5.99"/>
        <n v="12.73"/>
        <n v="18.43"/>
        <n v="15.67"/>
        <n v="7.37"/>
        <n v="3.69"/>
        <n v="19.510000000000002"/>
        <n v="20.21"/>
        <n v="15.96"/>
        <n v="9.57"/>
        <n v="5.32"/>
        <n v="24.49"/>
        <n v="29.17"/>
        <n v="15.85"/>
        <n v="22.8"/>
        <n v="19.600000000000001"/>
        <n v="8.8000000000000007"/>
        <n v="5.6"/>
        <n v="5.2"/>
        <n v="2.4"/>
        <n v="2.8"/>
        <n v="1.2"/>
        <n v="7.8"/>
        <n v="17.02"/>
        <n v="0.71"/>
        <n v="20.93"/>
        <n v="6.98"/>
        <n v="11.63"/>
        <n v="9.3000000000000007"/>
        <n v="2.33"/>
        <n v="30.38"/>
        <n v="6.33"/>
        <n v="22.37"/>
        <n v="21.05"/>
        <n v="6.58"/>
        <n v="3.95"/>
        <n v="19.05"/>
        <n v="9.52"/>
        <n v="7.94"/>
        <n v="23.38"/>
        <n v="21.39"/>
        <n v="5.47"/>
        <n v="4.9800000000000004"/>
        <n v="1"/>
        <n v="3.48"/>
        <n v="1.49"/>
        <n v="26.42"/>
        <n v="11.32"/>
        <n v="30.63"/>
        <n v="16.25"/>
        <n v="6.88"/>
        <n v="1.88"/>
        <n v="22.89"/>
        <n v="8.43"/>
        <n v="12.05"/>
        <n v="14.46"/>
        <n v="3.61"/>
        <n v="4.82"/>
        <n v="7.23"/>
        <n v="28.95"/>
        <n v="3.51"/>
        <n v="12.28"/>
        <n v="8.77"/>
        <n v="25.34"/>
        <n v="7.53"/>
        <n v="4.79"/>
        <n v="9.2100000000000009"/>
        <n v="17.11"/>
        <n v="16.18"/>
        <n v="7.35"/>
        <n v="4.41"/>
        <n v="23.53"/>
        <n v="18.55"/>
        <n v="5.43"/>
        <n v="10.41"/>
        <n v="1.36"/>
        <n v="24.24"/>
        <n v="7.58"/>
        <n v="1.52"/>
        <n v="18.600000000000001"/>
        <n v="8.14"/>
        <n v="10.47"/>
        <n v="3.49"/>
        <n v="24.02"/>
        <n v="16.48"/>
        <n v="3.35"/>
        <n v="4.47"/>
        <n v="25.35"/>
        <n v="9.4700000000000006"/>
        <n v="5.85"/>
        <n v="4.46"/>
        <n v="6.41"/>
        <n v="8.36"/>
        <n v="23.94"/>
        <n v="17.98"/>
        <n v="19.100000000000001"/>
        <n v="18.329999999999998"/>
        <n v="29.27"/>
        <n v="7.97"/>
        <n v="21.29"/>
        <n v="17.420000000000002"/>
        <n v="8.39"/>
        <n v="1.29"/>
        <n v="4.5199999999999996"/>
        <n v="5.16"/>
        <n v="5.81"/>
        <n v="0.65"/>
        <n v="1.94"/>
        <n v="17.309999999999999"/>
        <n v="13.13"/>
        <n v="16.34"/>
        <n v="8.5"/>
        <n v="7.19"/>
        <n v="3.27"/>
        <n v="2.61"/>
        <n v="16.920000000000002"/>
        <n v="6.77"/>
        <n v="8.65"/>
        <n v="4.8899999999999997"/>
        <n v="16.260000000000002"/>
        <n v="6.5"/>
        <n v="8.1300000000000008"/>
        <n v="5.69"/>
        <n v="3.25"/>
        <n v="6.96"/>
        <n v="16.52"/>
        <n v="6.09"/>
        <n v="5.22"/>
        <n v="18.27"/>
        <n v="10.58"/>
        <n v="28.13"/>
        <n v="23.68"/>
        <n v="11.84"/>
        <n v="19.2"/>
        <n v="6.8"/>
        <n v="13.6"/>
        <n v="14.8"/>
        <n v="6"/>
        <n v="20.81"/>
        <n v="17.45"/>
        <n v="20.22"/>
        <n v="8.99"/>
        <n v="10.11"/>
        <n v="6.74"/>
        <n v="31.53"/>
        <n v="7.21"/>
        <n v="9.01"/>
        <n v="29.61"/>
        <n v="17.760000000000002"/>
        <n v="3.29"/>
        <n v="4.6100000000000003"/>
        <n v="1.97"/>
        <n v="40.909999999999997"/>
        <n v="27.84"/>
        <n v="23.71"/>
        <n v="4.12"/>
        <n v="2.06"/>
        <n v="3.09"/>
        <n v="22.16"/>
        <n v="4.32"/>
        <n v="15.14"/>
        <n v="17.850000000000001"/>
        <n v="10.97"/>
        <n v="4.95"/>
        <n v="3.44"/>
        <n v="4.09"/>
        <n v="0.43"/>
        <n v="25.32"/>
        <n v="7.59"/>
        <n v="10.130000000000001"/>
        <n v="26.74"/>
        <n v="15.12"/>
      </sharedItems>
    </cacheField>
    <cacheField name="総数（法人）" numFmtId="0" sqlType="4">
      <sharedItems containsSemiMixedTypes="0" containsString="0" containsNumber="1" containsInteger="1" minValue="0" maxValue="5319" count="221">
        <n v="2649"/>
        <n v="2088"/>
        <n v="4915"/>
        <n v="4879"/>
        <n v="5319"/>
        <n v="4060"/>
        <n v="2281"/>
        <n v="690"/>
        <n v="3506"/>
        <n v="889"/>
        <n v="1111"/>
        <n v="1849"/>
        <n v="1860"/>
        <n v="1681"/>
        <n v="2015"/>
        <n v="1951"/>
        <n v="1641"/>
        <n v="1611"/>
        <n v="1381"/>
        <n v="824"/>
        <n v="2679"/>
        <n v="1115"/>
        <n v="944"/>
        <n v="1776"/>
        <n v="1357"/>
        <n v="1655"/>
        <n v="716"/>
        <n v="353"/>
        <n v="1433"/>
        <n v="429"/>
        <n v="896"/>
        <n v="937"/>
        <n v="562"/>
        <n v="838"/>
        <n v="786"/>
        <n v="623"/>
        <n v="528"/>
        <n v="605"/>
        <n v="624"/>
        <n v="572"/>
        <n v="639"/>
        <n v="678"/>
        <n v="339"/>
        <n v="281"/>
        <n v="430"/>
        <n v="82"/>
        <n v="319"/>
        <n v="155"/>
        <n v="291"/>
        <n v="225"/>
        <n v="191"/>
        <n v="245"/>
        <n v="254"/>
        <n v="240"/>
        <n v="207"/>
        <n v="185"/>
        <n v="173"/>
        <n v="161"/>
        <n v="146"/>
        <n v="137"/>
        <n v="314"/>
        <n v="110"/>
        <n v="85"/>
        <n v="340"/>
        <n v="294"/>
        <n v="292"/>
        <n v="160"/>
        <n v="52"/>
        <n v="93"/>
        <n v="128"/>
        <n v="56"/>
        <n v="126"/>
        <n v="79"/>
        <n v="70"/>
        <n v="95"/>
        <n v="81"/>
        <n v="67"/>
        <n v="50"/>
        <n v="349"/>
        <n v="87"/>
        <n v="327"/>
        <n v="265"/>
        <n v="43"/>
        <n v="248"/>
        <n v="149"/>
        <n v="170"/>
        <n v="38"/>
        <n v="116"/>
        <n v="96"/>
        <n v="60"/>
        <n v="91"/>
        <n v="40"/>
        <n v="92"/>
        <n v="88"/>
        <n v="66"/>
        <n v="54"/>
        <n v="269"/>
        <n v="80"/>
        <n v="309"/>
        <n v="51"/>
        <n v="221"/>
        <n v="220"/>
        <n v="171"/>
        <n v="35"/>
        <n v="144"/>
        <n v="99"/>
        <n v="101"/>
        <n v="108"/>
        <n v="55"/>
        <n v="23"/>
        <n v="64"/>
        <n v="65"/>
        <n v="304"/>
        <n v="62"/>
        <n v="37"/>
        <n v="142"/>
        <n v="109"/>
        <n v="100"/>
        <n v="31"/>
        <n v="46"/>
        <n v="61"/>
        <n v="45"/>
        <n v="32"/>
        <n v="143"/>
        <n v="59"/>
        <n v="58"/>
        <n v="94"/>
        <n v="19"/>
        <n v="21"/>
        <n v="33"/>
        <n v="41"/>
        <n v="22"/>
        <n v="4"/>
        <n v="27"/>
        <n v="15"/>
        <n v="17"/>
        <n v="26"/>
        <n v="259"/>
        <n v="168"/>
        <n v="39"/>
        <n v="154"/>
        <n v="107"/>
        <n v="134"/>
        <n v="102"/>
        <n v="63"/>
        <n v="28"/>
        <n v="148"/>
        <n v="48"/>
        <n v="42"/>
        <n v="57"/>
        <n v="20"/>
        <n v="47"/>
        <n v="34"/>
        <n v="25"/>
        <n v="44"/>
        <n v="30"/>
        <n v="104"/>
        <n v="14"/>
        <n v="89"/>
        <n v="72"/>
        <n v="1"/>
        <n v="113"/>
        <n v="105"/>
        <n v="2"/>
        <n v="24"/>
        <n v="18"/>
        <n v="117"/>
        <n v="274"/>
        <n v="267"/>
        <n v="192"/>
        <n v="320"/>
        <n v="166"/>
        <n v="188"/>
        <n v="76"/>
        <n v="77"/>
        <n v="194"/>
        <n v="123"/>
        <n v="75"/>
        <n v="159"/>
        <n v="145"/>
        <n v="306"/>
        <n v="297"/>
        <n v="342"/>
        <n v="272"/>
        <n v="216"/>
        <n v="162"/>
        <n v="131"/>
        <n v="103"/>
        <n v="119"/>
        <n v="6"/>
        <n v="7"/>
        <n v="29"/>
        <n v="98"/>
        <n v="83"/>
        <n v="153"/>
        <n v="118"/>
        <n v="90"/>
        <n v="9"/>
        <n v="190"/>
        <n v="209"/>
        <n v="129"/>
        <n v="97"/>
        <n v="111"/>
        <n v="106"/>
        <n v="114"/>
        <n v="49"/>
        <n v="8"/>
        <n v="71"/>
        <n v="16"/>
        <n v="3"/>
        <n v="5"/>
        <n v="0"/>
        <n v="12"/>
        <n v="11"/>
        <n v="13"/>
        <n v="10"/>
        <n v="208"/>
        <n v="158"/>
        <n v="68"/>
        <n v="36"/>
        <n v="53"/>
      </sharedItems>
    </cacheField>
    <cacheField name="構成比（法人）" numFmtId="0" sqlType="3">
      <sharedItems containsSemiMixedTypes="0" containsString="0" containsNumber="1" minValue="0" maxValue="37.5" count="760">
        <n v="4.1100000000000003"/>
        <n v="3.24"/>
        <n v="7.63"/>
        <n v="7.58"/>
        <n v="8.26"/>
        <n v="6.3"/>
        <n v="3.54"/>
        <n v="1.07"/>
        <n v="5.44"/>
        <n v="1.38"/>
        <n v="1.73"/>
        <n v="2.87"/>
        <n v="2.89"/>
        <n v="2.61"/>
        <n v="3.13"/>
        <n v="3.03"/>
        <n v="2.5499999999999998"/>
        <n v="2.5"/>
        <n v="2.14"/>
        <n v="1.28"/>
        <n v="10.66"/>
        <n v="4.4400000000000004"/>
        <n v="3.76"/>
        <n v="7.06"/>
        <n v="5.4"/>
        <n v="6.58"/>
        <n v="2.85"/>
        <n v="1.4"/>
        <n v="5.7"/>
        <n v="1.71"/>
        <n v="3.56"/>
        <n v="3.73"/>
        <n v="2.2400000000000002"/>
        <n v="3.33"/>
        <n v="2.48"/>
        <n v="2.1"/>
        <n v="2.41"/>
        <n v="2.2799999999999998"/>
        <n v="9.3800000000000008"/>
        <n v="9.9499999999999993"/>
        <n v="4.9800000000000004"/>
        <n v="4.13"/>
        <n v="6.31"/>
        <n v="1.2"/>
        <n v="4.68"/>
        <n v="4.2699999999999996"/>
        <n v="3.3"/>
        <n v="2.8"/>
        <n v="3.6"/>
        <n v="3.52"/>
        <n v="3.04"/>
        <n v="2.72"/>
        <n v="2.54"/>
        <n v="2.36"/>
        <n v="2.0099999999999998"/>
        <n v="9.3000000000000007"/>
        <n v="3.26"/>
        <n v="2.52"/>
        <n v="10.07"/>
        <n v="8.6999999999999993"/>
        <n v="8.64"/>
        <n v="4.74"/>
        <n v="1.54"/>
        <n v="2.75"/>
        <n v="3.79"/>
        <n v="1.66"/>
        <n v="2.34"/>
        <n v="2.0699999999999998"/>
        <n v="2.81"/>
        <n v="2.4"/>
        <n v="1.98"/>
        <n v="1.48"/>
        <n v="10.64"/>
        <n v="2.65"/>
        <n v="9.9700000000000006"/>
        <n v="8.08"/>
        <n v="1.31"/>
        <n v="7.56"/>
        <n v="4.54"/>
        <n v="5.18"/>
        <n v="1.1599999999999999"/>
        <n v="2.93"/>
        <n v="1.83"/>
        <n v="2.77"/>
        <n v="1.22"/>
        <n v="2.68"/>
        <n v="1.59"/>
        <n v="1.65"/>
        <n v="9.07"/>
        <n v="2.7"/>
        <n v="10.41"/>
        <n v="1.72"/>
        <n v="7.45"/>
        <n v="7.41"/>
        <n v="4.25"/>
        <n v="5.76"/>
        <n v="1.18"/>
        <n v="4.8499999999999996"/>
        <n v="3.34"/>
        <n v="3.4"/>
        <n v="3.64"/>
        <n v="1.85"/>
        <n v="0.78"/>
        <n v="2.16"/>
        <n v="2.19"/>
        <n v="14.71"/>
        <n v="4.8899999999999997"/>
        <n v="3"/>
        <n v="1.79"/>
        <n v="7.21"/>
        <n v="6.87"/>
        <n v="5.28"/>
        <n v="4.84"/>
        <n v="1.5"/>
        <n v="3.87"/>
        <n v="2.42"/>
        <n v="2.23"/>
        <n v="3.92"/>
        <n v="3.82"/>
        <n v="2.95"/>
        <n v="2.1800000000000002"/>
        <n v="1.55"/>
        <n v="11.9"/>
        <n v="4.91"/>
        <n v="4.83"/>
        <n v="9.65"/>
        <n v="6.82"/>
        <n v="7.82"/>
        <n v="1.58"/>
        <n v="4.58"/>
        <n v="4.99"/>
        <n v="1.75"/>
        <n v="3.41"/>
        <n v="0.33"/>
        <n v="2.25"/>
        <n v="1.25"/>
        <n v="1.41"/>
        <n v="11.39"/>
        <n v="3.74"/>
        <n v="4"/>
        <n v="7.39"/>
        <n v="6.78"/>
        <n v="4.71"/>
        <n v="5.9"/>
        <n v="1.8"/>
        <n v="4.49"/>
        <n v="2.02"/>
        <n v="3.83"/>
        <n v="2.46"/>
        <n v="1.23"/>
        <n v="15.31"/>
        <n v="4.96"/>
        <n v="4.34"/>
        <n v="5.89"/>
        <n v="5.69"/>
        <n v="4.6500000000000004"/>
        <n v="4.8600000000000003"/>
        <n v="4.1399999999999997"/>
        <n v="1.76"/>
        <n v="2.17"/>
        <n v="3.31"/>
        <n v="3.21"/>
        <n v="2.59"/>
        <n v="2.9"/>
        <n v="3.86"/>
        <n v="8.9499999999999993"/>
        <n v="2.63"/>
        <n v="9.56"/>
        <n v="9.1199999999999992"/>
        <n v="7.81"/>
        <n v="6.32"/>
        <n v="3.77"/>
        <n v="3.51"/>
        <n v="0.09"/>
        <n v="1.32"/>
        <n v="1.84"/>
        <n v="4.08"/>
        <n v="10.71"/>
        <n v="1.9"/>
        <n v="10.33"/>
        <n v="8.06"/>
        <n v="6.16"/>
        <n v="1.61"/>
        <n v="4.55"/>
        <n v="3.98"/>
        <n v="0.19"/>
        <n v="2.27"/>
        <n v="2.09"/>
        <n v="3.38"/>
        <n v="7.91"/>
        <n v="7.7"/>
        <n v="5.54"/>
        <n v="9.23"/>
        <n v="4.79"/>
        <n v="5.42"/>
        <n v="1.1000000000000001"/>
        <n v="2.86"/>
        <n v="1.82"/>
        <n v="1.27"/>
        <n v="2.2200000000000002"/>
        <n v="5.47"/>
        <n v="11.92"/>
        <n v="6.57"/>
        <n v="6.2"/>
        <n v="0.92"/>
        <n v="4.6100000000000003"/>
        <n v="4.05"/>
        <n v="3.32"/>
        <n v="1.1100000000000001"/>
        <n v="3.69"/>
        <n v="3.07"/>
        <n v="3.19"/>
        <n v="0.86"/>
        <n v="1.97"/>
        <n v="7.42"/>
        <n v="8.3000000000000007"/>
        <n v="6.6"/>
        <n v="5.24"/>
        <n v="3.06"/>
        <n v="3.49"/>
        <n v="3.93"/>
        <n v="2.6"/>
        <n v="3.18"/>
        <n v="0.97"/>
        <n v="8.4600000000000009"/>
        <n v="4.28"/>
        <n v="5.8"/>
        <n v="7.22"/>
        <n v="0.56999999999999995"/>
        <n v="2.57"/>
        <n v="4.18"/>
        <n v="4.09"/>
        <n v="2.66"/>
        <n v="1.33"/>
        <n v="0.67"/>
        <n v="2.76"/>
        <n v="2"/>
        <n v="3.81"/>
        <n v="6.14"/>
        <n v="7.02"/>
        <n v="5.41"/>
        <n v="5.64"/>
        <n v="0.41"/>
        <n v="3.67"/>
        <n v="2.15"/>
        <n v="1.74"/>
        <n v="1.1499999999999999"/>
        <n v="3.53"/>
        <n v="7.54"/>
        <n v="8.2899999999999991"/>
        <n v="5.12"/>
        <n v="0.79"/>
        <n v="5.63"/>
        <n v="1.67"/>
        <n v="3.45"/>
        <n v="3.85"/>
        <n v="3.02"/>
        <n v="1.19"/>
        <n v="3.14"/>
        <n v="7.24"/>
        <n v="7.78"/>
        <n v="5.46"/>
        <n v="4.0999999999999996"/>
        <n v="0.55000000000000004"/>
        <n v="4.51"/>
        <n v="4.16"/>
        <n v="1.0900000000000001"/>
        <n v="1.57"/>
        <n v="1.02"/>
        <n v="2.56"/>
        <n v="17.95"/>
        <n v="11.54"/>
        <n v="7.69"/>
        <n v="6.41"/>
        <n v="0"/>
        <n v="8.75"/>
        <n v="3.08"/>
        <n v="7.52"/>
        <n v="9.99"/>
        <n v="5.3"/>
        <n v="3.95"/>
        <n v="4.1900000000000004"/>
        <n v="5.0599999999999996"/>
        <n v="2.71"/>
        <n v="1.36"/>
        <n v="7.47"/>
        <n v="3.61"/>
        <n v="3.37"/>
        <n v="10.36"/>
        <n v="9.8800000000000008"/>
        <n v="1.45"/>
        <n v="0.48"/>
        <n v="0.96"/>
        <n v="1.93"/>
        <n v="3.01"/>
        <n v="9.77"/>
        <n v="6.39"/>
        <n v="6.02"/>
        <n v="0.38"/>
        <n v="1.88"/>
        <n v="2.2599999999999998"/>
        <n v="0.75"/>
        <n v="10.23"/>
        <n v="7.77"/>
        <n v="6.19"/>
        <n v="8.36"/>
        <n v="0.84"/>
        <n v="4.38"/>
        <n v="3.2"/>
        <n v="2.11"/>
        <n v="1.52"/>
        <n v="1.94"/>
        <n v="4.95"/>
        <n v="8.39"/>
        <n v="6.45"/>
        <n v="8.6"/>
        <n v="4.5199999999999996"/>
        <n v="3.44"/>
        <n v="4.3"/>
        <n v="1.08"/>
        <n v="3.7"/>
        <n v="9.7200000000000006"/>
        <n v="13.43"/>
        <n v="8.33"/>
        <n v="2.78"/>
        <n v="4.63"/>
        <n v="0.93"/>
        <n v="1.39"/>
        <n v="2.31"/>
        <n v="0.46"/>
        <n v="11.11"/>
        <n v="13.07"/>
        <n v="7.84"/>
        <n v="6.54"/>
        <n v="5.88"/>
        <n v="3.27"/>
        <n v="1.96"/>
        <n v="0.65"/>
        <n v="3.58"/>
        <n v="5.0999999999999996"/>
        <n v="10.97"/>
        <n v="2.06"/>
        <n v="9.66"/>
        <n v="7.38"/>
        <n v="4.67"/>
        <n v="2.39"/>
        <n v="0.76"/>
        <n v="18.02"/>
        <n v="12.61"/>
        <n v="0.9"/>
        <n v="5.08"/>
        <n v="6.35"/>
        <n v="8.89"/>
        <n v="8.25"/>
        <n v="0.95"/>
        <n v="4.76"/>
        <n v="0.32"/>
        <n v="0.63"/>
        <n v="5.86"/>
        <n v="7.66"/>
        <n v="3.15"/>
        <n v="6.85"/>
        <n v="2.74"/>
        <n v="4.45"/>
        <n v="12.33"/>
        <n v="5.14"/>
        <n v="3.42"/>
        <n v="0.68"/>
        <n v="1.37"/>
        <n v="0.34"/>
        <n v="2.0499999999999998"/>
        <n v="9.7100000000000009"/>
        <n v="11.65"/>
        <n v="6.8"/>
        <n v="3.88"/>
        <n v="5.83"/>
        <n v="2.91"/>
        <n v="2.0299999999999998"/>
        <n v="10.14"/>
        <n v="7.25"/>
        <n v="8.1199999999999992"/>
        <n v="3.48"/>
        <n v="4.0599999999999996"/>
        <n v="6.67"/>
        <n v="0.28999999999999998"/>
        <n v="0.87"/>
        <n v="7.3"/>
        <n v="8.65"/>
        <n v="1.1200000000000001"/>
        <n v="5.51"/>
        <n v="5.73"/>
        <n v="4.72"/>
        <n v="4.9400000000000004"/>
        <n v="1.01"/>
        <n v="2.13"/>
        <n v="2.4700000000000002"/>
        <n v="1.35"/>
        <n v="6.51"/>
        <n v="3.47"/>
        <n v="5.21"/>
        <n v="9.11"/>
        <n v="6.07"/>
        <n v="9.33"/>
        <n v="3.9"/>
        <n v="4.7699999999999996"/>
        <n v="2.82"/>
        <n v="1.95"/>
        <n v="10.11"/>
        <n v="11.8"/>
        <n v="5.62"/>
        <n v="8.43"/>
        <n v="0.56000000000000005"/>
        <n v="1.69"/>
        <n v="12.5"/>
        <n v="20.83"/>
        <n v="4.17"/>
        <n v="5.53"/>
        <n v="2.98"/>
        <n v="11.91"/>
        <n v="6.38"/>
        <n v="8.51"/>
        <n v="5.1100000000000003"/>
        <n v="4.26"/>
        <n v="0.43"/>
        <n v="1.7"/>
        <n v="10.67"/>
        <n v="5.93"/>
        <n v="12.65"/>
        <n v="0.4"/>
        <n v="4.3499999999999996"/>
        <n v="3.16"/>
        <n v="2.37"/>
        <n v="14.38"/>
        <n v="5.45"/>
        <n v="9.59"/>
        <n v="8.93"/>
        <n v="4.3600000000000003"/>
        <n v="2.83"/>
        <n v="3.05"/>
        <n v="1.53"/>
        <n v="5.29"/>
        <n v="8.6300000000000008"/>
        <n v="10.39"/>
        <n v="4.9000000000000004"/>
        <n v="0.98"/>
        <n v="2.35"/>
        <n v="5"/>
        <n v="10.63"/>
        <n v="10.94"/>
        <n v="9.69"/>
        <n v="6.88"/>
        <n v="3.75"/>
        <n v="5.94"/>
        <n v="1.56"/>
        <n v="0.94"/>
        <n v="11.05"/>
        <n v="2.04"/>
        <n v="7.14"/>
        <n v="7.65"/>
        <n v="4.42"/>
        <n v="6.63"/>
        <n v="3.57"/>
        <n v="3.23"/>
        <n v="2.38"/>
        <n v="2.21"/>
        <n v="12.32"/>
        <n v="11.42"/>
        <n v="8.34"/>
        <n v="6.55"/>
        <n v="5.65"/>
        <n v="0.77"/>
        <n v="2.44"/>
        <n v="0.64"/>
        <n v="12.72"/>
        <n v="6.25"/>
        <n v="5.58"/>
        <n v="6.47"/>
        <n v="4.46"/>
        <n v="0.89"/>
        <n v="14.58"/>
        <n v="10.42"/>
        <n v="0.69"/>
        <n v="5.56"/>
        <n v="2.08"/>
        <n v="18.18"/>
        <n v="9.09"/>
        <n v="17.190000000000001"/>
        <n v="15.63"/>
        <n v="4.6900000000000004"/>
        <n v="5.71"/>
        <n v="11.43"/>
        <n v="8.57"/>
        <n v="13.95"/>
        <n v="11.63"/>
        <n v="6.98"/>
        <n v="2.33"/>
        <n v="12.24"/>
        <n v="7.76"/>
        <n v="10.199999999999999"/>
        <n v="6.94"/>
        <n v="6.12"/>
        <n v="0.82"/>
        <n v="1.63"/>
        <n v="5.13"/>
        <n v="1.44"/>
        <n v="1.92"/>
        <n v="5.77"/>
        <n v="10.58"/>
        <n v="8.17"/>
        <n v="4.33"/>
        <n v="2.88"/>
        <n v="11.57"/>
        <n v="10.65"/>
        <n v="5.09"/>
        <n v="12.35"/>
        <n v="6.17"/>
        <n v="13.22"/>
        <n v="7.44"/>
        <n v="6.61"/>
        <n v="0.83"/>
        <n v="12.73"/>
        <n v="7.27"/>
        <n v="14.81"/>
        <n v="9.26"/>
        <n v="9.6199999999999992"/>
        <n v="13.46"/>
        <n v="15.91"/>
        <n v="5.36"/>
        <n v="14.29"/>
        <n v="17.86"/>
        <n v="16.670000000000002"/>
        <n v="11.76"/>
        <n v="10.78"/>
        <n v="6.86"/>
        <n v="2.94"/>
        <n v="21.43"/>
        <n v="18.420000000000002"/>
        <n v="5.26"/>
        <n v="15.79"/>
        <n v="13.16"/>
        <n v="7.89"/>
        <n v="7.95"/>
        <n v="1.1399999999999999"/>
        <n v="19.05"/>
        <n v="9.52"/>
        <n v="18.52"/>
        <n v="10.08"/>
        <n v="9.68"/>
        <n v="6.05"/>
        <n v="1.21"/>
        <n v="3.63"/>
        <n v="12.7"/>
        <n v="3.17"/>
        <n v="11.67"/>
        <n v="3.89"/>
        <n v="25"/>
        <n v="15.38"/>
        <n v="16.13"/>
        <n v="12.9"/>
        <n v="19.440000000000001"/>
        <n v="13.89"/>
        <n v="13.33"/>
        <n v="3.96"/>
        <n v="4.41"/>
        <n v="14.54"/>
        <n v="2.64"/>
        <n v="7.05"/>
        <n v="0.88"/>
        <n v="0.44"/>
        <n v="2.2000000000000002"/>
        <n v="10"/>
        <n v="4.29"/>
        <n v="1.43"/>
        <n v="8.2200000000000006"/>
        <n v="5.48"/>
        <n v="10.37"/>
        <n v="0.74"/>
        <n v="8.15"/>
        <n v="2.96"/>
        <n v="6.43"/>
        <n v="13.57"/>
        <n v="9.2899999999999991"/>
        <n v="0.71"/>
        <n v="12"/>
        <n v="16"/>
        <n v="8"/>
        <n v="22.73"/>
        <n v="15"/>
        <n v="21.74"/>
        <n v="17.39"/>
        <n v="23.08"/>
        <n v="30.77"/>
        <n v="15.15"/>
        <n v="12.12"/>
        <n v="6.06"/>
        <n v="15.71"/>
        <n v="9.35"/>
        <n v="7.48"/>
        <n v="5.61"/>
        <n v="1.87"/>
        <n v="13.04"/>
        <n v="6.52"/>
        <n v="8.82"/>
        <n v="8.16"/>
        <n v="1.47"/>
        <n v="5.95"/>
        <n v="13.58"/>
        <n v="27.27"/>
        <n v="13.64"/>
        <n v="17.54"/>
        <n v="10.53"/>
        <n v="19.3"/>
        <n v="20"/>
        <n v="20.45"/>
        <n v="10.1"/>
        <n v="4.04"/>
        <n v="5.05"/>
        <n v="36.36"/>
        <n v="17.02"/>
        <n v="12.82"/>
        <n v="8.9700000000000006"/>
        <n v="15.58"/>
        <n v="7.79"/>
        <n v="6.49"/>
        <n v="5.19"/>
        <n v="1.3"/>
        <n v="19.23"/>
        <n v="18.37"/>
        <n v="3.55"/>
        <n v="1.78"/>
        <n v="18.34"/>
        <n v="4.7300000000000004"/>
        <n v="8.2799999999999994"/>
        <n v="0.59"/>
        <n v="9.0299999999999994"/>
        <n v="5.81"/>
        <n v="1.29"/>
        <n v="2.58"/>
        <n v="7.5"/>
        <n v="24.32"/>
        <n v="8.11"/>
        <n v="10.81"/>
        <n v="10.34"/>
        <n v="6.9"/>
        <n v="8.6199999999999992"/>
        <n v="5.17"/>
        <n v="2.84"/>
        <n v="9.8000000000000007"/>
        <n v="17.239999999999998"/>
        <n v="37.5"/>
        <n v="6.59"/>
        <n v="17.579999999999998"/>
        <n v="9.89"/>
        <n v="4.4000000000000004"/>
        <n v="5.49"/>
        <n v="11.48"/>
        <n v="3.28"/>
        <n v="6.56"/>
        <n v="9.84"/>
        <n v="4.92"/>
        <n v="8.1999999999999993"/>
        <n v="1.64"/>
        <n v="3.59"/>
        <n v="7.18"/>
        <n v="6.15"/>
        <n v="4.62"/>
        <n v="1.03"/>
        <n v="0.51"/>
        <n v="3.39"/>
        <n v="16.95"/>
        <n v="8.94"/>
        <n v="8.1300000000000008"/>
        <n v="4.88"/>
        <n v="7.32"/>
        <n v="4.07"/>
        <n v="0.81"/>
        <n v="3.25"/>
        <n v="4.12"/>
        <n v="11.34"/>
        <n v="14.43"/>
        <n v="5.15"/>
        <n v="3.09"/>
        <n v="14.61"/>
        <n v="7.87"/>
        <n v="1.46"/>
        <n v="15.33"/>
        <n v="8.76"/>
        <n v="8.0299999999999994"/>
        <n v="3.65"/>
        <n v="2.92"/>
        <n v="22.81"/>
        <n v="14.04"/>
        <n v="10.73"/>
        <n v="6.21"/>
        <n v="11.3"/>
        <n v="8.4700000000000006"/>
        <n v="1.1299999999999999"/>
        <n v="13.21"/>
        <n v="18.87"/>
        <n v="5.66"/>
        <n v="11.32"/>
        <n v="9.43"/>
        <n v="1.89"/>
        <n v="7.19"/>
        <n v="10.96"/>
        <n v="13.36"/>
        <n v="12.8"/>
        <n v="0.3"/>
        <n v="0.6"/>
        <n v="16.07"/>
        <n v="19.64"/>
        <n v="16.36"/>
        <n v="10.91"/>
        <n v="14.55"/>
        <n v="5.33"/>
        <n v="2.67"/>
        <n v="2.73"/>
        <n v="0.91"/>
        <n v="13.81"/>
        <n v="7.73"/>
        <n v="4.97"/>
        <n v="5.52"/>
        <n v="4.4800000000000004"/>
        <n v="8.9600000000000009"/>
        <n v="1.49"/>
        <n v="14.93"/>
        <n v="5.97"/>
        <n v="2.99"/>
        <n v="7.46"/>
        <n v="10.98"/>
        <n v="9.76"/>
        <n v="3.66"/>
        <n v="6.1"/>
        <n v="13.65"/>
        <n v="9.24"/>
        <n v="5.22"/>
        <n v="4.0199999999999996"/>
        <n v="0.8"/>
        <n v="10.47"/>
        <n v="5.68"/>
        <n v="14.77"/>
        <n v="2.69"/>
        <n v="11.78"/>
        <n v="6.73"/>
        <n v="1.68"/>
        <n v="13.01"/>
        <n v="10.57"/>
        <n v="6.5"/>
        <n v="10.87"/>
        <n v="1.04"/>
        <n v="11.46"/>
        <n v="16.309999999999999"/>
        <n v="1.42"/>
        <n v="5.67"/>
        <n v="8.31"/>
        <n v="9.17"/>
        <n v="3.72"/>
        <n v="2.29"/>
        <n v="12.96"/>
        <n v="12.2"/>
      </sharedItems>
    </cacheField>
    <cacheField name="総数（法人以外の団体）" numFmtId="0" sqlType="4">
      <sharedItems containsSemiMixedTypes="0" containsString="0" containsNumber="1" containsInteger="1" minValue="0" maxValue="32" count="15">
        <n v="10"/>
        <n v="8"/>
        <n v="9"/>
        <n v="6"/>
        <n v="1"/>
        <n v="0"/>
        <n v="27"/>
        <n v="21"/>
        <n v="12"/>
        <n v="32"/>
        <n v="2"/>
        <n v="3"/>
        <n v="7"/>
        <n v="5"/>
        <n v="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作成者" refreshedDate="45155.440546874997" createdVersion="5" refreshedVersion="8" minRefreshableVersion="3" recordCount="5371" xr:uid="{723B809A-91E7-4C9F-A5CB-A019921B0673}">
  <cacheSource type="external" connectionId="3"/>
  <cacheFields count="14">
    <cacheField name="都道府県" numFmtId="0" sqlType="-9">
      <sharedItems count="1">
        <s v="01 北海道"/>
      </sharedItems>
    </cacheField>
    <cacheField name="自治体名" numFmtId="0" sqlType="-9">
      <sharedItems count="190">
        <s v="北海道"/>
        <s v="札幌市"/>
        <s v="札幌市中央区"/>
        <s v="札幌市北区"/>
        <s v="札幌市東区"/>
        <s v="札幌市白石区"/>
        <s v="札幌市豊平区"/>
        <s v="札幌市南区"/>
        <s v="札幌市西区"/>
        <s v="札幌市厚別区"/>
        <s v="札幌市手稲区"/>
        <s v="札幌市清田区"/>
        <s v="函館市"/>
        <s v="小樽市"/>
        <s v="旭川市"/>
        <s v="室蘭市"/>
        <s v="釧路市"/>
        <s v="帯広市"/>
        <s v="北見市"/>
        <s v="夕張市"/>
        <s v="岩見沢市"/>
        <s v="網走市"/>
        <s v="留萌市"/>
        <s v="苫小牧市"/>
        <s v="稚内市"/>
        <s v="美唄市"/>
        <s v="芦別市"/>
        <s v="江別市"/>
        <s v="赤平市"/>
        <s v="紋別市"/>
        <s v="士別市"/>
        <s v="名寄市"/>
        <s v="三笠市"/>
        <s v="根室市"/>
        <s v="千歳市"/>
        <s v="滝川市"/>
        <s v="砂川市"/>
        <s v="歌志内市"/>
        <s v="深川市"/>
        <s v="富良野市"/>
        <s v="登別市"/>
        <s v="恵庭市"/>
        <s v="伊達市"/>
        <s v="北広島市"/>
        <s v="石狩市"/>
        <s v="北斗市"/>
        <s v="石狩郡当別町"/>
        <s v="石狩郡新篠津村"/>
        <s v="松前郡松前町"/>
        <s v="松前郡福島町"/>
        <s v="上磯郡知内町"/>
        <s v="上磯郡木古内町"/>
        <s v="亀田郡七飯町"/>
        <s v="茅部郡鹿部町"/>
        <s v="茅部郡森町"/>
        <s v="二海郡八雲町"/>
        <s v="山越郡長万部町"/>
        <s v="檜山郡江差町"/>
        <s v="檜山郡上ノ国町"/>
        <s v="檜山郡厚沢部町"/>
        <s v="爾志郡乙部町"/>
        <s v="奥尻郡奥尻町"/>
        <s v="瀬棚郡今金町"/>
        <s v="久遠郡せたな町"/>
        <s v="島牧郡島牧村"/>
        <s v="寿都郡寿都町"/>
        <s v="寿都郡黒松内町"/>
        <s v="磯谷郡蘭越町"/>
        <s v="虻田郡ニセコ町"/>
        <s v="虻田郡真狩村"/>
        <s v="虻田郡留寿都村"/>
        <s v="虻田郡喜茂別町"/>
        <s v="虻田郡京極町"/>
        <s v="虻田郡倶知安町"/>
        <s v="岩内郡共和町"/>
        <s v="岩内郡岩内町"/>
        <s v="古宇郡泊村"/>
        <s v="古宇郡神恵内村"/>
        <s v="積丹郡積丹町"/>
        <s v="古平郡古平町"/>
        <s v="余市郡仁木町"/>
        <s v="余市郡余市町"/>
        <s v="余市郡赤井川村"/>
        <s v="空知郡南幌町"/>
        <s v="空知郡奈井江町"/>
        <s v="空知郡上砂川町"/>
        <s v="夕張郡由仁町"/>
        <s v="夕張郡長沼町"/>
        <s v="夕張郡栗山町"/>
        <s v="樺戸郡月形町"/>
        <s v="樺戸郡浦臼町"/>
        <s v="樺戸郡新十津川町"/>
        <s v="雨竜郡妹背牛町"/>
        <s v="雨竜郡秩父別町"/>
        <s v="雨竜郡雨竜町"/>
        <s v="雨竜郡北竜町"/>
        <s v="雨竜郡沼田町"/>
        <s v="上川郡鷹栖町"/>
        <s v="上川郡東神楽町"/>
        <s v="上川郡当麻町"/>
        <s v="上川郡比布町"/>
        <s v="上川郡愛別町"/>
        <s v="上川郡上川町"/>
        <s v="上川郡東川町"/>
        <s v="上川郡美瑛町"/>
        <s v="空知郡上富良野町"/>
        <s v="空知郡中富良野町"/>
        <s v="空知郡南富良野町"/>
        <s v="勇払郡占冠村"/>
        <s v="上川郡和寒町"/>
        <s v="上川郡剣淵町"/>
        <s v="上川郡下川町"/>
        <s v="中川郡美深町"/>
        <s v="中川郡音威子府村"/>
        <s v="中川郡中川町"/>
        <s v="雨竜郡幌加内町"/>
        <s v="増毛郡増毛町"/>
        <s v="留萌郡小平町"/>
        <s v="苫前郡苫前町"/>
        <s v="苫前郡羽幌町"/>
        <s v="苫前郡初山別村"/>
        <s v="天塩郡遠別町"/>
        <s v="天塩郡天塩町"/>
        <s v="宗谷郡猿払村"/>
        <s v="枝幸郡浜頓別町"/>
        <s v="枝幸郡中頓別町"/>
        <s v="枝幸郡枝幸町"/>
        <s v="天塩郡豊富町"/>
        <s v="礼文郡礼文町"/>
        <s v="利尻郡利尻町"/>
        <s v="利尻郡利尻富士町"/>
        <s v="天塩郡幌延町"/>
        <s v="網走郡美幌町"/>
        <s v="網走郡津別町"/>
        <s v="斜里郡斜里町"/>
        <s v="斜里郡清里町"/>
        <s v="斜里郡小清水町"/>
        <s v="常呂郡訓子府町"/>
        <s v="常呂郡置戸町"/>
        <s v="常呂郡佐呂間町"/>
        <s v="紋別郡遠軽町"/>
        <s v="紋別郡湧別町"/>
        <s v="紋別郡滝上町"/>
        <s v="紋別郡興部町"/>
        <s v="紋別郡西興部村"/>
        <s v="紋別郡雄武町"/>
        <s v="網走郡大空町"/>
        <s v="虻田郡豊浦町"/>
        <s v="有珠郡壮瞥町"/>
        <s v="白老郡白老町"/>
        <s v="勇払郡厚真町"/>
        <s v="虻田郡洞爺湖町"/>
        <s v="勇払郡安平町"/>
        <s v="勇払郡むかわ町"/>
        <s v="沙流郡日高町"/>
        <s v="沙流郡平取町"/>
        <s v="新冠郡新冠町"/>
        <s v="浦河郡浦河町"/>
        <s v="様似郡様似町"/>
        <s v="幌泉郡えりも町"/>
        <s v="日高郡新ひだか町"/>
        <s v="河東郡音更町"/>
        <s v="河東郡士幌町"/>
        <s v="河東郡上士幌町"/>
        <s v="河東郡鹿追町"/>
        <s v="上川郡新得町"/>
        <s v="上川郡清水町"/>
        <s v="河西郡芽室町"/>
        <s v="河西郡中札内村"/>
        <s v="河西郡更別村"/>
        <s v="広尾郡大樹町"/>
        <s v="広尾郡広尾町"/>
        <s v="中川郡幕別町"/>
        <s v="中川郡池田町"/>
        <s v="中川郡豊頃町"/>
        <s v="中川郡本別町"/>
        <s v="足寄郡足寄町"/>
        <s v="足寄郡陸別町"/>
        <s v="十勝郡浦幌町"/>
        <s v="釧路郡釧路町"/>
        <s v="厚岸郡厚岸町"/>
        <s v="厚岸郡浜中町"/>
        <s v="川上郡標茶町"/>
        <s v="川上郡弟子屈町"/>
        <s v="阿寒郡鶴居村"/>
        <s v="白糠郡白糠町"/>
        <s v="野付郡別海町"/>
        <s v="標津郡中標津町"/>
        <s v="標津郡標津町"/>
        <s v="目梨郡羅臼町"/>
      </sharedItems>
    </cacheField>
    <cacheField name="自治体" numFmtId="0" sqlType="-9">
      <sharedItems count="190">
        <s v="01000 北海道"/>
        <s v="01100 札幌市"/>
        <s v="01101 札幌市中央区"/>
        <s v="01102 札幌市北区"/>
        <s v="01103 札幌市東区"/>
        <s v="01104 札幌市白石区"/>
        <s v="01105 札幌市豊平区"/>
        <s v="01106 札幌市南区"/>
        <s v="01107 札幌市西区"/>
        <s v="01108 札幌市厚別区"/>
        <s v="01109 札幌市手稲区"/>
        <s v="01110 札幌市清田区"/>
        <s v="01202 函館市"/>
        <s v="01203 小樽市"/>
        <s v="01204 旭川市"/>
        <s v="01205 室蘭市"/>
        <s v="01206 釧路市"/>
        <s v="01207 帯広市"/>
        <s v="01208 北見市"/>
        <s v="01209 夕張市"/>
        <s v="01210 岩見沢市"/>
        <s v="01211 網走市"/>
        <s v="01212 留萌市"/>
        <s v="01213 苫小牧市"/>
        <s v="01214 稚内市"/>
        <s v="01215 美唄市"/>
        <s v="01216 芦別市"/>
        <s v="01217 江別市"/>
        <s v="01218 赤平市"/>
        <s v="01219 紋別市"/>
        <s v="01220 士別市"/>
        <s v="01221 名寄市"/>
        <s v="01222 三笠市"/>
        <s v="01223 根室市"/>
        <s v="01224 千歳市"/>
        <s v="01225 滝川市"/>
        <s v="01226 砂川市"/>
        <s v="01227 歌志内市"/>
        <s v="01228 深川市"/>
        <s v="01229 富良野市"/>
        <s v="01230 登別市"/>
        <s v="01231 恵庭市"/>
        <s v="01233 伊達市"/>
        <s v="01234 北広島市"/>
        <s v="01235 石狩市"/>
        <s v="01236 北斗市"/>
        <s v="01303 石狩郡当別町"/>
        <s v="01304 石狩郡新篠津村"/>
        <s v="01331 松前郡松前町"/>
        <s v="01332 松前郡福島町"/>
        <s v="01333 上磯郡知内町"/>
        <s v="01334 上磯郡木古内町"/>
        <s v="01337 亀田郡七飯町"/>
        <s v="01343 茅部郡鹿部町"/>
        <s v="01345 茅部郡森町"/>
        <s v="01346 二海郡八雲町"/>
        <s v="01347 山越郡長万部町"/>
        <s v="01361 檜山郡江差町"/>
        <s v="01362 檜山郡上ノ国町"/>
        <s v="01363 檜山郡厚沢部町"/>
        <s v="01364 爾志郡乙部町"/>
        <s v="01367 奥尻郡奥尻町"/>
        <s v="01370 瀬棚郡今金町"/>
        <s v="01371 久遠郡せたな町"/>
        <s v="01391 島牧郡島牧村"/>
        <s v="01392 寿都郡寿都町"/>
        <s v="01393 寿都郡黒松内町"/>
        <s v="01394 磯谷郡蘭越町"/>
        <s v="01395 虻田郡ニセコ町"/>
        <s v="01396 虻田郡真狩村"/>
        <s v="01397 虻田郡留寿都村"/>
        <s v="01398 虻田郡喜茂別町"/>
        <s v="01399 虻田郡京極町"/>
        <s v="01400 虻田郡倶知安町"/>
        <s v="01401 岩内郡共和町"/>
        <s v="01402 岩内郡岩内町"/>
        <s v="01403 古宇郡泊村"/>
        <s v="01404 古宇郡神恵内村"/>
        <s v="01405 積丹郡積丹町"/>
        <s v="01406 古平郡古平町"/>
        <s v="01407 余市郡仁木町"/>
        <s v="01408 余市郡余市町"/>
        <s v="01409 余市郡赤井川村"/>
        <s v="01423 空知郡南幌町"/>
        <s v="01424 空知郡奈井江町"/>
        <s v="01425 空知郡上砂川町"/>
        <s v="01427 夕張郡由仁町"/>
        <s v="01428 夕張郡長沼町"/>
        <s v="01429 夕張郡栗山町"/>
        <s v="01430 樺戸郡月形町"/>
        <s v="01431 樺戸郡浦臼町"/>
        <s v="01432 樺戸郡新十津川町"/>
        <s v="01433 雨竜郡妹背牛町"/>
        <s v="01434 雨竜郡秩父別町"/>
        <s v="01436 雨竜郡雨竜町"/>
        <s v="01437 雨竜郡北竜町"/>
        <s v="01438 雨竜郡沼田町"/>
        <s v="01452 上川郡鷹栖町"/>
        <s v="01453 上川郡東神楽町"/>
        <s v="01454 上川郡当麻町"/>
        <s v="01455 上川郡比布町"/>
        <s v="01456 上川郡愛別町"/>
        <s v="01457 上川郡上川町"/>
        <s v="01458 上川郡東川町"/>
        <s v="01459 上川郡美瑛町"/>
        <s v="01460 空知郡上富良野町"/>
        <s v="01461 空知郡中富良野町"/>
        <s v="01462 空知郡南富良野町"/>
        <s v="01463 勇払郡占冠村"/>
        <s v="01464 上川郡和寒町"/>
        <s v="01465 上川郡剣淵町"/>
        <s v="01468 上川郡下川町"/>
        <s v="01469 中川郡美深町"/>
        <s v="01470 中川郡音威子府村"/>
        <s v="01471 中川郡中川町"/>
        <s v="01472 雨竜郡幌加内町"/>
        <s v="01481 増毛郡増毛町"/>
        <s v="01482 留萌郡小平町"/>
        <s v="01483 苫前郡苫前町"/>
        <s v="01484 苫前郡羽幌町"/>
        <s v="01485 苫前郡初山別村"/>
        <s v="01486 天塩郡遠別町"/>
        <s v="01487 天塩郡天塩町"/>
        <s v="01511 宗谷郡猿払村"/>
        <s v="01512 枝幸郡浜頓別町"/>
        <s v="01513 枝幸郡中頓別町"/>
        <s v="01514 枝幸郡枝幸町"/>
        <s v="01516 天塩郡豊富町"/>
        <s v="01517 礼文郡礼文町"/>
        <s v="01518 利尻郡利尻町"/>
        <s v="01519 利尻郡利尻富士町"/>
        <s v="01520 天塩郡幌延町"/>
        <s v="01543 網走郡美幌町"/>
        <s v="01544 網走郡津別町"/>
        <s v="01545 斜里郡斜里町"/>
        <s v="01546 斜里郡清里町"/>
        <s v="01547 斜里郡小清水町"/>
        <s v="01549 常呂郡訓子府町"/>
        <s v="01550 常呂郡置戸町"/>
        <s v="01552 常呂郡佐呂間町"/>
        <s v="01555 紋別郡遠軽町"/>
        <s v="01559 紋別郡湧別町"/>
        <s v="01560 紋別郡滝上町"/>
        <s v="01561 紋別郡興部町"/>
        <s v="01562 紋別郡西興部村"/>
        <s v="01563 紋別郡雄武町"/>
        <s v="01564 網走郡大空町"/>
        <s v="01571 虻田郡豊浦町"/>
        <s v="01575 有珠郡壮瞥町"/>
        <s v="01578 白老郡白老町"/>
        <s v="01581 勇払郡厚真町"/>
        <s v="01584 虻田郡洞爺湖町"/>
        <s v="01585 勇払郡安平町"/>
        <s v="01586 勇払郡むかわ町"/>
        <s v="01601 沙流郡日高町"/>
        <s v="01602 沙流郡平取町"/>
        <s v="01604 新冠郡新冠町"/>
        <s v="01607 浦河郡浦河町"/>
        <s v="01608 様似郡様似町"/>
        <s v="01609 幌泉郡えりも町"/>
        <s v="01610 日高郡新ひだか町"/>
        <s v="01631 河東郡音更町"/>
        <s v="01632 河東郡士幌町"/>
        <s v="01633 河東郡上士幌町"/>
        <s v="01634 河東郡鹿追町"/>
        <s v="01635 上川郡新得町"/>
        <s v="01636 上川郡清水町"/>
        <s v="01637 河西郡芽室町"/>
        <s v="01638 河西郡中札内村"/>
        <s v="01639 河西郡更別村"/>
        <s v="01641 広尾郡大樹町"/>
        <s v="01642 広尾郡広尾町"/>
        <s v="01643 中川郡幕別町"/>
        <s v="01644 中川郡池田町"/>
        <s v="01645 中川郡豊頃町"/>
        <s v="01646 中川郡本別町"/>
        <s v="01647 足寄郡足寄町"/>
        <s v="01648 足寄郡陸別町"/>
        <s v="01649 十勝郡浦幌町"/>
        <s v="01661 釧路郡釧路町"/>
        <s v="01662 厚岸郡厚岸町"/>
        <s v="01663 厚岸郡浜中町"/>
        <s v="01664 川上郡標茶町"/>
        <s v="01665 川上郡弟子屈町"/>
        <s v="01667 阿寒郡鶴居村"/>
        <s v="01668 白糠郡白糠町"/>
        <s v="01691 野付郡別海町"/>
        <s v="01692 標津郡中標津町"/>
        <s v="01693 標津郡標津町"/>
        <s v="01694 目梨郡羅臼町"/>
      </sharedItems>
    </cacheField>
    <cacheField name="産業分類コード" numFmtId="0" sqlType="-8">
      <sharedItems count="238">
        <s v="692"/>
        <s v="783"/>
        <s v="766"/>
        <s v="782"/>
        <s v="762"/>
        <s v="765"/>
        <s v="835"/>
        <s v="609"/>
        <s v="824"/>
        <s v="767"/>
        <s v="062"/>
        <s v="591"/>
        <s v="589"/>
        <s v="081"/>
        <s v="083"/>
        <s v="691"/>
        <s v="742"/>
        <s v="064"/>
        <s v="603"/>
        <s v="891"/>
        <s v="682"/>
        <s v="559"/>
        <s v="078"/>
        <s v="833"/>
        <s v="694"/>
        <s v="721"/>
        <s v="929"/>
        <s v="724"/>
        <s v="573"/>
        <s v="789"/>
        <s v="391"/>
        <s v="079"/>
        <s v="066"/>
        <s v="541"/>
        <s v="781"/>
        <s v="674"/>
        <s v="521"/>
        <s v="772"/>
        <s v="432"/>
        <s v="823"/>
        <s v="065"/>
        <s v="586"/>
        <s v="605"/>
        <s v="854"/>
        <s v="585"/>
        <s v="761"/>
        <s v="077"/>
        <s v="593"/>
        <s v="582"/>
        <s v="606"/>
        <s v="608"/>
        <s v="751"/>
        <s v="821"/>
        <s v="853"/>
        <s v="092"/>
        <s v="611"/>
        <s v="076"/>
        <s v="951"/>
        <s v="531"/>
        <s v="855"/>
        <s v="922"/>
        <s v="764"/>
        <s v="441"/>
        <s v="099"/>
        <s v="799"/>
        <s v="619"/>
        <s v="784"/>
        <s v="071"/>
        <s v="581"/>
        <s v="522"/>
        <s v="313"/>
        <s v="859"/>
        <s v="881"/>
        <s v="131"/>
        <s v="184"/>
        <s v="360"/>
        <s v="361"/>
        <s v="471"/>
        <s v="489"/>
        <s v="574"/>
        <s v="583"/>
        <s v="693"/>
        <s v="804"/>
        <s v="901"/>
        <s v="604"/>
        <s v="607"/>
        <s v="244"/>
        <s v="072"/>
        <s v="094"/>
        <s v="106"/>
        <s v="093"/>
        <s v="534"/>
        <s v="584"/>
        <s v="133"/>
        <s v="579"/>
        <s v="723"/>
        <s v="121"/>
        <s v="212"/>
        <s v="259"/>
        <s v="331"/>
        <s v="552"/>
        <s v="592"/>
        <s v="769"/>
        <s v="796"/>
        <s v="909"/>
        <s v="075"/>
        <s v="097"/>
        <s v="102"/>
        <s v="704"/>
        <s v="882"/>
        <s v="063"/>
        <s v="151"/>
        <s v="571"/>
        <s v="601"/>
        <s v="602"/>
        <s v="711"/>
        <s v="731"/>
        <s v="759"/>
        <s v="225"/>
        <s v="363"/>
        <s v="482"/>
        <s v="746"/>
        <s v="795"/>
        <s v="809"/>
        <s v="852"/>
        <s v="702"/>
        <s v="727"/>
        <s v="091"/>
        <s v="325"/>
        <s v="722"/>
        <s v="749"/>
        <s v="763"/>
        <s v="912"/>
        <s v="752"/>
        <s v="542"/>
        <s v="771"/>
        <s v="116"/>
        <s v="261"/>
        <s v="681"/>
        <s v="728"/>
        <s v="054"/>
        <s v="572"/>
        <s v="729"/>
        <s v="095"/>
        <s v="218"/>
        <s v="253"/>
        <s v="174"/>
        <s v="328"/>
        <s v="084"/>
        <s v="082"/>
        <s v="326"/>
        <s v="330"/>
        <s v="543"/>
        <s v="549"/>
        <s v="101"/>
        <s v="061"/>
        <s v="163"/>
        <s v="401"/>
        <s v="536"/>
        <s v="850"/>
        <s v="753"/>
        <s v="612"/>
        <s v="073"/>
        <s v="329"/>
        <s v="533"/>
        <s v="089"/>
        <s v="179"/>
        <s v="299"/>
        <s v="959"/>
        <s v="242"/>
        <s v="569"/>
        <s v="805"/>
        <s v="911"/>
        <s v="129"/>
        <s v="291"/>
        <s v="431"/>
        <s v="214"/>
        <s v="229"/>
        <s v="433"/>
        <s v="590"/>
        <s v="793"/>
        <s v="836"/>
        <s v="265"/>
        <s v="551"/>
        <s v="414"/>
        <s v="802"/>
        <s v="319"/>
        <s v="902"/>
        <s v="701"/>
        <s v="411"/>
        <s v="443"/>
        <s v="553"/>
        <s v="324"/>
        <s v="122"/>
        <s v="741"/>
        <s v="139"/>
        <s v="055"/>
        <s v="207"/>
        <s v="219"/>
        <s v="453"/>
        <s v="673"/>
        <s v="169"/>
        <s v="421"/>
        <s v="123"/>
        <s v="806"/>
        <s v="923"/>
        <s v="096"/>
        <s v="726"/>
        <s v="439"/>
        <s v="889"/>
        <s v="416"/>
        <s v="535"/>
        <s v="671"/>
        <s v="059"/>
        <s v="161"/>
        <s v="373"/>
        <s v="472"/>
        <s v="791"/>
        <s v="745"/>
        <s v="165"/>
        <s v="413"/>
        <s v="383"/>
        <s v="103"/>
        <s v="119"/>
        <s v="210"/>
        <s v="705"/>
        <s v="803"/>
        <s v="725"/>
        <s v="520"/>
        <s v="098"/>
        <s v="182"/>
        <s v="829"/>
        <s v="189"/>
        <s v="744"/>
        <s v="149"/>
        <s v="920"/>
        <s v="415"/>
        <s v="104"/>
      </sharedItems>
    </cacheField>
    <cacheField name="産業分類" numFmtId="0" sqlType="-9">
      <sharedItems count="232">
        <s v="貸家業，貸間業"/>
        <s v="美容業"/>
        <s v="バー，キャバレー，ナイトクラブ"/>
        <s v="理容業"/>
        <s v="専門料理店"/>
        <s v="酒場，ビヤホール"/>
        <s v="療術業"/>
        <s v="他に分類されない小売業"/>
        <s v="教養・技能教授業"/>
        <s v="喫茶店"/>
        <s v="土木工事業（舗装工事業を除く）"/>
        <s v="自動車小売業"/>
        <s v="その他の飲食料品小売業"/>
        <s v="電気工事業"/>
        <s v="管工事業（さく井工事業を除く）"/>
        <s v="不動産賃貸業（貸家業，貸間業を除く）"/>
        <s v="土木建築サービス業"/>
        <s v="建築工事業（木造建築工事業を除く）"/>
        <s v="医薬品・化粧品小売業"/>
        <s v="自動車整備業"/>
        <s v="不動産代理業・仲介業"/>
        <s v="他に分類されない卸売業"/>
        <s v="床・内装工事業"/>
        <s v="歯科診療所"/>
        <s v="不動産管理業"/>
        <s v="法律事務所，特許事務所"/>
        <s v="他に分類されない事業サービス業"/>
        <s v="公認会計士事務所，税理士事務所"/>
        <s v="婦人・子供服小売業"/>
        <s v="その他の洗濯・理容・美容・浴場業"/>
        <s v="ソフトウェア業"/>
        <s v="その他の職別工事業"/>
        <s v="建築リフォーム工事業"/>
        <s v="産業機械器具卸売業"/>
        <s v="洗濯業"/>
        <s v="保険媒介代理業"/>
        <s v="農畜産物・水産物卸売業"/>
        <s v="配達飲食サービス業"/>
        <s v="一般乗用旅客自動車運送業"/>
        <s v="学習塾"/>
        <s v="木造建築工事業"/>
        <s v="菓子・パン小売業"/>
        <s v="燃料小売業"/>
        <s v="老人福祉・介護事業"/>
        <s v="酒小売業"/>
        <s v="食堂，レストラン（専門料理店を除く）"/>
        <s v="塗装工事業"/>
        <s v="機械器具小売業（自動車，自転車を除く）"/>
        <s v="野菜・果実小売業"/>
        <s v="書籍・文房具小売業"/>
        <s v="写真機・時計・眼鏡小売業"/>
        <s v="旅館，ホテル"/>
        <s v="社会教育"/>
        <s v="児童福祉事業"/>
        <s v="水産食料品製造業"/>
        <s v="通信販売・訪問販売小売業"/>
        <s v="板金・金物工事業"/>
        <s v="集会場"/>
        <s v="建築材料卸売業"/>
        <s v="障害者福祉事業"/>
        <s v="建物サービス業"/>
        <s v="すし店"/>
        <s v="一般貨物自動車運送業"/>
        <s v="その他の食料品製造業"/>
        <s v="他に分類されない生活関連サービス業"/>
        <s v="その他の無店舗小売業"/>
        <s v="一般公衆浴場業"/>
        <s v="大工工事業"/>
        <s v="各種食料品小売業"/>
        <s v="食料・飲料卸売業"/>
        <s v="船舶製造・修理業，舶用機関製造業"/>
        <s v="その他の社会保険・社会福祉・介護事業"/>
        <s v="一般廃棄物処理業"/>
        <s v="家具製造業"/>
        <s v="発泡・強化プラスチック製品製造業"/>
        <s v="管理，補助的経済活動を行う事業所"/>
        <s v="上水道業"/>
        <s v="倉庫業（冷蔵倉庫業を除く）"/>
        <s v="その他の運輸に附帯するサービス業"/>
        <s v="靴・履物小売業"/>
        <s v="食肉小売業"/>
        <s v="駐車場業"/>
        <s v="スポーツ施設提供業"/>
        <s v="機械修理業（電気機械器具を除く）"/>
        <s v="農耕用品小売業"/>
        <s v="スポーツ用品・がん具・娯楽用品・楽器小売業"/>
        <s v="建設用・建築用金属製品製造業（製缶板金業を含む）"/>
        <s v="とび・土工・コンクリート工事業"/>
        <s v="調味料製造業"/>
        <s v="飼料・有機質肥料製造業"/>
        <s v="野菜缶詰・果実缶詰・農産保存食料品製造業"/>
        <s v="鉄鋼製品卸売業"/>
        <s v="鮮魚小売業"/>
        <s v="建具製造業"/>
        <s v="その他の織物・衣服・身の回り品小売業"/>
        <s v="行政書士事務所"/>
        <s v="製材業，木製品製造業"/>
        <s v="セメント・同製品製造業"/>
        <s v="その他のはん用機械・同部分品製造業"/>
        <s v="電気業"/>
        <s v="医薬品・化粧品等卸売業"/>
        <s v="自転車小売業"/>
        <s v="その他の飲食店"/>
        <s v="冠婚葬祭業"/>
        <s v="その他の修理業"/>
        <s v="左官工事業"/>
        <s v="パン・菓子製造業"/>
        <s v="酒類製造業"/>
        <s v="自動車賃貸業"/>
        <s v="産業廃棄物処理業"/>
        <s v="舗装工事業"/>
        <s v="印刷業"/>
        <s v="呉服・服地・寝具小売業"/>
        <s v="家具・建具・畳小売業"/>
        <s v="じゅう器小売業"/>
        <s v="自然科学研究所"/>
        <s v="広告業"/>
        <s v="その他の宿泊業"/>
        <s v="鉄素形材製造業"/>
        <s v="下水道業"/>
        <s v="貨物運送取扱業（集配利用運送業を除く）"/>
        <s v="写真業"/>
        <s v="火葬・墓地管理業"/>
        <s v="その他の娯楽業"/>
        <s v="福祉事務所"/>
        <s v="産業用機械器具賃貸業"/>
        <s v="著述・芸術家業"/>
        <s v="畜産食料品製造業"/>
        <s v="がん具・運動用具製造業"/>
        <s v="公証人役場，司法書士事務所，土地家屋調査士事務所"/>
        <s v="その他の技術サービス業"/>
        <s v="そば・うどん店"/>
        <s v="労働者派遣業"/>
        <s v="簡易宿所"/>
        <s v="自動車卸売業"/>
        <s v="持ち帰り飲食サービス業"/>
        <s v="外衣・シャツ製造業（和式を除く）"/>
        <s v="農業用機械製造業（農業用器具を除く）"/>
        <s v="建物売買業，土地売買業"/>
        <s v="経営コンサルタント業，純粋持株会社"/>
        <s v="採石業，砂・砂利・玉石採取業"/>
        <s v="男子服小売業"/>
        <s v="その他の専門サービス業"/>
        <s v="糖類製造業"/>
        <s v="骨材・石工品等製造業"/>
        <s v="一般産業用機械・装置製造業"/>
        <s v="舗装材料製造業"/>
        <s v="畳等生活雑貨製品製造業"/>
        <s v="機械器具設置工事業"/>
        <s v="電気通信・信号装置工事業"/>
        <s v="ペン・鉛筆・絵画用品・その他の事務用品製造業"/>
        <s v="電気機械器具卸売業"/>
        <s v="その他の機械器具卸売業"/>
        <s v="清涼飲料製造業"/>
        <s v="一般土木建築工事業"/>
        <s v="有機化学工業製品製造業"/>
        <s v="インターネット附随サービス業"/>
        <s v="再生資源卸売業"/>
        <s v="下宿業"/>
        <s v="自動販売機による小売業"/>
        <s v="鉄骨・鉄筋工事業"/>
        <s v="他に分類されない製造業"/>
        <s v="石油・鉱物卸売業"/>
        <s v="その他の設備工事業"/>
        <s v="その他の石油製品・石炭製品製造業"/>
        <s v="その他の電気機械器具製造業"/>
        <s v="他に分類されないサービス業"/>
        <s v="洋食器・刃物・手道具・金物類製造業"/>
        <s v="その他の各種商品小売業（従業者が常時50人未満のもの）"/>
        <s v="公園，遊園地"/>
        <s v="職業紹介業"/>
        <s v="その他の木製品製造業（竹，とうを含む）"/>
        <s v="発電用・送電用・配電用電気機械器具製造業"/>
        <s v="一般乗合旅客自動車運送業"/>
        <s v="陶磁器・同関連製品製造業"/>
        <s v="その他の鉄鋼業"/>
        <s v="一般貸切旅客自動車運送業"/>
        <s v="衣服裁縫修理業"/>
        <s v="医療に附帯するサービス業"/>
        <s v="基礎素材産業用機械製造業"/>
        <s v="家具・建具・じゅう器等卸売業"/>
        <s v="出版業"/>
        <s v="興行場（別掲を除く），興行団"/>
        <s v="その他の輸送用機械器具製造業"/>
        <s v="電気機械器具修理業"/>
        <s v="各種物品賃貸業"/>
        <s v="映像情報制作・配給業"/>
        <s v="貨物軽自動車運送業"/>
        <s v="紙・紙製品卸売業"/>
        <s v="楽器製造業"/>
        <s v="造作材・合板・建築用組立材料製造業"/>
        <s v="獣医業"/>
        <s v="その他の家具・装備品製造業"/>
        <s v="窯業原料用鉱物鉱業（耐火物・陶磁器・ガラス・セメント原料用に限る）"/>
        <s v="袋物製造業"/>
        <s v="その他の窯業・土石製品製造業"/>
        <s v="内陸水運業"/>
        <s v="共済事業，少額短期保険業"/>
        <s v="その他の化学工業"/>
        <s v="鉄道業"/>
        <s v="木製容器製造業（竹，とうを含む）"/>
        <s v="遊戯場"/>
        <s v="警備業"/>
        <s v="精穀・製粉業"/>
        <s v="デザイン業"/>
        <s v="その他の道路旅客運送業"/>
        <s v="その他の廃棄物処理業"/>
        <s v="映像・音声・文字情報制作に附帯するサービス業"/>
        <s v="非鉄金属卸売業"/>
        <s v="生命保険業"/>
        <s v="その他の鉱業"/>
        <s v="化学肥料製造業"/>
        <s v="電気通信に附帯するサービス業"/>
        <s v="冷蔵倉庫業"/>
        <s v="旅行業"/>
        <s v="計量証明業"/>
        <s v="医薬品製造業"/>
        <s v="新聞業"/>
        <s v="有線放送業"/>
        <s v="茶・コーヒー製造業（清涼飲料を除く）"/>
        <s v="その他の繊維製品製造業"/>
        <s v="スポーツ・娯楽用品賃貸業"/>
        <s v="競輪・競馬等の競走場，競技団"/>
        <s v="社会保険労務士事務所"/>
        <s v="動植物油脂製造業"/>
        <s v="プラスチックフィルム・シート・床材・合成皮革製造業"/>
        <s v="他に分類されない教育，学習支援業"/>
        <s v="その他のプラスチック製品製造業"/>
        <s v="商品・非破壊検査業"/>
        <s v="その他のパルプ・紙・紙加工品製造業"/>
        <s v="広告制作業"/>
        <s v="製氷業"/>
      </sharedItems>
    </cacheField>
    <cacheField name="産業小分類" numFmtId="0" sqlType="-9">
      <sharedItems count="238">
        <s v="692 貸家業，貸間業"/>
        <s v="783 美容業"/>
        <s v="766 バー，キャバレー，ナイトクラブ"/>
        <s v="782 理容業"/>
        <s v="762 専門料理店"/>
        <s v="765 酒場，ビヤホール"/>
        <s v="835 療術業"/>
        <s v="609 他に分類されない小売業"/>
        <s v="824 教養・技能教授業"/>
        <s v="767 喫茶店"/>
        <s v="062 土木工事業（舗装工事業を除く）"/>
        <s v="591 自動車小売業"/>
        <s v="589 その他の飲食料品小売業"/>
        <s v="081 電気工事業"/>
        <s v="083 管工事業（さく井工事業を除く）"/>
        <s v="691 不動産賃貸業（貸家業，貸間業を除く）"/>
        <s v="742 土木建築サービス業"/>
        <s v="064 建築工事業（木造建築工事業を除く）"/>
        <s v="603 医薬品・化粧品小売業"/>
        <s v="891 自動車整備業"/>
        <s v="682 不動産代理業・仲介業"/>
        <s v="559 他に分類されない卸売業"/>
        <s v="078 床・内装工事業"/>
        <s v="833 歯科診療所"/>
        <s v="694 不動産管理業"/>
        <s v="721 法律事務所，特許事務所"/>
        <s v="929 他に分類されない事業サービス業"/>
        <s v="724 公認会計士事務所，税理士事務所"/>
        <s v="573 婦人・子供服小売業"/>
        <s v="789 その他の洗濯・理容・美容・浴場業"/>
        <s v="391 ソフトウェア業"/>
        <s v="079 その他の職別工事業"/>
        <s v="066 建築リフォーム工事業"/>
        <s v="541 産業機械器具卸売業"/>
        <s v="781 洗濯業"/>
        <s v="674 保険媒介代理業"/>
        <s v="521 農畜産物・水産物卸売業"/>
        <s v="772 配達飲食サービス業"/>
        <s v="432 一般乗用旅客自動車運送業"/>
        <s v="823 学習塾"/>
        <s v="065 木造建築工事業"/>
        <s v="586 菓子・パン小売業"/>
        <s v="605 燃料小売業"/>
        <s v="854 老人福祉・介護事業"/>
        <s v="585 酒小売業"/>
        <s v="761 食堂，レストラン（専門料理店を除く）"/>
        <s v="077 塗装工事業"/>
        <s v="593 機械器具小売業（自動車，自転車を除く）"/>
        <s v="582 野菜・果実小売業"/>
        <s v="606 書籍・文房具小売業"/>
        <s v="608 写真機・時計・眼鏡小売業"/>
        <s v="751 旅館，ホテル"/>
        <s v="821 社会教育"/>
        <s v="853 児童福祉事業"/>
        <s v="092 水産食料品製造業"/>
        <s v="611 通信販売・訪問販売小売業"/>
        <s v="076 板金・金物工事業"/>
        <s v="951 集会場"/>
        <s v="531 建築材料卸売業"/>
        <s v="855 障害者福祉事業"/>
        <s v="922 建物サービス業"/>
        <s v="764 すし店"/>
        <s v="441 一般貨物自動車運送業"/>
        <s v="099 その他の食料品製造業"/>
        <s v="799 他に分類されない生活関連サービス業"/>
        <s v="619 その他の無店舗小売業"/>
        <s v="784 一般公衆浴場業"/>
        <s v="071 大工工事業"/>
        <s v="581 各種食料品小売業"/>
        <s v="522 食料・飲料卸売業"/>
        <s v="313 船舶製造・修理業，舶用機関製造業"/>
        <s v="859 その他の社会保険・社会福祉・介護事業"/>
        <s v="881 一般廃棄物処理業"/>
        <s v="131 家具製造業"/>
        <s v="184 発泡・強化プラスチック製品製造業"/>
        <s v="360 管理，補助的経済活動を行う事業所"/>
        <s v="361 上水道業"/>
        <s v="471 倉庫業（冷蔵倉庫業を除く）"/>
        <s v="489 その他の運輸に附帯するサービス業"/>
        <s v="574 靴・履物小売業"/>
        <s v="583 食肉小売業"/>
        <s v="693 駐車場業"/>
        <s v="804 スポーツ施設提供業"/>
        <s v="901 機械修理業（電気機械器具を除く）"/>
        <s v="604 農耕用品小売業"/>
        <s v="607 スポーツ用品・がん具・娯楽用品・楽器小売業"/>
        <s v="244 建設用・建築用金属製品製造業（製缶板金業を含む）"/>
        <s v="072 とび・土工・コンクリート工事業"/>
        <s v="094 調味料製造業"/>
        <s v="106 飼料・有機質肥料製造業"/>
        <s v="093 野菜缶詰・果実缶詰・農産保存食料品製造業"/>
        <s v="534 鉄鋼製品卸売業"/>
        <s v="584 鮮魚小売業"/>
        <s v="133 建具製造業"/>
        <s v="579 その他の織物・衣服・身の回り品小売業"/>
        <s v="723 行政書士事務所"/>
        <s v="121 製材業，木製品製造業"/>
        <s v="212 セメント・同製品製造業"/>
        <s v="259 その他のはん用機械・同部分品製造業"/>
        <s v="331 電気業"/>
        <s v="552 医薬品・化粧品等卸売業"/>
        <s v="592 自転車小売業"/>
        <s v="769 その他の飲食店"/>
        <s v="796 冠婚葬祭業"/>
        <s v="909 その他の修理業"/>
        <s v="075 左官工事業"/>
        <s v="097 パン・菓子製造業"/>
        <s v="102 酒類製造業"/>
        <s v="704 自動車賃貸業"/>
        <s v="882 産業廃棄物処理業"/>
        <s v="063 舗装工事業"/>
        <s v="151 印刷業"/>
        <s v="571 呉服・服地・寝具小売業"/>
        <s v="601 家具・建具・畳小売業"/>
        <s v="602 じゅう器小売業"/>
        <s v="711 自然科学研究所"/>
        <s v="731 広告業"/>
        <s v="759 その他の宿泊業"/>
        <s v="225 鉄素形材製造業"/>
        <s v="363 下水道業"/>
        <s v="482 貨物運送取扱業（集配利用運送業を除く）"/>
        <s v="746 写真業"/>
        <s v="795 火葬・墓地管理業"/>
        <s v="809 その他の娯楽業"/>
        <s v="852 福祉事務所"/>
        <s v="702 産業用機械器具賃貸業"/>
        <s v="727 著述・芸術家業"/>
        <s v="091 畜産食料品製造業"/>
        <s v="325 がん具・運動用具製造業"/>
        <s v="722 公証人役場，司法書士事務所，土地家屋調査士事務所"/>
        <s v="749 その他の技術サービス業"/>
        <s v="763 そば・うどん店"/>
        <s v="912 労働者派遣業"/>
        <s v="752 簡易宿所"/>
        <s v="542 自動車卸売業"/>
        <s v="771 持ち帰り飲食サービス業"/>
        <s v="116 外衣・シャツ製造業（和式を除く）"/>
        <s v="261 農業用機械製造業（農業用器具を除く）"/>
        <s v="681 建物売買業，土地売買業"/>
        <s v="728 経営コンサルタント業，純粋持株会社"/>
        <s v="054 採石業，砂・砂利・玉石採取業"/>
        <s v="572 男子服小売業"/>
        <s v="729 その他の専門サービス業"/>
        <s v="095 糖類製造業"/>
        <s v="218 骨材・石工品等製造業"/>
        <s v="253 一般産業用機械・装置製造業"/>
        <s v="174 舗装材料製造業"/>
        <s v="328 畳等生活雑貨製品製造業"/>
        <s v="084 機械器具設置工事業"/>
        <s v="082 電気通信・信号装置工事業"/>
        <s v="326 ペン・鉛筆・絵画用品・その他の事務用品製造業"/>
        <s v="330 管理，補助的経済活動を行う事業所"/>
        <s v="543 電気機械器具卸売業"/>
        <s v="549 その他の機械器具卸売業"/>
        <s v="101 清涼飲料製造業"/>
        <s v="061 一般土木建築工事業"/>
        <s v="163 有機化学工業製品製造業"/>
        <s v="401 インターネット附随サービス業"/>
        <s v="536 再生資源卸売業"/>
        <s v="850 管理，補助的経済活動を行う事業所"/>
        <s v="753 下宿業"/>
        <s v="612 自動販売機による小売業"/>
        <s v="073 鉄骨・鉄筋工事業"/>
        <s v="329 他に分類されない製造業"/>
        <s v="533 石油・鉱物卸売業"/>
        <s v="089 その他の設備工事業"/>
        <s v="179 その他の石油製品・石炭製品製造業"/>
        <s v="299 その他の電気機械器具製造業"/>
        <s v="959 他に分類されないサービス業"/>
        <s v="242 洋食器・刃物・手道具・金物類製造業"/>
        <s v="569 その他の各種商品小売業（従業者が常時50人未満のもの）"/>
        <s v="805 公園，遊園地"/>
        <s v="911 職業紹介業"/>
        <s v="129 その他の木製品製造業（竹，とうを含む）"/>
        <s v="291 発電用・送電用・配電用電気機械器具製造業"/>
        <s v="431 一般乗合旅客自動車運送業"/>
        <s v="214 陶磁器・同関連製品製造業"/>
        <s v="229 その他の鉄鋼業"/>
        <s v="433 一般貸切旅客自動車運送業"/>
        <s v="590 管理，補助的経済活動を行う事業所"/>
        <s v="793 衣服裁縫修理業"/>
        <s v="836 医療に附帯するサービス業"/>
        <s v="265 基礎素材産業用機械製造業"/>
        <s v="551 家具・建具・じゅう器等卸売業"/>
        <s v="414 出版業"/>
        <s v="802 興行場（別掲を除く），興行団"/>
        <s v="319 その他の輸送用機械器具製造業"/>
        <s v="902 電気機械器具修理業"/>
        <s v="701 各種物品賃貸業"/>
        <s v="411 映像情報制作・配給業"/>
        <s v="443 貨物軽自動車運送業"/>
        <s v="553 紙・紙製品卸売業"/>
        <s v="324 楽器製造業"/>
        <s v="122 造作材・合板・建築用組立材料製造業"/>
        <s v="741 獣医業"/>
        <s v="139 その他の家具・装備品製造業"/>
        <s v="055 窯業原料用鉱物鉱業（耐火物・陶磁器・ガラス・セメント原料用に限る）"/>
        <s v="207 袋物製造業"/>
        <s v="219 その他の窯業・土石製品製造業"/>
        <s v="453 内陸水運業"/>
        <s v="673 共済事業，少額短期保険業"/>
        <s v="169 その他の化学工業"/>
        <s v="421 鉄道業"/>
        <s v="123 木製容器製造業（竹，とうを含む）"/>
        <s v="806 遊戯場"/>
        <s v="923 警備業"/>
        <s v="096 精穀・製粉業"/>
        <s v="726 デザイン業"/>
        <s v="439 その他の道路旅客運送業"/>
        <s v="889 その他の廃棄物処理業"/>
        <s v="416 映像・音声・文字情報制作に附帯するサービス業"/>
        <s v="535 非鉄金属卸売業"/>
        <s v="671 生命保険業"/>
        <s v="059 その他の鉱業"/>
        <s v="161 化学肥料製造業"/>
        <s v="373 電気通信に附帯するサービス業"/>
        <s v="472 冷蔵倉庫業"/>
        <s v="791 旅行業"/>
        <s v="745 計量証明業"/>
        <s v="165 医薬品製造業"/>
        <s v="413 新聞業"/>
        <s v="383 有線放送業"/>
        <s v="103 茶・コーヒー製造業（清涼飲料を除く）"/>
        <s v="119 その他の繊維製品製造業"/>
        <s v="210 管理，補助的経済活動を行う事業所"/>
        <s v="705 スポーツ・娯楽用品賃貸業"/>
        <s v="803 競輪・競馬等の競走場，競技団"/>
        <s v="725 社会保険労務士事務所"/>
        <s v="520 管理，補助的経済活動を行う事業所"/>
        <s v="098 動植物油脂製造業"/>
        <s v="182 プラスチックフィルム・シート・床材・合成皮革製造業"/>
        <s v="829 他に分類されない教育，学習支援業"/>
        <s v="189 その他のプラスチック製品製造業"/>
        <s v="744 商品・非破壊検査業"/>
        <s v="149 その他のパルプ・紙・紙加工品製造業"/>
        <s v="920 管理，補助的経済活動を行う事業所"/>
        <s v="415 広告制作業"/>
        <s v="104 製氷業"/>
      </sharedItems>
    </cacheField>
    <cacheField name="rank" numFmtId="0" sqlType="-5">
      <sharedItems containsSemiMixedTypes="0" containsString="0" containsNumber="1" containsInteger="1" minValue="1" maxValue="20" count="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6"/>
        <n v="17"/>
        <n v="18"/>
        <n v="19"/>
        <n v="20"/>
        <n v="15"/>
      </sharedItems>
    </cacheField>
    <cacheField name="総数" numFmtId="0" sqlType="4">
      <sharedItems containsSemiMixedTypes="0" containsString="0" containsNumber="1" containsInteger="1" minValue="1" maxValue="7822" count="218">
        <n v="7822"/>
        <n v="6275"/>
        <n v="4508"/>
        <n v="4322"/>
        <n v="3329"/>
        <n v="3069"/>
        <n v="2699"/>
        <n v="2222"/>
        <n v="2094"/>
        <n v="1772"/>
        <n v="1750"/>
        <n v="1655"/>
        <n v="1646"/>
        <n v="1602"/>
        <n v="1543"/>
        <n v="1530"/>
        <n v="1522"/>
        <n v="1474"/>
        <n v="1455"/>
        <n v="3363"/>
        <n v="1711"/>
        <n v="1287"/>
        <n v="1093"/>
        <n v="1071"/>
        <n v="1009"/>
        <n v="974"/>
        <n v="815"/>
        <n v="775"/>
        <n v="724"/>
        <n v="615"/>
        <n v="603"/>
        <n v="579"/>
        <n v="539"/>
        <n v="505"/>
        <n v="492"/>
        <n v="487"/>
        <n v="484"/>
        <n v="476"/>
        <n v="475"/>
        <n v="841"/>
        <n v="571"/>
        <n v="523"/>
        <n v="436"/>
        <n v="250"/>
        <n v="238"/>
        <n v="230"/>
        <n v="222"/>
        <n v="218"/>
        <n v="206"/>
        <n v="205"/>
        <n v="191"/>
        <n v="189"/>
        <n v="166"/>
        <n v="164"/>
        <n v="160"/>
        <n v="146"/>
        <n v="145"/>
        <n v="143"/>
        <n v="368"/>
        <n v="237"/>
        <n v="171"/>
        <n v="133"/>
        <n v="131"/>
        <n v="113"/>
        <n v="107"/>
        <n v="99"/>
        <n v="94"/>
        <n v="84"/>
        <n v="83"/>
        <n v="77"/>
        <n v="76"/>
        <n v="75"/>
        <n v="72"/>
        <n v="71"/>
        <n v="68"/>
        <n v="67"/>
        <n v="434"/>
        <n v="170"/>
        <n v="115"/>
        <n v="93"/>
        <n v="90"/>
        <n v="79"/>
        <n v="78"/>
        <n v="64"/>
        <n v="63"/>
        <n v="552"/>
        <n v="180"/>
        <n v="112"/>
        <n v="104"/>
        <n v="98"/>
        <n v="91"/>
        <n v="74"/>
        <n v="69"/>
        <n v="65"/>
        <n v="59"/>
        <n v="56"/>
        <n v="53"/>
        <n v="527"/>
        <n v="176"/>
        <n v="127"/>
        <n v="80"/>
        <n v="70"/>
        <n v="66"/>
        <n v="51"/>
        <n v="50"/>
        <n v="49"/>
        <n v="47"/>
        <n v="46"/>
        <n v="44"/>
        <n v="43"/>
        <n v="199"/>
        <n v="110"/>
        <n v="61"/>
        <n v="40"/>
        <n v="39"/>
        <n v="38"/>
        <n v="37"/>
        <n v="34"/>
        <n v="32"/>
        <n v="31"/>
        <n v="30"/>
        <n v="370"/>
        <n v="149"/>
        <n v="117"/>
        <n v="102"/>
        <n v="100"/>
        <n v="88"/>
        <n v="58"/>
        <n v="52"/>
        <n v="48"/>
        <n v="45"/>
        <n v="152"/>
        <n v="57"/>
        <n v="36"/>
        <n v="28"/>
        <n v="27"/>
        <n v="26"/>
        <n v="25"/>
        <n v="24"/>
        <n v="23"/>
        <n v="21"/>
        <n v="19"/>
        <n v="106"/>
        <n v="103"/>
        <n v="42"/>
        <n v="41"/>
        <n v="87"/>
        <n v="86"/>
        <n v="60"/>
        <n v="35"/>
        <n v="29"/>
        <n v="420"/>
        <n v="415"/>
        <n v="240"/>
        <n v="219"/>
        <n v="193"/>
        <n v="144"/>
        <n v="141"/>
        <n v="136"/>
        <n v="132"/>
        <n v="126"/>
        <n v="101"/>
        <n v="89"/>
        <n v="123"/>
        <n v="96"/>
        <n v="81"/>
        <n v="62"/>
        <n v="33"/>
        <n v="509"/>
        <n v="458"/>
        <n v="306"/>
        <n v="276"/>
        <n v="256"/>
        <n v="231"/>
        <n v="226"/>
        <n v="128"/>
        <n v="108"/>
        <n v="97"/>
        <n v="435"/>
        <n v="267"/>
        <n v="185"/>
        <n v="54"/>
        <n v="297"/>
        <n v="281"/>
        <n v="225"/>
        <n v="161"/>
        <n v="158"/>
        <n v="138"/>
        <n v="135"/>
        <n v="125"/>
        <n v="82"/>
        <n v="168"/>
        <n v="16"/>
        <n v="13"/>
        <n v="12"/>
        <n v="9"/>
        <n v="7"/>
        <n v="6"/>
        <n v="5"/>
        <n v="4"/>
        <n v="3"/>
        <n v="154"/>
        <n v="55"/>
        <n v="20"/>
        <n v="17"/>
        <n v="15"/>
        <n v="14"/>
        <n v="11"/>
        <n v="10"/>
        <n v="18"/>
        <n v="8"/>
        <n v="215"/>
        <n v="119"/>
        <n v="109"/>
        <n v="73"/>
        <n v="22"/>
        <n v="2"/>
        <n v="1"/>
      </sharedItems>
    </cacheField>
    <cacheField name="構成比" numFmtId="0" sqlType="3">
      <sharedItems containsSemiMixedTypes="0" containsString="0" containsNumber="1" minValue="0.93" maxValue="19.440000000000001" count="547">
        <n v="6.5"/>
        <n v="5.21"/>
        <n v="3.75"/>
        <n v="3.59"/>
        <n v="2.77"/>
        <n v="2.5499999999999998"/>
        <n v="2.2400000000000002"/>
        <n v="1.85"/>
        <n v="1.74"/>
        <n v="1.47"/>
        <n v="1.45"/>
        <n v="1.38"/>
        <n v="1.37"/>
        <n v="1.33"/>
        <n v="1.28"/>
        <n v="1.27"/>
        <n v="1.26"/>
        <n v="1.22"/>
        <n v="1.21"/>
        <n v="8.6199999999999992"/>
        <n v="4.3899999999999997"/>
        <n v="3.3"/>
        <n v="2.8"/>
        <n v="2.74"/>
        <n v="2.59"/>
        <n v="2.5"/>
        <n v="2.09"/>
        <n v="1.99"/>
        <n v="1.86"/>
        <n v="1.58"/>
        <n v="1.55"/>
        <n v="1.48"/>
        <n v="1.29"/>
        <n v="1.25"/>
        <n v="1.24"/>
        <n v="7.72"/>
        <n v="5.24"/>
        <n v="4.8"/>
        <n v="4.63"/>
        <n v="4"/>
        <n v="2.29"/>
        <n v="2.1800000000000002"/>
        <n v="2.11"/>
        <n v="2.04"/>
        <n v="2"/>
        <n v="1.89"/>
        <n v="1.88"/>
        <n v="1.75"/>
        <n v="1.73"/>
        <n v="1.52"/>
        <n v="1.5"/>
        <n v="1.34"/>
        <n v="1.31"/>
        <n v="7.41"/>
        <n v="4.7699999999999996"/>
        <n v="3.44"/>
        <n v="2.68"/>
        <n v="2.64"/>
        <n v="2.27"/>
        <n v="2.15"/>
        <n v="1.69"/>
        <n v="1.67"/>
        <n v="1.53"/>
        <n v="1.51"/>
        <n v="1.43"/>
        <n v="1.35"/>
        <n v="9.33"/>
        <n v="3.65"/>
        <n v="3.12"/>
        <n v="2.4700000000000002"/>
        <n v="2.2999999999999998"/>
        <n v="1.93"/>
        <n v="1.81"/>
        <n v="1.7"/>
        <n v="1.68"/>
        <n v="1.66"/>
        <n v="1.46"/>
        <n v="1.44"/>
        <n v="12.36"/>
        <n v="4.03"/>
        <n v="2.5099999999999998"/>
        <n v="2.33"/>
        <n v="2.2200000000000002"/>
        <n v="2.19"/>
        <n v="1.72"/>
        <n v="1.61"/>
        <n v="1.59"/>
        <n v="1.32"/>
        <n v="1.19"/>
        <n v="15.38"/>
        <n v="5.14"/>
        <n v="3.71"/>
        <n v="2.86"/>
        <n v="2.25"/>
        <n v="2.1"/>
        <n v="1.96"/>
        <n v="1.9"/>
        <n v="1.49"/>
        <n v="9.77"/>
        <n v="5.4"/>
        <n v="3.88"/>
        <n v="2.99"/>
        <n v="2.41"/>
        <n v="2.31"/>
        <n v="2.16"/>
        <n v="1.91"/>
        <n v="1.87"/>
        <n v="1.82"/>
        <n v="1.57"/>
        <n v="10.11"/>
        <n v="4.07"/>
        <n v="3.2"/>
        <n v="2.79"/>
        <n v="2.73"/>
        <n v="2.46"/>
        <n v="2.4"/>
        <n v="2.13"/>
        <n v="1.42"/>
        <n v="1.39"/>
        <n v="1.23"/>
        <n v="11.05"/>
        <n v="4.4400000000000004"/>
        <n v="4.1500000000000004"/>
        <n v="2.69"/>
        <n v="2.62"/>
        <n v="5.58"/>
        <n v="5.43"/>
        <n v="4.0599999999999996"/>
        <n v="3.69"/>
        <n v="2.95"/>
        <n v="2.5299999999999998"/>
        <n v="2.3199999999999998"/>
        <n v="2.21"/>
        <n v="1.95"/>
        <n v="1.63"/>
        <n v="5.32"/>
        <n v="5.26"/>
        <n v="3.67"/>
        <n v="2.94"/>
        <n v="2.75"/>
        <n v="2.57"/>
        <n v="2.39"/>
        <n v="2.2000000000000002"/>
        <n v="2.14"/>
        <n v="1.77"/>
        <n v="1.71"/>
        <n v="6.28"/>
        <n v="6.21"/>
        <n v="3.27"/>
        <n v="2.89"/>
        <n v="2.0299999999999998"/>
        <n v="1.97"/>
        <n v="1.64"/>
        <n v="1.56"/>
        <n v="1.54"/>
        <n v="5.78"/>
        <n v="4.16"/>
        <n v="3.32"/>
        <n v="3.25"/>
        <n v="3.01"/>
        <n v="2.71"/>
        <n v="2.67"/>
        <n v="1.79"/>
        <n v="1.62"/>
        <n v="1.1499999999999999"/>
        <n v="1.1200000000000001"/>
        <n v="6.46"/>
        <n v="5.81"/>
        <n v="3.5"/>
        <n v="2.93"/>
        <n v="2.87"/>
        <n v="1.4"/>
        <n v="1.18"/>
        <n v="6.34"/>
        <n v="6.2"/>
        <n v="4.8899999999999997"/>
        <n v="4.5"/>
        <n v="2.76"/>
        <n v="2.08"/>
        <n v="1.65"/>
        <n v="1.36"/>
        <n v="1.1599999999999999"/>
        <n v="1.1100000000000001"/>
        <n v="9.5"/>
        <n v="5.83"/>
        <n v="5.04"/>
        <n v="4.17"/>
        <n v="4.04"/>
        <n v="3.14"/>
        <n v="2.0499999999999998"/>
        <n v="1.07"/>
        <n v="0.96"/>
        <n v="0.94"/>
        <n v="5.97"/>
        <n v="5.64"/>
        <n v="4.5199999999999996"/>
        <n v="3.23"/>
        <n v="3.17"/>
        <n v="1.17"/>
        <n v="5.99"/>
        <n v="5.85"/>
        <n v="4.8499999999999996"/>
        <n v="3.92"/>
        <n v="2.2799999999999998"/>
        <n v="1.6"/>
        <n v="8.3800000000000008"/>
        <n v="6.81"/>
        <n v="4.71"/>
        <n v="3.66"/>
        <n v="9.2799999999999994"/>
        <n v="6.09"/>
        <n v="4.46"/>
        <n v="2.35"/>
        <n v="2.23"/>
        <n v="2.17"/>
        <n v="10.06"/>
        <n v="5.2"/>
        <n v="4.8600000000000003"/>
        <n v="2.82"/>
        <n v="2.37"/>
        <n v="1.92"/>
        <n v="1.1299999999999999"/>
        <n v="5.74"/>
        <n v="5.41"/>
        <n v="5.25"/>
        <n v="1.8"/>
        <n v="5.9"/>
        <n v="4.01"/>
        <n v="3.6"/>
        <n v="2.72"/>
        <n v="6.12"/>
        <n v="5.5"/>
        <n v="5.39"/>
        <n v="2.4900000000000002"/>
        <n v="1.76"/>
        <n v="1.1399999999999999"/>
        <n v="9.2200000000000006"/>
        <n v="4.8099999999999996"/>
        <n v="4.21"/>
        <n v="7.29"/>
        <n v="4.37"/>
        <n v="4.08"/>
        <n v="3.21"/>
        <n v="2.92"/>
        <n v="6.53"/>
        <n v="5.98"/>
        <n v="4.88"/>
        <n v="4.1100000000000003"/>
        <n v="2.58"/>
        <n v="7.08"/>
        <n v="6.67"/>
        <n v="3.33"/>
        <n v="7.51"/>
        <n v="6.62"/>
        <n v="5.6"/>
        <n v="4.33"/>
        <n v="3.18"/>
        <n v="2.54"/>
        <n v="1.78"/>
        <n v="6.85"/>
        <n v="6.16"/>
        <n v="1.2"/>
        <n v="13.68"/>
        <n v="7.03"/>
        <n v="4.99"/>
        <n v="4.7300000000000004"/>
        <n v="2.56"/>
        <n v="8.02"/>
        <n v="4.28"/>
        <n v="3.74"/>
        <n v="6.59"/>
        <n v="5.72"/>
        <n v="4.2300000000000004"/>
        <n v="2.36"/>
        <n v="5.38"/>
        <n v="4.92"/>
        <n v="3.8"/>
        <n v="3.48"/>
        <n v="6.42"/>
        <n v="6.13"/>
        <n v="3.36"/>
        <n v="3.06"/>
        <n v="6.73"/>
        <n v="5.29"/>
        <n v="4.09"/>
        <n v="3.85"/>
        <n v="7.46"/>
        <n v="4.4800000000000004"/>
        <n v="6.86"/>
        <n v="6.68"/>
        <n v="5.19"/>
        <n v="4.82"/>
        <n v="3.53"/>
        <n v="2.6"/>
        <n v="1.3"/>
        <n v="8.89"/>
        <n v="6.71"/>
        <n v="6.55"/>
        <n v="3.9"/>
        <n v="3.28"/>
        <n v="2.65"/>
        <n v="2.34"/>
        <n v="6.57"/>
        <n v="5.92"/>
        <n v="5.0599999999999996"/>
        <n v="3.98"/>
        <n v="2.91"/>
        <n v="2.48"/>
        <n v="2.2599999999999998"/>
        <n v="1.94"/>
        <n v="1.83"/>
        <n v="7.02"/>
        <n v="6.82"/>
        <n v="6.03"/>
        <n v="3.76"/>
        <n v="3.07"/>
        <n v="9.35"/>
        <n v="4.42"/>
        <n v="3.91"/>
        <n v="3.55"/>
        <n v="2.96"/>
        <n v="3.93"/>
        <n v="12.79"/>
        <n v="3.37"/>
        <n v="2.02"/>
        <n v="9.09"/>
        <n v="6.06"/>
        <n v="3.03"/>
        <n v="9.8000000000000007"/>
        <n v="7.35"/>
        <n v="4.41"/>
        <n v="3.43"/>
        <n v="2.4500000000000002"/>
        <n v="6.37"/>
        <n v="5.73"/>
        <n v="3.82"/>
        <n v="5.05"/>
        <n v="6.72"/>
        <n v="5.59"/>
        <n v="3.87"/>
        <n v="7.87"/>
        <n v="6.74"/>
        <n v="4.49"/>
        <n v="4.84"/>
        <n v="3.83"/>
        <n v="3.02"/>
        <n v="2.42"/>
        <n v="1.41"/>
        <n v="5.62"/>
        <n v="4.62"/>
        <n v="4.0199999999999996"/>
        <n v="2.0099999999999998"/>
        <n v="5.71"/>
        <n v="6.07"/>
        <n v="4.6399999999999997"/>
        <n v="3.57"/>
        <n v="7.32"/>
        <n v="2.44"/>
        <n v="3.51"/>
        <n v="2.63"/>
        <n v="6.96"/>
        <n v="5.22"/>
        <n v="2.61"/>
        <n v="11.19"/>
        <n v="3.73"/>
        <n v="7.64"/>
        <n v="4.47"/>
        <n v="4.12"/>
        <n v="3.09"/>
        <n v="2.06"/>
        <n v="18.18"/>
        <n v="11.36"/>
        <n v="4.55"/>
        <n v="6.02"/>
        <n v="3.61"/>
        <n v="6.25"/>
        <n v="5"/>
        <n v="12.44"/>
        <n v="3.63"/>
        <n v="3.11"/>
        <n v="2.0699999999999998"/>
        <n v="5.33"/>
        <n v="10"/>
        <n v="8.57"/>
        <n v="7.14"/>
        <n v="4.29"/>
        <n v="5.8"/>
        <n v="4.3499999999999996"/>
        <n v="2.9"/>
        <n v="7.06"/>
        <n v="5.88"/>
        <n v="11.79"/>
        <n v="5.7"/>
        <n v="3.99"/>
        <n v="3.42"/>
        <n v="2.85"/>
        <n v="5.17"/>
        <n v="4.3099999999999996"/>
        <n v="3.45"/>
        <n v="9.23"/>
        <n v="4.18"/>
        <n v="1.98"/>
        <n v="9.43"/>
        <n v="7.55"/>
        <n v="5.66"/>
        <n v="3.77"/>
        <n v="8.11"/>
        <n v="2.7"/>
        <n v="8.99"/>
        <n v="4.76"/>
        <n v="3.81"/>
        <n v="9.1999999999999993"/>
        <n v="5.48"/>
        <n v="5.28"/>
        <n v="3.52"/>
        <n v="16.670000000000002"/>
        <n v="8.33"/>
        <n v="7.19"/>
        <n v="5.76"/>
        <n v="2.88"/>
        <n v="6.11"/>
        <n v="3.05"/>
        <n v="9.68"/>
        <n v="6.45"/>
        <n v="3.62"/>
        <n v="5.31"/>
        <n v="3.13"/>
        <n v="2.81"/>
        <n v="6.98"/>
        <n v="4.6500000000000004"/>
        <n v="6.17"/>
        <n v="4.9400000000000004"/>
        <n v="3.7"/>
        <n v="7.69"/>
        <n v="3.08"/>
        <n v="7.84"/>
        <n v="7.5"/>
        <n v="6.8"/>
        <n v="5.03"/>
        <n v="3.35"/>
        <n v="3.29"/>
        <n v="4.3"/>
        <n v="1.08"/>
        <n v="2.78"/>
        <n v="4.6900000000000004"/>
        <n v="7.74"/>
        <n v="10.71"/>
        <n v="2.38"/>
        <n v="13.52"/>
        <n v="7.83"/>
        <n v="4.9800000000000004"/>
        <n v="4.2699999999999996"/>
        <n v="3.56"/>
        <n v="12.26"/>
        <n v="8.49"/>
        <n v="4.72"/>
        <n v="2.83"/>
        <n v="7.27"/>
        <n v="5.45"/>
        <n v="3.64"/>
        <n v="6.19"/>
        <n v="6.38"/>
        <n v="5.67"/>
        <n v="2.84"/>
        <n v="12.77"/>
        <n v="4.26"/>
        <n v="4.1399999999999997"/>
        <n v="6.76"/>
        <n v="4.05"/>
        <n v="6"/>
        <n v="4.67"/>
        <n v="3.26"/>
        <n v="4.59"/>
        <n v="5.13"/>
        <n v="3"/>
        <n v="5.65"/>
        <n v="4.78"/>
        <n v="3.04"/>
        <n v="3.47"/>
        <n v="9.7100000000000009"/>
        <n v="8.08"/>
        <n v="1.01"/>
        <n v="8.43"/>
        <n v="7.9"/>
        <n v="6.32"/>
        <n v="5.42"/>
        <n v="3.39"/>
        <n v="6.14"/>
        <n v="10.68"/>
        <n v="4.43"/>
        <n v="1.04"/>
        <n v="4.32"/>
        <n v="19.440000000000001"/>
        <n v="0.93"/>
        <n v="4.7"/>
        <n v="4.5599999999999996"/>
        <n v="5.18"/>
        <n v="3.19"/>
        <n v="6.1"/>
        <n v="8.1300000000000008"/>
        <n v="4.5999999999999996"/>
        <n v="5.34"/>
        <n v="4.58"/>
        <n v="2.52"/>
        <n v="5.84"/>
        <n v="3.78"/>
        <n v="6.64"/>
        <n v="4.74"/>
        <n v="3.79"/>
        <n v="3.38"/>
        <n v="6.94"/>
        <n v="5.15"/>
        <n v="3.68"/>
        <n v="5.01"/>
        <n v="3.34"/>
        <n v="3.1"/>
        <n v="9.02"/>
        <n v="5.77"/>
        <n v="6.51"/>
        <n v="4.54"/>
        <n v="2.12"/>
        <n v="8.31"/>
        <n v="7.75"/>
        <n v="6.52"/>
        <n v="5.07"/>
        <n v="4.79"/>
        <n v="4.1900000000000004"/>
        <n v="5.51"/>
        <n v="5.61"/>
        <n v="8.06"/>
        <n v="4.9000000000000004"/>
        <n v="7.1"/>
        <n v="2.4300000000000002"/>
        <n v="7.01"/>
        <n v="3.54"/>
        <n v="6.69"/>
        <n v="5.44"/>
        <n v="3.4"/>
        <n v="4.13"/>
        <n v="6.9"/>
        <n v="8.74"/>
        <n v="9.5399999999999991"/>
        <n v="4.34"/>
        <n v="3.15"/>
        <n v="12.21"/>
        <n v="5.23"/>
        <n v="3.49"/>
      </sharedItems>
    </cacheField>
    <cacheField name="総数（個人）" numFmtId="0" sqlType="4">
      <sharedItems containsSemiMixedTypes="0" containsString="0" containsNumber="1" containsInteger="1" minValue="0" maxValue="5588" count="178">
        <n v="5061"/>
        <n v="5588"/>
        <n v="4195"/>
        <n v="4041"/>
        <n v="2438"/>
        <n v="2633"/>
        <n v="2380"/>
        <n v="1006"/>
        <n v="1711"/>
        <n v="1497"/>
        <n v="117"/>
        <n v="489"/>
        <n v="815"/>
        <n v="269"/>
        <n v="264"/>
        <n v="239"/>
        <n v="306"/>
        <n v="146"/>
        <n v="394"/>
        <n v="719"/>
        <n v="1918"/>
        <n v="1372"/>
        <n v="1130"/>
        <n v="692"/>
        <n v="941"/>
        <n v="811"/>
        <n v="783"/>
        <n v="123"/>
        <n v="95"/>
        <n v="523"/>
        <n v="34"/>
        <n v="210"/>
        <n v="17"/>
        <n v="18"/>
        <n v="24"/>
        <n v="40"/>
        <n v="424"/>
        <n v="82"/>
        <n v="13"/>
        <n v="6"/>
        <n v="718"/>
        <n v="260"/>
        <n v="297"/>
        <n v="374"/>
        <n v="324"/>
        <n v="224"/>
        <n v="35"/>
        <n v="180"/>
        <n v="141"/>
        <n v="73"/>
        <n v="1"/>
        <n v="5"/>
        <n v="172"/>
        <n v="26"/>
        <n v="87"/>
        <n v="15"/>
        <n v="2"/>
        <n v="178"/>
        <n v="195"/>
        <n v="154"/>
        <n v="103"/>
        <n v="12"/>
        <n v="4"/>
        <n v="83"/>
        <n v="63"/>
        <n v="0"/>
        <n v="71"/>
        <n v="20"/>
        <n v="9"/>
        <n v="49"/>
        <n v="3"/>
        <n v="25"/>
        <n v="254"/>
        <n v="142"/>
        <n v="131"/>
        <n v="80"/>
        <n v="53"/>
        <n v="10"/>
        <n v="48"/>
        <n v="389"/>
        <n v="156"/>
        <n v="99"/>
        <n v="85"/>
        <n v="56"/>
        <n v="66"/>
        <n v="357"/>
        <n v="138"/>
        <n v="113"/>
        <n v="76"/>
        <n v="11"/>
        <n v="58"/>
        <n v="55"/>
        <n v="60"/>
        <n v="46"/>
        <n v="16"/>
        <n v="7"/>
        <n v="124"/>
        <n v="91"/>
        <n v="68"/>
        <n v="41"/>
        <n v="8"/>
        <n v="32"/>
        <n v="14"/>
        <n v="27"/>
        <n v="226"/>
        <n v="121"/>
        <n v="93"/>
        <n v="62"/>
        <n v="65"/>
        <n v="19"/>
        <n v="69"/>
        <n v="21"/>
        <n v="47"/>
        <n v="92"/>
        <n v="43"/>
        <n v="72"/>
        <n v="64"/>
        <n v="30"/>
        <n v="33"/>
        <n v="29"/>
        <n v="54"/>
        <n v="39"/>
        <n v="255"/>
        <n v="216"/>
        <n v="198"/>
        <n v="140"/>
        <n v="129"/>
        <n v="75"/>
        <n v="126"/>
        <n v="110"/>
        <n v="105"/>
        <n v="31"/>
        <n v="158"/>
        <n v="114"/>
        <n v="90"/>
        <n v="79"/>
        <n v="37"/>
        <n v="362"/>
        <n v="415"/>
        <n v="288"/>
        <n v="266"/>
        <n v="201"/>
        <n v="187"/>
        <n v="206"/>
        <n v="115"/>
        <n v="42"/>
        <n v="57"/>
        <n v="118"/>
        <n v="86"/>
        <n v="50"/>
        <n v="23"/>
        <n v="363"/>
        <n v="221"/>
        <n v="173"/>
        <n v="120"/>
        <n v="78"/>
        <n v="38"/>
        <n v="22"/>
        <n v="45"/>
        <n v="267"/>
        <n v="270"/>
        <n v="122"/>
        <n v="151"/>
        <n v="127"/>
        <n v="108"/>
        <n v="52"/>
        <n v="106"/>
        <n v="153"/>
        <n v="67"/>
        <n v="192"/>
        <n v="139"/>
        <n v="77"/>
        <n v="44"/>
        <n v="51"/>
        <n v="28"/>
        <n v="70"/>
        <n v="36"/>
        <n v="59"/>
      </sharedItems>
    </cacheField>
    <cacheField name="構成比（個人）" numFmtId="0" sqlType="3">
      <sharedItems containsSemiMixedTypes="0" containsString="0" containsNumber="1" minValue="0" maxValue="30" count="765">
        <n v="9.3699999999999992"/>
        <n v="10.35"/>
        <n v="7.77"/>
        <n v="7.48"/>
        <n v="4.5199999999999996"/>
        <n v="4.88"/>
        <n v="4.41"/>
        <n v="1.86"/>
        <n v="3.17"/>
        <n v="2.77"/>
        <n v="0.22"/>
        <n v="0.91"/>
        <n v="1.51"/>
        <n v="0.5"/>
        <n v="0.49"/>
        <n v="0.44"/>
        <n v="0.56999999999999995"/>
        <n v="0.27"/>
        <n v="0.73"/>
        <n v="1.33"/>
        <n v="13.95"/>
        <n v="9.98"/>
        <n v="8.2200000000000006"/>
        <n v="5.03"/>
        <n v="6.84"/>
        <n v="5.9"/>
        <n v="5.69"/>
        <n v="0.89"/>
        <n v="0.69"/>
        <n v="3.8"/>
        <n v="0.25"/>
        <n v="1.53"/>
        <n v="0.12"/>
        <n v="0.13"/>
        <n v="0.17"/>
        <n v="0.28999999999999998"/>
        <n v="3.08"/>
        <n v="0.6"/>
        <n v="0.09"/>
        <n v="0.04"/>
        <n v="17.7"/>
        <n v="6.41"/>
        <n v="7.32"/>
        <n v="9.2200000000000006"/>
        <n v="7.99"/>
        <n v="5.52"/>
        <n v="0.86"/>
        <n v="4.4400000000000004"/>
        <n v="3.48"/>
        <n v="1.8"/>
        <n v="0.02"/>
        <n v="4.24"/>
        <n v="2.88"/>
        <n v="0.64"/>
        <n v="2.14"/>
        <n v="0.37"/>
        <n v="0.05"/>
        <n v="11.31"/>
        <n v="12.39"/>
        <n v="9.7799999999999994"/>
        <n v="0.38"/>
        <n v="6.54"/>
        <n v="0.76"/>
        <n v="5.27"/>
        <n v="4"/>
        <n v="0"/>
        <n v="4.51"/>
        <n v="1.27"/>
        <n v="3.11"/>
        <n v="0.19"/>
        <n v="1.59"/>
        <n v="18.7"/>
        <n v="10.46"/>
        <n v="9.65"/>
        <n v="1.25"/>
        <n v="5.89"/>
        <n v="7.0000000000000007E-2"/>
        <n v="0.15"/>
        <n v="3.9"/>
        <n v="0.74"/>
        <n v="3.53"/>
        <n v="0.96"/>
        <n v="26.2"/>
        <n v="10.51"/>
        <n v="6.67"/>
        <n v="5.72"/>
        <n v="5.59"/>
        <n v="1.01"/>
        <n v="0.4"/>
        <n v="0.67"/>
        <n v="3.77"/>
        <n v="1.1399999999999999"/>
        <n v="2.29"/>
        <n v="0.2"/>
        <n v="26.41"/>
        <n v="10.210000000000001"/>
        <n v="8.36"/>
        <n v="5.62"/>
        <n v="0.81"/>
        <n v="4.29"/>
        <n v="4.07"/>
        <n v="3.4"/>
        <n v="1.18"/>
        <n v="0.3"/>
        <n v="0.52"/>
        <n v="15.18"/>
        <n v="11.14"/>
        <n v="8.32"/>
        <n v="4.16"/>
        <n v="5.0199999999999996"/>
        <n v="1.1000000000000001"/>
        <n v="0.98"/>
        <n v="3.92"/>
        <n v="4.28"/>
        <n v="0.24"/>
        <n v="1.71"/>
        <n v="3.3"/>
        <n v="0.61"/>
        <n v="3.18"/>
        <n v="16.46"/>
        <n v="8.81"/>
        <n v="6.77"/>
        <n v="6.34"/>
        <n v="4.7300000000000004"/>
        <n v="1.38"/>
        <n v="0.51"/>
        <n v="0.36"/>
        <n v="2.91"/>
        <n v="2.48"/>
        <n v="14.39"/>
        <n v="11.66"/>
        <n v="11.41"/>
        <n v="6.7"/>
        <n v="6.2"/>
        <n v="1.99"/>
        <n v="3.47"/>
        <n v="0.99"/>
        <n v="4.22"/>
        <n v="4.71"/>
        <n v="2.98"/>
        <n v="12.2"/>
        <n v="5.7"/>
        <n v="9.5500000000000007"/>
        <n v="8.49"/>
        <n v="6.23"/>
        <n v="0.53"/>
        <n v="3.98"/>
        <n v="0.66"/>
        <n v="4.38"/>
        <n v="2.39"/>
        <n v="3.58"/>
        <n v="0.93"/>
        <n v="11.44"/>
        <n v="9.36"/>
        <n v="6.76"/>
        <n v="1.04"/>
        <n v="7.11"/>
        <n v="4.33"/>
        <n v="2.95"/>
        <n v="0.35"/>
        <n v="12.21"/>
        <n v="8.01"/>
        <n v="6.78"/>
        <n v="6.22"/>
        <n v="4.4000000000000004"/>
        <n v="4.05"/>
        <n v="2.35"/>
        <n v="3.96"/>
        <n v="3.45"/>
        <n v="0.85"/>
        <n v="1.66"/>
        <n v="0.97"/>
        <n v="1.73"/>
        <n v="0.41"/>
        <n v="12.04"/>
        <n v="8.69"/>
        <n v="6.86"/>
        <n v="5.18"/>
        <n v="6.02"/>
        <n v="2.82"/>
        <n v="5.41"/>
        <n v="2.52"/>
        <n v="1.45"/>
        <n v="1.07"/>
        <n v="1.3"/>
        <n v="2.21"/>
        <n v="2.59"/>
        <n v="0.46"/>
        <n v="0.23"/>
        <n v="9.74"/>
        <n v="11.17"/>
        <n v="7.75"/>
        <n v="7.16"/>
        <n v="5.55"/>
        <n v="1.67"/>
        <n v="0.92"/>
        <n v="3.1"/>
        <n v="1.1299999999999999"/>
        <n v="1.29"/>
        <n v="2.23"/>
        <n v="0.08"/>
        <n v="0.03"/>
        <n v="0.54"/>
        <n v="8.25"/>
        <n v="11.87"/>
        <n v="9.0500000000000007"/>
        <n v="8.65"/>
        <n v="2.31"/>
        <n v="4.12"/>
        <n v="3.02"/>
        <n v="1.31"/>
        <n v="1.21"/>
        <n v="1.1100000000000001"/>
        <n v="15.36"/>
        <n v="10.11"/>
        <n v="9.35"/>
        <n v="5.08"/>
        <n v="2.37"/>
        <n v="1.06"/>
        <n v="3.05"/>
        <n v="1.61"/>
        <n v="2.92"/>
        <n v="0.63"/>
        <n v="1.9"/>
        <n v="0.34"/>
        <n v="0.72"/>
        <n v="11.11"/>
        <n v="11.24"/>
        <n v="6.28"/>
        <n v="5.29"/>
        <n v="5.16"/>
        <n v="5.37"/>
        <n v="4.49"/>
        <n v="1.79"/>
        <n v="3.41"/>
        <n v="1.46"/>
        <n v="2.16"/>
        <n v="0.33"/>
        <n v="0.21"/>
        <n v="0.57999999999999996"/>
        <n v="0.62"/>
        <n v="8.1199999999999992"/>
        <n v="11.72"/>
        <n v="10.029999999999999"/>
        <n v="8.27"/>
        <n v="5.13"/>
        <n v="4.75"/>
        <n v="1.68"/>
        <n v="3.22"/>
        <n v="0.84"/>
        <n v="1.23"/>
        <n v="0.31"/>
        <n v="14.15"/>
        <n v="12.26"/>
        <n v="2.83"/>
        <n v="1.89"/>
        <n v="6.6"/>
        <n v="4.72"/>
        <n v="0.94"/>
        <n v="14.64"/>
        <n v="11.26"/>
        <n v="8.64"/>
        <n v="6.51"/>
        <n v="4.26"/>
        <n v="3.75"/>
        <n v="1.88"/>
        <n v="3.13"/>
        <n v="3"/>
        <n v="3.25"/>
        <n v="0.75"/>
        <n v="1"/>
        <n v="0.88"/>
        <n v="2.25"/>
        <n v="17.260000000000002"/>
        <n v="9.07"/>
        <n v="9.2899999999999991"/>
        <n v="2.4300000000000002"/>
        <n v="4.42"/>
        <n v="3.32"/>
        <n v="3.76"/>
        <n v="1.77"/>
        <n v="10.27"/>
        <n v="4.83"/>
        <n v="5.14"/>
        <n v="2.72"/>
        <n v="3.63"/>
        <n v="3.93"/>
        <n v="1.81"/>
        <n v="2.42"/>
        <n v="12.4"/>
        <n v="9.17"/>
        <n v="8.9700000000000006"/>
        <n v="5.81"/>
        <n v="4.97"/>
        <n v="4.2"/>
        <n v="0.32"/>
        <n v="4.3899999999999997"/>
        <n v="0.71"/>
        <n v="2.65"/>
        <n v="1.1599999999999999"/>
        <n v="2.84"/>
        <n v="1.55"/>
        <n v="9.15"/>
        <n v="10.19"/>
        <n v="10.6"/>
        <n v="10.4"/>
        <n v="6.03"/>
        <n v="3.95"/>
        <n v="4.78"/>
        <n v="0.42"/>
        <n v="2.08"/>
        <n v="12.68"/>
        <n v="10.14"/>
        <n v="8.6999999999999993"/>
        <n v="7.61"/>
        <n v="5.07"/>
        <n v="2.9"/>
        <n v="2.17"/>
        <n v="3.26"/>
        <n v="1.0900000000000001"/>
        <n v="13.48"/>
        <n v="10.67"/>
        <n v="6.18"/>
        <n v="7.87"/>
        <n v="5.0599999999999996"/>
        <n v="2.81"/>
        <n v="0.56000000000000005"/>
        <n v="1.69"/>
        <n v="1.1200000000000001"/>
        <n v="8.89"/>
        <n v="4.95"/>
        <n v="1.24"/>
        <n v="0.45"/>
        <n v="2.7"/>
        <n v="0.11"/>
        <n v="2.4700000000000002"/>
        <n v="14.41"/>
        <n v="8.11"/>
        <n v="3.6"/>
        <n v="4.5"/>
        <n v="0.9"/>
        <n v="12.98"/>
        <n v="1.34"/>
        <n v="2.2400000000000002"/>
        <n v="1.57"/>
        <n v="2.68"/>
        <n v="2.46"/>
        <n v="11.63"/>
        <n v="10.17"/>
        <n v="9.59"/>
        <n v="6.98"/>
        <n v="3.78"/>
        <n v="2.33"/>
        <n v="3.2"/>
        <n v="2.62"/>
        <n v="2.0299999999999998"/>
        <n v="19.37"/>
        <n v="11.58"/>
        <n v="7.58"/>
        <n v="7.37"/>
        <n v="2.11"/>
        <n v="1.47"/>
        <n v="2.74"/>
        <n v="1.05"/>
        <n v="1.26"/>
        <n v="18.670000000000002"/>
        <n v="2.67"/>
        <n v="8"/>
        <n v="10.57"/>
        <n v="2.2999999999999998"/>
        <n v="4.5999999999999996"/>
        <n v="3.91"/>
        <n v="4.37"/>
        <n v="2.0699999999999998"/>
        <n v="2.5299999999999998"/>
        <n v="11.54"/>
        <n v="10.9"/>
        <n v="7.21"/>
        <n v="7.69"/>
        <n v="5.77"/>
        <n v="1.92"/>
        <n v="1.44"/>
        <n v="1.28"/>
        <n v="3.21"/>
        <n v="2.56"/>
        <n v="0.48"/>
        <n v="12.07"/>
        <n v="10.34"/>
        <n v="7.66"/>
        <n v="5.56"/>
        <n v="4.21"/>
        <n v="1.1499999999999999"/>
        <n v="8.41"/>
        <n v="5.75"/>
        <n v="7.08"/>
        <n v="15.15"/>
        <n v="3.03"/>
        <n v="9.09"/>
        <n v="6.06"/>
        <n v="11.78"/>
        <n v="8.75"/>
        <n v="9.43"/>
        <n v="8.42"/>
        <n v="5.39"/>
        <n v="3.37"/>
        <n v="1.35"/>
        <n v="2.36"/>
        <n v="13"/>
        <n v="6.9"/>
        <n v="6.63"/>
        <n v="5.04"/>
        <n v="2.12"/>
        <n v="0.8"/>
        <n v="9.84"/>
        <n v="4.25"/>
        <n v="6.04"/>
        <n v="5.82"/>
        <n v="4.03"/>
        <n v="3.36"/>
        <n v="12.11"/>
        <n v="9.0299999999999994"/>
        <n v="11.7"/>
        <n v="6.57"/>
        <n v="5.95"/>
        <n v="5.34"/>
        <n v="3.49"/>
        <n v="1.03"/>
        <n v="1.85"/>
        <n v="12.53"/>
        <n v="10.48"/>
        <n v="7.74"/>
        <n v="6.61"/>
        <n v="5.01"/>
        <n v="2.73"/>
        <n v="3.87"/>
        <n v="2.96"/>
        <n v="1.37"/>
        <n v="1.82"/>
        <n v="2.2799999999999998"/>
        <n v="2.0499999999999998"/>
        <n v="0.68"/>
        <n v="2.5099999999999998"/>
        <n v="7.26"/>
        <n v="10.08"/>
        <n v="6.85"/>
        <n v="2.02"/>
        <n v="4.84"/>
        <n v="3.23"/>
        <n v="9.67"/>
        <n v="8.4600000000000009"/>
        <n v="12.85"/>
        <n v="11.73"/>
        <n v="3.07"/>
        <n v="4.1900000000000004"/>
        <n v="1.96"/>
        <n v="4.47"/>
        <n v="1.4"/>
        <n v="3.35"/>
        <n v="21.53"/>
        <n v="11.81"/>
        <n v="6.94"/>
        <n v="1.39"/>
        <n v="2.78"/>
        <n v="12.5"/>
        <n v="25"/>
        <n v="15.27"/>
        <n v="9.16"/>
        <n v="8.4"/>
        <n v="6.11"/>
        <n v="4.58"/>
        <n v="8.82"/>
        <n v="5.88"/>
        <n v="4.9000000000000004"/>
        <n v="2.94"/>
        <n v="11.86"/>
        <n v="8.4700000000000006"/>
        <n v="3.39"/>
        <n v="10.71"/>
        <n v="9.52"/>
        <n v="3.57"/>
        <n v="4.76"/>
        <n v="1.19"/>
        <n v="2.38"/>
        <n v="11.9"/>
        <n v="8.1"/>
        <n v="6.19"/>
        <n v="5.71"/>
        <n v="3.33"/>
        <n v="3.81"/>
        <n v="0.95"/>
        <n v="1.43"/>
        <n v="10"/>
        <n v="12"/>
        <n v="6"/>
        <n v="2"/>
        <n v="6.52"/>
        <n v="3.99"/>
        <n v="2.54"/>
        <n v="3.62"/>
        <n v="10.65"/>
        <n v="7.98"/>
        <n v="6.08"/>
        <n v="7.22"/>
        <n v="2.66"/>
        <n v="3.04"/>
        <n v="1.52"/>
        <n v="10.59"/>
        <n v="8.24"/>
        <n v="7.06"/>
        <n v="11.27"/>
        <n v="5.63"/>
        <n v="7.04"/>
        <n v="4.2300000000000004"/>
        <n v="1.41"/>
        <n v="0.7"/>
        <n v="13.85"/>
        <n v="12.31"/>
        <n v="6.15"/>
        <n v="1.54"/>
        <n v="4.62"/>
        <n v="14.55"/>
        <n v="3.64"/>
        <n v="5.45"/>
        <n v="16.47"/>
        <n v="12.9"/>
        <n v="6.45"/>
        <n v="7.53"/>
        <n v="5.38"/>
        <n v="1.08"/>
        <n v="4.3"/>
        <n v="2.15"/>
        <n v="7.1"/>
        <n v="3.55"/>
        <n v="5.92"/>
        <n v="4.1399999999999997"/>
        <n v="0.59"/>
        <n v="1.78"/>
        <n v="20.69"/>
        <n v="13.79"/>
        <n v="9.6199999999999992"/>
        <n v="3.85"/>
        <n v="9.76"/>
        <n v="2.44"/>
        <n v="4.17"/>
        <n v="18.100000000000001"/>
        <n v="2.86"/>
        <n v="10.64"/>
        <n v="8.51"/>
        <n v="6.38"/>
        <n v="2.13"/>
        <n v="15.38"/>
        <n v="10.26"/>
        <n v="8.16"/>
        <n v="10.199999999999999"/>
        <n v="2.04"/>
        <n v="4.08"/>
        <n v="6.12"/>
        <n v="17.23"/>
        <n v="6.37"/>
        <n v="7.49"/>
        <n v="7.12"/>
        <n v="4.87"/>
        <n v="1.5"/>
        <n v="8.33"/>
        <n v="12.45"/>
        <n v="13.96"/>
        <n v="7.17"/>
        <n v="4.53"/>
        <n v="2.64"/>
        <n v="2.2599999999999998"/>
        <n v="20"/>
        <n v="13.04"/>
        <n v="4.3499999999999996"/>
        <n v="11.32"/>
        <n v="5.66"/>
        <n v="7.55"/>
        <n v="11.29"/>
        <n v="8.06"/>
        <n v="13.28"/>
        <n v="9.9600000000000009"/>
        <n v="6.27"/>
        <n v="3.69"/>
        <n v="4.43"/>
        <n v="4.0599999999999996"/>
        <n v="30"/>
        <n v="16.670000000000002"/>
        <n v="11.67"/>
        <n v="5"/>
        <n v="7.84"/>
        <n v="19.350000000000001"/>
        <n v="12.7"/>
        <n v="6.35"/>
        <n v="7.94"/>
        <n v="7.14"/>
        <n v="0.79"/>
        <n v="11.43"/>
        <n v="9.14"/>
        <n v="7.43"/>
        <n v="3.43"/>
        <n v="12.12"/>
        <n v="6.25"/>
        <n v="15"/>
        <n v="2.5"/>
        <n v="7.5"/>
        <n v="2.2200000000000002"/>
        <n v="14.29"/>
        <n v="5.8"/>
        <n v="7.25"/>
        <n v="9.23"/>
        <n v="12.33"/>
        <n v="4.1100000000000003"/>
        <n v="5.48"/>
        <n v="8.57"/>
        <n v="8.5399999999999991"/>
        <n v="6.1"/>
        <n v="3.66"/>
        <n v="1.22"/>
        <n v="6.21"/>
        <n v="3.73"/>
        <n v="18.46"/>
        <n v="11.28"/>
        <n v="4.0999999999999996"/>
        <n v="16.440000000000001"/>
        <n v="5.17"/>
        <n v="1.72"/>
        <n v="11.39"/>
        <n v="6.33"/>
        <n v="4.55"/>
        <n v="13.16"/>
        <n v="10.53"/>
        <n v="2.63"/>
        <n v="5.26"/>
        <n v="7.89"/>
        <n v="9.68"/>
        <n v="6.99"/>
        <n v="2.69"/>
        <n v="13.33"/>
        <n v="8.6199999999999992"/>
        <n v="19.57"/>
        <n v="7.64"/>
        <n v="4.8600000000000003"/>
        <n v="3.28"/>
        <n v="11.48"/>
        <n v="8.1999999999999993"/>
        <n v="6.56"/>
        <n v="1.64"/>
        <n v="14.08"/>
        <n v="12.73"/>
        <n v="10.49"/>
        <n v="8.99"/>
        <n v="5.24"/>
        <n v="1.87"/>
        <n v="7.27"/>
        <n v="17.97"/>
        <n v="7.83"/>
        <n v="1.84"/>
        <n v="2.76"/>
        <n v="12.77"/>
        <n v="3.19"/>
        <n v="5.32"/>
        <n v="12.24"/>
        <n v="29.17"/>
        <n v="13.2"/>
        <n v="7.6"/>
        <n v="2.8"/>
        <n v="4.8"/>
        <n v="1.6"/>
        <n v="2.4"/>
        <n v="7.09"/>
        <n v="5.67"/>
        <n v="1.42"/>
        <n v="4.6500000000000004"/>
        <n v="12.66"/>
        <n v="7.59"/>
        <n v="1.32"/>
        <n v="9.4499999999999993"/>
        <n v="6.97"/>
        <n v="7.46"/>
        <n v="2.4900000000000002"/>
        <n v="2.99"/>
        <n v="1.49"/>
        <n v="9.3800000000000008"/>
        <n v="2.41"/>
        <n v="9.64"/>
        <n v="4.82"/>
        <n v="7.23"/>
        <n v="1.2"/>
        <n v="3.61"/>
        <n v="8.77"/>
        <n v="6.14"/>
        <n v="1.75"/>
        <n v="3.51"/>
        <n v="11.64"/>
        <n v="6.16"/>
        <n v="8.9"/>
        <n v="3.42"/>
        <n v="9.2100000000000009"/>
        <n v="7.35"/>
        <n v="10.41"/>
        <n v="5.43"/>
        <n v="2.71"/>
        <n v="1.36"/>
        <n v="13.64"/>
        <n v="10.47"/>
        <n v="9.3000000000000007"/>
        <n v="8.14"/>
        <n v="7.82"/>
        <n v="5.87"/>
        <n v="2.79"/>
        <n v="0.28000000000000003"/>
        <n v="14.76"/>
        <n v="9.19"/>
        <n v="4.74"/>
        <n v="1.95"/>
        <n v="9.86"/>
        <n v="11.61"/>
        <n v="2.58"/>
        <n v="0.65"/>
        <n v="1.94"/>
        <n v="5.05"/>
        <n v="7.07"/>
        <n v="4.04"/>
        <n v="7.19"/>
        <n v="2.61"/>
        <n v="5.23"/>
        <n v="3.27"/>
        <n v="13.91"/>
        <n v="3.01"/>
        <n v="3.38"/>
        <n v="8.1300000000000008"/>
        <n v="8.94"/>
        <n v="1.63"/>
        <n v="0.87"/>
        <n v="5.22"/>
        <n v="1.74"/>
        <n v="10.58"/>
        <n v="6.73"/>
        <n v="6.58"/>
        <n v="11.2"/>
        <n v="6.8"/>
        <n v="10.07"/>
        <n v="8.7200000000000006"/>
        <n v="8.0500000000000007"/>
        <n v="6.74"/>
        <n v="9.01"/>
        <n v="6.31"/>
        <n v="8.5500000000000007"/>
        <n v="3.29"/>
        <n v="18.18"/>
        <n v="16.489999999999998"/>
        <n v="9.2799999999999994"/>
        <n v="2.06"/>
        <n v="5.15"/>
        <n v="3.09"/>
        <n v="15.68"/>
        <n v="7.03"/>
        <n v="4.32"/>
        <n v="1.62"/>
        <n v="3.24"/>
        <n v="9.25"/>
        <n v="8.6"/>
        <n v="0.43"/>
        <n v="8.86"/>
        <n v="10.130000000000001"/>
        <n v="16.28"/>
      </sharedItems>
    </cacheField>
    <cacheField name="総数（法人）" numFmtId="0" sqlType="4">
      <sharedItems containsSemiMixedTypes="0" containsString="0" containsNumber="1" containsInteger="1" minValue="0" maxValue="2704" count="149">
        <n v="2704"/>
        <n v="687"/>
        <n v="313"/>
        <n v="281"/>
        <n v="889"/>
        <n v="436"/>
        <n v="319"/>
        <n v="1213"/>
        <n v="372"/>
        <n v="269"/>
        <n v="1633"/>
        <n v="1166"/>
        <n v="819"/>
        <n v="1333"/>
        <n v="1338"/>
        <n v="1300"/>
        <n v="1216"/>
        <n v="1376"/>
        <n v="1079"/>
        <n v="734"/>
        <n v="1444"/>
        <n v="339"/>
        <n v="157"/>
        <n v="401"/>
        <n v="130"/>
        <n v="198"/>
        <n v="191"/>
        <n v="688"/>
        <n v="680"/>
        <n v="199"/>
        <n v="581"/>
        <n v="392"/>
        <n v="562"/>
        <n v="520"/>
        <n v="481"/>
        <n v="452"/>
        <n v="63"/>
        <n v="458"/>
        <n v="469"/>
        <n v="123"/>
        <n v="310"/>
        <n v="226"/>
        <n v="131"/>
        <n v="112"/>
        <n v="26"/>
        <n v="203"/>
        <n v="50"/>
        <n v="81"/>
        <n v="183"/>
        <n v="132"/>
        <n v="204"/>
        <n v="177"/>
        <n v="17"/>
        <n v="49"/>
        <n v="138"/>
        <n v="73"/>
        <n v="143"/>
        <n v="190"/>
        <n v="42"/>
        <n v="127"/>
        <n v="28"/>
        <n v="101"/>
        <n v="103"/>
        <n v="16"/>
        <n v="31"/>
        <n v="84"/>
        <n v="77"/>
        <n v="6"/>
        <n v="56"/>
        <n v="71"/>
        <n v="62"/>
        <n v="23"/>
        <n v="68"/>
        <n v="43"/>
        <n v="65"/>
        <n v="180"/>
        <n v="14"/>
        <n v="97"/>
        <n v="104"/>
        <n v="13"/>
        <n v="79"/>
        <n v="76"/>
        <n v="75"/>
        <n v="19"/>
        <n v="61"/>
        <n v="163"/>
        <n v="24"/>
        <n v="100"/>
        <n v="96"/>
        <n v="78"/>
        <n v="67"/>
        <n v="74"/>
        <n v="54"/>
        <n v="2"/>
        <n v="25"/>
        <n v="170"/>
        <n v="38"/>
        <n v="22"/>
        <n v="7"/>
        <n v="35"/>
        <n v="48"/>
        <n v="37"/>
        <n v="44"/>
        <n v="36"/>
        <n v="11"/>
        <n v="27"/>
        <n v="10"/>
        <n v="39"/>
        <n v="3"/>
        <n v="8"/>
        <n v="4"/>
        <n v="29"/>
        <n v="144"/>
        <n v="9"/>
        <n v="69"/>
        <n v="46"/>
        <n v="41"/>
        <n v="94"/>
        <n v="34"/>
        <n v="5"/>
        <n v="20"/>
        <n v="21"/>
        <n v="60"/>
        <n v="1"/>
        <n v="32"/>
        <n v="18"/>
        <n v="58"/>
        <n v="0"/>
        <n v="159"/>
        <n v="53"/>
        <n v="15"/>
        <n v="83"/>
        <n v="86"/>
        <n v="40"/>
        <n v="12"/>
        <n v="30"/>
        <n v="146"/>
        <n v="55"/>
        <n v="87"/>
        <n v="102"/>
        <n v="91"/>
        <n v="95"/>
        <n v="93"/>
        <n v="80"/>
        <n v="51"/>
        <n v="57"/>
        <n v="59"/>
        <n v="47"/>
        <n v="33"/>
      </sharedItems>
    </cacheField>
    <cacheField name="構成比（法人）" numFmtId="0" sqlType="3">
      <sharedItems containsSemiMixedTypes="0" containsString="0" containsNumber="1" minValue="0" maxValue="37.5" count="505">
        <n v="4.2"/>
        <n v="1.07"/>
        <n v="0.49"/>
        <n v="0.44"/>
        <n v="1.38"/>
        <n v="0.68"/>
        <n v="0.5"/>
        <n v="1.88"/>
        <n v="0.57999999999999996"/>
        <n v="0.42"/>
        <n v="2.54"/>
        <n v="1.81"/>
        <n v="1.27"/>
        <n v="2.0699999999999998"/>
        <n v="2.08"/>
        <n v="2.02"/>
        <n v="1.89"/>
        <n v="2.14"/>
        <n v="1.68"/>
        <n v="1.1399999999999999"/>
        <n v="5.74"/>
        <n v="1.35"/>
        <n v="0.62"/>
        <n v="1.6"/>
        <n v="0.52"/>
        <n v="0.79"/>
        <n v="0.76"/>
        <n v="2.74"/>
        <n v="2.7"/>
        <n v="2.31"/>
        <n v="1.56"/>
        <n v="2.2400000000000002"/>
        <n v="1.91"/>
        <n v="1.8"/>
        <n v="0.25"/>
        <n v="1.82"/>
        <n v="1.87"/>
        <n v="4.55"/>
        <n v="3.32"/>
        <n v="1.92"/>
        <n v="1.64"/>
        <n v="0.38"/>
        <n v="2.98"/>
        <n v="0.73"/>
        <n v="1.19"/>
        <n v="2.69"/>
        <n v="1.94"/>
        <n v="3"/>
        <n v="2.6"/>
        <n v="0.72"/>
        <n v="2.0299999999999998"/>
        <n v="2.1"/>
        <n v="5.62"/>
        <n v="1.24"/>
        <n v="3.76"/>
        <n v="0.83"/>
        <n v="2.99"/>
        <n v="3.05"/>
        <n v="0.47"/>
        <n v="0.92"/>
        <n v="2.4900000000000002"/>
        <n v="2.2799999999999998"/>
        <n v="0.18"/>
        <n v="1.66"/>
        <n v="1.84"/>
        <n v="2.0099999999999998"/>
        <n v="5.49"/>
        <n v="0.85"/>
        <n v="0.43"/>
        <n v="2.96"/>
        <n v="3.17"/>
        <n v="0.4"/>
        <n v="2.56"/>
        <n v="2.41"/>
        <n v="2.35"/>
        <n v="2.23"/>
        <n v="2.3199999999999998"/>
        <n v="2.29"/>
        <n v="1.86"/>
        <n v="1.98"/>
        <n v="1.52"/>
        <n v="0.81"/>
        <n v="3.37"/>
        <n v="0.64"/>
        <n v="0.54"/>
        <n v="3.24"/>
        <n v="2.63"/>
        <n v="2.2599999999999998"/>
        <n v="2.5299999999999998"/>
        <n v="7.0000000000000007E-2"/>
        <n v="2.12"/>
        <n v="0.84"/>
        <n v="1.69"/>
        <n v="8.23"/>
        <n v="1.06"/>
        <n v="3.29"/>
        <n v="0.82"/>
        <n v="2.95"/>
        <n v="3.15"/>
        <n v="0.28999999999999998"/>
        <n v="2.42"/>
        <n v="0.34"/>
        <n v="1.79"/>
        <n v="2.13"/>
        <n v="1.74"/>
        <n v="6.24"/>
        <n v="1.58"/>
        <n v="2.25"/>
        <n v="0.67"/>
        <n v="0.33"/>
        <n v="2.33"/>
        <n v="2.16"/>
        <n v="6.34"/>
        <n v="1.23"/>
        <n v="0.56999999999999995"/>
        <n v="3.04"/>
        <n v="3.56"/>
        <n v="2.38"/>
        <n v="2.2000000000000002"/>
        <n v="1.36"/>
        <n v="0.35"/>
        <n v="0.48"/>
        <n v="9.7200000000000006"/>
        <n v="1.45"/>
        <n v="3.52"/>
        <n v="0.93"/>
        <n v="1.34"/>
        <n v="2.48"/>
        <n v="2.17"/>
        <n v="1.76"/>
        <n v="5.26"/>
        <n v="0.53"/>
        <n v="0.09"/>
        <n v="2.81"/>
        <n v="3.33"/>
        <n v="0.96"/>
        <n v="0.26"/>
        <n v="2.37"/>
        <n v="2.11"/>
        <n v="2.19"/>
        <n v="5.5"/>
        <n v="1.9"/>
        <n v="3.7"/>
        <n v="0.95"/>
        <n v="3.6"/>
        <n v="3.22"/>
        <n v="1.04"/>
        <n v="2.94"/>
        <n v="2.65"/>
        <n v="2.75"/>
        <n v="2.27"/>
        <n v="0"/>
        <n v="2.09"/>
        <n v="1.61"/>
        <n v="0.89"/>
        <n v="4.59"/>
        <n v="0.69"/>
        <n v="0.61"/>
        <n v="1.53"/>
        <n v="1.99"/>
        <n v="1.96"/>
        <n v="0.63"/>
        <n v="2.39"/>
        <n v="2.91"/>
        <n v="1.93"/>
        <n v="2.2200000000000002"/>
        <n v="0.8"/>
        <n v="0.55000000000000004"/>
        <n v="1.72"/>
        <n v="2.64"/>
        <n v="2.83"/>
        <n v="3.01"/>
        <n v="2.46"/>
        <n v="1.78"/>
        <n v="0.74"/>
        <n v="3.54"/>
        <n v="0.24"/>
        <n v="1.33"/>
        <n v="2.4700000000000002"/>
        <n v="0.32"/>
        <n v="2.21"/>
        <n v="1.41"/>
        <n v="2.2999999999999998"/>
        <n v="0.97"/>
        <n v="4.5599999999999996"/>
        <n v="1.05"/>
        <n v="0.86"/>
        <n v="0.19"/>
        <n v="2.66"/>
        <n v="2"/>
        <n v="3.26"/>
        <n v="1.28"/>
        <n v="0.46"/>
        <n v="1.1000000000000001"/>
        <n v="3.16"/>
        <n v="0.37"/>
        <n v="0.28000000000000003"/>
        <n v="0.14000000000000001"/>
        <n v="2.4300000000000002"/>
        <n v="1.83"/>
        <n v="4.09"/>
        <n v="0.56000000000000005"/>
        <n v="2.1800000000000002"/>
        <n v="2.58"/>
        <n v="2.34"/>
        <n v="4.2300000000000004"/>
        <n v="0.75"/>
        <n v="1.1599999999999999"/>
        <n v="0.41"/>
        <n v="0.27"/>
        <n v="1.5"/>
        <n v="1.71"/>
        <n v="11.54"/>
        <n v="8.9700000000000006"/>
        <n v="7.69"/>
        <n v="3.85"/>
        <n v="4.4400000000000004"/>
        <n v="4.8099999999999996"/>
        <n v="2.59"/>
        <n v="0.12"/>
        <n v="1.85"/>
        <n v="1.97"/>
        <n v="1.1100000000000001"/>
        <n v="1.2"/>
        <n v="3.13"/>
        <n v="5.64"/>
        <n v="1.1299999999999999"/>
        <n v="0.88"/>
        <n v="3.79"/>
        <n v="2.36"/>
        <n v="0.15"/>
        <n v="1.43"/>
        <n v="0.98"/>
        <n v="2.8"/>
        <n v="0.22"/>
        <n v="0.65"/>
        <n v="1.29"/>
        <n v="2.15"/>
        <n v="1.08"/>
        <n v="5.09"/>
        <n v="2.78"/>
        <n v="1.39"/>
        <n v="4.17"/>
        <n v="3.92"/>
        <n v="9.8000000000000007"/>
        <n v="1.31"/>
        <n v="2.61"/>
        <n v="4.58"/>
        <n v="3.27"/>
        <n v="2.82"/>
        <n v="1.0900000000000001"/>
        <n v="2.71"/>
        <n v="2.5"/>
        <n v="1.95"/>
        <n v="0.9"/>
        <n v="6.31"/>
        <n v="7.21"/>
        <n v="4.5"/>
        <n v="3.49"/>
        <n v="5.4"/>
        <n v="4.13"/>
        <n v="1.59"/>
        <n v="0.45"/>
        <n v="5.14"/>
        <n v="1.03"/>
        <n v="1.37"/>
        <n v="2.4"/>
        <n v="3.42"/>
        <n v="2.0499999999999998"/>
        <n v="6.8"/>
        <n v="5.83"/>
        <n v="3.88"/>
        <n v="6.67"/>
        <n v="4.93"/>
        <n v="3.48"/>
        <n v="3.19"/>
        <n v="3.77"/>
        <n v="2.9"/>
        <n v="1.1200000000000001"/>
        <n v="3.03"/>
        <n v="1.57"/>
        <n v="1.3"/>
        <n v="3.69"/>
        <n v="8.33"/>
        <n v="4.26"/>
        <n v="1.7"/>
        <n v="3.4"/>
        <n v="2.5499999999999998"/>
        <n v="6.32"/>
        <n v="3.95"/>
        <n v="0.87"/>
        <n v="7.84"/>
        <n v="4.9000000000000004"/>
        <n v="0.78"/>
        <n v="1.18"/>
        <n v="0.39"/>
        <n v="0.2"/>
        <n v="3.14"/>
        <n v="5.31"/>
        <n v="1.25"/>
        <n v="3.75"/>
        <n v="4.25"/>
        <n v="2.89"/>
        <n v="0.17"/>
        <n v="2.72"/>
        <n v="2.04"/>
        <n v="0.51"/>
        <n v="3.34"/>
        <n v="3.08"/>
        <n v="0.13"/>
        <n v="1.67"/>
        <n v="6.03"/>
        <n v="2.68"/>
        <n v="4.8600000000000003"/>
        <n v="3.47"/>
        <n v="9.09"/>
        <n v="4.6900000000000004"/>
        <n v="9.3800000000000008"/>
        <n v="6.25"/>
        <n v="5.71"/>
        <n v="2.86"/>
        <n v="8.57"/>
        <n v="4.6500000000000004"/>
        <n v="6.98"/>
        <n v="6.94"/>
        <n v="3.67"/>
        <n v="1.22"/>
        <n v="2.4500000000000002"/>
        <n v="4.08"/>
        <n v="1.63"/>
        <n v="5.13"/>
        <n v="10.26"/>
        <n v="1.44"/>
        <n v="8.65"/>
        <n v="2.88"/>
        <n v="4.9400000000000004"/>
        <n v="5.79"/>
        <n v="1.65"/>
        <n v="3.31"/>
        <n v="5.45"/>
        <n v="7.27"/>
        <n v="3.64"/>
        <n v="5.56"/>
        <n v="7.41"/>
        <n v="9.6199999999999992"/>
        <n v="5.77"/>
        <n v="6.82"/>
        <n v="5.36"/>
        <n v="3.57"/>
        <n v="5.88"/>
        <n v="14.29"/>
        <n v="7.14"/>
        <n v="10.71"/>
        <n v="15.79"/>
        <n v="7.89"/>
        <n v="5.68"/>
        <n v="3.41"/>
        <n v="4.76"/>
        <n v="11.11"/>
        <n v="18.52"/>
        <n v="14.81"/>
        <n v="5.65"/>
        <n v="5.24"/>
        <n v="1.21"/>
        <n v="4.03"/>
        <n v="3.63"/>
        <n v="3.23"/>
        <n v="7.94"/>
        <n v="6.35"/>
        <n v="5"/>
        <n v="12.5"/>
        <n v="6.45"/>
        <n v="9.68"/>
        <n v="8.89"/>
        <n v="4.41"/>
        <n v="1.32"/>
        <n v="3.96"/>
        <n v="16.670000000000002"/>
        <n v="11.43"/>
        <n v="4.29"/>
        <n v="9.52"/>
        <n v="6.85"/>
        <n v="4.1100000000000003"/>
        <n v="5.48"/>
        <n v="1.48"/>
        <n v="0.71"/>
        <n v="12"/>
        <n v="8"/>
        <n v="4"/>
        <n v="13.64"/>
        <n v="10"/>
        <n v="8.6999999999999993"/>
        <n v="4.3499999999999996"/>
        <n v="15.38"/>
        <n v="6.06"/>
        <n v="4.67"/>
        <n v="3.74"/>
        <n v="6.52"/>
        <n v="8.82"/>
        <n v="6.12"/>
        <n v="8.16"/>
        <n v="1.47"/>
        <n v="5.95"/>
        <n v="13.33"/>
        <n v="1.75"/>
        <n v="8.77"/>
        <n v="3.51"/>
        <n v="14.04"/>
        <n v="7.02"/>
        <n v="20"/>
        <n v="1.01"/>
        <n v="5.05"/>
        <n v="4.04"/>
        <n v="18.18"/>
        <n v="6.38"/>
        <n v="6.41"/>
        <n v="6.49"/>
        <n v="7.79"/>
        <n v="5.19"/>
        <n v="3.9"/>
        <n v="14.71"/>
        <n v="10.199999999999999"/>
        <n v="0.59"/>
        <n v="4.7300000000000004"/>
        <n v="5.92"/>
        <n v="3.55"/>
        <n v="5.16"/>
        <n v="3.87"/>
        <n v="10.53"/>
        <n v="7.5"/>
        <n v="5.41"/>
        <n v="8.11"/>
        <n v="5.17"/>
        <n v="3.45"/>
        <n v="3.98"/>
        <n v="2.84"/>
        <n v="10.34"/>
        <n v="6.9"/>
        <n v="37.5"/>
        <n v="25"/>
        <n v="3.3"/>
        <n v="6.59"/>
        <n v="9.84"/>
        <n v="8.1999999999999993"/>
        <n v="3.28"/>
        <n v="4.92"/>
        <n v="1.54"/>
        <n v="3.59"/>
        <n v="10.17"/>
        <n v="3.39"/>
        <n v="5.08"/>
        <n v="4.88"/>
        <n v="2.44"/>
        <n v="7.32"/>
        <n v="4.07"/>
        <n v="3.25"/>
        <n v="9.2799999999999994"/>
        <n v="5.15"/>
        <n v="3.09"/>
        <n v="4.12"/>
        <n v="2.06"/>
        <n v="7.87"/>
        <n v="4.49"/>
        <n v="3.65"/>
        <n v="6.57"/>
        <n v="1.46"/>
        <n v="5.1100000000000003"/>
        <n v="2.92"/>
        <n v="7.34"/>
        <n v="4.5199999999999996"/>
        <n v="11.67"/>
        <n v="11.32"/>
        <n v="7.55"/>
        <n v="9.43"/>
        <n v="5.66"/>
        <n v="4.79"/>
        <n v="4.45"/>
        <n v="1.49"/>
        <n v="0.3"/>
        <n v="0.6"/>
        <n v="2.67"/>
        <n v="5.33"/>
        <n v="0.91"/>
        <n v="2.73"/>
        <n v="4.97"/>
        <n v="2.76"/>
        <n v="8.9600000000000009"/>
        <n v="5.97"/>
        <n v="4.4800000000000004"/>
        <n v="9.24"/>
        <n v="4.42"/>
        <n v="3.21"/>
        <n v="13.04"/>
        <n v="7.29"/>
        <n v="3.81"/>
        <n v="7.8"/>
        <n v="5.67"/>
        <n v="1.42"/>
        <n v="3.72"/>
        <n v="4.01"/>
        <n v="1.1499999999999999"/>
        <n v="2.87"/>
        <n v="9.26"/>
        <n v="8.5399999999999991"/>
        <n v="9.76"/>
      </sharedItems>
    </cacheField>
    <cacheField name="総数（法人以外の団体）" numFmtId="0" sqlType="4">
      <sharedItems containsSemiMixedTypes="0" containsString="0" containsNumber="1" containsInteger="1" minValue="0" maxValue="12" count="9">
        <n v="0"/>
        <n v="2"/>
        <n v="3"/>
        <n v="4"/>
        <n v="6"/>
        <n v="12"/>
        <n v="1"/>
        <n v="9"/>
        <n v="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50">
  <r>
    <x v="0"/>
    <s v="北海道"/>
    <x v="0"/>
    <x v="0"/>
    <n v="64"/>
    <n v="0.05"/>
    <n v="1"/>
    <n v="0"/>
    <n v="62"/>
    <n v="0.1"/>
    <x v="0"/>
  </r>
  <r>
    <x v="0"/>
    <s v="北海道"/>
    <x v="0"/>
    <x v="1"/>
    <n v="15884"/>
    <n v="13.2"/>
    <n v="2998"/>
    <n v="5.55"/>
    <n v="12885"/>
    <n v="20.010000000000002"/>
    <x v="1"/>
  </r>
  <r>
    <x v="0"/>
    <s v="北海道"/>
    <x v="0"/>
    <x v="2"/>
    <n v="6315"/>
    <n v="5.25"/>
    <n v="1393"/>
    <n v="2.58"/>
    <n v="4900"/>
    <n v="7.61"/>
    <x v="2"/>
  </r>
  <r>
    <x v="0"/>
    <s v="北海道"/>
    <x v="0"/>
    <x v="3"/>
    <n v="320"/>
    <n v="0.27"/>
    <n v="3"/>
    <n v="0.01"/>
    <n v="186"/>
    <n v="0.28999999999999998"/>
    <x v="1"/>
  </r>
  <r>
    <x v="0"/>
    <s v="北海道"/>
    <x v="0"/>
    <x v="4"/>
    <n v="1253"/>
    <n v="1.04"/>
    <n v="73"/>
    <n v="0.14000000000000001"/>
    <n v="1173"/>
    <n v="1.82"/>
    <x v="3"/>
  </r>
  <r>
    <x v="0"/>
    <s v="北海道"/>
    <x v="0"/>
    <x v="5"/>
    <n v="1969"/>
    <n v="1.64"/>
    <n v="661"/>
    <n v="1.22"/>
    <n v="1265"/>
    <n v="1.96"/>
    <x v="4"/>
  </r>
  <r>
    <x v="0"/>
    <s v="北海道"/>
    <x v="0"/>
    <x v="6"/>
    <n v="26797"/>
    <n v="22.27"/>
    <n v="8218"/>
    <n v="15.22"/>
    <n v="18535"/>
    <n v="28.78"/>
    <x v="5"/>
  </r>
  <r>
    <x v="0"/>
    <s v="北海道"/>
    <x v="0"/>
    <x v="7"/>
    <n v="1148"/>
    <n v="0.95"/>
    <n v="150"/>
    <n v="0.28000000000000003"/>
    <n v="997"/>
    <n v="1.55"/>
    <x v="1"/>
  </r>
  <r>
    <x v="0"/>
    <s v="北海道"/>
    <x v="0"/>
    <x v="8"/>
    <n v="12643"/>
    <n v="10.51"/>
    <n v="5612"/>
    <n v="10.39"/>
    <n v="6948"/>
    <n v="10.79"/>
    <x v="6"/>
  </r>
  <r>
    <x v="0"/>
    <s v="北海道"/>
    <x v="0"/>
    <x v="9"/>
    <n v="5993"/>
    <n v="4.9800000000000004"/>
    <n v="2635"/>
    <n v="4.88"/>
    <n v="3259"/>
    <n v="5.0599999999999996"/>
    <x v="7"/>
  </r>
  <r>
    <x v="0"/>
    <s v="北海道"/>
    <x v="0"/>
    <x v="10"/>
    <n v="17837"/>
    <n v="14.82"/>
    <n v="13711"/>
    <n v="25.39"/>
    <n v="4051"/>
    <n v="6.29"/>
    <x v="2"/>
  </r>
  <r>
    <x v="0"/>
    <s v="北海道"/>
    <x v="0"/>
    <x v="11"/>
    <n v="14912"/>
    <n v="12.39"/>
    <n v="11336"/>
    <n v="20.99"/>
    <n v="3388"/>
    <n v="5.26"/>
    <x v="8"/>
  </r>
  <r>
    <x v="0"/>
    <s v="北海道"/>
    <x v="0"/>
    <x v="12"/>
    <n v="3594"/>
    <n v="2.99"/>
    <n v="2361"/>
    <n v="4.37"/>
    <n v="889"/>
    <n v="1.38"/>
    <x v="9"/>
  </r>
  <r>
    <x v="0"/>
    <s v="北海道"/>
    <x v="0"/>
    <x v="13"/>
    <n v="6746"/>
    <n v="5.61"/>
    <n v="3555"/>
    <n v="6.58"/>
    <n v="2705"/>
    <n v="4.2"/>
    <x v="10"/>
  </r>
  <r>
    <x v="0"/>
    <s v="北海道"/>
    <x v="0"/>
    <x v="14"/>
    <n v="4852"/>
    <n v="4.03"/>
    <n v="1290"/>
    <n v="2.39"/>
    <n v="3157"/>
    <n v="4.9000000000000004"/>
    <x v="11"/>
  </r>
  <r>
    <x v="0"/>
    <s v="札幌市"/>
    <x v="1"/>
    <x v="0"/>
    <n v="4"/>
    <n v="0.01"/>
    <n v="0"/>
    <n v="0"/>
    <n v="4"/>
    <n v="0.02"/>
    <x v="0"/>
  </r>
  <r>
    <x v="0"/>
    <s v="札幌市"/>
    <x v="1"/>
    <x v="1"/>
    <n v="5142"/>
    <n v="13.18"/>
    <n v="277"/>
    <n v="2.0099999999999998"/>
    <n v="4864"/>
    <n v="19.350000000000001"/>
    <x v="1"/>
  </r>
  <r>
    <x v="0"/>
    <s v="札幌市"/>
    <x v="1"/>
    <x v="2"/>
    <n v="1547"/>
    <n v="3.96"/>
    <n v="214"/>
    <n v="1.56"/>
    <n v="1333"/>
    <n v="5.3"/>
    <x v="0"/>
  </r>
  <r>
    <x v="0"/>
    <s v="札幌市"/>
    <x v="1"/>
    <x v="3"/>
    <n v="16"/>
    <n v="0.04"/>
    <n v="0"/>
    <n v="0"/>
    <n v="15"/>
    <n v="0.06"/>
    <x v="0"/>
  </r>
  <r>
    <x v="0"/>
    <s v="札幌市"/>
    <x v="1"/>
    <x v="4"/>
    <n v="727"/>
    <n v="1.86"/>
    <n v="25"/>
    <n v="0.18"/>
    <n v="699"/>
    <n v="2.78"/>
    <x v="12"/>
  </r>
  <r>
    <x v="0"/>
    <s v="札幌市"/>
    <x v="1"/>
    <x v="5"/>
    <n v="605"/>
    <n v="1.55"/>
    <n v="281"/>
    <n v="2.04"/>
    <n v="324"/>
    <n v="1.29"/>
    <x v="0"/>
  </r>
  <r>
    <x v="0"/>
    <s v="札幌市"/>
    <x v="1"/>
    <x v="6"/>
    <n v="7820"/>
    <n v="20.04"/>
    <n v="1262"/>
    <n v="9.18"/>
    <n v="6552"/>
    <n v="26.06"/>
    <x v="3"/>
  </r>
  <r>
    <x v="0"/>
    <s v="札幌市"/>
    <x v="1"/>
    <x v="7"/>
    <n v="378"/>
    <n v="0.97"/>
    <n v="24"/>
    <n v="0.17"/>
    <n v="354"/>
    <n v="1.41"/>
    <x v="0"/>
  </r>
  <r>
    <x v="0"/>
    <s v="札幌市"/>
    <x v="1"/>
    <x v="8"/>
    <n v="5790"/>
    <n v="14.84"/>
    <n v="2134"/>
    <n v="15.52"/>
    <n v="3645"/>
    <n v="14.5"/>
    <x v="13"/>
  </r>
  <r>
    <x v="0"/>
    <s v="札幌市"/>
    <x v="1"/>
    <x v="9"/>
    <n v="2958"/>
    <n v="7.58"/>
    <n v="1160"/>
    <n v="8.44"/>
    <n v="1789"/>
    <n v="7.12"/>
    <x v="13"/>
  </r>
  <r>
    <x v="0"/>
    <s v="札幌市"/>
    <x v="1"/>
    <x v="10"/>
    <n v="4916"/>
    <n v="12.6"/>
    <n v="3437"/>
    <n v="25"/>
    <n v="1476"/>
    <n v="5.87"/>
    <x v="12"/>
  </r>
  <r>
    <x v="0"/>
    <s v="札幌市"/>
    <x v="1"/>
    <x v="11"/>
    <n v="4263"/>
    <n v="10.93"/>
    <n v="2776"/>
    <n v="20.190000000000001"/>
    <n v="1483"/>
    <n v="5.9"/>
    <x v="14"/>
  </r>
  <r>
    <x v="0"/>
    <s v="札幌市"/>
    <x v="1"/>
    <x v="12"/>
    <n v="1143"/>
    <n v="2.93"/>
    <n v="703"/>
    <n v="5.1100000000000003"/>
    <n v="429"/>
    <n v="1.71"/>
    <x v="3"/>
  </r>
  <r>
    <x v="0"/>
    <s v="札幌市"/>
    <x v="1"/>
    <x v="13"/>
    <n v="2252"/>
    <n v="5.77"/>
    <n v="1268"/>
    <n v="9.2200000000000006"/>
    <n v="977"/>
    <n v="3.89"/>
    <x v="13"/>
  </r>
  <r>
    <x v="0"/>
    <s v="札幌市"/>
    <x v="1"/>
    <x v="14"/>
    <n v="1457"/>
    <n v="3.73"/>
    <n v="188"/>
    <n v="1.37"/>
    <n v="1195"/>
    <n v="4.75"/>
    <x v="15"/>
  </r>
  <r>
    <x v="0"/>
    <s v="札幌市中央区"/>
    <x v="2"/>
    <x v="0"/>
    <n v="0"/>
    <n v="0"/>
    <n v="0"/>
    <n v="0"/>
    <n v="0"/>
    <n v="0"/>
    <x v="0"/>
  </r>
  <r>
    <x v="0"/>
    <s v="札幌市中央区"/>
    <x v="2"/>
    <x v="1"/>
    <n v="502"/>
    <n v="4.6100000000000003"/>
    <n v="12"/>
    <n v="0.3"/>
    <n v="490"/>
    <n v="7.19"/>
    <x v="0"/>
  </r>
  <r>
    <x v="0"/>
    <s v="札幌市中央区"/>
    <x v="2"/>
    <x v="2"/>
    <n v="211"/>
    <n v="1.94"/>
    <n v="32"/>
    <n v="0.79"/>
    <n v="179"/>
    <n v="2.63"/>
    <x v="0"/>
  </r>
  <r>
    <x v="0"/>
    <s v="札幌市中央区"/>
    <x v="2"/>
    <x v="3"/>
    <n v="9"/>
    <n v="0.08"/>
    <n v="0"/>
    <n v="0"/>
    <n v="8"/>
    <n v="0.12"/>
    <x v="0"/>
  </r>
  <r>
    <x v="0"/>
    <s v="札幌市中央区"/>
    <x v="2"/>
    <x v="4"/>
    <n v="354"/>
    <n v="3.25"/>
    <n v="16"/>
    <n v="0.39"/>
    <n v="338"/>
    <n v="4.96"/>
    <x v="0"/>
  </r>
  <r>
    <x v="0"/>
    <s v="札幌市中央区"/>
    <x v="2"/>
    <x v="5"/>
    <n v="71"/>
    <n v="0.65"/>
    <n v="6"/>
    <n v="0.15"/>
    <n v="65"/>
    <n v="0.95"/>
    <x v="0"/>
  </r>
  <r>
    <x v="0"/>
    <s v="札幌市中央区"/>
    <x v="2"/>
    <x v="6"/>
    <n v="2304"/>
    <n v="21.14"/>
    <n v="294"/>
    <n v="7.25"/>
    <n v="2007"/>
    <n v="29.47"/>
    <x v="12"/>
  </r>
  <r>
    <x v="0"/>
    <s v="札幌市中央区"/>
    <x v="2"/>
    <x v="7"/>
    <n v="141"/>
    <n v="1.29"/>
    <n v="4"/>
    <n v="0.1"/>
    <n v="137"/>
    <n v="2.0099999999999998"/>
    <x v="0"/>
  </r>
  <r>
    <x v="0"/>
    <s v="札幌市中央区"/>
    <x v="2"/>
    <x v="8"/>
    <n v="1341"/>
    <n v="12.3"/>
    <n v="319"/>
    <n v="7.86"/>
    <n v="1020"/>
    <n v="14.98"/>
    <x v="0"/>
  </r>
  <r>
    <x v="0"/>
    <s v="札幌市中央区"/>
    <x v="2"/>
    <x v="9"/>
    <n v="1312"/>
    <n v="12.04"/>
    <n v="641"/>
    <n v="15.8"/>
    <n v="665"/>
    <n v="9.76"/>
    <x v="3"/>
  </r>
  <r>
    <x v="0"/>
    <s v="札幌市中央区"/>
    <x v="2"/>
    <x v="10"/>
    <n v="2364"/>
    <n v="21.69"/>
    <n v="1643"/>
    <n v="40.51"/>
    <n v="721"/>
    <n v="10.59"/>
    <x v="0"/>
  </r>
  <r>
    <x v="0"/>
    <s v="札幌市中央区"/>
    <x v="2"/>
    <x v="11"/>
    <n v="1056"/>
    <n v="9.69"/>
    <n v="580"/>
    <n v="14.3"/>
    <n v="474"/>
    <n v="6.96"/>
    <x v="14"/>
  </r>
  <r>
    <x v="0"/>
    <s v="札幌市中央区"/>
    <x v="2"/>
    <x v="12"/>
    <n v="336"/>
    <n v="3.08"/>
    <n v="178"/>
    <n v="4.3899999999999997"/>
    <n v="155"/>
    <n v="2.2799999999999998"/>
    <x v="14"/>
  </r>
  <r>
    <x v="0"/>
    <s v="札幌市中央区"/>
    <x v="2"/>
    <x v="13"/>
    <n v="497"/>
    <n v="4.5599999999999996"/>
    <n v="310"/>
    <n v="7.64"/>
    <n v="185"/>
    <n v="2.72"/>
    <x v="14"/>
  </r>
  <r>
    <x v="0"/>
    <s v="札幌市中央区"/>
    <x v="2"/>
    <x v="14"/>
    <n v="402"/>
    <n v="3.69"/>
    <n v="21"/>
    <n v="0.52"/>
    <n v="367"/>
    <n v="5.39"/>
    <x v="16"/>
  </r>
  <r>
    <x v="0"/>
    <s v="札幌市北区"/>
    <x v="3"/>
    <x v="0"/>
    <n v="0"/>
    <n v="0"/>
    <n v="0"/>
    <n v="0"/>
    <n v="0"/>
    <n v="0"/>
    <x v="0"/>
  </r>
  <r>
    <x v="0"/>
    <s v="札幌市北区"/>
    <x v="3"/>
    <x v="1"/>
    <n v="971"/>
    <n v="19.55"/>
    <n v="45"/>
    <n v="2.86"/>
    <n v="926"/>
    <n v="27.41"/>
    <x v="0"/>
  </r>
  <r>
    <x v="0"/>
    <s v="札幌市北区"/>
    <x v="3"/>
    <x v="2"/>
    <n v="206"/>
    <n v="4.1500000000000004"/>
    <n v="30"/>
    <n v="1.91"/>
    <n v="176"/>
    <n v="5.21"/>
    <x v="0"/>
  </r>
  <r>
    <x v="0"/>
    <s v="札幌市北区"/>
    <x v="3"/>
    <x v="3"/>
    <n v="1"/>
    <n v="0.02"/>
    <n v="0"/>
    <n v="0"/>
    <n v="1"/>
    <n v="0.03"/>
    <x v="0"/>
  </r>
  <r>
    <x v="0"/>
    <s v="札幌市北区"/>
    <x v="3"/>
    <x v="4"/>
    <n v="90"/>
    <n v="1.81"/>
    <n v="0"/>
    <n v="0"/>
    <n v="90"/>
    <n v="2.66"/>
    <x v="0"/>
  </r>
  <r>
    <x v="0"/>
    <s v="札幌市北区"/>
    <x v="3"/>
    <x v="5"/>
    <n v="80"/>
    <n v="1.61"/>
    <n v="39"/>
    <n v="2.48"/>
    <n v="41"/>
    <n v="1.21"/>
    <x v="0"/>
  </r>
  <r>
    <x v="0"/>
    <s v="札幌市北区"/>
    <x v="3"/>
    <x v="6"/>
    <n v="944"/>
    <n v="19"/>
    <n v="165"/>
    <n v="10.48"/>
    <n v="779"/>
    <n v="23.06"/>
    <x v="0"/>
  </r>
  <r>
    <x v="0"/>
    <s v="札幌市北区"/>
    <x v="3"/>
    <x v="7"/>
    <n v="50"/>
    <n v="1.01"/>
    <n v="5"/>
    <n v="0.32"/>
    <n v="45"/>
    <n v="1.33"/>
    <x v="0"/>
  </r>
  <r>
    <x v="0"/>
    <s v="札幌市北区"/>
    <x v="3"/>
    <x v="8"/>
    <n v="625"/>
    <n v="12.58"/>
    <n v="194"/>
    <n v="12.33"/>
    <n v="429"/>
    <n v="12.7"/>
    <x v="14"/>
  </r>
  <r>
    <x v="0"/>
    <s v="札幌市北区"/>
    <x v="3"/>
    <x v="9"/>
    <n v="356"/>
    <n v="7.17"/>
    <n v="113"/>
    <n v="7.18"/>
    <n v="242"/>
    <n v="7.16"/>
    <x v="0"/>
  </r>
  <r>
    <x v="0"/>
    <s v="札幌市北区"/>
    <x v="3"/>
    <x v="10"/>
    <n v="440"/>
    <n v="8.86"/>
    <n v="307"/>
    <n v="19.5"/>
    <n v="132"/>
    <n v="3.91"/>
    <x v="1"/>
  </r>
  <r>
    <x v="0"/>
    <s v="札幌市北区"/>
    <x v="3"/>
    <x v="11"/>
    <n v="585"/>
    <n v="11.78"/>
    <n v="417"/>
    <n v="26.49"/>
    <n v="168"/>
    <n v="4.97"/>
    <x v="0"/>
  </r>
  <r>
    <x v="0"/>
    <s v="札幌市北区"/>
    <x v="3"/>
    <x v="12"/>
    <n v="128"/>
    <n v="2.58"/>
    <n v="71"/>
    <n v="4.51"/>
    <n v="56"/>
    <n v="1.66"/>
    <x v="0"/>
  </r>
  <r>
    <x v="0"/>
    <s v="札幌市北区"/>
    <x v="3"/>
    <x v="13"/>
    <n v="293"/>
    <n v="5.9"/>
    <n v="161"/>
    <n v="10.23"/>
    <n v="131"/>
    <n v="3.88"/>
    <x v="1"/>
  </r>
  <r>
    <x v="0"/>
    <s v="札幌市北区"/>
    <x v="3"/>
    <x v="14"/>
    <n v="199"/>
    <n v="4.01"/>
    <n v="27"/>
    <n v="1.72"/>
    <n v="162"/>
    <n v="4.8"/>
    <x v="17"/>
  </r>
  <r>
    <x v="0"/>
    <s v="札幌市東区"/>
    <x v="4"/>
    <x v="0"/>
    <n v="0"/>
    <n v="0"/>
    <n v="0"/>
    <n v="0"/>
    <n v="0"/>
    <n v="0"/>
    <x v="0"/>
  </r>
  <r>
    <x v="0"/>
    <s v="札幌市東区"/>
    <x v="4"/>
    <x v="1"/>
    <n v="886"/>
    <n v="19.05"/>
    <n v="46"/>
    <n v="3.39"/>
    <n v="840"/>
    <n v="25.61"/>
    <x v="0"/>
  </r>
  <r>
    <x v="0"/>
    <s v="札幌市東区"/>
    <x v="4"/>
    <x v="2"/>
    <n v="319"/>
    <n v="6.86"/>
    <n v="34"/>
    <n v="2.5"/>
    <n v="285"/>
    <n v="8.69"/>
    <x v="0"/>
  </r>
  <r>
    <x v="0"/>
    <s v="札幌市東区"/>
    <x v="4"/>
    <x v="3"/>
    <n v="3"/>
    <n v="0.06"/>
    <n v="0"/>
    <n v="0"/>
    <n v="3"/>
    <n v="0.09"/>
    <x v="0"/>
  </r>
  <r>
    <x v="0"/>
    <s v="札幌市東区"/>
    <x v="4"/>
    <x v="4"/>
    <n v="62"/>
    <n v="1.33"/>
    <n v="3"/>
    <n v="0.22"/>
    <n v="57"/>
    <n v="1.74"/>
    <x v="14"/>
  </r>
  <r>
    <x v="0"/>
    <s v="札幌市東区"/>
    <x v="4"/>
    <x v="5"/>
    <n v="74"/>
    <n v="1.59"/>
    <n v="29"/>
    <n v="2.14"/>
    <n v="45"/>
    <n v="1.37"/>
    <x v="0"/>
  </r>
  <r>
    <x v="0"/>
    <s v="札幌市東区"/>
    <x v="4"/>
    <x v="6"/>
    <n v="981"/>
    <n v="21.09"/>
    <n v="129"/>
    <n v="9.5"/>
    <n v="850"/>
    <n v="25.91"/>
    <x v="14"/>
  </r>
  <r>
    <x v="0"/>
    <s v="札幌市東区"/>
    <x v="4"/>
    <x v="7"/>
    <n v="30"/>
    <n v="0.64"/>
    <n v="3"/>
    <n v="0.22"/>
    <n v="27"/>
    <n v="0.82"/>
    <x v="0"/>
  </r>
  <r>
    <x v="0"/>
    <s v="札幌市東区"/>
    <x v="4"/>
    <x v="8"/>
    <n v="752"/>
    <n v="16.170000000000002"/>
    <n v="282"/>
    <n v="20.77"/>
    <n v="469"/>
    <n v="14.3"/>
    <x v="1"/>
  </r>
  <r>
    <x v="0"/>
    <s v="札幌市東区"/>
    <x v="4"/>
    <x v="9"/>
    <n v="233"/>
    <n v="5.01"/>
    <n v="72"/>
    <n v="5.3"/>
    <n v="160"/>
    <n v="4.88"/>
    <x v="1"/>
  </r>
  <r>
    <x v="0"/>
    <s v="札幌市東区"/>
    <x v="4"/>
    <x v="10"/>
    <n v="304"/>
    <n v="6.53"/>
    <n v="223"/>
    <n v="16.420000000000002"/>
    <n v="79"/>
    <n v="2.41"/>
    <x v="14"/>
  </r>
  <r>
    <x v="0"/>
    <s v="札幌市東区"/>
    <x v="4"/>
    <x v="11"/>
    <n v="454"/>
    <n v="9.76"/>
    <n v="321"/>
    <n v="23.64"/>
    <n v="133"/>
    <n v="4.05"/>
    <x v="0"/>
  </r>
  <r>
    <x v="0"/>
    <s v="札幌市東区"/>
    <x v="4"/>
    <x v="12"/>
    <n v="101"/>
    <n v="2.17"/>
    <n v="60"/>
    <n v="4.42"/>
    <n v="40"/>
    <n v="1.22"/>
    <x v="0"/>
  </r>
  <r>
    <x v="0"/>
    <s v="札幌市東区"/>
    <x v="4"/>
    <x v="13"/>
    <n v="256"/>
    <n v="5.5"/>
    <n v="122"/>
    <n v="8.98"/>
    <n v="134"/>
    <n v="4.09"/>
    <x v="0"/>
  </r>
  <r>
    <x v="0"/>
    <s v="札幌市東区"/>
    <x v="4"/>
    <x v="14"/>
    <n v="197"/>
    <n v="4.2300000000000004"/>
    <n v="34"/>
    <n v="2.5"/>
    <n v="158"/>
    <n v="4.82"/>
    <x v="18"/>
  </r>
  <r>
    <x v="0"/>
    <s v="札幌市白石区"/>
    <x v="5"/>
    <x v="0"/>
    <n v="0"/>
    <n v="0"/>
    <n v="0"/>
    <n v="0"/>
    <n v="0"/>
    <n v="0"/>
    <x v="0"/>
  </r>
  <r>
    <x v="0"/>
    <s v="札幌市白石区"/>
    <x v="5"/>
    <x v="1"/>
    <n v="785"/>
    <n v="17.579999999999998"/>
    <n v="35"/>
    <n v="2.36"/>
    <n v="750"/>
    <n v="25.28"/>
    <x v="0"/>
  </r>
  <r>
    <x v="0"/>
    <s v="札幌市白石区"/>
    <x v="5"/>
    <x v="2"/>
    <n v="254"/>
    <n v="5.69"/>
    <n v="32"/>
    <n v="2.15"/>
    <n v="222"/>
    <n v="7.48"/>
    <x v="0"/>
  </r>
  <r>
    <x v="0"/>
    <s v="札幌市白石区"/>
    <x v="5"/>
    <x v="3"/>
    <n v="1"/>
    <n v="0.02"/>
    <n v="0"/>
    <n v="0"/>
    <n v="1"/>
    <n v="0.03"/>
    <x v="0"/>
  </r>
  <r>
    <x v="0"/>
    <s v="札幌市白石区"/>
    <x v="5"/>
    <x v="4"/>
    <n v="48"/>
    <n v="1.08"/>
    <n v="0"/>
    <n v="0"/>
    <n v="48"/>
    <n v="1.62"/>
    <x v="0"/>
  </r>
  <r>
    <x v="0"/>
    <s v="札幌市白石区"/>
    <x v="5"/>
    <x v="5"/>
    <n v="102"/>
    <n v="2.2799999999999998"/>
    <n v="26"/>
    <n v="1.75"/>
    <n v="76"/>
    <n v="2.56"/>
    <x v="0"/>
  </r>
  <r>
    <x v="0"/>
    <s v="札幌市白石区"/>
    <x v="5"/>
    <x v="6"/>
    <n v="1006"/>
    <n v="22.53"/>
    <n v="141"/>
    <n v="9.49"/>
    <n v="865"/>
    <n v="29.15"/>
    <x v="0"/>
  </r>
  <r>
    <x v="0"/>
    <s v="札幌市白石区"/>
    <x v="5"/>
    <x v="7"/>
    <n v="29"/>
    <n v="0.65"/>
    <n v="3"/>
    <n v="0.2"/>
    <n v="26"/>
    <n v="0.88"/>
    <x v="0"/>
  </r>
  <r>
    <x v="0"/>
    <s v="札幌市白石区"/>
    <x v="5"/>
    <x v="8"/>
    <n v="777"/>
    <n v="17.399999999999999"/>
    <n v="417"/>
    <n v="28.08"/>
    <n v="360"/>
    <n v="12.13"/>
    <x v="0"/>
  </r>
  <r>
    <x v="0"/>
    <s v="札幌市白石区"/>
    <x v="5"/>
    <x v="9"/>
    <n v="200"/>
    <n v="4.4800000000000004"/>
    <n v="52"/>
    <n v="3.5"/>
    <n v="147"/>
    <n v="4.95"/>
    <x v="0"/>
  </r>
  <r>
    <x v="0"/>
    <s v="札幌市白石区"/>
    <x v="5"/>
    <x v="10"/>
    <n v="359"/>
    <n v="8.0399999999999991"/>
    <n v="277"/>
    <n v="18.649999999999999"/>
    <n v="82"/>
    <n v="2.76"/>
    <x v="0"/>
  </r>
  <r>
    <x v="0"/>
    <s v="札幌市白石区"/>
    <x v="5"/>
    <x v="11"/>
    <n v="427"/>
    <n v="9.56"/>
    <n v="295"/>
    <n v="19.87"/>
    <n v="132"/>
    <n v="4.45"/>
    <x v="0"/>
  </r>
  <r>
    <x v="0"/>
    <s v="札幌市白石区"/>
    <x v="5"/>
    <x v="12"/>
    <n v="72"/>
    <n v="1.61"/>
    <n v="47"/>
    <n v="3.16"/>
    <n v="23"/>
    <n v="0.78"/>
    <x v="14"/>
  </r>
  <r>
    <x v="0"/>
    <s v="札幌市白石区"/>
    <x v="5"/>
    <x v="13"/>
    <n v="232"/>
    <n v="5.2"/>
    <n v="132"/>
    <n v="8.89"/>
    <n v="100"/>
    <n v="3.37"/>
    <x v="0"/>
  </r>
  <r>
    <x v="0"/>
    <s v="札幌市白石区"/>
    <x v="5"/>
    <x v="14"/>
    <n v="173"/>
    <n v="3.87"/>
    <n v="28"/>
    <n v="1.89"/>
    <n v="135"/>
    <n v="4.55"/>
    <x v="6"/>
  </r>
  <r>
    <x v="0"/>
    <s v="札幌市豊平区"/>
    <x v="6"/>
    <x v="0"/>
    <n v="0"/>
    <n v="0"/>
    <n v="0"/>
    <n v="0"/>
    <n v="0"/>
    <n v="0"/>
    <x v="0"/>
  </r>
  <r>
    <x v="0"/>
    <s v="札幌市豊平区"/>
    <x v="6"/>
    <x v="1"/>
    <n v="411"/>
    <n v="11.99"/>
    <n v="20"/>
    <n v="1.48"/>
    <n v="391"/>
    <n v="18.93"/>
    <x v="0"/>
  </r>
  <r>
    <x v="0"/>
    <s v="札幌市豊平区"/>
    <x v="6"/>
    <x v="2"/>
    <n v="90"/>
    <n v="2.63"/>
    <n v="14"/>
    <n v="1.04"/>
    <n v="76"/>
    <n v="3.68"/>
    <x v="0"/>
  </r>
  <r>
    <x v="0"/>
    <s v="札幌市豊平区"/>
    <x v="6"/>
    <x v="3"/>
    <n v="0"/>
    <n v="0"/>
    <n v="0"/>
    <n v="0"/>
    <n v="0"/>
    <n v="0"/>
    <x v="0"/>
  </r>
  <r>
    <x v="0"/>
    <s v="札幌市豊平区"/>
    <x v="6"/>
    <x v="4"/>
    <n v="42"/>
    <n v="1.23"/>
    <n v="3"/>
    <n v="0.22"/>
    <n v="39"/>
    <n v="1.89"/>
    <x v="0"/>
  </r>
  <r>
    <x v="0"/>
    <s v="札幌市豊平区"/>
    <x v="6"/>
    <x v="5"/>
    <n v="38"/>
    <n v="1.1100000000000001"/>
    <n v="25"/>
    <n v="1.85"/>
    <n v="13"/>
    <n v="0.63"/>
    <x v="0"/>
  </r>
  <r>
    <x v="0"/>
    <s v="札幌市豊平区"/>
    <x v="6"/>
    <x v="6"/>
    <n v="588"/>
    <n v="17.16"/>
    <n v="108"/>
    <n v="7.99"/>
    <n v="480"/>
    <n v="23.23"/>
    <x v="0"/>
  </r>
  <r>
    <x v="0"/>
    <s v="札幌市豊平区"/>
    <x v="6"/>
    <x v="7"/>
    <n v="47"/>
    <n v="1.37"/>
    <n v="2"/>
    <n v="0.15"/>
    <n v="45"/>
    <n v="2.1800000000000002"/>
    <x v="0"/>
  </r>
  <r>
    <x v="0"/>
    <s v="札幌市豊平区"/>
    <x v="6"/>
    <x v="8"/>
    <n v="798"/>
    <n v="23.29"/>
    <n v="381"/>
    <n v="28.18"/>
    <n v="415"/>
    <n v="20.09"/>
    <x v="14"/>
  </r>
  <r>
    <x v="0"/>
    <s v="札幌市豊平区"/>
    <x v="6"/>
    <x v="9"/>
    <n v="204"/>
    <n v="5.95"/>
    <n v="63"/>
    <n v="4.66"/>
    <n v="141"/>
    <n v="6.82"/>
    <x v="0"/>
  </r>
  <r>
    <x v="0"/>
    <s v="札幌市豊平区"/>
    <x v="6"/>
    <x v="10"/>
    <n v="307"/>
    <n v="8.9600000000000009"/>
    <n v="219"/>
    <n v="16.2"/>
    <n v="88"/>
    <n v="4.26"/>
    <x v="0"/>
  </r>
  <r>
    <x v="0"/>
    <s v="札幌市豊平区"/>
    <x v="6"/>
    <x v="11"/>
    <n v="446"/>
    <n v="13.01"/>
    <n v="298"/>
    <n v="22.04"/>
    <n v="148"/>
    <n v="7.16"/>
    <x v="0"/>
  </r>
  <r>
    <x v="0"/>
    <s v="札幌市豊平区"/>
    <x v="6"/>
    <x v="12"/>
    <n v="101"/>
    <n v="2.95"/>
    <n v="69"/>
    <n v="5.0999999999999996"/>
    <n v="31"/>
    <n v="1.5"/>
    <x v="0"/>
  </r>
  <r>
    <x v="0"/>
    <s v="札幌市豊平区"/>
    <x v="6"/>
    <x v="13"/>
    <n v="248"/>
    <n v="7.24"/>
    <n v="131"/>
    <n v="9.69"/>
    <n v="116"/>
    <n v="5.61"/>
    <x v="1"/>
  </r>
  <r>
    <x v="0"/>
    <s v="札幌市豊平区"/>
    <x v="6"/>
    <x v="14"/>
    <n v="107"/>
    <n v="3.12"/>
    <n v="19"/>
    <n v="1.41"/>
    <n v="83"/>
    <n v="4.0199999999999996"/>
    <x v="18"/>
  </r>
  <r>
    <x v="0"/>
    <s v="札幌市南区"/>
    <x v="7"/>
    <x v="0"/>
    <n v="1"/>
    <n v="0.05"/>
    <n v="0"/>
    <n v="0"/>
    <n v="1"/>
    <n v="0.08"/>
    <x v="0"/>
  </r>
  <r>
    <x v="0"/>
    <s v="札幌市南区"/>
    <x v="7"/>
    <x v="1"/>
    <n v="291"/>
    <n v="14.29"/>
    <n v="20"/>
    <n v="2.4500000000000002"/>
    <n v="270"/>
    <n v="22.46"/>
    <x v="1"/>
  </r>
  <r>
    <x v="0"/>
    <s v="札幌市南区"/>
    <x v="7"/>
    <x v="2"/>
    <n v="71"/>
    <n v="3.49"/>
    <n v="14"/>
    <n v="1.71"/>
    <n v="57"/>
    <n v="4.74"/>
    <x v="0"/>
  </r>
  <r>
    <x v="0"/>
    <s v="札幌市南区"/>
    <x v="7"/>
    <x v="3"/>
    <n v="1"/>
    <n v="0.05"/>
    <n v="0"/>
    <n v="0"/>
    <n v="1"/>
    <n v="0.08"/>
    <x v="0"/>
  </r>
  <r>
    <x v="0"/>
    <s v="札幌市南区"/>
    <x v="7"/>
    <x v="4"/>
    <n v="19"/>
    <n v="0.93"/>
    <n v="0"/>
    <n v="0"/>
    <n v="18"/>
    <n v="1.5"/>
    <x v="1"/>
  </r>
  <r>
    <x v="0"/>
    <s v="札幌市南区"/>
    <x v="7"/>
    <x v="5"/>
    <n v="51"/>
    <n v="2.5"/>
    <n v="30"/>
    <n v="3.67"/>
    <n v="21"/>
    <n v="1.75"/>
    <x v="0"/>
  </r>
  <r>
    <x v="0"/>
    <s v="札幌市南区"/>
    <x v="7"/>
    <x v="6"/>
    <n v="346"/>
    <n v="16.989999999999998"/>
    <n v="99"/>
    <n v="12.12"/>
    <n v="247"/>
    <n v="20.55"/>
    <x v="0"/>
  </r>
  <r>
    <x v="0"/>
    <s v="札幌市南区"/>
    <x v="7"/>
    <x v="7"/>
    <n v="11"/>
    <n v="0.54"/>
    <n v="0"/>
    <n v="0"/>
    <n v="11"/>
    <n v="0.92"/>
    <x v="0"/>
  </r>
  <r>
    <x v="0"/>
    <s v="札幌市南区"/>
    <x v="7"/>
    <x v="8"/>
    <n v="319"/>
    <n v="15.66"/>
    <n v="140"/>
    <n v="17.14"/>
    <n v="175"/>
    <n v="14.56"/>
    <x v="14"/>
  </r>
  <r>
    <x v="0"/>
    <s v="札幌市南区"/>
    <x v="7"/>
    <x v="9"/>
    <n v="124"/>
    <n v="6.09"/>
    <n v="40"/>
    <n v="4.9000000000000004"/>
    <n v="84"/>
    <n v="6.99"/>
    <x v="0"/>
  </r>
  <r>
    <x v="0"/>
    <s v="札幌市南区"/>
    <x v="7"/>
    <x v="10"/>
    <n v="253"/>
    <n v="12.42"/>
    <n v="167"/>
    <n v="20.440000000000001"/>
    <n v="86"/>
    <n v="7.15"/>
    <x v="0"/>
  </r>
  <r>
    <x v="0"/>
    <s v="札幌市南区"/>
    <x v="7"/>
    <x v="11"/>
    <n v="273"/>
    <n v="13.4"/>
    <n v="184"/>
    <n v="22.52"/>
    <n v="89"/>
    <n v="7.4"/>
    <x v="0"/>
  </r>
  <r>
    <x v="0"/>
    <s v="札幌市南区"/>
    <x v="7"/>
    <x v="12"/>
    <n v="65"/>
    <n v="3.19"/>
    <n v="43"/>
    <n v="5.26"/>
    <n v="21"/>
    <n v="1.75"/>
    <x v="0"/>
  </r>
  <r>
    <x v="0"/>
    <s v="札幌市南区"/>
    <x v="7"/>
    <x v="13"/>
    <n v="130"/>
    <n v="6.38"/>
    <n v="70"/>
    <n v="8.57"/>
    <n v="60"/>
    <n v="4.99"/>
    <x v="0"/>
  </r>
  <r>
    <x v="0"/>
    <s v="札幌市南区"/>
    <x v="7"/>
    <x v="14"/>
    <n v="82"/>
    <n v="4.03"/>
    <n v="10"/>
    <n v="1.22"/>
    <n v="61"/>
    <n v="5.07"/>
    <x v="6"/>
  </r>
  <r>
    <x v="0"/>
    <s v="札幌市西区"/>
    <x v="8"/>
    <x v="0"/>
    <n v="0"/>
    <n v="0"/>
    <n v="0"/>
    <n v="0"/>
    <n v="0"/>
    <n v="0"/>
    <x v="0"/>
  </r>
  <r>
    <x v="0"/>
    <s v="札幌市西区"/>
    <x v="8"/>
    <x v="1"/>
    <n v="485"/>
    <n v="13.25"/>
    <n v="29"/>
    <n v="2.11"/>
    <n v="456"/>
    <n v="20.059999999999999"/>
    <x v="0"/>
  </r>
  <r>
    <x v="0"/>
    <s v="札幌市西区"/>
    <x v="8"/>
    <x v="2"/>
    <n v="194"/>
    <n v="5.3"/>
    <n v="26"/>
    <n v="1.89"/>
    <n v="168"/>
    <n v="7.39"/>
    <x v="0"/>
  </r>
  <r>
    <x v="0"/>
    <s v="札幌市西区"/>
    <x v="8"/>
    <x v="3"/>
    <n v="0"/>
    <n v="0"/>
    <n v="0"/>
    <n v="0"/>
    <n v="0"/>
    <n v="0"/>
    <x v="0"/>
  </r>
  <r>
    <x v="0"/>
    <s v="札幌市西区"/>
    <x v="8"/>
    <x v="4"/>
    <n v="57"/>
    <n v="1.56"/>
    <n v="3"/>
    <n v="0.22"/>
    <n v="54"/>
    <n v="2.38"/>
    <x v="0"/>
  </r>
  <r>
    <x v="0"/>
    <s v="札幌市西区"/>
    <x v="8"/>
    <x v="5"/>
    <n v="43"/>
    <n v="1.17"/>
    <n v="24"/>
    <n v="1.75"/>
    <n v="19"/>
    <n v="0.84"/>
    <x v="0"/>
  </r>
  <r>
    <x v="0"/>
    <s v="札幌市西区"/>
    <x v="8"/>
    <x v="6"/>
    <n v="685"/>
    <n v="18.71"/>
    <n v="147"/>
    <n v="10.71"/>
    <n v="538"/>
    <n v="23.67"/>
    <x v="0"/>
  </r>
  <r>
    <x v="0"/>
    <s v="札幌市西区"/>
    <x v="8"/>
    <x v="7"/>
    <n v="29"/>
    <n v="0.79"/>
    <n v="3"/>
    <n v="0.22"/>
    <n v="26"/>
    <n v="1.1399999999999999"/>
    <x v="0"/>
  </r>
  <r>
    <x v="0"/>
    <s v="札幌市西区"/>
    <x v="8"/>
    <x v="8"/>
    <n v="590"/>
    <n v="16.12"/>
    <n v="257"/>
    <n v="18.72"/>
    <n v="333"/>
    <n v="14.65"/>
    <x v="0"/>
  </r>
  <r>
    <x v="0"/>
    <s v="札幌市西区"/>
    <x v="8"/>
    <x v="9"/>
    <n v="256"/>
    <n v="6.99"/>
    <n v="84"/>
    <n v="6.12"/>
    <n v="172"/>
    <n v="7.57"/>
    <x v="0"/>
  </r>
  <r>
    <x v="0"/>
    <s v="札幌市西区"/>
    <x v="8"/>
    <x v="10"/>
    <n v="425"/>
    <n v="11.61"/>
    <n v="300"/>
    <n v="21.85"/>
    <n v="125"/>
    <n v="5.5"/>
    <x v="0"/>
  </r>
  <r>
    <x v="0"/>
    <s v="札幌市西区"/>
    <x v="8"/>
    <x v="11"/>
    <n v="389"/>
    <n v="10.63"/>
    <n v="255"/>
    <n v="18.57"/>
    <n v="133"/>
    <n v="5.85"/>
    <x v="0"/>
  </r>
  <r>
    <x v="0"/>
    <s v="札幌市西区"/>
    <x v="8"/>
    <x v="12"/>
    <n v="130"/>
    <n v="3.55"/>
    <n v="87"/>
    <n v="6.34"/>
    <n v="41"/>
    <n v="1.8"/>
    <x v="14"/>
  </r>
  <r>
    <x v="0"/>
    <s v="札幌市西区"/>
    <x v="8"/>
    <x v="13"/>
    <n v="262"/>
    <n v="7.16"/>
    <n v="142"/>
    <n v="10.34"/>
    <n v="119"/>
    <n v="5.24"/>
    <x v="1"/>
  </r>
  <r>
    <x v="0"/>
    <s v="札幌市西区"/>
    <x v="8"/>
    <x v="14"/>
    <n v="116"/>
    <n v="3.17"/>
    <n v="16"/>
    <n v="1.17"/>
    <n v="89"/>
    <n v="3.92"/>
    <x v="6"/>
  </r>
  <r>
    <x v="0"/>
    <s v="札幌市厚別区"/>
    <x v="9"/>
    <x v="0"/>
    <n v="0"/>
    <n v="0"/>
    <n v="0"/>
    <n v="0"/>
    <n v="0"/>
    <n v="0"/>
    <x v="0"/>
  </r>
  <r>
    <x v="0"/>
    <s v="札幌市厚別区"/>
    <x v="9"/>
    <x v="1"/>
    <n v="151"/>
    <n v="10.98"/>
    <n v="11"/>
    <n v="2.73"/>
    <n v="140"/>
    <n v="14.48"/>
    <x v="0"/>
  </r>
  <r>
    <x v="0"/>
    <s v="札幌市厚別区"/>
    <x v="9"/>
    <x v="2"/>
    <n v="40"/>
    <n v="2.91"/>
    <n v="7"/>
    <n v="1.74"/>
    <n v="33"/>
    <n v="3.41"/>
    <x v="0"/>
  </r>
  <r>
    <x v="0"/>
    <s v="札幌市厚別区"/>
    <x v="9"/>
    <x v="3"/>
    <n v="1"/>
    <n v="7.0000000000000007E-2"/>
    <n v="0"/>
    <n v="0"/>
    <n v="1"/>
    <n v="0.1"/>
    <x v="0"/>
  </r>
  <r>
    <x v="0"/>
    <s v="札幌市厚別区"/>
    <x v="9"/>
    <x v="4"/>
    <n v="33"/>
    <n v="2.4"/>
    <n v="0"/>
    <n v="0"/>
    <n v="33"/>
    <n v="3.41"/>
    <x v="0"/>
  </r>
  <r>
    <x v="0"/>
    <s v="札幌市厚別区"/>
    <x v="9"/>
    <x v="5"/>
    <n v="23"/>
    <n v="1.67"/>
    <n v="7"/>
    <n v="1.74"/>
    <n v="16"/>
    <n v="1.65"/>
    <x v="0"/>
  </r>
  <r>
    <x v="0"/>
    <s v="札幌市厚別区"/>
    <x v="9"/>
    <x v="6"/>
    <n v="300"/>
    <n v="21.82"/>
    <n v="40"/>
    <n v="9.93"/>
    <n v="259"/>
    <n v="26.78"/>
    <x v="1"/>
  </r>
  <r>
    <x v="0"/>
    <s v="札幌市厚別区"/>
    <x v="9"/>
    <x v="7"/>
    <n v="13"/>
    <n v="0.95"/>
    <n v="2"/>
    <n v="0.5"/>
    <n v="11"/>
    <n v="1.1399999999999999"/>
    <x v="0"/>
  </r>
  <r>
    <x v="0"/>
    <s v="札幌市厚別区"/>
    <x v="9"/>
    <x v="8"/>
    <n v="239"/>
    <n v="17.38"/>
    <n v="63"/>
    <n v="15.63"/>
    <n v="176"/>
    <n v="18.2"/>
    <x v="0"/>
  </r>
  <r>
    <x v="0"/>
    <s v="札幌市厚別区"/>
    <x v="9"/>
    <x v="9"/>
    <n v="75"/>
    <n v="5.45"/>
    <n v="17"/>
    <n v="4.22"/>
    <n v="58"/>
    <n v="6"/>
    <x v="0"/>
  </r>
  <r>
    <x v="0"/>
    <s v="札幌市厚別区"/>
    <x v="9"/>
    <x v="10"/>
    <n v="145"/>
    <n v="10.55"/>
    <n v="76"/>
    <n v="18.86"/>
    <n v="69"/>
    <n v="7.14"/>
    <x v="0"/>
  </r>
  <r>
    <x v="0"/>
    <s v="札幌市厚別区"/>
    <x v="9"/>
    <x v="11"/>
    <n v="167"/>
    <n v="12.15"/>
    <n v="102"/>
    <n v="25.31"/>
    <n v="65"/>
    <n v="6.72"/>
    <x v="0"/>
  </r>
  <r>
    <x v="0"/>
    <s v="札幌市厚別区"/>
    <x v="9"/>
    <x v="12"/>
    <n v="43"/>
    <n v="3.13"/>
    <n v="26"/>
    <n v="6.45"/>
    <n v="17"/>
    <n v="1.76"/>
    <x v="0"/>
  </r>
  <r>
    <x v="0"/>
    <s v="札幌市厚別区"/>
    <x v="9"/>
    <x v="13"/>
    <n v="88"/>
    <n v="6.4"/>
    <n v="47"/>
    <n v="11.66"/>
    <n v="41"/>
    <n v="4.24"/>
    <x v="0"/>
  </r>
  <r>
    <x v="0"/>
    <s v="札幌市厚別区"/>
    <x v="9"/>
    <x v="14"/>
    <n v="57"/>
    <n v="4.1500000000000004"/>
    <n v="5"/>
    <n v="1.24"/>
    <n v="48"/>
    <n v="4.96"/>
    <x v="19"/>
  </r>
  <r>
    <x v="0"/>
    <s v="札幌市手稲区"/>
    <x v="10"/>
    <x v="0"/>
    <n v="2"/>
    <n v="0.11"/>
    <n v="0"/>
    <n v="0"/>
    <n v="2"/>
    <n v="0.18"/>
    <x v="0"/>
  </r>
  <r>
    <x v="0"/>
    <s v="札幌市手稲区"/>
    <x v="10"/>
    <x v="1"/>
    <n v="339"/>
    <n v="17.86"/>
    <n v="37"/>
    <n v="4.91"/>
    <n v="302"/>
    <n v="26.49"/>
    <x v="0"/>
  </r>
  <r>
    <x v="0"/>
    <s v="札幌市手稲区"/>
    <x v="10"/>
    <x v="2"/>
    <n v="112"/>
    <n v="5.9"/>
    <n v="16"/>
    <n v="2.12"/>
    <n v="96"/>
    <n v="8.42"/>
    <x v="0"/>
  </r>
  <r>
    <x v="0"/>
    <s v="札幌市手稲区"/>
    <x v="10"/>
    <x v="3"/>
    <n v="0"/>
    <n v="0"/>
    <n v="0"/>
    <n v="0"/>
    <n v="0"/>
    <n v="0"/>
    <x v="0"/>
  </r>
  <r>
    <x v="0"/>
    <s v="札幌市手稲区"/>
    <x v="10"/>
    <x v="4"/>
    <n v="9"/>
    <n v="0.47"/>
    <n v="0"/>
    <n v="0"/>
    <n v="9"/>
    <n v="0.79"/>
    <x v="0"/>
  </r>
  <r>
    <x v="0"/>
    <s v="札幌市手稲区"/>
    <x v="10"/>
    <x v="5"/>
    <n v="62"/>
    <n v="3.27"/>
    <n v="51"/>
    <n v="6.76"/>
    <n v="11"/>
    <n v="0.96"/>
    <x v="0"/>
  </r>
  <r>
    <x v="0"/>
    <s v="札幌市手稲区"/>
    <x v="10"/>
    <x v="6"/>
    <n v="352"/>
    <n v="18.55"/>
    <n v="83"/>
    <n v="11.01"/>
    <n v="269"/>
    <n v="23.6"/>
    <x v="0"/>
  </r>
  <r>
    <x v="0"/>
    <s v="札幌市手稲区"/>
    <x v="10"/>
    <x v="7"/>
    <n v="12"/>
    <n v="0.63"/>
    <n v="0"/>
    <n v="0"/>
    <n v="12"/>
    <n v="1.05"/>
    <x v="0"/>
  </r>
  <r>
    <x v="0"/>
    <s v="札幌市手稲区"/>
    <x v="10"/>
    <x v="8"/>
    <n v="180"/>
    <n v="9.48"/>
    <n v="48"/>
    <n v="6.37"/>
    <n v="132"/>
    <n v="11.58"/>
    <x v="0"/>
  </r>
  <r>
    <x v="0"/>
    <s v="札幌市手稲区"/>
    <x v="10"/>
    <x v="9"/>
    <n v="88"/>
    <n v="4.6399999999999997"/>
    <n v="31"/>
    <n v="4.1100000000000003"/>
    <n v="57"/>
    <n v="5"/>
    <x v="0"/>
  </r>
  <r>
    <x v="0"/>
    <s v="札幌市手稲区"/>
    <x v="10"/>
    <x v="10"/>
    <n v="183"/>
    <n v="9.64"/>
    <n v="123"/>
    <n v="16.309999999999999"/>
    <n v="60"/>
    <n v="5.26"/>
    <x v="0"/>
  </r>
  <r>
    <x v="0"/>
    <s v="札幌市手稲区"/>
    <x v="10"/>
    <x v="11"/>
    <n v="259"/>
    <n v="13.65"/>
    <n v="185"/>
    <n v="24.54"/>
    <n v="74"/>
    <n v="6.49"/>
    <x v="0"/>
  </r>
  <r>
    <x v="0"/>
    <s v="札幌市手稲区"/>
    <x v="10"/>
    <x v="12"/>
    <n v="91"/>
    <n v="4.79"/>
    <n v="66"/>
    <n v="8.75"/>
    <n v="25"/>
    <n v="2.19"/>
    <x v="0"/>
  </r>
  <r>
    <x v="0"/>
    <s v="札幌市手稲区"/>
    <x v="10"/>
    <x v="13"/>
    <n v="145"/>
    <n v="7.64"/>
    <n v="98"/>
    <n v="13"/>
    <n v="46"/>
    <n v="4.04"/>
    <x v="1"/>
  </r>
  <r>
    <x v="0"/>
    <s v="札幌市手稲区"/>
    <x v="10"/>
    <x v="14"/>
    <n v="64"/>
    <n v="3.37"/>
    <n v="16"/>
    <n v="2.12"/>
    <n v="45"/>
    <n v="3.95"/>
    <x v="12"/>
  </r>
  <r>
    <x v="0"/>
    <s v="札幌市清田区"/>
    <x v="11"/>
    <x v="0"/>
    <n v="1"/>
    <n v="0.06"/>
    <n v="0"/>
    <n v="0"/>
    <n v="1"/>
    <n v="0.09"/>
    <x v="0"/>
  </r>
  <r>
    <x v="0"/>
    <s v="札幌市清田区"/>
    <x v="11"/>
    <x v="1"/>
    <n v="321"/>
    <n v="19.63"/>
    <n v="22"/>
    <n v="3.81"/>
    <n v="299"/>
    <n v="28.34"/>
    <x v="0"/>
  </r>
  <r>
    <x v="0"/>
    <s v="札幌市清田区"/>
    <x v="11"/>
    <x v="2"/>
    <n v="50"/>
    <n v="3.06"/>
    <n v="9"/>
    <n v="1.56"/>
    <n v="41"/>
    <n v="3.89"/>
    <x v="0"/>
  </r>
  <r>
    <x v="0"/>
    <s v="札幌市清田区"/>
    <x v="11"/>
    <x v="3"/>
    <n v="0"/>
    <n v="0"/>
    <n v="0"/>
    <n v="0"/>
    <n v="0"/>
    <n v="0"/>
    <x v="0"/>
  </r>
  <r>
    <x v="0"/>
    <s v="札幌市清田区"/>
    <x v="11"/>
    <x v="4"/>
    <n v="13"/>
    <n v="0.8"/>
    <n v="0"/>
    <n v="0"/>
    <n v="13"/>
    <n v="1.23"/>
    <x v="0"/>
  </r>
  <r>
    <x v="0"/>
    <s v="札幌市清田区"/>
    <x v="11"/>
    <x v="5"/>
    <n v="61"/>
    <n v="3.73"/>
    <n v="44"/>
    <n v="7.63"/>
    <n v="17"/>
    <n v="1.61"/>
    <x v="0"/>
  </r>
  <r>
    <x v="0"/>
    <s v="札幌市清田区"/>
    <x v="11"/>
    <x v="6"/>
    <n v="314"/>
    <n v="19.2"/>
    <n v="56"/>
    <n v="9.7100000000000009"/>
    <n v="258"/>
    <n v="24.45"/>
    <x v="0"/>
  </r>
  <r>
    <x v="0"/>
    <s v="札幌市清田区"/>
    <x v="11"/>
    <x v="7"/>
    <n v="16"/>
    <n v="0.98"/>
    <n v="2"/>
    <n v="0.35"/>
    <n v="14"/>
    <n v="1.33"/>
    <x v="0"/>
  </r>
  <r>
    <x v="0"/>
    <s v="札幌市清田区"/>
    <x v="11"/>
    <x v="8"/>
    <n v="169"/>
    <n v="10.34"/>
    <n v="33"/>
    <n v="5.72"/>
    <n v="136"/>
    <n v="12.89"/>
    <x v="0"/>
  </r>
  <r>
    <x v="0"/>
    <s v="札幌市清田区"/>
    <x v="11"/>
    <x v="9"/>
    <n v="110"/>
    <n v="6.73"/>
    <n v="47"/>
    <n v="8.15"/>
    <n v="63"/>
    <n v="5.97"/>
    <x v="0"/>
  </r>
  <r>
    <x v="0"/>
    <s v="札幌市清田区"/>
    <x v="11"/>
    <x v="10"/>
    <n v="136"/>
    <n v="8.32"/>
    <n v="102"/>
    <n v="17.68"/>
    <n v="34"/>
    <n v="3.22"/>
    <x v="0"/>
  </r>
  <r>
    <x v="0"/>
    <s v="札幌市清田区"/>
    <x v="11"/>
    <x v="11"/>
    <n v="207"/>
    <n v="12.66"/>
    <n v="139"/>
    <n v="24.09"/>
    <n v="67"/>
    <n v="6.35"/>
    <x v="0"/>
  </r>
  <r>
    <x v="0"/>
    <s v="札幌市清田区"/>
    <x v="11"/>
    <x v="12"/>
    <n v="76"/>
    <n v="4.6500000000000004"/>
    <n v="56"/>
    <n v="9.7100000000000009"/>
    <n v="20"/>
    <n v="1.9"/>
    <x v="0"/>
  </r>
  <r>
    <x v="0"/>
    <s v="札幌市清田区"/>
    <x v="11"/>
    <x v="13"/>
    <n v="101"/>
    <n v="6.18"/>
    <n v="55"/>
    <n v="9.5299999999999994"/>
    <n v="45"/>
    <n v="4.2699999999999996"/>
    <x v="1"/>
  </r>
  <r>
    <x v="0"/>
    <s v="札幌市清田区"/>
    <x v="11"/>
    <x v="14"/>
    <n v="60"/>
    <n v="3.67"/>
    <n v="12"/>
    <n v="2.08"/>
    <n v="47"/>
    <n v="4.45"/>
    <x v="1"/>
  </r>
  <r>
    <x v="0"/>
    <s v="函館市"/>
    <x v="12"/>
    <x v="0"/>
    <n v="0"/>
    <n v="0"/>
    <n v="0"/>
    <n v="0"/>
    <n v="0"/>
    <n v="0"/>
    <x v="0"/>
  </r>
  <r>
    <x v="0"/>
    <s v="函館市"/>
    <x v="12"/>
    <x v="1"/>
    <n v="852"/>
    <n v="12.74"/>
    <n v="178"/>
    <n v="5.59"/>
    <n v="674"/>
    <n v="19.45"/>
    <x v="0"/>
  </r>
  <r>
    <x v="0"/>
    <s v="函館市"/>
    <x v="12"/>
    <x v="2"/>
    <n v="304"/>
    <n v="4.55"/>
    <n v="70"/>
    <n v="2.2000000000000002"/>
    <n v="234"/>
    <n v="6.75"/>
    <x v="0"/>
  </r>
  <r>
    <x v="0"/>
    <s v="函館市"/>
    <x v="12"/>
    <x v="3"/>
    <n v="3"/>
    <n v="0.04"/>
    <n v="1"/>
    <n v="0.03"/>
    <n v="2"/>
    <n v="0.06"/>
    <x v="0"/>
  </r>
  <r>
    <x v="0"/>
    <s v="函館市"/>
    <x v="12"/>
    <x v="4"/>
    <n v="55"/>
    <n v="0.82"/>
    <n v="5"/>
    <n v="0.16"/>
    <n v="50"/>
    <n v="1.44"/>
    <x v="0"/>
  </r>
  <r>
    <x v="0"/>
    <s v="函館市"/>
    <x v="12"/>
    <x v="5"/>
    <n v="85"/>
    <n v="1.27"/>
    <n v="41"/>
    <n v="1.29"/>
    <n v="44"/>
    <n v="1.27"/>
    <x v="0"/>
  </r>
  <r>
    <x v="0"/>
    <s v="函館市"/>
    <x v="12"/>
    <x v="6"/>
    <n v="1644"/>
    <n v="24.58"/>
    <n v="599"/>
    <n v="18.809999999999999"/>
    <n v="1045"/>
    <n v="30.15"/>
    <x v="0"/>
  </r>
  <r>
    <x v="0"/>
    <s v="函館市"/>
    <x v="12"/>
    <x v="7"/>
    <n v="72"/>
    <n v="1.08"/>
    <n v="10"/>
    <n v="0.31"/>
    <n v="62"/>
    <n v="1.79"/>
    <x v="0"/>
  </r>
  <r>
    <x v="0"/>
    <s v="函館市"/>
    <x v="12"/>
    <x v="8"/>
    <n v="670"/>
    <n v="10.02"/>
    <n v="276"/>
    <n v="8.67"/>
    <n v="393"/>
    <n v="11.34"/>
    <x v="0"/>
  </r>
  <r>
    <x v="0"/>
    <s v="函館市"/>
    <x v="12"/>
    <x v="9"/>
    <n v="306"/>
    <n v="4.58"/>
    <n v="126"/>
    <n v="3.96"/>
    <n v="177"/>
    <n v="5.1100000000000003"/>
    <x v="0"/>
  </r>
  <r>
    <x v="0"/>
    <s v="函館市"/>
    <x v="12"/>
    <x v="10"/>
    <n v="982"/>
    <n v="14.68"/>
    <n v="735"/>
    <n v="23.08"/>
    <n v="247"/>
    <n v="7.13"/>
    <x v="0"/>
  </r>
  <r>
    <x v="0"/>
    <s v="函館市"/>
    <x v="12"/>
    <x v="11"/>
    <n v="929"/>
    <n v="13.89"/>
    <n v="741"/>
    <n v="23.27"/>
    <n v="185"/>
    <n v="5.34"/>
    <x v="14"/>
  </r>
  <r>
    <x v="0"/>
    <s v="函館市"/>
    <x v="12"/>
    <x v="12"/>
    <n v="199"/>
    <n v="2.98"/>
    <n v="148"/>
    <n v="4.6500000000000004"/>
    <n v="48"/>
    <n v="1.38"/>
    <x v="1"/>
  </r>
  <r>
    <x v="0"/>
    <s v="函館市"/>
    <x v="12"/>
    <x v="13"/>
    <n v="338"/>
    <n v="5.05"/>
    <n v="172"/>
    <n v="5.4"/>
    <n v="142"/>
    <n v="4.0999999999999996"/>
    <x v="12"/>
  </r>
  <r>
    <x v="0"/>
    <s v="函館市"/>
    <x v="12"/>
    <x v="14"/>
    <n v="249"/>
    <n v="3.72"/>
    <n v="83"/>
    <n v="2.61"/>
    <n v="163"/>
    <n v="4.7"/>
    <x v="1"/>
  </r>
  <r>
    <x v="0"/>
    <s v="小樽市"/>
    <x v="13"/>
    <x v="0"/>
    <n v="0"/>
    <n v="0"/>
    <n v="0"/>
    <n v="0"/>
    <n v="0"/>
    <n v="0"/>
    <x v="0"/>
  </r>
  <r>
    <x v="0"/>
    <s v="小樽市"/>
    <x v="13"/>
    <x v="1"/>
    <n v="313"/>
    <n v="10.59"/>
    <n v="71"/>
    <n v="5.41"/>
    <n v="242"/>
    <n v="14.86"/>
    <x v="0"/>
  </r>
  <r>
    <x v="0"/>
    <s v="小樽市"/>
    <x v="13"/>
    <x v="2"/>
    <n v="201"/>
    <n v="6.8"/>
    <n v="43"/>
    <n v="3.28"/>
    <n v="157"/>
    <n v="9.64"/>
    <x v="1"/>
  </r>
  <r>
    <x v="0"/>
    <s v="小樽市"/>
    <x v="13"/>
    <x v="3"/>
    <n v="2"/>
    <n v="7.0000000000000007E-2"/>
    <n v="0"/>
    <n v="0"/>
    <n v="1"/>
    <n v="0.06"/>
    <x v="0"/>
  </r>
  <r>
    <x v="0"/>
    <s v="小樽市"/>
    <x v="13"/>
    <x v="4"/>
    <n v="19"/>
    <n v="0.64"/>
    <n v="1"/>
    <n v="0.08"/>
    <n v="18"/>
    <n v="1.1100000000000001"/>
    <x v="0"/>
  </r>
  <r>
    <x v="0"/>
    <s v="小樽市"/>
    <x v="13"/>
    <x v="5"/>
    <n v="61"/>
    <n v="2.06"/>
    <n v="29"/>
    <n v="2.21"/>
    <n v="32"/>
    <n v="1.97"/>
    <x v="0"/>
  </r>
  <r>
    <x v="0"/>
    <s v="小樽市"/>
    <x v="13"/>
    <x v="6"/>
    <n v="907"/>
    <n v="30.68"/>
    <n v="261"/>
    <n v="19.89"/>
    <n v="645"/>
    <n v="39.619999999999997"/>
    <x v="1"/>
  </r>
  <r>
    <x v="0"/>
    <s v="小樽市"/>
    <x v="13"/>
    <x v="7"/>
    <n v="28"/>
    <n v="0.95"/>
    <n v="1"/>
    <n v="0.08"/>
    <n v="27"/>
    <n v="1.66"/>
    <x v="0"/>
  </r>
  <r>
    <x v="0"/>
    <s v="小樽市"/>
    <x v="13"/>
    <x v="8"/>
    <n v="147"/>
    <n v="4.97"/>
    <n v="25"/>
    <n v="1.91"/>
    <n v="122"/>
    <n v="7.49"/>
    <x v="0"/>
  </r>
  <r>
    <x v="0"/>
    <s v="小樽市"/>
    <x v="13"/>
    <x v="9"/>
    <n v="88"/>
    <n v="2.98"/>
    <n v="44"/>
    <n v="3.35"/>
    <n v="43"/>
    <n v="2.64"/>
    <x v="0"/>
  </r>
  <r>
    <x v="0"/>
    <s v="小樽市"/>
    <x v="13"/>
    <x v="10"/>
    <n v="506"/>
    <n v="17.12"/>
    <n v="380"/>
    <n v="28.96"/>
    <n v="126"/>
    <n v="7.74"/>
    <x v="0"/>
  </r>
  <r>
    <x v="0"/>
    <s v="小樽市"/>
    <x v="13"/>
    <x v="11"/>
    <n v="360"/>
    <n v="12.18"/>
    <n v="283"/>
    <n v="21.57"/>
    <n v="76"/>
    <n v="4.67"/>
    <x v="0"/>
  </r>
  <r>
    <x v="0"/>
    <s v="小樽市"/>
    <x v="13"/>
    <x v="12"/>
    <n v="70"/>
    <n v="2.37"/>
    <n v="47"/>
    <n v="3.58"/>
    <n v="18"/>
    <n v="1.1100000000000001"/>
    <x v="14"/>
  </r>
  <r>
    <x v="0"/>
    <s v="小樽市"/>
    <x v="13"/>
    <x v="13"/>
    <n v="170"/>
    <n v="5.75"/>
    <n v="105"/>
    <n v="8"/>
    <n v="63"/>
    <n v="3.87"/>
    <x v="0"/>
  </r>
  <r>
    <x v="0"/>
    <s v="小樽市"/>
    <x v="13"/>
    <x v="14"/>
    <n v="84"/>
    <n v="2.84"/>
    <n v="22"/>
    <n v="1.68"/>
    <n v="58"/>
    <n v="3.56"/>
    <x v="14"/>
  </r>
  <r>
    <x v="0"/>
    <s v="旭川市"/>
    <x v="14"/>
    <x v="0"/>
    <n v="2"/>
    <n v="0.03"/>
    <n v="0"/>
    <n v="0"/>
    <n v="2"/>
    <n v="0.05"/>
    <x v="0"/>
  </r>
  <r>
    <x v="0"/>
    <s v="旭川市"/>
    <x v="14"/>
    <x v="1"/>
    <n v="1036"/>
    <n v="13.15"/>
    <n v="206"/>
    <n v="5.55"/>
    <n v="830"/>
    <n v="20.14"/>
    <x v="0"/>
  </r>
  <r>
    <x v="0"/>
    <s v="旭川市"/>
    <x v="14"/>
    <x v="2"/>
    <n v="425"/>
    <n v="5.39"/>
    <n v="109"/>
    <n v="2.93"/>
    <n v="316"/>
    <n v="7.67"/>
    <x v="0"/>
  </r>
  <r>
    <x v="0"/>
    <s v="旭川市"/>
    <x v="14"/>
    <x v="3"/>
    <n v="1"/>
    <n v="0.01"/>
    <n v="0"/>
    <n v="0"/>
    <n v="1"/>
    <n v="0.02"/>
    <x v="0"/>
  </r>
  <r>
    <x v="0"/>
    <s v="旭川市"/>
    <x v="14"/>
    <x v="4"/>
    <n v="66"/>
    <n v="0.84"/>
    <n v="4"/>
    <n v="0.11"/>
    <n v="62"/>
    <n v="1.5"/>
    <x v="0"/>
  </r>
  <r>
    <x v="0"/>
    <s v="旭川市"/>
    <x v="14"/>
    <x v="5"/>
    <n v="117"/>
    <n v="1.48"/>
    <n v="56"/>
    <n v="1.51"/>
    <n v="61"/>
    <n v="1.48"/>
    <x v="0"/>
  </r>
  <r>
    <x v="0"/>
    <s v="旭川市"/>
    <x v="14"/>
    <x v="6"/>
    <n v="1750"/>
    <n v="22.21"/>
    <n v="516"/>
    <n v="13.89"/>
    <n v="1233"/>
    <n v="29.91"/>
    <x v="1"/>
  </r>
  <r>
    <x v="0"/>
    <s v="旭川市"/>
    <x v="14"/>
    <x v="7"/>
    <n v="91"/>
    <n v="1.1499999999999999"/>
    <n v="11"/>
    <n v="0.3"/>
    <n v="80"/>
    <n v="1.94"/>
    <x v="0"/>
  </r>
  <r>
    <x v="0"/>
    <s v="旭川市"/>
    <x v="14"/>
    <x v="8"/>
    <n v="876"/>
    <n v="11.12"/>
    <n v="402"/>
    <n v="10.82"/>
    <n v="471"/>
    <n v="11.43"/>
    <x v="1"/>
  </r>
  <r>
    <x v="0"/>
    <s v="旭川市"/>
    <x v="14"/>
    <x v="9"/>
    <n v="334"/>
    <n v="4.24"/>
    <n v="161"/>
    <n v="4.33"/>
    <n v="173"/>
    <n v="4.2"/>
    <x v="0"/>
  </r>
  <r>
    <x v="0"/>
    <s v="旭川市"/>
    <x v="14"/>
    <x v="10"/>
    <n v="1176"/>
    <n v="14.93"/>
    <n v="936"/>
    <n v="25.2"/>
    <n v="239"/>
    <n v="5.8"/>
    <x v="1"/>
  </r>
  <r>
    <x v="0"/>
    <s v="旭川市"/>
    <x v="14"/>
    <x v="11"/>
    <n v="1027"/>
    <n v="13.03"/>
    <n v="808"/>
    <n v="21.75"/>
    <n v="217"/>
    <n v="5.26"/>
    <x v="14"/>
  </r>
  <r>
    <x v="0"/>
    <s v="旭川市"/>
    <x v="14"/>
    <x v="12"/>
    <n v="207"/>
    <n v="2.63"/>
    <n v="138"/>
    <n v="3.71"/>
    <n v="44"/>
    <n v="1.07"/>
    <x v="1"/>
  </r>
  <r>
    <x v="0"/>
    <s v="旭川市"/>
    <x v="14"/>
    <x v="13"/>
    <n v="501"/>
    <n v="6.36"/>
    <n v="280"/>
    <n v="7.54"/>
    <n v="219"/>
    <n v="5.31"/>
    <x v="0"/>
  </r>
  <r>
    <x v="0"/>
    <s v="旭川市"/>
    <x v="14"/>
    <x v="14"/>
    <n v="270"/>
    <n v="3.43"/>
    <n v="88"/>
    <n v="2.37"/>
    <n v="174"/>
    <n v="4.22"/>
    <x v="18"/>
  </r>
  <r>
    <x v="0"/>
    <s v="室蘭市"/>
    <x v="15"/>
    <x v="0"/>
    <n v="0"/>
    <n v="0"/>
    <n v="0"/>
    <n v="0"/>
    <n v="0"/>
    <n v="0"/>
    <x v="0"/>
  </r>
  <r>
    <x v="0"/>
    <s v="室蘭市"/>
    <x v="15"/>
    <x v="1"/>
    <n v="265"/>
    <n v="12.83"/>
    <n v="43"/>
    <n v="4.33"/>
    <n v="222"/>
    <n v="21.1"/>
    <x v="0"/>
  </r>
  <r>
    <x v="0"/>
    <s v="室蘭市"/>
    <x v="15"/>
    <x v="2"/>
    <n v="110"/>
    <n v="5.32"/>
    <n v="30"/>
    <n v="3.02"/>
    <n v="80"/>
    <n v="7.6"/>
    <x v="0"/>
  </r>
  <r>
    <x v="0"/>
    <s v="室蘭市"/>
    <x v="15"/>
    <x v="3"/>
    <n v="2"/>
    <n v="0.1"/>
    <n v="0"/>
    <n v="0"/>
    <n v="1"/>
    <n v="0.1"/>
    <x v="0"/>
  </r>
  <r>
    <x v="0"/>
    <s v="室蘭市"/>
    <x v="15"/>
    <x v="4"/>
    <n v="15"/>
    <n v="0.73"/>
    <n v="1"/>
    <n v="0.1"/>
    <n v="14"/>
    <n v="1.33"/>
    <x v="0"/>
  </r>
  <r>
    <x v="0"/>
    <s v="室蘭市"/>
    <x v="15"/>
    <x v="5"/>
    <n v="37"/>
    <n v="1.79"/>
    <n v="13"/>
    <n v="1.31"/>
    <n v="24"/>
    <n v="2.2799999999999998"/>
    <x v="0"/>
  </r>
  <r>
    <x v="0"/>
    <s v="室蘭市"/>
    <x v="15"/>
    <x v="6"/>
    <n v="486"/>
    <n v="23.52"/>
    <n v="164"/>
    <n v="16.5"/>
    <n v="322"/>
    <n v="30.61"/>
    <x v="0"/>
  </r>
  <r>
    <x v="0"/>
    <s v="室蘭市"/>
    <x v="15"/>
    <x v="7"/>
    <n v="34"/>
    <n v="1.65"/>
    <n v="5"/>
    <n v="0.5"/>
    <n v="29"/>
    <n v="2.76"/>
    <x v="0"/>
  </r>
  <r>
    <x v="0"/>
    <s v="室蘭市"/>
    <x v="15"/>
    <x v="8"/>
    <n v="213"/>
    <n v="10.31"/>
    <n v="98"/>
    <n v="9.86"/>
    <n v="113"/>
    <n v="10.74"/>
    <x v="1"/>
  </r>
  <r>
    <x v="0"/>
    <s v="室蘭市"/>
    <x v="15"/>
    <x v="9"/>
    <n v="77"/>
    <n v="3.73"/>
    <n v="41"/>
    <n v="4.12"/>
    <n v="32"/>
    <n v="3.04"/>
    <x v="0"/>
  </r>
  <r>
    <x v="0"/>
    <s v="室蘭市"/>
    <x v="15"/>
    <x v="10"/>
    <n v="358"/>
    <n v="17.329999999999998"/>
    <n v="297"/>
    <n v="29.88"/>
    <n v="60"/>
    <n v="5.7"/>
    <x v="0"/>
  </r>
  <r>
    <x v="0"/>
    <s v="室蘭市"/>
    <x v="15"/>
    <x v="11"/>
    <n v="253"/>
    <n v="12.25"/>
    <n v="205"/>
    <n v="20.62"/>
    <n v="46"/>
    <n v="4.37"/>
    <x v="1"/>
  </r>
  <r>
    <x v="0"/>
    <s v="室蘭市"/>
    <x v="15"/>
    <x v="12"/>
    <n v="44"/>
    <n v="2.13"/>
    <n v="24"/>
    <n v="2.41"/>
    <n v="14"/>
    <n v="1.33"/>
    <x v="0"/>
  </r>
  <r>
    <x v="0"/>
    <s v="室蘭市"/>
    <x v="15"/>
    <x v="13"/>
    <n v="81"/>
    <n v="3.92"/>
    <n v="46"/>
    <n v="4.63"/>
    <n v="34"/>
    <n v="3.23"/>
    <x v="0"/>
  </r>
  <r>
    <x v="0"/>
    <s v="室蘭市"/>
    <x v="15"/>
    <x v="14"/>
    <n v="91"/>
    <n v="4.4000000000000004"/>
    <n v="27"/>
    <n v="2.72"/>
    <n v="61"/>
    <n v="5.8"/>
    <x v="14"/>
  </r>
  <r>
    <x v="0"/>
    <s v="釧路市"/>
    <x v="16"/>
    <x v="0"/>
    <n v="5"/>
    <n v="0.11"/>
    <n v="0"/>
    <n v="0"/>
    <n v="5"/>
    <n v="0.23"/>
    <x v="0"/>
  </r>
  <r>
    <x v="0"/>
    <s v="釧路市"/>
    <x v="16"/>
    <x v="1"/>
    <n v="481"/>
    <n v="10.5"/>
    <n v="87"/>
    <n v="3.68"/>
    <n v="394"/>
    <n v="18.07"/>
    <x v="0"/>
  </r>
  <r>
    <x v="0"/>
    <s v="釧路市"/>
    <x v="16"/>
    <x v="2"/>
    <n v="202"/>
    <n v="4.41"/>
    <n v="44"/>
    <n v="1.86"/>
    <n v="157"/>
    <n v="7.2"/>
    <x v="1"/>
  </r>
  <r>
    <x v="0"/>
    <s v="釧路市"/>
    <x v="16"/>
    <x v="3"/>
    <n v="8"/>
    <n v="0.17"/>
    <n v="0"/>
    <n v="0"/>
    <n v="8"/>
    <n v="0.37"/>
    <x v="0"/>
  </r>
  <r>
    <x v="0"/>
    <s v="釧路市"/>
    <x v="16"/>
    <x v="4"/>
    <n v="30"/>
    <n v="0.66"/>
    <n v="1"/>
    <n v="0.04"/>
    <n v="29"/>
    <n v="1.33"/>
    <x v="0"/>
  </r>
  <r>
    <x v="0"/>
    <s v="釧路市"/>
    <x v="16"/>
    <x v="5"/>
    <n v="74"/>
    <n v="1.62"/>
    <n v="22"/>
    <n v="0.93"/>
    <n v="51"/>
    <n v="2.34"/>
    <x v="1"/>
  </r>
  <r>
    <x v="0"/>
    <s v="釧路市"/>
    <x v="16"/>
    <x v="6"/>
    <n v="951"/>
    <n v="20.76"/>
    <n v="292"/>
    <n v="12.35"/>
    <n v="659"/>
    <n v="30.22"/>
    <x v="0"/>
  </r>
  <r>
    <x v="0"/>
    <s v="釧路市"/>
    <x v="16"/>
    <x v="7"/>
    <n v="56"/>
    <n v="1.22"/>
    <n v="5"/>
    <n v="0.21"/>
    <n v="51"/>
    <n v="2.34"/>
    <x v="0"/>
  </r>
  <r>
    <x v="0"/>
    <s v="釧路市"/>
    <x v="16"/>
    <x v="8"/>
    <n v="583"/>
    <n v="12.73"/>
    <n v="383"/>
    <n v="16.2"/>
    <n v="199"/>
    <n v="9.1199999999999992"/>
    <x v="0"/>
  </r>
  <r>
    <x v="0"/>
    <s v="釧路市"/>
    <x v="16"/>
    <x v="9"/>
    <n v="187"/>
    <n v="4.08"/>
    <n v="76"/>
    <n v="3.21"/>
    <n v="109"/>
    <n v="5"/>
    <x v="0"/>
  </r>
  <r>
    <x v="0"/>
    <s v="釧路市"/>
    <x v="16"/>
    <x v="10"/>
    <n v="863"/>
    <n v="18.84"/>
    <n v="720"/>
    <n v="30.46"/>
    <n v="142"/>
    <n v="6.51"/>
    <x v="1"/>
  </r>
  <r>
    <x v="0"/>
    <s v="釧路市"/>
    <x v="16"/>
    <x v="11"/>
    <n v="593"/>
    <n v="12.95"/>
    <n v="461"/>
    <n v="19.5"/>
    <n v="126"/>
    <n v="5.78"/>
    <x v="0"/>
  </r>
  <r>
    <x v="0"/>
    <s v="釧路市"/>
    <x v="16"/>
    <x v="12"/>
    <n v="140"/>
    <n v="3.06"/>
    <n v="105"/>
    <n v="4.4400000000000004"/>
    <n v="28"/>
    <n v="1.28"/>
    <x v="1"/>
  </r>
  <r>
    <x v="0"/>
    <s v="釧路市"/>
    <x v="16"/>
    <x v="13"/>
    <n v="202"/>
    <n v="4.41"/>
    <n v="105"/>
    <n v="4.4400000000000004"/>
    <n v="91"/>
    <n v="4.17"/>
    <x v="14"/>
  </r>
  <r>
    <x v="0"/>
    <s v="釧路市"/>
    <x v="16"/>
    <x v="14"/>
    <n v="205"/>
    <n v="4.4800000000000004"/>
    <n v="63"/>
    <n v="2.66"/>
    <n v="132"/>
    <n v="6.05"/>
    <x v="3"/>
  </r>
  <r>
    <x v="0"/>
    <s v="帯広市"/>
    <x v="17"/>
    <x v="0"/>
    <n v="4"/>
    <n v="0.08"/>
    <n v="0"/>
    <n v="0"/>
    <n v="4"/>
    <n v="0.16"/>
    <x v="0"/>
  </r>
  <r>
    <x v="0"/>
    <s v="帯広市"/>
    <x v="17"/>
    <x v="1"/>
    <n v="646"/>
    <n v="12.98"/>
    <n v="166"/>
    <n v="6.91"/>
    <n v="480"/>
    <n v="19.05"/>
    <x v="0"/>
  </r>
  <r>
    <x v="0"/>
    <s v="帯広市"/>
    <x v="17"/>
    <x v="2"/>
    <n v="218"/>
    <n v="4.38"/>
    <n v="56"/>
    <n v="2.33"/>
    <n v="162"/>
    <n v="6.43"/>
    <x v="0"/>
  </r>
  <r>
    <x v="0"/>
    <s v="帯広市"/>
    <x v="17"/>
    <x v="3"/>
    <n v="17"/>
    <n v="0.34"/>
    <n v="0"/>
    <n v="0"/>
    <n v="17"/>
    <n v="0.67"/>
    <x v="0"/>
  </r>
  <r>
    <x v="0"/>
    <s v="帯広市"/>
    <x v="17"/>
    <x v="4"/>
    <n v="38"/>
    <n v="0.76"/>
    <n v="1"/>
    <n v="0.04"/>
    <n v="37"/>
    <n v="1.47"/>
    <x v="0"/>
  </r>
  <r>
    <x v="0"/>
    <s v="帯広市"/>
    <x v="17"/>
    <x v="5"/>
    <n v="68"/>
    <n v="1.37"/>
    <n v="32"/>
    <n v="1.33"/>
    <n v="35"/>
    <n v="1.39"/>
    <x v="1"/>
  </r>
  <r>
    <x v="0"/>
    <s v="帯広市"/>
    <x v="17"/>
    <x v="6"/>
    <n v="1085"/>
    <n v="21.8"/>
    <n v="287"/>
    <n v="11.94"/>
    <n v="797"/>
    <n v="31.63"/>
    <x v="1"/>
  </r>
  <r>
    <x v="0"/>
    <s v="帯広市"/>
    <x v="17"/>
    <x v="7"/>
    <n v="66"/>
    <n v="1.33"/>
    <n v="11"/>
    <n v="0.46"/>
    <n v="55"/>
    <n v="2.1800000000000002"/>
    <x v="0"/>
  </r>
  <r>
    <x v="0"/>
    <s v="帯広市"/>
    <x v="17"/>
    <x v="8"/>
    <n v="421"/>
    <n v="8.4600000000000009"/>
    <n v="145"/>
    <n v="6.03"/>
    <n v="275"/>
    <n v="10.91"/>
    <x v="0"/>
  </r>
  <r>
    <x v="0"/>
    <s v="帯広市"/>
    <x v="17"/>
    <x v="9"/>
    <n v="248"/>
    <n v="4.9800000000000004"/>
    <n v="122"/>
    <n v="5.08"/>
    <n v="125"/>
    <n v="4.96"/>
    <x v="1"/>
  </r>
  <r>
    <x v="0"/>
    <s v="帯広市"/>
    <x v="17"/>
    <x v="10"/>
    <n v="834"/>
    <n v="16.75"/>
    <n v="699"/>
    <n v="29.09"/>
    <n v="133"/>
    <n v="5.28"/>
    <x v="14"/>
  </r>
  <r>
    <x v="0"/>
    <s v="帯広市"/>
    <x v="17"/>
    <x v="11"/>
    <n v="645"/>
    <n v="12.96"/>
    <n v="504"/>
    <n v="20.97"/>
    <n v="138"/>
    <n v="5.48"/>
    <x v="0"/>
  </r>
  <r>
    <x v="0"/>
    <s v="帯広市"/>
    <x v="17"/>
    <x v="12"/>
    <n v="179"/>
    <n v="3.6"/>
    <n v="134"/>
    <n v="5.58"/>
    <n v="42"/>
    <n v="1.67"/>
    <x v="0"/>
  </r>
  <r>
    <x v="0"/>
    <s v="帯広市"/>
    <x v="17"/>
    <x v="13"/>
    <n v="251"/>
    <n v="5.04"/>
    <n v="166"/>
    <n v="6.91"/>
    <n v="84"/>
    <n v="3.33"/>
    <x v="1"/>
  </r>
  <r>
    <x v="0"/>
    <s v="帯広市"/>
    <x v="17"/>
    <x v="14"/>
    <n v="258"/>
    <n v="5.18"/>
    <n v="80"/>
    <n v="3.33"/>
    <n v="136"/>
    <n v="5.4"/>
    <x v="0"/>
  </r>
  <r>
    <x v="0"/>
    <s v="北見市"/>
    <x v="18"/>
    <x v="0"/>
    <n v="2"/>
    <n v="7.0000000000000007E-2"/>
    <n v="0"/>
    <n v="0"/>
    <n v="2"/>
    <n v="0.14000000000000001"/>
    <x v="0"/>
  </r>
  <r>
    <x v="0"/>
    <s v="北見市"/>
    <x v="18"/>
    <x v="1"/>
    <n v="334"/>
    <n v="11.91"/>
    <n v="74"/>
    <n v="5.67"/>
    <n v="260"/>
    <n v="17.75"/>
    <x v="0"/>
  </r>
  <r>
    <x v="0"/>
    <s v="北見市"/>
    <x v="18"/>
    <x v="2"/>
    <n v="157"/>
    <n v="5.6"/>
    <n v="40"/>
    <n v="3.06"/>
    <n v="117"/>
    <n v="7.99"/>
    <x v="0"/>
  </r>
  <r>
    <x v="0"/>
    <s v="北見市"/>
    <x v="18"/>
    <x v="3"/>
    <n v="8"/>
    <n v="0.28999999999999998"/>
    <n v="0"/>
    <n v="0"/>
    <n v="8"/>
    <n v="0.55000000000000004"/>
    <x v="0"/>
  </r>
  <r>
    <x v="0"/>
    <s v="北見市"/>
    <x v="18"/>
    <x v="4"/>
    <n v="28"/>
    <n v="1"/>
    <n v="2"/>
    <n v="0.15"/>
    <n v="25"/>
    <n v="1.71"/>
    <x v="1"/>
  </r>
  <r>
    <x v="0"/>
    <s v="北見市"/>
    <x v="18"/>
    <x v="5"/>
    <n v="38"/>
    <n v="1.35"/>
    <n v="13"/>
    <n v="1"/>
    <n v="25"/>
    <n v="1.71"/>
    <x v="0"/>
  </r>
  <r>
    <x v="0"/>
    <s v="北見市"/>
    <x v="18"/>
    <x v="6"/>
    <n v="689"/>
    <n v="24.56"/>
    <n v="224"/>
    <n v="17.149999999999999"/>
    <n v="465"/>
    <n v="31.74"/>
    <x v="0"/>
  </r>
  <r>
    <x v="0"/>
    <s v="北見市"/>
    <x v="18"/>
    <x v="7"/>
    <n v="31"/>
    <n v="1.1100000000000001"/>
    <n v="3"/>
    <n v="0.23"/>
    <n v="28"/>
    <n v="1.91"/>
    <x v="0"/>
  </r>
  <r>
    <x v="0"/>
    <s v="北見市"/>
    <x v="18"/>
    <x v="8"/>
    <n v="277"/>
    <n v="9.8800000000000008"/>
    <n v="123"/>
    <n v="9.42"/>
    <n v="154"/>
    <n v="10.51"/>
    <x v="0"/>
  </r>
  <r>
    <x v="0"/>
    <s v="北見市"/>
    <x v="18"/>
    <x v="9"/>
    <n v="99"/>
    <n v="3.53"/>
    <n v="45"/>
    <n v="3.45"/>
    <n v="52"/>
    <n v="3.55"/>
    <x v="0"/>
  </r>
  <r>
    <x v="0"/>
    <s v="北見市"/>
    <x v="18"/>
    <x v="10"/>
    <n v="428"/>
    <n v="15.26"/>
    <n v="346"/>
    <n v="26.49"/>
    <n v="80"/>
    <n v="5.46"/>
    <x v="1"/>
  </r>
  <r>
    <x v="0"/>
    <s v="北見市"/>
    <x v="18"/>
    <x v="11"/>
    <n v="349"/>
    <n v="12.44"/>
    <n v="285"/>
    <n v="21.82"/>
    <n v="64"/>
    <n v="4.37"/>
    <x v="0"/>
  </r>
  <r>
    <x v="0"/>
    <s v="北見市"/>
    <x v="18"/>
    <x v="12"/>
    <n v="55"/>
    <n v="1.96"/>
    <n v="30"/>
    <n v="2.2999999999999998"/>
    <n v="18"/>
    <n v="1.23"/>
    <x v="0"/>
  </r>
  <r>
    <x v="0"/>
    <s v="北見市"/>
    <x v="18"/>
    <x v="13"/>
    <n v="183"/>
    <n v="6.52"/>
    <n v="85"/>
    <n v="6.51"/>
    <n v="79"/>
    <n v="5.39"/>
    <x v="14"/>
  </r>
  <r>
    <x v="0"/>
    <s v="北見市"/>
    <x v="18"/>
    <x v="14"/>
    <n v="127"/>
    <n v="4.53"/>
    <n v="36"/>
    <n v="2.76"/>
    <n v="88"/>
    <n v="6.01"/>
    <x v="12"/>
  </r>
  <r>
    <x v="0"/>
    <s v="夕張市"/>
    <x v="19"/>
    <x v="0"/>
    <n v="0"/>
    <n v="0"/>
    <n v="0"/>
    <n v="0"/>
    <n v="0"/>
    <n v="0"/>
    <x v="0"/>
  </r>
  <r>
    <x v="0"/>
    <s v="夕張市"/>
    <x v="19"/>
    <x v="1"/>
    <n v="14"/>
    <n v="7.33"/>
    <n v="1"/>
    <n v="0.94"/>
    <n v="13"/>
    <n v="16.670000000000002"/>
    <x v="0"/>
  </r>
  <r>
    <x v="0"/>
    <s v="夕張市"/>
    <x v="19"/>
    <x v="2"/>
    <n v="8"/>
    <n v="4.1900000000000004"/>
    <n v="0"/>
    <n v="0"/>
    <n v="8"/>
    <n v="10.26"/>
    <x v="0"/>
  </r>
  <r>
    <x v="0"/>
    <s v="夕張市"/>
    <x v="19"/>
    <x v="3"/>
    <n v="1"/>
    <n v="0.52"/>
    <n v="0"/>
    <n v="0"/>
    <n v="1"/>
    <n v="1.28"/>
    <x v="0"/>
  </r>
  <r>
    <x v="0"/>
    <s v="夕張市"/>
    <x v="19"/>
    <x v="4"/>
    <n v="1"/>
    <n v="0.52"/>
    <n v="0"/>
    <n v="0"/>
    <n v="1"/>
    <n v="1.28"/>
    <x v="0"/>
  </r>
  <r>
    <x v="0"/>
    <s v="夕張市"/>
    <x v="19"/>
    <x v="5"/>
    <n v="0"/>
    <n v="0"/>
    <n v="0"/>
    <n v="0"/>
    <n v="0"/>
    <n v="0"/>
    <x v="0"/>
  </r>
  <r>
    <x v="0"/>
    <s v="夕張市"/>
    <x v="19"/>
    <x v="6"/>
    <n v="60"/>
    <n v="31.41"/>
    <n v="33"/>
    <n v="31.13"/>
    <n v="27"/>
    <n v="34.619999999999997"/>
    <x v="0"/>
  </r>
  <r>
    <x v="0"/>
    <s v="夕張市"/>
    <x v="19"/>
    <x v="7"/>
    <n v="0"/>
    <n v="0"/>
    <n v="0"/>
    <n v="0"/>
    <n v="0"/>
    <n v="0"/>
    <x v="0"/>
  </r>
  <r>
    <x v="0"/>
    <s v="夕張市"/>
    <x v="19"/>
    <x v="8"/>
    <n v="7"/>
    <n v="3.66"/>
    <n v="2"/>
    <n v="1.89"/>
    <n v="5"/>
    <n v="6.41"/>
    <x v="0"/>
  </r>
  <r>
    <x v="0"/>
    <s v="夕張市"/>
    <x v="19"/>
    <x v="9"/>
    <n v="3"/>
    <n v="1.57"/>
    <n v="1"/>
    <n v="0.94"/>
    <n v="2"/>
    <n v="2.56"/>
    <x v="0"/>
  </r>
  <r>
    <x v="0"/>
    <s v="夕張市"/>
    <x v="19"/>
    <x v="10"/>
    <n v="31"/>
    <n v="16.23"/>
    <n v="27"/>
    <n v="25.47"/>
    <n v="4"/>
    <n v="5.13"/>
    <x v="0"/>
  </r>
  <r>
    <x v="0"/>
    <s v="夕張市"/>
    <x v="19"/>
    <x v="11"/>
    <n v="36"/>
    <n v="18.850000000000001"/>
    <n v="31"/>
    <n v="29.25"/>
    <n v="3"/>
    <n v="3.85"/>
    <x v="14"/>
  </r>
  <r>
    <x v="0"/>
    <s v="夕張市"/>
    <x v="19"/>
    <x v="12"/>
    <n v="3"/>
    <n v="1.57"/>
    <n v="0"/>
    <n v="0"/>
    <n v="2"/>
    <n v="2.56"/>
    <x v="0"/>
  </r>
  <r>
    <x v="0"/>
    <s v="夕張市"/>
    <x v="19"/>
    <x v="13"/>
    <n v="18"/>
    <n v="9.42"/>
    <n v="5"/>
    <n v="4.72"/>
    <n v="9"/>
    <n v="11.54"/>
    <x v="0"/>
  </r>
  <r>
    <x v="0"/>
    <s v="夕張市"/>
    <x v="19"/>
    <x v="14"/>
    <n v="9"/>
    <n v="4.71"/>
    <n v="6"/>
    <n v="5.66"/>
    <n v="3"/>
    <n v="3.85"/>
    <x v="0"/>
  </r>
  <r>
    <x v="0"/>
    <s v="岩見沢市"/>
    <x v="20"/>
    <x v="0"/>
    <n v="0"/>
    <n v="0"/>
    <n v="0"/>
    <n v="0"/>
    <n v="0"/>
    <n v="0"/>
    <x v="0"/>
  </r>
  <r>
    <x v="0"/>
    <s v="岩見沢市"/>
    <x v="20"/>
    <x v="1"/>
    <n v="216"/>
    <n v="13.02"/>
    <n v="51"/>
    <n v="6.38"/>
    <n v="165"/>
    <n v="20.350000000000001"/>
    <x v="0"/>
  </r>
  <r>
    <x v="0"/>
    <s v="岩見沢市"/>
    <x v="20"/>
    <x v="2"/>
    <n v="73"/>
    <n v="4.4000000000000004"/>
    <n v="20"/>
    <n v="2.5"/>
    <n v="52"/>
    <n v="6.41"/>
    <x v="1"/>
  </r>
  <r>
    <x v="0"/>
    <s v="岩見沢市"/>
    <x v="20"/>
    <x v="3"/>
    <n v="3"/>
    <n v="0.18"/>
    <n v="0"/>
    <n v="0"/>
    <n v="2"/>
    <n v="0.25"/>
    <x v="0"/>
  </r>
  <r>
    <x v="0"/>
    <s v="岩見沢市"/>
    <x v="20"/>
    <x v="4"/>
    <n v="22"/>
    <n v="1.33"/>
    <n v="2"/>
    <n v="0.25"/>
    <n v="20"/>
    <n v="2.4700000000000002"/>
    <x v="0"/>
  </r>
  <r>
    <x v="0"/>
    <s v="岩見沢市"/>
    <x v="20"/>
    <x v="5"/>
    <n v="17"/>
    <n v="1.02"/>
    <n v="1"/>
    <n v="0.13"/>
    <n v="16"/>
    <n v="1.97"/>
    <x v="0"/>
  </r>
  <r>
    <x v="0"/>
    <s v="岩見沢市"/>
    <x v="20"/>
    <x v="6"/>
    <n v="349"/>
    <n v="21.04"/>
    <n v="109"/>
    <n v="13.64"/>
    <n v="239"/>
    <n v="29.47"/>
    <x v="1"/>
  </r>
  <r>
    <x v="0"/>
    <s v="岩見沢市"/>
    <x v="20"/>
    <x v="7"/>
    <n v="13"/>
    <n v="0.78"/>
    <n v="3"/>
    <n v="0.38"/>
    <n v="10"/>
    <n v="1.23"/>
    <x v="0"/>
  </r>
  <r>
    <x v="0"/>
    <s v="岩見沢市"/>
    <x v="20"/>
    <x v="8"/>
    <n v="219"/>
    <n v="13.2"/>
    <n v="124"/>
    <n v="15.52"/>
    <n v="94"/>
    <n v="11.59"/>
    <x v="0"/>
  </r>
  <r>
    <x v="0"/>
    <s v="岩見沢市"/>
    <x v="20"/>
    <x v="9"/>
    <n v="86"/>
    <n v="5.18"/>
    <n v="40"/>
    <n v="5.01"/>
    <n v="40"/>
    <n v="4.93"/>
    <x v="14"/>
  </r>
  <r>
    <x v="0"/>
    <s v="岩見沢市"/>
    <x v="20"/>
    <x v="10"/>
    <n v="209"/>
    <n v="12.6"/>
    <n v="168"/>
    <n v="21.03"/>
    <n v="41"/>
    <n v="5.0599999999999996"/>
    <x v="0"/>
  </r>
  <r>
    <x v="0"/>
    <s v="岩見沢市"/>
    <x v="20"/>
    <x v="11"/>
    <n v="228"/>
    <n v="13.74"/>
    <n v="184"/>
    <n v="23.03"/>
    <n v="43"/>
    <n v="5.3"/>
    <x v="0"/>
  </r>
  <r>
    <x v="0"/>
    <s v="岩見沢市"/>
    <x v="20"/>
    <x v="12"/>
    <n v="47"/>
    <n v="2.83"/>
    <n v="33"/>
    <n v="4.13"/>
    <n v="7"/>
    <n v="0.86"/>
    <x v="1"/>
  </r>
  <r>
    <x v="0"/>
    <s v="岩見沢市"/>
    <x v="20"/>
    <x v="13"/>
    <n v="121"/>
    <n v="7.29"/>
    <n v="49"/>
    <n v="6.13"/>
    <n v="48"/>
    <n v="5.92"/>
    <x v="3"/>
  </r>
  <r>
    <x v="0"/>
    <s v="岩見沢市"/>
    <x v="20"/>
    <x v="14"/>
    <n v="56"/>
    <n v="3.38"/>
    <n v="15"/>
    <n v="1.88"/>
    <n v="34"/>
    <n v="4.1900000000000004"/>
    <x v="12"/>
  </r>
  <r>
    <x v="0"/>
    <s v="網走市"/>
    <x v="21"/>
    <x v="0"/>
    <n v="2"/>
    <n v="0.23"/>
    <n v="0"/>
    <n v="0"/>
    <n v="2"/>
    <n v="0.48"/>
    <x v="0"/>
  </r>
  <r>
    <x v="0"/>
    <s v="網走市"/>
    <x v="21"/>
    <x v="1"/>
    <n v="115"/>
    <n v="12.99"/>
    <n v="33"/>
    <n v="7.3"/>
    <n v="82"/>
    <n v="19.760000000000002"/>
    <x v="0"/>
  </r>
  <r>
    <x v="0"/>
    <s v="網走市"/>
    <x v="21"/>
    <x v="2"/>
    <n v="56"/>
    <n v="6.33"/>
    <n v="9"/>
    <n v="1.99"/>
    <n v="47"/>
    <n v="11.33"/>
    <x v="0"/>
  </r>
  <r>
    <x v="0"/>
    <s v="網走市"/>
    <x v="21"/>
    <x v="3"/>
    <n v="0"/>
    <n v="0"/>
    <n v="0"/>
    <n v="0"/>
    <n v="0"/>
    <n v="0"/>
    <x v="0"/>
  </r>
  <r>
    <x v="0"/>
    <s v="網走市"/>
    <x v="21"/>
    <x v="4"/>
    <n v="8"/>
    <n v="0.9"/>
    <n v="1"/>
    <n v="0.22"/>
    <n v="7"/>
    <n v="1.69"/>
    <x v="0"/>
  </r>
  <r>
    <x v="0"/>
    <s v="網走市"/>
    <x v="21"/>
    <x v="5"/>
    <n v="10"/>
    <n v="1.1299999999999999"/>
    <n v="1"/>
    <n v="0.22"/>
    <n v="8"/>
    <n v="1.93"/>
    <x v="1"/>
  </r>
  <r>
    <x v="0"/>
    <s v="網走市"/>
    <x v="21"/>
    <x v="6"/>
    <n v="199"/>
    <n v="22.49"/>
    <n v="83"/>
    <n v="18.36"/>
    <n v="114"/>
    <n v="27.47"/>
    <x v="14"/>
  </r>
  <r>
    <x v="0"/>
    <s v="網走市"/>
    <x v="21"/>
    <x v="7"/>
    <n v="6"/>
    <n v="0.68"/>
    <n v="0"/>
    <n v="0"/>
    <n v="6"/>
    <n v="1.45"/>
    <x v="0"/>
  </r>
  <r>
    <x v="0"/>
    <s v="網走市"/>
    <x v="21"/>
    <x v="8"/>
    <n v="127"/>
    <n v="14.35"/>
    <n v="81"/>
    <n v="17.920000000000002"/>
    <n v="44"/>
    <n v="10.6"/>
    <x v="0"/>
  </r>
  <r>
    <x v="0"/>
    <s v="網走市"/>
    <x v="21"/>
    <x v="9"/>
    <n v="41"/>
    <n v="4.63"/>
    <n v="21"/>
    <n v="4.6500000000000004"/>
    <n v="18"/>
    <n v="4.34"/>
    <x v="0"/>
  </r>
  <r>
    <x v="0"/>
    <s v="網走市"/>
    <x v="21"/>
    <x v="10"/>
    <n v="113"/>
    <n v="12.77"/>
    <n v="88"/>
    <n v="19.47"/>
    <n v="25"/>
    <n v="6.02"/>
    <x v="0"/>
  </r>
  <r>
    <x v="0"/>
    <s v="網走市"/>
    <x v="21"/>
    <x v="11"/>
    <n v="123"/>
    <n v="13.9"/>
    <n v="96"/>
    <n v="21.24"/>
    <n v="27"/>
    <n v="6.51"/>
    <x v="0"/>
  </r>
  <r>
    <x v="0"/>
    <s v="網走市"/>
    <x v="21"/>
    <x v="12"/>
    <n v="16"/>
    <n v="1.81"/>
    <n v="8"/>
    <n v="1.77"/>
    <n v="4"/>
    <n v="0.96"/>
    <x v="1"/>
  </r>
  <r>
    <x v="0"/>
    <s v="網走市"/>
    <x v="21"/>
    <x v="13"/>
    <n v="43"/>
    <n v="4.8600000000000003"/>
    <n v="21"/>
    <n v="4.6500000000000004"/>
    <n v="18"/>
    <n v="4.34"/>
    <x v="0"/>
  </r>
  <r>
    <x v="0"/>
    <s v="網走市"/>
    <x v="21"/>
    <x v="14"/>
    <n v="26"/>
    <n v="2.94"/>
    <n v="10"/>
    <n v="2.21"/>
    <n v="13"/>
    <n v="3.13"/>
    <x v="12"/>
  </r>
  <r>
    <x v="0"/>
    <s v="留萌市"/>
    <x v="22"/>
    <x v="0"/>
    <n v="1"/>
    <n v="0.16"/>
    <n v="0"/>
    <n v="0"/>
    <n v="1"/>
    <n v="0.38"/>
    <x v="0"/>
  </r>
  <r>
    <x v="0"/>
    <s v="留萌市"/>
    <x v="22"/>
    <x v="1"/>
    <n v="73"/>
    <n v="11.97"/>
    <n v="29"/>
    <n v="8.76"/>
    <n v="44"/>
    <n v="16.54"/>
    <x v="0"/>
  </r>
  <r>
    <x v="0"/>
    <s v="留萌市"/>
    <x v="22"/>
    <x v="2"/>
    <n v="22"/>
    <n v="3.61"/>
    <n v="4"/>
    <n v="1.21"/>
    <n v="18"/>
    <n v="6.77"/>
    <x v="0"/>
  </r>
  <r>
    <x v="0"/>
    <s v="留萌市"/>
    <x v="22"/>
    <x v="3"/>
    <n v="1"/>
    <n v="0.16"/>
    <n v="0"/>
    <n v="0"/>
    <n v="1"/>
    <n v="0.38"/>
    <x v="0"/>
  </r>
  <r>
    <x v="0"/>
    <s v="留萌市"/>
    <x v="22"/>
    <x v="4"/>
    <n v="4"/>
    <n v="0.66"/>
    <n v="0"/>
    <n v="0"/>
    <n v="4"/>
    <n v="1.5"/>
    <x v="0"/>
  </r>
  <r>
    <x v="0"/>
    <s v="留萌市"/>
    <x v="22"/>
    <x v="5"/>
    <n v="12"/>
    <n v="1.97"/>
    <n v="3"/>
    <n v="0.91"/>
    <n v="9"/>
    <n v="3.38"/>
    <x v="0"/>
  </r>
  <r>
    <x v="0"/>
    <s v="留萌市"/>
    <x v="22"/>
    <x v="6"/>
    <n v="159"/>
    <n v="26.07"/>
    <n v="71"/>
    <n v="21.45"/>
    <n v="88"/>
    <n v="33.08"/>
    <x v="0"/>
  </r>
  <r>
    <x v="0"/>
    <s v="留萌市"/>
    <x v="22"/>
    <x v="7"/>
    <n v="8"/>
    <n v="1.31"/>
    <n v="0"/>
    <n v="0"/>
    <n v="8"/>
    <n v="3.01"/>
    <x v="0"/>
  </r>
  <r>
    <x v="0"/>
    <s v="留萌市"/>
    <x v="22"/>
    <x v="8"/>
    <n v="44"/>
    <n v="7.21"/>
    <n v="16"/>
    <n v="4.83"/>
    <n v="27"/>
    <n v="10.15"/>
    <x v="0"/>
  </r>
  <r>
    <x v="0"/>
    <s v="留萌市"/>
    <x v="22"/>
    <x v="9"/>
    <n v="26"/>
    <n v="4.26"/>
    <n v="16"/>
    <n v="4.83"/>
    <n v="9"/>
    <n v="3.38"/>
    <x v="0"/>
  </r>
  <r>
    <x v="0"/>
    <s v="留萌市"/>
    <x v="22"/>
    <x v="10"/>
    <n v="100"/>
    <n v="16.39"/>
    <n v="89"/>
    <n v="26.89"/>
    <n v="11"/>
    <n v="4.1399999999999997"/>
    <x v="0"/>
  </r>
  <r>
    <x v="0"/>
    <s v="留萌市"/>
    <x v="22"/>
    <x v="11"/>
    <n v="83"/>
    <n v="13.61"/>
    <n v="73"/>
    <n v="22.05"/>
    <n v="10"/>
    <n v="3.76"/>
    <x v="0"/>
  </r>
  <r>
    <x v="0"/>
    <s v="留萌市"/>
    <x v="22"/>
    <x v="12"/>
    <n v="9"/>
    <n v="1.48"/>
    <n v="7"/>
    <n v="2.11"/>
    <n v="1"/>
    <n v="0.38"/>
    <x v="0"/>
  </r>
  <r>
    <x v="0"/>
    <s v="留萌市"/>
    <x v="22"/>
    <x v="13"/>
    <n v="30"/>
    <n v="4.92"/>
    <n v="17"/>
    <n v="5.14"/>
    <n v="11"/>
    <n v="4.1399999999999997"/>
    <x v="0"/>
  </r>
  <r>
    <x v="0"/>
    <s v="留萌市"/>
    <x v="22"/>
    <x v="14"/>
    <n v="38"/>
    <n v="6.23"/>
    <n v="6"/>
    <n v="1.81"/>
    <n v="24"/>
    <n v="9.02"/>
    <x v="13"/>
  </r>
  <r>
    <x v="0"/>
    <s v="苫小牧市"/>
    <x v="23"/>
    <x v="0"/>
    <n v="1"/>
    <n v="0.03"/>
    <n v="0"/>
    <n v="0"/>
    <n v="1"/>
    <n v="0.05"/>
    <x v="0"/>
  </r>
  <r>
    <x v="0"/>
    <s v="苫小牧市"/>
    <x v="23"/>
    <x v="1"/>
    <n v="612"/>
    <n v="16.8"/>
    <n v="76"/>
    <n v="4.91"/>
    <n v="536"/>
    <n v="26.35"/>
    <x v="0"/>
  </r>
  <r>
    <x v="0"/>
    <s v="苫小牧市"/>
    <x v="23"/>
    <x v="2"/>
    <n v="182"/>
    <n v="5"/>
    <n v="19"/>
    <n v="1.23"/>
    <n v="162"/>
    <n v="7.96"/>
    <x v="1"/>
  </r>
  <r>
    <x v="0"/>
    <s v="苫小牧市"/>
    <x v="23"/>
    <x v="3"/>
    <n v="14"/>
    <n v="0.38"/>
    <n v="0"/>
    <n v="0"/>
    <n v="12"/>
    <n v="0.59"/>
    <x v="0"/>
  </r>
  <r>
    <x v="0"/>
    <s v="苫小牧市"/>
    <x v="23"/>
    <x v="4"/>
    <n v="19"/>
    <n v="0.52"/>
    <n v="2"/>
    <n v="0.13"/>
    <n v="17"/>
    <n v="0.84"/>
    <x v="0"/>
  </r>
  <r>
    <x v="0"/>
    <s v="苫小牧市"/>
    <x v="23"/>
    <x v="5"/>
    <n v="127"/>
    <n v="3.49"/>
    <n v="18"/>
    <n v="1.1599999999999999"/>
    <n v="109"/>
    <n v="5.36"/>
    <x v="0"/>
  </r>
  <r>
    <x v="0"/>
    <s v="苫小牧市"/>
    <x v="23"/>
    <x v="6"/>
    <n v="744"/>
    <n v="20.420000000000002"/>
    <n v="221"/>
    <n v="14.27"/>
    <n v="522"/>
    <n v="25.66"/>
    <x v="1"/>
  </r>
  <r>
    <x v="0"/>
    <s v="苫小牧市"/>
    <x v="23"/>
    <x v="7"/>
    <n v="40"/>
    <n v="1.1000000000000001"/>
    <n v="6"/>
    <n v="0.39"/>
    <n v="34"/>
    <n v="1.67"/>
    <x v="0"/>
  </r>
  <r>
    <x v="0"/>
    <s v="苫小牧市"/>
    <x v="23"/>
    <x v="8"/>
    <n v="233"/>
    <n v="6.4"/>
    <n v="97"/>
    <n v="6.26"/>
    <n v="129"/>
    <n v="6.34"/>
    <x v="0"/>
  </r>
  <r>
    <x v="0"/>
    <s v="苫小牧市"/>
    <x v="23"/>
    <x v="9"/>
    <n v="143"/>
    <n v="3.93"/>
    <n v="69"/>
    <n v="4.45"/>
    <n v="73"/>
    <n v="3.59"/>
    <x v="0"/>
  </r>
  <r>
    <x v="0"/>
    <s v="苫小牧市"/>
    <x v="23"/>
    <x v="10"/>
    <n v="527"/>
    <n v="14.47"/>
    <n v="400"/>
    <n v="25.82"/>
    <n v="126"/>
    <n v="6.19"/>
    <x v="0"/>
  </r>
  <r>
    <x v="0"/>
    <s v="苫小牧市"/>
    <x v="23"/>
    <x v="11"/>
    <n v="519"/>
    <n v="14.25"/>
    <n v="402"/>
    <n v="25.95"/>
    <n v="117"/>
    <n v="5.75"/>
    <x v="0"/>
  </r>
  <r>
    <x v="0"/>
    <s v="苫小牧市"/>
    <x v="23"/>
    <x v="12"/>
    <n v="132"/>
    <n v="3.62"/>
    <n v="101"/>
    <n v="6.52"/>
    <n v="27"/>
    <n v="1.33"/>
    <x v="0"/>
  </r>
  <r>
    <x v="0"/>
    <s v="苫小牧市"/>
    <x v="23"/>
    <x v="13"/>
    <n v="178"/>
    <n v="4.8899999999999997"/>
    <n v="97"/>
    <n v="6.26"/>
    <n v="67"/>
    <n v="3.29"/>
    <x v="1"/>
  </r>
  <r>
    <x v="0"/>
    <s v="苫小牧市"/>
    <x v="23"/>
    <x v="14"/>
    <n v="172"/>
    <n v="4.72"/>
    <n v="41"/>
    <n v="2.65"/>
    <n v="102"/>
    <n v="5.01"/>
    <x v="20"/>
  </r>
  <r>
    <x v="0"/>
    <s v="稚内市"/>
    <x v="24"/>
    <x v="0"/>
    <n v="2"/>
    <n v="0.21"/>
    <n v="0"/>
    <n v="0"/>
    <n v="2"/>
    <n v="0.43"/>
    <x v="0"/>
  </r>
  <r>
    <x v="0"/>
    <s v="稚内市"/>
    <x v="24"/>
    <x v="1"/>
    <n v="121"/>
    <n v="12.55"/>
    <n v="30"/>
    <n v="6.24"/>
    <n v="91"/>
    <n v="19.57"/>
    <x v="0"/>
  </r>
  <r>
    <x v="0"/>
    <s v="稚内市"/>
    <x v="24"/>
    <x v="2"/>
    <n v="60"/>
    <n v="6.22"/>
    <n v="11"/>
    <n v="2.29"/>
    <n v="48"/>
    <n v="10.32"/>
    <x v="1"/>
  </r>
  <r>
    <x v="0"/>
    <s v="稚内市"/>
    <x v="24"/>
    <x v="3"/>
    <n v="1"/>
    <n v="0.1"/>
    <n v="0"/>
    <n v="0"/>
    <n v="1"/>
    <n v="0.22"/>
    <x v="0"/>
  </r>
  <r>
    <x v="0"/>
    <s v="稚内市"/>
    <x v="24"/>
    <x v="4"/>
    <n v="8"/>
    <n v="0.83"/>
    <n v="0"/>
    <n v="0"/>
    <n v="8"/>
    <n v="1.72"/>
    <x v="0"/>
  </r>
  <r>
    <x v="0"/>
    <s v="稚内市"/>
    <x v="24"/>
    <x v="5"/>
    <n v="10"/>
    <n v="1.04"/>
    <n v="1"/>
    <n v="0.21"/>
    <n v="9"/>
    <n v="1.94"/>
    <x v="0"/>
  </r>
  <r>
    <x v="0"/>
    <s v="稚内市"/>
    <x v="24"/>
    <x v="6"/>
    <n v="219"/>
    <n v="22.72"/>
    <n v="72"/>
    <n v="14.97"/>
    <n v="147"/>
    <n v="31.61"/>
    <x v="0"/>
  </r>
  <r>
    <x v="0"/>
    <s v="稚内市"/>
    <x v="24"/>
    <x v="7"/>
    <n v="15"/>
    <n v="1.56"/>
    <n v="2"/>
    <n v="0.42"/>
    <n v="13"/>
    <n v="2.8"/>
    <x v="0"/>
  </r>
  <r>
    <x v="0"/>
    <s v="稚内市"/>
    <x v="24"/>
    <x v="8"/>
    <n v="85"/>
    <n v="8.82"/>
    <n v="48"/>
    <n v="9.98"/>
    <n v="35"/>
    <n v="7.53"/>
    <x v="0"/>
  </r>
  <r>
    <x v="0"/>
    <s v="稚内市"/>
    <x v="24"/>
    <x v="9"/>
    <n v="29"/>
    <n v="3.01"/>
    <n v="14"/>
    <n v="2.91"/>
    <n v="13"/>
    <n v="2.8"/>
    <x v="1"/>
  </r>
  <r>
    <x v="0"/>
    <s v="稚内市"/>
    <x v="24"/>
    <x v="10"/>
    <n v="176"/>
    <n v="18.260000000000002"/>
    <n v="153"/>
    <n v="31.81"/>
    <n v="23"/>
    <n v="4.95"/>
    <x v="0"/>
  </r>
  <r>
    <x v="0"/>
    <s v="稚内市"/>
    <x v="24"/>
    <x v="11"/>
    <n v="132"/>
    <n v="13.69"/>
    <n v="114"/>
    <n v="23.7"/>
    <n v="18"/>
    <n v="3.87"/>
    <x v="0"/>
  </r>
  <r>
    <x v="0"/>
    <s v="稚内市"/>
    <x v="24"/>
    <x v="12"/>
    <n v="19"/>
    <n v="1.97"/>
    <n v="9"/>
    <n v="1.87"/>
    <n v="5"/>
    <n v="1.08"/>
    <x v="0"/>
  </r>
  <r>
    <x v="0"/>
    <s v="稚内市"/>
    <x v="24"/>
    <x v="13"/>
    <n v="40"/>
    <n v="4.1500000000000004"/>
    <n v="18"/>
    <n v="3.74"/>
    <n v="18"/>
    <n v="3.87"/>
    <x v="0"/>
  </r>
  <r>
    <x v="0"/>
    <s v="稚内市"/>
    <x v="24"/>
    <x v="14"/>
    <n v="47"/>
    <n v="4.88"/>
    <n v="9"/>
    <n v="1.87"/>
    <n v="34"/>
    <n v="7.31"/>
    <x v="14"/>
  </r>
  <r>
    <x v="0"/>
    <s v="美唄市"/>
    <x v="25"/>
    <x v="0"/>
    <n v="0"/>
    <n v="0"/>
    <n v="0"/>
    <n v="0"/>
    <n v="0"/>
    <n v="0"/>
    <x v="0"/>
  </r>
  <r>
    <x v="0"/>
    <s v="美唄市"/>
    <x v="25"/>
    <x v="1"/>
    <n v="81"/>
    <n v="16.23"/>
    <n v="32"/>
    <n v="11.59"/>
    <n v="49"/>
    <n v="22.69"/>
    <x v="0"/>
  </r>
  <r>
    <x v="0"/>
    <s v="美唄市"/>
    <x v="25"/>
    <x v="2"/>
    <n v="32"/>
    <n v="6.41"/>
    <n v="3"/>
    <n v="1.0900000000000001"/>
    <n v="29"/>
    <n v="13.43"/>
    <x v="0"/>
  </r>
  <r>
    <x v="0"/>
    <s v="美唄市"/>
    <x v="25"/>
    <x v="3"/>
    <n v="2"/>
    <n v="0.4"/>
    <n v="0"/>
    <n v="0"/>
    <n v="1"/>
    <n v="0.46"/>
    <x v="0"/>
  </r>
  <r>
    <x v="0"/>
    <s v="美唄市"/>
    <x v="25"/>
    <x v="4"/>
    <n v="3"/>
    <n v="0.6"/>
    <n v="0"/>
    <n v="0"/>
    <n v="3"/>
    <n v="1.39"/>
    <x v="0"/>
  </r>
  <r>
    <x v="0"/>
    <s v="美唄市"/>
    <x v="25"/>
    <x v="5"/>
    <n v="4"/>
    <n v="0.8"/>
    <n v="1"/>
    <n v="0.36"/>
    <n v="3"/>
    <n v="1.39"/>
    <x v="0"/>
  </r>
  <r>
    <x v="0"/>
    <s v="美唄市"/>
    <x v="25"/>
    <x v="6"/>
    <n v="122"/>
    <n v="24.45"/>
    <n v="55"/>
    <n v="19.93"/>
    <n v="66"/>
    <n v="30.56"/>
    <x v="1"/>
  </r>
  <r>
    <x v="0"/>
    <s v="美唄市"/>
    <x v="25"/>
    <x v="7"/>
    <n v="3"/>
    <n v="0.6"/>
    <n v="1"/>
    <n v="0.36"/>
    <n v="2"/>
    <n v="0.93"/>
    <x v="0"/>
  </r>
  <r>
    <x v="0"/>
    <s v="美唄市"/>
    <x v="25"/>
    <x v="8"/>
    <n v="58"/>
    <n v="11.62"/>
    <n v="35"/>
    <n v="12.68"/>
    <n v="23"/>
    <n v="10.65"/>
    <x v="0"/>
  </r>
  <r>
    <x v="0"/>
    <s v="美唄市"/>
    <x v="25"/>
    <x v="9"/>
    <n v="7"/>
    <n v="1.4"/>
    <n v="4"/>
    <n v="1.45"/>
    <n v="3"/>
    <n v="1.39"/>
    <x v="0"/>
  </r>
  <r>
    <x v="0"/>
    <s v="美唄市"/>
    <x v="25"/>
    <x v="10"/>
    <n v="63"/>
    <n v="12.63"/>
    <n v="53"/>
    <n v="19.2"/>
    <n v="10"/>
    <n v="4.63"/>
    <x v="0"/>
  </r>
  <r>
    <x v="0"/>
    <s v="美唄市"/>
    <x v="25"/>
    <x v="11"/>
    <n v="75"/>
    <n v="15.03"/>
    <n v="62"/>
    <n v="22.46"/>
    <n v="11"/>
    <n v="5.09"/>
    <x v="1"/>
  </r>
  <r>
    <x v="0"/>
    <s v="美唄市"/>
    <x v="25"/>
    <x v="12"/>
    <n v="14"/>
    <n v="2.81"/>
    <n v="11"/>
    <n v="3.99"/>
    <n v="2"/>
    <n v="0.93"/>
    <x v="0"/>
  </r>
  <r>
    <x v="0"/>
    <s v="美唄市"/>
    <x v="25"/>
    <x v="13"/>
    <n v="18"/>
    <n v="3.61"/>
    <n v="15"/>
    <n v="5.43"/>
    <n v="3"/>
    <n v="1.39"/>
    <x v="0"/>
  </r>
  <r>
    <x v="0"/>
    <s v="美唄市"/>
    <x v="25"/>
    <x v="14"/>
    <n v="17"/>
    <n v="3.41"/>
    <n v="4"/>
    <n v="1.45"/>
    <n v="11"/>
    <n v="5.09"/>
    <x v="1"/>
  </r>
  <r>
    <x v="0"/>
    <s v="芦別市"/>
    <x v="26"/>
    <x v="0"/>
    <n v="0"/>
    <n v="0"/>
    <n v="0"/>
    <n v="0"/>
    <n v="0"/>
    <n v="0"/>
    <x v="0"/>
  </r>
  <r>
    <x v="0"/>
    <s v="芦別市"/>
    <x v="26"/>
    <x v="1"/>
    <n v="32"/>
    <n v="9.33"/>
    <n v="8"/>
    <n v="4.49"/>
    <n v="24"/>
    <n v="15.69"/>
    <x v="0"/>
  </r>
  <r>
    <x v="0"/>
    <s v="芦別市"/>
    <x v="26"/>
    <x v="2"/>
    <n v="23"/>
    <n v="6.71"/>
    <n v="7"/>
    <n v="3.93"/>
    <n v="16"/>
    <n v="10.46"/>
    <x v="0"/>
  </r>
  <r>
    <x v="0"/>
    <s v="芦別市"/>
    <x v="26"/>
    <x v="3"/>
    <n v="1"/>
    <n v="0.28999999999999998"/>
    <n v="0"/>
    <n v="0"/>
    <n v="0"/>
    <n v="0"/>
    <x v="0"/>
  </r>
  <r>
    <x v="0"/>
    <s v="芦別市"/>
    <x v="26"/>
    <x v="4"/>
    <n v="2"/>
    <n v="0.57999999999999996"/>
    <n v="0"/>
    <n v="0"/>
    <n v="2"/>
    <n v="1.31"/>
    <x v="0"/>
  </r>
  <r>
    <x v="0"/>
    <s v="芦別市"/>
    <x v="26"/>
    <x v="5"/>
    <n v="2"/>
    <n v="0.57999999999999996"/>
    <n v="2"/>
    <n v="1.1200000000000001"/>
    <n v="0"/>
    <n v="0"/>
    <x v="0"/>
  </r>
  <r>
    <x v="0"/>
    <s v="芦別市"/>
    <x v="26"/>
    <x v="6"/>
    <n v="79"/>
    <n v="23.03"/>
    <n v="30"/>
    <n v="16.850000000000001"/>
    <n v="49"/>
    <n v="32.03"/>
    <x v="0"/>
  </r>
  <r>
    <x v="0"/>
    <s v="芦別市"/>
    <x v="26"/>
    <x v="7"/>
    <n v="6"/>
    <n v="1.75"/>
    <n v="1"/>
    <n v="0.56000000000000005"/>
    <n v="5"/>
    <n v="3.27"/>
    <x v="0"/>
  </r>
  <r>
    <x v="0"/>
    <s v="芦別市"/>
    <x v="26"/>
    <x v="8"/>
    <n v="21"/>
    <n v="6.12"/>
    <n v="11"/>
    <n v="6.18"/>
    <n v="9"/>
    <n v="5.88"/>
    <x v="0"/>
  </r>
  <r>
    <x v="0"/>
    <s v="芦別市"/>
    <x v="26"/>
    <x v="9"/>
    <n v="3"/>
    <n v="0.87"/>
    <n v="3"/>
    <n v="1.69"/>
    <n v="0"/>
    <n v="0"/>
    <x v="0"/>
  </r>
  <r>
    <x v="0"/>
    <s v="芦別市"/>
    <x v="26"/>
    <x v="10"/>
    <n v="60"/>
    <n v="17.489999999999998"/>
    <n v="57"/>
    <n v="32.020000000000003"/>
    <n v="3"/>
    <n v="1.96"/>
    <x v="0"/>
  </r>
  <r>
    <x v="0"/>
    <s v="芦別市"/>
    <x v="26"/>
    <x v="11"/>
    <n v="55"/>
    <n v="16.03"/>
    <n v="47"/>
    <n v="26.4"/>
    <n v="5"/>
    <n v="3.27"/>
    <x v="14"/>
  </r>
  <r>
    <x v="0"/>
    <s v="芦別市"/>
    <x v="26"/>
    <x v="12"/>
    <n v="4"/>
    <n v="1.17"/>
    <n v="3"/>
    <n v="1.69"/>
    <n v="1"/>
    <n v="0.65"/>
    <x v="0"/>
  </r>
  <r>
    <x v="0"/>
    <s v="芦別市"/>
    <x v="26"/>
    <x v="13"/>
    <n v="34"/>
    <n v="9.91"/>
    <n v="5"/>
    <n v="2.81"/>
    <n v="24"/>
    <n v="15.69"/>
    <x v="0"/>
  </r>
  <r>
    <x v="0"/>
    <s v="芦別市"/>
    <x v="26"/>
    <x v="14"/>
    <n v="21"/>
    <n v="6.12"/>
    <n v="4"/>
    <n v="2.25"/>
    <n v="15"/>
    <n v="9.8000000000000007"/>
    <x v="1"/>
  </r>
  <r>
    <x v="0"/>
    <s v="江別市"/>
    <x v="27"/>
    <x v="0"/>
    <n v="0"/>
    <n v="0"/>
    <n v="0"/>
    <n v="0"/>
    <n v="0"/>
    <n v="0"/>
    <x v="0"/>
  </r>
  <r>
    <x v="0"/>
    <s v="江別市"/>
    <x v="27"/>
    <x v="1"/>
    <n v="310"/>
    <n v="17"/>
    <n v="52"/>
    <n v="5.85"/>
    <n v="258"/>
    <n v="28.01"/>
    <x v="0"/>
  </r>
  <r>
    <x v="0"/>
    <s v="江別市"/>
    <x v="27"/>
    <x v="2"/>
    <n v="73"/>
    <n v="4"/>
    <n v="7"/>
    <n v="0.79"/>
    <n v="66"/>
    <n v="7.17"/>
    <x v="0"/>
  </r>
  <r>
    <x v="0"/>
    <s v="江別市"/>
    <x v="27"/>
    <x v="3"/>
    <n v="0"/>
    <n v="0"/>
    <n v="0"/>
    <n v="0"/>
    <n v="0"/>
    <n v="0"/>
    <x v="0"/>
  </r>
  <r>
    <x v="0"/>
    <s v="江別市"/>
    <x v="27"/>
    <x v="4"/>
    <n v="19"/>
    <n v="1.04"/>
    <n v="1"/>
    <n v="0.11"/>
    <n v="18"/>
    <n v="1.95"/>
    <x v="0"/>
  </r>
  <r>
    <x v="0"/>
    <s v="江別市"/>
    <x v="27"/>
    <x v="5"/>
    <n v="37"/>
    <n v="2.0299999999999998"/>
    <n v="12"/>
    <n v="1.35"/>
    <n v="25"/>
    <n v="2.71"/>
    <x v="0"/>
  </r>
  <r>
    <x v="0"/>
    <s v="江別市"/>
    <x v="27"/>
    <x v="6"/>
    <n v="350"/>
    <n v="19.2"/>
    <n v="109"/>
    <n v="12.26"/>
    <n v="240"/>
    <n v="26.06"/>
    <x v="1"/>
  </r>
  <r>
    <x v="0"/>
    <s v="江別市"/>
    <x v="27"/>
    <x v="7"/>
    <n v="11"/>
    <n v="0.6"/>
    <n v="4"/>
    <n v="0.45"/>
    <n v="7"/>
    <n v="0.76"/>
    <x v="0"/>
  </r>
  <r>
    <x v="0"/>
    <s v="江別市"/>
    <x v="27"/>
    <x v="8"/>
    <n v="160"/>
    <n v="8.7799999999999994"/>
    <n v="99"/>
    <n v="11.14"/>
    <n v="61"/>
    <n v="6.62"/>
    <x v="0"/>
  </r>
  <r>
    <x v="0"/>
    <s v="江別市"/>
    <x v="27"/>
    <x v="9"/>
    <n v="87"/>
    <n v="4.7699999999999996"/>
    <n v="45"/>
    <n v="5.0599999999999996"/>
    <n v="42"/>
    <n v="4.5599999999999996"/>
    <x v="0"/>
  </r>
  <r>
    <x v="0"/>
    <s v="江別市"/>
    <x v="27"/>
    <x v="10"/>
    <n v="189"/>
    <n v="10.37"/>
    <n v="142"/>
    <n v="15.97"/>
    <n v="47"/>
    <n v="5.0999999999999996"/>
    <x v="0"/>
  </r>
  <r>
    <x v="0"/>
    <s v="江別市"/>
    <x v="27"/>
    <x v="11"/>
    <n v="243"/>
    <n v="13.33"/>
    <n v="194"/>
    <n v="21.82"/>
    <n v="49"/>
    <n v="5.32"/>
    <x v="0"/>
  </r>
  <r>
    <x v="0"/>
    <s v="江別市"/>
    <x v="27"/>
    <x v="12"/>
    <n v="121"/>
    <n v="6.64"/>
    <n v="98"/>
    <n v="11.02"/>
    <n v="19"/>
    <n v="2.06"/>
    <x v="0"/>
  </r>
  <r>
    <x v="0"/>
    <s v="江別市"/>
    <x v="27"/>
    <x v="13"/>
    <n v="165"/>
    <n v="9.0500000000000007"/>
    <n v="107"/>
    <n v="12.04"/>
    <n v="51"/>
    <n v="5.54"/>
    <x v="0"/>
  </r>
  <r>
    <x v="0"/>
    <s v="江別市"/>
    <x v="27"/>
    <x v="14"/>
    <n v="58"/>
    <n v="3.18"/>
    <n v="19"/>
    <n v="2.14"/>
    <n v="38"/>
    <n v="4.13"/>
    <x v="1"/>
  </r>
  <r>
    <x v="0"/>
    <s v="赤平市"/>
    <x v="28"/>
    <x v="0"/>
    <n v="0"/>
    <n v="0"/>
    <n v="0"/>
    <n v="0"/>
    <n v="0"/>
    <n v="0"/>
    <x v="0"/>
  </r>
  <r>
    <x v="0"/>
    <s v="赤平市"/>
    <x v="28"/>
    <x v="1"/>
    <n v="32"/>
    <n v="13.33"/>
    <n v="11"/>
    <n v="9.91"/>
    <n v="21"/>
    <n v="18.920000000000002"/>
    <x v="0"/>
  </r>
  <r>
    <x v="0"/>
    <s v="赤平市"/>
    <x v="28"/>
    <x v="2"/>
    <n v="12"/>
    <n v="5"/>
    <n v="1"/>
    <n v="0.9"/>
    <n v="11"/>
    <n v="9.91"/>
    <x v="0"/>
  </r>
  <r>
    <x v="0"/>
    <s v="赤平市"/>
    <x v="28"/>
    <x v="3"/>
    <n v="1"/>
    <n v="0.42"/>
    <n v="0"/>
    <n v="0"/>
    <n v="0"/>
    <n v="0"/>
    <x v="0"/>
  </r>
  <r>
    <x v="0"/>
    <s v="赤平市"/>
    <x v="28"/>
    <x v="4"/>
    <n v="1"/>
    <n v="0.42"/>
    <n v="0"/>
    <n v="0"/>
    <n v="1"/>
    <n v="0.9"/>
    <x v="0"/>
  </r>
  <r>
    <x v="0"/>
    <s v="赤平市"/>
    <x v="28"/>
    <x v="5"/>
    <n v="2"/>
    <n v="0.83"/>
    <n v="0"/>
    <n v="0"/>
    <n v="2"/>
    <n v="1.8"/>
    <x v="0"/>
  </r>
  <r>
    <x v="0"/>
    <s v="赤平市"/>
    <x v="28"/>
    <x v="6"/>
    <n v="75"/>
    <n v="31.25"/>
    <n v="26"/>
    <n v="23.42"/>
    <n v="47"/>
    <n v="42.34"/>
    <x v="14"/>
  </r>
  <r>
    <x v="0"/>
    <s v="赤平市"/>
    <x v="28"/>
    <x v="7"/>
    <n v="0"/>
    <n v="0"/>
    <n v="0"/>
    <n v="0"/>
    <n v="0"/>
    <n v="0"/>
    <x v="0"/>
  </r>
  <r>
    <x v="0"/>
    <s v="赤平市"/>
    <x v="28"/>
    <x v="8"/>
    <n v="5"/>
    <n v="2.08"/>
    <n v="2"/>
    <n v="1.8"/>
    <n v="3"/>
    <n v="2.7"/>
    <x v="0"/>
  </r>
  <r>
    <x v="0"/>
    <s v="赤平市"/>
    <x v="28"/>
    <x v="9"/>
    <n v="3"/>
    <n v="1.25"/>
    <n v="1"/>
    <n v="0.9"/>
    <n v="2"/>
    <n v="1.8"/>
    <x v="0"/>
  </r>
  <r>
    <x v="0"/>
    <s v="赤平市"/>
    <x v="28"/>
    <x v="10"/>
    <n v="36"/>
    <n v="15"/>
    <n v="25"/>
    <n v="22.52"/>
    <n v="10"/>
    <n v="9.01"/>
    <x v="0"/>
  </r>
  <r>
    <x v="0"/>
    <s v="赤平市"/>
    <x v="28"/>
    <x v="11"/>
    <n v="42"/>
    <n v="17.5"/>
    <n v="35"/>
    <n v="31.53"/>
    <n v="7"/>
    <n v="6.31"/>
    <x v="0"/>
  </r>
  <r>
    <x v="0"/>
    <s v="赤平市"/>
    <x v="28"/>
    <x v="12"/>
    <n v="5"/>
    <n v="2.08"/>
    <n v="2"/>
    <n v="1.8"/>
    <n v="0"/>
    <n v="0"/>
    <x v="0"/>
  </r>
  <r>
    <x v="0"/>
    <s v="赤平市"/>
    <x v="28"/>
    <x v="13"/>
    <n v="20"/>
    <n v="8.33"/>
    <n v="6"/>
    <n v="5.41"/>
    <n v="4"/>
    <n v="3.6"/>
    <x v="0"/>
  </r>
  <r>
    <x v="0"/>
    <s v="赤平市"/>
    <x v="28"/>
    <x v="14"/>
    <n v="6"/>
    <n v="2.5"/>
    <n v="2"/>
    <n v="1.8"/>
    <n v="3"/>
    <n v="2.7"/>
    <x v="0"/>
  </r>
  <r>
    <x v="0"/>
    <s v="紋別市"/>
    <x v="29"/>
    <x v="0"/>
    <n v="0"/>
    <n v="0"/>
    <n v="0"/>
    <n v="0"/>
    <n v="0"/>
    <n v="0"/>
    <x v="0"/>
  </r>
  <r>
    <x v="0"/>
    <s v="紋別市"/>
    <x v="29"/>
    <x v="1"/>
    <n v="86"/>
    <n v="10.94"/>
    <n v="40"/>
    <n v="8.9499999999999993"/>
    <n v="46"/>
    <n v="14.6"/>
    <x v="0"/>
  </r>
  <r>
    <x v="0"/>
    <s v="紋別市"/>
    <x v="29"/>
    <x v="2"/>
    <n v="47"/>
    <n v="5.98"/>
    <n v="16"/>
    <n v="3.58"/>
    <n v="31"/>
    <n v="9.84"/>
    <x v="0"/>
  </r>
  <r>
    <x v="0"/>
    <s v="紋別市"/>
    <x v="29"/>
    <x v="3"/>
    <n v="1"/>
    <n v="0.13"/>
    <n v="0"/>
    <n v="0"/>
    <n v="1"/>
    <n v="0.32"/>
    <x v="0"/>
  </r>
  <r>
    <x v="0"/>
    <s v="紋別市"/>
    <x v="29"/>
    <x v="4"/>
    <n v="6"/>
    <n v="0.76"/>
    <n v="1"/>
    <n v="0.22"/>
    <n v="5"/>
    <n v="1.59"/>
    <x v="0"/>
  </r>
  <r>
    <x v="0"/>
    <s v="紋別市"/>
    <x v="29"/>
    <x v="5"/>
    <n v="16"/>
    <n v="2.04"/>
    <n v="3"/>
    <n v="0.67"/>
    <n v="13"/>
    <n v="4.13"/>
    <x v="0"/>
  </r>
  <r>
    <x v="0"/>
    <s v="紋別市"/>
    <x v="29"/>
    <x v="6"/>
    <n v="183"/>
    <n v="23.28"/>
    <n v="67"/>
    <n v="14.99"/>
    <n v="116"/>
    <n v="36.83"/>
    <x v="0"/>
  </r>
  <r>
    <x v="0"/>
    <s v="紋別市"/>
    <x v="29"/>
    <x v="7"/>
    <n v="15"/>
    <n v="1.91"/>
    <n v="1"/>
    <n v="0.22"/>
    <n v="14"/>
    <n v="4.4400000000000004"/>
    <x v="0"/>
  </r>
  <r>
    <x v="0"/>
    <s v="紋別市"/>
    <x v="29"/>
    <x v="8"/>
    <n v="73"/>
    <n v="9.2899999999999991"/>
    <n v="48"/>
    <n v="10.74"/>
    <n v="25"/>
    <n v="7.94"/>
    <x v="0"/>
  </r>
  <r>
    <x v="0"/>
    <s v="紋別市"/>
    <x v="29"/>
    <x v="9"/>
    <n v="28"/>
    <n v="3.56"/>
    <n v="18"/>
    <n v="4.03"/>
    <n v="6"/>
    <n v="1.9"/>
    <x v="12"/>
  </r>
  <r>
    <x v="0"/>
    <s v="紋別市"/>
    <x v="29"/>
    <x v="10"/>
    <n v="153"/>
    <n v="19.47"/>
    <n v="123"/>
    <n v="27.52"/>
    <n v="29"/>
    <n v="9.2100000000000009"/>
    <x v="0"/>
  </r>
  <r>
    <x v="0"/>
    <s v="紋別市"/>
    <x v="29"/>
    <x v="11"/>
    <n v="100"/>
    <n v="12.72"/>
    <n v="88"/>
    <n v="19.690000000000001"/>
    <n v="12"/>
    <n v="3.81"/>
    <x v="0"/>
  </r>
  <r>
    <x v="0"/>
    <s v="紋別市"/>
    <x v="29"/>
    <x v="12"/>
    <n v="15"/>
    <n v="1.91"/>
    <n v="12"/>
    <n v="2.68"/>
    <n v="2"/>
    <n v="0.63"/>
    <x v="0"/>
  </r>
  <r>
    <x v="0"/>
    <s v="紋別市"/>
    <x v="29"/>
    <x v="13"/>
    <n v="33"/>
    <n v="4.2"/>
    <n v="14"/>
    <n v="3.13"/>
    <n v="4"/>
    <n v="1.27"/>
    <x v="0"/>
  </r>
  <r>
    <x v="0"/>
    <s v="紋別市"/>
    <x v="29"/>
    <x v="14"/>
    <n v="30"/>
    <n v="3.82"/>
    <n v="16"/>
    <n v="3.58"/>
    <n v="11"/>
    <n v="3.49"/>
    <x v="1"/>
  </r>
  <r>
    <x v="0"/>
    <s v="士別市"/>
    <x v="30"/>
    <x v="0"/>
    <n v="1"/>
    <n v="0.17"/>
    <n v="0"/>
    <n v="0"/>
    <n v="1"/>
    <n v="0.45"/>
    <x v="0"/>
  </r>
  <r>
    <x v="0"/>
    <s v="士別市"/>
    <x v="30"/>
    <x v="1"/>
    <n v="68"/>
    <n v="11.64"/>
    <n v="24"/>
    <n v="6.98"/>
    <n v="44"/>
    <n v="19.82"/>
    <x v="0"/>
  </r>
  <r>
    <x v="0"/>
    <s v="士別市"/>
    <x v="30"/>
    <x v="2"/>
    <n v="37"/>
    <n v="6.34"/>
    <n v="6"/>
    <n v="1.74"/>
    <n v="30"/>
    <n v="13.51"/>
    <x v="0"/>
  </r>
  <r>
    <x v="0"/>
    <s v="士別市"/>
    <x v="30"/>
    <x v="3"/>
    <n v="3"/>
    <n v="0.51"/>
    <n v="0"/>
    <n v="0"/>
    <n v="2"/>
    <n v="0.9"/>
    <x v="0"/>
  </r>
  <r>
    <x v="0"/>
    <s v="士別市"/>
    <x v="30"/>
    <x v="4"/>
    <n v="1"/>
    <n v="0.17"/>
    <n v="0"/>
    <n v="0"/>
    <n v="1"/>
    <n v="0.45"/>
    <x v="0"/>
  </r>
  <r>
    <x v="0"/>
    <s v="士別市"/>
    <x v="30"/>
    <x v="5"/>
    <n v="7"/>
    <n v="1.2"/>
    <n v="1"/>
    <n v="0.28999999999999998"/>
    <n v="4"/>
    <n v="1.8"/>
    <x v="14"/>
  </r>
  <r>
    <x v="0"/>
    <s v="士別市"/>
    <x v="30"/>
    <x v="6"/>
    <n v="135"/>
    <n v="23.12"/>
    <n v="62"/>
    <n v="18.02"/>
    <n v="73"/>
    <n v="32.880000000000003"/>
    <x v="0"/>
  </r>
  <r>
    <x v="0"/>
    <s v="士別市"/>
    <x v="30"/>
    <x v="7"/>
    <n v="4"/>
    <n v="0.68"/>
    <n v="1"/>
    <n v="0.28999999999999998"/>
    <n v="3"/>
    <n v="1.35"/>
    <x v="0"/>
  </r>
  <r>
    <x v="0"/>
    <s v="士別市"/>
    <x v="30"/>
    <x v="8"/>
    <n v="41"/>
    <n v="7.02"/>
    <n v="33"/>
    <n v="9.59"/>
    <n v="7"/>
    <n v="3.15"/>
    <x v="0"/>
  </r>
  <r>
    <x v="0"/>
    <s v="士別市"/>
    <x v="30"/>
    <x v="9"/>
    <n v="20"/>
    <n v="3.42"/>
    <n v="9"/>
    <n v="2.62"/>
    <n v="10"/>
    <n v="4.5"/>
    <x v="1"/>
  </r>
  <r>
    <x v="0"/>
    <s v="士別市"/>
    <x v="30"/>
    <x v="10"/>
    <n v="107"/>
    <n v="18.32"/>
    <n v="97"/>
    <n v="28.2"/>
    <n v="10"/>
    <n v="4.5"/>
    <x v="0"/>
  </r>
  <r>
    <x v="0"/>
    <s v="士別市"/>
    <x v="30"/>
    <x v="11"/>
    <n v="77"/>
    <n v="13.18"/>
    <n v="69"/>
    <n v="20.059999999999999"/>
    <n v="7"/>
    <n v="3.15"/>
    <x v="1"/>
  </r>
  <r>
    <x v="0"/>
    <s v="士別市"/>
    <x v="30"/>
    <x v="12"/>
    <n v="24"/>
    <n v="4.1100000000000003"/>
    <n v="14"/>
    <n v="4.07"/>
    <n v="2"/>
    <n v="0.9"/>
    <x v="1"/>
  </r>
  <r>
    <x v="0"/>
    <s v="士別市"/>
    <x v="30"/>
    <x v="13"/>
    <n v="39"/>
    <n v="6.68"/>
    <n v="15"/>
    <n v="4.3600000000000003"/>
    <n v="22"/>
    <n v="9.91"/>
    <x v="1"/>
  </r>
  <r>
    <x v="0"/>
    <s v="士別市"/>
    <x v="30"/>
    <x v="14"/>
    <n v="20"/>
    <n v="3.42"/>
    <n v="13"/>
    <n v="3.78"/>
    <n v="6"/>
    <n v="2.7"/>
    <x v="0"/>
  </r>
  <r>
    <x v="0"/>
    <s v="名寄市"/>
    <x v="31"/>
    <x v="0"/>
    <n v="0"/>
    <n v="0"/>
    <n v="0"/>
    <n v="0"/>
    <n v="0"/>
    <n v="0"/>
    <x v="0"/>
  </r>
  <r>
    <x v="0"/>
    <s v="名寄市"/>
    <x v="31"/>
    <x v="1"/>
    <n v="65"/>
    <n v="8.31"/>
    <n v="28"/>
    <n v="5.89"/>
    <n v="37"/>
    <n v="12.67"/>
    <x v="0"/>
  </r>
  <r>
    <x v="0"/>
    <s v="名寄市"/>
    <x v="31"/>
    <x v="2"/>
    <n v="31"/>
    <n v="3.96"/>
    <n v="6"/>
    <n v="1.26"/>
    <n v="25"/>
    <n v="8.56"/>
    <x v="0"/>
  </r>
  <r>
    <x v="0"/>
    <s v="名寄市"/>
    <x v="31"/>
    <x v="3"/>
    <n v="2"/>
    <n v="0.26"/>
    <n v="0"/>
    <n v="0"/>
    <n v="1"/>
    <n v="0.34"/>
    <x v="0"/>
  </r>
  <r>
    <x v="0"/>
    <s v="名寄市"/>
    <x v="31"/>
    <x v="4"/>
    <n v="3"/>
    <n v="0.38"/>
    <n v="1"/>
    <n v="0.21"/>
    <n v="2"/>
    <n v="0.68"/>
    <x v="0"/>
  </r>
  <r>
    <x v="0"/>
    <s v="名寄市"/>
    <x v="31"/>
    <x v="5"/>
    <n v="10"/>
    <n v="1.28"/>
    <n v="3"/>
    <n v="0.63"/>
    <n v="7"/>
    <n v="2.4"/>
    <x v="0"/>
  </r>
  <r>
    <x v="0"/>
    <s v="名寄市"/>
    <x v="31"/>
    <x v="6"/>
    <n v="166"/>
    <n v="21.23"/>
    <n v="68"/>
    <n v="14.32"/>
    <n v="98"/>
    <n v="33.56"/>
    <x v="0"/>
  </r>
  <r>
    <x v="0"/>
    <s v="名寄市"/>
    <x v="31"/>
    <x v="7"/>
    <n v="13"/>
    <n v="1.66"/>
    <n v="3"/>
    <n v="0.63"/>
    <n v="10"/>
    <n v="3.42"/>
    <x v="0"/>
  </r>
  <r>
    <x v="0"/>
    <s v="名寄市"/>
    <x v="31"/>
    <x v="8"/>
    <n v="123"/>
    <n v="15.73"/>
    <n v="95"/>
    <n v="20"/>
    <n v="28"/>
    <n v="9.59"/>
    <x v="0"/>
  </r>
  <r>
    <x v="0"/>
    <s v="名寄市"/>
    <x v="31"/>
    <x v="9"/>
    <n v="24"/>
    <n v="3.07"/>
    <n v="18"/>
    <n v="3.79"/>
    <n v="5"/>
    <n v="1.71"/>
    <x v="0"/>
  </r>
  <r>
    <x v="0"/>
    <s v="名寄市"/>
    <x v="31"/>
    <x v="10"/>
    <n v="130"/>
    <n v="16.62"/>
    <n v="118"/>
    <n v="24.84"/>
    <n v="12"/>
    <n v="4.1100000000000003"/>
    <x v="0"/>
  </r>
  <r>
    <x v="0"/>
    <s v="名寄市"/>
    <x v="31"/>
    <x v="11"/>
    <n v="112"/>
    <n v="14.32"/>
    <n v="86"/>
    <n v="18.11"/>
    <n v="25"/>
    <n v="8.56"/>
    <x v="1"/>
  </r>
  <r>
    <x v="0"/>
    <s v="名寄市"/>
    <x v="31"/>
    <x v="12"/>
    <n v="21"/>
    <n v="2.69"/>
    <n v="16"/>
    <n v="3.37"/>
    <n v="2"/>
    <n v="0.68"/>
    <x v="0"/>
  </r>
  <r>
    <x v="0"/>
    <s v="名寄市"/>
    <x v="31"/>
    <x v="13"/>
    <n v="51"/>
    <n v="6.52"/>
    <n v="24"/>
    <n v="5.05"/>
    <n v="23"/>
    <n v="7.88"/>
    <x v="0"/>
  </r>
  <r>
    <x v="0"/>
    <s v="名寄市"/>
    <x v="31"/>
    <x v="14"/>
    <n v="31"/>
    <n v="3.96"/>
    <n v="9"/>
    <n v="1.89"/>
    <n v="17"/>
    <n v="5.82"/>
    <x v="14"/>
  </r>
  <r>
    <x v="0"/>
    <s v="三笠市"/>
    <x v="32"/>
    <x v="0"/>
    <n v="0"/>
    <n v="0"/>
    <n v="0"/>
    <n v="0"/>
    <n v="0"/>
    <n v="0"/>
    <x v="0"/>
  </r>
  <r>
    <x v="0"/>
    <s v="三笠市"/>
    <x v="32"/>
    <x v="1"/>
    <n v="30"/>
    <n v="16.04"/>
    <n v="5"/>
    <n v="6.67"/>
    <n v="25"/>
    <n v="24.27"/>
    <x v="0"/>
  </r>
  <r>
    <x v="0"/>
    <s v="三笠市"/>
    <x v="32"/>
    <x v="2"/>
    <n v="13"/>
    <n v="6.95"/>
    <n v="2"/>
    <n v="2.67"/>
    <n v="11"/>
    <n v="10.68"/>
    <x v="0"/>
  </r>
  <r>
    <x v="0"/>
    <s v="三笠市"/>
    <x v="32"/>
    <x v="3"/>
    <n v="3"/>
    <n v="1.6"/>
    <n v="0"/>
    <n v="0"/>
    <n v="1"/>
    <n v="0.97"/>
    <x v="0"/>
  </r>
  <r>
    <x v="0"/>
    <s v="三笠市"/>
    <x v="32"/>
    <x v="4"/>
    <n v="0"/>
    <n v="0"/>
    <n v="0"/>
    <n v="0"/>
    <n v="0"/>
    <n v="0"/>
    <x v="0"/>
  </r>
  <r>
    <x v="0"/>
    <s v="三笠市"/>
    <x v="32"/>
    <x v="5"/>
    <n v="0"/>
    <n v="0"/>
    <n v="0"/>
    <n v="0"/>
    <n v="0"/>
    <n v="0"/>
    <x v="0"/>
  </r>
  <r>
    <x v="0"/>
    <s v="三笠市"/>
    <x v="32"/>
    <x v="6"/>
    <n v="60"/>
    <n v="32.090000000000003"/>
    <n v="21"/>
    <n v="28"/>
    <n v="39"/>
    <n v="37.86"/>
    <x v="0"/>
  </r>
  <r>
    <x v="0"/>
    <s v="三笠市"/>
    <x v="32"/>
    <x v="7"/>
    <n v="1"/>
    <n v="0.53"/>
    <n v="0"/>
    <n v="0"/>
    <n v="1"/>
    <n v="0.97"/>
    <x v="0"/>
  </r>
  <r>
    <x v="0"/>
    <s v="三笠市"/>
    <x v="32"/>
    <x v="8"/>
    <n v="5"/>
    <n v="2.67"/>
    <n v="0"/>
    <n v="0"/>
    <n v="4"/>
    <n v="3.88"/>
    <x v="0"/>
  </r>
  <r>
    <x v="0"/>
    <s v="三笠市"/>
    <x v="32"/>
    <x v="9"/>
    <n v="3"/>
    <n v="1.6"/>
    <n v="1"/>
    <n v="1.33"/>
    <n v="1"/>
    <n v="0.97"/>
    <x v="0"/>
  </r>
  <r>
    <x v="0"/>
    <s v="三笠市"/>
    <x v="32"/>
    <x v="10"/>
    <n v="24"/>
    <n v="12.83"/>
    <n v="17"/>
    <n v="22.67"/>
    <n v="6"/>
    <n v="5.83"/>
    <x v="0"/>
  </r>
  <r>
    <x v="0"/>
    <s v="三笠市"/>
    <x v="32"/>
    <x v="11"/>
    <n v="32"/>
    <n v="17.11"/>
    <n v="23"/>
    <n v="30.67"/>
    <n v="9"/>
    <n v="8.74"/>
    <x v="0"/>
  </r>
  <r>
    <x v="0"/>
    <s v="三笠市"/>
    <x v="32"/>
    <x v="12"/>
    <n v="3"/>
    <n v="1.6"/>
    <n v="1"/>
    <n v="1.33"/>
    <n v="0"/>
    <n v="0"/>
    <x v="0"/>
  </r>
  <r>
    <x v="0"/>
    <s v="三笠市"/>
    <x v="32"/>
    <x v="13"/>
    <n v="6"/>
    <n v="3.21"/>
    <n v="1"/>
    <n v="1.33"/>
    <n v="4"/>
    <n v="3.88"/>
    <x v="1"/>
  </r>
  <r>
    <x v="0"/>
    <s v="三笠市"/>
    <x v="32"/>
    <x v="14"/>
    <n v="7"/>
    <n v="3.74"/>
    <n v="4"/>
    <n v="5.33"/>
    <n v="2"/>
    <n v="1.94"/>
    <x v="1"/>
  </r>
  <r>
    <x v="0"/>
    <s v="根室市"/>
    <x v="33"/>
    <x v="0"/>
    <n v="0"/>
    <n v="0"/>
    <n v="0"/>
    <n v="0"/>
    <n v="0"/>
    <n v="0"/>
    <x v="0"/>
  </r>
  <r>
    <x v="0"/>
    <s v="根室市"/>
    <x v="33"/>
    <x v="1"/>
    <n v="82"/>
    <n v="10.199999999999999"/>
    <n v="29"/>
    <n v="6.67"/>
    <n v="53"/>
    <n v="15.36"/>
    <x v="0"/>
  </r>
  <r>
    <x v="0"/>
    <s v="根室市"/>
    <x v="33"/>
    <x v="2"/>
    <n v="79"/>
    <n v="9.83"/>
    <n v="23"/>
    <n v="5.29"/>
    <n v="55"/>
    <n v="15.94"/>
    <x v="1"/>
  </r>
  <r>
    <x v="0"/>
    <s v="根室市"/>
    <x v="33"/>
    <x v="3"/>
    <n v="4"/>
    <n v="0.5"/>
    <n v="0"/>
    <n v="0"/>
    <n v="3"/>
    <n v="0.87"/>
    <x v="0"/>
  </r>
  <r>
    <x v="0"/>
    <s v="根室市"/>
    <x v="33"/>
    <x v="4"/>
    <n v="7"/>
    <n v="0.87"/>
    <n v="1"/>
    <n v="0.23"/>
    <n v="6"/>
    <n v="1.74"/>
    <x v="0"/>
  </r>
  <r>
    <x v="0"/>
    <s v="根室市"/>
    <x v="33"/>
    <x v="5"/>
    <n v="14"/>
    <n v="1.74"/>
    <n v="0"/>
    <n v="0"/>
    <n v="10"/>
    <n v="2.9"/>
    <x v="14"/>
  </r>
  <r>
    <x v="0"/>
    <s v="根室市"/>
    <x v="33"/>
    <x v="6"/>
    <n v="184"/>
    <n v="22.89"/>
    <n v="70"/>
    <n v="16.09"/>
    <n v="114"/>
    <n v="33.04"/>
    <x v="0"/>
  </r>
  <r>
    <x v="0"/>
    <s v="根室市"/>
    <x v="33"/>
    <x v="7"/>
    <n v="9"/>
    <n v="1.1200000000000001"/>
    <n v="3"/>
    <n v="0.69"/>
    <n v="6"/>
    <n v="1.74"/>
    <x v="0"/>
  </r>
  <r>
    <x v="0"/>
    <s v="根室市"/>
    <x v="33"/>
    <x v="8"/>
    <n v="49"/>
    <n v="6.09"/>
    <n v="16"/>
    <n v="3.68"/>
    <n v="31"/>
    <n v="8.99"/>
    <x v="0"/>
  </r>
  <r>
    <x v="0"/>
    <s v="根室市"/>
    <x v="33"/>
    <x v="9"/>
    <n v="19"/>
    <n v="2.36"/>
    <n v="11"/>
    <n v="2.5299999999999998"/>
    <n v="6"/>
    <n v="1.74"/>
    <x v="0"/>
  </r>
  <r>
    <x v="0"/>
    <s v="根室市"/>
    <x v="33"/>
    <x v="10"/>
    <n v="148"/>
    <n v="18.41"/>
    <n v="133"/>
    <n v="30.57"/>
    <n v="15"/>
    <n v="4.3499999999999996"/>
    <x v="0"/>
  </r>
  <r>
    <x v="0"/>
    <s v="根室市"/>
    <x v="33"/>
    <x v="11"/>
    <n v="126"/>
    <n v="15.67"/>
    <n v="104"/>
    <n v="23.91"/>
    <n v="20"/>
    <n v="5.8"/>
    <x v="0"/>
  </r>
  <r>
    <x v="0"/>
    <s v="根室市"/>
    <x v="33"/>
    <x v="12"/>
    <n v="19"/>
    <n v="2.36"/>
    <n v="16"/>
    <n v="3.68"/>
    <n v="1"/>
    <n v="0.28999999999999998"/>
    <x v="0"/>
  </r>
  <r>
    <x v="0"/>
    <s v="根室市"/>
    <x v="33"/>
    <x v="13"/>
    <n v="30"/>
    <n v="3.73"/>
    <n v="14"/>
    <n v="3.22"/>
    <n v="10"/>
    <n v="2.9"/>
    <x v="0"/>
  </r>
  <r>
    <x v="0"/>
    <s v="根室市"/>
    <x v="33"/>
    <x v="14"/>
    <n v="34"/>
    <n v="4.2300000000000004"/>
    <n v="15"/>
    <n v="3.45"/>
    <n v="15"/>
    <n v="4.3499999999999996"/>
    <x v="0"/>
  </r>
  <r>
    <x v="0"/>
    <s v="千歳市"/>
    <x v="34"/>
    <x v="0"/>
    <n v="0"/>
    <n v="0"/>
    <n v="0"/>
    <n v="0"/>
    <n v="0"/>
    <n v="0"/>
    <x v="0"/>
  </r>
  <r>
    <x v="0"/>
    <s v="千歳市"/>
    <x v="34"/>
    <x v="1"/>
    <n v="173"/>
    <n v="11.34"/>
    <n v="19"/>
    <n v="3.04"/>
    <n v="154"/>
    <n v="17.3"/>
    <x v="0"/>
  </r>
  <r>
    <x v="0"/>
    <s v="千歳市"/>
    <x v="34"/>
    <x v="2"/>
    <n v="64"/>
    <n v="4.2"/>
    <n v="9"/>
    <n v="1.44"/>
    <n v="55"/>
    <n v="6.18"/>
    <x v="0"/>
  </r>
  <r>
    <x v="0"/>
    <s v="千歳市"/>
    <x v="34"/>
    <x v="3"/>
    <n v="1"/>
    <n v="7.0000000000000007E-2"/>
    <n v="0"/>
    <n v="0"/>
    <n v="1"/>
    <n v="0.11"/>
    <x v="0"/>
  </r>
  <r>
    <x v="0"/>
    <s v="千歳市"/>
    <x v="34"/>
    <x v="4"/>
    <n v="14"/>
    <n v="0.92"/>
    <n v="0"/>
    <n v="0"/>
    <n v="14"/>
    <n v="1.57"/>
    <x v="0"/>
  </r>
  <r>
    <x v="0"/>
    <s v="千歳市"/>
    <x v="34"/>
    <x v="5"/>
    <n v="48"/>
    <n v="3.15"/>
    <n v="3"/>
    <n v="0.48"/>
    <n v="45"/>
    <n v="5.0599999999999996"/>
    <x v="0"/>
  </r>
  <r>
    <x v="0"/>
    <s v="千歳市"/>
    <x v="34"/>
    <x v="6"/>
    <n v="349"/>
    <n v="22.89"/>
    <n v="81"/>
    <n v="12.98"/>
    <n v="268"/>
    <n v="30.11"/>
    <x v="0"/>
  </r>
  <r>
    <x v="0"/>
    <s v="千歳市"/>
    <x v="34"/>
    <x v="7"/>
    <n v="15"/>
    <n v="0.98"/>
    <n v="2"/>
    <n v="0.32"/>
    <n v="13"/>
    <n v="1.46"/>
    <x v="0"/>
  </r>
  <r>
    <x v="0"/>
    <s v="千歳市"/>
    <x v="34"/>
    <x v="8"/>
    <n v="92"/>
    <n v="6.03"/>
    <n v="4"/>
    <n v="0.64"/>
    <n v="86"/>
    <n v="9.66"/>
    <x v="0"/>
  </r>
  <r>
    <x v="0"/>
    <s v="千歳市"/>
    <x v="34"/>
    <x v="9"/>
    <n v="65"/>
    <n v="4.26"/>
    <n v="35"/>
    <n v="5.61"/>
    <n v="30"/>
    <n v="3.37"/>
    <x v="0"/>
  </r>
  <r>
    <x v="0"/>
    <s v="千歳市"/>
    <x v="34"/>
    <x v="10"/>
    <n v="290"/>
    <n v="19.02"/>
    <n v="205"/>
    <n v="32.85"/>
    <n v="85"/>
    <n v="9.5500000000000007"/>
    <x v="0"/>
  </r>
  <r>
    <x v="0"/>
    <s v="千歳市"/>
    <x v="34"/>
    <x v="11"/>
    <n v="208"/>
    <n v="13.64"/>
    <n v="150"/>
    <n v="24.04"/>
    <n v="57"/>
    <n v="6.4"/>
    <x v="0"/>
  </r>
  <r>
    <x v="0"/>
    <s v="千歳市"/>
    <x v="34"/>
    <x v="12"/>
    <n v="65"/>
    <n v="4.26"/>
    <n v="49"/>
    <n v="7.85"/>
    <n v="16"/>
    <n v="1.8"/>
    <x v="0"/>
  </r>
  <r>
    <x v="0"/>
    <s v="千歳市"/>
    <x v="34"/>
    <x v="13"/>
    <n v="86"/>
    <n v="5.64"/>
    <n v="53"/>
    <n v="8.49"/>
    <n v="29"/>
    <n v="3.26"/>
    <x v="0"/>
  </r>
  <r>
    <x v="0"/>
    <s v="千歳市"/>
    <x v="34"/>
    <x v="14"/>
    <n v="55"/>
    <n v="3.61"/>
    <n v="14"/>
    <n v="2.2400000000000002"/>
    <n v="37"/>
    <n v="4.16"/>
    <x v="0"/>
  </r>
  <r>
    <x v="0"/>
    <s v="滝川市"/>
    <x v="35"/>
    <x v="0"/>
    <n v="1"/>
    <n v="0.1"/>
    <n v="0"/>
    <n v="0"/>
    <n v="1"/>
    <n v="0.22"/>
    <x v="0"/>
  </r>
  <r>
    <x v="0"/>
    <s v="滝川市"/>
    <x v="35"/>
    <x v="1"/>
    <n v="136"/>
    <n v="13.44"/>
    <n v="31"/>
    <n v="5.94"/>
    <n v="105"/>
    <n v="22.78"/>
    <x v="0"/>
  </r>
  <r>
    <x v="0"/>
    <s v="滝川市"/>
    <x v="35"/>
    <x v="2"/>
    <n v="41"/>
    <n v="4.05"/>
    <n v="9"/>
    <n v="1.72"/>
    <n v="32"/>
    <n v="6.94"/>
    <x v="0"/>
  </r>
  <r>
    <x v="0"/>
    <s v="滝川市"/>
    <x v="35"/>
    <x v="3"/>
    <n v="1"/>
    <n v="0.1"/>
    <n v="0"/>
    <n v="0"/>
    <n v="0"/>
    <n v="0"/>
    <x v="0"/>
  </r>
  <r>
    <x v="0"/>
    <s v="滝川市"/>
    <x v="35"/>
    <x v="4"/>
    <n v="3"/>
    <n v="0.3"/>
    <n v="0"/>
    <n v="0"/>
    <n v="3"/>
    <n v="0.65"/>
    <x v="0"/>
  </r>
  <r>
    <x v="0"/>
    <s v="滝川市"/>
    <x v="35"/>
    <x v="5"/>
    <n v="13"/>
    <n v="1.28"/>
    <n v="4"/>
    <n v="0.77"/>
    <n v="9"/>
    <n v="1.95"/>
    <x v="0"/>
  </r>
  <r>
    <x v="0"/>
    <s v="滝川市"/>
    <x v="35"/>
    <x v="6"/>
    <n v="213"/>
    <n v="21.05"/>
    <n v="69"/>
    <n v="13.22"/>
    <n v="144"/>
    <n v="31.24"/>
    <x v="0"/>
  </r>
  <r>
    <x v="0"/>
    <s v="滝川市"/>
    <x v="35"/>
    <x v="7"/>
    <n v="10"/>
    <n v="0.99"/>
    <n v="3"/>
    <n v="0.56999999999999995"/>
    <n v="7"/>
    <n v="1.52"/>
    <x v="0"/>
  </r>
  <r>
    <x v="0"/>
    <s v="滝川市"/>
    <x v="35"/>
    <x v="8"/>
    <n v="79"/>
    <n v="7.81"/>
    <n v="43"/>
    <n v="8.24"/>
    <n v="36"/>
    <n v="7.81"/>
    <x v="0"/>
  </r>
  <r>
    <x v="0"/>
    <s v="滝川市"/>
    <x v="35"/>
    <x v="9"/>
    <n v="40"/>
    <n v="3.95"/>
    <n v="24"/>
    <n v="4.5999999999999996"/>
    <n v="15"/>
    <n v="3.25"/>
    <x v="0"/>
  </r>
  <r>
    <x v="0"/>
    <s v="滝川市"/>
    <x v="35"/>
    <x v="10"/>
    <n v="177"/>
    <n v="17.489999999999998"/>
    <n v="140"/>
    <n v="26.82"/>
    <n v="37"/>
    <n v="8.0299999999999994"/>
    <x v="0"/>
  </r>
  <r>
    <x v="0"/>
    <s v="滝川市"/>
    <x v="35"/>
    <x v="11"/>
    <n v="153"/>
    <n v="15.12"/>
    <n v="125"/>
    <n v="23.95"/>
    <n v="25"/>
    <n v="5.42"/>
    <x v="0"/>
  </r>
  <r>
    <x v="0"/>
    <s v="滝川市"/>
    <x v="35"/>
    <x v="12"/>
    <n v="33"/>
    <n v="3.26"/>
    <n v="21"/>
    <n v="4.0199999999999996"/>
    <n v="8"/>
    <n v="1.74"/>
    <x v="0"/>
  </r>
  <r>
    <x v="0"/>
    <s v="滝川市"/>
    <x v="35"/>
    <x v="13"/>
    <n v="57"/>
    <n v="5.63"/>
    <n v="35"/>
    <n v="6.7"/>
    <n v="17"/>
    <n v="3.69"/>
    <x v="0"/>
  </r>
  <r>
    <x v="0"/>
    <s v="滝川市"/>
    <x v="35"/>
    <x v="14"/>
    <n v="55"/>
    <n v="5.43"/>
    <n v="18"/>
    <n v="3.45"/>
    <n v="22"/>
    <n v="4.7699999999999996"/>
    <x v="21"/>
  </r>
  <r>
    <x v="0"/>
    <s v="砂川市"/>
    <x v="36"/>
    <x v="0"/>
    <n v="1"/>
    <n v="0.24"/>
    <n v="0"/>
    <n v="0"/>
    <n v="1"/>
    <n v="0.56000000000000005"/>
    <x v="0"/>
  </r>
  <r>
    <x v="0"/>
    <s v="砂川市"/>
    <x v="36"/>
    <x v="1"/>
    <n v="56"/>
    <n v="13.46"/>
    <n v="12"/>
    <n v="5.31"/>
    <n v="44"/>
    <n v="24.72"/>
    <x v="0"/>
  </r>
  <r>
    <x v="0"/>
    <s v="砂川市"/>
    <x v="36"/>
    <x v="2"/>
    <n v="16"/>
    <n v="3.85"/>
    <n v="6"/>
    <n v="2.65"/>
    <n v="10"/>
    <n v="5.62"/>
    <x v="0"/>
  </r>
  <r>
    <x v="0"/>
    <s v="砂川市"/>
    <x v="36"/>
    <x v="3"/>
    <n v="2"/>
    <n v="0.48"/>
    <n v="0"/>
    <n v="0"/>
    <n v="0"/>
    <n v="0"/>
    <x v="0"/>
  </r>
  <r>
    <x v="0"/>
    <s v="砂川市"/>
    <x v="36"/>
    <x v="4"/>
    <n v="2"/>
    <n v="0.48"/>
    <n v="0"/>
    <n v="0"/>
    <n v="2"/>
    <n v="1.1200000000000001"/>
    <x v="0"/>
  </r>
  <r>
    <x v="0"/>
    <s v="砂川市"/>
    <x v="36"/>
    <x v="5"/>
    <n v="5"/>
    <n v="1.2"/>
    <n v="1"/>
    <n v="0.44"/>
    <n v="3"/>
    <n v="1.69"/>
    <x v="1"/>
  </r>
  <r>
    <x v="0"/>
    <s v="砂川市"/>
    <x v="36"/>
    <x v="6"/>
    <n v="85"/>
    <n v="20.43"/>
    <n v="34"/>
    <n v="15.04"/>
    <n v="51"/>
    <n v="28.65"/>
    <x v="0"/>
  </r>
  <r>
    <x v="0"/>
    <s v="砂川市"/>
    <x v="36"/>
    <x v="7"/>
    <n v="3"/>
    <n v="0.72"/>
    <n v="1"/>
    <n v="0.44"/>
    <n v="2"/>
    <n v="1.1200000000000001"/>
    <x v="0"/>
  </r>
  <r>
    <x v="0"/>
    <s v="砂川市"/>
    <x v="36"/>
    <x v="8"/>
    <n v="32"/>
    <n v="7.69"/>
    <n v="16"/>
    <n v="7.08"/>
    <n v="15"/>
    <n v="8.43"/>
    <x v="0"/>
  </r>
  <r>
    <x v="0"/>
    <s v="砂川市"/>
    <x v="36"/>
    <x v="9"/>
    <n v="16"/>
    <n v="3.85"/>
    <n v="7"/>
    <n v="3.1"/>
    <n v="9"/>
    <n v="5.0599999999999996"/>
    <x v="0"/>
  </r>
  <r>
    <x v="0"/>
    <s v="砂川市"/>
    <x v="36"/>
    <x v="10"/>
    <n v="86"/>
    <n v="20.67"/>
    <n v="74"/>
    <n v="32.74"/>
    <n v="12"/>
    <n v="6.74"/>
    <x v="0"/>
  </r>
  <r>
    <x v="0"/>
    <s v="砂川市"/>
    <x v="36"/>
    <x v="11"/>
    <n v="58"/>
    <n v="13.94"/>
    <n v="49"/>
    <n v="21.68"/>
    <n v="9"/>
    <n v="5.0599999999999996"/>
    <x v="0"/>
  </r>
  <r>
    <x v="0"/>
    <s v="砂川市"/>
    <x v="36"/>
    <x v="12"/>
    <n v="12"/>
    <n v="2.88"/>
    <n v="11"/>
    <n v="4.87"/>
    <n v="0"/>
    <n v="0"/>
    <x v="0"/>
  </r>
  <r>
    <x v="0"/>
    <s v="砂川市"/>
    <x v="36"/>
    <x v="13"/>
    <n v="27"/>
    <n v="6.49"/>
    <n v="12"/>
    <n v="5.31"/>
    <n v="11"/>
    <n v="6.18"/>
    <x v="0"/>
  </r>
  <r>
    <x v="0"/>
    <s v="砂川市"/>
    <x v="36"/>
    <x v="14"/>
    <n v="15"/>
    <n v="3.61"/>
    <n v="3"/>
    <n v="1.33"/>
    <n v="9"/>
    <n v="5.0599999999999996"/>
    <x v="14"/>
  </r>
  <r>
    <x v="0"/>
    <s v="歌志内市"/>
    <x v="37"/>
    <x v="0"/>
    <n v="0"/>
    <n v="0"/>
    <n v="0"/>
    <n v="0"/>
    <n v="0"/>
    <n v="0"/>
    <x v="0"/>
  </r>
  <r>
    <x v="0"/>
    <s v="歌志内市"/>
    <x v="37"/>
    <x v="1"/>
    <n v="11"/>
    <n v="16.420000000000002"/>
    <n v="3"/>
    <n v="9.09"/>
    <n v="8"/>
    <n v="33.33"/>
    <x v="0"/>
  </r>
  <r>
    <x v="0"/>
    <s v="歌志内市"/>
    <x v="37"/>
    <x v="2"/>
    <n v="2"/>
    <n v="2.99"/>
    <n v="1"/>
    <n v="3.03"/>
    <n v="1"/>
    <n v="4.17"/>
    <x v="0"/>
  </r>
  <r>
    <x v="0"/>
    <s v="歌志内市"/>
    <x v="37"/>
    <x v="3"/>
    <n v="2"/>
    <n v="2.99"/>
    <n v="0"/>
    <n v="0"/>
    <n v="0"/>
    <n v="0"/>
    <x v="0"/>
  </r>
  <r>
    <x v="0"/>
    <s v="歌志内市"/>
    <x v="37"/>
    <x v="4"/>
    <n v="1"/>
    <n v="1.49"/>
    <n v="0"/>
    <n v="0"/>
    <n v="1"/>
    <n v="4.17"/>
    <x v="0"/>
  </r>
  <r>
    <x v="0"/>
    <s v="歌志内市"/>
    <x v="37"/>
    <x v="5"/>
    <n v="2"/>
    <n v="2.99"/>
    <n v="0"/>
    <n v="0"/>
    <n v="1"/>
    <n v="4.17"/>
    <x v="0"/>
  </r>
  <r>
    <x v="0"/>
    <s v="歌志内市"/>
    <x v="37"/>
    <x v="6"/>
    <n v="16"/>
    <n v="23.88"/>
    <n v="11"/>
    <n v="33.33"/>
    <n v="5"/>
    <n v="20.83"/>
    <x v="0"/>
  </r>
  <r>
    <x v="0"/>
    <s v="歌志内市"/>
    <x v="37"/>
    <x v="7"/>
    <n v="1"/>
    <n v="1.49"/>
    <n v="0"/>
    <n v="0"/>
    <n v="1"/>
    <n v="4.17"/>
    <x v="0"/>
  </r>
  <r>
    <x v="0"/>
    <s v="歌志内市"/>
    <x v="37"/>
    <x v="8"/>
    <n v="2"/>
    <n v="2.99"/>
    <n v="0"/>
    <n v="0"/>
    <n v="1"/>
    <n v="4.17"/>
    <x v="0"/>
  </r>
  <r>
    <x v="0"/>
    <s v="歌志内市"/>
    <x v="37"/>
    <x v="9"/>
    <n v="0"/>
    <n v="0"/>
    <n v="0"/>
    <n v="0"/>
    <n v="0"/>
    <n v="0"/>
    <x v="0"/>
  </r>
  <r>
    <x v="0"/>
    <s v="歌志内市"/>
    <x v="37"/>
    <x v="10"/>
    <n v="5"/>
    <n v="7.46"/>
    <n v="4"/>
    <n v="12.12"/>
    <n v="1"/>
    <n v="4.17"/>
    <x v="0"/>
  </r>
  <r>
    <x v="0"/>
    <s v="歌志内市"/>
    <x v="37"/>
    <x v="11"/>
    <n v="9"/>
    <n v="13.43"/>
    <n v="8"/>
    <n v="24.24"/>
    <n v="0"/>
    <n v="0"/>
    <x v="0"/>
  </r>
  <r>
    <x v="0"/>
    <s v="歌志内市"/>
    <x v="37"/>
    <x v="12"/>
    <n v="4"/>
    <n v="5.97"/>
    <n v="2"/>
    <n v="6.06"/>
    <n v="0"/>
    <n v="0"/>
    <x v="0"/>
  </r>
  <r>
    <x v="0"/>
    <s v="歌志内市"/>
    <x v="37"/>
    <x v="13"/>
    <n v="7"/>
    <n v="10.45"/>
    <n v="2"/>
    <n v="6.06"/>
    <n v="3"/>
    <n v="12.5"/>
    <x v="0"/>
  </r>
  <r>
    <x v="0"/>
    <s v="歌志内市"/>
    <x v="37"/>
    <x v="14"/>
    <n v="5"/>
    <n v="7.46"/>
    <n v="2"/>
    <n v="6.06"/>
    <n v="2"/>
    <n v="8.33"/>
    <x v="0"/>
  </r>
  <r>
    <x v="0"/>
    <s v="深川市"/>
    <x v="38"/>
    <x v="0"/>
    <n v="0"/>
    <n v="0"/>
    <n v="0"/>
    <n v="0"/>
    <n v="0"/>
    <n v="0"/>
    <x v="0"/>
  </r>
  <r>
    <x v="0"/>
    <s v="深川市"/>
    <x v="38"/>
    <x v="1"/>
    <n v="56"/>
    <n v="10.39"/>
    <n v="20"/>
    <n v="6.73"/>
    <n v="36"/>
    <n v="15.32"/>
    <x v="0"/>
  </r>
  <r>
    <x v="0"/>
    <s v="深川市"/>
    <x v="38"/>
    <x v="2"/>
    <n v="27"/>
    <n v="5.01"/>
    <n v="6"/>
    <n v="2.02"/>
    <n v="21"/>
    <n v="8.94"/>
    <x v="0"/>
  </r>
  <r>
    <x v="0"/>
    <s v="深川市"/>
    <x v="38"/>
    <x v="3"/>
    <n v="2"/>
    <n v="0.37"/>
    <n v="0"/>
    <n v="0"/>
    <n v="2"/>
    <n v="0.85"/>
    <x v="0"/>
  </r>
  <r>
    <x v="0"/>
    <s v="深川市"/>
    <x v="38"/>
    <x v="4"/>
    <n v="2"/>
    <n v="0.37"/>
    <n v="0"/>
    <n v="0"/>
    <n v="1"/>
    <n v="0.43"/>
    <x v="1"/>
  </r>
  <r>
    <x v="0"/>
    <s v="深川市"/>
    <x v="38"/>
    <x v="5"/>
    <n v="7"/>
    <n v="1.3"/>
    <n v="1"/>
    <n v="0.34"/>
    <n v="6"/>
    <n v="2.5499999999999998"/>
    <x v="0"/>
  </r>
  <r>
    <x v="0"/>
    <s v="深川市"/>
    <x v="38"/>
    <x v="6"/>
    <n v="141"/>
    <n v="26.16"/>
    <n v="64"/>
    <n v="21.55"/>
    <n v="77"/>
    <n v="32.770000000000003"/>
    <x v="0"/>
  </r>
  <r>
    <x v="0"/>
    <s v="深川市"/>
    <x v="38"/>
    <x v="7"/>
    <n v="5"/>
    <n v="0.93"/>
    <n v="1"/>
    <n v="0.34"/>
    <n v="4"/>
    <n v="1.7"/>
    <x v="0"/>
  </r>
  <r>
    <x v="0"/>
    <s v="深川市"/>
    <x v="38"/>
    <x v="8"/>
    <n v="47"/>
    <n v="8.7200000000000006"/>
    <n v="29"/>
    <n v="9.76"/>
    <n v="18"/>
    <n v="7.66"/>
    <x v="0"/>
  </r>
  <r>
    <x v="0"/>
    <s v="深川市"/>
    <x v="38"/>
    <x v="9"/>
    <n v="22"/>
    <n v="4.08"/>
    <n v="10"/>
    <n v="3.37"/>
    <n v="12"/>
    <n v="5.1100000000000003"/>
    <x v="0"/>
  </r>
  <r>
    <x v="0"/>
    <s v="深川市"/>
    <x v="38"/>
    <x v="10"/>
    <n v="95"/>
    <n v="17.63"/>
    <n v="73"/>
    <n v="24.58"/>
    <n v="21"/>
    <n v="8.94"/>
    <x v="0"/>
  </r>
  <r>
    <x v="0"/>
    <s v="深川市"/>
    <x v="38"/>
    <x v="11"/>
    <n v="87"/>
    <n v="16.14"/>
    <n v="71"/>
    <n v="23.91"/>
    <n v="16"/>
    <n v="6.81"/>
    <x v="0"/>
  </r>
  <r>
    <x v="0"/>
    <s v="深川市"/>
    <x v="38"/>
    <x v="12"/>
    <n v="10"/>
    <n v="1.86"/>
    <n v="5"/>
    <n v="1.68"/>
    <n v="4"/>
    <n v="1.7"/>
    <x v="0"/>
  </r>
  <r>
    <x v="0"/>
    <s v="深川市"/>
    <x v="38"/>
    <x v="13"/>
    <n v="24"/>
    <n v="4.45"/>
    <n v="15"/>
    <n v="5.05"/>
    <n v="7"/>
    <n v="2.98"/>
    <x v="0"/>
  </r>
  <r>
    <x v="0"/>
    <s v="深川市"/>
    <x v="38"/>
    <x v="14"/>
    <n v="14"/>
    <n v="2.6"/>
    <n v="2"/>
    <n v="0.67"/>
    <n v="10"/>
    <n v="4.26"/>
    <x v="1"/>
  </r>
  <r>
    <x v="0"/>
    <s v="富良野市"/>
    <x v="39"/>
    <x v="0"/>
    <n v="0"/>
    <n v="0"/>
    <n v="0"/>
    <n v="0"/>
    <n v="0"/>
    <n v="0"/>
    <x v="0"/>
  </r>
  <r>
    <x v="0"/>
    <s v="富良野市"/>
    <x v="39"/>
    <x v="1"/>
    <n v="47"/>
    <n v="7.33"/>
    <n v="22"/>
    <n v="5.84"/>
    <n v="25"/>
    <n v="9.8800000000000008"/>
    <x v="0"/>
  </r>
  <r>
    <x v="0"/>
    <s v="富良野市"/>
    <x v="39"/>
    <x v="2"/>
    <n v="30"/>
    <n v="4.68"/>
    <n v="6"/>
    <n v="1.59"/>
    <n v="24"/>
    <n v="9.49"/>
    <x v="0"/>
  </r>
  <r>
    <x v="0"/>
    <s v="富良野市"/>
    <x v="39"/>
    <x v="3"/>
    <n v="1"/>
    <n v="0.16"/>
    <n v="0"/>
    <n v="0"/>
    <n v="1"/>
    <n v="0.4"/>
    <x v="0"/>
  </r>
  <r>
    <x v="0"/>
    <s v="富良野市"/>
    <x v="39"/>
    <x v="4"/>
    <n v="2"/>
    <n v="0.31"/>
    <n v="0"/>
    <n v="0"/>
    <n v="2"/>
    <n v="0.79"/>
    <x v="0"/>
  </r>
  <r>
    <x v="0"/>
    <s v="富良野市"/>
    <x v="39"/>
    <x v="5"/>
    <n v="5"/>
    <n v="0.78"/>
    <n v="2"/>
    <n v="0.53"/>
    <n v="3"/>
    <n v="1.19"/>
    <x v="0"/>
  </r>
  <r>
    <x v="0"/>
    <s v="富良野市"/>
    <x v="39"/>
    <x v="6"/>
    <n v="156"/>
    <n v="24.34"/>
    <n v="63"/>
    <n v="16.71"/>
    <n v="91"/>
    <n v="35.97"/>
    <x v="14"/>
  </r>
  <r>
    <x v="0"/>
    <s v="富良野市"/>
    <x v="39"/>
    <x v="7"/>
    <n v="6"/>
    <n v="0.94"/>
    <n v="0"/>
    <n v="0"/>
    <n v="6"/>
    <n v="2.37"/>
    <x v="0"/>
  </r>
  <r>
    <x v="0"/>
    <s v="富良野市"/>
    <x v="39"/>
    <x v="8"/>
    <n v="71"/>
    <n v="11.08"/>
    <n v="52"/>
    <n v="13.79"/>
    <n v="19"/>
    <n v="7.51"/>
    <x v="0"/>
  </r>
  <r>
    <x v="0"/>
    <s v="富良野市"/>
    <x v="39"/>
    <x v="9"/>
    <n v="22"/>
    <n v="3.43"/>
    <n v="16"/>
    <n v="4.24"/>
    <n v="5"/>
    <n v="1.98"/>
    <x v="0"/>
  </r>
  <r>
    <x v="0"/>
    <s v="富良野市"/>
    <x v="39"/>
    <x v="10"/>
    <n v="147"/>
    <n v="22.93"/>
    <n v="105"/>
    <n v="27.85"/>
    <n v="42"/>
    <n v="16.600000000000001"/>
    <x v="0"/>
  </r>
  <r>
    <x v="0"/>
    <s v="富良野市"/>
    <x v="39"/>
    <x v="11"/>
    <n v="80"/>
    <n v="12.48"/>
    <n v="67"/>
    <n v="17.77"/>
    <n v="13"/>
    <n v="5.14"/>
    <x v="0"/>
  </r>
  <r>
    <x v="0"/>
    <s v="富良野市"/>
    <x v="39"/>
    <x v="12"/>
    <n v="18"/>
    <n v="2.81"/>
    <n v="14"/>
    <n v="3.71"/>
    <n v="2"/>
    <n v="0.79"/>
    <x v="1"/>
  </r>
  <r>
    <x v="0"/>
    <s v="富良野市"/>
    <x v="39"/>
    <x v="13"/>
    <n v="37"/>
    <n v="5.77"/>
    <n v="26"/>
    <n v="6.9"/>
    <n v="7"/>
    <n v="2.77"/>
    <x v="0"/>
  </r>
  <r>
    <x v="0"/>
    <s v="富良野市"/>
    <x v="39"/>
    <x v="14"/>
    <n v="19"/>
    <n v="2.96"/>
    <n v="4"/>
    <n v="1.06"/>
    <n v="13"/>
    <n v="5.14"/>
    <x v="0"/>
  </r>
  <r>
    <x v="0"/>
    <s v="登別市"/>
    <x v="40"/>
    <x v="0"/>
    <n v="0"/>
    <n v="0"/>
    <n v="0"/>
    <n v="0"/>
    <n v="0"/>
    <n v="0"/>
    <x v="0"/>
  </r>
  <r>
    <x v="0"/>
    <s v="登別市"/>
    <x v="40"/>
    <x v="1"/>
    <n v="179"/>
    <n v="19.27"/>
    <n v="49"/>
    <n v="10.96"/>
    <n v="130"/>
    <n v="28.32"/>
    <x v="0"/>
  </r>
  <r>
    <x v="0"/>
    <s v="登別市"/>
    <x v="40"/>
    <x v="2"/>
    <n v="45"/>
    <n v="4.84"/>
    <n v="8"/>
    <n v="1.79"/>
    <n v="37"/>
    <n v="8.06"/>
    <x v="0"/>
  </r>
  <r>
    <x v="0"/>
    <s v="登別市"/>
    <x v="40"/>
    <x v="3"/>
    <n v="0"/>
    <n v="0"/>
    <n v="0"/>
    <n v="0"/>
    <n v="0"/>
    <n v="0"/>
    <x v="0"/>
  </r>
  <r>
    <x v="0"/>
    <s v="登別市"/>
    <x v="40"/>
    <x v="4"/>
    <n v="2"/>
    <n v="0.22"/>
    <n v="0"/>
    <n v="0"/>
    <n v="2"/>
    <n v="0.44"/>
    <x v="0"/>
  </r>
  <r>
    <x v="0"/>
    <s v="登別市"/>
    <x v="40"/>
    <x v="5"/>
    <n v="6"/>
    <n v="0.65"/>
    <n v="0"/>
    <n v="0"/>
    <n v="6"/>
    <n v="1.31"/>
    <x v="0"/>
  </r>
  <r>
    <x v="0"/>
    <s v="登別市"/>
    <x v="40"/>
    <x v="6"/>
    <n v="182"/>
    <n v="19.59"/>
    <n v="58"/>
    <n v="12.98"/>
    <n v="123"/>
    <n v="26.8"/>
    <x v="1"/>
  </r>
  <r>
    <x v="0"/>
    <s v="登別市"/>
    <x v="40"/>
    <x v="7"/>
    <n v="11"/>
    <n v="1.18"/>
    <n v="1"/>
    <n v="0.22"/>
    <n v="10"/>
    <n v="2.1800000000000002"/>
    <x v="0"/>
  </r>
  <r>
    <x v="0"/>
    <s v="登別市"/>
    <x v="40"/>
    <x v="8"/>
    <n v="85"/>
    <n v="9.15"/>
    <n v="49"/>
    <n v="10.96"/>
    <n v="35"/>
    <n v="7.63"/>
    <x v="0"/>
  </r>
  <r>
    <x v="0"/>
    <s v="登別市"/>
    <x v="40"/>
    <x v="9"/>
    <n v="29"/>
    <n v="3.12"/>
    <n v="15"/>
    <n v="3.36"/>
    <n v="14"/>
    <n v="3.05"/>
    <x v="0"/>
  </r>
  <r>
    <x v="0"/>
    <s v="登別市"/>
    <x v="40"/>
    <x v="10"/>
    <n v="116"/>
    <n v="12.49"/>
    <n v="90"/>
    <n v="20.13"/>
    <n v="26"/>
    <n v="5.66"/>
    <x v="0"/>
  </r>
  <r>
    <x v="0"/>
    <s v="登別市"/>
    <x v="40"/>
    <x v="11"/>
    <n v="146"/>
    <n v="15.72"/>
    <n v="111"/>
    <n v="24.83"/>
    <n v="35"/>
    <n v="7.63"/>
    <x v="0"/>
  </r>
  <r>
    <x v="0"/>
    <s v="登別市"/>
    <x v="40"/>
    <x v="12"/>
    <n v="36"/>
    <n v="3.88"/>
    <n v="23"/>
    <n v="5.15"/>
    <n v="9"/>
    <n v="1.96"/>
    <x v="0"/>
  </r>
  <r>
    <x v="0"/>
    <s v="登別市"/>
    <x v="40"/>
    <x v="13"/>
    <n v="63"/>
    <n v="6.78"/>
    <n v="34"/>
    <n v="7.61"/>
    <n v="12"/>
    <n v="2.61"/>
    <x v="0"/>
  </r>
  <r>
    <x v="0"/>
    <s v="登別市"/>
    <x v="40"/>
    <x v="14"/>
    <n v="29"/>
    <n v="3.12"/>
    <n v="9"/>
    <n v="2.0099999999999998"/>
    <n v="20"/>
    <n v="4.3600000000000003"/>
    <x v="0"/>
  </r>
  <r>
    <x v="0"/>
    <s v="恵庭市"/>
    <x v="41"/>
    <x v="0"/>
    <n v="1"/>
    <n v="0.1"/>
    <n v="0"/>
    <n v="0"/>
    <n v="1"/>
    <n v="0.2"/>
    <x v="0"/>
  </r>
  <r>
    <x v="0"/>
    <s v="恵庭市"/>
    <x v="41"/>
    <x v="1"/>
    <n v="138"/>
    <n v="13.65"/>
    <n v="30"/>
    <n v="6.16"/>
    <n v="108"/>
    <n v="21.18"/>
    <x v="0"/>
  </r>
  <r>
    <x v="0"/>
    <s v="恵庭市"/>
    <x v="41"/>
    <x v="2"/>
    <n v="44"/>
    <n v="4.3499999999999996"/>
    <n v="5"/>
    <n v="1.03"/>
    <n v="39"/>
    <n v="7.65"/>
    <x v="0"/>
  </r>
  <r>
    <x v="0"/>
    <s v="恵庭市"/>
    <x v="41"/>
    <x v="3"/>
    <n v="4"/>
    <n v="0.4"/>
    <n v="0"/>
    <n v="0"/>
    <n v="3"/>
    <n v="0.59"/>
    <x v="0"/>
  </r>
  <r>
    <x v="0"/>
    <s v="恵庭市"/>
    <x v="41"/>
    <x v="4"/>
    <n v="3"/>
    <n v="0.3"/>
    <n v="0"/>
    <n v="0"/>
    <n v="3"/>
    <n v="0.59"/>
    <x v="0"/>
  </r>
  <r>
    <x v="0"/>
    <s v="恵庭市"/>
    <x v="41"/>
    <x v="5"/>
    <n v="18"/>
    <n v="1.78"/>
    <n v="4"/>
    <n v="0.82"/>
    <n v="14"/>
    <n v="2.75"/>
    <x v="0"/>
  </r>
  <r>
    <x v="0"/>
    <s v="恵庭市"/>
    <x v="41"/>
    <x v="6"/>
    <n v="182"/>
    <n v="18"/>
    <n v="64"/>
    <n v="13.14"/>
    <n v="117"/>
    <n v="22.94"/>
    <x v="1"/>
  </r>
  <r>
    <x v="0"/>
    <s v="恵庭市"/>
    <x v="41"/>
    <x v="7"/>
    <n v="14"/>
    <n v="1.38"/>
    <n v="4"/>
    <n v="0.82"/>
    <n v="10"/>
    <n v="1.96"/>
    <x v="0"/>
  </r>
  <r>
    <x v="0"/>
    <s v="恵庭市"/>
    <x v="41"/>
    <x v="8"/>
    <n v="102"/>
    <n v="10.09"/>
    <n v="48"/>
    <n v="9.86"/>
    <n v="54"/>
    <n v="10.59"/>
    <x v="0"/>
  </r>
  <r>
    <x v="0"/>
    <s v="恵庭市"/>
    <x v="41"/>
    <x v="9"/>
    <n v="45"/>
    <n v="4.45"/>
    <n v="20"/>
    <n v="4.1100000000000003"/>
    <n v="25"/>
    <n v="4.9000000000000004"/>
    <x v="0"/>
  </r>
  <r>
    <x v="0"/>
    <s v="恵庭市"/>
    <x v="41"/>
    <x v="10"/>
    <n v="121"/>
    <n v="11.97"/>
    <n v="87"/>
    <n v="17.86"/>
    <n v="33"/>
    <n v="6.47"/>
    <x v="0"/>
  </r>
  <r>
    <x v="0"/>
    <s v="恵庭市"/>
    <x v="41"/>
    <x v="11"/>
    <n v="180"/>
    <n v="17.8"/>
    <n v="137"/>
    <n v="28.13"/>
    <n v="42"/>
    <n v="8.24"/>
    <x v="0"/>
  </r>
  <r>
    <x v="0"/>
    <s v="恵庭市"/>
    <x v="41"/>
    <x v="12"/>
    <n v="58"/>
    <n v="5.74"/>
    <n v="39"/>
    <n v="8.01"/>
    <n v="16"/>
    <n v="3.14"/>
    <x v="0"/>
  </r>
  <r>
    <x v="0"/>
    <s v="恵庭市"/>
    <x v="41"/>
    <x v="13"/>
    <n v="63"/>
    <n v="6.23"/>
    <n v="38"/>
    <n v="7.8"/>
    <n v="20"/>
    <n v="3.92"/>
    <x v="0"/>
  </r>
  <r>
    <x v="0"/>
    <s v="恵庭市"/>
    <x v="41"/>
    <x v="14"/>
    <n v="38"/>
    <n v="3.76"/>
    <n v="11"/>
    <n v="2.2599999999999998"/>
    <n v="25"/>
    <n v="4.9000000000000004"/>
    <x v="0"/>
  </r>
  <r>
    <x v="0"/>
    <s v="伊達市"/>
    <x v="42"/>
    <x v="0"/>
    <n v="0"/>
    <n v="0"/>
    <n v="0"/>
    <n v="0"/>
    <n v="0"/>
    <n v="0"/>
    <x v="0"/>
  </r>
  <r>
    <x v="0"/>
    <s v="伊達市"/>
    <x v="42"/>
    <x v="1"/>
    <n v="81"/>
    <n v="10.52"/>
    <n v="19"/>
    <n v="4.33"/>
    <n v="62"/>
    <n v="19.38"/>
    <x v="0"/>
  </r>
  <r>
    <x v="0"/>
    <s v="伊達市"/>
    <x v="42"/>
    <x v="2"/>
    <n v="33"/>
    <n v="4.29"/>
    <n v="12"/>
    <n v="2.73"/>
    <n v="21"/>
    <n v="6.56"/>
    <x v="0"/>
  </r>
  <r>
    <x v="0"/>
    <s v="伊達市"/>
    <x v="42"/>
    <x v="3"/>
    <n v="2"/>
    <n v="0.26"/>
    <n v="0"/>
    <n v="0"/>
    <n v="1"/>
    <n v="0.31"/>
    <x v="0"/>
  </r>
  <r>
    <x v="0"/>
    <s v="伊達市"/>
    <x v="42"/>
    <x v="4"/>
    <n v="5"/>
    <n v="0.65"/>
    <n v="1"/>
    <n v="0.23"/>
    <n v="4"/>
    <n v="1.25"/>
    <x v="0"/>
  </r>
  <r>
    <x v="0"/>
    <s v="伊達市"/>
    <x v="42"/>
    <x v="5"/>
    <n v="5"/>
    <n v="0.65"/>
    <n v="2"/>
    <n v="0.46"/>
    <n v="2"/>
    <n v="0.63"/>
    <x v="1"/>
  </r>
  <r>
    <x v="0"/>
    <s v="伊達市"/>
    <x v="42"/>
    <x v="6"/>
    <n v="163"/>
    <n v="21.17"/>
    <n v="78"/>
    <n v="17.77"/>
    <n v="84"/>
    <n v="26.25"/>
    <x v="1"/>
  </r>
  <r>
    <x v="0"/>
    <s v="伊達市"/>
    <x v="42"/>
    <x v="7"/>
    <n v="9"/>
    <n v="1.17"/>
    <n v="3"/>
    <n v="0.68"/>
    <n v="6"/>
    <n v="1.88"/>
    <x v="0"/>
  </r>
  <r>
    <x v="0"/>
    <s v="伊達市"/>
    <x v="42"/>
    <x v="8"/>
    <n v="102"/>
    <n v="13.25"/>
    <n v="61"/>
    <n v="13.9"/>
    <n v="41"/>
    <n v="12.81"/>
    <x v="0"/>
  </r>
  <r>
    <x v="0"/>
    <s v="伊達市"/>
    <x v="42"/>
    <x v="9"/>
    <n v="28"/>
    <n v="3.64"/>
    <n v="16"/>
    <n v="3.64"/>
    <n v="12"/>
    <n v="3.75"/>
    <x v="0"/>
  </r>
  <r>
    <x v="0"/>
    <s v="伊達市"/>
    <x v="42"/>
    <x v="10"/>
    <n v="129"/>
    <n v="16.75"/>
    <n v="99"/>
    <n v="22.55"/>
    <n v="30"/>
    <n v="9.3800000000000008"/>
    <x v="0"/>
  </r>
  <r>
    <x v="0"/>
    <s v="伊達市"/>
    <x v="42"/>
    <x v="11"/>
    <n v="108"/>
    <n v="14.03"/>
    <n v="92"/>
    <n v="20.96"/>
    <n v="16"/>
    <n v="5"/>
    <x v="0"/>
  </r>
  <r>
    <x v="0"/>
    <s v="伊達市"/>
    <x v="42"/>
    <x v="12"/>
    <n v="21"/>
    <n v="2.73"/>
    <n v="14"/>
    <n v="3.19"/>
    <n v="7"/>
    <n v="2.19"/>
    <x v="0"/>
  </r>
  <r>
    <x v="0"/>
    <s v="伊達市"/>
    <x v="42"/>
    <x v="13"/>
    <n v="58"/>
    <n v="7.53"/>
    <n v="31"/>
    <n v="7.06"/>
    <n v="21"/>
    <n v="6.56"/>
    <x v="0"/>
  </r>
  <r>
    <x v="0"/>
    <s v="伊達市"/>
    <x v="42"/>
    <x v="14"/>
    <n v="26"/>
    <n v="3.38"/>
    <n v="11"/>
    <n v="2.5099999999999998"/>
    <n v="13"/>
    <n v="4.0599999999999996"/>
    <x v="0"/>
  </r>
  <r>
    <x v="0"/>
    <s v="北広島市"/>
    <x v="43"/>
    <x v="0"/>
    <n v="1"/>
    <n v="0.12"/>
    <n v="0"/>
    <n v="0"/>
    <n v="1"/>
    <n v="0.17"/>
    <x v="0"/>
  </r>
  <r>
    <x v="0"/>
    <s v="北広島市"/>
    <x v="43"/>
    <x v="1"/>
    <n v="162"/>
    <n v="19.170000000000002"/>
    <n v="13"/>
    <n v="5.24"/>
    <n v="149"/>
    <n v="25.34"/>
    <x v="0"/>
  </r>
  <r>
    <x v="0"/>
    <s v="北広島市"/>
    <x v="43"/>
    <x v="2"/>
    <n v="49"/>
    <n v="5.8"/>
    <n v="10"/>
    <n v="4.03"/>
    <n v="39"/>
    <n v="6.63"/>
    <x v="0"/>
  </r>
  <r>
    <x v="0"/>
    <s v="北広島市"/>
    <x v="43"/>
    <x v="3"/>
    <n v="2"/>
    <n v="0.24"/>
    <n v="0"/>
    <n v="0"/>
    <n v="1"/>
    <n v="0.17"/>
    <x v="0"/>
  </r>
  <r>
    <x v="0"/>
    <s v="北広島市"/>
    <x v="43"/>
    <x v="4"/>
    <n v="8"/>
    <n v="0.95"/>
    <n v="0"/>
    <n v="0"/>
    <n v="8"/>
    <n v="1.36"/>
    <x v="0"/>
  </r>
  <r>
    <x v="0"/>
    <s v="北広島市"/>
    <x v="43"/>
    <x v="5"/>
    <n v="29"/>
    <n v="3.43"/>
    <n v="7"/>
    <n v="2.82"/>
    <n v="22"/>
    <n v="3.74"/>
    <x v="0"/>
  </r>
  <r>
    <x v="0"/>
    <s v="北広島市"/>
    <x v="43"/>
    <x v="6"/>
    <n v="218"/>
    <n v="25.8"/>
    <n v="33"/>
    <n v="13.31"/>
    <n v="185"/>
    <n v="31.46"/>
    <x v="0"/>
  </r>
  <r>
    <x v="0"/>
    <s v="北広島市"/>
    <x v="43"/>
    <x v="7"/>
    <n v="9"/>
    <n v="1.07"/>
    <n v="3"/>
    <n v="1.21"/>
    <n v="6"/>
    <n v="1.02"/>
    <x v="0"/>
  </r>
  <r>
    <x v="0"/>
    <s v="北広島市"/>
    <x v="43"/>
    <x v="8"/>
    <n v="56"/>
    <n v="6.63"/>
    <n v="19"/>
    <n v="7.66"/>
    <n v="37"/>
    <n v="6.29"/>
    <x v="0"/>
  </r>
  <r>
    <x v="0"/>
    <s v="北広島市"/>
    <x v="43"/>
    <x v="9"/>
    <n v="48"/>
    <n v="5.68"/>
    <n v="20"/>
    <n v="8.06"/>
    <n v="28"/>
    <n v="4.76"/>
    <x v="0"/>
  </r>
  <r>
    <x v="0"/>
    <s v="北広島市"/>
    <x v="43"/>
    <x v="10"/>
    <n v="61"/>
    <n v="7.22"/>
    <n v="41"/>
    <n v="16.53"/>
    <n v="18"/>
    <n v="3.06"/>
    <x v="0"/>
  </r>
  <r>
    <x v="0"/>
    <s v="北広島市"/>
    <x v="43"/>
    <x v="11"/>
    <n v="79"/>
    <n v="9.35"/>
    <n v="49"/>
    <n v="19.760000000000002"/>
    <n v="30"/>
    <n v="5.0999999999999996"/>
    <x v="0"/>
  </r>
  <r>
    <x v="0"/>
    <s v="北広島市"/>
    <x v="43"/>
    <x v="12"/>
    <n v="21"/>
    <n v="2.4900000000000002"/>
    <n v="13"/>
    <n v="5.24"/>
    <n v="4"/>
    <n v="0.68"/>
    <x v="14"/>
  </r>
  <r>
    <x v="0"/>
    <s v="北広島市"/>
    <x v="43"/>
    <x v="13"/>
    <n v="54"/>
    <n v="6.39"/>
    <n v="29"/>
    <n v="11.69"/>
    <n v="25"/>
    <n v="4.25"/>
    <x v="0"/>
  </r>
  <r>
    <x v="0"/>
    <s v="北広島市"/>
    <x v="43"/>
    <x v="14"/>
    <n v="48"/>
    <n v="5.68"/>
    <n v="11"/>
    <n v="4.4400000000000004"/>
    <n v="35"/>
    <n v="5.95"/>
    <x v="0"/>
  </r>
  <r>
    <x v="0"/>
    <s v="石狩市"/>
    <x v="44"/>
    <x v="0"/>
    <n v="1"/>
    <n v="0.09"/>
    <n v="0"/>
    <n v="0"/>
    <n v="1"/>
    <n v="0.13"/>
    <x v="0"/>
  </r>
  <r>
    <x v="0"/>
    <s v="石狩市"/>
    <x v="44"/>
    <x v="1"/>
    <n v="275"/>
    <n v="24.55"/>
    <n v="25"/>
    <n v="7.55"/>
    <n v="250"/>
    <n v="32.090000000000003"/>
    <x v="0"/>
  </r>
  <r>
    <x v="0"/>
    <s v="石狩市"/>
    <x v="44"/>
    <x v="2"/>
    <n v="100"/>
    <n v="8.93"/>
    <n v="9"/>
    <n v="2.72"/>
    <n v="91"/>
    <n v="11.68"/>
    <x v="0"/>
  </r>
  <r>
    <x v="0"/>
    <s v="石狩市"/>
    <x v="44"/>
    <x v="3"/>
    <n v="1"/>
    <n v="0.09"/>
    <n v="0"/>
    <n v="0"/>
    <n v="1"/>
    <n v="0.13"/>
    <x v="0"/>
  </r>
  <r>
    <x v="0"/>
    <s v="石狩市"/>
    <x v="44"/>
    <x v="4"/>
    <n v="12"/>
    <n v="1.07"/>
    <n v="2"/>
    <n v="0.6"/>
    <n v="10"/>
    <n v="1.28"/>
    <x v="0"/>
  </r>
  <r>
    <x v="0"/>
    <s v="石狩市"/>
    <x v="44"/>
    <x v="5"/>
    <n v="37"/>
    <n v="3.3"/>
    <n v="9"/>
    <n v="2.72"/>
    <n v="28"/>
    <n v="3.59"/>
    <x v="0"/>
  </r>
  <r>
    <x v="0"/>
    <s v="石狩市"/>
    <x v="44"/>
    <x v="6"/>
    <n v="219"/>
    <n v="19.55"/>
    <n v="47"/>
    <n v="14.2"/>
    <n v="172"/>
    <n v="22.08"/>
    <x v="0"/>
  </r>
  <r>
    <x v="0"/>
    <s v="石狩市"/>
    <x v="44"/>
    <x v="7"/>
    <n v="12"/>
    <n v="1.07"/>
    <n v="3"/>
    <n v="0.91"/>
    <n v="9"/>
    <n v="1.1599999999999999"/>
    <x v="0"/>
  </r>
  <r>
    <x v="0"/>
    <s v="石狩市"/>
    <x v="44"/>
    <x v="8"/>
    <n v="44"/>
    <n v="3.93"/>
    <n v="4"/>
    <n v="1.21"/>
    <n v="40"/>
    <n v="5.13"/>
    <x v="0"/>
  </r>
  <r>
    <x v="0"/>
    <s v="石狩市"/>
    <x v="44"/>
    <x v="9"/>
    <n v="38"/>
    <n v="3.39"/>
    <n v="11"/>
    <n v="3.32"/>
    <n v="26"/>
    <n v="3.34"/>
    <x v="0"/>
  </r>
  <r>
    <x v="0"/>
    <s v="石狩市"/>
    <x v="44"/>
    <x v="10"/>
    <n v="104"/>
    <n v="9.2899999999999991"/>
    <n v="82"/>
    <n v="24.77"/>
    <n v="21"/>
    <n v="2.7"/>
    <x v="1"/>
  </r>
  <r>
    <x v="0"/>
    <s v="石狩市"/>
    <x v="44"/>
    <x v="11"/>
    <n v="111"/>
    <n v="9.91"/>
    <n v="83"/>
    <n v="25.08"/>
    <n v="28"/>
    <n v="3.59"/>
    <x v="0"/>
  </r>
  <r>
    <x v="0"/>
    <s v="石狩市"/>
    <x v="44"/>
    <x v="12"/>
    <n v="26"/>
    <n v="2.3199999999999998"/>
    <n v="15"/>
    <n v="4.53"/>
    <n v="5"/>
    <n v="0.64"/>
    <x v="0"/>
  </r>
  <r>
    <x v="0"/>
    <s v="石狩市"/>
    <x v="44"/>
    <x v="13"/>
    <n v="77"/>
    <n v="6.88"/>
    <n v="27"/>
    <n v="8.16"/>
    <n v="50"/>
    <n v="6.42"/>
    <x v="0"/>
  </r>
  <r>
    <x v="0"/>
    <s v="石狩市"/>
    <x v="44"/>
    <x v="14"/>
    <n v="63"/>
    <n v="5.63"/>
    <n v="14"/>
    <n v="4.2300000000000004"/>
    <n v="47"/>
    <n v="6.03"/>
    <x v="1"/>
  </r>
  <r>
    <x v="0"/>
    <s v="北斗市"/>
    <x v="45"/>
    <x v="0"/>
    <n v="1"/>
    <n v="0.12"/>
    <n v="0"/>
    <n v="0"/>
    <n v="1"/>
    <n v="0.22"/>
    <x v="0"/>
  </r>
  <r>
    <x v="0"/>
    <s v="北斗市"/>
    <x v="45"/>
    <x v="1"/>
    <n v="144"/>
    <n v="17.25"/>
    <n v="33"/>
    <n v="9.2200000000000006"/>
    <n v="111"/>
    <n v="24.78"/>
    <x v="0"/>
  </r>
  <r>
    <x v="0"/>
    <s v="北斗市"/>
    <x v="45"/>
    <x v="2"/>
    <n v="50"/>
    <n v="5.99"/>
    <n v="11"/>
    <n v="3.07"/>
    <n v="39"/>
    <n v="8.7100000000000009"/>
    <x v="0"/>
  </r>
  <r>
    <x v="0"/>
    <s v="北斗市"/>
    <x v="45"/>
    <x v="3"/>
    <n v="1"/>
    <n v="0.12"/>
    <n v="0"/>
    <n v="0"/>
    <n v="1"/>
    <n v="0.22"/>
    <x v="0"/>
  </r>
  <r>
    <x v="0"/>
    <s v="北斗市"/>
    <x v="45"/>
    <x v="4"/>
    <n v="2"/>
    <n v="0.24"/>
    <n v="0"/>
    <n v="0"/>
    <n v="2"/>
    <n v="0.45"/>
    <x v="0"/>
  </r>
  <r>
    <x v="0"/>
    <s v="北斗市"/>
    <x v="45"/>
    <x v="5"/>
    <n v="17"/>
    <n v="2.04"/>
    <n v="2"/>
    <n v="0.56000000000000005"/>
    <n v="15"/>
    <n v="3.35"/>
    <x v="0"/>
  </r>
  <r>
    <x v="0"/>
    <s v="北斗市"/>
    <x v="45"/>
    <x v="6"/>
    <n v="214"/>
    <n v="25.63"/>
    <n v="73"/>
    <n v="20.39"/>
    <n v="141"/>
    <n v="31.47"/>
    <x v="0"/>
  </r>
  <r>
    <x v="0"/>
    <s v="北斗市"/>
    <x v="45"/>
    <x v="7"/>
    <n v="5"/>
    <n v="0.6"/>
    <n v="1"/>
    <n v="0.28000000000000003"/>
    <n v="4"/>
    <n v="0.89"/>
    <x v="0"/>
  </r>
  <r>
    <x v="0"/>
    <s v="北斗市"/>
    <x v="45"/>
    <x v="8"/>
    <n v="38"/>
    <n v="4.55"/>
    <n v="10"/>
    <n v="2.79"/>
    <n v="28"/>
    <n v="6.25"/>
    <x v="0"/>
  </r>
  <r>
    <x v="0"/>
    <s v="北斗市"/>
    <x v="45"/>
    <x v="9"/>
    <n v="38"/>
    <n v="4.55"/>
    <n v="15"/>
    <n v="4.1900000000000004"/>
    <n v="22"/>
    <n v="4.91"/>
    <x v="0"/>
  </r>
  <r>
    <x v="0"/>
    <s v="北斗市"/>
    <x v="45"/>
    <x v="10"/>
    <n v="70"/>
    <n v="8.3800000000000008"/>
    <n v="51"/>
    <n v="14.25"/>
    <n v="18"/>
    <n v="4.0199999999999996"/>
    <x v="0"/>
  </r>
  <r>
    <x v="0"/>
    <s v="北斗市"/>
    <x v="45"/>
    <x v="11"/>
    <n v="127"/>
    <n v="15.21"/>
    <n v="101"/>
    <n v="28.21"/>
    <n v="18"/>
    <n v="4.0199999999999996"/>
    <x v="0"/>
  </r>
  <r>
    <x v="0"/>
    <s v="北斗市"/>
    <x v="45"/>
    <x v="12"/>
    <n v="34"/>
    <n v="4.07"/>
    <n v="27"/>
    <n v="7.54"/>
    <n v="5"/>
    <n v="1.1200000000000001"/>
    <x v="0"/>
  </r>
  <r>
    <x v="0"/>
    <s v="北斗市"/>
    <x v="45"/>
    <x v="13"/>
    <n v="53"/>
    <n v="6.35"/>
    <n v="20"/>
    <n v="5.59"/>
    <n v="18"/>
    <n v="4.0199999999999996"/>
    <x v="0"/>
  </r>
  <r>
    <x v="0"/>
    <s v="北斗市"/>
    <x v="45"/>
    <x v="14"/>
    <n v="41"/>
    <n v="4.91"/>
    <n v="14"/>
    <n v="3.91"/>
    <n v="25"/>
    <n v="5.58"/>
    <x v="0"/>
  </r>
  <r>
    <x v="0"/>
    <s v="石狩郡当別町"/>
    <x v="46"/>
    <x v="0"/>
    <n v="0"/>
    <n v="0"/>
    <n v="0"/>
    <n v="0"/>
    <n v="0"/>
    <n v="0"/>
    <x v="0"/>
  </r>
  <r>
    <x v="0"/>
    <s v="石狩郡当別町"/>
    <x v="46"/>
    <x v="1"/>
    <n v="56"/>
    <n v="18.86"/>
    <n v="13"/>
    <n v="9.0299999999999994"/>
    <n v="43"/>
    <n v="29.86"/>
    <x v="0"/>
  </r>
  <r>
    <x v="0"/>
    <s v="石狩郡当別町"/>
    <x v="46"/>
    <x v="2"/>
    <n v="22"/>
    <n v="7.41"/>
    <n v="7"/>
    <n v="4.8600000000000003"/>
    <n v="15"/>
    <n v="10.42"/>
    <x v="0"/>
  </r>
  <r>
    <x v="0"/>
    <s v="石狩郡当別町"/>
    <x v="46"/>
    <x v="3"/>
    <n v="0"/>
    <n v="0"/>
    <n v="0"/>
    <n v="0"/>
    <n v="0"/>
    <n v="0"/>
    <x v="0"/>
  </r>
  <r>
    <x v="0"/>
    <s v="石狩郡当別町"/>
    <x v="46"/>
    <x v="4"/>
    <n v="4"/>
    <n v="1.35"/>
    <n v="1"/>
    <n v="0.69"/>
    <n v="3"/>
    <n v="2.08"/>
    <x v="0"/>
  </r>
  <r>
    <x v="0"/>
    <s v="石狩郡当別町"/>
    <x v="46"/>
    <x v="5"/>
    <n v="2"/>
    <n v="0.67"/>
    <n v="0"/>
    <n v="0"/>
    <n v="2"/>
    <n v="1.39"/>
    <x v="0"/>
  </r>
  <r>
    <x v="0"/>
    <s v="石狩郡当別町"/>
    <x v="46"/>
    <x v="6"/>
    <n v="63"/>
    <n v="21.21"/>
    <n v="21"/>
    <n v="14.58"/>
    <n v="41"/>
    <n v="28.47"/>
    <x v="1"/>
  </r>
  <r>
    <x v="0"/>
    <s v="石狩郡当別町"/>
    <x v="46"/>
    <x v="7"/>
    <n v="3"/>
    <n v="1.01"/>
    <n v="2"/>
    <n v="1.39"/>
    <n v="1"/>
    <n v="0.69"/>
    <x v="0"/>
  </r>
  <r>
    <x v="0"/>
    <s v="石狩郡当別町"/>
    <x v="46"/>
    <x v="8"/>
    <n v="43"/>
    <n v="14.48"/>
    <n v="32"/>
    <n v="22.22"/>
    <n v="11"/>
    <n v="7.64"/>
    <x v="0"/>
  </r>
  <r>
    <x v="0"/>
    <s v="石狩郡当別町"/>
    <x v="46"/>
    <x v="9"/>
    <n v="12"/>
    <n v="4.04"/>
    <n v="6"/>
    <n v="4.17"/>
    <n v="6"/>
    <n v="4.17"/>
    <x v="0"/>
  </r>
  <r>
    <x v="0"/>
    <s v="石狩郡当別町"/>
    <x v="46"/>
    <x v="10"/>
    <n v="24"/>
    <n v="8.08"/>
    <n v="18"/>
    <n v="12.5"/>
    <n v="5"/>
    <n v="3.47"/>
    <x v="0"/>
  </r>
  <r>
    <x v="0"/>
    <s v="石狩郡当別町"/>
    <x v="46"/>
    <x v="11"/>
    <n v="39"/>
    <n v="13.13"/>
    <n v="34"/>
    <n v="23.61"/>
    <n v="5"/>
    <n v="3.47"/>
    <x v="0"/>
  </r>
  <r>
    <x v="0"/>
    <s v="石狩郡当別町"/>
    <x v="46"/>
    <x v="12"/>
    <n v="9"/>
    <n v="3.03"/>
    <n v="6"/>
    <n v="4.17"/>
    <n v="1"/>
    <n v="0.69"/>
    <x v="0"/>
  </r>
  <r>
    <x v="0"/>
    <s v="石狩郡当別町"/>
    <x v="46"/>
    <x v="13"/>
    <n v="12"/>
    <n v="4.04"/>
    <n v="2"/>
    <n v="1.39"/>
    <n v="7"/>
    <n v="4.8600000000000003"/>
    <x v="0"/>
  </r>
  <r>
    <x v="0"/>
    <s v="石狩郡当別町"/>
    <x v="46"/>
    <x v="14"/>
    <n v="8"/>
    <n v="2.69"/>
    <n v="2"/>
    <n v="1.39"/>
    <n v="4"/>
    <n v="2.78"/>
    <x v="0"/>
  </r>
  <r>
    <x v="0"/>
    <s v="石狩郡新篠津村"/>
    <x v="47"/>
    <x v="0"/>
    <n v="0"/>
    <n v="0"/>
    <n v="0"/>
    <n v="0"/>
    <n v="0"/>
    <n v="0"/>
    <x v="0"/>
  </r>
  <r>
    <x v="0"/>
    <s v="石狩郡新篠津村"/>
    <x v="47"/>
    <x v="1"/>
    <n v="5"/>
    <n v="15.15"/>
    <n v="1"/>
    <n v="12.5"/>
    <n v="4"/>
    <n v="18.18"/>
    <x v="0"/>
  </r>
  <r>
    <x v="0"/>
    <s v="石狩郡新篠津村"/>
    <x v="47"/>
    <x v="2"/>
    <n v="6"/>
    <n v="18.18"/>
    <n v="0"/>
    <n v="0"/>
    <n v="6"/>
    <n v="27.27"/>
    <x v="0"/>
  </r>
  <r>
    <x v="0"/>
    <s v="石狩郡新篠津村"/>
    <x v="47"/>
    <x v="3"/>
    <n v="0"/>
    <n v="0"/>
    <n v="0"/>
    <n v="0"/>
    <n v="0"/>
    <n v="0"/>
    <x v="0"/>
  </r>
  <r>
    <x v="0"/>
    <s v="石狩郡新篠津村"/>
    <x v="47"/>
    <x v="4"/>
    <n v="0"/>
    <n v="0"/>
    <n v="0"/>
    <n v="0"/>
    <n v="0"/>
    <n v="0"/>
    <x v="0"/>
  </r>
  <r>
    <x v="0"/>
    <s v="石狩郡新篠津村"/>
    <x v="47"/>
    <x v="5"/>
    <n v="2"/>
    <n v="6.06"/>
    <n v="0"/>
    <n v="0"/>
    <n v="2"/>
    <n v="9.09"/>
    <x v="0"/>
  </r>
  <r>
    <x v="0"/>
    <s v="石狩郡新篠津村"/>
    <x v="47"/>
    <x v="6"/>
    <n v="6"/>
    <n v="18.18"/>
    <n v="2"/>
    <n v="25"/>
    <n v="4"/>
    <n v="18.18"/>
    <x v="0"/>
  </r>
  <r>
    <x v="0"/>
    <s v="石狩郡新篠津村"/>
    <x v="47"/>
    <x v="7"/>
    <n v="0"/>
    <n v="0"/>
    <n v="0"/>
    <n v="0"/>
    <n v="0"/>
    <n v="0"/>
    <x v="0"/>
  </r>
  <r>
    <x v="0"/>
    <s v="石狩郡新篠津村"/>
    <x v="47"/>
    <x v="8"/>
    <n v="1"/>
    <n v="3.03"/>
    <n v="0"/>
    <n v="0"/>
    <n v="1"/>
    <n v="4.55"/>
    <x v="0"/>
  </r>
  <r>
    <x v="0"/>
    <s v="石狩郡新篠津村"/>
    <x v="47"/>
    <x v="9"/>
    <n v="0"/>
    <n v="0"/>
    <n v="0"/>
    <n v="0"/>
    <n v="0"/>
    <n v="0"/>
    <x v="0"/>
  </r>
  <r>
    <x v="0"/>
    <s v="石狩郡新篠津村"/>
    <x v="47"/>
    <x v="10"/>
    <n v="6"/>
    <n v="18.18"/>
    <n v="3"/>
    <n v="37.5"/>
    <n v="2"/>
    <n v="9.09"/>
    <x v="0"/>
  </r>
  <r>
    <x v="0"/>
    <s v="石狩郡新篠津村"/>
    <x v="47"/>
    <x v="11"/>
    <n v="4"/>
    <n v="12.12"/>
    <n v="2"/>
    <n v="25"/>
    <n v="0"/>
    <n v="0"/>
    <x v="0"/>
  </r>
  <r>
    <x v="0"/>
    <s v="石狩郡新篠津村"/>
    <x v="47"/>
    <x v="12"/>
    <n v="0"/>
    <n v="0"/>
    <n v="0"/>
    <n v="0"/>
    <n v="0"/>
    <n v="0"/>
    <x v="0"/>
  </r>
  <r>
    <x v="0"/>
    <s v="石狩郡新篠津村"/>
    <x v="47"/>
    <x v="13"/>
    <n v="2"/>
    <n v="6.06"/>
    <n v="0"/>
    <n v="0"/>
    <n v="2"/>
    <n v="9.09"/>
    <x v="0"/>
  </r>
  <r>
    <x v="0"/>
    <s v="石狩郡新篠津村"/>
    <x v="47"/>
    <x v="14"/>
    <n v="1"/>
    <n v="3.03"/>
    <n v="0"/>
    <n v="0"/>
    <n v="1"/>
    <n v="4.55"/>
    <x v="0"/>
  </r>
  <r>
    <x v="0"/>
    <s v="松前郡松前町"/>
    <x v="48"/>
    <x v="0"/>
    <n v="0"/>
    <n v="0"/>
    <n v="0"/>
    <n v="0"/>
    <n v="0"/>
    <n v="0"/>
    <x v="0"/>
  </r>
  <r>
    <x v="0"/>
    <s v="松前郡松前町"/>
    <x v="48"/>
    <x v="1"/>
    <n v="36"/>
    <n v="17.649999999999999"/>
    <n v="21"/>
    <n v="16.03"/>
    <n v="15"/>
    <n v="23.44"/>
    <x v="0"/>
  </r>
  <r>
    <x v="0"/>
    <s v="松前郡松前町"/>
    <x v="48"/>
    <x v="2"/>
    <n v="7"/>
    <n v="3.43"/>
    <n v="1"/>
    <n v="0.76"/>
    <n v="6"/>
    <n v="9.3800000000000008"/>
    <x v="0"/>
  </r>
  <r>
    <x v="0"/>
    <s v="松前郡松前町"/>
    <x v="48"/>
    <x v="3"/>
    <n v="0"/>
    <n v="0"/>
    <n v="0"/>
    <n v="0"/>
    <n v="0"/>
    <n v="0"/>
    <x v="0"/>
  </r>
  <r>
    <x v="0"/>
    <s v="松前郡松前町"/>
    <x v="48"/>
    <x v="4"/>
    <n v="0"/>
    <n v="0"/>
    <n v="0"/>
    <n v="0"/>
    <n v="0"/>
    <n v="0"/>
    <x v="0"/>
  </r>
  <r>
    <x v="0"/>
    <s v="松前郡松前町"/>
    <x v="48"/>
    <x v="5"/>
    <n v="1"/>
    <n v="0.49"/>
    <n v="1"/>
    <n v="0.76"/>
    <n v="0"/>
    <n v="0"/>
    <x v="0"/>
  </r>
  <r>
    <x v="0"/>
    <s v="松前郡松前町"/>
    <x v="48"/>
    <x v="6"/>
    <n v="74"/>
    <n v="36.270000000000003"/>
    <n v="47"/>
    <n v="35.880000000000003"/>
    <n v="27"/>
    <n v="42.19"/>
    <x v="0"/>
  </r>
  <r>
    <x v="0"/>
    <s v="松前郡松前町"/>
    <x v="48"/>
    <x v="7"/>
    <n v="1"/>
    <n v="0.49"/>
    <n v="0"/>
    <n v="0"/>
    <n v="1"/>
    <n v="1.56"/>
    <x v="0"/>
  </r>
  <r>
    <x v="0"/>
    <s v="松前郡松前町"/>
    <x v="48"/>
    <x v="8"/>
    <n v="12"/>
    <n v="5.88"/>
    <n v="8"/>
    <n v="6.11"/>
    <n v="4"/>
    <n v="6.25"/>
    <x v="0"/>
  </r>
  <r>
    <x v="0"/>
    <s v="松前郡松前町"/>
    <x v="48"/>
    <x v="9"/>
    <n v="3"/>
    <n v="1.47"/>
    <n v="2"/>
    <n v="1.53"/>
    <n v="0"/>
    <n v="0"/>
    <x v="0"/>
  </r>
  <r>
    <x v="0"/>
    <s v="松前郡松前町"/>
    <x v="48"/>
    <x v="10"/>
    <n v="12"/>
    <n v="5.88"/>
    <n v="7"/>
    <n v="5.34"/>
    <n v="4"/>
    <n v="6.25"/>
    <x v="0"/>
  </r>
  <r>
    <x v="0"/>
    <s v="松前郡松前町"/>
    <x v="48"/>
    <x v="11"/>
    <n v="38"/>
    <n v="18.63"/>
    <n v="34"/>
    <n v="25.95"/>
    <n v="0"/>
    <n v="0"/>
    <x v="0"/>
  </r>
  <r>
    <x v="0"/>
    <s v="松前郡松前町"/>
    <x v="48"/>
    <x v="12"/>
    <n v="3"/>
    <n v="1.47"/>
    <n v="3"/>
    <n v="2.29"/>
    <n v="0"/>
    <n v="0"/>
    <x v="0"/>
  </r>
  <r>
    <x v="0"/>
    <s v="松前郡松前町"/>
    <x v="48"/>
    <x v="13"/>
    <n v="12"/>
    <n v="5.88"/>
    <n v="4"/>
    <n v="3.05"/>
    <n v="6"/>
    <n v="9.3800000000000008"/>
    <x v="0"/>
  </r>
  <r>
    <x v="0"/>
    <s v="松前郡松前町"/>
    <x v="48"/>
    <x v="14"/>
    <n v="5"/>
    <n v="2.4500000000000002"/>
    <n v="3"/>
    <n v="2.29"/>
    <n v="1"/>
    <n v="1.56"/>
    <x v="0"/>
  </r>
  <r>
    <x v="0"/>
    <s v="松前郡福島町"/>
    <x v="49"/>
    <x v="0"/>
    <n v="0"/>
    <n v="0"/>
    <n v="0"/>
    <n v="0"/>
    <n v="0"/>
    <n v="0"/>
    <x v="0"/>
  </r>
  <r>
    <x v="0"/>
    <s v="松前郡福島町"/>
    <x v="49"/>
    <x v="1"/>
    <n v="25"/>
    <n v="15.92"/>
    <n v="16"/>
    <n v="15.69"/>
    <n v="9"/>
    <n v="18.75"/>
    <x v="0"/>
  </r>
  <r>
    <x v="0"/>
    <s v="松前郡福島町"/>
    <x v="49"/>
    <x v="2"/>
    <n v="9"/>
    <n v="5.73"/>
    <n v="6"/>
    <n v="5.88"/>
    <n v="3"/>
    <n v="6.25"/>
    <x v="0"/>
  </r>
  <r>
    <x v="0"/>
    <s v="松前郡福島町"/>
    <x v="49"/>
    <x v="3"/>
    <n v="2"/>
    <n v="1.27"/>
    <n v="0"/>
    <n v="0"/>
    <n v="1"/>
    <n v="2.08"/>
    <x v="0"/>
  </r>
  <r>
    <x v="0"/>
    <s v="松前郡福島町"/>
    <x v="49"/>
    <x v="4"/>
    <n v="0"/>
    <n v="0"/>
    <n v="0"/>
    <n v="0"/>
    <n v="0"/>
    <n v="0"/>
    <x v="0"/>
  </r>
  <r>
    <x v="0"/>
    <s v="松前郡福島町"/>
    <x v="49"/>
    <x v="5"/>
    <n v="1"/>
    <n v="0.64"/>
    <n v="1"/>
    <n v="0.98"/>
    <n v="0"/>
    <n v="0"/>
    <x v="0"/>
  </r>
  <r>
    <x v="0"/>
    <s v="松前郡福島町"/>
    <x v="49"/>
    <x v="6"/>
    <n v="44"/>
    <n v="28.03"/>
    <n v="23"/>
    <n v="22.55"/>
    <n v="21"/>
    <n v="43.75"/>
    <x v="0"/>
  </r>
  <r>
    <x v="0"/>
    <s v="松前郡福島町"/>
    <x v="49"/>
    <x v="7"/>
    <n v="0"/>
    <n v="0"/>
    <n v="0"/>
    <n v="0"/>
    <n v="0"/>
    <n v="0"/>
    <x v="0"/>
  </r>
  <r>
    <x v="0"/>
    <s v="松前郡福島町"/>
    <x v="49"/>
    <x v="8"/>
    <n v="10"/>
    <n v="6.37"/>
    <n v="9"/>
    <n v="8.82"/>
    <n v="1"/>
    <n v="2.08"/>
    <x v="0"/>
  </r>
  <r>
    <x v="0"/>
    <s v="松前郡福島町"/>
    <x v="49"/>
    <x v="9"/>
    <n v="4"/>
    <n v="2.5499999999999998"/>
    <n v="3"/>
    <n v="2.94"/>
    <n v="1"/>
    <n v="2.08"/>
    <x v="0"/>
  </r>
  <r>
    <x v="0"/>
    <s v="松前郡福島町"/>
    <x v="49"/>
    <x v="10"/>
    <n v="15"/>
    <n v="9.5500000000000007"/>
    <n v="13"/>
    <n v="12.75"/>
    <n v="2"/>
    <n v="4.17"/>
    <x v="0"/>
  </r>
  <r>
    <x v="0"/>
    <s v="松前郡福島町"/>
    <x v="49"/>
    <x v="11"/>
    <n v="22"/>
    <n v="14.01"/>
    <n v="18"/>
    <n v="17.649999999999999"/>
    <n v="3"/>
    <n v="6.25"/>
    <x v="0"/>
  </r>
  <r>
    <x v="0"/>
    <s v="松前郡福島町"/>
    <x v="49"/>
    <x v="12"/>
    <n v="7"/>
    <n v="4.46"/>
    <n v="6"/>
    <n v="5.88"/>
    <n v="0"/>
    <n v="0"/>
    <x v="0"/>
  </r>
  <r>
    <x v="0"/>
    <s v="松前郡福島町"/>
    <x v="49"/>
    <x v="13"/>
    <n v="10"/>
    <n v="6.37"/>
    <n v="6"/>
    <n v="5.88"/>
    <n v="3"/>
    <n v="6.25"/>
    <x v="0"/>
  </r>
  <r>
    <x v="0"/>
    <s v="松前郡福島町"/>
    <x v="49"/>
    <x v="14"/>
    <n v="8"/>
    <n v="5.0999999999999996"/>
    <n v="1"/>
    <n v="0.98"/>
    <n v="4"/>
    <n v="8.33"/>
    <x v="0"/>
  </r>
  <r>
    <x v="0"/>
    <s v="上磯郡知内町"/>
    <x v="50"/>
    <x v="0"/>
    <n v="0"/>
    <n v="0"/>
    <n v="0"/>
    <n v="0"/>
    <n v="0"/>
    <n v="0"/>
    <x v="0"/>
  </r>
  <r>
    <x v="0"/>
    <s v="上磯郡知内町"/>
    <x v="50"/>
    <x v="1"/>
    <n v="17"/>
    <n v="17.170000000000002"/>
    <n v="9"/>
    <n v="15.25"/>
    <n v="8"/>
    <n v="22.86"/>
    <x v="0"/>
  </r>
  <r>
    <x v="0"/>
    <s v="上磯郡知内町"/>
    <x v="50"/>
    <x v="2"/>
    <n v="13"/>
    <n v="13.13"/>
    <n v="5"/>
    <n v="8.4700000000000006"/>
    <n v="8"/>
    <n v="22.86"/>
    <x v="0"/>
  </r>
  <r>
    <x v="0"/>
    <s v="上磯郡知内町"/>
    <x v="50"/>
    <x v="3"/>
    <n v="2"/>
    <n v="2.02"/>
    <n v="0"/>
    <n v="0"/>
    <n v="1"/>
    <n v="2.86"/>
    <x v="0"/>
  </r>
  <r>
    <x v="0"/>
    <s v="上磯郡知内町"/>
    <x v="50"/>
    <x v="4"/>
    <n v="1"/>
    <n v="1.01"/>
    <n v="0"/>
    <n v="0"/>
    <n v="1"/>
    <n v="2.86"/>
    <x v="0"/>
  </r>
  <r>
    <x v="0"/>
    <s v="上磯郡知内町"/>
    <x v="50"/>
    <x v="5"/>
    <n v="1"/>
    <n v="1.01"/>
    <n v="0"/>
    <n v="0"/>
    <n v="1"/>
    <n v="2.86"/>
    <x v="0"/>
  </r>
  <r>
    <x v="0"/>
    <s v="上磯郡知内町"/>
    <x v="50"/>
    <x v="6"/>
    <n v="18"/>
    <n v="18.18"/>
    <n v="11"/>
    <n v="18.64"/>
    <n v="7"/>
    <n v="20"/>
    <x v="0"/>
  </r>
  <r>
    <x v="0"/>
    <s v="上磯郡知内町"/>
    <x v="50"/>
    <x v="7"/>
    <n v="1"/>
    <n v="1.01"/>
    <n v="0"/>
    <n v="0"/>
    <n v="1"/>
    <n v="2.86"/>
    <x v="0"/>
  </r>
  <r>
    <x v="0"/>
    <s v="上磯郡知内町"/>
    <x v="50"/>
    <x v="8"/>
    <n v="2"/>
    <n v="2.02"/>
    <n v="0"/>
    <n v="0"/>
    <n v="2"/>
    <n v="5.71"/>
    <x v="0"/>
  </r>
  <r>
    <x v="0"/>
    <s v="上磯郡知内町"/>
    <x v="50"/>
    <x v="9"/>
    <n v="3"/>
    <n v="3.03"/>
    <n v="2"/>
    <n v="3.39"/>
    <n v="0"/>
    <n v="0"/>
    <x v="0"/>
  </r>
  <r>
    <x v="0"/>
    <s v="上磯郡知内町"/>
    <x v="50"/>
    <x v="10"/>
    <n v="21"/>
    <n v="21.21"/>
    <n v="17"/>
    <n v="28.81"/>
    <n v="3"/>
    <n v="8.57"/>
    <x v="0"/>
  </r>
  <r>
    <x v="0"/>
    <s v="上磯郡知内町"/>
    <x v="50"/>
    <x v="11"/>
    <n v="13"/>
    <n v="13.13"/>
    <n v="12"/>
    <n v="20.34"/>
    <n v="0"/>
    <n v="0"/>
    <x v="0"/>
  </r>
  <r>
    <x v="0"/>
    <s v="上磯郡知内町"/>
    <x v="50"/>
    <x v="12"/>
    <n v="3"/>
    <n v="3.03"/>
    <n v="2"/>
    <n v="3.39"/>
    <n v="0"/>
    <n v="0"/>
    <x v="0"/>
  </r>
  <r>
    <x v="0"/>
    <s v="上磯郡知内町"/>
    <x v="50"/>
    <x v="13"/>
    <n v="1"/>
    <n v="1.01"/>
    <n v="1"/>
    <n v="1.69"/>
    <n v="0"/>
    <n v="0"/>
    <x v="0"/>
  </r>
  <r>
    <x v="0"/>
    <s v="上磯郡知内町"/>
    <x v="50"/>
    <x v="14"/>
    <n v="3"/>
    <n v="3.03"/>
    <n v="0"/>
    <n v="0"/>
    <n v="3"/>
    <n v="8.57"/>
    <x v="0"/>
  </r>
  <r>
    <x v="0"/>
    <s v="上磯郡木古内町"/>
    <x v="51"/>
    <x v="0"/>
    <n v="0"/>
    <n v="0"/>
    <n v="0"/>
    <n v="0"/>
    <n v="0"/>
    <n v="0"/>
    <x v="0"/>
  </r>
  <r>
    <x v="0"/>
    <s v="上磯郡木古内町"/>
    <x v="51"/>
    <x v="1"/>
    <n v="21"/>
    <n v="15.67"/>
    <n v="13"/>
    <n v="15.48"/>
    <n v="8"/>
    <n v="18.600000000000001"/>
    <x v="0"/>
  </r>
  <r>
    <x v="0"/>
    <s v="上磯郡木古内町"/>
    <x v="51"/>
    <x v="2"/>
    <n v="8"/>
    <n v="5.97"/>
    <n v="4"/>
    <n v="4.76"/>
    <n v="4"/>
    <n v="9.3000000000000007"/>
    <x v="0"/>
  </r>
  <r>
    <x v="0"/>
    <s v="上磯郡木古内町"/>
    <x v="51"/>
    <x v="3"/>
    <n v="1"/>
    <n v="0.75"/>
    <n v="0"/>
    <n v="0"/>
    <n v="0"/>
    <n v="0"/>
    <x v="0"/>
  </r>
  <r>
    <x v="0"/>
    <s v="上磯郡木古内町"/>
    <x v="51"/>
    <x v="4"/>
    <n v="1"/>
    <n v="0.75"/>
    <n v="0"/>
    <n v="0"/>
    <n v="1"/>
    <n v="2.33"/>
    <x v="0"/>
  </r>
  <r>
    <x v="0"/>
    <s v="上磯郡木古内町"/>
    <x v="51"/>
    <x v="5"/>
    <n v="3"/>
    <n v="2.2400000000000002"/>
    <n v="0"/>
    <n v="0"/>
    <n v="2"/>
    <n v="4.6500000000000004"/>
    <x v="1"/>
  </r>
  <r>
    <x v="0"/>
    <s v="上磯郡木古内町"/>
    <x v="51"/>
    <x v="6"/>
    <n v="35"/>
    <n v="26.12"/>
    <n v="18"/>
    <n v="21.43"/>
    <n v="16"/>
    <n v="37.21"/>
    <x v="1"/>
  </r>
  <r>
    <x v="0"/>
    <s v="上磯郡木古内町"/>
    <x v="51"/>
    <x v="7"/>
    <n v="3"/>
    <n v="2.2400000000000002"/>
    <n v="0"/>
    <n v="0"/>
    <n v="3"/>
    <n v="6.98"/>
    <x v="0"/>
  </r>
  <r>
    <x v="0"/>
    <s v="上磯郡木古内町"/>
    <x v="51"/>
    <x v="8"/>
    <n v="4"/>
    <n v="2.99"/>
    <n v="1"/>
    <n v="1.19"/>
    <n v="3"/>
    <n v="6.98"/>
    <x v="0"/>
  </r>
  <r>
    <x v="0"/>
    <s v="上磯郡木古内町"/>
    <x v="51"/>
    <x v="9"/>
    <n v="4"/>
    <n v="2.99"/>
    <n v="3"/>
    <n v="3.57"/>
    <n v="1"/>
    <n v="2.33"/>
    <x v="0"/>
  </r>
  <r>
    <x v="0"/>
    <s v="上磯郡木古内町"/>
    <x v="51"/>
    <x v="10"/>
    <n v="22"/>
    <n v="16.420000000000002"/>
    <n v="20"/>
    <n v="23.81"/>
    <n v="2"/>
    <n v="4.6500000000000004"/>
    <x v="0"/>
  </r>
  <r>
    <x v="0"/>
    <s v="上磯郡木古内町"/>
    <x v="51"/>
    <x v="11"/>
    <n v="24"/>
    <n v="17.91"/>
    <n v="20"/>
    <n v="23.81"/>
    <n v="1"/>
    <n v="2.33"/>
    <x v="1"/>
  </r>
  <r>
    <x v="0"/>
    <s v="上磯郡木古内町"/>
    <x v="51"/>
    <x v="12"/>
    <n v="3"/>
    <n v="2.2400000000000002"/>
    <n v="2"/>
    <n v="2.38"/>
    <n v="0"/>
    <n v="0"/>
    <x v="0"/>
  </r>
  <r>
    <x v="0"/>
    <s v="上磯郡木古内町"/>
    <x v="51"/>
    <x v="13"/>
    <n v="2"/>
    <n v="1.49"/>
    <n v="1"/>
    <n v="1.19"/>
    <n v="1"/>
    <n v="2.33"/>
    <x v="0"/>
  </r>
  <r>
    <x v="0"/>
    <s v="上磯郡木古内町"/>
    <x v="51"/>
    <x v="14"/>
    <n v="3"/>
    <n v="2.2400000000000002"/>
    <n v="2"/>
    <n v="2.38"/>
    <n v="1"/>
    <n v="2.33"/>
    <x v="0"/>
  </r>
  <r>
    <x v="0"/>
    <s v="亀田郡七飯町"/>
    <x v="52"/>
    <x v="0"/>
    <n v="0"/>
    <n v="0"/>
    <n v="0"/>
    <n v="0"/>
    <n v="0"/>
    <n v="0"/>
    <x v="0"/>
  </r>
  <r>
    <x v="0"/>
    <s v="亀田郡七飯町"/>
    <x v="52"/>
    <x v="1"/>
    <n v="91"/>
    <n v="19.57"/>
    <n v="27"/>
    <n v="12.86"/>
    <n v="64"/>
    <n v="26.12"/>
    <x v="0"/>
  </r>
  <r>
    <x v="0"/>
    <s v="亀田郡七飯町"/>
    <x v="52"/>
    <x v="2"/>
    <n v="33"/>
    <n v="7.1"/>
    <n v="8"/>
    <n v="3.81"/>
    <n v="23"/>
    <n v="9.39"/>
    <x v="14"/>
  </r>
  <r>
    <x v="0"/>
    <s v="亀田郡七飯町"/>
    <x v="52"/>
    <x v="3"/>
    <n v="0"/>
    <n v="0"/>
    <n v="0"/>
    <n v="0"/>
    <n v="0"/>
    <n v="0"/>
    <x v="0"/>
  </r>
  <r>
    <x v="0"/>
    <s v="亀田郡七飯町"/>
    <x v="52"/>
    <x v="4"/>
    <n v="0"/>
    <n v="0"/>
    <n v="0"/>
    <n v="0"/>
    <n v="0"/>
    <n v="0"/>
    <x v="0"/>
  </r>
  <r>
    <x v="0"/>
    <s v="亀田郡七飯町"/>
    <x v="52"/>
    <x v="5"/>
    <n v="6"/>
    <n v="1.29"/>
    <n v="1"/>
    <n v="0.48"/>
    <n v="5"/>
    <n v="2.04"/>
    <x v="0"/>
  </r>
  <r>
    <x v="0"/>
    <s v="亀田郡七飯町"/>
    <x v="52"/>
    <x v="6"/>
    <n v="89"/>
    <n v="19.14"/>
    <n v="37"/>
    <n v="17.62"/>
    <n v="52"/>
    <n v="21.22"/>
    <x v="0"/>
  </r>
  <r>
    <x v="0"/>
    <s v="亀田郡七飯町"/>
    <x v="52"/>
    <x v="7"/>
    <n v="5"/>
    <n v="1.08"/>
    <n v="2"/>
    <n v="0.95"/>
    <n v="3"/>
    <n v="1.22"/>
    <x v="0"/>
  </r>
  <r>
    <x v="0"/>
    <s v="亀田郡七飯町"/>
    <x v="52"/>
    <x v="8"/>
    <n v="20"/>
    <n v="4.3"/>
    <n v="2"/>
    <n v="0.95"/>
    <n v="18"/>
    <n v="7.35"/>
    <x v="0"/>
  </r>
  <r>
    <x v="0"/>
    <s v="亀田郡七飯町"/>
    <x v="52"/>
    <x v="9"/>
    <n v="17"/>
    <n v="3.66"/>
    <n v="10"/>
    <n v="4.76"/>
    <n v="7"/>
    <n v="2.86"/>
    <x v="0"/>
  </r>
  <r>
    <x v="0"/>
    <s v="亀田郡七飯町"/>
    <x v="52"/>
    <x v="10"/>
    <n v="47"/>
    <n v="10.11"/>
    <n v="28"/>
    <n v="13.33"/>
    <n v="18"/>
    <n v="7.35"/>
    <x v="0"/>
  </r>
  <r>
    <x v="0"/>
    <s v="亀田郡七飯町"/>
    <x v="52"/>
    <x v="11"/>
    <n v="66"/>
    <n v="14.19"/>
    <n v="54"/>
    <n v="25.71"/>
    <n v="11"/>
    <n v="4.49"/>
    <x v="0"/>
  </r>
  <r>
    <x v="0"/>
    <s v="亀田郡七飯町"/>
    <x v="52"/>
    <x v="12"/>
    <n v="13"/>
    <n v="2.8"/>
    <n v="9"/>
    <n v="4.29"/>
    <n v="2"/>
    <n v="0.82"/>
    <x v="0"/>
  </r>
  <r>
    <x v="0"/>
    <s v="亀田郡七飯町"/>
    <x v="52"/>
    <x v="13"/>
    <n v="44"/>
    <n v="9.4600000000000009"/>
    <n v="15"/>
    <n v="7.14"/>
    <n v="26"/>
    <n v="10.61"/>
    <x v="0"/>
  </r>
  <r>
    <x v="0"/>
    <s v="亀田郡七飯町"/>
    <x v="52"/>
    <x v="14"/>
    <n v="34"/>
    <n v="7.31"/>
    <n v="17"/>
    <n v="8.1"/>
    <n v="16"/>
    <n v="6.53"/>
    <x v="0"/>
  </r>
  <r>
    <x v="0"/>
    <s v="茅部郡鹿部町"/>
    <x v="53"/>
    <x v="0"/>
    <n v="0"/>
    <n v="0"/>
    <n v="0"/>
    <n v="0"/>
    <n v="0"/>
    <n v="0"/>
    <x v="0"/>
  </r>
  <r>
    <x v="0"/>
    <s v="茅部郡鹿部町"/>
    <x v="53"/>
    <x v="1"/>
    <n v="18"/>
    <n v="20.22"/>
    <n v="7"/>
    <n v="14"/>
    <n v="11"/>
    <n v="28.21"/>
    <x v="0"/>
  </r>
  <r>
    <x v="0"/>
    <s v="茅部郡鹿部町"/>
    <x v="53"/>
    <x v="2"/>
    <n v="9"/>
    <n v="10.11"/>
    <n v="2"/>
    <n v="4"/>
    <n v="7"/>
    <n v="17.95"/>
    <x v="0"/>
  </r>
  <r>
    <x v="0"/>
    <s v="茅部郡鹿部町"/>
    <x v="53"/>
    <x v="3"/>
    <n v="1"/>
    <n v="1.1200000000000001"/>
    <n v="0"/>
    <n v="0"/>
    <n v="1"/>
    <n v="2.56"/>
    <x v="0"/>
  </r>
  <r>
    <x v="0"/>
    <s v="茅部郡鹿部町"/>
    <x v="53"/>
    <x v="4"/>
    <n v="0"/>
    <n v="0"/>
    <n v="0"/>
    <n v="0"/>
    <n v="0"/>
    <n v="0"/>
    <x v="0"/>
  </r>
  <r>
    <x v="0"/>
    <s v="茅部郡鹿部町"/>
    <x v="53"/>
    <x v="5"/>
    <n v="1"/>
    <n v="1.1200000000000001"/>
    <n v="0"/>
    <n v="0"/>
    <n v="1"/>
    <n v="2.56"/>
    <x v="0"/>
  </r>
  <r>
    <x v="0"/>
    <s v="茅部郡鹿部町"/>
    <x v="53"/>
    <x v="6"/>
    <n v="24"/>
    <n v="26.97"/>
    <n v="14"/>
    <n v="28"/>
    <n v="10"/>
    <n v="25.64"/>
    <x v="0"/>
  </r>
  <r>
    <x v="0"/>
    <s v="茅部郡鹿部町"/>
    <x v="53"/>
    <x v="7"/>
    <n v="0"/>
    <n v="0"/>
    <n v="0"/>
    <n v="0"/>
    <n v="0"/>
    <n v="0"/>
    <x v="0"/>
  </r>
  <r>
    <x v="0"/>
    <s v="茅部郡鹿部町"/>
    <x v="53"/>
    <x v="8"/>
    <n v="0"/>
    <n v="0"/>
    <n v="0"/>
    <n v="0"/>
    <n v="0"/>
    <n v="0"/>
    <x v="0"/>
  </r>
  <r>
    <x v="0"/>
    <s v="茅部郡鹿部町"/>
    <x v="53"/>
    <x v="9"/>
    <n v="0"/>
    <n v="0"/>
    <n v="0"/>
    <n v="0"/>
    <n v="0"/>
    <n v="0"/>
    <x v="0"/>
  </r>
  <r>
    <x v="0"/>
    <s v="茅部郡鹿部町"/>
    <x v="53"/>
    <x v="10"/>
    <n v="14"/>
    <n v="15.73"/>
    <n v="12"/>
    <n v="24"/>
    <n v="2"/>
    <n v="5.13"/>
    <x v="0"/>
  </r>
  <r>
    <x v="0"/>
    <s v="茅部郡鹿部町"/>
    <x v="53"/>
    <x v="11"/>
    <n v="13"/>
    <n v="14.61"/>
    <n v="11"/>
    <n v="22"/>
    <n v="2"/>
    <n v="5.13"/>
    <x v="0"/>
  </r>
  <r>
    <x v="0"/>
    <s v="茅部郡鹿部町"/>
    <x v="53"/>
    <x v="12"/>
    <n v="2"/>
    <n v="2.25"/>
    <n v="1"/>
    <n v="2"/>
    <n v="1"/>
    <n v="2.56"/>
    <x v="0"/>
  </r>
  <r>
    <x v="0"/>
    <s v="茅部郡鹿部町"/>
    <x v="53"/>
    <x v="13"/>
    <n v="3"/>
    <n v="3.37"/>
    <n v="1"/>
    <n v="2"/>
    <n v="2"/>
    <n v="5.13"/>
    <x v="0"/>
  </r>
  <r>
    <x v="0"/>
    <s v="茅部郡鹿部町"/>
    <x v="53"/>
    <x v="14"/>
    <n v="4"/>
    <n v="4.49"/>
    <n v="2"/>
    <n v="4"/>
    <n v="2"/>
    <n v="5.13"/>
    <x v="0"/>
  </r>
  <r>
    <x v="0"/>
    <s v="茅部郡森町"/>
    <x v="54"/>
    <x v="0"/>
    <n v="1"/>
    <n v="0.2"/>
    <n v="0"/>
    <n v="0"/>
    <n v="1"/>
    <n v="0.48"/>
    <x v="0"/>
  </r>
  <r>
    <x v="0"/>
    <s v="茅部郡森町"/>
    <x v="54"/>
    <x v="1"/>
    <n v="76"/>
    <n v="15.32"/>
    <n v="34"/>
    <n v="12.32"/>
    <n v="42"/>
    <n v="20.190000000000001"/>
    <x v="0"/>
  </r>
  <r>
    <x v="0"/>
    <s v="茅部郡森町"/>
    <x v="54"/>
    <x v="2"/>
    <n v="46"/>
    <n v="9.27"/>
    <n v="6"/>
    <n v="2.17"/>
    <n v="40"/>
    <n v="19.23"/>
    <x v="0"/>
  </r>
  <r>
    <x v="0"/>
    <s v="茅部郡森町"/>
    <x v="54"/>
    <x v="3"/>
    <n v="3"/>
    <n v="0.6"/>
    <n v="0"/>
    <n v="0"/>
    <n v="2"/>
    <n v="0.96"/>
    <x v="0"/>
  </r>
  <r>
    <x v="0"/>
    <s v="茅部郡森町"/>
    <x v="54"/>
    <x v="4"/>
    <n v="1"/>
    <n v="0.2"/>
    <n v="0"/>
    <n v="0"/>
    <n v="1"/>
    <n v="0.48"/>
    <x v="0"/>
  </r>
  <r>
    <x v="0"/>
    <s v="茅部郡森町"/>
    <x v="54"/>
    <x v="5"/>
    <n v="11"/>
    <n v="2.2200000000000002"/>
    <n v="1"/>
    <n v="0.36"/>
    <n v="10"/>
    <n v="4.8099999999999996"/>
    <x v="0"/>
  </r>
  <r>
    <x v="0"/>
    <s v="茅部郡森町"/>
    <x v="54"/>
    <x v="6"/>
    <n v="119"/>
    <n v="23.99"/>
    <n v="69"/>
    <n v="25"/>
    <n v="50"/>
    <n v="24.04"/>
    <x v="0"/>
  </r>
  <r>
    <x v="0"/>
    <s v="茅部郡森町"/>
    <x v="54"/>
    <x v="7"/>
    <n v="4"/>
    <n v="0.81"/>
    <n v="1"/>
    <n v="0.36"/>
    <n v="3"/>
    <n v="1.44"/>
    <x v="0"/>
  </r>
  <r>
    <x v="0"/>
    <s v="茅部郡森町"/>
    <x v="54"/>
    <x v="8"/>
    <n v="27"/>
    <n v="5.44"/>
    <n v="19"/>
    <n v="6.88"/>
    <n v="8"/>
    <n v="3.85"/>
    <x v="0"/>
  </r>
  <r>
    <x v="0"/>
    <s v="茅部郡森町"/>
    <x v="54"/>
    <x v="9"/>
    <n v="12"/>
    <n v="2.42"/>
    <n v="5"/>
    <n v="1.81"/>
    <n v="5"/>
    <n v="2.4"/>
    <x v="0"/>
  </r>
  <r>
    <x v="0"/>
    <s v="茅部郡森町"/>
    <x v="54"/>
    <x v="10"/>
    <n v="61"/>
    <n v="12.3"/>
    <n v="51"/>
    <n v="18.48"/>
    <n v="10"/>
    <n v="4.8099999999999996"/>
    <x v="0"/>
  </r>
  <r>
    <x v="0"/>
    <s v="茅部郡森町"/>
    <x v="54"/>
    <x v="11"/>
    <n v="67"/>
    <n v="13.51"/>
    <n v="63"/>
    <n v="22.83"/>
    <n v="4"/>
    <n v="1.92"/>
    <x v="0"/>
  </r>
  <r>
    <x v="0"/>
    <s v="茅部郡森町"/>
    <x v="54"/>
    <x v="12"/>
    <n v="12"/>
    <n v="2.42"/>
    <n v="11"/>
    <n v="3.99"/>
    <n v="0"/>
    <n v="0"/>
    <x v="0"/>
  </r>
  <r>
    <x v="0"/>
    <s v="茅部郡森町"/>
    <x v="54"/>
    <x v="13"/>
    <n v="26"/>
    <n v="5.24"/>
    <n v="8"/>
    <n v="2.9"/>
    <n v="14"/>
    <n v="6.73"/>
    <x v="1"/>
  </r>
  <r>
    <x v="0"/>
    <s v="茅部郡森町"/>
    <x v="54"/>
    <x v="14"/>
    <n v="30"/>
    <n v="6.05"/>
    <n v="8"/>
    <n v="2.9"/>
    <n v="18"/>
    <n v="8.65"/>
    <x v="0"/>
  </r>
  <r>
    <x v="0"/>
    <s v="二海郡八雲町"/>
    <x v="55"/>
    <x v="0"/>
    <n v="0"/>
    <n v="0"/>
    <n v="0"/>
    <n v="0"/>
    <n v="0"/>
    <n v="0"/>
    <x v="0"/>
  </r>
  <r>
    <x v="0"/>
    <s v="二海郡八雲町"/>
    <x v="55"/>
    <x v="1"/>
    <n v="76"/>
    <n v="15.26"/>
    <n v="28"/>
    <n v="10.65"/>
    <n v="48"/>
    <n v="22.22"/>
    <x v="0"/>
  </r>
  <r>
    <x v="0"/>
    <s v="二海郡八雲町"/>
    <x v="55"/>
    <x v="2"/>
    <n v="35"/>
    <n v="7.03"/>
    <n v="9"/>
    <n v="3.42"/>
    <n v="26"/>
    <n v="12.04"/>
    <x v="0"/>
  </r>
  <r>
    <x v="0"/>
    <s v="二海郡八雲町"/>
    <x v="55"/>
    <x v="3"/>
    <n v="3"/>
    <n v="0.6"/>
    <n v="2"/>
    <n v="0.76"/>
    <n v="0"/>
    <n v="0"/>
    <x v="0"/>
  </r>
  <r>
    <x v="0"/>
    <s v="二海郡八雲町"/>
    <x v="55"/>
    <x v="4"/>
    <n v="1"/>
    <n v="0.2"/>
    <n v="0"/>
    <n v="0"/>
    <n v="1"/>
    <n v="0.46"/>
    <x v="0"/>
  </r>
  <r>
    <x v="0"/>
    <s v="二海郡八雲町"/>
    <x v="55"/>
    <x v="5"/>
    <n v="4"/>
    <n v="0.8"/>
    <n v="0"/>
    <n v="0"/>
    <n v="4"/>
    <n v="1.85"/>
    <x v="0"/>
  </r>
  <r>
    <x v="0"/>
    <s v="二海郡八雲町"/>
    <x v="55"/>
    <x v="6"/>
    <n v="129"/>
    <n v="25.9"/>
    <n v="58"/>
    <n v="22.05"/>
    <n v="71"/>
    <n v="32.869999999999997"/>
    <x v="0"/>
  </r>
  <r>
    <x v="0"/>
    <s v="二海郡八雲町"/>
    <x v="55"/>
    <x v="7"/>
    <n v="3"/>
    <n v="0.6"/>
    <n v="0"/>
    <n v="0"/>
    <n v="3"/>
    <n v="1.39"/>
    <x v="0"/>
  </r>
  <r>
    <x v="0"/>
    <s v="二海郡八雲町"/>
    <x v="55"/>
    <x v="8"/>
    <n v="34"/>
    <n v="6.83"/>
    <n v="18"/>
    <n v="6.84"/>
    <n v="14"/>
    <n v="6.48"/>
    <x v="0"/>
  </r>
  <r>
    <x v="0"/>
    <s v="二海郡八雲町"/>
    <x v="55"/>
    <x v="9"/>
    <n v="12"/>
    <n v="2.41"/>
    <n v="3"/>
    <n v="1.1399999999999999"/>
    <n v="8"/>
    <n v="3.7"/>
    <x v="0"/>
  </r>
  <r>
    <x v="0"/>
    <s v="二海郡八雲町"/>
    <x v="55"/>
    <x v="10"/>
    <n v="89"/>
    <n v="17.87"/>
    <n v="71"/>
    <n v="27"/>
    <n v="16"/>
    <n v="7.41"/>
    <x v="1"/>
  </r>
  <r>
    <x v="0"/>
    <s v="二海郡八雲町"/>
    <x v="55"/>
    <x v="11"/>
    <n v="64"/>
    <n v="12.85"/>
    <n v="52"/>
    <n v="19.77"/>
    <n v="6"/>
    <n v="2.78"/>
    <x v="0"/>
  </r>
  <r>
    <x v="0"/>
    <s v="二海郡八雲町"/>
    <x v="55"/>
    <x v="12"/>
    <n v="5"/>
    <n v="1"/>
    <n v="2"/>
    <n v="0.76"/>
    <n v="2"/>
    <n v="0.93"/>
    <x v="0"/>
  </r>
  <r>
    <x v="0"/>
    <s v="二海郡八雲町"/>
    <x v="55"/>
    <x v="13"/>
    <n v="15"/>
    <n v="3.01"/>
    <n v="8"/>
    <n v="3.04"/>
    <n v="6"/>
    <n v="2.78"/>
    <x v="0"/>
  </r>
  <r>
    <x v="0"/>
    <s v="二海郡八雲町"/>
    <x v="55"/>
    <x v="14"/>
    <n v="28"/>
    <n v="5.62"/>
    <n v="12"/>
    <n v="4.5599999999999996"/>
    <n v="11"/>
    <n v="5.09"/>
    <x v="14"/>
  </r>
  <r>
    <x v="0"/>
    <s v="山越郡長万部町"/>
    <x v="56"/>
    <x v="0"/>
    <n v="0"/>
    <n v="0"/>
    <n v="0"/>
    <n v="0"/>
    <n v="0"/>
    <n v="0"/>
    <x v="0"/>
  </r>
  <r>
    <x v="0"/>
    <s v="山越郡長万部町"/>
    <x v="56"/>
    <x v="1"/>
    <n v="22"/>
    <n v="12.57"/>
    <n v="6"/>
    <n v="7.06"/>
    <n v="16"/>
    <n v="19.75"/>
    <x v="0"/>
  </r>
  <r>
    <x v="0"/>
    <s v="山越郡長万部町"/>
    <x v="56"/>
    <x v="2"/>
    <n v="15"/>
    <n v="8.57"/>
    <n v="4"/>
    <n v="4.71"/>
    <n v="11"/>
    <n v="13.58"/>
    <x v="0"/>
  </r>
  <r>
    <x v="0"/>
    <s v="山越郡長万部町"/>
    <x v="56"/>
    <x v="3"/>
    <n v="3"/>
    <n v="1.71"/>
    <n v="0"/>
    <n v="0"/>
    <n v="0"/>
    <n v="0"/>
    <x v="0"/>
  </r>
  <r>
    <x v="0"/>
    <s v="山越郡長万部町"/>
    <x v="56"/>
    <x v="4"/>
    <n v="0"/>
    <n v="0"/>
    <n v="0"/>
    <n v="0"/>
    <n v="0"/>
    <n v="0"/>
    <x v="0"/>
  </r>
  <r>
    <x v="0"/>
    <s v="山越郡長万部町"/>
    <x v="56"/>
    <x v="5"/>
    <n v="2"/>
    <n v="1.1399999999999999"/>
    <n v="1"/>
    <n v="1.18"/>
    <n v="1"/>
    <n v="1.23"/>
    <x v="0"/>
  </r>
  <r>
    <x v="0"/>
    <s v="山越郡長万部町"/>
    <x v="56"/>
    <x v="6"/>
    <n v="45"/>
    <n v="25.71"/>
    <n v="21"/>
    <n v="24.71"/>
    <n v="24"/>
    <n v="29.63"/>
    <x v="0"/>
  </r>
  <r>
    <x v="0"/>
    <s v="山越郡長万部町"/>
    <x v="56"/>
    <x v="7"/>
    <n v="2"/>
    <n v="1.1399999999999999"/>
    <n v="0"/>
    <n v="0"/>
    <n v="2"/>
    <n v="2.4700000000000002"/>
    <x v="0"/>
  </r>
  <r>
    <x v="0"/>
    <s v="山越郡長万部町"/>
    <x v="56"/>
    <x v="8"/>
    <n v="3"/>
    <n v="1.71"/>
    <n v="1"/>
    <n v="1.18"/>
    <n v="2"/>
    <n v="2.4700000000000002"/>
    <x v="0"/>
  </r>
  <r>
    <x v="0"/>
    <s v="山越郡長万部町"/>
    <x v="56"/>
    <x v="9"/>
    <n v="4"/>
    <n v="2.29"/>
    <n v="3"/>
    <n v="3.53"/>
    <n v="1"/>
    <n v="1.23"/>
    <x v="0"/>
  </r>
  <r>
    <x v="0"/>
    <s v="山越郡長万部町"/>
    <x v="56"/>
    <x v="10"/>
    <n v="34"/>
    <n v="19.43"/>
    <n v="26"/>
    <n v="30.59"/>
    <n v="7"/>
    <n v="8.64"/>
    <x v="0"/>
  </r>
  <r>
    <x v="0"/>
    <s v="山越郡長万部町"/>
    <x v="56"/>
    <x v="11"/>
    <n v="19"/>
    <n v="10.86"/>
    <n v="15"/>
    <n v="17.649999999999999"/>
    <n v="3"/>
    <n v="3.7"/>
    <x v="0"/>
  </r>
  <r>
    <x v="0"/>
    <s v="山越郡長万部町"/>
    <x v="56"/>
    <x v="12"/>
    <n v="6"/>
    <n v="3.43"/>
    <n v="3"/>
    <n v="3.53"/>
    <n v="0"/>
    <n v="0"/>
    <x v="0"/>
  </r>
  <r>
    <x v="0"/>
    <s v="山越郡長万部町"/>
    <x v="56"/>
    <x v="13"/>
    <n v="7"/>
    <n v="4"/>
    <n v="4"/>
    <n v="4.71"/>
    <n v="3"/>
    <n v="3.7"/>
    <x v="0"/>
  </r>
  <r>
    <x v="0"/>
    <s v="山越郡長万部町"/>
    <x v="56"/>
    <x v="14"/>
    <n v="13"/>
    <n v="7.43"/>
    <n v="1"/>
    <n v="1.18"/>
    <n v="11"/>
    <n v="13.58"/>
    <x v="0"/>
  </r>
  <r>
    <x v="0"/>
    <s v="檜山郡江差町"/>
    <x v="57"/>
    <x v="0"/>
    <n v="0"/>
    <n v="0"/>
    <n v="0"/>
    <n v="0"/>
    <n v="0"/>
    <n v="0"/>
    <x v="0"/>
  </r>
  <r>
    <x v="0"/>
    <s v="檜山郡江差町"/>
    <x v="57"/>
    <x v="1"/>
    <n v="42"/>
    <n v="15"/>
    <n v="15"/>
    <n v="10.56"/>
    <n v="27"/>
    <n v="22.31"/>
    <x v="0"/>
  </r>
  <r>
    <x v="0"/>
    <s v="檜山郡江差町"/>
    <x v="57"/>
    <x v="2"/>
    <n v="15"/>
    <n v="5.36"/>
    <n v="8"/>
    <n v="5.63"/>
    <n v="7"/>
    <n v="5.79"/>
    <x v="0"/>
  </r>
  <r>
    <x v="0"/>
    <s v="檜山郡江差町"/>
    <x v="57"/>
    <x v="3"/>
    <n v="3"/>
    <n v="1.07"/>
    <n v="0"/>
    <n v="0"/>
    <n v="1"/>
    <n v="0.83"/>
    <x v="0"/>
  </r>
  <r>
    <x v="0"/>
    <s v="檜山郡江差町"/>
    <x v="57"/>
    <x v="4"/>
    <n v="2"/>
    <n v="0.71"/>
    <n v="0"/>
    <n v="0"/>
    <n v="2"/>
    <n v="1.65"/>
    <x v="0"/>
  </r>
  <r>
    <x v="0"/>
    <s v="檜山郡江差町"/>
    <x v="57"/>
    <x v="5"/>
    <n v="0"/>
    <n v="0"/>
    <n v="0"/>
    <n v="0"/>
    <n v="0"/>
    <n v="0"/>
    <x v="0"/>
  </r>
  <r>
    <x v="0"/>
    <s v="檜山郡江差町"/>
    <x v="57"/>
    <x v="6"/>
    <n v="67"/>
    <n v="23.93"/>
    <n v="30"/>
    <n v="21.13"/>
    <n v="34"/>
    <n v="28.1"/>
    <x v="12"/>
  </r>
  <r>
    <x v="0"/>
    <s v="檜山郡江差町"/>
    <x v="57"/>
    <x v="7"/>
    <n v="2"/>
    <n v="0.71"/>
    <n v="1"/>
    <n v="0.7"/>
    <n v="1"/>
    <n v="0.83"/>
    <x v="0"/>
  </r>
  <r>
    <x v="0"/>
    <s v="檜山郡江差町"/>
    <x v="57"/>
    <x v="8"/>
    <n v="16"/>
    <n v="5.71"/>
    <n v="6"/>
    <n v="4.2300000000000004"/>
    <n v="9"/>
    <n v="7.44"/>
    <x v="0"/>
  </r>
  <r>
    <x v="0"/>
    <s v="檜山郡江差町"/>
    <x v="57"/>
    <x v="9"/>
    <n v="9"/>
    <n v="3.21"/>
    <n v="2"/>
    <n v="1.41"/>
    <n v="6"/>
    <n v="4.96"/>
    <x v="0"/>
  </r>
  <r>
    <x v="0"/>
    <s v="檜山郡江差町"/>
    <x v="57"/>
    <x v="10"/>
    <n v="55"/>
    <n v="19.64"/>
    <n v="41"/>
    <n v="28.87"/>
    <n v="12"/>
    <n v="9.92"/>
    <x v="1"/>
  </r>
  <r>
    <x v="0"/>
    <s v="檜山郡江差町"/>
    <x v="57"/>
    <x v="11"/>
    <n v="34"/>
    <n v="12.14"/>
    <n v="28"/>
    <n v="19.72"/>
    <n v="6"/>
    <n v="4.96"/>
    <x v="0"/>
  </r>
  <r>
    <x v="0"/>
    <s v="檜山郡江差町"/>
    <x v="57"/>
    <x v="12"/>
    <n v="9"/>
    <n v="3.21"/>
    <n v="4"/>
    <n v="2.82"/>
    <n v="1"/>
    <n v="0.83"/>
    <x v="0"/>
  </r>
  <r>
    <x v="0"/>
    <s v="檜山郡江差町"/>
    <x v="57"/>
    <x v="13"/>
    <n v="18"/>
    <n v="6.43"/>
    <n v="5"/>
    <n v="3.52"/>
    <n v="10"/>
    <n v="8.26"/>
    <x v="0"/>
  </r>
  <r>
    <x v="0"/>
    <s v="檜山郡江差町"/>
    <x v="57"/>
    <x v="14"/>
    <n v="8"/>
    <n v="2.86"/>
    <n v="2"/>
    <n v="1.41"/>
    <n v="5"/>
    <n v="4.13"/>
    <x v="0"/>
  </r>
  <r>
    <x v="0"/>
    <s v="檜山郡上ノ国町"/>
    <x v="58"/>
    <x v="0"/>
    <n v="0"/>
    <n v="0"/>
    <n v="0"/>
    <n v="0"/>
    <n v="0"/>
    <n v="0"/>
    <x v="0"/>
  </r>
  <r>
    <x v="0"/>
    <s v="檜山郡上ノ国町"/>
    <x v="58"/>
    <x v="1"/>
    <n v="19"/>
    <n v="15.45"/>
    <n v="5"/>
    <n v="7.69"/>
    <n v="14"/>
    <n v="25.45"/>
    <x v="0"/>
  </r>
  <r>
    <x v="0"/>
    <s v="檜山郡上ノ国町"/>
    <x v="58"/>
    <x v="2"/>
    <n v="9"/>
    <n v="7.32"/>
    <n v="0"/>
    <n v="0"/>
    <n v="9"/>
    <n v="16.36"/>
    <x v="0"/>
  </r>
  <r>
    <x v="0"/>
    <s v="檜山郡上ノ国町"/>
    <x v="58"/>
    <x v="3"/>
    <n v="1"/>
    <n v="0.81"/>
    <n v="0"/>
    <n v="0"/>
    <n v="0"/>
    <n v="0"/>
    <x v="0"/>
  </r>
  <r>
    <x v="0"/>
    <s v="檜山郡上ノ国町"/>
    <x v="58"/>
    <x v="4"/>
    <n v="0"/>
    <n v="0"/>
    <n v="0"/>
    <n v="0"/>
    <n v="0"/>
    <n v="0"/>
    <x v="0"/>
  </r>
  <r>
    <x v="0"/>
    <s v="檜山郡上ノ国町"/>
    <x v="58"/>
    <x v="5"/>
    <n v="4"/>
    <n v="3.25"/>
    <n v="1"/>
    <n v="1.54"/>
    <n v="2"/>
    <n v="3.64"/>
    <x v="1"/>
  </r>
  <r>
    <x v="0"/>
    <s v="檜山郡上ノ国町"/>
    <x v="58"/>
    <x v="6"/>
    <n v="34"/>
    <n v="27.64"/>
    <n v="20"/>
    <n v="30.77"/>
    <n v="14"/>
    <n v="25.45"/>
    <x v="0"/>
  </r>
  <r>
    <x v="0"/>
    <s v="檜山郡上ノ国町"/>
    <x v="58"/>
    <x v="7"/>
    <n v="1"/>
    <n v="0.81"/>
    <n v="1"/>
    <n v="1.54"/>
    <n v="0"/>
    <n v="0"/>
    <x v="0"/>
  </r>
  <r>
    <x v="0"/>
    <s v="檜山郡上ノ国町"/>
    <x v="58"/>
    <x v="8"/>
    <n v="2"/>
    <n v="1.63"/>
    <n v="0"/>
    <n v="0"/>
    <n v="2"/>
    <n v="3.64"/>
    <x v="0"/>
  </r>
  <r>
    <x v="0"/>
    <s v="檜山郡上ノ国町"/>
    <x v="58"/>
    <x v="9"/>
    <n v="1"/>
    <n v="0.81"/>
    <n v="0"/>
    <n v="0"/>
    <n v="1"/>
    <n v="1.82"/>
    <x v="0"/>
  </r>
  <r>
    <x v="0"/>
    <s v="檜山郡上ノ国町"/>
    <x v="58"/>
    <x v="10"/>
    <n v="17"/>
    <n v="13.82"/>
    <n v="13"/>
    <n v="20"/>
    <n v="4"/>
    <n v="7.27"/>
    <x v="0"/>
  </r>
  <r>
    <x v="0"/>
    <s v="檜山郡上ノ国町"/>
    <x v="58"/>
    <x v="11"/>
    <n v="23"/>
    <n v="18.7"/>
    <n v="20"/>
    <n v="30.77"/>
    <n v="2"/>
    <n v="3.64"/>
    <x v="0"/>
  </r>
  <r>
    <x v="0"/>
    <s v="檜山郡上ノ国町"/>
    <x v="58"/>
    <x v="12"/>
    <n v="2"/>
    <n v="1.63"/>
    <n v="2"/>
    <n v="3.08"/>
    <n v="0"/>
    <n v="0"/>
    <x v="0"/>
  </r>
  <r>
    <x v="0"/>
    <s v="檜山郡上ノ国町"/>
    <x v="58"/>
    <x v="13"/>
    <n v="4"/>
    <n v="3.25"/>
    <n v="2"/>
    <n v="3.08"/>
    <n v="2"/>
    <n v="3.64"/>
    <x v="0"/>
  </r>
  <r>
    <x v="0"/>
    <s v="檜山郡上ノ国町"/>
    <x v="58"/>
    <x v="14"/>
    <n v="6"/>
    <n v="4.88"/>
    <n v="1"/>
    <n v="1.54"/>
    <n v="5"/>
    <n v="9.09"/>
    <x v="0"/>
  </r>
  <r>
    <x v="0"/>
    <s v="檜山郡厚沢部町"/>
    <x v="59"/>
    <x v="0"/>
    <n v="1"/>
    <n v="0.88"/>
    <n v="0"/>
    <n v="0"/>
    <n v="1"/>
    <n v="1.85"/>
    <x v="0"/>
  </r>
  <r>
    <x v="0"/>
    <s v="檜山郡厚沢部町"/>
    <x v="59"/>
    <x v="1"/>
    <n v="15"/>
    <n v="13.16"/>
    <n v="3"/>
    <n v="6"/>
    <n v="12"/>
    <n v="22.22"/>
    <x v="0"/>
  </r>
  <r>
    <x v="0"/>
    <s v="檜山郡厚沢部町"/>
    <x v="59"/>
    <x v="2"/>
    <n v="10"/>
    <n v="8.77"/>
    <n v="4"/>
    <n v="8"/>
    <n v="6"/>
    <n v="11.11"/>
    <x v="0"/>
  </r>
  <r>
    <x v="0"/>
    <s v="檜山郡厚沢部町"/>
    <x v="59"/>
    <x v="3"/>
    <n v="1"/>
    <n v="0.88"/>
    <n v="0"/>
    <n v="0"/>
    <n v="0"/>
    <n v="0"/>
    <x v="0"/>
  </r>
  <r>
    <x v="0"/>
    <s v="檜山郡厚沢部町"/>
    <x v="59"/>
    <x v="4"/>
    <n v="0"/>
    <n v="0"/>
    <n v="0"/>
    <n v="0"/>
    <n v="0"/>
    <n v="0"/>
    <x v="0"/>
  </r>
  <r>
    <x v="0"/>
    <s v="檜山郡厚沢部町"/>
    <x v="59"/>
    <x v="5"/>
    <n v="3"/>
    <n v="2.63"/>
    <n v="1"/>
    <n v="2"/>
    <n v="2"/>
    <n v="3.7"/>
    <x v="0"/>
  </r>
  <r>
    <x v="0"/>
    <s v="檜山郡厚沢部町"/>
    <x v="59"/>
    <x v="6"/>
    <n v="31"/>
    <n v="27.19"/>
    <n v="13"/>
    <n v="26"/>
    <n v="18"/>
    <n v="33.33"/>
    <x v="0"/>
  </r>
  <r>
    <x v="0"/>
    <s v="檜山郡厚沢部町"/>
    <x v="59"/>
    <x v="7"/>
    <n v="1"/>
    <n v="0.88"/>
    <n v="0"/>
    <n v="0"/>
    <n v="1"/>
    <n v="1.85"/>
    <x v="0"/>
  </r>
  <r>
    <x v="0"/>
    <s v="檜山郡厚沢部町"/>
    <x v="59"/>
    <x v="8"/>
    <n v="7"/>
    <n v="6.14"/>
    <n v="6"/>
    <n v="12"/>
    <n v="0"/>
    <n v="0"/>
    <x v="0"/>
  </r>
  <r>
    <x v="0"/>
    <s v="檜山郡厚沢部町"/>
    <x v="59"/>
    <x v="9"/>
    <n v="2"/>
    <n v="1.75"/>
    <n v="1"/>
    <n v="2"/>
    <n v="1"/>
    <n v="1.85"/>
    <x v="0"/>
  </r>
  <r>
    <x v="0"/>
    <s v="檜山郡厚沢部町"/>
    <x v="59"/>
    <x v="10"/>
    <n v="15"/>
    <n v="13.16"/>
    <n v="11"/>
    <n v="22"/>
    <n v="4"/>
    <n v="7.41"/>
    <x v="0"/>
  </r>
  <r>
    <x v="0"/>
    <s v="檜山郡厚沢部町"/>
    <x v="59"/>
    <x v="11"/>
    <n v="14"/>
    <n v="12.28"/>
    <n v="10"/>
    <n v="20"/>
    <n v="2"/>
    <n v="3.7"/>
    <x v="0"/>
  </r>
  <r>
    <x v="0"/>
    <s v="檜山郡厚沢部町"/>
    <x v="59"/>
    <x v="12"/>
    <n v="4"/>
    <n v="3.51"/>
    <n v="0"/>
    <n v="0"/>
    <n v="0"/>
    <n v="0"/>
    <x v="0"/>
  </r>
  <r>
    <x v="0"/>
    <s v="檜山郡厚沢部町"/>
    <x v="59"/>
    <x v="13"/>
    <n v="3"/>
    <n v="2.63"/>
    <n v="1"/>
    <n v="2"/>
    <n v="2"/>
    <n v="3.7"/>
    <x v="0"/>
  </r>
  <r>
    <x v="0"/>
    <s v="檜山郡厚沢部町"/>
    <x v="59"/>
    <x v="14"/>
    <n v="7"/>
    <n v="6.14"/>
    <n v="0"/>
    <n v="0"/>
    <n v="5"/>
    <n v="9.26"/>
    <x v="0"/>
  </r>
  <r>
    <x v="0"/>
    <s v="爾志郡乙部町"/>
    <x v="60"/>
    <x v="0"/>
    <n v="0"/>
    <n v="0"/>
    <n v="0"/>
    <n v="0"/>
    <n v="0"/>
    <n v="0"/>
    <x v="0"/>
  </r>
  <r>
    <x v="0"/>
    <s v="爾志郡乙部町"/>
    <x v="60"/>
    <x v="1"/>
    <n v="17"/>
    <n v="14.78"/>
    <n v="5"/>
    <n v="9.09"/>
    <n v="12"/>
    <n v="23.08"/>
    <x v="0"/>
  </r>
  <r>
    <x v="0"/>
    <s v="爾志郡乙部町"/>
    <x v="60"/>
    <x v="2"/>
    <n v="9"/>
    <n v="7.83"/>
    <n v="1"/>
    <n v="1.82"/>
    <n v="8"/>
    <n v="15.38"/>
    <x v="0"/>
  </r>
  <r>
    <x v="0"/>
    <s v="爾志郡乙部町"/>
    <x v="60"/>
    <x v="3"/>
    <n v="1"/>
    <n v="0.87"/>
    <n v="0"/>
    <n v="0"/>
    <n v="0"/>
    <n v="0"/>
    <x v="0"/>
  </r>
  <r>
    <x v="0"/>
    <s v="爾志郡乙部町"/>
    <x v="60"/>
    <x v="4"/>
    <n v="1"/>
    <n v="0.87"/>
    <n v="0"/>
    <n v="0"/>
    <n v="1"/>
    <n v="1.92"/>
    <x v="0"/>
  </r>
  <r>
    <x v="0"/>
    <s v="爾志郡乙部町"/>
    <x v="60"/>
    <x v="5"/>
    <n v="1"/>
    <n v="0.87"/>
    <n v="0"/>
    <n v="0"/>
    <n v="1"/>
    <n v="1.92"/>
    <x v="0"/>
  </r>
  <r>
    <x v="0"/>
    <s v="爾志郡乙部町"/>
    <x v="60"/>
    <x v="6"/>
    <n v="31"/>
    <n v="26.96"/>
    <n v="15"/>
    <n v="27.27"/>
    <n v="15"/>
    <n v="28.85"/>
    <x v="1"/>
  </r>
  <r>
    <x v="0"/>
    <s v="爾志郡乙部町"/>
    <x v="60"/>
    <x v="7"/>
    <n v="0"/>
    <n v="0"/>
    <n v="0"/>
    <n v="0"/>
    <n v="0"/>
    <n v="0"/>
    <x v="0"/>
  </r>
  <r>
    <x v="0"/>
    <s v="爾志郡乙部町"/>
    <x v="60"/>
    <x v="8"/>
    <n v="1"/>
    <n v="0.87"/>
    <n v="0"/>
    <n v="0"/>
    <n v="0"/>
    <n v="0"/>
    <x v="0"/>
  </r>
  <r>
    <x v="0"/>
    <s v="爾志郡乙部町"/>
    <x v="60"/>
    <x v="9"/>
    <n v="2"/>
    <n v="1.74"/>
    <n v="1"/>
    <n v="1.82"/>
    <n v="1"/>
    <n v="1.92"/>
    <x v="0"/>
  </r>
  <r>
    <x v="0"/>
    <s v="爾志郡乙部町"/>
    <x v="60"/>
    <x v="10"/>
    <n v="14"/>
    <n v="12.17"/>
    <n v="11"/>
    <n v="20"/>
    <n v="3"/>
    <n v="5.77"/>
    <x v="0"/>
  </r>
  <r>
    <x v="0"/>
    <s v="爾志郡乙部町"/>
    <x v="60"/>
    <x v="11"/>
    <n v="18"/>
    <n v="15.65"/>
    <n v="16"/>
    <n v="29.09"/>
    <n v="0"/>
    <n v="0"/>
    <x v="0"/>
  </r>
  <r>
    <x v="0"/>
    <s v="爾志郡乙部町"/>
    <x v="60"/>
    <x v="12"/>
    <n v="4"/>
    <n v="3.48"/>
    <n v="3"/>
    <n v="5.45"/>
    <n v="0"/>
    <n v="0"/>
    <x v="0"/>
  </r>
  <r>
    <x v="0"/>
    <s v="爾志郡乙部町"/>
    <x v="60"/>
    <x v="13"/>
    <n v="10"/>
    <n v="8.6999999999999993"/>
    <n v="2"/>
    <n v="3.64"/>
    <n v="7"/>
    <n v="13.46"/>
    <x v="0"/>
  </r>
  <r>
    <x v="0"/>
    <s v="爾志郡乙部町"/>
    <x v="60"/>
    <x v="14"/>
    <n v="6"/>
    <n v="5.22"/>
    <n v="1"/>
    <n v="1.82"/>
    <n v="4"/>
    <n v="7.69"/>
    <x v="0"/>
  </r>
  <r>
    <x v="0"/>
    <s v="奥尻郡奥尻町"/>
    <x v="61"/>
    <x v="0"/>
    <n v="0"/>
    <n v="0"/>
    <n v="0"/>
    <n v="0"/>
    <n v="0"/>
    <n v="0"/>
    <x v="0"/>
  </r>
  <r>
    <x v="0"/>
    <s v="奥尻郡奥尻町"/>
    <x v="61"/>
    <x v="1"/>
    <n v="9"/>
    <n v="6.72"/>
    <n v="1"/>
    <n v="1.18"/>
    <n v="8"/>
    <n v="18.18"/>
    <x v="0"/>
  </r>
  <r>
    <x v="0"/>
    <s v="奥尻郡奥尻町"/>
    <x v="61"/>
    <x v="2"/>
    <n v="10"/>
    <n v="7.46"/>
    <n v="4"/>
    <n v="4.71"/>
    <n v="6"/>
    <n v="13.64"/>
    <x v="0"/>
  </r>
  <r>
    <x v="0"/>
    <s v="奥尻郡奥尻町"/>
    <x v="61"/>
    <x v="3"/>
    <n v="1"/>
    <n v="0.75"/>
    <n v="0"/>
    <n v="0"/>
    <n v="0"/>
    <n v="0"/>
    <x v="0"/>
  </r>
  <r>
    <x v="0"/>
    <s v="奥尻郡奥尻町"/>
    <x v="61"/>
    <x v="4"/>
    <n v="0"/>
    <n v="0"/>
    <n v="0"/>
    <n v="0"/>
    <n v="0"/>
    <n v="0"/>
    <x v="0"/>
  </r>
  <r>
    <x v="0"/>
    <s v="奥尻郡奥尻町"/>
    <x v="61"/>
    <x v="5"/>
    <n v="1"/>
    <n v="0.75"/>
    <n v="0"/>
    <n v="0"/>
    <n v="1"/>
    <n v="2.27"/>
    <x v="0"/>
  </r>
  <r>
    <x v="0"/>
    <s v="奥尻郡奥尻町"/>
    <x v="61"/>
    <x v="6"/>
    <n v="39"/>
    <n v="29.1"/>
    <n v="22"/>
    <n v="25.88"/>
    <n v="17"/>
    <n v="38.64"/>
    <x v="0"/>
  </r>
  <r>
    <x v="0"/>
    <s v="奥尻郡奥尻町"/>
    <x v="61"/>
    <x v="7"/>
    <n v="1"/>
    <n v="0.75"/>
    <n v="0"/>
    <n v="0"/>
    <n v="1"/>
    <n v="2.27"/>
    <x v="0"/>
  </r>
  <r>
    <x v="0"/>
    <s v="奥尻郡奥尻町"/>
    <x v="61"/>
    <x v="8"/>
    <n v="8"/>
    <n v="5.97"/>
    <n v="5"/>
    <n v="5.88"/>
    <n v="2"/>
    <n v="4.55"/>
    <x v="0"/>
  </r>
  <r>
    <x v="0"/>
    <s v="奥尻郡奥尻町"/>
    <x v="61"/>
    <x v="9"/>
    <n v="2"/>
    <n v="1.49"/>
    <n v="1"/>
    <n v="1.18"/>
    <n v="0"/>
    <n v="0"/>
    <x v="0"/>
  </r>
  <r>
    <x v="0"/>
    <s v="奥尻郡奥尻町"/>
    <x v="61"/>
    <x v="10"/>
    <n v="40"/>
    <n v="29.85"/>
    <n v="37"/>
    <n v="43.53"/>
    <n v="3"/>
    <n v="6.82"/>
    <x v="0"/>
  </r>
  <r>
    <x v="0"/>
    <s v="奥尻郡奥尻町"/>
    <x v="61"/>
    <x v="11"/>
    <n v="13"/>
    <n v="9.6999999999999993"/>
    <n v="12"/>
    <n v="14.12"/>
    <n v="1"/>
    <n v="2.27"/>
    <x v="0"/>
  </r>
  <r>
    <x v="0"/>
    <s v="奥尻郡奥尻町"/>
    <x v="61"/>
    <x v="12"/>
    <n v="1"/>
    <n v="0.75"/>
    <n v="0"/>
    <n v="0"/>
    <n v="0"/>
    <n v="0"/>
    <x v="0"/>
  </r>
  <r>
    <x v="0"/>
    <s v="奥尻郡奥尻町"/>
    <x v="61"/>
    <x v="13"/>
    <n v="3"/>
    <n v="2.2400000000000002"/>
    <n v="1"/>
    <n v="1.18"/>
    <n v="2"/>
    <n v="4.55"/>
    <x v="0"/>
  </r>
  <r>
    <x v="0"/>
    <s v="奥尻郡奥尻町"/>
    <x v="61"/>
    <x v="14"/>
    <n v="6"/>
    <n v="4.4800000000000004"/>
    <n v="2"/>
    <n v="2.35"/>
    <n v="3"/>
    <n v="6.82"/>
    <x v="0"/>
  </r>
  <r>
    <x v="0"/>
    <s v="瀬棚郡今金町"/>
    <x v="62"/>
    <x v="0"/>
    <n v="0"/>
    <n v="0"/>
    <n v="0"/>
    <n v="0"/>
    <n v="0"/>
    <n v="0"/>
    <x v="0"/>
  </r>
  <r>
    <x v="0"/>
    <s v="瀬棚郡今金町"/>
    <x v="62"/>
    <x v="1"/>
    <n v="24"/>
    <n v="15.29"/>
    <n v="7"/>
    <n v="7.53"/>
    <n v="17"/>
    <n v="30.36"/>
    <x v="0"/>
  </r>
  <r>
    <x v="0"/>
    <s v="瀬棚郡今金町"/>
    <x v="62"/>
    <x v="2"/>
    <n v="9"/>
    <n v="5.73"/>
    <n v="3"/>
    <n v="3.23"/>
    <n v="6"/>
    <n v="10.71"/>
    <x v="0"/>
  </r>
  <r>
    <x v="0"/>
    <s v="瀬棚郡今金町"/>
    <x v="62"/>
    <x v="3"/>
    <n v="3"/>
    <n v="1.91"/>
    <n v="0"/>
    <n v="0"/>
    <n v="1"/>
    <n v="1.79"/>
    <x v="0"/>
  </r>
  <r>
    <x v="0"/>
    <s v="瀬棚郡今金町"/>
    <x v="62"/>
    <x v="4"/>
    <n v="0"/>
    <n v="0"/>
    <n v="0"/>
    <n v="0"/>
    <n v="0"/>
    <n v="0"/>
    <x v="0"/>
  </r>
  <r>
    <x v="0"/>
    <s v="瀬棚郡今金町"/>
    <x v="62"/>
    <x v="5"/>
    <n v="1"/>
    <n v="0.64"/>
    <n v="0"/>
    <n v="0"/>
    <n v="1"/>
    <n v="1.79"/>
    <x v="0"/>
  </r>
  <r>
    <x v="0"/>
    <s v="瀬棚郡今金町"/>
    <x v="62"/>
    <x v="6"/>
    <n v="40"/>
    <n v="25.48"/>
    <n v="19"/>
    <n v="20.43"/>
    <n v="21"/>
    <n v="37.5"/>
    <x v="0"/>
  </r>
  <r>
    <x v="0"/>
    <s v="瀬棚郡今金町"/>
    <x v="62"/>
    <x v="7"/>
    <n v="0"/>
    <n v="0"/>
    <n v="0"/>
    <n v="0"/>
    <n v="0"/>
    <n v="0"/>
    <x v="0"/>
  </r>
  <r>
    <x v="0"/>
    <s v="瀬棚郡今金町"/>
    <x v="62"/>
    <x v="8"/>
    <n v="7"/>
    <n v="4.46"/>
    <n v="6"/>
    <n v="6.45"/>
    <n v="1"/>
    <n v="1.79"/>
    <x v="0"/>
  </r>
  <r>
    <x v="0"/>
    <s v="瀬棚郡今金町"/>
    <x v="62"/>
    <x v="9"/>
    <n v="5"/>
    <n v="3.18"/>
    <n v="2"/>
    <n v="2.15"/>
    <n v="2"/>
    <n v="3.57"/>
    <x v="1"/>
  </r>
  <r>
    <x v="0"/>
    <s v="瀬棚郡今金町"/>
    <x v="62"/>
    <x v="10"/>
    <n v="27"/>
    <n v="17.2"/>
    <n v="23"/>
    <n v="24.73"/>
    <n v="4"/>
    <n v="7.14"/>
    <x v="0"/>
  </r>
  <r>
    <x v="0"/>
    <s v="瀬棚郡今金町"/>
    <x v="62"/>
    <x v="11"/>
    <n v="23"/>
    <n v="14.65"/>
    <n v="22"/>
    <n v="23.66"/>
    <n v="1"/>
    <n v="1.79"/>
    <x v="0"/>
  </r>
  <r>
    <x v="0"/>
    <s v="瀬棚郡今金町"/>
    <x v="62"/>
    <x v="12"/>
    <n v="8"/>
    <n v="5.0999999999999996"/>
    <n v="6"/>
    <n v="6.45"/>
    <n v="0"/>
    <n v="0"/>
    <x v="0"/>
  </r>
  <r>
    <x v="0"/>
    <s v="瀬棚郡今金町"/>
    <x v="62"/>
    <x v="13"/>
    <n v="5"/>
    <n v="3.18"/>
    <n v="2"/>
    <n v="2.15"/>
    <n v="1"/>
    <n v="1.79"/>
    <x v="0"/>
  </r>
  <r>
    <x v="0"/>
    <s v="瀬棚郡今金町"/>
    <x v="62"/>
    <x v="14"/>
    <n v="5"/>
    <n v="3.18"/>
    <n v="3"/>
    <n v="3.23"/>
    <n v="1"/>
    <n v="1.79"/>
    <x v="1"/>
  </r>
  <r>
    <x v="0"/>
    <s v="久遠郡せたな町"/>
    <x v="63"/>
    <x v="0"/>
    <n v="1"/>
    <n v="0.34"/>
    <n v="0"/>
    <n v="0"/>
    <n v="1"/>
    <n v="0.98"/>
    <x v="0"/>
  </r>
  <r>
    <x v="0"/>
    <s v="久遠郡せたな町"/>
    <x v="63"/>
    <x v="1"/>
    <n v="47"/>
    <n v="16.149999999999999"/>
    <n v="18"/>
    <n v="10.65"/>
    <n v="29"/>
    <n v="28.43"/>
    <x v="0"/>
  </r>
  <r>
    <x v="0"/>
    <s v="久遠郡せたな町"/>
    <x v="63"/>
    <x v="2"/>
    <n v="16"/>
    <n v="5.5"/>
    <n v="7"/>
    <n v="4.1399999999999997"/>
    <n v="9"/>
    <n v="8.82"/>
    <x v="0"/>
  </r>
  <r>
    <x v="0"/>
    <s v="久遠郡せたな町"/>
    <x v="63"/>
    <x v="3"/>
    <n v="2"/>
    <n v="0.69"/>
    <n v="0"/>
    <n v="0"/>
    <n v="1"/>
    <n v="0.98"/>
    <x v="0"/>
  </r>
  <r>
    <x v="0"/>
    <s v="久遠郡せたな町"/>
    <x v="63"/>
    <x v="4"/>
    <n v="2"/>
    <n v="0.69"/>
    <n v="1"/>
    <n v="0.59"/>
    <n v="1"/>
    <n v="0.98"/>
    <x v="0"/>
  </r>
  <r>
    <x v="0"/>
    <s v="久遠郡せたな町"/>
    <x v="63"/>
    <x v="5"/>
    <n v="5"/>
    <n v="1.72"/>
    <n v="0"/>
    <n v="0"/>
    <n v="4"/>
    <n v="3.92"/>
    <x v="1"/>
  </r>
  <r>
    <x v="0"/>
    <s v="久遠郡せたな町"/>
    <x v="63"/>
    <x v="6"/>
    <n v="83"/>
    <n v="28.52"/>
    <n v="47"/>
    <n v="27.81"/>
    <n v="36"/>
    <n v="35.29"/>
    <x v="0"/>
  </r>
  <r>
    <x v="0"/>
    <s v="久遠郡せたな町"/>
    <x v="63"/>
    <x v="7"/>
    <n v="1"/>
    <n v="0.34"/>
    <n v="0"/>
    <n v="0"/>
    <n v="1"/>
    <n v="0.98"/>
    <x v="0"/>
  </r>
  <r>
    <x v="0"/>
    <s v="久遠郡せたな町"/>
    <x v="63"/>
    <x v="8"/>
    <n v="13"/>
    <n v="4.47"/>
    <n v="11"/>
    <n v="6.51"/>
    <n v="1"/>
    <n v="0.98"/>
    <x v="0"/>
  </r>
  <r>
    <x v="0"/>
    <s v="久遠郡せたな町"/>
    <x v="63"/>
    <x v="9"/>
    <n v="6"/>
    <n v="2.06"/>
    <n v="3"/>
    <n v="1.78"/>
    <n v="1"/>
    <n v="0.98"/>
    <x v="0"/>
  </r>
  <r>
    <x v="0"/>
    <s v="久遠郡せたな町"/>
    <x v="63"/>
    <x v="10"/>
    <n v="44"/>
    <n v="15.12"/>
    <n v="37"/>
    <n v="21.89"/>
    <n v="6"/>
    <n v="5.88"/>
    <x v="0"/>
  </r>
  <r>
    <x v="0"/>
    <s v="久遠郡せたな町"/>
    <x v="63"/>
    <x v="11"/>
    <n v="34"/>
    <n v="11.68"/>
    <n v="31"/>
    <n v="18.34"/>
    <n v="1"/>
    <n v="0.98"/>
    <x v="0"/>
  </r>
  <r>
    <x v="0"/>
    <s v="久遠郡せたな町"/>
    <x v="63"/>
    <x v="12"/>
    <n v="6"/>
    <n v="2.06"/>
    <n v="2"/>
    <n v="1.18"/>
    <n v="0"/>
    <n v="0"/>
    <x v="0"/>
  </r>
  <r>
    <x v="0"/>
    <s v="久遠郡せたな町"/>
    <x v="63"/>
    <x v="13"/>
    <n v="20"/>
    <n v="6.87"/>
    <n v="5"/>
    <n v="2.96"/>
    <n v="8"/>
    <n v="7.84"/>
    <x v="0"/>
  </r>
  <r>
    <x v="0"/>
    <s v="久遠郡せたな町"/>
    <x v="63"/>
    <x v="14"/>
    <n v="11"/>
    <n v="3.78"/>
    <n v="7"/>
    <n v="4.1399999999999997"/>
    <n v="3"/>
    <n v="2.94"/>
    <x v="0"/>
  </r>
  <r>
    <x v="0"/>
    <s v="島牧郡島牧村"/>
    <x v="64"/>
    <x v="0"/>
    <n v="0"/>
    <n v="0"/>
    <n v="0"/>
    <n v="0"/>
    <n v="0"/>
    <n v="0"/>
    <x v="0"/>
  </r>
  <r>
    <x v="0"/>
    <s v="島牧郡島牧村"/>
    <x v="64"/>
    <x v="1"/>
    <n v="6"/>
    <n v="13.64"/>
    <n v="4"/>
    <n v="13.79"/>
    <n v="2"/>
    <n v="14.29"/>
    <x v="0"/>
  </r>
  <r>
    <x v="0"/>
    <s v="島牧郡島牧村"/>
    <x v="64"/>
    <x v="2"/>
    <n v="4"/>
    <n v="9.09"/>
    <n v="4"/>
    <n v="13.79"/>
    <n v="0"/>
    <n v="0"/>
    <x v="0"/>
  </r>
  <r>
    <x v="0"/>
    <s v="島牧郡島牧村"/>
    <x v="64"/>
    <x v="3"/>
    <n v="1"/>
    <n v="2.27"/>
    <n v="0"/>
    <n v="0"/>
    <n v="0"/>
    <n v="0"/>
    <x v="0"/>
  </r>
  <r>
    <x v="0"/>
    <s v="島牧郡島牧村"/>
    <x v="64"/>
    <x v="4"/>
    <n v="0"/>
    <n v="0"/>
    <n v="0"/>
    <n v="0"/>
    <n v="0"/>
    <n v="0"/>
    <x v="0"/>
  </r>
  <r>
    <x v="0"/>
    <s v="島牧郡島牧村"/>
    <x v="64"/>
    <x v="5"/>
    <n v="1"/>
    <n v="2.27"/>
    <n v="0"/>
    <n v="0"/>
    <n v="1"/>
    <n v="7.14"/>
    <x v="0"/>
  </r>
  <r>
    <x v="0"/>
    <s v="島牧郡島牧村"/>
    <x v="64"/>
    <x v="6"/>
    <n v="10"/>
    <n v="22.73"/>
    <n v="7"/>
    <n v="24.14"/>
    <n v="3"/>
    <n v="21.43"/>
    <x v="0"/>
  </r>
  <r>
    <x v="0"/>
    <s v="島牧郡島牧村"/>
    <x v="64"/>
    <x v="7"/>
    <n v="0"/>
    <n v="0"/>
    <n v="0"/>
    <n v="0"/>
    <n v="0"/>
    <n v="0"/>
    <x v="0"/>
  </r>
  <r>
    <x v="0"/>
    <s v="島牧郡島牧村"/>
    <x v="64"/>
    <x v="8"/>
    <n v="1"/>
    <n v="2.27"/>
    <n v="0"/>
    <n v="0"/>
    <n v="1"/>
    <n v="7.14"/>
    <x v="0"/>
  </r>
  <r>
    <x v="0"/>
    <s v="島牧郡島牧村"/>
    <x v="64"/>
    <x v="9"/>
    <n v="2"/>
    <n v="4.55"/>
    <n v="0"/>
    <n v="0"/>
    <n v="2"/>
    <n v="14.29"/>
    <x v="0"/>
  </r>
  <r>
    <x v="0"/>
    <s v="島牧郡島牧村"/>
    <x v="64"/>
    <x v="10"/>
    <n v="11"/>
    <n v="25"/>
    <n v="8"/>
    <n v="27.59"/>
    <n v="3"/>
    <n v="21.43"/>
    <x v="0"/>
  </r>
  <r>
    <x v="0"/>
    <s v="島牧郡島牧村"/>
    <x v="64"/>
    <x v="11"/>
    <n v="5"/>
    <n v="11.36"/>
    <n v="4"/>
    <n v="13.79"/>
    <n v="1"/>
    <n v="7.14"/>
    <x v="0"/>
  </r>
  <r>
    <x v="0"/>
    <s v="島牧郡島牧村"/>
    <x v="64"/>
    <x v="12"/>
    <n v="1"/>
    <n v="2.27"/>
    <n v="1"/>
    <n v="3.45"/>
    <n v="0"/>
    <n v="0"/>
    <x v="0"/>
  </r>
  <r>
    <x v="0"/>
    <s v="島牧郡島牧村"/>
    <x v="64"/>
    <x v="13"/>
    <n v="2"/>
    <n v="4.55"/>
    <n v="1"/>
    <n v="3.45"/>
    <n v="1"/>
    <n v="7.14"/>
    <x v="0"/>
  </r>
  <r>
    <x v="0"/>
    <s v="島牧郡島牧村"/>
    <x v="64"/>
    <x v="14"/>
    <n v="0"/>
    <n v="0"/>
    <n v="0"/>
    <n v="0"/>
    <n v="0"/>
    <n v="0"/>
    <x v="0"/>
  </r>
  <r>
    <x v="0"/>
    <s v="寿都郡寿都町"/>
    <x v="65"/>
    <x v="0"/>
    <n v="0"/>
    <n v="0"/>
    <n v="0"/>
    <n v="0"/>
    <n v="0"/>
    <n v="0"/>
    <x v="0"/>
  </r>
  <r>
    <x v="0"/>
    <s v="寿都郡寿都町"/>
    <x v="65"/>
    <x v="1"/>
    <n v="12"/>
    <n v="14.46"/>
    <n v="6"/>
    <n v="11.54"/>
    <n v="6"/>
    <n v="21.43"/>
    <x v="0"/>
  </r>
  <r>
    <x v="0"/>
    <s v="寿都郡寿都町"/>
    <x v="65"/>
    <x v="2"/>
    <n v="6"/>
    <n v="7.23"/>
    <n v="1"/>
    <n v="1.92"/>
    <n v="5"/>
    <n v="17.86"/>
    <x v="0"/>
  </r>
  <r>
    <x v="0"/>
    <s v="寿都郡寿都町"/>
    <x v="65"/>
    <x v="3"/>
    <n v="3"/>
    <n v="3.61"/>
    <n v="0"/>
    <n v="0"/>
    <n v="2"/>
    <n v="7.14"/>
    <x v="0"/>
  </r>
  <r>
    <x v="0"/>
    <s v="寿都郡寿都町"/>
    <x v="65"/>
    <x v="4"/>
    <n v="0"/>
    <n v="0"/>
    <n v="0"/>
    <n v="0"/>
    <n v="0"/>
    <n v="0"/>
    <x v="0"/>
  </r>
  <r>
    <x v="0"/>
    <s v="寿都郡寿都町"/>
    <x v="65"/>
    <x v="5"/>
    <n v="3"/>
    <n v="3.61"/>
    <n v="0"/>
    <n v="0"/>
    <n v="3"/>
    <n v="10.71"/>
    <x v="0"/>
  </r>
  <r>
    <x v="0"/>
    <s v="寿都郡寿都町"/>
    <x v="65"/>
    <x v="6"/>
    <n v="26"/>
    <n v="31.33"/>
    <n v="21"/>
    <n v="40.380000000000003"/>
    <n v="5"/>
    <n v="17.86"/>
    <x v="0"/>
  </r>
  <r>
    <x v="0"/>
    <s v="寿都郡寿都町"/>
    <x v="65"/>
    <x v="7"/>
    <n v="0"/>
    <n v="0"/>
    <n v="0"/>
    <n v="0"/>
    <n v="0"/>
    <n v="0"/>
    <x v="0"/>
  </r>
  <r>
    <x v="0"/>
    <s v="寿都郡寿都町"/>
    <x v="65"/>
    <x v="8"/>
    <n v="3"/>
    <n v="3.61"/>
    <n v="0"/>
    <n v="0"/>
    <n v="3"/>
    <n v="10.71"/>
    <x v="0"/>
  </r>
  <r>
    <x v="0"/>
    <s v="寿都郡寿都町"/>
    <x v="65"/>
    <x v="9"/>
    <n v="1"/>
    <n v="1.2"/>
    <n v="1"/>
    <n v="1.92"/>
    <n v="0"/>
    <n v="0"/>
    <x v="0"/>
  </r>
  <r>
    <x v="0"/>
    <s v="寿都郡寿都町"/>
    <x v="65"/>
    <x v="10"/>
    <n v="15"/>
    <n v="18.07"/>
    <n v="14"/>
    <n v="26.92"/>
    <n v="1"/>
    <n v="3.57"/>
    <x v="0"/>
  </r>
  <r>
    <x v="0"/>
    <s v="寿都郡寿都町"/>
    <x v="65"/>
    <x v="11"/>
    <n v="9"/>
    <n v="10.84"/>
    <n v="7"/>
    <n v="13.46"/>
    <n v="2"/>
    <n v="7.14"/>
    <x v="0"/>
  </r>
  <r>
    <x v="0"/>
    <s v="寿都郡寿都町"/>
    <x v="65"/>
    <x v="12"/>
    <n v="1"/>
    <n v="1.2"/>
    <n v="1"/>
    <n v="1.92"/>
    <n v="0"/>
    <n v="0"/>
    <x v="0"/>
  </r>
  <r>
    <x v="0"/>
    <s v="寿都郡寿都町"/>
    <x v="65"/>
    <x v="13"/>
    <n v="2"/>
    <n v="2.41"/>
    <n v="1"/>
    <n v="1.92"/>
    <n v="0"/>
    <n v="0"/>
    <x v="0"/>
  </r>
  <r>
    <x v="0"/>
    <s v="寿都郡寿都町"/>
    <x v="65"/>
    <x v="14"/>
    <n v="2"/>
    <n v="2.41"/>
    <n v="0"/>
    <n v="0"/>
    <n v="1"/>
    <n v="3.57"/>
    <x v="0"/>
  </r>
  <r>
    <x v="0"/>
    <s v="寿都郡黒松内町"/>
    <x v="66"/>
    <x v="0"/>
    <n v="0"/>
    <n v="0"/>
    <n v="0"/>
    <n v="0"/>
    <n v="0"/>
    <n v="0"/>
    <x v="0"/>
  </r>
  <r>
    <x v="0"/>
    <s v="寿都郡黒松内町"/>
    <x v="66"/>
    <x v="1"/>
    <n v="9"/>
    <n v="11.25"/>
    <n v="2"/>
    <n v="4.88"/>
    <n v="7"/>
    <n v="21.88"/>
    <x v="0"/>
  </r>
  <r>
    <x v="0"/>
    <s v="寿都郡黒松内町"/>
    <x v="66"/>
    <x v="2"/>
    <n v="4"/>
    <n v="5"/>
    <n v="2"/>
    <n v="4.88"/>
    <n v="1"/>
    <n v="3.13"/>
    <x v="0"/>
  </r>
  <r>
    <x v="0"/>
    <s v="寿都郡黒松内町"/>
    <x v="66"/>
    <x v="3"/>
    <n v="0"/>
    <n v="0"/>
    <n v="0"/>
    <n v="0"/>
    <n v="0"/>
    <n v="0"/>
    <x v="0"/>
  </r>
  <r>
    <x v="0"/>
    <s v="寿都郡黒松内町"/>
    <x v="66"/>
    <x v="4"/>
    <n v="0"/>
    <n v="0"/>
    <n v="0"/>
    <n v="0"/>
    <n v="0"/>
    <n v="0"/>
    <x v="0"/>
  </r>
  <r>
    <x v="0"/>
    <s v="寿都郡黒松内町"/>
    <x v="66"/>
    <x v="5"/>
    <n v="1"/>
    <n v="1.25"/>
    <n v="0"/>
    <n v="0"/>
    <n v="1"/>
    <n v="3.13"/>
    <x v="0"/>
  </r>
  <r>
    <x v="0"/>
    <s v="寿都郡黒松内町"/>
    <x v="66"/>
    <x v="6"/>
    <n v="24"/>
    <n v="30"/>
    <n v="13"/>
    <n v="31.71"/>
    <n v="11"/>
    <n v="34.380000000000003"/>
    <x v="0"/>
  </r>
  <r>
    <x v="0"/>
    <s v="寿都郡黒松内町"/>
    <x v="66"/>
    <x v="7"/>
    <n v="0"/>
    <n v="0"/>
    <n v="0"/>
    <n v="0"/>
    <n v="0"/>
    <n v="0"/>
    <x v="0"/>
  </r>
  <r>
    <x v="0"/>
    <s v="寿都郡黒松内町"/>
    <x v="66"/>
    <x v="8"/>
    <n v="8"/>
    <n v="10"/>
    <n v="5"/>
    <n v="12.2"/>
    <n v="3"/>
    <n v="9.3800000000000008"/>
    <x v="0"/>
  </r>
  <r>
    <x v="0"/>
    <s v="寿都郡黒松内町"/>
    <x v="66"/>
    <x v="9"/>
    <n v="5"/>
    <n v="6.25"/>
    <n v="4"/>
    <n v="9.76"/>
    <n v="0"/>
    <n v="0"/>
    <x v="0"/>
  </r>
  <r>
    <x v="0"/>
    <s v="寿都郡黒松内町"/>
    <x v="66"/>
    <x v="10"/>
    <n v="11"/>
    <n v="13.75"/>
    <n v="5"/>
    <n v="12.2"/>
    <n v="5"/>
    <n v="15.63"/>
    <x v="0"/>
  </r>
  <r>
    <x v="0"/>
    <s v="寿都郡黒松内町"/>
    <x v="66"/>
    <x v="11"/>
    <n v="7"/>
    <n v="8.75"/>
    <n v="6"/>
    <n v="14.63"/>
    <n v="0"/>
    <n v="0"/>
    <x v="1"/>
  </r>
  <r>
    <x v="0"/>
    <s v="寿都郡黒松内町"/>
    <x v="66"/>
    <x v="12"/>
    <n v="2"/>
    <n v="2.5"/>
    <n v="2"/>
    <n v="4.88"/>
    <n v="0"/>
    <n v="0"/>
    <x v="0"/>
  </r>
  <r>
    <x v="0"/>
    <s v="寿都郡黒松内町"/>
    <x v="66"/>
    <x v="13"/>
    <n v="5"/>
    <n v="6.25"/>
    <n v="1"/>
    <n v="2.44"/>
    <n v="3"/>
    <n v="9.3800000000000008"/>
    <x v="0"/>
  </r>
  <r>
    <x v="0"/>
    <s v="寿都郡黒松内町"/>
    <x v="66"/>
    <x v="14"/>
    <n v="4"/>
    <n v="5"/>
    <n v="1"/>
    <n v="2.44"/>
    <n v="1"/>
    <n v="3.13"/>
    <x v="1"/>
  </r>
  <r>
    <x v="0"/>
    <s v="磯谷郡蘭越町"/>
    <x v="67"/>
    <x v="0"/>
    <n v="1"/>
    <n v="0.75"/>
    <n v="0"/>
    <n v="0"/>
    <n v="1"/>
    <n v="2.63"/>
    <x v="0"/>
  </r>
  <r>
    <x v="0"/>
    <s v="磯谷郡蘭越町"/>
    <x v="67"/>
    <x v="1"/>
    <n v="22"/>
    <n v="16.420000000000002"/>
    <n v="13"/>
    <n v="18.059999999999999"/>
    <n v="9"/>
    <n v="23.68"/>
    <x v="0"/>
  </r>
  <r>
    <x v="0"/>
    <s v="磯谷郡蘭越町"/>
    <x v="67"/>
    <x v="2"/>
    <n v="6"/>
    <n v="4.4800000000000004"/>
    <n v="3"/>
    <n v="4.17"/>
    <n v="1"/>
    <n v="2.63"/>
    <x v="1"/>
  </r>
  <r>
    <x v="0"/>
    <s v="磯谷郡蘭越町"/>
    <x v="67"/>
    <x v="3"/>
    <n v="1"/>
    <n v="0.75"/>
    <n v="0"/>
    <n v="0"/>
    <n v="0"/>
    <n v="0"/>
    <x v="0"/>
  </r>
  <r>
    <x v="0"/>
    <s v="磯谷郡蘭越町"/>
    <x v="67"/>
    <x v="4"/>
    <n v="0"/>
    <n v="0"/>
    <n v="0"/>
    <n v="0"/>
    <n v="0"/>
    <n v="0"/>
    <x v="0"/>
  </r>
  <r>
    <x v="0"/>
    <s v="磯谷郡蘭越町"/>
    <x v="67"/>
    <x v="5"/>
    <n v="1"/>
    <n v="0.75"/>
    <n v="1"/>
    <n v="1.39"/>
    <n v="0"/>
    <n v="0"/>
    <x v="0"/>
  </r>
  <r>
    <x v="0"/>
    <s v="磯谷郡蘭越町"/>
    <x v="67"/>
    <x v="6"/>
    <n v="39"/>
    <n v="29.1"/>
    <n v="18"/>
    <n v="25"/>
    <n v="19"/>
    <n v="50"/>
    <x v="0"/>
  </r>
  <r>
    <x v="0"/>
    <s v="磯谷郡蘭越町"/>
    <x v="67"/>
    <x v="7"/>
    <n v="0"/>
    <n v="0"/>
    <n v="0"/>
    <n v="0"/>
    <n v="0"/>
    <n v="0"/>
    <x v="0"/>
  </r>
  <r>
    <x v="0"/>
    <s v="磯谷郡蘭越町"/>
    <x v="67"/>
    <x v="8"/>
    <n v="7"/>
    <n v="5.22"/>
    <n v="5"/>
    <n v="6.94"/>
    <n v="1"/>
    <n v="2.63"/>
    <x v="1"/>
  </r>
  <r>
    <x v="0"/>
    <s v="磯谷郡蘭越町"/>
    <x v="67"/>
    <x v="9"/>
    <n v="3"/>
    <n v="2.2400000000000002"/>
    <n v="2"/>
    <n v="2.78"/>
    <n v="1"/>
    <n v="2.63"/>
    <x v="0"/>
  </r>
  <r>
    <x v="0"/>
    <s v="磯谷郡蘭越町"/>
    <x v="67"/>
    <x v="10"/>
    <n v="24"/>
    <n v="17.91"/>
    <n v="18"/>
    <n v="25"/>
    <n v="5"/>
    <n v="13.16"/>
    <x v="0"/>
  </r>
  <r>
    <x v="0"/>
    <s v="磯谷郡蘭越町"/>
    <x v="67"/>
    <x v="11"/>
    <n v="7"/>
    <n v="5.22"/>
    <n v="5"/>
    <n v="6.94"/>
    <n v="0"/>
    <n v="0"/>
    <x v="0"/>
  </r>
  <r>
    <x v="0"/>
    <s v="磯谷郡蘭越町"/>
    <x v="67"/>
    <x v="12"/>
    <n v="5"/>
    <n v="3.73"/>
    <n v="4"/>
    <n v="5.56"/>
    <n v="0"/>
    <n v="0"/>
    <x v="0"/>
  </r>
  <r>
    <x v="0"/>
    <s v="磯谷郡蘭越町"/>
    <x v="67"/>
    <x v="13"/>
    <n v="10"/>
    <n v="7.46"/>
    <n v="3"/>
    <n v="4.17"/>
    <n v="0"/>
    <n v="0"/>
    <x v="0"/>
  </r>
  <r>
    <x v="0"/>
    <s v="磯谷郡蘭越町"/>
    <x v="67"/>
    <x v="14"/>
    <n v="8"/>
    <n v="5.97"/>
    <n v="0"/>
    <n v="0"/>
    <n v="1"/>
    <n v="2.63"/>
    <x v="0"/>
  </r>
  <r>
    <x v="0"/>
    <s v="虻田郡ニセコ町"/>
    <x v="68"/>
    <x v="0"/>
    <n v="1"/>
    <n v="0.52"/>
    <n v="0"/>
    <n v="0"/>
    <n v="1"/>
    <n v="1.1399999999999999"/>
    <x v="0"/>
  </r>
  <r>
    <x v="0"/>
    <s v="虻田郡ニセコ町"/>
    <x v="68"/>
    <x v="1"/>
    <n v="10"/>
    <n v="5.18"/>
    <n v="2"/>
    <n v="1.9"/>
    <n v="8"/>
    <n v="9.09"/>
    <x v="0"/>
  </r>
  <r>
    <x v="0"/>
    <s v="虻田郡ニセコ町"/>
    <x v="68"/>
    <x v="2"/>
    <n v="15"/>
    <n v="7.77"/>
    <n v="5"/>
    <n v="4.76"/>
    <n v="10"/>
    <n v="11.36"/>
    <x v="0"/>
  </r>
  <r>
    <x v="0"/>
    <s v="虻田郡ニセコ町"/>
    <x v="68"/>
    <x v="3"/>
    <n v="0"/>
    <n v="0"/>
    <n v="0"/>
    <n v="0"/>
    <n v="0"/>
    <n v="0"/>
    <x v="0"/>
  </r>
  <r>
    <x v="0"/>
    <s v="虻田郡ニセコ町"/>
    <x v="68"/>
    <x v="4"/>
    <n v="3"/>
    <n v="1.55"/>
    <n v="0"/>
    <n v="0"/>
    <n v="3"/>
    <n v="3.41"/>
    <x v="0"/>
  </r>
  <r>
    <x v="0"/>
    <s v="虻田郡ニセコ町"/>
    <x v="68"/>
    <x v="5"/>
    <n v="3"/>
    <n v="1.55"/>
    <n v="2"/>
    <n v="1.9"/>
    <n v="1"/>
    <n v="1.1399999999999999"/>
    <x v="0"/>
  </r>
  <r>
    <x v="0"/>
    <s v="虻田郡ニセコ町"/>
    <x v="68"/>
    <x v="6"/>
    <n v="48"/>
    <n v="24.87"/>
    <n v="19"/>
    <n v="18.100000000000001"/>
    <n v="29"/>
    <n v="32.950000000000003"/>
    <x v="0"/>
  </r>
  <r>
    <x v="0"/>
    <s v="虻田郡ニセコ町"/>
    <x v="68"/>
    <x v="7"/>
    <n v="1"/>
    <n v="0.52"/>
    <n v="0"/>
    <n v="0"/>
    <n v="1"/>
    <n v="1.1399999999999999"/>
    <x v="0"/>
  </r>
  <r>
    <x v="0"/>
    <s v="虻田郡ニセコ町"/>
    <x v="68"/>
    <x v="8"/>
    <n v="11"/>
    <n v="5.7"/>
    <n v="1"/>
    <n v="0.95"/>
    <n v="10"/>
    <n v="11.36"/>
    <x v="0"/>
  </r>
  <r>
    <x v="0"/>
    <s v="虻田郡ニセコ町"/>
    <x v="68"/>
    <x v="9"/>
    <n v="8"/>
    <n v="4.1500000000000004"/>
    <n v="3"/>
    <n v="2.86"/>
    <n v="5"/>
    <n v="5.68"/>
    <x v="0"/>
  </r>
  <r>
    <x v="0"/>
    <s v="虻田郡ニセコ町"/>
    <x v="68"/>
    <x v="10"/>
    <n v="62"/>
    <n v="32.119999999999997"/>
    <n v="53"/>
    <n v="50.48"/>
    <n v="9"/>
    <n v="10.23"/>
    <x v="0"/>
  </r>
  <r>
    <x v="0"/>
    <s v="虻田郡ニセコ町"/>
    <x v="68"/>
    <x v="11"/>
    <n v="15"/>
    <n v="7.77"/>
    <n v="12"/>
    <n v="11.43"/>
    <n v="3"/>
    <n v="3.41"/>
    <x v="0"/>
  </r>
  <r>
    <x v="0"/>
    <s v="虻田郡ニセコ町"/>
    <x v="68"/>
    <x v="12"/>
    <n v="4"/>
    <n v="2.0699999999999998"/>
    <n v="2"/>
    <n v="1.9"/>
    <n v="2"/>
    <n v="2.27"/>
    <x v="0"/>
  </r>
  <r>
    <x v="0"/>
    <s v="虻田郡ニセコ町"/>
    <x v="68"/>
    <x v="13"/>
    <n v="7"/>
    <n v="3.63"/>
    <n v="4"/>
    <n v="3.81"/>
    <n v="3"/>
    <n v="3.41"/>
    <x v="0"/>
  </r>
  <r>
    <x v="0"/>
    <s v="虻田郡ニセコ町"/>
    <x v="68"/>
    <x v="14"/>
    <n v="5"/>
    <n v="2.59"/>
    <n v="2"/>
    <n v="1.9"/>
    <n v="3"/>
    <n v="3.41"/>
    <x v="0"/>
  </r>
  <r>
    <x v="0"/>
    <s v="虻田郡真狩村"/>
    <x v="69"/>
    <x v="0"/>
    <n v="0"/>
    <n v="0"/>
    <n v="0"/>
    <n v="0"/>
    <n v="0"/>
    <n v="0"/>
    <x v="0"/>
  </r>
  <r>
    <x v="0"/>
    <s v="虻田郡真狩村"/>
    <x v="69"/>
    <x v="1"/>
    <n v="8"/>
    <n v="10.67"/>
    <n v="5"/>
    <n v="10.64"/>
    <n v="3"/>
    <n v="14.29"/>
    <x v="0"/>
  </r>
  <r>
    <x v="0"/>
    <s v="虻田郡真狩村"/>
    <x v="69"/>
    <x v="2"/>
    <n v="1"/>
    <n v="1.33"/>
    <n v="0"/>
    <n v="0"/>
    <n v="1"/>
    <n v="4.76"/>
    <x v="0"/>
  </r>
  <r>
    <x v="0"/>
    <s v="虻田郡真狩村"/>
    <x v="69"/>
    <x v="3"/>
    <n v="1"/>
    <n v="1.33"/>
    <n v="0"/>
    <n v="0"/>
    <n v="0"/>
    <n v="0"/>
    <x v="0"/>
  </r>
  <r>
    <x v="0"/>
    <s v="虻田郡真狩村"/>
    <x v="69"/>
    <x v="4"/>
    <n v="0"/>
    <n v="0"/>
    <n v="0"/>
    <n v="0"/>
    <n v="0"/>
    <n v="0"/>
    <x v="0"/>
  </r>
  <r>
    <x v="0"/>
    <s v="虻田郡真狩村"/>
    <x v="69"/>
    <x v="5"/>
    <n v="3"/>
    <n v="4"/>
    <n v="1"/>
    <n v="2.13"/>
    <n v="1"/>
    <n v="4.76"/>
    <x v="1"/>
  </r>
  <r>
    <x v="0"/>
    <s v="虻田郡真狩村"/>
    <x v="69"/>
    <x v="6"/>
    <n v="18"/>
    <n v="24"/>
    <n v="11"/>
    <n v="23.4"/>
    <n v="7"/>
    <n v="33.33"/>
    <x v="0"/>
  </r>
  <r>
    <x v="0"/>
    <s v="虻田郡真狩村"/>
    <x v="69"/>
    <x v="7"/>
    <n v="0"/>
    <n v="0"/>
    <n v="0"/>
    <n v="0"/>
    <n v="0"/>
    <n v="0"/>
    <x v="0"/>
  </r>
  <r>
    <x v="0"/>
    <s v="虻田郡真狩村"/>
    <x v="69"/>
    <x v="8"/>
    <n v="2"/>
    <n v="2.67"/>
    <n v="1"/>
    <n v="2.13"/>
    <n v="1"/>
    <n v="4.76"/>
    <x v="0"/>
  </r>
  <r>
    <x v="0"/>
    <s v="虻田郡真狩村"/>
    <x v="69"/>
    <x v="9"/>
    <n v="0"/>
    <n v="0"/>
    <n v="0"/>
    <n v="0"/>
    <n v="0"/>
    <n v="0"/>
    <x v="0"/>
  </r>
  <r>
    <x v="0"/>
    <s v="虻田郡真狩村"/>
    <x v="69"/>
    <x v="10"/>
    <n v="27"/>
    <n v="36"/>
    <n v="21"/>
    <n v="44.68"/>
    <n v="5"/>
    <n v="23.81"/>
    <x v="0"/>
  </r>
  <r>
    <x v="0"/>
    <s v="虻田郡真狩村"/>
    <x v="69"/>
    <x v="11"/>
    <n v="6"/>
    <n v="8"/>
    <n v="5"/>
    <n v="10.64"/>
    <n v="0"/>
    <n v="0"/>
    <x v="0"/>
  </r>
  <r>
    <x v="0"/>
    <s v="虻田郡真狩村"/>
    <x v="69"/>
    <x v="12"/>
    <n v="2"/>
    <n v="2.67"/>
    <n v="1"/>
    <n v="2.13"/>
    <n v="0"/>
    <n v="0"/>
    <x v="0"/>
  </r>
  <r>
    <x v="0"/>
    <s v="虻田郡真狩村"/>
    <x v="69"/>
    <x v="13"/>
    <n v="5"/>
    <n v="6.67"/>
    <n v="1"/>
    <n v="2.13"/>
    <n v="3"/>
    <n v="14.29"/>
    <x v="0"/>
  </r>
  <r>
    <x v="0"/>
    <s v="虻田郡真狩村"/>
    <x v="69"/>
    <x v="14"/>
    <n v="2"/>
    <n v="2.67"/>
    <n v="1"/>
    <n v="2.13"/>
    <n v="0"/>
    <n v="0"/>
    <x v="0"/>
  </r>
  <r>
    <x v="0"/>
    <s v="虻田郡留寿都村"/>
    <x v="70"/>
    <x v="0"/>
    <n v="0"/>
    <n v="0"/>
    <n v="0"/>
    <n v="0"/>
    <n v="0"/>
    <n v="0"/>
    <x v="0"/>
  </r>
  <r>
    <x v="0"/>
    <s v="虻田郡留寿都村"/>
    <x v="70"/>
    <x v="1"/>
    <n v="2"/>
    <n v="2.86"/>
    <n v="0"/>
    <n v="0"/>
    <n v="2"/>
    <n v="7.41"/>
    <x v="0"/>
  </r>
  <r>
    <x v="0"/>
    <s v="虻田郡留寿都村"/>
    <x v="70"/>
    <x v="2"/>
    <n v="4"/>
    <n v="5.71"/>
    <n v="3"/>
    <n v="7.69"/>
    <n v="1"/>
    <n v="3.7"/>
    <x v="0"/>
  </r>
  <r>
    <x v="0"/>
    <s v="虻田郡留寿都村"/>
    <x v="70"/>
    <x v="3"/>
    <n v="2"/>
    <n v="2.86"/>
    <n v="0"/>
    <n v="0"/>
    <n v="1"/>
    <n v="3.7"/>
    <x v="0"/>
  </r>
  <r>
    <x v="0"/>
    <s v="虻田郡留寿都村"/>
    <x v="70"/>
    <x v="4"/>
    <n v="0"/>
    <n v="0"/>
    <n v="0"/>
    <n v="0"/>
    <n v="0"/>
    <n v="0"/>
    <x v="0"/>
  </r>
  <r>
    <x v="0"/>
    <s v="虻田郡留寿都村"/>
    <x v="70"/>
    <x v="5"/>
    <n v="0"/>
    <n v="0"/>
    <n v="0"/>
    <n v="0"/>
    <n v="0"/>
    <n v="0"/>
    <x v="0"/>
  </r>
  <r>
    <x v="0"/>
    <s v="虻田郡留寿都村"/>
    <x v="70"/>
    <x v="6"/>
    <n v="18"/>
    <n v="25.71"/>
    <n v="11"/>
    <n v="28.21"/>
    <n v="7"/>
    <n v="25.93"/>
    <x v="0"/>
  </r>
  <r>
    <x v="0"/>
    <s v="虻田郡留寿都村"/>
    <x v="70"/>
    <x v="7"/>
    <n v="0"/>
    <n v="0"/>
    <n v="0"/>
    <n v="0"/>
    <n v="0"/>
    <n v="0"/>
    <x v="0"/>
  </r>
  <r>
    <x v="0"/>
    <s v="虻田郡留寿都村"/>
    <x v="70"/>
    <x v="8"/>
    <n v="8"/>
    <n v="11.43"/>
    <n v="7"/>
    <n v="17.95"/>
    <n v="0"/>
    <n v="0"/>
    <x v="0"/>
  </r>
  <r>
    <x v="0"/>
    <s v="虻田郡留寿都村"/>
    <x v="70"/>
    <x v="9"/>
    <n v="0"/>
    <n v="0"/>
    <n v="0"/>
    <n v="0"/>
    <n v="0"/>
    <n v="0"/>
    <x v="0"/>
  </r>
  <r>
    <x v="0"/>
    <s v="虻田郡留寿都村"/>
    <x v="70"/>
    <x v="10"/>
    <n v="26"/>
    <n v="37.14"/>
    <n v="14"/>
    <n v="35.9"/>
    <n v="11"/>
    <n v="40.74"/>
    <x v="0"/>
  </r>
  <r>
    <x v="0"/>
    <s v="虻田郡留寿都村"/>
    <x v="70"/>
    <x v="11"/>
    <n v="2"/>
    <n v="2.86"/>
    <n v="2"/>
    <n v="5.13"/>
    <n v="0"/>
    <n v="0"/>
    <x v="0"/>
  </r>
  <r>
    <x v="0"/>
    <s v="虻田郡留寿都村"/>
    <x v="70"/>
    <x v="12"/>
    <n v="2"/>
    <n v="2.86"/>
    <n v="1"/>
    <n v="2.56"/>
    <n v="1"/>
    <n v="3.7"/>
    <x v="0"/>
  </r>
  <r>
    <x v="0"/>
    <s v="虻田郡留寿都村"/>
    <x v="70"/>
    <x v="13"/>
    <n v="2"/>
    <n v="2.86"/>
    <n v="0"/>
    <n v="0"/>
    <n v="1"/>
    <n v="3.7"/>
    <x v="0"/>
  </r>
  <r>
    <x v="0"/>
    <s v="虻田郡留寿都村"/>
    <x v="70"/>
    <x v="14"/>
    <n v="4"/>
    <n v="5.71"/>
    <n v="1"/>
    <n v="2.56"/>
    <n v="3"/>
    <n v="11.11"/>
    <x v="0"/>
  </r>
  <r>
    <x v="0"/>
    <s v="虻田郡喜茂別町"/>
    <x v="71"/>
    <x v="0"/>
    <n v="1"/>
    <n v="1.45"/>
    <n v="0"/>
    <n v="0"/>
    <n v="1"/>
    <n v="3.7"/>
    <x v="0"/>
  </r>
  <r>
    <x v="0"/>
    <s v="虻田郡喜茂別町"/>
    <x v="71"/>
    <x v="1"/>
    <n v="5"/>
    <n v="7.25"/>
    <n v="1"/>
    <n v="2.44"/>
    <n v="4"/>
    <n v="14.81"/>
    <x v="0"/>
  </r>
  <r>
    <x v="0"/>
    <s v="虻田郡喜茂別町"/>
    <x v="71"/>
    <x v="2"/>
    <n v="2"/>
    <n v="2.9"/>
    <n v="1"/>
    <n v="2.44"/>
    <n v="1"/>
    <n v="3.7"/>
    <x v="0"/>
  </r>
  <r>
    <x v="0"/>
    <s v="虻田郡喜茂別町"/>
    <x v="71"/>
    <x v="3"/>
    <n v="2"/>
    <n v="2.9"/>
    <n v="0"/>
    <n v="0"/>
    <n v="1"/>
    <n v="3.7"/>
    <x v="0"/>
  </r>
  <r>
    <x v="0"/>
    <s v="虻田郡喜茂別町"/>
    <x v="71"/>
    <x v="4"/>
    <n v="0"/>
    <n v="0"/>
    <n v="0"/>
    <n v="0"/>
    <n v="0"/>
    <n v="0"/>
    <x v="0"/>
  </r>
  <r>
    <x v="0"/>
    <s v="虻田郡喜茂別町"/>
    <x v="71"/>
    <x v="5"/>
    <n v="2"/>
    <n v="2.9"/>
    <n v="0"/>
    <n v="0"/>
    <n v="2"/>
    <n v="7.41"/>
    <x v="0"/>
  </r>
  <r>
    <x v="0"/>
    <s v="虻田郡喜茂別町"/>
    <x v="71"/>
    <x v="6"/>
    <n v="23"/>
    <n v="33.33"/>
    <n v="16"/>
    <n v="39.020000000000003"/>
    <n v="7"/>
    <n v="25.93"/>
    <x v="0"/>
  </r>
  <r>
    <x v="0"/>
    <s v="虻田郡喜茂別町"/>
    <x v="71"/>
    <x v="7"/>
    <n v="1"/>
    <n v="1.45"/>
    <n v="1"/>
    <n v="2.44"/>
    <n v="0"/>
    <n v="0"/>
    <x v="0"/>
  </r>
  <r>
    <x v="0"/>
    <s v="虻田郡喜茂別町"/>
    <x v="71"/>
    <x v="8"/>
    <n v="1"/>
    <n v="1.45"/>
    <n v="1"/>
    <n v="2.44"/>
    <n v="0"/>
    <n v="0"/>
    <x v="0"/>
  </r>
  <r>
    <x v="0"/>
    <s v="虻田郡喜茂別町"/>
    <x v="71"/>
    <x v="9"/>
    <n v="3"/>
    <n v="4.3499999999999996"/>
    <n v="0"/>
    <n v="0"/>
    <n v="3"/>
    <n v="11.11"/>
    <x v="0"/>
  </r>
  <r>
    <x v="0"/>
    <s v="虻田郡喜茂別町"/>
    <x v="71"/>
    <x v="10"/>
    <n v="16"/>
    <n v="23.19"/>
    <n v="13"/>
    <n v="31.71"/>
    <n v="3"/>
    <n v="11.11"/>
    <x v="0"/>
  </r>
  <r>
    <x v="0"/>
    <s v="虻田郡喜茂別町"/>
    <x v="71"/>
    <x v="11"/>
    <n v="6"/>
    <n v="8.6999999999999993"/>
    <n v="5"/>
    <n v="12.2"/>
    <n v="1"/>
    <n v="3.7"/>
    <x v="0"/>
  </r>
  <r>
    <x v="0"/>
    <s v="虻田郡喜茂別町"/>
    <x v="71"/>
    <x v="12"/>
    <n v="1"/>
    <n v="1.45"/>
    <n v="1"/>
    <n v="2.44"/>
    <n v="0"/>
    <n v="0"/>
    <x v="0"/>
  </r>
  <r>
    <x v="0"/>
    <s v="虻田郡喜茂別町"/>
    <x v="71"/>
    <x v="13"/>
    <n v="3"/>
    <n v="4.3499999999999996"/>
    <n v="0"/>
    <n v="0"/>
    <n v="3"/>
    <n v="11.11"/>
    <x v="0"/>
  </r>
  <r>
    <x v="0"/>
    <s v="虻田郡喜茂別町"/>
    <x v="71"/>
    <x v="14"/>
    <n v="3"/>
    <n v="4.3499999999999996"/>
    <n v="2"/>
    <n v="4.88"/>
    <n v="1"/>
    <n v="3.7"/>
    <x v="0"/>
  </r>
  <r>
    <x v="0"/>
    <s v="虻田郡京極町"/>
    <x v="72"/>
    <x v="0"/>
    <n v="0"/>
    <n v="0"/>
    <n v="0"/>
    <n v="0"/>
    <n v="0"/>
    <n v="0"/>
    <x v="0"/>
  </r>
  <r>
    <x v="0"/>
    <s v="虻田郡京極町"/>
    <x v="72"/>
    <x v="1"/>
    <n v="11"/>
    <n v="12.94"/>
    <n v="4"/>
    <n v="8.16"/>
    <n v="7"/>
    <n v="20.59"/>
    <x v="0"/>
  </r>
  <r>
    <x v="0"/>
    <s v="虻田郡京極町"/>
    <x v="72"/>
    <x v="2"/>
    <n v="5"/>
    <n v="5.88"/>
    <n v="1"/>
    <n v="2.04"/>
    <n v="4"/>
    <n v="11.76"/>
    <x v="0"/>
  </r>
  <r>
    <x v="0"/>
    <s v="虻田郡京極町"/>
    <x v="72"/>
    <x v="3"/>
    <n v="1"/>
    <n v="1.18"/>
    <n v="0"/>
    <n v="0"/>
    <n v="0"/>
    <n v="0"/>
    <x v="0"/>
  </r>
  <r>
    <x v="0"/>
    <s v="虻田郡京極町"/>
    <x v="72"/>
    <x v="4"/>
    <n v="0"/>
    <n v="0"/>
    <n v="0"/>
    <n v="0"/>
    <n v="0"/>
    <n v="0"/>
    <x v="0"/>
  </r>
  <r>
    <x v="0"/>
    <s v="虻田郡京極町"/>
    <x v="72"/>
    <x v="5"/>
    <n v="3"/>
    <n v="3.53"/>
    <n v="0"/>
    <n v="0"/>
    <n v="3"/>
    <n v="8.82"/>
    <x v="0"/>
  </r>
  <r>
    <x v="0"/>
    <s v="虻田郡京極町"/>
    <x v="72"/>
    <x v="6"/>
    <n v="21"/>
    <n v="24.71"/>
    <n v="15"/>
    <n v="30.61"/>
    <n v="6"/>
    <n v="17.649999999999999"/>
    <x v="0"/>
  </r>
  <r>
    <x v="0"/>
    <s v="虻田郡京極町"/>
    <x v="72"/>
    <x v="7"/>
    <n v="0"/>
    <n v="0"/>
    <n v="0"/>
    <n v="0"/>
    <n v="0"/>
    <n v="0"/>
    <x v="0"/>
  </r>
  <r>
    <x v="0"/>
    <s v="虻田郡京極町"/>
    <x v="72"/>
    <x v="8"/>
    <n v="10"/>
    <n v="11.76"/>
    <n v="4"/>
    <n v="8.16"/>
    <n v="6"/>
    <n v="17.649999999999999"/>
    <x v="0"/>
  </r>
  <r>
    <x v="0"/>
    <s v="虻田郡京極町"/>
    <x v="72"/>
    <x v="9"/>
    <n v="1"/>
    <n v="1.18"/>
    <n v="0"/>
    <n v="0"/>
    <n v="1"/>
    <n v="2.94"/>
    <x v="0"/>
  </r>
  <r>
    <x v="0"/>
    <s v="虻田郡京極町"/>
    <x v="72"/>
    <x v="10"/>
    <n v="16"/>
    <n v="18.82"/>
    <n v="12"/>
    <n v="24.49"/>
    <n v="3"/>
    <n v="8.82"/>
    <x v="0"/>
  </r>
  <r>
    <x v="0"/>
    <s v="虻田郡京極町"/>
    <x v="72"/>
    <x v="11"/>
    <n v="10"/>
    <n v="11.76"/>
    <n v="10"/>
    <n v="20.41"/>
    <n v="0"/>
    <n v="0"/>
    <x v="0"/>
  </r>
  <r>
    <x v="0"/>
    <s v="虻田郡京極町"/>
    <x v="72"/>
    <x v="12"/>
    <n v="2"/>
    <n v="2.35"/>
    <n v="1"/>
    <n v="2.04"/>
    <n v="1"/>
    <n v="2.94"/>
    <x v="0"/>
  </r>
  <r>
    <x v="0"/>
    <s v="虻田郡京極町"/>
    <x v="72"/>
    <x v="13"/>
    <n v="1"/>
    <n v="1.18"/>
    <n v="1"/>
    <n v="2.04"/>
    <n v="0"/>
    <n v="0"/>
    <x v="0"/>
  </r>
  <r>
    <x v="0"/>
    <s v="虻田郡京極町"/>
    <x v="72"/>
    <x v="14"/>
    <n v="4"/>
    <n v="4.71"/>
    <n v="1"/>
    <n v="2.04"/>
    <n v="3"/>
    <n v="8.82"/>
    <x v="0"/>
  </r>
  <r>
    <x v="0"/>
    <s v="虻田郡倶知安町"/>
    <x v="73"/>
    <x v="0"/>
    <n v="0"/>
    <n v="0"/>
    <n v="0"/>
    <n v="0"/>
    <n v="0"/>
    <n v="0"/>
    <x v="0"/>
  </r>
  <r>
    <x v="0"/>
    <s v="虻田郡倶知安町"/>
    <x v="73"/>
    <x v="1"/>
    <n v="49"/>
    <n v="9.32"/>
    <n v="15"/>
    <n v="5.62"/>
    <n v="34"/>
    <n v="13.71"/>
    <x v="0"/>
  </r>
  <r>
    <x v="0"/>
    <s v="虻田郡倶知安町"/>
    <x v="73"/>
    <x v="2"/>
    <n v="11"/>
    <n v="2.09"/>
    <n v="3"/>
    <n v="1.1200000000000001"/>
    <n v="8"/>
    <n v="3.23"/>
    <x v="0"/>
  </r>
  <r>
    <x v="0"/>
    <s v="虻田郡倶知安町"/>
    <x v="73"/>
    <x v="3"/>
    <n v="1"/>
    <n v="0.19"/>
    <n v="0"/>
    <n v="0"/>
    <n v="1"/>
    <n v="0.4"/>
    <x v="0"/>
  </r>
  <r>
    <x v="0"/>
    <s v="虻田郡倶知安町"/>
    <x v="73"/>
    <x v="4"/>
    <n v="2"/>
    <n v="0.38"/>
    <n v="0"/>
    <n v="0"/>
    <n v="2"/>
    <n v="0.81"/>
    <x v="0"/>
  </r>
  <r>
    <x v="0"/>
    <s v="虻田郡倶知安町"/>
    <x v="73"/>
    <x v="5"/>
    <n v="5"/>
    <n v="0.95"/>
    <n v="2"/>
    <n v="0.75"/>
    <n v="3"/>
    <n v="1.21"/>
    <x v="0"/>
  </r>
  <r>
    <x v="0"/>
    <s v="虻田郡倶知安町"/>
    <x v="73"/>
    <x v="6"/>
    <n v="74"/>
    <n v="14.07"/>
    <n v="24"/>
    <n v="8.99"/>
    <n v="50"/>
    <n v="20.16"/>
    <x v="0"/>
  </r>
  <r>
    <x v="0"/>
    <s v="虻田郡倶知安町"/>
    <x v="73"/>
    <x v="7"/>
    <n v="4"/>
    <n v="0.76"/>
    <n v="0"/>
    <n v="0"/>
    <n v="4"/>
    <n v="1.61"/>
    <x v="0"/>
  </r>
  <r>
    <x v="0"/>
    <s v="虻田郡倶知安町"/>
    <x v="73"/>
    <x v="8"/>
    <n v="93"/>
    <n v="17.68"/>
    <n v="49"/>
    <n v="18.350000000000001"/>
    <n v="42"/>
    <n v="16.940000000000001"/>
    <x v="0"/>
  </r>
  <r>
    <x v="0"/>
    <s v="虻田郡倶知安町"/>
    <x v="73"/>
    <x v="9"/>
    <n v="20"/>
    <n v="3.8"/>
    <n v="10"/>
    <n v="3.75"/>
    <n v="9"/>
    <n v="3.63"/>
    <x v="1"/>
  </r>
  <r>
    <x v="0"/>
    <s v="虻田郡倶知安町"/>
    <x v="73"/>
    <x v="10"/>
    <n v="137"/>
    <n v="26.05"/>
    <n v="94"/>
    <n v="35.21"/>
    <n v="43"/>
    <n v="17.34"/>
    <x v="0"/>
  </r>
  <r>
    <x v="0"/>
    <s v="虻田郡倶知安町"/>
    <x v="73"/>
    <x v="11"/>
    <n v="57"/>
    <n v="10.84"/>
    <n v="37"/>
    <n v="13.86"/>
    <n v="18"/>
    <n v="7.26"/>
    <x v="0"/>
  </r>
  <r>
    <x v="0"/>
    <s v="虻田郡倶知安町"/>
    <x v="73"/>
    <x v="12"/>
    <n v="21"/>
    <n v="3.99"/>
    <n v="12"/>
    <n v="4.49"/>
    <n v="6"/>
    <n v="2.42"/>
    <x v="1"/>
  </r>
  <r>
    <x v="0"/>
    <s v="虻田郡倶知安町"/>
    <x v="73"/>
    <x v="13"/>
    <n v="29"/>
    <n v="5.51"/>
    <n v="15"/>
    <n v="5.62"/>
    <n v="13"/>
    <n v="5.24"/>
    <x v="0"/>
  </r>
  <r>
    <x v="0"/>
    <s v="虻田郡倶知安町"/>
    <x v="73"/>
    <x v="14"/>
    <n v="23"/>
    <n v="4.37"/>
    <n v="6"/>
    <n v="2.25"/>
    <n v="15"/>
    <n v="6.05"/>
    <x v="1"/>
  </r>
  <r>
    <x v="0"/>
    <s v="岩内郡共和町"/>
    <x v="74"/>
    <x v="0"/>
    <n v="1"/>
    <n v="0.86"/>
    <n v="0"/>
    <n v="0"/>
    <n v="1"/>
    <n v="1.59"/>
    <x v="0"/>
  </r>
  <r>
    <x v="0"/>
    <s v="岩内郡共和町"/>
    <x v="74"/>
    <x v="1"/>
    <n v="18"/>
    <n v="15.52"/>
    <n v="3"/>
    <n v="8.33"/>
    <n v="15"/>
    <n v="23.81"/>
    <x v="0"/>
  </r>
  <r>
    <x v="0"/>
    <s v="岩内郡共和町"/>
    <x v="74"/>
    <x v="2"/>
    <n v="10"/>
    <n v="8.6199999999999992"/>
    <n v="2"/>
    <n v="5.56"/>
    <n v="8"/>
    <n v="12.7"/>
    <x v="0"/>
  </r>
  <r>
    <x v="0"/>
    <s v="岩内郡共和町"/>
    <x v="74"/>
    <x v="3"/>
    <n v="1"/>
    <n v="0.86"/>
    <n v="0"/>
    <n v="0"/>
    <n v="1"/>
    <n v="1.59"/>
    <x v="0"/>
  </r>
  <r>
    <x v="0"/>
    <s v="岩内郡共和町"/>
    <x v="74"/>
    <x v="4"/>
    <n v="0"/>
    <n v="0"/>
    <n v="0"/>
    <n v="0"/>
    <n v="0"/>
    <n v="0"/>
    <x v="0"/>
  </r>
  <r>
    <x v="0"/>
    <s v="岩内郡共和町"/>
    <x v="74"/>
    <x v="5"/>
    <n v="3"/>
    <n v="2.59"/>
    <n v="0"/>
    <n v="0"/>
    <n v="2"/>
    <n v="3.17"/>
    <x v="1"/>
  </r>
  <r>
    <x v="0"/>
    <s v="岩内郡共和町"/>
    <x v="74"/>
    <x v="6"/>
    <n v="23"/>
    <n v="19.829999999999998"/>
    <n v="5"/>
    <n v="13.89"/>
    <n v="18"/>
    <n v="28.57"/>
    <x v="0"/>
  </r>
  <r>
    <x v="0"/>
    <s v="岩内郡共和町"/>
    <x v="74"/>
    <x v="7"/>
    <n v="0"/>
    <n v="0"/>
    <n v="0"/>
    <n v="0"/>
    <n v="0"/>
    <n v="0"/>
    <x v="0"/>
  </r>
  <r>
    <x v="0"/>
    <s v="岩内郡共和町"/>
    <x v="74"/>
    <x v="8"/>
    <n v="7"/>
    <n v="6.03"/>
    <n v="5"/>
    <n v="13.89"/>
    <n v="1"/>
    <n v="1.59"/>
    <x v="0"/>
  </r>
  <r>
    <x v="0"/>
    <s v="岩内郡共和町"/>
    <x v="74"/>
    <x v="9"/>
    <n v="2"/>
    <n v="1.72"/>
    <n v="0"/>
    <n v="0"/>
    <n v="1"/>
    <n v="1.59"/>
    <x v="0"/>
  </r>
  <r>
    <x v="0"/>
    <s v="岩内郡共和町"/>
    <x v="74"/>
    <x v="10"/>
    <n v="17"/>
    <n v="14.66"/>
    <n v="7"/>
    <n v="19.440000000000001"/>
    <n v="9"/>
    <n v="14.29"/>
    <x v="0"/>
  </r>
  <r>
    <x v="0"/>
    <s v="岩内郡共和町"/>
    <x v="74"/>
    <x v="11"/>
    <n v="12"/>
    <n v="10.34"/>
    <n v="8"/>
    <n v="22.22"/>
    <n v="4"/>
    <n v="6.35"/>
    <x v="0"/>
  </r>
  <r>
    <x v="0"/>
    <s v="岩内郡共和町"/>
    <x v="74"/>
    <x v="12"/>
    <n v="3"/>
    <n v="2.59"/>
    <n v="1"/>
    <n v="2.78"/>
    <n v="0"/>
    <n v="0"/>
    <x v="0"/>
  </r>
  <r>
    <x v="0"/>
    <s v="岩内郡共和町"/>
    <x v="74"/>
    <x v="13"/>
    <n v="8"/>
    <n v="6.9"/>
    <n v="1"/>
    <n v="2.78"/>
    <n v="1"/>
    <n v="1.59"/>
    <x v="0"/>
  </r>
  <r>
    <x v="0"/>
    <s v="岩内郡共和町"/>
    <x v="74"/>
    <x v="14"/>
    <n v="11"/>
    <n v="9.48"/>
    <n v="4"/>
    <n v="11.11"/>
    <n v="2"/>
    <n v="3.17"/>
    <x v="0"/>
  </r>
  <r>
    <x v="0"/>
    <s v="岩内郡岩内町"/>
    <x v="75"/>
    <x v="0"/>
    <n v="0"/>
    <n v="0"/>
    <n v="0"/>
    <n v="0"/>
    <n v="0"/>
    <n v="0"/>
    <x v="0"/>
  </r>
  <r>
    <x v="0"/>
    <s v="岩内郡岩内町"/>
    <x v="75"/>
    <x v="1"/>
    <n v="50"/>
    <n v="10.99"/>
    <n v="23"/>
    <n v="8.68"/>
    <n v="27"/>
    <n v="15"/>
    <x v="0"/>
  </r>
  <r>
    <x v="0"/>
    <s v="岩内郡岩内町"/>
    <x v="75"/>
    <x v="2"/>
    <n v="25"/>
    <n v="5.49"/>
    <n v="8"/>
    <n v="3.02"/>
    <n v="17"/>
    <n v="9.44"/>
    <x v="0"/>
  </r>
  <r>
    <x v="0"/>
    <s v="岩内郡岩内町"/>
    <x v="75"/>
    <x v="3"/>
    <n v="0"/>
    <n v="0"/>
    <n v="0"/>
    <n v="0"/>
    <n v="0"/>
    <n v="0"/>
    <x v="0"/>
  </r>
  <r>
    <x v="0"/>
    <s v="岩内郡岩内町"/>
    <x v="75"/>
    <x v="4"/>
    <n v="1"/>
    <n v="0.22"/>
    <n v="0"/>
    <n v="0"/>
    <n v="1"/>
    <n v="0.56000000000000005"/>
    <x v="0"/>
  </r>
  <r>
    <x v="0"/>
    <s v="岩内郡岩内町"/>
    <x v="75"/>
    <x v="5"/>
    <n v="7"/>
    <n v="1.54"/>
    <n v="0"/>
    <n v="0"/>
    <n v="7"/>
    <n v="3.89"/>
    <x v="0"/>
  </r>
  <r>
    <x v="0"/>
    <s v="岩内郡岩内町"/>
    <x v="75"/>
    <x v="6"/>
    <n v="106"/>
    <n v="23.3"/>
    <n v="49"/>
    <n v="18.489999999999998"/>
    <n v="56"/>
    <n v="31.11"/>
    <x v="1"/>
  </r>
  <r>
    <x v="0"/>
    <s v="岩内郡岩内町"/>
    <x v="75"/>
    <x v="7"/>
    <n v="7"/>
    <n v="1.54"/>
    <n v="2"/>
    <n v="0.75"/>
    <n v="5"/>
    <n v="2.78"/>
    <x v="0"/>
  </r>
  <r>
    <x v="0"/>
    <s v="岩内郡岩内町"/>
    <x v="75"/>
    <x v="8"/>
    <n v="54"/>
    <n v="11.87"/>
    <n v="39"/>
    <n v="14.72"/>
    <n v="15"/>
    <n v="8.33"/>
    <x v="0"/>
  </r>
  <r>
    <x v="0"/>
    <s v="岩内郡岩内町"/>
    <x v="75"/>
    <x v="9"/>
    <n v="13"/>
    <n v="2.86"/>
    <n v="8"/>
    <n v="3.02"/>
    <n v="4"/>
    <n v="2.2200000000000002"/>
    <x v="0"/>
  </r>
  <r>
    <x v="0"/>
    <s v="岩内郡岩内町"/>
    <x v="75"/>
    <x v="10"/>
    <n v="96"/>
    <n v="21.1"/>
    <n v="67"/>
    <n v="25.28"/>
    <n v="29"/>
    <n v="16.11"/>
    <x v="0"/>
  </r>
  <r>
    <x v="0"/>
    <s v="岩内郡岩内町"/>
    <x v="75"/>
    <x v="11"/>
    <n v="56"/>
    <n v="12.31"/>
    <n v="48"/>
    <n v="18.11"/>
    <n v="7"/>
    <n v="3.89"/>
    <x v="0"/>
  </r>
  <r>
    <x v="0"/>
    <s v="岩内郡岩内町"/>
    <x v="75"/>
    <x v="12"/>
    <n v="11"/>
    <n v="2.42"/>
    <n v="4"/>
    <n v="1.51"/>
    <n v="5"/>
    <n v="2.78"/>
    <x v="0"/>
  </r>
  <r>
    <x v="0"/>
    <s v="岩内郡岩内町"/>
    <x v="75"/>
    <x v="13"/>
    <n v="21"/>
    <n v="4.62"/>
    <n v="16"/>
    <n v="6.04"/>
    <n v="2"/>
    <n v="1.1100000000000001"/>
    <x v="0"/>
  </r>
  <r>
    <x v="0"/>
    <s v="岩内郡岩内町"/>
    <x v="75"/>
    <x v="14"/>
    <n v="8"/>
    <n v="1.76"/>
    <n v="1"/>
    <n v="0.38"/>
    <n v="5"/>
    <n v="2.78"/>
    <x v="0"/>
  </r>
  <r>
    <x v="0"/>
    <s v="古宇郡泊村"/>
    <x v="76"/>
    <x v="0"/>
    <n v="0"/>
    <n v="0"/>
    <n v="0"/>
    <n v="0"/>
    <n v="0"/>
    <n v="0"/>
    <x v="0"/>
  </r>
  <r>
    <x v="0"/>
    <s v="古宇郡泊村"/>
    <x v="76"/>
    <x v="1"/>
    <n v="16"/>
    <n v="30.19"/>
    <n v="4"/>
    <n v="16"/>
    <n v="12"/>
    <n v="50"/>
    <x v="0"/>
  </r>
  <r>
    <x v="0"/>
    <s v="古宇郡泊村"/>
    <x v="76"/>
    <x v="2"/>
    <n v="1"/>
    <n v="1.89"/>
    <n v="0"/>
    <n v="0"/>
    <n v="1"/>
    <n v="4.17"/>
    <x v="0"/>
  </r>
  <r>
    <x v="0"/>
    <s v="古宇郡泊村"/>
    <x v="76"/>
    <x v="3"/>
    <n v="2"/>
    <n v="3.77"/>
    <n v="0"/>
    <n v="0"/>
    <n v="1"/>
    <n v="4.17"/>
    <x v="0"/>
  </r>
  <r>
    <x v="0"/>
    <s v="古宇郡泊村"/>
    <x v="76"/>
    <x v="4"/>
    <n v="0"/>
    <n v="0"/>
    <n v="0"/>
    <n v="0"/>
    <n v="0"/>
    <n v="0"/>
    <x v="0"/>
  </r>
  <r>
    <x v="0"/>
    <s v="古宇郡泊村"/>
    <x v="76"/>
    <x v="5"/>
    <n v="0"/>
    <n v="0"/>
    <n v="0"/>
    <n v="0"/>
    <n v="0"/>
    <n v="0"/>
    <x v="0"/>
  </r>
  <r>
    <x v="0"/>
    <s v="古宇郡泊村"/>
    <x v="76"/>
    <x v="6"/>
    <n v="15"/>
    <n v="28.3"/>
    <n v="9"/>
    <n v="36"/>
    <n v="6"/>
    <n v="25"/>
    <x v="0"/>
  </r>
  <r>
    <x v="0"/>
    <s v="古宇郡泊村"/>
    <x v="76"/>
    <x v="7"/>
    <n v="1"/>
    <n v="1.89"/>
    <n v="0"/>
    <n v="0"/>
    <n v="1"/>
    <n v="4.17"/>
    <x v="0"/>
  </r>
  <r>
    <x v="0"/>
    <s v="古宇郡泊村"/>
    <x v="76"/>
    <x v="8"/>
    <n v="2"/>
    <n v="3.77"/>
    <n v="2"/>
    <n v="8"/>
    <n v="0"/>
    <n v="0"/>
    <x v="0"/>
  </r>
  <r>
    <x v="0"/>
    <s v="古宇郡泊村"/>
    <x v="76"/>
    <x v="9"/>
    <n v="0"/>
    <n v="0"/>
    <n v="0"/>
    <n v="0"/>
    <n v="0"/>
    <n v="0"/>
    <x v="0"/>
  </r>
  <r>
    <x v="0"/>
    <s v="古宇郡泊村"/>
    <x v="76"/>
    <x v="10"/>
    <n v="8"/>
    <n v="15.09"/>
    <n v="5"/>
    <n v="20"/>
    <n v="3"/>
    <n v="12.5"/>
    <x v="0"/>
  </r>
  <r>
    <x v="0"/>
    <s v="古宇郡泊村"/>
    <x v="76"/>
    <x v="11"/>
    <n v="4"/>
    <n v="7.55"/>
    <n v="4"/>
    <n v="16"/>
    <n v="0"/>
    <n v="0"/>
    <x v="0"/>
  </r>
  <r>
    <x v="0"/>
    <s v="古宇郡泊村"/>
    <x v="76"/>
    <x v="12"/>
    <n v="2"/>
    <n v="3.77"/>
    <n v="0"/>
    <n v="0"/>
    <n v="0"/>
    <n v="0"/>
    <x v="0"/>
  </r>
  <r>
    <x v="0"/>
    <s v="古宇郡泊村"/>
    <x v="76"/>
    <x v="13"/>
    <n v="2"/>
    <n v="3.77"/>
    <n v="1"/>
    <n v="4"/>
    <n v="0"/>
    <n v="0"/>
    <x v="0"/>
  </r>
  <r>
    <x v="0"/>
    <s v="古宇郡泊村"/>
    <x v="76"/>
    <x v="14"/>
    <n v="0"/>
    <n v="0"/>
    <n v="0"/>
    <n v="0"/>
    <n v="0"/>
    <n v="0"/>
    <x v="0"/>
  </r>
  <r>
    <x v="0"/>
    <s v="古宇郡神恵内村"/>
    <x v="77"/>
    <x v="0"/>
    <n v="0"/>
    <n v="0"/>
    <n v="0"/>
    <n v="0"/>
    <n v="0"/>
    <n v="0"/>
    <x v="0"/>
  </r>
  <r>
    <x v="0"/>
    <s v="古宇郡神恵内村"/>
    <x v="77"/>
    <x v="1"/>
    <n v="3"/>
    <n v="8.11"/>
    <n v="0"/>
    <n v="0"/>
    <n v="3"/>
    <n v="23.08"/>
    <x v="0"/>
  </r>
  <r>
    <x v="0"/>
    <s v="古宇郡神恵内村"/>
    <x v="77"/>
    <x v="2"/>
    <n v="1"/>
    <n v="2.7"/>
    <n v="1"/>
    <n v="4.3499999999999996"/>
    <n v="0"/>
    <n v="0"/>
    <x v="0"/>
  </r>
  <r>
    <x v="0"/>
    <s v="古宇郡神恵内村"/>
    <x v="77"/>
    <x v="3"/>
    <n v="1"/>
    <n v="2.7"/>
    <n v="0"/>
    <n v="0"/>
    <n v="0"/>
    <n v="0"/>
    <x v="0"/>
  </r>
  <r>
    <x v="0"/>
    <s v="古宇郡神恵内村"/>
    <x v="77"/>
    <x v="4"/>
    <n v="1"/>
    <n v="2.7"/>
    <n v="0"/>
    <n v="0"/>
    <n v="1"/>
    <n v="7.69"/>
    <x v="0"/>
  </r>
  <r>
    <x v="0"/>
    <s v="古宇郡神恵内村"/>
    <x v="77"/>
    <x v="5"/>
    <n v="0"/>
    <n v="0"/>
    <n v="0"/>
    <n v="0"/>
    <n v="0"/>
    <n v="0"/>
    <x v="0"/>
  </r>
  <r>
    <x v="0"/>
    <s v="古宇郡神恵内村"/>
    <x v="77"/>
    <x v="6"/>
    <n v="11"/>
    <n v="29.73"/>
    <n v="9"/>
    <n v="39.130000000000003"/>
    <n v="2"/>
    <n v="15.38"/>
    <x v="0"/>
  </r>
  <r>
    <x v="0"/>
    <s v="古宇郡神恵内村"/>
    <x v="77"/>
    <x v="7"/>
    <n v="0"/>
    <n v="0"/>
    <n v="0"/>
    <n v="0"/>
    <n v="0"/>
    <n v="0"/>
    <x v="0"/>
  </r>
  <r>
    <x v="0"/>
    <s v="古宇郡神恵内村"/>
    <x v="77"/>
    <x v="8"/>
    <n v="1"/>
    <n v="2.7"/>
    <n v="0"/>
    <n v="0"/>
    <n v="1"/>
    <n v="7.69"/>
    <x v="0"/>
  </r>
  <r>
    <x v="0"/>
    <s v="古宇郡神恵内村"/>
    <x v="77"/>
    <x v="9"/>
    <n v="0"/>
    <n v="0"/>
    <n v="0"/>
    <n v="0"/>
    <n v="0"/>
    <n v="0"/>
    <x v="0"/>
  </r>
  <r>
    <x v="0"/>
    <s v="古宇郡神恵内村"/>
    <x v="77"/>
    <x v="10"/>
    <n v="11"/>
    <n v="29.73"/>
    <n v="7"/>
    <n v="30.43"/>
    <n v="4"/>
    <n v="30.77"/>
    <x v="0"/>
  </r>
  <r>
    <x v="0"/>
    <s v="古宇郡神恵内村"/>
    <x v="77"/>
    <x v="11"/>
    <n v="3"/>
    <n v="8.11"/>
    <n v="3"/>
    <n v="13.04"/>
    <n v="0"/>
    <n v="0"/>
    <x v="0"/>
  </r>
  <r>
    <x v="0"/>
    <s v="古宇郡神恵内村"/>
    <x v="77"/>
    <x v="12"/>
    <n v="0"/>
    <n v="0"/>
    <n v="0"/>
    <n v="0"/>
    <n v="0"/>
    <n v="0"/>
    <x v="0"/>
  </r>
  <r>
    <x v="0"/>
    <s v="古宇郡神恵内村"/>
    <x v="77"/>
    <x v="13"/>
    <n v="3"/>
    <n v="8.11"/>
    <n v="1"/>
    <n v="4.3499999999999996"/>
    <n v="2"/>
    <n v="15.38"/>
    <x v="0"/>
  </r>
  <r>
    <x v="0"/>
    <s v="古宇郡神恵内村"/>
    <x v="77"/>
    <x v="14"/>
    <n v="2"/>
    <n v="5.41"/>
    <n v="2"/>
    <n v="8.6999999999999993"/>
    <n v="0"/>
    <n v="0"/>
    <x v="0"/>
  </r>
  <r>
    <x v="0"/>
    <s v="積丹郡積丹町"/>
    <x v="78"/>
    <x v="0"/>
    <n v="0"/>
    <n v="0"/>
    <n v="0"/>
    <n v="0"/>
    <n v="0"/>
    <n v="0"/>
    <x v="0"/>
  </r>
  <r>
    <x v="0"/>
    <s v="積丹郡積丹町"/>
    <x v="78"/>
    <x v="1"/>
    <n v="8"/>
    <n v="8.99"/>
    <n v="3"/>
    <n v="5.66"/>
    <n v="5"/>
    <n v="16.13"/>
    <x v="0"/>
  </r>
  <r>
    <x v="0"/>
    <s v="積丹郡積丹町"/>
    <x v="78"/>
    <x v="2"/>
    <n v="5"/>
    <n v="5.62"/>
    <n v="0"/>
    <n v="0"/>
    <n v="4"/>
    <n v="12.9"/>
    <x v="1"/>
  </r>
  <r>
    <x v="0"/>
    <s v="積丹郡積丹町"/>
    <x v="78"/>
    <x v="3"/>
    <n v="0"/>
    <n v="0"/>
    <n v="0"/>
    <n v="0"/>
    <n v="0"/>
    <n v="0"/>
    <x v="0"/>
  </r>
  <r>
    <x v="0"/>
    <s v="積丹郡積丹町"/>
    <x v="78"/>
    <x v="4"/>
    <n v="0"/>
    <n v="0"/>
    <n v="0"/>
    <n v="0"/>
    <n v="0"/>
    <n v="0"/>
    <x v="0"/>
  </r>
  <r>
    <x v="0"/>
    <s v="積丹郡積丹町"/>
    <x v="78"/>
    <x v="5"/>
    <n v="2"/>
    <n v="2.25"/>
    <n v="2"/>
    <n v="3.77"/>
    <n v="0"/>
    <n v="0"/>
    <x v="0"/>
  </r>
  <r>
    <x v="0"/>
    <s v="積丹郡積丹町"/>
    <x v="78"/>
    <x v="6"/>
    <n v="33"/>
    <n v="37.08"/>
    <n v="19"/>
    <n v="35.85"/>
    <n v="14"/>
    <n v="45.16"/>
    <x v="0"/>
  </r>
  <r>
    <x v="0"/>
    <s v="積丹郡積丹町"/>
    <x v="78"/>
    <x v="7"/>
    <n v="0"/>
    <n v="0"/>
    <n v="0"/>
    <n v="0"/>
    <n v="0"/>
    <n v="0"/>
    <x v="0"/>
  </r>
  <r>
    <x v="0"/>
    <s v="積丹郡積丹町"/>
    <x v="78"/>
    <x v="8"/>
    <n v="0"/>
    <n v="0"/>
    <n v="0"/>
    <n v="0"/>
    <n v="0"/>
    <n v="0"/>
    <x v="0"/>
  </r>
  <r>
    <x v="0"/>
    <s v="積丹郡積丹町"/>
    <x v="78"/>
    <x v="9"/>
    <n v="0"/>
    <n v="0"/>
    <n v="0"/>
    <n v="0"/>
    <n v="0"/>
    <n v="0"/>
    <x v="0"/>
  </r>
  <r>
    <x v="0"/>
    <s v="積丹郡積丹町"/>
    <x v="78"/>
    <x v="10"/>
    <n v="27"/>
    <n v="30.34"/>
    <n v="19"/>
    <n v="35.85"/>
    <n v="7"/>
    <n v="22.58"/>
    <x v="0"/>
  </r>
  <r>
    <x v="0"/>
    <s v="積丹郡積丹町"/>
    <x v="78"/>
    <x v="11"/>
    <n v="9"/>
    <n v="10.11"/>
    <n v="8"/>
    <n v="15.09"/>
    <n v="0"/>
    <n v="0"/>
    <x v="0"/>
  </r>
  <r>
    <x v="0"/>
    <s v="積丹郡積丹町"/>
    <x v="78"/>
    <x v="12"/>
    <n v="1"/>
    <n v="1.1200000000000001"/>
    <n v="1"/>
    <n v="1.89"/>
    <n v="0"/>
    <n v="0"/>
    <x v="0"/>
  </r>
  <r>
    <x v="0"/>
    <s v="積丹郡積丹町"/>
    <x v="78"/>
    <x v="13"/>
    <n v="4"/>
    <n v="4.49"/>
    <n v="1"/>
    <n v="1.89"/>
    <n v="1"/>
    <n v="3.23"/>
    <x v="0"/>
  </r>
  <r>
    <x v="0"/>
    <s v="積丹郡積丹町"/>
    <x v="78"/>
    <x v="14"/>
    <n v="0"/>
    <n v="0"/>
    <n v="0"/>
    <n v="0"/>
    <n v="0"/>
    <n v="0"/>
    <x v="0"/>
  </r>
  <r>
    <x v="0"/>
    <s v="古平郡古平町"/>
    <x v="79"/>
    <x v="0"/>
    <n v="0"/>
    <n v="0"/>
    <n v="0"/>
    <n v="0"/>
    <n v="0"/>
    <n v="0"/>
    <x v="0"/>
  </r>
  <r>
    <x v="0"/>
    <s v="古平郡古平町"/>
    <x v="79"/>
    <x v="1"/>
    <n v="16"/>
    <n v="15.24"/>
    <n v="7"/>
    <n v="11.29"/>
    <n v="9"/>
    <n v="25"/>
    <x v="0"/>
  </r>
  <r>
    <x v="0"/>
    <s v="古平郡古平町"/>
    <x v="79"/>
    <x v="2"/>
    <n v="8"/>
    <n v="7.62"/>
    <n v="3"/>
    <n v="4.84"/>
    <n v="5"/>
    <n v="13.89"/>
    <x v="0"/>
  </r>
  <r>
    <x v="0"/>
    <s v="古平郡古平町"/>
    <x v="79"/>
    <x v="3"/>
    <n v="3"/>
    <n v="2.86"/>
    <n v="0"/>
    <n v="0"/>
    <n v="1"/>
    <n v="2.78"/>
    <x v="0"/>
  </r>
  <r>
    <x v="0"/>
    <s v="古平郡古平町"/>
    <x v="79"/>
    <x v="4"/>
    <n v="0"/>
    <n v="0"/>
    <n v="0"/>
    <n v="0"/>
    <n v="0"/>
    <n v="0"/>
    <x v="0"/>
  </r>
  <r>
    <x v="0"/>
    <s v="古平郡古平町"/>
    <x v="79"/>
    <x v="5"/>
    <n v="0"/>
    <n v="0"/>
    <n v="0"/>
    <n v="0"/>
    <n v="0"/>
    <n v="0"/>
    <x v="0"/>
  </r>
  <r>
    <x v="0"/>
    <s v="古平郡古平町"/>
    <x v="79"/>
    <x v="6"/>
    <n v="28"/>
    <n v="26.67"/>
    <n v="15"/>
    <n v="24.19"/>
    <n v="13"/>
    <n v="36.11"/>
    <x v="0"/>
  </r>
  <r>
    <x v="0"/>
    <s v="古平郡古平町"/>
    <x v="79"/>
    <x v="7"/>
    <n v="1"/>
    <n v="0.95"/>
    <n v="0"/>
    <n v="0"/>
    <n v="1"/>
    <n v="2.78"/>
    <x v="0"/>
  </r>
  <r>
    <x v="0"/>
    <s v="古平郡古平町"/>
    <x v="79"/>
    <x v="8"/>
    <n v="2"/>
    <n v="1.9"/>
    <n v="1"/>
    <n v="1.61"/>
    <n v="1"/>
    <n v="2.78"/>
    <x v="0"/>
  </r>
  <r>
    <x v="0"/>
    <s v="古平郡古平町"/>
    <x v="79"/>
    <x v="9"/>
    <n v="0"/>
    <n v="0"/>
    <n v="0"/>
    <n v="0"/>
    <n v="0"/>
    <n v="0"/>
    <x v="0"/>
  </r>
  <r>
    <x v="0"/>
    <s v="古平郡古平町"/>
    <x v="79"/>
    <x v="10"/>
    <n v="14"/>
    <n v="13.33"/>
    <n v="11"/>
    <n v="17.739999999999998"/>
    <n v="2"/>
    <n v="5.56"/>
    <x v="0"/>
  </r>
  <r>
    <x v="0"/>
    <s v="古平郡古平町"/>
    <x v="79"/>
    <x v="11"/>
    <n v="20"/>
    <n v="19.05"/>
    <n v="17"/>
    <n v="27.42"/>
    <n v="2"/>
    <n v="5.56"/>
    <x v="0"/>
  </r>
  <r>
    <x v="0"/>
    <s v="古平郡古平町"/>
    <x v="79"/>
    <x v="12"/>
    <n v="1"/>
    <n v="0.95"/>
    <n v="1"/>
    <n v="1.61"/>
    <n v="0"/>
    <n v="0"/>
    <x v="0"/>
  </r>
  <r>
    <x v="0"/>
    <s v="古平郡古平町"/>
    <x v="79"/>
    <x v="13"/>
    <n v="8"/>
    <n v="7.62"/>
    <n v="4"/>
    <n v="6.45"/>
    <n v="1"/>
    <n v="2.78"/>
    <x v="0"/>
  </r>
  <r>
    <x v="0"/>
    <s v="古平郡古平町"/>
    <x v="79"/>
    <x v="14"/>
    <n v="4"/>
    <n v="3.81"/>
    <n v="3"/>
    <n v="4.84"/>
    <n v="1"/>
    <n v="2.78"/>
    <x v="0"/>
  </r>
  <r>
    <x v="0"/>
    <s v="余市郡仁木町"/>
    <x v="80"/>
    <x v="0"/>
    <n v="0"/>
    <n v="0"/>
    <n v="0"/>
    <n v="0"/>
    <n v="0"/>
    <n v="0"/>
    <x v="0"/>
  </r>
  <r>
    <x v="0"/>
    <s v="余市郡仁木町"/>
    <x v="80"/>
    <x v="1"/>
    <n v="9"/>
    <n v="12"/>
    <n v="3"/>
    <n v="11.54"/>
    <n v="6"/>
    <n v="13.33"/>
    <x v="0"/>
  </r>
  <r>
    <x v="0"/>
    <s v="余市郡仁木町"/>
    <x v="80"/>
    <x v="2"/>
    <n v="8"/>
    <n v="10.67"/>
    <n v="0"/>
    <n v="0"/>
    <n v="8"/>
    <n v="17.78"/>
    <x v="0"/>
  </r>
  <r>
    <x v="0"/>
    <s v="余市郡仁木町"/>
    <x v="80"/>
    <x v="3"/>
    <n v="1"/>
    <n v="1.33"/>
    <n v="0"/>
    <n v="0"/>
    <n v="0"/>
    <n v="0"/>
    <x v="0"/>
  </r>
  <r>
    <x v="0"/>
    <s v="余市郡仁木町"/>
    <x v="80"/>
    <x v="4"/>
    <n v="1"/>
    <n v="1.33"/>
    <n v="0"/>
    <n v="0"/>
    <n v="1"/>
    <n v="2.2200000000000002"/>
    <x v="0"/>
  </r>
  <r>
    <x v="0"/>
    <s v="余市郡仁木町"/>
    <x v="80"/>
    <x v="5"/>
    <n v="1"/>
    <n v="1.33"/>
    <n v="0"/>
    <n v="0"/>
    <n v="1"/>
    <n v="2.2200000000000002"/>
    <x v="0"/>
  </r>
  <r>
    <x v="0"/>
    <s v="余市郡仁木町"/>
    <x v="80"/>
    <x v="6"/>
    <n v="15"/>
    <n v="20"/>
    <n v="6"/>
    <n v="23.08"/>
    <n v="9"/>
    <n v="20"/>
    <x v="0"/>
  </r>
  <r>
    <x v="0"/>
    <s v="余市郡仁木町"/>
    <x v="80"/>
    <x v="7"/>
    <n v="0"/>
    <n v="0"/>
    <n v="0"/>
    <n v="0"/>
    <n v="0"/>
    <n v="0"/>
    <x v="0"/>
  </r>
  <r>
    <x v="0"/>
    <s v="余市郡仁木町"/>
    <x v="80"/>
    <x v="8"/>
    <n v="7"/>
    <n v="9.33"/>
    <n v="0"/>
    <n v="0"/>
    <n v="6"/>
    <n v="13.33"/>
    <x v="0"/>
  </r>
  <r>
    <x v="0"/>
    <s v="余市郡仁木町"/>
    <x v="80"/>
    <x v="9"/>
    <n v="1"/>
    <n v="1.33"/>
    <n v="1"/>
    <n v="3.85"/>
    <n v="0"/>
    <n v="0"/>
    <x v="0"/>
  </r>
  <r>
    <x v="0"/>
    <s v="余市郡仁木町"/>
    <x v="80"/>
    <x v="10"/>
    <n v="10"/>
    <n v="13.33"/>
    <n v="6"/>
    <n v="23.08"/>
    <n v="4"/>
    <n v="8.89"/>
    <x v="0"/>
  </r>
  <r>
    <x v="0"/>
    <s v="余市郡仁木町"/>
    <x v="80"/>
    <x v="11"/>
    <n v="7"/>
    <n v="9.33"/>
    <n v="7"/>
    <n v="26.92"/>
    <n v="0"/>
    <n v="0"/>
    <x v="0"/>
  </r>
  <r>
    <x v="0"/>
    <s v="余市郡仁木町"/>
    <x v="80"/>
    <x v="12"/>
    <n v="0"/>
    <n v="0"/>
    <n v="0"/>
    <n v="0"/>
    <n v="0"/>
    <n v="0"/>
    <x v="0"/>
  </r>
  <r>
    <x v="0"/>
    <s v="余市郡仁木町"/>
    <x v="80"/>
    <x v="13"/>
    <n v="9"/>
    <n v="12"/>
    <n v="3"/>
    <n v="11.54"/>
    <n v="5"/>
    <n v="11.11"/>
    <x v="1"/>
  </r>
  <r>
    <x v="0"/>
    <s v="余市郡仁木町"/>
    <x v="80"/>
    <x v="14"/>
    <n v="6"/>
    <n v="8"/>
    <n v="0"/>
    <n v="0"/>
    <n v="5"/>
    <n v="11.11"/>
    <x v="1"/>
  </r>
  <r>
    <x v="0"/>
    <s v="余市郡余市町"/>
    <x v="81"/>
    <x v="0"/>
    <n v="1"/>
    <n v="0.2"/>
    <n v="0"/>
    <n v="0"/>
    <n v="1"/>
    <n v="0.44"/>
    <x v="0"/>
  </r>
  <r>
    <x v="0"/>
    <s v="余市郡余市町"/>
    <x v="81"/>
    <x v="1"/>
    <n v="49"/>
    <n v="9.59"/>
    <n v="25"/>
    <n v="9.23"/>
    <n v="24"/>
    <n v="10.57"/>
    <x v="0"/>
  </r>
  <r>
    <x v="0"/>
    <s v="余市郡余市町"/>
    <x v="81"/>
    <x v="2"/>
    <n v="37"/>
    <n v="7.24"/>
    <n v="14"/>
    <n v="5.17"/>
    <n v="23"/>
    <n v="10.130000000000001"/>
    <x v="0"/>
  </r>
  <r>
    <x v="0"/>
    <s v="余市郡余市町"/>
    <x v="81"/>
    <x v="3"/>
    <n v="1"/>
    <n v="0.2"/>
    <n v="0"/>
    <n v="0"/>
    <n v="1"/>
    <n v="0.44"/>
    <x v="0"/>
  </r>
  <r>
    <x v="0"/>
    <s v="余市郡余市町"/>
    <x v="81"/>
    <x v="4"/>
    <n v="2"/>
    <n v="0.39"/>
    <n v="0"/>
    <n v="0"/>
    <n v="2"/>
    <n v="0.88"/>
    <x v="0"/>
  </r>
  <r>
    <x v="0"/>
    <s v="余市郡余市町"/>
    <x v="81"/>
    <x v="5"/>
    <n v="5"/>
    <n v="0.98"/>
    <n v="2"/>
    <n v="0.74"/>
    <n v="3"/>
    <n v="1.32"/>
    <x v="0"/>
  </r>
  <r>
    <x v="0"/>
    <s v="余市郡余市町"/>
    <x v="81"/>
    <x v="6"/>
    <n v="142"/>
    <n v="27.79"/>
    <n v="51"/>
    <n v="18.82"/>
    <n v="91"/>
    <n v="40.090000000000003"/>
    <x v="0"/>
  </r>
  <r>
    <x v="0"/>
    <s v="余市郡余市町"/>
    <x v="81"/>
    <x v="7"/>
    <n v="2"/>
    <n v="0.39"/>
    <n v="0"/>
    <n v="0"/>
    <n v="2"/>
    <n v="0.88"/>
    <x v="0"/>
  </r>
  <r>
    <x v="0"/>
    <s v="余市郡余市町"/>
    <x v="81"/>
    <x v="8"/>
    <n v="60"/>
    <n v="11.74"/>
    <n v="38"/>
    <n v="14.02"/>
    <n v="21"/>
    <n v="9.25"/>
    <x v="0"/>
  </r>
  <r>
    <x v="0"/>
    <s v="余市郡余市町"/>
    <x v="81"/>
    <x v="9"/>
    <n v="13"/>
    <n v="2.54"/>
    <n v="12"/>
    <n v="4.43"/>
    <n v="1"/>
    <n v="0.44"/>
    <x v="0"/>
  </r>
  <r>
    <x v="0"/>
    <s v="余市郡余市町"/>
    <x v="81"/>
    <x v="10"/>
    <n v="71"/>
    <n v="13.89"/>
    <n v="56"/>
    <n v="20.66"/>
    <n v="15"/>
    <n v="6.61"/>
    <x v="0"/>
  </r>
  <r>
    <x v="0"/>
    <s v="余市郡余市町"/>
    <x v="81"/>
    <x v="11"/>
    <n v="71"/>
    <n v="13.89"/>
    <n v="54"/>
    <n v="19.93"/>
    <n v="17"/>
    <n v="7.49"/>
    <x v="0"/>
  </r>
  <r>
    <x v="0"/>
    <s v="余市郡余市町"/>
    <x v="81"/>
    <x v="12"/>
    <n v="9"/>
    <n v="1.76"/>
    <n v="4"/>
    <n v="1.48"/>
    <n v="2"/>
    <n v="0.88"/>
    <x v="0"/>
  </r>
  <r>
    <x v="0"/>
    <s v="余市郡余市町"/>
    <x v="81"/>
    <x v="13"/>
    <n v="36"/>
    <n v="7.05"/>
    <n v="14"/>
    <n v="5.17"/>
    <n v="18"/>
    <n v="7.93"/>
    <x v="0"/>
  </r>
  <r>
    <x v="0"/>
    <s v="余市郡余市町"/>
    <x v="81"/>
    <x v="14"/>
    <n v="12"/>
    <n v="2.35"/>
    <n v="1"/>
    <n v="0.37"/>
    <n v="6"/>
    <n v="2.64"/>
    <x v="0"/>
  </r>
  <r>
    <x v="0"/>
    <s v="余市郡赤井川村"/>
    <x v="82"/>
    <x v="0"/>
    <n v="0"/>
    <n v="0"/>
    <n v="0"/>
    <n v="0"/>
    <n v="0"/>
    <n v="0"/>
    <x v="0"/>
  </r>
  <r>
    <x v="0"/>
    <s v="余市郡赤井川村"/>
    <x v="82"/>
    <x v="1"/>
    <n v="3"/>
    <n v="12.5"/>
    <n v="0"/>
    <n v="0"/>
    <n v="3"/>
    <n v="25"/>
    <x v="0"/>
  </r>
  <r>
    <x v="0"/>
    <s v="余市郡赤井川村"/>
    <x v="82"/>
    <x v="2"/>
    <n v="2"/>
    <n v="8.33"/>
    <n v="1"/>
    <n v="10"/>
    <n v="1"/>
    <n v="8.33"/>
    <x v="0"/>
  </r>
  <r>
    <x v="0"/>
    <s v="余市郡赤井川村"/>
    <x v="82"/>
    <x v="3"/>
    <n v="1"/>
    <n v="4.17"/>
    <n v="0"/>
    <n v="0"/>
    <n v="0"/>
    <n v="0"/>
    <x v="0"/>
  </r>
  <r>
    <x v="0"/>
    <s v="余市郡赤井川村"/>
    <x v="82"/>
    <x v="4"/>
    <n v="0"/>
    <n v="0"/>
    <n v="0"/>
    <n v="0"/>
    <n v="0"/>
    <n v="0"/>
    <x v="0"/>
  </r>
  <r>
    <x v="0"/>
    <s v="余市郡赤井川村"/>
    <x v="82"/>
    <x v="5"/>
    <n v="1"/>
    <n v="4.17"/>
    <n v="0"/>
    <n v="0"/>
    <n v="1"/>
    <n v="8.33"/>
    <x v="0"/>
  </r>
  <r>
    <x v="0"/>
    <s v="余市郡赤井川村"/>
    <x v="82"/>
    <x v="6"/>
    <n v="6"/>
    <n v="25"/>
    <n v="3"/>
    <n v="30"/>
    <n v="3"/>
    <n v="25"/>
    <x v="0"/>
  </r>
  <r>
    <x v="0"/>
    <s v="余市郡赤井川村"/>
    <x v="82"/>
    <x v="7"/>
    <n v="0"/>
    <n v="0"/>
    <n v="0"/>
    <n v="0"/>
    <n v="0"/>
    <n v="0"/>
    <x v="0"/>
  </r>
  <r>
    <x v="0"/>
    <s v="余市郡赤井川村"/>
    <x v="82"/>
    <x v="8"/>
    <n v="0"/>
    <n v="0"/>
    <n v="0"/>
    <n v="0"/>
    <n v="0"/>
    <n v="0"/>
    <x v="0"/>
  </r>
  <r>
    <x v="0"/>
    <s v="余市郡赤井川村"/>
    <x v="82"/>
    <x v="9"/>
    <n v="0"/>
    <n v="0"/>
    <n v="0"/>
    <n v="0"/>
    <n v="0"/>
    <n v="0"/>
    <x v="0"/>
  </r>
  <r>
    <x v="0"/>
    <s v="余市郡赤井川村"/>
    <x v="82"/>
    <x v="10"/>
    <n v="7"/>
    <n v="29.17"/>
    <n v="4"/>
    <n v="40"/>
    <n v="3"/>
    <n v="25"/>
    <x v="0"/>
  </r>
  <r>
    <x v="0"/>
    <s v="余市郡赤井川村"/>
    <x v="82"/>
    <x v="11"/>
    <n v="1"/>
    <n v="4.17"/>
    <n v="1"/>
    <n v="10"/>
    <n v="0"/>
    <n v="0"/>
    <x v="0"/>
  </r>
  <r>
    <x v="0"/>
    <s v="余市郡赤井川村"/>
    <x v="82"/>
    <x v="12"/>
    <n v="0"/>
    <n v="0"/>
    <n v="0"/>
    <n v="0"/>
    <n v="0"/>
    <n v="0"/>
    <x v="0"/>
  </r>
  <r>
    <x v="0"/>
    <s v="余市郡赤井川村"/>
    <x v="82"/>
    <x v="13"/>
    <n v="0"/>
    <n v="0"/>
    <n v="0"/>
    <n v="0"/>
    <n v="0"/>
    <n v="0"/>
    <x v="0"/>
  </r>
  <r>
    <x v="0"/>
    <s v="余市郡赤井川村"/>
    <x v="82"/>
    <x v="14"/>
    <n v="3"/>
    <n v="12.5"/>
    <n v="1"/>
    <n v="10"/>
    <n v="1"/>
    <n v="8.33"/>
    <x v="0"/>
  </r>
  <r>
    <x v="0"/>
    <s v="空知郡南幌町"/>
    <x v="83"/>
    <x v="0"/>
    <n v="0"/>
    <n v="0"/>
    <n v="0"/>
    <n v="0"/>
    <n v="0"/>
    <n v="0"/>
    <x v="0"/>
  </r>
  <r>
    <x v="0"/>
    <s v="空知郡南幌町"/>
    <x v="83"/>
    <x v="1"/>
    <n v="23"/>
    <n v="16.55"/>
    <n v="4"/>
    <n v="6.67"/>
    <n v="19"/>
    <n v="26.39"/>
    <x v="0"/>
  </r>
  <r>
    <x v="0"/>
    <s v="空知郡南幌町"/>
    <x v="83"/>
    <x v="2"/>
    <n v="15"/>
    <n v="10.79"/>
    <n v="0"/>
    <n v="0"/>
    <n v="15"/>
    <n v="20.83"/>
    <x v="0"/>
  </r>
  <r>
    <x v="0"/>
    <s v="空知郡南幌町"/>
    <x v="83"/>
    <x v="3"/>
    <n v="1"/>
    <n v="0.72"/>
    <n v="0"/>
    <n v="0"/>
    <n v="0"/>
    <n v="0"/>
    <x v="0"/>
  </r>
  <r>
    <x v="0"/>
    <s v="空知郡南幌町"/>
    <x v="83"/>
    <x v="4"/>
    <n v="1"/>
    <n v="0.72"/>
    <n v="0"/>
    <n v="0"/>
    <n v="1"/>
    <n v="1.39"/>
    <x v="0"/>
  </r>
  <r>
    <x v="0"/>
    <s v="空知郡南幌町"/>
    <x v="83"/>
    <x v="5"/>
    <n v="4"/>
    <n v="2.88"/>
    <n v="1"/>
    <n v="1.67"/>
    <n v="2"/>
    <n v="2.78"/>
    <x v="1"/>
  </r>
  <r>
    <x v="0"/>
    <s v="空知郡南幌町"/>
    <x v="83"/>
    <x v="6"/>
    <n v="23"/>
    <n v="16.55"/>
    <n v="8"/>
    <n v="13.33"/>
    <n v="15"/>
    <n v="20.83"/>
    <x v="0"/>
  </r>
  <r>
    <x v="0"/>
    <s v="空知郡南幌町"/>
    <x v="83"/>
    <x v="7"/>
    <n v="0"/>
    <n v="0"/>
    <n v="0"/>
    <n v="0"/>
    <n v="0"/>
    <n v="0"/>
    <x v="0"/>
  </r>
  <r>
    <x v="0"/>
    <s v="空知郡南幌町"/>
    <x v="83"/>
    <x v="8"/>
    <n v="5"/>
    <n v="3.6"/>
    <n v="4"/>
    <n v="6.67"/>
    <n v="1"/>
    <n v="1.39"/>
    <x v="0"/>
  </r>
  <r>
    <x v="0"/>
    <s v="空知郡南幌町"/>
    <x v="83"/>
    <x v="9"/>
    <n v="6"/>
    <n v="4.32"/>
    <n v="1"/>
    <n v="1.67"/>
    <n v="4"/>
    <n v="5.56"/>
    <x v="1"/>
  </r>
  <r>
    <x v="0"/>
    <s v="空知郡南幌町"/>
    <x v="83"/>
    <x v="10"/>
    <n v="24"/>
    <n v="17.27"/>
    <n v="18"/>
    <n v="30"/>
    <n v="5"/>
    <n v="6.94"/>
    <x v="0"/>
  </r>
  <r>
    <x v="0"/>
    <s v="空知郡南幌町"/>
    <x v="83"/>
    <x v="11"/>
    <n v="21"/>
    <n v="15.11"/>
    <n v="17"/>
    <n v="28.33"/>
    <n v="1"/>
    <n v="1.39"/>
    <x v="14"/>
  </r>
  <r>
    <x v="0"/>
    <s v="空知郡南幌町"/>
    <x v="83"/>
    <x v="12"/>
    <n v="2"/>
    <n v="1.44"/>
    <n v="2"/>
    <n v="3.33"/>
    <n v="0"/>
    <n v="0"/>
    <x v="0"/>
  </r>
  <r>
    <x v="0"/>
    <s v="空知郡南幌町"/>
    <x v="83"/>
    <x v="13"/>
    <n v="8"/>
    <n v="5.76"/>
    <n v="5"/>
    <n v="8.33"/>
    <n v="3"/>
    <n v="4.17"/>
    <x v="0"/>
  </r>
  <r>
    <x v="0"/>
    <s v="空知郡南幌町"/>
    <x v="83"/>
    <x v="14"/>
    <n v="6"/>
    <n v="4.32"/>
    <n v="0"/>
    <n v="0"/>
    <n v="6"/>
    <n v="8.33"/>
    <x v="0"/>
  </r>
  <r>
    <x v="0"/>
    <s v="空知郡奈井江町"/>
    <x v="84"/>
    <x v="0"/>
    <n v="0"/>
    <n v="0"/>
    <n v="0"/>
    <n v="0"/>
    <n v="0"/>
    <n v="0"/>
    <x v="0"/>
  </r>
  <r>
    <x v="0"/>
    <s v="空知郡奈井江町"/>
    <x v="84"/>
    <x v="1"/>
    <n v="29"/>
    <n v="22.14"/>
    <n v="8"/>
    <n v="15.69"/>
    <n v="21"/>
    <n v="30"/>
    <x v="0"/>
  </r>
  <r>
    <x v="0"/>
    <s v="空知郡奈井江町"/>
    <x v="84"/>
    <x v="2"/>
    <n v="8"/>
    <n v="6.11"/>
    <n v="1"/>
    <n v="1.96"/>
    <n v="7"/>
    <n v="10"/>
    <x v="0"/>
  </r>
  <r>
    <x v="0"/>
    <s v="空知郡奈井江町"/>
    <x v="84"/>
    <x v="3"/>
    <n v="2"/>
    <n v="1.53"/>
    <n v="0"/>
    <n v="0"/>
    <n v="1"/>
    <n v="1.43"/>
    <x v="0"/>
  </r>
  <r>
    <x v="0"/>
    <s v="空知郡奈井江町"/>
    <x v="84"/>
    <x v="4"/>
    <n v="0"/>
    <n v="0"/>
    <n v="0"/>
    <n v="0"/>
    <n v="0"/>
    <n v="0"/>
    <x v="0"/>
  </r>
  <r>
    <x v="0"/>
    <s v="空知郡奈井江町"/>
    <x v="84"/>
    <x v="5"/>
    <n v="1"/>
    <n v="0.76"/>
    <n v="0"/>
    <n v="0"/>
    <n v="1"/>
    <n v="1.43"/>
    <x v="0"/>
  </r>
  <r>
    <x v="0"/>
    <s v="空知郡奈井江町"/>
    <x v="84"/>
    <x v="6"/>
    <n v="30"/>
    <n v="22.9"/>
    <n v="10"/>
    <n v="19.61"/>
    <n v="20"/>
    <n v="28.57"/>
    <x v="0"/>
  </r>
  <r>
    <x v="0"/>
    <s v="空知郡奈井江町"/>
    <x v="84"/>
    <x v="7"/>
    <n v="1"/>
    <n v="0.76"/>
    <n v="0"/>
    <n v="0"/>
    <n v="1"/>
    <n v="1.43"/>
    <x v="0"/>
  </r>
  <r>
    <x v="0"/>
    <s v="空知郡奈井江町"/>
    <x v="84"/>
    <x v="8"/>
    <n v="11"/>
    <n v="8.4"/>
    <n v="5"/>
    <n v="9.8000000000000007"/>
    <n v="4"/>
    <n v="5.71"/>
    <x v="0"/>
  </r>
  <r>
    <x v="0"/>
    <s v="空知郡奈井江町"/>
    <x v="84"/>
    <x v="9"/>
    <n v="4"/>
    <n v="3.05"/>
    <n v="0"/>
    <n v="0"/>
    <n v="4"/>
    <n v="5.71"/>
    <x v="0"/>
  </r>
  <r>
    <x v="0"/>
    <s v="空知郡奈井江町"/>
    <x v="84"/>
    <x v="10"/>
    <n v="14"/>
    <n v="10.69"/>
    <n v="11"/>
    <n v="21.57"/>
    <n v="3"/>
    <n v="4.29"/>
    <x v="0"/>
  </r>
  <r>
    <x v="0"/>
    <s v="空知郡奈井江町"/>
    <x v="84"/>
    <x v="11"/>
    <n v="10"/>
    <n v="7.63"/>
    <n v="9"/>
    <n v="17.649999999999999"/>
    <n v="0"/>
    <n v="0"/>
    <x v="0"/>
  </r>
  <r>
    <x v="0"/>
    <s v="空知郡奈井江町"/>
    <x v="84"/>
    <x v="12"/>
    <n v="5"/>
    <n v="3.82"/>
    <n v="3"/>
    <n v="5.88"/>
    <n v="0"/>
    <n v="0"/>
    <x v="0"/>
  </r>
  <r>
    <x v="0"/>
    <s v="空知郡奈井江町"/>
    <x v="84"/>
    <x v="13"/>
    <n v="15"/>
    <n v="11.45"/>
    <n v="4"/>
    <n v="7.84"/>
    <n v="7"/>
    <n v="10"/>
    <x v="0"/>
  </r>
  <r>
    <x v="0"/>
    <s v="空知郡奈井江町"/>
    <x v="84"/>
    <x v="14"/>
    <n v="1"/>
    <n v="0.76"/>
    <n v="0"/>
    <n v="0"/>
    <n v="1"/>
    <n v="1.43"/>
    <x v="0"/>
  </r>
  <r>
    <x v="0"/>
    <s v="空知郡上砂川町"/>
    <x v="85"/>
    <x v="0"/>
    <n v="0"/>
    <n v="0"/>
    <n v="0"/>
    <n v="0"/>
    <n v="0"/>
    <n v="0"/>
    <x v="0"/>
  </r>
  <r>
    <x v="0"/>
    <s v="空知郡上砂川町"/>
    <x v="85"/>
    <x v="1"/>
    <n v="12"/>
    <n v="19.350000000000001"/>
    <n v="8"/>
    <n v="25.81"/>
    <n v="4"/>
    <n v="19.05"/>
    <x v="0"/>
  </r>
  <r>
    <x v="0"/>
    <s v="空知郡上砂川町"/>
    <x v="85"/>
    <x v="2"/>
    <n v="5"/>
    <n v="8.06"/>
    <n v="2"/>
    <n v="6.45"/>
    <n v="3"/>
    <n v="14.29"/>
    <x v="0"/>
  </r>
  <r>
    <x v="0"/>
    <s v="空知郡上砂川町"/>
    <x v="85"/>
    <x v="3"/>
    <n v="1"/>
    <n v="1.61"/>
    <n v="0"/>
    <n v="0"/>
    <n v="0"/>
    <n v="0"/>
    <x v="0"/>
  </r>
  <r>
    <x v="0"/>
    <s v="空知郡上砂川町"/>
    <x v="85"/>
    <x v="4"/>
    <n v="1"/>
    <n v="1.61"/>
    <n v="0"/>
    <n v="0"/>
    <n v="1"/>
    <n v="4.76"/>
    <x v="0"/>
  </r>
  <r>
    <x v="0"/>
    <s v="空知郡上砂川町"/>
    <x v="85"/>
    <x v="5"/>
    <n v="1"/>
    <n v="1.61"/>
    <n v="0"/>
    <n v="0"/>
    <n v="1"/>
    <n v="4.76"/>
    <x v="0"/>
  </r>
  <r>
    <x v="0"/>
    <s v="空知郡上砂川町"/>
    <x v="85"/>
    <x v="6"/>
    <n v="16"/>
    <n v="25.81"/>
    <n v="9"/>
    <n v="29.03"/>
    <n v="7"/>
    <n v="33.33"/>
    <x v="0"/>
  </r>
  <r>
    <x v="0"/>
    <s v="空知郡上砂川町"/>
    <x v="85"/>
    <x v="7"/>
    <n v="0"/>
    <n v="0"/>
    <n v="0"/>
    <n v="0"/>
    <n v="0"/>
    <n v="0"/>
    <x v="0"/>
  </r>
  <r>
    <x v="0"/>
    <s v="空知郡上砂川町"/>
    <x v="85"/>
    <x v="8"/>
    <n v="2"/>
    <n v="3.23"/>
    <n v="0"/>
    <n v="0"/>
    <n v="1"/>
    <n v="4.76"/>
    <x v="0"/>
  </r>
  <r>
    <x v="0"/>
    <s v="空知郡上砂川町"/>
    <x v="85"/>
    <x v="9"/>
    <n v="0"/>
    <n v="0"/>
    <n v="0"/>
    <n v="0"/>
    <n v="0"/>
    <n v="0"/>
    <x v="0"/>
  </r>
  <r>
    <x v="0"/>
    <s v="空知郡上砂川町"/>
    <x v="85"/>
    <x v="10"/>
    <n v="1"/>
    <n v="1.61"/>
    <n v="1"/>
    <n v="3.23"/>
    <n v="0"/>
    <n v="0"/>
    <x v="0"/>
  </r>
  <r>
    <x v="0"/>
    <s v="空知郡上砂川町"/>
    <x v="85"/>
    <x v="11"/>
    <n v="14"/>
    <n v="22.58"/>
    <n v="10"/>
    <n v="32.26"/>
    <n v="0"/>
    <n v="0"/>
    <x v="14"/>
  </r>
  <r>
    <x v="0"/>
    <s v="空知郡上砂川町"/>
    <x v="85"/>
    <x v="12"/>
    <n v="0"/>
    <n v="0"/>
    <n v="0"/>
    <n v="0"/>
    <n v="0"/>
    <n v="0"/>
    <x v="0"/>
  </r>
  <r>
    <x v="0"/>
    <s v="空知郡上砂川町"/>
    <x v="85"/>
    <x v="13"/>
    <n v="4"/>
    <n v="6.45"/>
    <n v="0"/>
    <n v="0"/>
    <n v="3"/>
    <n v="14.29"/>
    <x v="0"/>
  </r>
  <r>
    <x v="0"/>
    <s v="空知郡上砂川町"/>
    <x v="85"/>
    <x v="14"/>
    <n v="5"/>
    <n v="8.06"/>
    <n v="1"/>
    <n v="3.23"/>
    <n v="1"/>
    <n v="4.76"/>
    <x v="0"/>
  </r>
  <r>
    <x v="0"/>
    <s v="夕張郡由仁町"/>
    <x v="86"/>
    <x v="0"/>
    <n v="0"/>
    <n v="0"/>
    <n v="0"/>
    <n v="0"/>
    <n v="0"/>
    <n v="0"/>
    <x v="0"/>
  </r>
  <r>
    <x v="0"/>
    <s v="夕張郡由仁町"/>
    <x v="86"/>
    <x v="1"/>
    <n v="15"/>
    <n v="10.71"/>
    <n v="6"/>
    <n v="10"/>
    <n v="9"/>
    <n v="12.33"/>
    <x v="0"/>
  </r>
  <r>
    <x v="0"/>
    <s v="夕張郡由仁町"/>
    <x v="86"/>
    <x v="2"/>
    <n v="21"/>
    <n v="15"/>
    <n v="3"/>
    <n v="5"/>
    <n v="18"/>
    <n v="24.66"/>
    <x v="0"/>
  </r>
  <r>
    <x v="0"/>
    <s v="夕張郡由仁町"/>
    <x v="86"/>
    <x v="3"/>
    <n v="2"/>
    <n v="1.43"/>
    <n v="0"/>
    <n v="0"/>
    <n v="2"/>
    <n v="2.74"/>
    <x v="0"/>
  </r>
  <r>
    <x v="0"/>
    <s v="夕張郡由仁町"/>
    <x v="86"/>
    <x v="4"/>
    <n v="0"/>
    <n v="0"/>
    <n v="0"/>
    <n v="0"/>
    <n v="0"/>
    <n v="0"/>
    <x v="0"/>
  </r>
  <r>
    <x v="0"/>
    <s v="夕張郡由仁町"/>
    <x v="86"/>
    <x v="5"/>
    <n v="3"/>
    <n v="2.14"/>
    <n v="0"/>
    <n v="0"/>
    <n v="3"/>
    <n v="4.1100000000000003"/>
    <x v="0"/>
  </r>
  <r>
    <x v="0"/>
    <s v="夕張郡由仁町"/>
    <x v="86"/>
    <x v="6"/>
    <n v="35"/>
    <n v="25"/>
    <n v="17"/>
    <n v="28.33"/>
    <n v="18"/>
    <n v="24.66"/>
    <x v="0"/>
  </r>
  <r>
    <x v="0"/>
    <s v="夕張郡由仁町"/>
    <x v="86"/>
    <x v="7"/>
    <n v="0"/>
    <n v="0"/>
    <n v="0"/>
    <n v="0"/>
    <n v="0"/>
    <n v="0"/>
    <x v="0"/>
  </r>
  <r>
    <x v="0"/>
    <s v="夕張郡由仁町"/>
    <x v="86"/>
    <x v="8"/>
    <n v="4"/>
    <n v="2.86"/>
    <n v="1"/>
    <n v="1.67"/>
    <n v="3"/>
    <n v="4.1100000000000003"/>
    <x v="0"/>
  </r>
  <r>
    <x v="0"/>
    <s v="夕張郡由仁町"/>
    <x v="86"/>
    <x v="9"/>
    <n v="3"/>
    <n v="2.14"/>
    <n v="0"/>
    <n v="0"/>
    <n v="3"/>
    <n v="4.1100000000000003"/>
    <x v="0"/>
  </r>
  <r>
    <x v="0"/>
    <s v="夕張郡由仁町"/>
    <x v="86"/>
    <x v="10"/>
    <n v="18"/>
    <n v="12.86"/>
    <n v="12"/>
    <n v="20"/>
    <n v="5"/>
    <n v="6.85"/>
    <x v="0"/>
  </r>
  <r>
    <x v="0"/>
    <s v="夕張郡由仁町"/>
    <x v="86"/>
    <x v="11"/>
    <n v="14"/>
    <n v="10"/>
    <n v="10"/>
    <n v="16.670000000000002"/>
    <n v="3"/>
    <n v="4.1100000000000003"/>
    <x v="0"/>
  </r>
  <r>
    <x v="0"/>
    <s v="夕張郡由仁町"/>
    <x v="86"/>
    <x v="12"/>
    <n v="5"/>
    <n v="3.57"/>
    <n v="4"/>
    <n v="6.67"/>
    <n v="0"/>
    <n v="0"/>
    <x v="0"/>
  </r>
  <r>
    <x v="0"/>
    <s v="夕張郡由仁町"/>
    <x v="86"/>
    <x v="13"/>
    <n v="8"/>
    <n v="5.71"/>
    <n v="3"/>
    <n v="5"/>
    <n v="2"/>
    <n v="2.74"/>
    <x v="14"/>
  </r>
  <r>
    <x v="0"/>
    <s v="夕張郡由仁町"/>
    <x v="86"/>
    <x v="14"/>
    <n v="12"/>
    <n v="8.57"/>
    <n v="4"/>
    <n v="6.67"/>
    <n v="7"/>
    <n v="9.59"/>
    <x v="1"/>
  </r>
  <r>
    <x v="0"/>
    <s v="夕張郡長沼町"/>
    <x v="87"/>
    <x v="0"/>
    <n v="2"/>
    <n v="0.72"/>
    <n v="0"/>
    <n v="0"/>
    <n v="2"/>
    <n v="1.48"/>
    <x v="0"/>
  </r>
  <r>
    <x v="0"/>
    <s v="夕張郡長沼町"/>
    <x v="87"/>
    <x v="1"/>
    <n v="34"/>
    <n v="12.32"/>
    <n v="9"/>
    <n v="7.14"/>
    <n v="25"/>
    <n v="18.52"/>
    <x v="0"/>
  </r>
  <r>
    <x v="0"/>
    <s v="夕張郡長沼町"/>
    <x v="87"/>
    <x v="2"/>
    <n v="21"/>
    <n v="7.61"/>
    <n v="5"/>
    <n v="3.97"/>
    <n v="14"/>
    <n v="10.37"/>
    <x v="14"/>
  </r>
  <r>
    <x v="0"/>
    <s v="夕張郡長沼町"/>
    <x v="87"/>
    <x v="3"/>
    <n v="2"/>
    <n v="0.72"/>
    <n v="0"/>
    <n v="0"/>
    <n v="1"/>
    <n v="0.74"/>
    <x v="0"/>
  </r>
  <r>
    <x v="0"/>
    <s v="夕張郡長沼町"/>
    <x v="87"/>
    <x v="4"/>
    <n v="0"/>
    <n v="0"/>
    <n v="0"/>
    <n v="0"/>
    <n v="0"/>
    <n v="0"/>
    <x v="0"/>
  </r>
  <r>
    <x v="0"/>
    <s v="夕張郡長沼町"/>
    <x v="87"/>
    <x v="5"/>
    <n v="0"/>
    <n v="0"/>
    <n v="0"/>
    <n v="0"/>
    <n v="0"/>
    <n v="0"/>
    <x v="0"/>
  </r>
  <r>
    <x v="0"/>
    <s v="夕張郡長沼町"/>
    <x v="87"/>
    <x v="6"/>
    <n v="71"/>
    <n v="25.72"/>
    <n v="27"/>
    <n v="21.43"/>
    <n v="43"/>
    <n v="31.85"/>
    <x v="1"/>
  </r>
  <r>
    <x v="0"/>
    <s v="夕張郡長沼町"/>
    <x v="87"/>
    <x v="7"/>
    <n v="0"/>
    <n v="0"/>
    <n v="0"/>
    <n v="0"/>
    <n v="0"/>
    <n v="0"/>
    <x v="0"/>
  </r>
  <r>
    <x v="0"/>
    <s v="夕張郡長沼町"/>
    <x v="87"/>
    <x v="8"/>
    <n v="22"/>
    <n v="7.97"/>
    <n v="9"/>
    <n v="7.14"/>
    <n v="12"/>
    <n v="8.89"/>
    <x v="0"/>
  </r>
  <r>
    <x v="0"/>
    <s v="夕張郡長沼町"/>
    <x v="87"/>
    <x v="9"/>
    <n v="12"/>
    <n v="4.3499999999999996"/>
    <n v="6"/>
    <n v="4.76"/>
    <n v="5"/>
    <n v="3.7"/>
    <x v="0"/>
  </r>
  <r>
    <x v="0"/>
    <s v="夕張郡長沼町"/>
    <x v="87"/>
    <x v="10"/>
    <n v="50"/>
    <n v="18.12"/>
    <n v="43"/>
    <n v="34.130000000000003"/>
    <n v="6"/>
    <n v="4.4400000000000004"/>
    <x v="0"/>
  </r>
  <r>
    <x v="0"/>
    <s v="夕張郡長沼町"/>
    <x v="87"/>
    <x v="11"/>
    <n v="27"/>
    <n v="9.7799999999999994"/>
    <n v="21"/>
    <n v="16.670000000000002"/>
    <n v="5"/>
    <n v="3.7"/>
    <x v="1"/>
  </r>
  <r>
    <x v="0"/>
    <s v="夕張郡長沼町"/>
    <x v="87"/>
    <x v="12"/>
    <n v="3"/>
    <n v="1.0900000000000001"/>
    <n v="2"/>
    <n v="1.59"/>
    <n v="1"/>
    <n v="0.74"/>
    <x v="0"/>
  </r>
  <r>
    <x v="0"/>
    <s v="夕張郡長沼町"/>
    <x v="87"/>
    <x v="13"/>
    <n v="16"/>
    <n v="5.8"/>
    <n v="3"/>
    <n v="2.38"/>
    <n v="8"/>
    <n v="5.93"/>
    <x v="0"/>
  </r>
  <r>
    <x v="0"/>
    <s v="夕張郡長沼町"/>
    <x v="87"/>
    <x v="14"/>
    <n v="16"/>
    <n v="5.8"/>
    <n v="1"/>
    <n v="0.79"/>
    <n v="13"/>
    <n v="9.6300000000000008"/>
    <x v="0"/>
  </r>
  <r>
    <x v="0"/>
    <s v="夕張郡栗山町"/>
    <x v="88"/>
    <x v="0"/>
    <n v="0"/>
    <n v="0"/>
    <n v="0"/>
    <n v="0"/>
    <n v="0"/>
    <n v="0"/>
    <x v="0"/>
  </r>
  <r>
    <x v="0"/>
    <s v="夕張郡栗山町"/>
    <x v="88"/>
    <x v="1"/>
    <n v="43"/>
    <n v="13.44"/>
    <n v="15"/>
    <n v="8.57"/>
    <n v="28"/>
    <n v="20"/>
    <x v="0"/>
  </r>
  <r>
    <x v="0"/>
    <s v="夕張郡栗山町"/>
    <x v="88"/>
    <x v="2"/>
    <n v="21"/>
    <n v="6.56"/>
    <n v="8"/>
    <n v="4.57"/>
    <n v="13"/>
    <n v="9.2899999999999991"/>
    <x v="0"/>
  </r>
  <r>
    <x v="0"/>
    <s v="夕張郡栗山町"/>
    <x v="88"/>
    <x v="3"/>
    <n v="1"/>
    <n v="0.31"/>
    <n v="0"/>
    <n v="0"/>
    <n v="1"/>
    <n v="0.71"/>
    <x v="0"/>
  </r>
  <r>
    <x v="0"/>
    <s v="夕張郡栗山町"/>
    <x v="88"/>
    <x v="4"/>
    <n v="2"/>
    <n v="0.63"/>
    <n v="0"/>
    <n v="0"/>
    <n v="2"/>
    <n v="1.43"/>
    <x v="0"/>
  </r>
  <r>
    <x v="0"/>
    <s v="夕張郡栗山町"/>
    <x v="88"/>
    <x v="5"/>
    <n v="4"/>
    <n v="1.25"/>
    <n v="0"/>
    <n v="0"/>
    <n v="3"/>
    <n v="2.14"/>
    <x v="1"/>
  </r>
  <r>
    <x v="0"/>
    <s v="夕張郡栗山町"/>
    <x v="88"/>
    <x v="6"/>
    <n v="84"/>
    <n v="26.25"/>
    <n v="38"/>
    <n v="21.71"/>
    <n v="45"/>
    <n v="32.14"/>
    <x v="1"/>
  </r>
  <r>
    <x v="0"/>
    <s v="夕張郡栗山町"/>
    <x v="88"/>
    <x v="7"/>
    <n v="1"/>
    <n v="0.31"/>
    <n v="0"/>
    <n v="0"/>
    <n v="1"/>
    <n v="0.71"/>
    <x v="0"/>
  </r>
  <r>
    <x v="0"/>
    <s v="夕張郡栗山町"/>
    <x v="88"/>
    <x v="8"/>
    <n v="30"/>
    <n v="9.3800000000000008"/>
    <n v="22"/>
    <n v="12.57"/>
    <n v="7"/>
    <n v="5"/>
    <x v="0"/>
  </r>
  <r>
    <x v="0"/>
    <s v="夕張郡栗山町"/>
    <x v="88"/>
    <x v="9"/>
    <n v="9"/>
    <n v="2.81"/>
    <n v="6"/>
    <n v="3.43"/>
    <n v="3"/>
    <n v="2.14"/>
    <x v="0"/>
  </r>
  <r>
    <x v="0"/>
    <s v="夕張郡栗山町"/>
    <x v="88"/>
    <x v="10"/>
    <n v="46"/>
    <n v="14.38"/>
    <n v="34"/>
    <n v="19.43"/>
    <n v="11"/>
    <n v="7.86"/>
    <x v="0"/>
  </r>
  <r>
    <x v="0"/>
    <s v="夕張郡栗山町"/>
    <x v="88"/>
    <x v="11"/>
    <n v="41"/>
    <n v="12.81"/>
    <n v="33"/>
    <n v="18.86"/>
    <n v="8"/>
    <n v="5.71"/>
    <x v="0"/>
  </r>
  <r>
    <x v="0"/>
    <s v="夕張郡栗山町"/>
    <x v="88"/>
    <x v="12"/>
    <n v="7"/>
    <n v="2.19"/>
    <n v="5"/>
    <n v="2.86"/>
    <n v="1"/>
    <n v="0.71"/>
    <x v="0"/>
  </r>
  <r>
    <x v="0"/>
    <s v="夕張郡栗山町"/>
    <x v="88"/>
    <x v="13"/>
    <n v="15"/>
    <n v="4.6900000000000004"/>
    <n v="8"/>
    <n v="4.57"/>
    <n v="7"/>
    <n v="5"/>
    <x v="0"/>
  </r>
  <r>
    <x v="0"/>
    <s v="夕張郡栗山町"/>
    <x v="88"/>
    <x v="14"/>
    <n v="16"/>
    <n v="5"/>
    <n v="6"/>
    <n v="3.43"/>
    <n v="10"/>
    <n v="7.14"/>
    <x v="0"/>
  </r>
  <r>
    <x v="0"/>
    <s v="樺戸郡月形町"/>
    <x v="89"/>
    <x v="0"/>
    <n v="0"/>
    <n v="0"/>
    <n v="0"/>
    <n v="0"/>
    <n v="0"/>
    <n v="0"/>
    <x v="0"/>
  </r>
  <r>
    <x v="0"/>
    <s v="樺戸郡月形町"/>
    <x v="89"/>
    <x v="1"/>
    <n v="13"/>
    <n v="18.57"/>
    <n v="5"/>
    <n v="15.15"/>
    <n v="8"/>
    <n v="22.22"/>
    <x v="0"/>
  </r>
  <r>
    <x v="0"/>
    <s v="樺戸郡月形町"/>
    <x v="89"/>
    <x v="2"/>
    <n v="8"/>
    <n v="11.43"/>
    <n v="2"/>
    <n v="6.06"/>
    <n v="6"/>
    <n v="16.670000000000002"/>
    <x v="0"/>
  </r>
  <r>
    <x v="0"/>
    <s v="樺戸郡月形町"/>
    <x v="89"/>
    <x v="3"/>
    <n v="0"/>
    <n v="0"/>
    <n v="0"/>
    <n v="0"/>
    <n v="0"/>
    <n v="0"/>
    <x v="0"/>
  </r>
  <r>
    <x v="0"/>
    <s v="樺戸郡月形町"/>
    <x v="89"/>
    <x v="4"/>
    <n v="0"/>
    <n v="0"/>
    <n v="0"/>
    <n v="0"/>
    <n v="0"/>
    <n v="0"/>
    <x v="0"/>
  </r>
  <r>
    <x v="0"/>
    <s v="樺戸郡月形町"/>
    <x v="89"/>
    <x v="5"/>
    <n v="1"/>
    <n v="1.43"/>
    <n v="0"/>
    <n v="0"/>
    <n v="1"/>
    <n v="2.78"/>
    <x v="0"/>
  </r>
  <r>
    <x v="0"/>
    <s v="樺戸郡月形町"/>
    <x v="89"/>
    <x v="6"/>
    <n v="17"/>
    <n v="24.29"/>
    <n v="9"/>
    <n v="27.27"/>
    <n v="8"/>
    <n v="22.22"/>
    <x v="0"/>
  </r>
  <r>
    <x v="0"/>
    <s v="樺戸郡月形町"/>
    <x v="89"/>
    <x v="7"/>
    <n v="0"/>
    <n v="0"/>
    <n v="0"/>
    <n v="0"/>
    <n v="0"/>
    <n v="0"/>
    <x v="0"/>
  </r>
  <r>
    <x v="0"/>
    <s v="樺戸郡月形町"/>
    <x v="89"/>
    <x v="8"/>
    <n v="3"/>
    <n v="4.29"/>
    <n v="3"/>
    <n v="9.09"/>
    <n v="0"/>
    <n v="0"/>
    <x v="0"/>
  </r>
  <r>
    <x v="0"/>
    <s v="樺戸郡月形町"/>
    <x v="89"/>
    <x v="9"/>
    <n v="0"/>
    <n v="0"/>
    <n v="0"/>
    <n v="0"/>
    <n v="0"/>
    <n v="0"/>
    <x v="0"/>
  </r>
  <r>
    <x v="0"/>
    <s v="樺戸郡月形町"/>
    <x v="89"/>
    <x v="10"/>
    <n v="11"/>
    <n v="15.71"/>
    <n v="7"/>
    <n v="21.21"/>
    <n v="4"/>
    <n v="11.11"/>
    <x v="0"/>
  </r>
  <r>
    <x v="0"/>
    <s v="樺戸郡月形町"/>
    <x v="89"/>
    <x v="11"/>
    <n v="6"/>
    <n v="8.57"/>
    <n v="5"/>
    <n v="15.15"/>
    <n v="1"/>
    <n v="2.78"/>
    <x v="0"/>
  </r>
  <r>
    <x v="0"/>
    <s v="樺戸郡月形町"/>
    <x v="89"/>
    <x v="12"/>
    <n v="3"/>
    <n v="4.29"/>
    <n v="2"/>
    <n v="6.06"/>
    <n v="0"/>
    <n v="0"/>
    <x v="0"/>
  </r>
  <r>
    <x v="0"/>
    <s v="樺戸郡月形町"/>
    <x v="89"/>
    <x v="13"/>
    <n v="4"/>
    <n v="5.71"/>
    <n v="0"/>
    <n v="0"/>
    <n v="4"/>
    <n v="11.11"/>
    <x v="0"/>
  </r>
  <r>
    <x v="0"/>
    <s v="樺戸郡月形町"/>
    <x v="89"/>
    <x v="14"/>
    <n v="4"/>
    <n v="5.71"/>
    <n v="0"/>
    <n v="0"/>
    <n v="4"/>
    <n v="11.11"/>
    <x v="0"/>
  </r>
  <r>
    <x v="0"/>
    <s v="樺戸郡浦臼町"/>
    <x v="90"/>
    <x v="0"/>
    <n v="0"/>
    <n v="0"/>
    <n v="0"/>
    <n v="0"/>
    <n v="0"/>
    <n v="0"/>
    <x v="0"/>
  </r>
  <r>
    <x v="0"/>
    <s v="樺戸郡浦臼町"/>
    <x v="90"/>
    <x v="1"/>
    <n v="6"/>
    <n v="13.95"/>
    <n v="1"/>
    <n v="6.25"/>
    <n v="5"/>
    <n v="20"/>
    <x v="0"/>
  </r>
  <r>
    <x v="0"/>
    <s v="樺戸郡浦臼町"/>
    <x v="90"/>
    <x v="2"/>
    <n v="6"/>
    <n v="13.95"/>
    <n v="2"/>
    <n v="12.5"/>
    <n v="4"/>
    <n v="16"/>
    <x v="0"/>
  </r>
  <r>
    <x v="0"/>
    <s v="樺戸郡浦臼町"/>
    <x v="90"/>
    <x v="3"/>
    <n v="0"/>
    <n v="0"/>
    <n v="0"/>
    <n v="0"/>
    <n v="0"/>
    <n v="0"/>
    <x v="0"/>
  </r>
  <r>
    <x v="0"/>
    <s v="樺戸郡浦臼町"/>
    <x v="90"/>
    <x v="4"/>
    <n v="0"/>
    <n v="0"/>
    <n v="0"/>
    <n v="0"/>
    <n v="0"/>
    <n v="0"/>
    <x v="0"/>
  </r>
  <r>
    <x v="0"/>
    <s v="樺戸郡浦臼町"/>
    <x v="90"/>
    <x v="5"/>
    <n v="1"/>
    <n v="2.33"/>
    <n v="0"/>
    <n v="0"/>
    <n v="1"/>
    <n v="4"/>
    <x v="0"/>
  </r>
  <r>
    <x v="0"/>
    <s v="樺戸郡浦臼町"/>
    <x v="90"/>
    <x v="6"/>
    <n v="12"/>
    <n v="27.91"/>
    <n v="4"/>
    <n v="25"/>
    <n v="8"/>
    <n v="32"/>
    <x v="0"/>
  </r>
  <r>
    <x v="0"/>
    <s v="樺戸郡浦臼町"/>
    <x v="90"/>
    <x v="7"/>
    <n v="0"/>
    <n v="0"/>
    <n v="0"/>
    <n v="0"/>
    <n v="0"/>
    <n v="0"/>
    <x v="0"/>
  </r>
  <r>
    <x v="0"/>
    <s v="樺戸郡浦臼町"/>
    <x v="90"/>
    <x v="8"/>
    <n v="0"/>
    <n v="0"/>
    <n v="0"/>
    <n v="0"/>
    <n v="0"/>
    <n v="0"/>
    <x v="0"/>
  </r>
  <r>
    <x v="0"/>
    <s v="樺戸郡浦臼町"/>
    <x v="90"/>
    <x v="9"/>
    <n v="1"/>
    <n v="2.33"/>
    <n v="1"/>
    <n v="6.25"/>
    <n v="0"/>
    <n v="0"/>
    <x v="0"/>
  </r>
  <r>
    <x v="0"/>
    <s v="樺戸郡浦臼町"/>
    <x v="90"/>
    <x v="10"/>
    <n v="5"/>
    <n v="11.63"/>
    <n v="1"/>
    <n v="6.25"/>
    <n v="4"/>
    <n v="16"/>
    <x v="0"/>
  </r>
  <r>
    <x v="0"/>
    <s v="樺戸郡浦臼町"/>
    <x v="90"/>
    <x v="11"/>
    <n v="4"/>
    <n v="9.3000000000000007"/>
    <n v="3"/>
    <n v="18.75"/>
    <n v="0"/>
    <n v="0"/>
    <x v="0"/>
  </r>
  <r>
    <x v="0"/>
    <s v="樺戸郡浦臼町"/>
    <x v="90"/>
    <x v="12"/>
    <n v="3"/>
    <n v="6.98"/>
    <n v="2"/>
    <n v="12.5"/>
    <n v="0"/>
    <n v="0"/>
    <x v="0"/>
  </r>
  <r>
    <x v="0"/>
    <s v="樺戸郡浦臼町"/>
    <x v="90"/>
    <x v="13"/>
    <n v="1"/>
    <n v="2.33"/>
    <n v="1"/>
    <n v="6.25"/>
    <n v="0"/>
    <n v="0"/>
    <x v="0"/>
  </r>
  <r>
    <x v="0"/>
    <s v="樺戸郡浦臼町"/>
    <x v="90"/>
    <x v="14"/>
    <n v="4"/>
    <n v="9.3000000000000007"/>
    <n v="1"/>
    <n v="6.25"/>
    <n v="3"/>
    <n v="12"/>
    <x v="0"/>
  </r>
  <r>
    <x v="0"/>
    <s v="樺戸郡新十津川町"/>
    <x v="91"/>
    <x v="0"/>
    <n v="0"/>
    <n v="0"/>
    <n v="0"/>
    <n v="0"/>
    <n v="0"/>
    <n v="0"/>
    <x v="0"/>
  </r>
  <r>
    <x v="0"/>
    <s v="樺戸郡新十津川町"/>
    <x v="91"/>
    <x v="1"/>
    <n v="24"/>
    <n v="28.24"/>
    <n v="5"/>
    <n v="12.5"/>
    <n v="19"/>
    <n v="43.18"/>
    <x v="0"/>
  </r>
  <r>
    <x v="0"/>
    <s v="樺戸郡新十津川町"/>
    <x v="91"/>
    <x v="2"/>
    <n v="7"/>
    <n v="8.24"/>
    <n v="2"/>
    <n v="5"/>
    <n v="5"/>
    <n v="11.36"/>
    <x v="0"/>
  </r>
  <r>
    <x v="0"/>
    <s v="樺戸郡新十津川町"/>
    <x v="91"/>
    <x v="3"/>
    <n v="0"/>
    <n v="0"/>
    <n v="0"/>
    <n v="0"/>
    <n v="0"/>
    <n v="0"/>
    <x v="0"/>
  </r>
  <r>
    <x v="0"/>
    <s v="樺戸郡新十津川町"/>
    <x v="91"/>
    <x v="4"/>
    <n v="0"/>
    <n v="0"/>
    <n v="0"/>
    <n v="0"/>
    <n v="0"/>
    <n v="0"/>
    <x v="0"/>
  </r>
  <r>
    <x v="0"/>
    <s v="樺戸郡新十津川町"/>
    <x v="91"/>
    <x v="5"/>
    <n v="1"/>
    <n v="1.18"/>
    <n v="0"/>
    <n v="0"/>
    <n v="1"/>
    <n v="2.27"/>
    <x v="0"/>
  </r>
  <r>
    <x v="0"/>
    <s v="樺戸郡新十津川町"/>
    <x v="91"/>
    <x v="6"/>
    <n v="18"/>
    <n v="21.18"/>
    <n v="8"/>
    <n v="20"/>
    <n v="10"/>
    <n v="22.73"/>
    <x v="0"/>
  </r>
  <r>
    <x v="0"/>
    <s v="樺戸郡新十津川町"/>
    <x v="91"/>
    <x v="7"/>
    <n v="0"/>
    <n v="0"/>
    <n v="0"/>
    <n v="0"/>
    <n v="0"/>
    <n v="0"/>
    <x v="0"/>
  </r>
  <r>
    <x v="0"/>
    <s v="樺戸郡新十津川町"/>
    <x v="91"/>
    <x v="8"/>
    <n v="7"/>
    <n v="8.24"/>
    <n v="5"/>
    <n v="12.5"/>
    <n v="2"/>
    <n v="4.55"/>
    <x v="0"/>
  </r>
  <r>
    <x v="0"/>
    <s v="樺戸郡新十津川町"/>
    <x v="91"/>
    <x v="9"/>
    <n v="0"/>
    <n v="0"/>
    <n v="0"/>
    <n v="0"/>
    <n v="0"/>
    <n v="0"/>
    <x v="0"/>
  </r>
  <r>
    <x v="0"/>
    <s v="樺戸郡新十津川町"/>
    <x v="91"/>
    <x v="10"/>
    <n v="8"/>
    <n v="9.41"/>
    <n v="6"/>
    <n v="15"/>
    <n v="1"/>
    <n v="2.27"/>
    <x v="0"/>
  </r>
  <r>
    <x v="0"/>
    <s v="樺戸郡新十津川町"/>
    <x v="91"/>
    <x v="11"/>
    <n v="10"/>
    <n v="11.76"/>
    <n v="9"/>
    <n v="22.5"/>
    <n v="1"/>
    <n v="2.27"/>
    <x v="0"/>
  </r>
  <r>
    <x v="0"/>
    <s v="樺戸郡新十津川町"/>
    <x v="91"/>
    <x v="12"/>
    <n v="2"/>
    <n v="2.35"/>
    <n v="2"/>
    <n v="5"/>
    <n v="0"/>
    <n v="0"/>
    <x v="0"/>
  </r>
  <r>
    <x v="0"/>
    <s v="樺戸郡新十津川町"/>
    <x v="91"/>
    <x v="13"/>
    <n v="2"/>
    <n v="2.35"/>
    <n v="1"/>
    <n v="2.5"/>
    <n v="1"/>
    <n v="2.27"/>
    <x v="0"/>
  </r>
  <r>
    <x v="0"/>
    <s v="樺戸郡新十津川町"/>
    <x v="91"/>
    <x v="14"/>
    <n v="6"/>
    <n v="7.06"/>
    <n v="2"/>
    <n v="5"/>
    <n v="4"/>
    <n v="9.09"/>
    <x v="0"/>
  </r>
  <r>
    <x v="0"/>
    <s v="雨竜郡妹背牛町"/>
    <x v="92"/>
    <x v="0"/>
    <n v="0"/>
    <n v="0"/>
    <n v="0"/>
    <n v="0"/>
    <n v="0"/>
    <n v="0"/>
    <x v="0"/>
  </r>
  <r>
    <x v="0"/>
    <s v="雨竜郡妹背牛町"/>
    <x v="92"/>
    <x v="1"/>
    <n v="15"/>
    <n v="18.52"/>
    <n v="4"/>
    <n v="8.89"/>
    <n v="11"/>
    <n v="36.67"/>
    <x v="0"/>
  </r>
  <r>
    <x v="0"/>
    <s v="雨竜郡妹背牛町"/>
    <x v="92"/>
    <x v="2"/>
    <n v="6"/>
    <n v="7.41"/>
    <n v="2"/>
    <n v="4.4400000000000004"/>
    <n v="3"/>
    <n v="10"/>
    <x v="0"/>
  </r>
  <r>
    <x v="0"/>
    <s v="雨竜郡妹背牛町"/>
    <x v="92"/>
    <x v="3"/>
    <n v="1"/>
    <n v="1.23"/>
    <n v="0"/>
    <n v="0"/>
    <n v="0"/>
    <n v="0"/>
    <x v="0"/>
  </r>
  <r>
    <x v="0"/>
    <s v="雨竜郡妹背牛町"/>
    <x v="92"/>
    <x v="4"/>
    <n v="0"/>
    <n v="0"/>
    <n v="0"/>
    <n v="0"/>
    <n v="0"/>
    <n v="0"/>
    <x v="0"/>
  </r>
  <r>
    <x v="0"/>
    <s v="雨竜郡妹背牛町"/>
    <x v="92"/>
    <x v="5"/>
    <n v="1"/>
    <n v="1.23"/>
    <n v="0"/>
    <n v="0"/>
    <n v="1"/>
    <n v="3.33"/>
    <x v="0"/>
  </r>
  <r>
    <x v="0"/>
    <s v="雨竜郡妹背牛町"/>
    <x v="92"/>
    <x v="6"/>
    <n v="23"/>
    <n v="28.4"/>
    <n v="13"/>
    <n v="28.89"/>
    <n v="10"/>
    <n v="33.33"/>
    <x v="0"/>
  </r>
  <r>
    <x v="0"/>
    <s v="雨竜郡妹背牛町"/>
    <x v="92"/>
    <x v="7"/>
    <n v="0"/>
    <n v="0"/>
    <n v="0"/>
    <n v="0"/>
    <n v="0"/>
    <n v="0"/>
    <x v="0"/>
  </r>
  <r>
    <x v="0"/>
    <s v="雨竜郡妹背牛町"/>
    <x v="92"/>
    <x v="8"/>
    <n v="0"/>
    <n v="0"/>
    <n v="0"/>
    <n v="0"/>
    <n v="0"/>
    <n v="0"/>
    <x v="0"/>
  </r>
  <r>
    <x v="0"/>
    <s v="雨竜郡妹背牛町"/>
    <x v="92"/>
    <x v="9"/>
    <n v="2"/>
    <n v="2.4700000000000002"/>
    <n v="1"/>
    <n v="2.2200000000000002"/>
    <n v="1"/>
    <n v="3.33"/>
    <x v="0"/>
  </r>
  <r>
    <x v="0"/>
    <s v="雨竜郡妹背牛町"/>
    <x v="92"/>
    <x v="10"/>
    <n v="10"/>
    <n v="12.35"/>
    <n v="10"/>
    <n v="22.22"/>
    <n v="0"/>
    <n v="0"/>
    <x v="0"/>
  </r>
  <r>
    <x v="0"/>
    <s v="雨竜郡妹背牛町"/>
    <x v="92"/>
    <x v="11"/>
    <n v="10"/>
    <n v="12.35"/>
    <n v="9"/>
    <n v="20"/>
    <n v="1"/>
    <n v="3.33"/>
    <x v="0"/>
  </r>
  <r>
    <x v="0"/>
    <s v="雨竜郡妹背牛町"/>
    <x v="92"/>
    <x v="12"/>
    <n v="6"/>
    <n v="7.41"/>
    <n v="5"/>
    <n v="11.11"/>
    <n v="0"/>
    <n v="0"/>
    <x v="0"/>
  </r>
  <r>
    <x v="0"/>
    <s v="雨竜郡妹背牛町"/>
    <x v="92"/>
    <x v="13"/>
    <n v="5"/>
    <n v="6.17"/>
    <n v="1"/>
    <n v="2.2200000000000002"/>
    <n v="2"/>
    <n v="6.67"/>
    <x v="0"/>
  </r>
  <r>
    <x v="0"/>
    <s v="雨竜郡妹背牛町"/>
    <x v="92"/>
    <x v="14"/>
    <n v="2"/>
    <n v="2.4700000000000002"/>
    <n v="0"/>
    <n v="0"/>
    <n v="1"/>
    <n v="3.33"/>
    <x v="0"/>
  </r>
  <r>
    <x v="0"/>
    <s v="雨竜郡秩父別町"/>
    <x v="93"/>
    <x v="0"/>
    <n v="0"/>
    <n v="0"/>
    <n v="0"/>
    <n v="0"/>
    <n v="0"/>
    <n v="0"/>
    <x v="0"/>
  </r>
  <r>
    <x v="0"/>
    <s v="雨竜郡秩父別町"/>
    <x v="93"/>
    <x v="1"/>
    <n v="5"/>
    <n v="7.69"/>
    <n v="2"/>
    <n v="4.76"/>
    <n v="3"/>
    <n v="15"/>
    <x v="0"/>
  </r>
  <r>
    <x v="0"/>
    <s v="雨竜郡秩父別町"/>
    <x v="93"/>
    <x v="2"/>
    <n v="4"/>
    <n v="6.15"/>
    <n v="1"/>
    <n v="2.38"/>
    <n v="2"/>
    <n v="10"/>
    <x v="1"/>
  </r>
  <r>
    <x v="0"/>
    <s v="雨竜郡秩父別町"/>
    <x v="93"/>
    <x v="3"/>
    <n v="1"/>
    <n v="1.54"/>
    <n v="0"/>
    <n v="0"/>
    <n v="0"/>
    <n v="0"/>
    <x v="0"/>
  </r>
  <r>
    <x v="0"/>
    <s v="雨竜郡秩父別町"/>
    <x v="93"/>
    <x v="4"/>
    <n v="1"/>
    <n v="1.54"/>
    <n v="0"/>
    <n v="0"/>
    <n v="1"/>
    <n v="5"/>
    <x v="0"/>
  </r>
  <r>
    <x v="0"/>
    <s v="雨竜郡秩父別町"/>
    <x v="93"/>
    <x v="5"/>
    <n v="1"/>
    <n v="1.54"/>
    <n v="1"/>
    <n v="2.38"/>
    <n v="0"/>
    <n v="0"/>
    <x v="0"/>
  </r>
  <r>
    <x v="0"/>
    <s v="雨竜郡秩父別町"/>
    <x v="93"/>
    <x v="6"/>
    <n v="17"/>
    <n v="26.15"/>
    <n v="13"/>
    <n v="30.95"/>
    <n v="4"/>
    <n v="20"/>
    <x v="0"/>
  </r>
  <r>
    <x v="0"/>
    <s v="雨竜郡秩父別町"/>
    <x v="93"/>
    <x v="7"/>
    <n v="0"/>
    <n v="0"/>
    <n v="0"/>
    <n v="0"/>
    <n v="0"/>
    <n v="0"/>
    <x v="0"/>
  </r>
  <r>
    <x v="0"/>
    <s v="雨竜郡秩父別町"/>
    <x v="93"/>
    <x v="8"/>
    <n v="3"/>
    <n v="4.62"/>
    <n v="1"/>
    <n v="2.38"/>
    <n v="2"/>
    <n v="10"/>
    <x v="0"/>
  </r>
  <r>
    <x v="0"/>
    <s v="雨竜郡秩父別町"/>
    <x v="93"/>
    <x v="9"/>
    <n v="2"/>
    <n v="3.08"/>
    <n v="1"/>
    <n v="2.38"/>
    <n v="1"/>
    <n v="5"/>
    <x v="0"/>
  </r>
  <r>
    <x v="0"/>
    <s v="雨竜郡秩父別町"/>
    <x v="93"/>
    <x v="10"/>
    <n v="11"/>
    <n v="16.920000000000002"/>
    <n v="11"/>
    <n v="26.19"/>
    <n v="0"/>
    <n v="0"/>
    <x v="0"/>
  </r>
  <r>
    <x v="0"/>
    <s v="雨竜郡秩父別町"/>
    <x v="93"/>
    <x v="11"/>
    <n v="11"/>
    <n v="16.920000000000002"/>
    <n v="9"/>
    <n v="21.43"/>
    <n v="2"/>
    <n v="10"/>
    <x v="0"/>
  </r>
  <r>
    <x v="0"/>
    <s v="雨竜郡秩父別町"/>
    <x v="93"/>
    <x v="12"/>
    <n v="1"/>
    <n v="1.54"/>
    <n v="0"/>
    <n v="0"/>
    <n v="1"/>
    <n v="5"/>
    <x v="0"/>
  </r>
  <r>
    <x v="0"/>
    <s v="雨竜郡秩父別町"/>
    <x v="93"/>
    <x v="13"/>
    <n v="7"/>
    <n v="10.77"/>
    <n v="3"/>
    <n v="7.14"/>
    <n v="3"/>
    <n v="15"/>
    <x v="0"/>
  </r>
  <r>
    <x v="0"/>
    <s v="雨竜郡秩父別町"/>
    <x v="93"/>
    <x v="14"/>
    <n v="1"/>
    <n v="1.54"/>
    <n v="0"/>
    <n v="0"/>
    <n v="1"/>
    <n v="5"/>
    <x v="0"/>
  </r>
  <r>
    <x v="0"/>
    <s v="雨竜郡雨竜町"/>
    <x v="94"/>
    <x v="0"/>
    <n v="0"/>
    <n v="0"/>
    <n v="0"/>
    <n v="0"/>
    <n v="0"/>
    <n v="0"/>
    <x v="0"/>
  </r>
  <r>
    <x v="0"/>
    <s v="雨竜郡雨竜町"/>
    <x v="94"/>
    <x v="1"/>
    <n v="10"/>
    <n v="19.61"/>
    <n v="3"/>
    <n v="10.71"/>
    <n v="7"/>
    <n v="30.43"/>
    <x v="0"/>
  </r>
  <r>
    <x v="0"/>
    <s v="雨竜郡雨竜町"/>
    <x v="94"/>
    <x v="2"/>
    <n v="1"/>
    <n v="1.96"/>
    <n v="1"/>
    <n v="3.57"/>
    <n v="0"/>
    <n v="0"/>
    <x v="0"/>
  </r>
  <r>
    <x v="0"/>
    <s v="雨竜郡雨竜町"/>
    <x v="94"/>
    <x v="3"/>
    <n v="1"/>
    <n v="1.96"/>
    <n v="0"/>
    <n v="0"/>
    <n v="1"/>
    <n v="4.3499999999999996"/>
    <x v="0"/>
  </r>
  <r>
    <x v="0"/>
    <s v="雨竜郡雨竜町"/>
    <x v="94"/>
    <x v="4"/>
    <n v="0"/>
    <n v="0"/>
    <n v="0"/>
    <n v="0"/>
    <n v="0"/>
    <n v="0"/>
    <x v="0"/>
  </r>
  <r>
    <x v="0"/>
    <s v="雨竜郡雨竜町"/>
    <x v="94"/>
    <x v="5"/>
    <n v="2"/>
    <n v="3.92"/>
    <n v="0"/>
    <n v="0"/>
    <n v="2"/>
    <n v="8.6999999999999993"/>
    <x v="0"/>
  </r>
  <r>
    <x v="0"/>
    <s v="雨竜郡雨竜町"/>
    <x v="94"/>
    <x v="6"/>
    <n v="14"/>
    <n v="27.45"/>
    <n v="5"/>
    <n v="17.86"/>
    <n v="9"/>
    <n v="39.130000000000003"/>
    <x v="0"/>
  </r>
  <r>
    <x v="0"/>
    <s v="雨竜郡雨竜町"/>
    <x v="94"/>
    <x v="7"/>
    <n v="0"/>
    <n v="0"/>
    <n v="0"/>
    <n v="0"/>
    <n v="0"/>
    <n v="0"/>
    <x v="0"/>
  </r>
  <r>
    <x v="0"/>
    <s v="雨竜郡雨竜町"/>
    <x v="94"/>
    <x v="8"/>
    <n v="0"/>
    <n v="0"/>
    <n v="0"/>
    <n v="0"/>
    <n v="0"/>
    <n v="0"/>
    <x v="0"/>
  </r>
  <r>
    <x v="0"/>
    <s v="雨竜郡雨竜町"/>
    <x v="94"/>
    <x v="9"/>
    <n v="2"/>
    <n v="3.92"/>
    <n v="2"/>
    <n v="7.14"/>
    <n v="0"/>
    <n v="0"/>
    <x v="0"/>
  </r>
  <r>
    <x v="0"/>
    <s v="雨竜郡雨竜町"/>
    <x v="94"/>
    <x v="10"/>
    <n v="6"/>
    <n v="11.76"/>
    <n v="5"/>
    <n v="17.86"/>
    <n v="1"/>
    <n v="4.3499999999999996"/>
    <x v="0"/>
  </r>
  <r>
    <x v="0"/>
    <s v="雨竜郡雨竜町"/>
    <x v="94"/>
    <x v="11"/>
    <n v="9"/>
    <n v="17.649999999999999"/>
    <n v="8"/>
    <n v="28.57"/>
    <n v="1"/>
    <n v="4.3499999999999996"/>
    <x v="0"/>
  </r>
  <r>
    <x v="0"/>
    <s v="雨竜郡雨竜町"/>
    <x v="94"/>
    <x v="12"/>
    <n v="0"/>
    <n v="0"/>
    <n v="0"/>
    <n v="0"/>
    <n v="0"/>
    <n v="0"/>
    <x v="0"/>
  </r>
  <r>
    <x v="0"/>
    <s v="雨竜郡雨竜町"/>
    <x v="94"/>
    <x v="13"/>
    <n v="3"/>
    <n v="5.88"/>
    <n v="3"/>
    <n v="10.71"/>
    <n v="0"/>
    <n v="0"/>
    <x v="0"/>
  </r>
  <r>
    <x v="0"/>
    <s v="雨竜郡雨竜町"/>
    <x v="94"/>
    <x v="14"/>
    <n v="3"/>
    <n v="5.88"/>
    <n v="1"/>
    <n v="3.57"/>
    <n v="2"/>
    <n v="8.6999999999999993"/>
    <x v="0"/>
  </r>
  <r>
    <x v="0"/>
    <s v="雨竜郡北竜町"/>
    <x v="95"/>
    <x v="0"/>
    <n v="1"/>
    <n v="2.5"/>
    <n v="1"/>
    <n v="4.17"/>
    <n v="0"/>
    <n v="0"/>
    <x v="0"/>
  </r>
  <r>
    <x v="0"/>
    <s v="雨竜郡北竜町"/>
    <x v="95"/>
    <x v="1"/>
    <n v="6"/>
    <n v="15"/>
    <n v="2"/>
    <n v="8.33"/>
    <n v="4"/>
    <n v="30.77"/>
    <x v="0"/>
  </r>
  <r>
    <x v="0"/>
    <s v="雨竜郡北竜町"/>
    <x v="95"/>
    <x v="2"/>
    <n v="0"/>
    <n v="0"/>
    <n v="0"/>
    <n v="0"/>
    <n v="0"/>
    <n v="0"/>
    <x v="0"/>
  </r>
  <r>
    <x v="0"/>
    <s v="雨竜郡北竜町"/>
    <x v="95"/>
    <x v="3"/>
    <n v="1"/>
    <n v="2.5"/>
    <n v="0"/>
    <n v="0"/>
    <n v="0"/>
    <n v="0"/>
    <x v="0"/>
  </r>
  <r>
    <x v="0"/>
    <s v="雨竜郡北竜町"/>
    <x v="95"/>
    <x v="4"/>
    <n v="0"/>
    <n v="0"/>
    <n v="0"/>
    <n v="0"/>
    <n v="0"/>
    <n v="0"/>
    <x v="0"/>
  </r>
  <r>
    <x v="0"/>
    <s v="雨竜郡北竜町"/>
    <x v="95"/>
    <x v="5"/>
    <n v="1"/>
    <n v="2.5"/>
    <n v="0"/>
    <n v="0"/>
    <n v="1"/>
    <n v="7.69"/>
    <x v="0"/>
  </r>
  <r>
    <x v="0"/>
    <s v="雨竜郡北竜町"/>
    <x v="95"/>
    <x v="6"/>
    <n v="11"/>
    <n v="27.5"/>
    <n v="6"/>
    <n v="25"/>
    <n v="5"/>
    <n v="38.46"/>
    <x v="0"/>
  </r>
  <r>
    <x v="0"/>
    <s v="雨竜郡北竜町"/>
    <x v="95"/>
    <x v="7"/>
    <n v="0"/>
    <n v="0"/>
    <n v="0"/>
    <n v="0"/>
    <n v="0"/>
    <n v="0"/>
    <x v="0"/>
  </r>
  <r>
    <x v="0"/>
    <s v="雨竜郡北竜町"/>
    <x v="95"/>
    <x v="8"/>
    <n v="2"/>
    <n v="5"/>
    <n v="0"/>
    <n v="0"/>
    <n v="2"/>
    <n v="15.38"/>
    <x v="0"/>
  </r>
  <r>
    <x v="0"/>
    <s v="雨竜郡北竜町"/>
    <x v="95"/>
    <x v="9"/>
    <n v="0"/>
    <n v="0"/>
    <n v="0"/>
    <n v="0"/>
    <n v="0"/>
    <n v="0"/>
    <x v="0"/>
  </r>
  <r>
    <x v="0"/>
    <s v="雨竜郡北竜町"/>
    <x v="95"/>
    <x v="10"/>
    <n v="6"/>
    <n v="15"/>
    <n v="6"/>
    <n v="25"/>
    <n v="0"/>
    <n v="0"/>
    <x v="0"/>
  </r>
  <r>
    <x v="0"/>
    <s v="雨竜郡北竜町"/>
    <x v="95"/>
    <x v="11"/>
    <n v="5"/>
    <n v="12.5"/>
    <n v="5"/>
    <n v="20.83"/>
    <n v="0"/>
    <n v="0"/>
    <x v="0"/>
  </r>
  <r>
    <x v="0"/>
    <s v="雨竜郡北竜町"/>
    <x v="95"/>
    <x v="12"/>
    <n v="0"/>
    <n v="0"/>
    <n v="0"/>
    <n v="0"/>
    <n v="0"/>
    <n v="0"/>
    <x v="0"/>
  </r>
  <r>
    <x v="0"/>
    <s v="雨竜郡北竜町"/>
    <x v="95"/>
    <x v="13"/>
    <n v="4"/>
    <n v="10"/>
    <n v="3"/>
    <n v="12.5"/>
    <n v="0"/>
    <n v="0"/>
    <x v="0"/>
  </r>
  <r>
    <x v="0"/>
    <s v="雨竜郡北竜町"/>
    <x v="95"/>
    <x v="14"/>
    <n v="3"/>
    <n v="7.5"/>
    <n v="1"/>
    <n v="4.17"/>
    <n v="1"/>
    <n v="7.69"/>
    <x v="0"/>
  </r>
  <r>
    <x v="0"/>
    <s v="雨竜郡沼田町"/>
    <x v="96"/>
    <x v="0"/>
    <n v="1"/>
    <n v="0.97"/>
    <n v="0"/>
    <n v="0"/>
    <n v="1"/>
    <n v="3.03"/>
    <x v="0"/>
  </r>
  <r>
    <x v="0"/>
    <s v="雨竜郡沼田町"/>
    <x v="96"/>
    <x v="1"/>
    <n v="14"/>
    <n v="13.59"/>
    <n v="5"/>
    <n v="8.33"/>
    <n v="9"/>
    <n v="27.27"/>
    <x v="0"/>
  </r>
  <r>
    <x v="0"/>
    <s v="雨竜郡沼田町"/>
    <x v="96"/>
    <x v="2"/>
    <n v="5"/>
    <n v="4.8499999999999996"/>
    <n v="3"/>
    <n v="5"/>
    <n v="2"/>
    <n v="6.06"/>
    <x v="0"/>
  </r>
  <r>
    <x v="0"/>
    <s v="雨竜郡沼田町"/>
    <x v="96"/>
    <x v="3"/>
    <n v="1"/>
    <n v="0.97"/>
    <n v="0"/>
    <n v="0"/>
    <n v="0"/>
    <n v="0"/>
    <x v="0"/>
  </r>
  <r>
    <x v="0"/>
    <s v="雨竜郡沼田町"/>
    <x v="96"/>
    <x v="4"/>
    <n v="1"/>
    <n v="0.97"/>
    <n v="0"/>
    <n v="0"/>
    <n v="1"/>
    <n v="3.03"/>
    <x v="0"/>
  </r>
  <r>
    <x v="0"/>
    <s v="雨竜郡沼田町"/>
    <x v="96"/>
    <x v="5"/>
    <n v="4"/>
    <n v="3.88"/>
    <n v="0"/>
    <n v="0"/>
    <n v="3"/>
    <n v="9.09"/>
    <x v="0"/>
  </r>
  <r>
    <x v="0"/>
    <s v="雨竜郡沼田町"/>
    <x v="96"/>
    <x v="6"/>
    <n v="25"/>
    <n v="24.27"/>
    <n v="16"/>
    <n v="26.67"/>
    <n v="9"/>
    <n v="27.27"/>
    <x v="0"/>
  </r>
  <r>
    <x v="0"/>
    <s v="雨竜郡沼田町"/>
    <x v="96"/>
    <x v="7"/>
    <n v="1"/>
    <n v="0.97"/>
    <n v="1"/>
    <n v="1.67"/>
    <n v="0"/>
    <n v="0"/>
    <x v="0"/>
  </r>
  <r>
    <x v="0"/>
    <s v="雨竜郡沼田町"/>
    <x v="96"/>
    <x v="8"/>
    <n v="2"/>
    <n v="1.94"/>
    <n v="0"/>
    <n v="0"/>
    <n v="1"/>
    <n v="3.03"/>
    <x v="0"/>
  </r>
  <r>
    <x v="0"/>
    <s v="雨竜郡沼田町"/>
    <x v="96"/>
    <x v="9"/>
    <n v="1"/>
    <n v="0.97"/>
    <n v="1"/>
    <n v="1.67"/>
    <n v="0"/>
    <n v="0"/>
    <x v="0"/>
  </r>
  <r>
    <x v="0"/>
    <s v="雨竜郡沼田町"/>
    <x v="96"/>
    <x v="10"/>
    <n v="19"/>
    <n v="18.45"/>
    <n v="18"/>
    <n v="30"/>
    <n v="1"/>
    <n v="3.03"/>
    <x v="0"/>
  </r>
  <r>
    <x v="0"/>
    <s v="雨竜郡沼田町"/>
    <x v="96"/>
    <x v="11"/>
    <n v="13"/>
    <n v="12.62"/>
    <n v="11"/>
    <n v="18.329999999999998"/>
    <n v="0"/>
    <n v="0"/>
    <x v="0"/>
  </r>
  <r>
    <x v="0"/>
    <s v="雨竜郡沼田町"/>
    <x v="96"/>
    <x v="12"/>
    <n v="7"/>
    <n v="6.8"/>
    <n v="3"/>
    <n v="5"/>
    <n v="0"/>
    <n v="0"/>
    <x v="0"/>
  </r>
  <r>
    <x v="0"/>
    <s v="雨竜郡沼田町"/>
    <x v="96"/>
    <x v="13"/>
    <n v="3"/>
    <n v="2.91"/>
    <n v="2"/>
    <n v="3.33"/>
    <n v="0"/>
    <n v="0"/>
    <x v="0"/>
  </r>
  <r>
    <x v="0"/>
    <s v="雨竜郡沼田町"/>
    <x v="96"/>
    <x v="14"/>
    <n v="6"/>
    <n v="5.83"/>
    <n v="0"/>
    <n v="0"/>
    <n v="6"/>
    <n v="18.18"/>
    <x v="0"/>
  </r>
  <r>
    <x v="0"/>
    <s v="上川郡鷹栖町"/>
    <x v="97"/>
    <x v="0"/>
    <n v="0"/>
    <n v="0"/>
    <n v="0"/>
    <n v="0"/>
    <n v="0"/>
    <n v="0"/>
    <x v="0"/>
  </r>
  <r>
    <x v="0"/>
    <s v="上川郡鷹栖町"/>
    <x v="97"/>
    <x v="1"/>
    <n v="34"/>
    <n v="23.78"/>
    <n v="13"/>
    <n v="18.84"/>
    <n v="21"/>
    <n v="30"/>
    <x v="0"/>
  </r>
  <r>
    <x v="0"/>
    <s v="上川郡鷹栖町"/>
    <x v="97"/>
    <x v="2"/>
    <n v="15"/>
    <n v="10.49"/>
    <n v="5"/>
    <n v="7.25"/>
    <n v="10"/>
    <n v="14.29"/>
    <x v="0"/>
  </r>
  <r>
    <x v="0"/>
    <s v="上川郡鷹栖町"/>
    <x v="97"/>
    <x v="3"/>
    <n v="1"/>
    <n v="0.7"/>
    <n v="0"/>
    <n v="0"/>
    <n v="0"/>
    <n v="0"/>
    <x v="0"/>
  </r>
  <r>
    <x v="0"/>
    <s v="上川郡鷹栖町"/>
    <x v="97"/>
    <x v="4"/>
    <n v="0"/>
    <n v="0"/>
    <n v="0"/>
    <n v="0"/>
    <n v="0"/>
    <n v="0"/>
    <x v="0"/>
  </r>
  <r>
    <x v="0"/>
    <s v="上川郡鷹栖町"/>
    <x v="97"/>
    <x v="5"/>
    <n v="2"/>
    <n v="1.4"/>
    <n v="0"/>
    <n v="0"/>
    <n v="2"/>
    <n v="2.86"/>
    <x v="0"/>
  </r>
  <r>
    <x v="0"/>
    <s v="上川郡鷹栖町"/>
    <x v="97"/>
    <x v="6"/>
    <n v="34"/>
    <n v="23.78"/>
    <n v="19"/>
    <n v="27.54"/>
    <n v="15"/>
    <n v="21.43"/>
    <x v="0"/>
  </r>
  <r>
    <x v="0"/>
    <s v="上川郡鷹栖町"/>
    <x v="97"/>
    <x v="7"/>
    <n v="1"/>
    <n v="0.7"/>
    <n v="0"/>
    <n v="0"/>
    <n v="1"/>
    <n v="1.43"/>
    <x v="0"/>
  </r>
  <r>
    <x v="0"/>
    <s v="上川郡鷹栖町"/>
    <x v="97"/>
    <x v="8"/>
    <n v="3"/>
    <n v="2.1"/>
    <n v="1"/>
    <n v="1.45"/>
    <n v="2"/>
    <n v="2.86"/>
    <x v="0"/>
  </r>
  <r>
    <x v="0"/>
    <s v="上川郡鷹栖町"/>
    <x v="97"/>
    <x v="9"/>
    <n v="5"/>
    <n v="3.5"/>
    <n v="4"/>
    <n v="5.8"/>
    <n v="1"/>
    <n v="1.43"/>
    <x v="0"/>
  </r>
  <r>
    <x v="0"/>
    <s v="上川郡鷹栖町"/>
    <x v="97"/>
    <x v="10"/>
    <n v="14"/>
    <n v="9.7899999999999991"/>
    <n v="10"/>
    <n v="14.49"/>
    <n v="4"/>
    <n v="5.71"/>
    <x v="0"/>
  </r>
  <r>
    <x v="0"/>
    <s v="上川郡鷹栖町"/>
    <x v="97"/>
    <x v="11"/>
    <n v="14"/>
    <n v="9.7899999999999991"/>
    <n v="9"/>
    <n v="13.04"/>
    <n v="3"/>
    <n v="4.29"/>
    <x v="0"/>
  </r>
  <r>
    <x v="0"/>
    <s v="上川郡鷹栖町"/>
    <x v="97"/>
    <x v="12"/>
    <n v="1"/>
    <n v="0.7"/>
    <n v="1"/>
    <n v="1.45"/>
    <n v="0"/>
    <n v="0"/>
    <x v="0"/>
  </r>
  <r>
    <x v="0"/>
    <s v="上川郡鷹栖町"/>
    <x v="97"/>
    <x v="13"/>
    <n v="10"/>
    <n v="6.99"/>
    <n v="4"/>
    <n v="5.8"/>
    <n v="6"/>
    <n v="8.57"/>
    <x v="0"/>
  </r>
  <r>
    <x v="0"/>
    <s v="上川郡鷹栖町"/>
    <x v="97"/>
    <x v="14"/>
    <n v="9"/>
    <n v="6.29"/>
    <n v="3"/>
    <n v="4.3499999999999996"/>
    <n v="5"/>
    <n v="7.14"/>
    <x v="1"/>
  </r>
  <r>
    <x v="0"/>
    <s v="上川郡東神楽町"/>
    <x v="98"/>
    <x v="0"/>
    <n v="0"/>
    <n v="0"/>
    <n v="0"/>
    <n v="0"/>
    <n v="0"/>
    <n v="0"/>
    <x v="0"/>
  </r>
  <r>
    <x v="0"/>
    <s v="上川郡東神楽町"/>
    <x v="98"/>
    <x v="1"/>
    <n v="32"/>
    <n v="17.88"/>
    <n v="7"/>
    <n v="10.77"/>
    <n v="25"/>
    <n v="23.36"/>
    <x v="0"/>
  </r>
  <r>
    <x v="0"/>
    <s v="上川郡東神楽町"/>
    <x v="98"/>
    <x v="2"/>
    <n v="15"/>
    <n v="8.3800000000000008"/>
    <n v="4"/>
    <n v="6.15"/>
    <n v="11"/>
    <n v="10.28"/>
    <x v="0"/>
  </r>
  <r>
    <x v="0"/>
    <s v="上川郡東神楽町"/>
    <x v="98"/>
    <x v="3"/>
    <n v="1"/>
    <n v="0.56000000000000005"/>
    <n v="0"/>
    <n v="0"/>
    <n v="1"/>
    <n v="0.93"/>
    <x v="0"/>
  </r>
  <r>
    <x v="0"/>
    <s v="上川郡東神楽町"/>
    <x v="98"/>
    <x v="4"/>
    <n v="2"/>
    <n v="1.1200000000000001"/>
    <n v="1"/>
    <n v="1.54"/>
    <n v="1"/>
    <n v="0.93"/>
    <x v="0"/>
  </r>
  <r>
    <x v="0"/>
    <s v="上川郡東神楽町"/>
    <x v="98"/>
    <x v="5"/>
    <n v="2"/>
    <n v="1.1200000000000001"/>
    <n v="0"/>
    <n v="0"/>
    <n v="2"/>
    <n v="1.87"/>
    <x v="0"/>
  </r>
  <r>
    <x v="0"/>
    <s v="上川郡東神楽町"/>
    <x v="98"/>
    <x v="6"/>
    <n v="32"/>
    <n v="17.88"/>
    <n v="8"/>
    <n v="12.31"/>
    <n v="24"/>
    <n v="22.43"/>
    <x v="0"/>
  </r>
  <r>
    <x v="0"/>
    <s v="上川郡東神楽町"/>
    <x v="98"/>
    <x v="7"/>
    <n v="2"/>
    <n v="1.1200000000000001"/>
    <n v="0"/>
    <n v="0"/>
    <n v="2"/>
    <n v="1.87"/>
    <x v="0"/>
  </r>
  <r>
    <x v="0"/>
    <s v="上川郡東神楽町"/>
    <x v="98"/>
    <x v="8"/>
    <n v="13"/>
    <n v="7.26"/>
    <n v="3"/>
    <n v="4.62"/>
    <n v="10"/>
    <n v="9.35"/>
    <x v="0"/>
  </r>
  <r>
    <x v="0"/>
    <s v="上川郡東神楽町"/>
    <x v="98"/>
    <x v="9"/>
    <n v="6"/>
    <n v="3.35"/>
    <n v="2"/>
    <n v="3.08"/>
    <n v="4"/>
    <n v="3.74"/>
    <x v="0"/>
  </r>
  <r>
    <x v="0"/>
    <s v="上川郡東神楽町"/>
    <x v="98"/>
    <x v="10"/>
    <n v="19"/>
    <n v="10.61"/>
    <n v="12"/>
    <n v="18.46"/>
    <n v="7"/>
    <n v="6.54"/>
    <x v="0"/>
  </r>
  <r>
    <x v="0"/>
    <s v="上川郡東神楽町"/>
    <x v="98"/>
    <x v="11"/>
    <n v="24"/>
    <n v="13.41"/>
    <n v="16"/>
    <n v="24.62"/>
    <n v="7"/>
    <n v="6.54"/>
    <x v="0"/>
  </r>
  <r>
    <x v="0"/>
    <s v="上川郡東神楽町"/>
    <x v="98"/>
    <x v="12"/>
    <n v="10"/>
    <n v="5.59"/>
    <n v="4"/>
    <n v="6.15"/>
    <n v="4"/>
    <n v="3.74"/>
    <x v="0"/>
  </r>
  <r>
    <x v="0"/>
    <s v="上川郡東神楽町"/>
    <x v="98"/>
    <x v="13"/>
    <n v="14"/>
    <n v="7.82"/>
    <n v="6"/>
    <n v="9.23"/>
    <n v="6"/>
    <n v="5.61"/>
    <x v="0"/>
  </r>
  <r>
    <x v="0"/>
    <s v="上川郡東神楽町"/>
    <x v="98"/>
    <x v="14"/>
    <n v="7"/>
    <n v="3.91"/>
    <n v="2"/>
    <n v="3.08"/>
    <n v="3"/>
    <n v="2.8"/>
    <x v="0"/>
  </r>
  <r>
    <x v="0"/>
    <s v="上川郡当麻町"/>
    <x v="99"/>
    <x v="0"/>
    <n v="0"/>
    <n v="0"/>
    <n v="0"/>
    <n v="0"/>
    <n v="0"/>
    <n v="0"/>
    <x v="0"/>
  </r>
  <r>
    <x v="0"/>
    <s v="上川郡当麻町"/>
    <x v="99"/>
    <x v="1"/>
    <n v="20"/>
    <n v="13.16"/>
    <n v="5"/>
    <n v="6.85"/>
    <n v="15"/>
    <n v="21.43"/>
    <x v="0"/>
  </r>
  <r>
    <x v="0"/>
    <s v="上川郡当麻町"/>
    <x v="99"/>
    <x v="2"/>
    <n v="16"/>
    <n v="10.53"/>
    <n v="3"/>
    <n v="4.1100000000000003"/>
    <n v="13"/>
    <n v="18.57"/>
    <x v="0"/>
  </r>
  <r>
    <x v="0"/>
    <s v="上川郡当麻町"/>
    <x v="99"/>
    <x v="3"/>
    <n v="0"/>
    <n v="0"/>
    <n v="0"/>
    <n v="0"/>
    <n v="0"/>
    <n v="0"/>
    <x v="0"/>
  </r>
  <r>
    <x v="0"/>
    <s v="上川郡当麻町"/>
    <x v="99"/>
    <x v="4"/>
    <n v="0"/>
    <n v="0"/>
    <n v="0"/>
    <n v="0"/>
    <n v="0"/>
    <n v="0"/>
    <x v="0"/>
  </r>
  <r>
    <x v="0"/>
    <s v="上川郡当麻町"/>
    <x v="99"/>
    <x v="5"/>
    <n v="1"/>
    <n v="0.66"/>
    <n v="0"/>
    <n v="0"/>
    <n v="0"/>
    <n v="0"/>
    <x v="0"/>
  </r>
  <r>
    <x v="0"/>
    <s v="上川郡当麻町"/>
    <x v="99"/>
    <x v="6"/>
    <n v="45"/>
    <n v="29.61"/>
    <n v="24"/>
    <n v="32.880000000000003"/>
    <n v="21"/>
    <n v="30"/>
    <x v="0"/>
  </r>
  <r>
    <x v="0"/>
    <s v="上川郡当麻町"/>
    <x v="99"/>
    <x v="7"/>
    <n v="0"/>
    <n v="0"/>
    <n v="0"/>
    <n v="0"/>
    <n v="0"/>
    <n v="0"/>
    <x v="0"/>
  </r>
  <r>
    <x v="0"/>
    <s v="上川郡当麻町"/>
    <x v="99"/>
    <x v="8"/>
    <n v="16"/>
    <n v="10.53"/>
    <n v="10"/>
    <n v="13.7"/>
    <n v="6"/>
    <n v="8.57"/>
    <x v="0"/>
  </r>
  <r>
    <x v="0"/>
    <s v="上川郡当麻町"/>
    <x v="99"/>
    <x v="9"/>
    <n v="5"/>
    <n v="3.29"/>
    <n v="4"/>
    <n v="5.48"/>
    <n v="0"/>
    <n v="0"/>
    <x v="0"/>
  </r>
  <r>
    <x v="0"/>
    <s v="上川郡当麻町"/>
    <x v="99"/>
    <x v="10"/>
    <n v="16"/>
    <n v="10.53"/>
    <n v="13"/>
    <n v="17.809999999999999"/>
    <n v="3"/>
    <n v="4.29"/>
    <x v="0"/>
  </r>
  <r>
    <x v="0"/>
    <s v="上川郡当麻町"/>
    <x v="99"/>
    <x v="11"/>
    <n v="16"/>
    <n v="10.53"/>
    <n v="9"/>
    <n v="12.33"/>
    <n v="5"/>
    <n v="7.14"/>
    <x v="0"/>
  </r>
  <r>
    <x v="0"/>
    <s v="上川郡当麻町"/>
    <x v="99"/>
    <x v="12"/>
    <n v="6"/>
    <n v="3.95"/>
    <n v="2"/>
    <n v="2.74"/>
    <n v="3"/>
    <n v="4.29"/>
    <x v="0"/>
  </r>
  <r>
    <x v="0"/>
    <s v="上川郡当麻町"/>
    <x v="99"/>
    <x v="13"/>
    <n v="9"/>
    <n v="5.92"/>
    <n v="3"/>
    <n v="4.1100000000000003"/>
    <n v="3"/>
    <n v="4.29"/>
    <x v="0"/>
  </r>
  <r>
    <x v="0"/>
    <s v="上川郡当麻町"/>
    <x v="99"/>
    <x v="14"/>
    <n v="2"/>
    <n v="1.32"/>
    <n v="0"/>
    <n v="0"/>
    <n v="1"/>
    <n v="1.43"/>
    <x v="1"/>
  </r>
  <r>
    <x v="0"/>
    <s v="上川郡比布町"/>
    <x v="100"/>
    <x v="0"/>
    <n v="0"/>
    <n v="0"/>
    <n v="0"/>
    <n v="0"/>
    <n v="0"/>
    <n v="0"/>
    <x v="0"/>
  </r>
  <r>
    <x v="0"/>
    <s v="上川郡比布町"/>
    <x v="100"/>
    <x v="1"/>
    <n v="22"/>
    <n v="23.66"/>
    <n v="8"/>
    <n v="20"/>
    <n v="14"/>
    <n v="30.43"/>
    <x v="0"/>
  </r>
  <r>
    <x v="0"/>
    <s v="上川郡比布町"/>
    <x v="100"/>
    <x v="2"/>
    <n v="8"/>
    <n v="8.6"/>
    <n v="1"/>
    <n v="2.5"/>
    <n v="7"/>
    <n v="15.22"/>
    <x v="0"/>
  </r>
  <r>
    <x v="0"/>
    <s v="上川郡比布町"/>
    <x v="100"/>
    <x v="3"/>
    <n v="1"/>
    <n v="1.08"/>
    <n v="0"/>
    <n v="0"/>
    <n v="0"/>
    <n v="0"/>
    <x v="0"/>
  </r>
  <r>
    <x v="0"/>
    <s v="上川郡比布町"/>
    <x v="100"/>
    <x v="4"/>
    <n v="1"/>
    <n v="1.08"/>
    <n v="1"/>
    <n v="2.5"/>
    <n v="0"/>
    <n v="0"/>
    <x v="0"/>
  </r>
  <r>
    <x v="0"/>
    <s v="上川郡比布町"/>
    <x v="100"/>
    <x v="5"/>
    <n v="1"/>
    <n v="1.08"/>
    <n v="1"/>
    <n v="2.5"/>
    <n v="0"/>
    <n v="0"/>
    <x v="0"/>
  </r>
  <r>
    <x v="0"/>
    <s v="上川郡比布町"/>
    <x v="100"/>
    <x v="6"/>
    <n v="27"/>
    <n v="29.03"/>
    <n v="9"/>
    <n v="22.5"/>
    <n v="18"/>
    <n v="39.130000000000003"/>
    <x v="0"/>
  </r>
  <r>
    <x v="0"/>
    <s v="上川郡比布町"/>
    <x v="100"/>
    <x v="7"/>
    <n v="0"/>
    <n v="0"/>
    <n v="0"/>
    <n v="0"/>
    <n v="0"/>
    <n v="0"/>
    <x v="0"/>
  </r>
  <r>
    <x v="0"/>
    <s v="上川郡比布町"/>
    <x v="100"/>
    <x v="8"/>
    <n v="3"/>
    <n v="3.23"/>
    <n v="1"/>
    <n v="2.5"/>
    <n v="1"/>
    <n v="2.17"/>
    <x v="0"/>
  </r>
  <r>
    <x v="0"/>
    <s v="上川郡比布町"/>
    <x v="100"/>
    <x v="9"/>
    <n v="3"/>
    <n v="3.23"/>
    <n v="2"/>
    <n v="5"/>
    <n v="0"/>
    <n v="0"/>
    <x v="0"/>
  </r>
  <r>
    <x v="0"/>
    <s v="上川郡比布町"/>
    <x v="100"/>
    <x v="10"/>
    <n v="6"/>
    <n v="6.45"/>
    <n v="2"/>
    <n v="5"/>
    <n v="4"/>
    <n v="8.6999999999999993"/>
    <x v="0"/>
  </r>
  <r>
    <x v="0"/>
    <s v="上川郡比布町"/>
    <x v="100"/>
    <x v="11"/>
    <n v="11"/>
    <n v="11.83"/>
    <n v="9"/>
    <n v="22.5"/>
    <n v="0"/>
    <n v="0"/>
    <x v="0"/>
  </r>
  <r>
    <x v="0"/>
    <s v="上川郡比布町"/>
    <x v="100"/>
    <x v="12"/>
    <n v="2"/>
    <n v="2.15"/>
    <n v="1"/>
    <n v="2.5"/>
    <n v="0"/>
    <n v="0"/>
    <x v="0"/>
  </r>
  <r>
    <x v="0"/>
    <s v="上川郡比布町"/>
    <x v="100"/>
    <x v="13"/>
    <n v="6"/>
    <n v="6.45"/>
    <n v="5"/>
    <n v="12.5"/>
    <n v="1"/>
    <n v="2.17"/>
    <x v="0"/>
  </r>
  <r>
    <x v="0"/>
    <s v="上川郡比布町"/>
    <x v="100"/>
    <x v="14"/>
    <n v="2"/>
    <n v="2.15"/>
    <n v="0"/>
    <n v="0"/>
    <n v="1"/>
    <n v="2.17"/>
    <x v="1"/>
  </r>
  <r>
    <x v="0"/>
    <s v="上川郡愛別町"/>
    <x v="101"/>
    <x v="0"/>
    <n v="0"/>
    <n v="0"/>
    <n v="0"/>
    <n v="0"/>
    <n v="0"/>
    <n v="0"/>
    <x v="0"/>
  </r>
  <r>
    <x v="0"/>
    <s v="上川郡愛別町"/>
    <x v="101"/>
    <x v="1"/>
    <n v="12"/>
    <n v="16.670000000000002"/>
    <n v="3"/>
    <n v="8.57"/>
    <n v="9"/>
    <n v="26.47"/>
    <x v="0"/>
  </r>
  <r>
    <x v="0"/>
    <s v="上川郡愛別町"/>
    <x v="101"/>
    <x v="2"/>
    <n v="8"/>
    <n v="11.11"/>
    <n v="3"/>
    <n v="8.57"/>
    <n v="5"/>
    <n v="14.71"/>
    <x v="0"/>
  </r>
  <r>
    <x v="0"/>
    <s v="上川郡愛別町"/>
    <x v="101"/>
    <x v="3"/>
    <n v="2"/>
    <n v="2.78"/>
    <n v="0"/>
    <n v="0"/>
    <n v="1"/>
    <n v="2.94"/>
    <x v="0"/>
  </r>
  <r>
    <x v="0"/>
    <s v="上川郡愛別町"/>
    <x v="101"/>
    <x v="4"/>
    <n v="0"/>
    <n v="0"/>
    <n v="0"/>
    <n v="0"/>
    <n v="0"/>
    <n v="0"/>
    <x v="0"/>
  </r>
  <r>
    <x v="0"/>
    <s v="上川郡愛別町"/>
    <x v="101"/>
    <x v="5"/>
    <n v="2"/>
    <n v="2.78"/>
    <n v="0"/>
    <n v="0"/>
    <n v="2"/>
    <n v="5.88"/>
    <x v="0"/>
  </r>
  <r>
    <x v="0"/>
    <s v="上川郡愛別町"/>
    <x v="101"/>
    <x v="6"/>
    <n v="17"/>
    <n v="23.61"/>
    <n v="9"/>
    <n v="25.71"/>
    <n v="8"/>
    <n v="23.53"/>
    <x v="0"/>
  </r>
  <r>
    <x v="0"/>
    <s v="上川郡愛別町"/>
    <x v="101"/>
    <x v="7"/>
    <n v="0"/>
    <n v="0"/>
    <n v="0"/>
    <n v="0"/>
    <n v="0"/>
    <n v="0"/>
    <x v="0"/>
  </r>
  <r>
    <x v="0"/>
    <s v="上川郡愛別町"/>
    <x v="101"/>
    <x v="8"/>
    <n v="0"/>
    <n v="0"/>
    <n v="0"/>
    <n v="0"/>
    <n v="0"/>
    <n v="0"/>
    <x v="0"/>
  </r>
  <r>
    <x v="0"/>
    <s v="上川郡愛別町"/>
    <x v="101"/>
    <x v="9"/>
    <n v="3"/>
    <n v="4.17"/>
    <n v="2"/>
    <n v="5.71"/>
    <n v="1"/>
    <n v="2.94"/>
    <x v="0"/>
  </r>
  <r>
    <x v="0"/>
    <s v="上川郡愛別町"/>
    <x v="101"/>
    <x v="10"/>
    <n v="9"/>
    <n v="12.5"/>
    <n v="8"/>
    <n v="22.86"/>
    <n v="1"/>
    <n v="2.94"/>
    <x v="0"/>
  </r>
  <r>
    <x v="0"/>
    <s v="上川郡愛別町"/>
    <x v="101"/>
    <x v="11"/>
    <n v="9"/>
    <n v="12.5"/>
    <n v="6"/>
    <n v="17.14"/>
    <n v="2"/>
    <n v="5.88"/>
    <x v="1"/>
  </r>
  <r>
    <x v="0"/>
    <s v="上川郡愛別町"/>
    <x v="101"/>
    <x v="12"/>
    <n v="1"/>
    <n v="1.39"/>
    <n v="1"/>
    <n v="2.86"/>
    <n v="0"/>
    <n v="0"/>
    <x v="0"/>
  </r>
  <r>
    <x v="0"/>
    <s v="上川郡愛別町"/>
    <x v="101"/>
    <x v="13"/>
    <n v="4"/>
    <n v="5.56"/>
    <n v="3"/>
    <n v="8.57"/>
    <n v="0"/>
    <n v="0"/>
    <x v="0"/>
  </r>
  <r>
    <x v="0"/>
    <s v="上川郡愛別町"/>
    <x v="101"/>
    <x v="14"/>
    <n v="5"/>
    <n v="6.94"/>
    <n v="0"/>
    <n v="0"/>
    <n v="5"/>
    <n v="14.71"/>
    <x v="0"/>
  </r>
  <r>
    <x v="0"/>
    <s v="上川郡上川町"/>
    <x v="102"/>
    <x v="0"/>
    <n v="0"/>
    <n v="0"/>
    <n v="0"/>
    <n v="0"/>
    <n v="0"/>
    <n v="0"/>
    <x v="0"/>
  </r>
  <r>
    <x v="0"/>
    <s v="上川郡上川町"/>
    <x v="102"/>
    <x v="1"/>
    <n v="10"/>
    <n v="7.81"/>
    <n v="4"/>
    <n v="5.48"/>
    <n v="6"/>
    <n v="12.24"/>
    <x v="0"/>
  </r>
  <r>
    <x v="0"/>
    <s v="上川郡上川町"/>
    <x v="102"/>
    <x v="2"/>
    <n v="14"/>
    <n v="10.94"/>
    <n v="3"/>
    <n v="4.1100000000000003"/>
    <n v="11"/>
    <n v="22.45"/>
    <x v="0"/>
  </r>
  <r>
    <x v="0"/>
    <s v="上川郡上川町"/>
    <x v="102"/>
    <x v="3"/>
    <n v="0"/>
    <n v="0"/>
    <n v="0"/>
    <n v="0"/>
    <n v="0"/>
    <n v="0"/>
    <x v="0"/>
  </r>
  <r>
    <x v="0"/>
    <s v="上川郡上川町"/>
    <x v="102"/>
    <x v="4"/>
    <n v="0"/>
    <n v="0"/>
    <n v="0"/>
    <n v="0"/>
    <n v="0"/>
    <n v="0"/>
    <x v="0"/>
  </r>
  <r>
    <x v="0"/>
    <s v="上川郡上川町"/>
    <x v="102"/>
    <x v="5"/>
    <n v="2"/>
    <n v="1.56"/>
    <n v="0"/>
    <n v="0"/>
    <n v="2"/>
    <n v="4.08"/>
    <x v="0"/>
  </r>
  <r>
    <x v="0"/>
    <s v="上川郡上川町"/>
    <x v="102"/>
    <x v="6"/>
    <n v="32"/>
    <n v="25"/>
    <n v="20"/>
    <n v="27.4"/>
    <n v="11"/>
    <n v="22.45"/>
    <x v="1"/>
  </r>
  <r>
    <x v="0"/>
    <s v="上川郡上川町"/>
    <x v="102"/>
    <x v="7"/>
    <n v="0"/>
    <n v="0"/>
    <n v="0"/>
    <n v="0"/>
    <n v="0"/>
    <n v="0"/>
    <x v="0"/>
  </r>
  <r>
    <x v="0"/>
    <s v="上川郡上川町"/>
    <x v="102"/>
    <x v="8"/>
    <n v="4"/>
    <n v="3.13"/>
    <n v="3"/>
    <n v="4.1100000000000003"/>
    <n v="1"/>
    <n v="2.04"/>
    <x v="0"/>
  </r>
  <r>
    <x v="0"/>
    <s v="上川郡上川町"/>
    <x v="102"/>
    <x v="9"/>
    <n v="4"/>
    <n v="3.13"/>
    <n v="2"/>
    <n v="2.74"/>
    <n v="1"/>
    <n v="2.04"/>
    <x v="1"/>
  </r>
  <r>
    <x v="0"/>
    <s v="上川郡上川町"/>
    <x v="102"/>
    <x v="10"/>
    <n v="28"/>
    <n v="21.88"/>
    <n v="22"/>
    <n v="30.14"/>
    <n v="6"/>
    <n v="12.24"/>
    <x v="0"/>
  </r>
  <r>
    <x v="0"/>
    <s v="上川郡上川町"/>
    <x v="102"/>
    <x v="11"/>
    <n v="14"/>
    <n v="10.94"/>
    <n v="11"/>
    <n v="15.07"/>
    <n v="2"/>
    <n v="4.08"/>
    <x v="0"/>
  </r>
  <r>
    <x v="0"/>
    <s v="上川郡上川町"/>
    <x v="102"/>
    <x v="12"/>
    <n v="4"/>
    <n v="3.13"/>
    <n v="2"/>
    <n v="2.74"/>
    <n v="0"/>
    <n v="0"/>
    <x v="0"/>
  </r>
  <r>
    <x v="0"/>
    <s v="上川郡上川町"/>
    <x v="102"/>
    <x v="13"/>
    <n v="9"/>
    <n v="7.03"/>
    <n v="4"/>
    <n v="5.48"/>
    <n v="4"/>
    <n v="8.16"/>
    <x v="0"/>
  </r>
  <r>
    <x v="0"/>
    <s v="上川郡上川町"/>
    <x v="102"/>
    <x v="14"/>
    <n v="7"/>
    <n v="5.47"/>
    <n v="2"/>
    <n v="2.74"/>
    <n v="5"/>
    <n v="10.199999999999999"/>
    <x v="0"/>
  </r>
  <r>
    <x v="0"/>
    <s v="上川郡東川町"/>
    <x v="103"/>
    <x v="0"/>
    <n v="0"/>
    <n v="0"/>
    <n v="0"/>
    <n v="0"/>
    <n v="0"/>
    <n v="0"/>
    <x v="0"/>
  </r>
  <r>
    <x v="0"/>
    <s v="上川郡東川町"/>
    <x v="103"/>
    <x v="1"/>
    <n v="15"/>
    <n v="9.68"/>
    <n v="1"/>
    <n v="1.22"/>
    <n v="14"/>
    <n v="20.59"/>
    <x v="0"/>
  </r>
  <r>
    <x v="0"/>
    <s v="上川郡東川町"/>
    <x v="103"/>
    <x v="2"/>
    <n v="36"/>
    <n v="23.23"/>
    <n v="19"/>
    <n v="23.17"/>
    <n v="17"/>
    <n v="25"/>
    <x v="0"/>
  </r>
  <r>
    <x v="0"/>
    <s v="上川郡東川町"/>
    <x v="103"/>
    <x v="3"/>
    <n v="0"/>
    <n v="0"/>
    <n v="0"/>
    <n v="0"/>
    <n v="0"/>
    <n v="0"/>
    <x v="0"/>
  </r>
  <r>
    <x v="0"/>
    <s v="上川郡東川町"/>
    <x v="103"/>
    <x v="4"/>
    <n v="2"/>
    <n v="1.29"/>
    <n v="0"/>
    <n v="0"/>
    <n v="2"/>
    <n v="2.94"/>
    <x v="0"/>
  </r>
  <r>
    <x v="0"/>
    <s v="上川郡東川町"/>
    <x v="103"/>
    <x v="5"/>
    <n v="0"/>
    <n v="0"/>
    <n v="0"/>
    <n v="0"/>
    <n v="0"/>
    <n v="0"/>
    <x v="0"/>
  </r>
  <r>
    <x v="0"/>
    <s v="上川郡東川町"/>
    <x v="103"/>
    <x v="6"/>
    <n v="44"/>
    <n v="28.39"/>
    <n v="25"/>
    <n v="30.49"/>
    <n v="19"/>
    <n v="27.94"/>
    <x v="0"/>
  </r>
  <r>
    <x v="0"/>
    <s v="上川郡東川町"/>
    <x v="103"/>
    <x v="7"/>
    <n v="0"/>
    <n v="0"/>
    <n v="0"/>
    <n v="0"/>
    <n v="0"/>
    <n v="0"/>
    <x v="0"/>
  </r>
  <r>
    <x v="0"/>
    <s v="上川郡東川町"/>
    <x v="103"/>
    <x v="8"/>
    <n v="3"/>
    <n v="1.94"/>
    <n v="1"/>
    <n v="1.22"/>
    <n v="2"/>
    <n v="2.94"/>
    <x v="0"/>
  </r>
  <r>
    <x v="0"/>
    <s v="上川郡東川町"/>
    <x v="103"/>
    <x v="9"/>
    <n v="6"/>
    <n v="3.87"/>
    <n v="4"/>
    <n v="4.88"/>
    <n v="2"/>
    <n v="2.94"/>
    <x v="0"/>
  </r>
  <r>
    <x v="0"/>
    <s v="上川郡東川町"/>
    <x v="103"/>
    <x v="10"/>
    <n v="20"/>
    <n v="12.9"/>
    <n v="13"/>
    <n v="15.85"/>
    <n v="7"/>
    <n v="10.29"/>
    <x v="0"/>
  </r>
  <r>
    <x v="0"/>
    <s v="上川郡東川町"/>
    <x v="103"/>
    <x v="11"/>
    <n v="13"/>
    <n v="8.39"/>
    <n v="11"/>
    <n v="13.41"/>
    <n v="0"/>
    <n v="0"/>
    <x v="0"/>
  </r>
  <r>
    <x v="0"/>
    <s v="上川郡東川町"/>
    <x v="103"/>
    <x v="12"/>
    <n v="3"/>
    <n v="1.94"/>
    <n v="3"/>
    <n v="3.66"/>
    <n v="0"/>
    <n v="0"/>
    <x v="0"/>
  </r>
  <r>
    <x v="0"/>
    <s v="上川郡東川町"/>
    <x v="103"/>
    <x v="13"/>
    <n v="6"/>
    <n v="3.87"/>
    <n v="3"/>
    <n v="3.66"/>
    <n v="3"/>
    <n v="4.41"/>
    <x v="0"/>
  </r>
  <r>
    <x v="0"/>
    <s v="上川郡東川町"/>
    <x v="103"/>
    <x v="14"/>
    <n v="7"/>
    <n v="4.5199999999999996"/>
    <n v="2"/>
    <n v="2.44"/>
    <n v="2"/>
    <n v="2.94"/>
    <x v="1"/>
  </r>
  <r>
    <x v="0"/>
    <s v="上川郡美瑛町"/>
    <x v="104"/>
    <x v="0"/>
    <n v="0"/>
    <n v="0"/>
    <n v="0"/>
    <n v="0"/>
    <n v="0"/>
    <n v="0"/>
    <x v="0"/>
  </r>
  <r>
    <x v="0"/>
    <s v="上川郡美瑛町"/>
    <x v="104"/>
    <x v="1"/>
    <n v="21"/>
    <n v="8.33"/>
    <n v="5"/>
    <n v="3.11"/>
    <n v="16"/>
    <n v="19.05"/>
    <x v="0"/>
  </r>
  <r>
    <x v="0"/>
    <s v="上川郡美瑛町"/>
    <x v="104"/>
    <x v="2"/>
    <n v="17"/>
    <n v="6.75"/>
    <n v="3"/>
    <n v="1.86"/>
    <n v="14"/>
    <n v="16.670000000000002"/>
    <x v="0"/>
  </r>
  <r>
    <x v="0"/>
    <s v="上川郡美瑛町"/>
    <x v="104"/>
    <x v="3"/>
    <n v="0"/>
    <n v="0"/>
    <n v="0"/>
    <n v="0"/>
    <n v="0"/>
    <n v="0"/>
    <x v="0"/>
  </r>
  <r>
    <x v="0"/>
    <s v="上川郡美瑛町"/>
    <x v="104"/>
    <x v="4"/>
    <n v="0"/>
    <n v="0"/>
    <n v="0"/>
    <n v="0"/>
    <n v="0"/>
    <n v="0"/>
    <x v="0"/>
  </r>
  <r>
    <x v="0"/>
    <s v="上川郡美瑛町"/>
    <x v="104"/>
    <x v="5"/>
    <n v="4"/>
    <n v="1.59"/>
    <n v="1"/>
    <n v="0.62"/>
    <n v="2"/>
    <n v="2.38"/>
    <x v="1"/>
  </r>
  <r>
    <x v="0"/>
    <s v="上川郡美瑛町"/>
    <x v="104"/>
    <x v="6"/>
    <n v="63"/>
    <n v="25"/>
    <n v="38"/>
    <n v="23.6"/>
    <n v="25"/>
    <n v="29.76"/>
    <x v="0"/>
  </r>
  <r>
    <x v="0"/>
    <s v="上川郡美瑛町"/>
    <x v="104"/>
    <x v="7"/>
    <n v="0"/>
    <n v="0"/>
    <n v="0"/>
    <n v="0"/>
    <n v="0"/>
    <n v="0"/>
    <x v="0"/>
  </r>
  <r>
    <x v="0"/>
    <s v="上川郡美瑛町"/>
    <x v="104"/>
    <x v="8"/>
    <n v="10"/>
    <n v="3.97"/>
    <n v="6"/>
    <n v="3.73"/>
    <n v="4"/>
    <n v="4.76"/>
    <x v="0"/>
  </r>
  <r>
    <x v="0"/>
    <s v="上川郡美瑛町"/>
    <x v="104"/>
    <x v="9"/>
    <n v="8"/>
    <n v="3.17"/>
    <n v="6"/>
    <n v="3.73"/>
    <n v="2"/>
    <n v="2.38"/>
    <x v="0"/>
  </r>
  <r>
    <x v="0"/>
    <s v="上川郡美瑛町"/>
    <x v="104"/>
    <x v="10"/>
    <n v="74"/>
    <n v="29.37"/>
    <n v="63"/>
    <n v="39.130000000000003"/>
    <n v="11"/>
    <n v="13.1"/>
    <x v="0"/>
  </r>
  <r>
    <x v="0"/>
    <s v="上川郡美瑛町"/>
    <x v="104"/>
    <x v="11"/>
    <n v="30"/>
    <n v="11.9"/>
    <n v="26"/>
    <n v="16.149999999999999"/>
    <n v="3"/>
    <n v="3.57"/>
    <x v="0"/>
  </r>
  <r>
    <x v="0"/>
    <s v="上川郡美瑛町"/>
    <x v="104"/>
    <x v="12"/>
    <n v="9"/>
    <n v="3.57"/>
    <n v="6"/>
    <n v="3.73"/>
    <n v="0"/>
    <n v="0"/>
    <x v="0"/>
  </r>
  <r>
    <x v="0"/>
    <s v="上川郡美瑛町"/>
    <x v="104"/>
    <x v="13"/>
    <n v="9"/>
    <n v="3.57"/>
    <n v="5"/>
    <n v="3.11"/>
    <n v="4"/>
    <n v="4.76"/>
    <x v="0"/>
  </r>
  <r>
    <x v="0"/>
    <s v="上川郡美瑛町"/>
    <x v="104"/>
    <x v="14"/>
    <n v="7"/>
    <n v="2.78"/>
    <n v="2"/>
    <n v="1.24"/>
    <n v="3"/>
    <n v="3.57"/>
    <x v="1"/>
  </r>
  <r>
    <x v="0"/>
    <s v="空知郡上富良野町"/>
    <x v="105"/>
    <x v="0"/>
    <n v="0"/>
    <n v="0"/>
    <n v="0"/>
    <n v="0"/>
    <n v="0"/>
    <n v="0"/>
    <x v="0"/>
  </r>
  <r>
    <x v="0"/>
    <s v="空知郡上富良野町"/>
    <x v="105"/>
    <x v="1"/>
    <n v="16"/>
    <n v="5.69"/>
    <n v="4"/>
    <n v="2.0499999999999998"/>
    <n v="12"/>
    <n v="14.81"/>
    <x v="0"/>
  </r>
  <r>
    <x v="0"/>
    <s v="空知郡上富良野町"/>
    <x v="105"/>
    <x v="2"/>
    <n v="8"/>
    <n v="2.85"/>
    <n v="3"/>
    <n v="1.54"/>
    <n v="5"/>
    <n v="6.17"/>
    <x v="0"/>
  </r>
  <r>
    <x v="0"/>
    <s v="空知郡上富良野町"/>
    <x v="105"/>
    <x v="3"/>
    <n v="2"/>
    <n v="0.71"/>
    <n v="0"/>
    <n v="0"/>
    <n v="1"/>
    <n v="1.23"/>
    <x v="0"/>
  </r>
  <r>
    <x v="0"/>
    <s v="空知郡上富良野町"/>
    <x v="105"/>
    <x v="4"/>
    <n v="1"/>
    <n v="0.36"/>
    <n v="0"/>
    <n v="0"/>
    <n v="1"/>
    <n v="1.23"/>
    <x v="0"/>
  </r>
  <r>
    <x v="0"/>
    <s v="空知郡上富良野町"/>
    <x v="105"/>
    <x v="5"/>
    <n v="5"/>
    <n v="1.78"/>
    <n v="2"/>
    <n v="1.03"/>
    <n v="3"/>
    <n v="3.7"/>
    <x v="0"/>
  </r>
  <r>
    <x v="0"/>
    <s v="空知郡上富良野町"/>
    <x v="105"/>
    <x v="6"/>
    <n v="65"/>
    <n v="23.13"/>
    <n v="34"/>
    <n v="17.440000000000001"/>
    <n v="31"/>
    <n v="38.270000000000003"/>
    <x v="0"/>
  </r>
  <r>
    <x v="0"/>
    <s v="空知郡上富良野町"/>
    <x v="105"/>
    <x v="7"/>
    <n v="0"/>
    <n v="0"/>
    <n v="0"/>
    <n v="0"/>
    <n v="0"/>
    <n v="0"/>
    <x v="0"/>
  </r>
  <r>
    <x v="0"/>
    <s v="空知郡上富良野町"/>
    <x v="105"/>
    <x v="8"/>
    <n v="42"/>
    <n v="14.95"/>
    <n v="37"/>
    <n v="18.97"/>
    <n v="5"/>
    <n v="6.17"/>
    <x v="0"/>
  </r>
  <r>
    <x v="0"/>
    <s v="空知郡上富良野町"/>
    <x v="105"/>
    <x v="9"/>
    <n v="8"/>
    <n v="2.85"/>
    <n v="6"/>
    <n v="3.08"/>
    <n v="2"/>
    <n v="2.4700000000000002"/>
    <x v="0"/>
  </r>
  <r>
    <x v="0"/>
    <s v="空知郡上富良野町"/>
    <x v="105"/>
    <x v="10"/>
    <n v="74"/>
    <n v="26.33"/>
    <n v="65"/>
    <n v="33.33"/>
    <n v="9"/>
    <n v="11.11"/>
    <x v="0"/>
  </r>
  <r>
    <x v="0"/>
    <s v="空知郡上富良野町"/>
    <x v="105"/>
    <x v="11"/>
    <n v="31"/>
    <n v="11.03"/>
    <n v="27"/>
    <n v="13.85"/>
    <n v="4"/>
    <n v="4.9400000000000004"/>
    <x v="0"/>
  </r>
  <r>
    <x v="0"/>
    <s v="空知郡上富良野町"/>
    <x v="105"/>
    <x v="12"/>
    <n v="6"/>
    <n v="2.14"/>
    <n v="3"/>
    <n v="1.54"/>
    <n v="1"/>
    <n v="1.23"/>
    <x v="0"/>
  </r>
  <r>
    <x v="0"/>
    <s v="空知郡上富良野町"/>
    <x v="105"/>
    <x v="13"/>
    <n v="15"/>
    <n v="5.34"/>
    <n v="9"/>
    <n v="4.62"/>
    <n v="4"/>
    <n v="4.9400000000000004"/>
    <x v="0"/>
  </r>
  <r>
    <x v="0"/>
    <s v="空知郡上富良野町"/>
    <x v="105"/>
    <x v="14"/>
    <n v="8"/>
    <n v="2.85"/>
    <n v="5"/>
    <n v="2.56"/>
    <n v="3"/>
    <n v="3.7"/>
    <x v="0"/>
  </r>
  <r>
    <x v="0"/>
    <s v="空知郡中富良野町"/>
    <x v="106"/>
    <x v="0"/>
    <n v="0"/>
    <n v="0"/>
    <n v="0"/>
    <n v="0"/>
    <n v="0"/>
    <n v="0"/>
    <x v="0"/>
  </r>
  <r>
    <x v="0"/>
    <s v="空知郡中富良野町"/>
    <x v="106"/>
    <x v="1"/>
    <n v="9"/>
    <n v="8.49"/>
    <n v="3"/>
    <n v="4.1100000000000003"/>
    <n v="6"/>
    <n v="20"/>
    <x v="0"/>
  </r>
  <r>
    <x v="0"/>
    <s v="空知郡中富良野町"/>
    <x v="106"/>
    <x v="2"/>
    <n v="4"/>
    <n v="3.77"/>
    <n v="2"/>
    <n v="2.74"/>
    <n v="2"/>
    <n v="6.67"/>
    <x v="0"/>
  </r>
  <r>
    <x v="0"/>
    <s v="空知郡中富良野町"/>
    <x v="106"/>
    <x v="3"/>
    <n v="1"/>
    <n v="0.94"/>
    <n v="0"/>
    <n v="0"/>
    <n v="0"/>
    <n v="0"/>
    <x v="0"/>
  </r>
  <r>
    <x v="0"/>
    <s v="空知郡中富良野町"/>
    <x v="106"/>
    <x v="4"/>
    <n v="1"/>
    <n v="0.94"/>
    <n v="0"/>
    <n v="0"/>
    <n v="1"/>
    <n v="3.33"/>
    <x v="0"/>
  </r>
  <r>
    <x v="0"/>
    <s v="空知郡中富良野町"/>
    <x v="106"/>
    <x v="5"/>
    <n v="0"/>
    <n v="0"/>
    <n v="0"/>
    <n v="0"/>
    <n v="0"/>
    <n v="0"/>
    <x v="0"/>
  </r>
  <r>
    <x v="0"/>
    <s v="空知郡中富良野町"/>
    <x v="106"/>
    <x v="6"/>
    <n v="24"/>
    <n v="22.64"/>
    <n v="16"/>
    <n v="21.92"/>
    <n v="8"/>
    <n v="26.67"/>
    <x v="0"/>
  </r>
  <r>
    <x v="0"/>
    <s v="空知郡中富良野町"/>
    <x v="106"/>
    <x v="7"/>
    <n v="0"/>
    <n v="0"/>
    <n v="0"/>
    <n v="0"/>
    <n v="0"/>
    <n v="0"/>
    <x v="0"/>
  </r>
  <r>
    <x v="0"/>
    <s v="空知郡中富良野町"/>
    <x v="106"/>
    <x v="8"/>
    <n v="4"/>
    <n v="3.77"/>
    <n v="2"/>
    <n v="2.74"/>
    <n v="2"/>
    <n v="6.67"/>
    <x v="0"/>
  </r>
  <r>
    <x v="0"/>
    <s v="空知郡中富良野町"/>
    <x v="106"/>
    <x v="9"/>
    <n v="0"/>
    <n v="0"/>
    <n v="0"/>
    <n v="0"/>
    <n v="0"/>
    <n v="0"/>
    <x v="0"/>
  </r>
  <r>
    <x v="0"/>
    <s v="空知郡中富良野町"/>
    <x v="106"/>
    <x v="10"/>
    <n v="42"/>
    <n v="39.619999999999997"/>
    <n v="34"/>
    <n v="46.58"/>
    <n v="8"/>
    <n v="26.67"/>
    <x v="0"/>
  </r>
  <r>
    <x v="0"/>
    <s v="空知郡中富良野町"/>
    <x v="106"/>
    <x v="11"/>
    <n v="10"/>
    <n v="9.43"/>
    <n v="9"/>
    <n v="12.33"/>
    <n v="0"/>
    <n v="0"/>
    <x v="0"/>
  </r>
  <r>
    <x v="0"/>
    <s v="空知郡中富良野町"/>
    <x v="106"/>
    <x v="12"/>
    <n v="5"/>
    <n v="4.72"/>
    <n v="3"/>
    <n v="4.1100000000000003"/>
    <n v="1"/>
    <n v="3.33"/>
    <x v="0"/>
  </r>
  <r>
    <x v="0"/>
    <s v="空知郡中富良野町"/>
    <x v="106"/>
    <x v="13"/>
    <n v="2"/>
    <n v="1.89"/>
    <n v="2"/>
    <n v="2.74"/>
    <n v="0"/>
    <n v="0"/>
    <x v="0"/>
  </r>
  <r>
    <x v="0"/>
    <s v="空知郡中富良野町"/>
    <x v="106"/>
    <x v="14"/>
    <n v="4"/>
    <n v="3.77"/>
    <n v="2"/>
    <n v="2.74"/>
    <n v="2"/>
    <n v="6.67"/>
    <x v="0"/>
  </r>
  <r>
    <x v="0"/>
    <s v="空知郡南富良野町"/>
    <x v="107"/>
    <x v="0"/>
    <n v="1"/>
    <n v="1.37"/>
    <n v="0"/>
    <n v="0"/>
    <n v="1"/>
    <n v="3.33"/>
    <x v="0"/>
  </r>
  <r>
    <x v="0"/>
    <s v="空知郡南富良野町"/>
    <x v="107"/>
    <x v="1"/>
    <n v="9"/>
    <n v="12.33"/>
    <n v="2"/>
    <n v="5.41"/>
    <n v="7"/>
    <n v="23.33"/>
    <x v="0"/>
  </r>
  <r>
    <x v="0"/>
    <s v="空知郡南富良野町"/>
    <x v="107"/>
    <x v="2"/>
    <n v="6"/>
    <n v="8.2200000000000006"/>
    <n v="3"/>
    <n v="8.11"/>
    <n v="3"/>
    <n v="10"/>
    <x v="0"/>
  </r>
  <r>
    <x v="0"/>
    <s v="空知郡南富良野町"/>
    <x v="107"/>
    <x v="3"/>
    <n v="3"/>
    <n v="4.1100000000000003"/>
    <n v="0"/>
    <n v="0"/>
    <n v="1"/>
    <n v="3.33"/>
    <x v="0"/>
  </r>
  <r>
    <x v="0"/>
    <s v="空知郡南富良野町"/>
    <x v="107"/>
    <x v="4"/>
    <n v="0"/>
    <n v="0"/>
    <n v="0"/>
    <n v="0"/>
    <n v="0"/>
    <n v="0"/>
    <x v="0"/>
  </r>
  <r>
    <x v="0"/>
    <s v="空知郡南富良野町"/>
    <x v="107"/>
    <x v="5"/>
    <n v="4"/>
    <n v="5.48"/>
    <n v="2"/>
    <n v="5.41"/>
    <n v="2"/>
    <n v="6.67"/>
    <x v="0"/>
  </r>
  <r>
    <x v="0"/>
    <s v="空知郡南富良野町"/>
    <x v="107"/>
    <x v="6"/>
    <n v="11"/>
    <n v="15.07"/>
    <n v="5"/>
    <n v="13.51"/>
    <n v="6"/>
    <n v="20"/>
    <x v="0"/>
  </r>
  <r>
    <x v="0"/>
    <s v="空知郡南富良野町"/>
    <x v="107"/>
    <x v="7"/>
    <n v="0"/>
    <n v="0"/>
    <n v="0"/>
    <n v="0"/>
    <n v="0"/>
    <n v="0"/>
    <x v="0"/>
  </r>
  <r>
    <x v="0"/>
    <s v="空知郡南富良野町"/>
    <x v="107"/>
    <x v="8"/>
    <n v="2"/>
    <n v="2.74"/>
    <n v="0"/>
    <n v="0"/>
    <n v="2"/>
    <n v="6.67"/>
    <x v="0"/>
  </r>
  <r>
    <x v="0"/>
    <s v="空知郡南富良野町"/>
    <x v="107"/>
    <x v="9"/>
    <n v="1"/>
    <n v="1.37"/>
    <n v="1"/>
    <n v="2.7"/>
    <n v="0"/>
    <n v="0"/>
    <x v="0"/>
  </r>
  <r>
    <x v="0"/>
    <s v="空知郡南富良野町"/>
    <x v="107"/>
    <x v="10"/>
    <n v="20"/>
    <n v="27.4"/>
    <n v="16"/>
    <n v="43.24"/>
    <n v="3"/>
    <n v="10"/>
    <x v="1"/>
  </r>
  <r>
    <x v="0"/>
    <s v="空知郡南富良野町"/>
    <x v="107"/>
    <x v="11"/>
    <n v="9"/>
    <n v="12.33"/>
    <n v="6"/>
    <n v="16.22"/>
    <n v="1"/>
    <n v="3.33"/>
    <x v="0"/>
  </r>
  <r>
    <x v="0"/>
    <s v="空知郡南富良野町"/>
    <x v="107"/>
    <x v="12"/>
    <n v="0"/>
    <n v="0"/>
    <n v="0"/>
    <n v="0"/>
    <n v="0"/>
    <n v="0"/>
    <x v="0"/>
  </r>
  <r>
    <x v="0"/>
    <s v="空知郡南富良野町"/>
    <x v="107"/>
    <x v="13"/>
    <n v="3"/>
    <n v="4.1100000000000003"/>
    <n v="2"/>
    <n v="5.41"/>
    <n v="1"/>
    <n v="3.33"/>
    <x v="0"/>
  </r>
  <r>
    <x v="0"/>
    <s v="空知郡南富良野町"/>
    <x v="107"/>
    <x v="14"/>
    <n v="4"/>
    <n v="5.48"/>
    <n v="0"/>
    <n v="0"/>
    <n v="3"/>
    <n v="10"/>
    <x v="1"/>
  </r>
  <r>
    <x v="0"/>
    <s v="勇払郡占冠村"/>
    <x v="108"/>
    <x v="0"/>
    <n v="0"/>
    <n v="0"/>
    <n v="0"/>
    <n v="0"/>
    <n v="0"/>
    <n v="0"/>
    <x v="0"/>
  </r>
  <r>
    <x v="0"/>
    <s v="勇払郡占冠村"/>
    <x v="108"/>
    <x v="1"/>
    <n v="2"/>
    <n v="3.64"/>
    <n v="1"/>
    <n v="4.3499999999999996"/>
    <n v="1"/>
    <n v="4.55"/>
    <x v="0"/>
  </r>
  <r>
    <x v="0"/>
    <s v="勇払郡占冠村"/>
    <x v="108"/>
    <x v="2"/>
    <n v="4"/>
    <n v="7.27"/>
    <n v="1"/>
    <n v="4.3499999999999996"/>
    <n v="3"/>
    <n v="13.64"/>
    <x v="0"/>
  </r>
  <r>
    <x v="0"/>
    <s v="勇払郡占冠村"/>
    <x v="108"/>
    <x v="3"/>
    <n v="2"/>
    <n v="3.64"/>
    <n v="0"/>
    <n v="0"/>
    <n v="0"/>
    <n v="0"/>
    <x v="0"/>
  </r>
  <r>
    <x v="0"/>
    <s v="勇払郡占冠村"/>
    <x v="108"/>
    <x v="4"/>
    <n v="0"/>
    <n v="0"/>
    <n v="0"/>
    <n v="0"/>
    <n v="0"/>
    <n v="0"/>
    <x v="0"/>
  </r>
  <r>
    <x v="0"/>
    <s v="勇払郡占冠村"/>
    <x v="108"/>
    <x v="5"/>
    <n v="1"/>
    <n v="1.82"/>
    <n v="1"/>
    <n v="4.3499999999999996"/>
    <n v="0"/>
    <n v="0"/>
    <x v="0"/>
  </r>
  <r>
    <x v="0"/>
    <s v="勇払郡占冠村"/>
    <x v="108"/>
    <x v="6"/>
    <n v="8"/>
    <n v="14.55"/>
    <n v="4"/>
    <n v="17.39"/>
    <n v="4"/>
    <n v="18.18"/>
    <x v="0"/>
  </r>
  <r>
    <x v="0"/>
    <s v="勇払郡占冠村"/>
    <x v="108"/>
    <x v="7"/>
    <n v="1"/>
    <n v="1.82"/>
    <n v="0"/>
    <n v="0"/>
    <n v="1"/>
    <n v="4.55"/>
    <x v="0"/>
  </r>
  <r>
    <x v="0"/>
    <s v="勇払郡占冠村"/>
    <x v="108"/>
    <x v="8"/>
    <n v="2"/>
    <n v="3.64"/>
    <n v="0"/>
    <n v="0"/>
    <n v="1"/>
    <n v="4.55"/>
    <x v="0"/>
  </r>
  <r>
    <x v="0"/>
    <s v="勇払郡占冠村"/>
    <x v="108"/>
    <x v="9"/>
    <n v="2"/>
    <n v="3.64"/>
    <n v="1"/>
    <n v="4.3499999999999996"/>
    <n v="1"/>
    <n v="4.55"/>
    <x v="0"/>
  </r>
  <r>
    <x v="0"/>
    <s v="勇払郡占冠村"/>
    <x v="108"/>
    <x v="10"/>
    <n v="16"/>
    <n v="29.09"/>
    <n v="7"/>
    <n v="30.43"/>
    <n v="9"/>
    <n v="40.909999999999997"/>
    <x v="0"/>
  </r>
  <r>
    <x v="0"/>
    <s v="勇払郡占冠村"/>
    <x v="108"/>
    <x v="11"/>
    <n v="5"/>
    <n v="9.09"/>
    <n v="5"/>
    <n v="21.74"/>
    <n v="0"/>
    <n v="0"/>
    <x v="0"/>
  </r>
  <r>
    <x v="0"/>
    <s v="勇払郡占冠村"/>
    <x v="108"/>
    <x v="12"/>
    <n v="2"/>
    <n v="3.64"/>
    <n v="0"/>
    <n v="0"/>
    <n v="0"/>
    <n v="0"/>
    <x v="0"/>
  </r>
  <r>
    <x v="0"/>
    <s v="勇払郡占冠村"/>
    <x v="108"/>
    <x v="13"/>
    <n v="6"/>
    <n v="10.91"/>
    <n v="1"/>
    <n v="4.3499999999999996"/>
    <n v="0"/>
    <n v="0"/>
    <x v="0"/>
  </r>
  <r>
    <x v="0"/>
    <s v="勇払郡占冠村"/>
    <x v="108"/>
    <x v="14"/>
    <n v="4"/>
    <n v="7.27"/>
    <n v="2"/>
    <n v="8.6999999999999993"/>
    <n v="2"/>
    <n v="9.09"/>
    <x v="0"/>
  </r>
  <r>
    <x v="0"/>
    <s v="上川郡和寒町"/>
    <x v="109"/>
    <x v="0"/>
    <n v="0"/>
    <n v="0"/>
    <n v="0"/>
    <n v="0"/>
    <n v="0"/>
    <n v="0"/>
    <x v="0"/>
  </r>
  <r>
    <x v="0"/>
    <s v="上川郡和寒町"/>
    <x v="109"/>
    <x v="1"/>
    <n v="5"/>
    <n v="5.15"/>
    <n v="2"/>
    <n v="3.45"/>
    <n v="3"/>
    <n v="9.09"/>
    <x v="0"/>
  </r>
  <r>
    <x v="0"/>
    <s v="上川郡和寒町"/>
    <x v="109"/>
    <x v="2"/>
    <n v="6"/>
    <n v="6.19"/>
    <n v="2"/>
    <n v="3.45"/>
    <n v="4"/>
    <n v="12.12"/>
    <x v="0"/>
  </r>
  <r>
    <x v="0"/>
    <s v="上川郡和寒町"/>
    <x v="109"/>
    <x v="3"/>
    <n v="1"/>
    <n v="1.03"/>
    <n v="0"/>
    <n v="0"/>
    <n v="0"/>
    <n v="0"/>
    <x v="0"/>
  </r>
  <r>
    <x v="0"/>
    <s v="上川郡和寒町"/>
    <x v="109"/>
    <x v="4"/>
    <n v="2"/>
    <n v="2.06"/>
    <n v="1"/>
    <n v="1.72"/>
    <n v="1"/>
    <n v="3.03"/>
    <x v="0"/>
  </r>
  <r>
    <x v="0"/>
    <s v="上川郡和寒町"/>
    <x v="109"/>
    <x v="5"/>
    <n v="3"/>
    <n v="3.09"/>
    <n v="1"/>
    <n v="1.72"/>
    <n v="1"/>
    <n v="3.03"/>
    <x v="0"/>
  </r>
  <r>
    <x v="0"/>
    <s v="上川郡和寒町"/>
    <x v="109"/>
    <x v="6"/>
    <n v="33"/>
    <n v="34.020000000000003"/>
    <n v="19"/>
    <n v="32.76"/>
    <n v="14"/>
    <n v="42.42"/>
    <x v="0"/>
  </r>
  <r>
    <x v="0"/>
    <s v="上川郡和寒町"/>
    <x v="109"/>
    <x v="7"/>
    <n v="0"/>
    <n v="0"/>
    <n v="0"/>
    <n v="0"/>
    <n v="0"/>
    <n v="0"/>
    <x v="0"/>
  </r>
  <r>
    <x v="0"/>
    <s v="上川郡和寒町"/>
    <x v="109"/>
    <x v="8"/>
    <n v="0"/>
    <n v="0"/>
    <n v="0"/>
    <n v="0"/>
    <n v="0"/>
    <n v="0"/>
    <x v="0"/>
  </r>
  <r>
    <x v="0"/>
    <s v="上川郡和寒町"/>
    <x v="109"/>
    <x v="9"/>
    <n v="4"/>
    <n v="4.12"/>
    <n v="2"/>
    <n v="3.45"/>
    <n v="1"/>
    <n v="3.03"/>
    <x v="0"/>
  </r>
  <r>
    <x v="0"/>
    <s v="上川郡和寒町"/>
    <x v="109"/>
    <x v="10"/>
    <n v="15"/>
    <n v="15.46"/>
    <n v="11"/>
    <n v="18.97"/>
    <n v="4"/>
    <n v="12.12"/>
    <x v="0"/>
  </r>
  <r>
    <x v="0"/>
    <s v="上川郡和寒町"/>
    <x v="109"/>
    <x v="11"/>
    <n v="13"/>
    <n v="13.4"/>
    <n v="12"/>
    <n v="20.69"/>
    <n v="1"/>
    <n v="3.03"/>
    <x v="0"/>
  </r>
  <r>
    <x v="0"/>
    <s v="上川郡和寒町"/>
    <x v="109"/>
    <x v="12"/>
    <n v="4"/>
    <n v="4.12"/>
    <n v="2"/>
    <n v="3.45"/>
    <n v="0"/>
    <n v="0"/>
    <x v="0"/>
  </r>
  <r>
    <x v="0"/>
    <s v="上川郡和寒町"/>
    <x v="109"/>
    <x v="13"/>
    <n v="5"/>
    <n v="5.15"/>
    <n v="4"/>
    <n v="6.9"/>
    <n v="0"/>
    <n v="0"/>
    <x v="0"/>
  </r>
  <r>
    <x v="0"/>
    <s v="上川郡和寒町"/>
    <x v="109"/>
    <x v="14"/>
    <n v="6"/>
    <n v="6.19"/>
    <n v="2"/>
    <n v="3.45"/>
    <n v="4"/>
    <n v="12.12"/>
    <x v="0"/>
  </r>
  <r>
    <x v="0"/>
    <s v="上川郡剣淵町"/>
    <x v="110"/>
    <x v="0"/>
    <n v="0"/>
    <n v="0"/>
    <n v="0"/>
    <n v="0"/>
    <n v="0"/>
    <n v="0"/>
    <x v="0"/>
  </r>
  <r>
    <x v="0"/>
    <s v="上川郡剣淵町"/>
    <x v="110"/>
    <x v="1"/>
    <n v="10"/>
    <n v="12.66"/>
    <n v="4"/>
    <n v="8.51"/>
    <n v="6"/>
    <n v="27.27"/>
    <x v="0"/>
  </r>
  <r>
    <x v="0"/>
    <s v="上川郡剣淵町"/>
    <x v="110"/>
    <x v="2"/>
    <n v="5"/>
    <n v="6.33"/>
    <n v="3"/>
    <n v="6.38"/>
    <n v="1"/>
    <n v="4.55"/>
    <x v="1"/>
  </r>
  <r>
    <x v="0"/>
    <s v="上川郡剣淵町"/>
    <x v="110"/>
    <x v="3"/>
    <n v="3"/>
    <n v="3.8"/>
    <n v="0"/>
    <n v="0"/>
    <n v="0"/>
    <n v="0"/>
    <x v="0"/>
  </r>
  <r>
    <x v="0"/>
    <s v="上川郡剣淵町"/>
    <x v="110"/>
    <x v="4"/>
    <n v="1"/>
    <n v="1.27"/>
    <n v="1"/>
    <n v="2.13"/>
    <n v="0"/>
    <n v="0"/>
    <x v="0"/>
  </r>
  <r>
    <x v="0"/>
    <s v="上川郡剣淵町"/>
    <x v="110"/>
    <x v="5"/>
    <n v="2"/>
    <n v="2.5299999999999998"/>
    <n v="0"/>
    <n v="0"/>
    <n v="1"/>
    <n v="4.55"/>
    <x v="1"/>
  </r>
  <r>
    <x v="0"/>
    <s v="上川郡剣淵町"/>
    <x v="110"/>
    <x v="6"/>
    <n v="26"/>
    <n v="32.909999999999997"/>
    <n v="15"/>
    <n v="31.91"/>
    <n v="11"/>
    <n v="50"/>
    <x v="0"/>
  </r>
  <r>
    <x v="0"/>
    <s v="上川郡剣淵町"/>
    <x v="110"/>
    <x v="7"/>
    <n v="0"/>
    <n v="0"/>
    <n v="0"/>
    <n v="0"/>
    <n v="0"/>
    <n v="0"/>
    <x v="0"/>
  </r>
  <r>
    <x v="0"/>
    <s v="上川郡剣淵町"/>
    <x v="110"/>
    <x v="8"/>
    <n v="2"/>
    <n v="2.5299999999999998"/>
    <n v="2"/>
    <n v="4.26"/>
    <n v="0"/>
    <n v="0"/>
    <x v="0"/>
  </r>
  <r>
    <x v="0"/>
    <s v="上川郡剣淵町"/>
    <x v="110"/>
    <x v="9"/>
    <n v="2"/>
    <n v="2.5299999999999998"/>
    <n v="1"/>
    <n v="2.13"/>
    <n v="0"/>
    <n v="0"/>
    <x v="0"/>
  </r>
  <r>
    <x v="0"/>
    <s v="上川郡剣淵町"/>
    <x v="110"/>
    <x v="10"/>
    <n v="12"/>
    <n v="15.19"/>
    <n v="10"/>
    <n v="21.28"/>
    <n v="1"/>
    <n v="4.55"/>
    <x v="0"/>
  </r>
  <r>
    <x v="0"/>
    <s v="上川郡剣淵町"/>
    <x v="110"/>
    <x v="11"/>
    <n v="5"/>
    <n v="6.33"/>
    <n v="4"/>
    <n v="8.51"/>
    <n v="1"/>
    <n v="4.55"/>
    <x v="0"/>
  </r>
  <r>
    <x v="0"/>
    <s v="上川郡剣淵町"/>
    <x v="110"/>
    <x v="12"/>
    <n v="3"/>
    <n v="3.8"/>
    <n v="3"/>
    <n v="6.38"/>
    <n v="0"/>
    <n v="0"/>
    <x v="0"/>
  </r>
  <r>
    <x v="0"/>
    <s v="上川郡剣淵町"/>
    <x v="110"/>
    <x v="13"/>
    <n v="5"/>
    <n v="6.33"/>
    <n v="3"/>
    <n v="6.38"/>
    <n v="1"/>
    <n v="4.55"/>
    <x v="0"/>
  </r>
  <r>
    <x v="0"/>
    <s v="上川郡剣淵町"/>
    <x v="110"/>
    <x v="14"/>
    <n v="3"/>
    <n v="3.8"/>
    <n v="1"/>
    <n v="2.13"/>
    <n v="0"/>
    <n v="0"/>
    <x v="1"/>
  </r>
  <r>
    <x v="0"/>
    <s v="上川郡下川町"/>
    <x v="111"/>
    <x v="0"/>
    <n v="0"/>
    <n v="0"/>
    <n v="0"/>
    <n v="0"/>
    <n v="0"/>
    <n v="0"/>
    <x v="0"/>
  </r>
  <r>
    <x v="0"/>
    <s v="上川郡下川町"/>
    <x v="111"/>
    <x v="1"/>
    <n v="15"/>
    <n v="11.63"/>
    <n v="2"/>
    <n v="3.08"/>
    <n v="13"/>
    <n v="22.81"/>
    <x v="0"/>
  </r>
  <r>
    <x v="0"/>
    <s v="上川郡下川町"/>
    <x v="111"/>
    <x v="2"/>
    <n v="20"/>
    <n v="15.5"/>
    <n v="8"/>
    <n v="12.31"/>
    <n v="12"/>
    <n v="21.05"/>
    <x v="0"/>
  </r>
  <r>
    <x v="0"/>
    <s v="上川郡下川町"/>
    <x v="111"/>
    <x v="3"/>
    <n v="3"/>
    <n v="2.33"/>
    <n v="0"/>
    <n v="0"/>
    <n v="3"/>
    <n v="5.26"/>
    <x v="0"/>
  </r>
  <r>
    <x v="0"/>
    <s v="上川郡下川町"/>
    <x v="111"/>
    <x v="4"/>
    <n v="2"/>
    <n v="1.55"/>
    <n v="1"/>
    <n v="1.54"/>
    <n v="1"/>
    <n v="1.75"/>
    <x v="0"/>
  </r>
  <r>
    <x v="0"/>
    <s v="上川郡下川町"/>
    <x v="111"/>
    <x v="5"/>
    <n v="2"/>
    <n v="1.55"/>
    <n v="0"/>
    <n v="0"/>
    <n v="2"/>
    <n v="3.51"/>
    <x v="0"/>
  </r>
  <r>
    <x v="0"/>
    <s v="上川郡下川町"/>
    <x v="111"/>
    <x v="6"/>
    <n v="24"/>
    <n v="18.600000000000001"/>
    <n v="13"/>
    <n v="20"/>
    <n v="11"/>
    <n v="19.3"/>
    <x v="0"/>
  </r>
  <r>
    <x v="0"/>
    <s v="上川郡下川町"/>
    <x v="111"/>
    <x v="7"/>
    <n v="0"/>
    <n v="0"/>
    <n v="0"/>
    <n v="0"/>
    <n v="0"/>
    <n v="0"/>
    <x v="0"/>
  </r>
  <r>
    <x v="0"/>
    <s v="上川郡下川町"/>
    <x v="111"/>
    <x v="8"/>
    <n v="4"/>
    <n v="3.1"/>
    <n v="2"/>
    <n v="3.08"/>
    <n v="2"/>
    <n v="3.51"/>
    <x v="0"/>
  </r>
  <r>
    <x v="0"/>
    <s v="上川郡下川町"/>
    <x v="111"/>
    <x v="9"/>
    <n v="4"/>
    <n v="3.1"/>
    <n v="1"/>
    <n v="1.54"/>
    <n v="2"/>
    <n v="3.51"/>
    <x v="0"/>
  </r>
  <r>
    <x v="0"/>
    <s v="上川郡下川町"/>
    <x v="111"/>
    <x v="10"/>
    <n v="20"/>
    <n v="15.5"/>
    <n v="18"/>
    <n v="27.69"/>
    <n v="2"/>
    <n v="3.51"/>
    <x v="0"/>
  </r>
  <r>
    <x v="0"/>
    <s v="上川郡下川町"/>
    <x v="111"/>
    <x v="11"/>
    <n v="19"/>
    <n v="14.73"/>
    <n v="11"/>
    <n v="16.920000000000002"/>
    <n v="8"/>
    <n v="14.04"/>
    <x v="0"/>
  </r>
  <r>
    <x v="0"/>
    <s v="上川郡下川町"/>
    <x v="111"/>
    <x v="12"/>
    <n v="5"/>
    <n v="3.88"/>
    <n v="3"/>
    <n v="4.62"/>
    <n v="0"/>
    <n v="0"/>
    <x v="0"/>
  </r>
  <r>
    <x v="0"/>
    <s v="上川郡下川町"/>
    <x v="111"/>
    <x v="13"/>
    <n v="6"/>
    <n v="4.6500000000000004"/>
    <n v="3"/>
    <n v="4.62"/>
    <n v="0"/>
    <n v="0"/>
    <x v="0"/>
  </r>
  <r>
    <x v="0"/>
    <s v="上川郡下川町"/>
    <x v="111"/>
    <x v="14"/>
    <n v="5"/>
    <n v="3.88"/>
    <n v="3"/>
    <n v="4.62"/>
    <n v="1"/>
    <n v="1.75"/>
    <x v="0"/>
  </r>
  <r>
    <x v="0"/>
    <s v="中川郡美深町"/>
    <x v="112"/>
    <x v="0"/>
    <n v="0"/>
    <n v="0"/>
    <n v="0"/>
    <n v="0"/>
    <n v="0"/>
    <n v="0"/>
    <x v="0"/>
  </r>
  <r>
    <x v="0"/>
    <s v="中川郡美深町"/>
    <x v="112"/>
    <x v="1"/>
    <n v="20"/>
    <n v="14.18"/>
    <n v="4"/>
    <n v="5.0599999999999996"/>
    <n v="16"/>
    <n v="28.07"/>
    <x v="0"/>
  </r>
  <r>
    <x v="0"/>
    <s v="中川郡美深町"/>
    <x v="112"/>
    <x v="2"/>
    <n v="19"/>
    <n v="13.48"/>
    <n v="7"/>
    <n v="8.86"/>
    <n v="12"/>
    <n v="21.05"/>
    <x v="0"/>
  </r>
  <r>
    <x v="0"/>
    <s v="中川郡美深町"/>
    <x v="112"/>
    <x v="3"/>
    <n v="1"/>
    <n v="0.71"/>
    <n v="0"/>
    <n v="0"/>
    <n v="0"/>
    <n v="0"/>
    <x v="0"/>
  </r>
  <r>
    <x v="0"/>
    <s v="中川郡美深町"/>
    <x v="112"/>
    <x v="4"/>
    <n v="0"/>
    <n v="0"/>
    <n v="0"/>
    <n v="0"/>
    <n v="0"/>
    <n v="0"/>
    <x v="0"/>
  </r>
  <r>
    <x v="0"/>
    <s v="中川郡美深町"/>
    <x v="112"/>
    <x v="5"/>
    <n v="3"/>
    <n v="2.13"/>
    <n v="1"/>
    <n v="1.27"/>
    <n v="2"/>
    <n v="3.51"/>
    <x v="0"/>
  </r>
  <r>
    <x v="0"/>
    <s v="中川郡美深町"/>
    <x v="112"/>
    <x v="6"/>
    <n v="41"/>
    <n v="29.08"/>
    <n v="24"/>
    <n v="30.38"/>
    <n v="17"/>
    <n v="29.82"/>
    <x v="0"/>
  </r>
  <r>
    <x v="0"/>
    <s v="中川郡美深町"/>
    <x v="112"/>
    <x v="7"/>
    <n v="1"/>
    <n v="0.71"/>
    <n v="1"/>
    <n v="1.27"/>
    <n v="0"/>
    <n v="0"/>
    <x v="0"/>
  </r>
  <r>
    <x v="0"/>
    <s v="中川郡美深町"/>
    <x v="112"/>
    <x v="8"/>
    <n v="2"/>
    <n v="1.42"/>
    <n v="2"/>
    <n v="2.5299999999999998"/>
    <n v="0"/>
    <n v="0"/>
    <x v="0"/>
  </r>
  <r>
    <x v="0"/>
    <s v="中川郡美深町"/>
    <x v="112"/>
    <x v="9"/>
    <n v="4"/>
    <n v="2.84"/>
    <n v="3"/>
    <n v="3.8"/>
    <n v="1"/>
    <n v="1.75"/>
    <x v="0"/>
  </r>
  <r>
    <x v="0"/>
    <s v="中川郡美深町"/>
    <x v="112"/>
    <x v="10"/>
    <n v="24"/>
    <n v="17.02"/>
    <n v="19"/>
    <n v="24.05"/>
    <n v="5"/>
    <n v="8.77"/>
    <x v="0"/>
  </r>
  <r>
    <x v="0"/>
    <s v="中川郡美深町"/>
    <x v="112"/>
    <x v="11"/>
    <n v="15"/>
    <n v="10.64"/>
    <n v="14"/>
    <n v="17.72"/>
    <n v="1"/>
    <n v="1.75"/>
    <x v="0"/>
  </r>
  <r>
    <x v="0"/>
    <s v="中川郡美深町"/>
    <x v="112"/>
    <x v="12"/>
    <n v="3"/>
    <n v="2.13"/>
    <n v="2"/>
    <n v="2.5299999999999998"/>
    <n v="0"/>
    <n v="0"/>
    <x v="0"/>
  </r>
  <r>
    <x v="0"/>
    <s v="中川郡美深町"/>
    <x v="112"/>
    <x v="13"/>
    <n v="3"/>
    <n v="2.13"/>
    <n v="1"/>
    <n v="1.27"/>
    <n v="1"/>
    <n v="1.75"/>
    <x v="0"/>
  </r>
  <r>
    <x v="0"/>
    <s v="中川郡美深町"/>
    <x v="112"/>
    <x v="14"/>
    <n v="5"/>
    <n v="3.55"/>
    <n v="1"/>
    <n v="1.27"/>
    <n v="2"/>
    <n v="3.51"/>
    <x v="1"/>
  </r>
  <r>
    <x v="0"/>
    <s v="中川郡音威子府村"/>
    <x v="113"/>
    <x v="0"/>
    <n v="0"/>
    <n v="0"/>
    <n v="0"/>
    <n v="0"/>
    <n v="0"/>
    <n v="0"/>
    <x v="0"/>
  </r>
  <r>
    <x v="0"/>
    <s v="中川郡音威子府村"/>
    <x v="113"/>
    <x v="1"/>
    <n v="4"/>
    <n v="12.9"/>
    <n v="0"/>
    <n v="0"/>
    <n v="4"/>
    <n v="22.22"/>
    <x v="0"/>
  </r>
  <r>
    <x v="0"/>
    <s v="中川郡音威子府村"/>
    <x v="113"/>
    <x v="2"/>
    <n v="3"/>
    <n v="9.68"/>
    <n v="1"/>
    <n v="11.11"/>
    <n v="2"/>
    <n v="11.11"/>
    <x v="0"/>
  </r>
  <r>
    <x v="0"/>
    <s v="中川郡音威子府村"/>
    <x v="113"/>
    <x v="3"/>
    <n v="2"/>
    <n v="6.45"/>
    <n v="0"/>
    <n v="0"/>
    <n v="1"/>
    <n v="5.56"/>
    <x v="0"/>
  </r>
  <r>
    <x v="0"/>
    <s v="中川郡音威子府村"/>
    <x v="113"/>
    <x v="4"/>
    <n v="0"/>
    <n v="0"/>
    <n v="0"/>
    <n v="0"/>
    <n v="0"/>
    <n v="0"/>
    <x v="0"/>
  </r>
  <r>
    <x v="0"/>
    <s v="中川郡音威子府村"/>
    <x v="113"/>
    <x v="5"/>
    <n v="3"/>
    <n v="9.68"/>
    <n v="0"/>
    <n v="0"/>
    <n v="3"/>
    <n v="16.670000000000002"/>
    <x v="0"/>
  </r>
  <r>
    <x v="0"/>
    <s v="中川郡音威子府村"/>
    <x v="113"/>
    <x v="6"/>
    <n v="8"/>
    <n v="25.81"/>
    <n v="3"/>
    <n v="33.33"/>
    <n v="5"/>
    <n v="27.78"/>
    <x v="0"/>
  </r>
  <r>
    <x v="0"/>
    <s v="中川郡音威子府村"/>
    <x v="113"/>
    <x v="7"/>
    <n v="0"/>
    <n v="0"/>
    <n v="0"/>
    <n v="0"/>
    <n v="0"/>
    <n v="0"/>
    <x v="0"/>
  </r>
  <r>
    <x v="0"/>
    <s v="中川郡音威子府村"/>
    <x v="113"/>
    <x v="8"/>
    <n v="0"/>
    <n v="0"/>
    <n v="0"/>
    <n v="0"/>
    <n v="0"/>
    <n v="0"/>
    <x v="0"/>
  </r>
  <r>
    <x v="0"/>
    <s v="中川郡音威子府村"/>
    <x v="113"/>
    <x v="9"/>
    <n v="0"/>
    <n v="0"/>
    <n v="0"/>
    <n v="0"/>
    <n v="0"/>
    <n v="0"/>
    <x v="0"/>
  </r>
  <r>
    <x v="0"/>
    <s v="中川郡音威子府村"/>
    <x v="113"/>
    <x v="10"/>
    <n v="6"/>
    <n v="19.350000000000001"/>
    <n v="4"/>
    <n v="44.44"/>
    <n v="2"/>
    <n v="11.11"/>
    <x v="0"/>
  </r>
  <r>
    <x v="0"/>
    <s v="中川郡音威子府村"/>
    <x v="113"/>
    <x v="11"/>
    <n v="2"/>
    <n v="6.45"/>
    <n v="1"/>
    <n v="11.11"/>
    <n v="0"/>
    <n v="0"/>
    <x v="0"/>
  </r>
  <r>
    <x v="0"/>
    <s v="中川郡音威子府村"/>
    <x v="113"/>
    <x v="12"/>
    <n v="1"/>
    <n v="3.23"/>
    <n v="0"/>
    <n v="0"/>
    <n v="0"/>
    <n v="0"/>
    <x v="0"/>
  </r>
  <r>
    <x v="0"/>
    <s v="中川郡音威子府村"/>
    <x v="113"/>
    <x v="13"/>
    <n v="1"/>
    <n v="3.23"/>
    <n v="0"/>
    <n v="0"/>
    <n v="0"/>
    <n v="0"/>
    <x v="0"/>
  </r>
  <r>
    <x v="0"/>
    <s v="中川郡音威子府村"/>
    <x v="113"/>
    <x v="14"/>
    <n v="1"/>
    <n v="3.23"/>
    <n v="0"/>
    <n v="0"/>
    <n v="1"/>
    <n v="5.56"/>
    <x v="0"/>
  </r>
  <r>
    <x v="0"/>
    <s v="中川郡中川町"/>
    <x v="114"/>
    <x v="0"/>
    <n v="0"/>
    <n v="0"/>
    <n v="0"/>
    <n v="0"/>
    <n v="0"/>
    <n v="0"/>
    <x v="0"/>
  </r>
  <r>
    <x v="0"/>
    <s v="中川郡中川町"/>
    <x v="114"/>
    <x v="1"/>
    <n v="4"/>
    <n v="5.97"/>
    <n v="1"/>
    <n v="3.03"/>
    <n v="3"/>
    <n v="9.3800000000000008"/>
    <x v="0"/>
  </r>
  <r>
    <x v="0"/>
    <s v="中川郡中川町"/>
    <x v="114"/>
    <x v="2"/>
    <n v="11"/>
    <n v="16.420000000000002"/>
    <n v="5"/>
    <n v="15.15"/>
    <n v="6"/>
    <n v="18.75"/>
    <x v="0"/>
  </r>
  <r>
    <x v="0"/>
    <s v="中川郡中川町"/>
    <x v="114"/>
    <x v="3"/>
    <n v="1"/>
    <n v="1.49"/>
    <n v="0"/>
    <n v="0"/>
    <n v="1"/>
    <n v="3.13"/>
    <x v="0"/>
  </r>
  <r>
    <x v="0"/>
    <s v="中川郡中川町"/>
    <x v="114"/>
    <x v="4"/>
    <n v="0"/>
    <n v="0"/>
    <n v="0"/>
    <n v="0"/>
    <n v="0"/>
    <n v="0"/>
    <x v="0"/>
  </r>
  <r>
    <x v="0"/>
    <s v="中川郡中川町"/>
    <x v="114"/>
    <x v="5"/>
    <n v="2"/>
    <n v="2.99"/>
    <n v="0"/>
    <n v="0"/>
    <n v="1"/>
    <n v="3.13"/>
    <x v="1"/>
  </r>
  <r>
    <x v="0"/>
    <s v="中川郡中川町"/>
    <x v="114"/>
    <x v="6"/>
    <n v="20"/>
    <n v="29.85"/>
    <n v="11"/>
    <n v="33.33"/>
    <n v="9"/>
    <n v="28.13"/>
    <x v="0"/>
  </r>
  <r>
    <x v="0"/>
    <s v="中川郡中川町"/>
    <x v="114"/>
    <x v="7"/>
    <n v="1"/>
    <n v="1.49"/>
    <n v="0"/>
    <n v="0"/>
    <n v="1"/>
    <n v="3.13"/>
    <x v="0"/>
  </r>
  <r>
    <x v="0"/>
    <s v="中川郡中川町"/>
    <x v="114"/>
    <x v="8"/>
    <n v="4"/>
    <n v="5.97"/>
    <n v="1"/>
    <n v="3.03"/>
    <n v="3"/>
    <n v="9.3800000000000008"/>
    <x v="0"/>
  </r>
  <r>
    <x v="0"/>
    <s v="中川郡中川町"/>
    <x v="114"/>
    <x v="9"/>
    <n v="3"/>
    <n v="4.4800000000000004"/>
    <n v="1"/>
    <n v="3.03"/>
    <n v="2"/>
    <n v="6.25"/>
    <x v="0"/>
  </r>
  <r>
    <x v="0"/>
    <s v="中川郡中川町"/>
    <x v="114"/>
    <x v="10"/>
    <n v="9"/>
    <n v="13.43"/>
    <n v="7"/>
    <n v="21.21"/>
    <n v="2"/>
    <n v="6.25"/>
    <x v="0"/>
  </r>
  <r>
    <x v="0"/>
    <s v="中川郡中川町"/>
    <x v="114"/>
    <x v="11"/>
    <n v="7"/>
    <n v="10.45"/>
    <n v="6"/>
    <n v="18.18"/>
    <n v="1"/>
    <n v="3.13"/>
    <x v="0"/>
  </r>
  <r>
    <x v="0"/>
    <s v="中川郡中川町"/>
    <x v="114"/>
    <x v="12"/>
    <n v="2"/>
    <n v="2.99"/>
    <n v="0"/>
    <n v="0"/>
    <n v="1"/>
    <n v="3.13"/>
    <x v="0"/>
  </r>
  <r>
    <x v="0"/>
    <s v="中川郡中川町"/>
    <x v="114"/>
    <x v="13"/>
    <n v="1"/>
    <n v="1.49"/>
    <n v="0"/>
    <n v="0"/>
    <n v="1"/>
    <n v="3.13"/>
    <x v="0"/>
  </r>
  <r>
    <x v="0"/>
    <s v="中川郡中川町"/>
    <x v="114"/>
    <x v="14"/>
    <n v="2"/>
    <n v="2.99"/>
    <n v="1"/>
    <n v="3.03"/>
    <n v="1"/>
    <n v="3.13"/>
    <x v="0"/>
  </r>
  <r>
    <x v="0"/>
    <s v="雨竜郡幌加内町"/>
    <x v="115"/>
    <x v="0"/>
    <n v="0"/>
    <n v="0"/>
    <n v="0"/>
    <n v="0"/>
    <n v="0"/>
    <n v="0"/>
    <x v="0"/>
  </r>
  <r>
    <x v="0"/>
    <s v="雨竜郡幌加内町"/>
    <x v="115"/>
    <x v="1"/>
    <n v="5"/>
    <n v="10.64"/>
    <n v="2"/>
    <n v="9.09"/>
    <n v="3"/>
    <n v="15"/>
    <x v="0"/>
  </r>
  <r>
    <x v="0"/>
    <s v="雨竜郡幌加内町"/>
    <x v="115"/>
    <x v="2"/>
    <n v="10"/>
    <n v="21.28"/>
    <n v="4"/>
    <n v="18.18"/>
    <n v="6"/>
    <n v="30"/>
    <x v="0"/>
  </r>
  <r>
    <x v="0"/>
    <s v="雨竜郡幌加内町"/>
    <x v="115"/>
    <x v="3"/>
    <n v="2"/>
    <n v="4.26"/>
    <n v="0"/>
    <n v="0"/>
    <n v="1"/>
    <n v="5"/>
    <x v="0"/>
  </r>
  <r>
    <x v="0"/>
    <s v="雨竜郡幌加内町"/>
    <x v="115"/>
    <x v="4"/>
    <n v="0"/>
    <n v="0"/>
    <n v="0"/>
    <n v="0"/>
    <n v="0"/>
    <n v="0"/>
    <x v="0"/>
  </r>
  <r>
    <x v="0"/>
    <s v="雨竜郡幌加内町"/>
    <x v="115"/>
    <x v="5"/>
    <n v="3"/>
    <n v="6.38"/>
    <n v="1"/>
    <n v="4.55"/>
    <n v="1"/>
    <n v="5"/>
    <x v="1"/>
  </r>
  <r>
    <x v="0"/>
    <s v="雨竜郡幌加内町"/>
    <x v="115"/>
    <x v="6"/>
    <n v="11"/>
    <n v="23.4"/>
    <n v="8"/>
    <n v="36.36"/>
    <n v="3"/>
    <n v="15"/>
    <x v="0"/>
  </r>
  <r>
    <x v="0"/>
    <s v="雨竜郡幌加内町"/>
    <x v="115"/>
    <x v="7"/>
    <n v="0"/>
    <n v="0"/>
    <n v="0"/>
    <n v="0"/>
    <n v="0"/>
    <n v="0"/>
    <x v="0"/>
  </r>
  <r>
    <x v="0"/>
    <s v="雨竜郡幌加内町"/>
    <x v="115"/>
    <x v="8"/>
    <n v="2"/>
    <n v="4.26"/>
    <n v="0"/>
    <n v="0"/>
    <n v="1"/>
    <n v="5"/>
    <x v="0"/>
  </r>
  <r>
    <x v="0"/>
    <s v="雨竜郡幌加内町"/>
    <x v="115"/>
    <x v="9"/>
    <n v="1"/>
    <n v="2.13"/>
    <n v="1"/>
    <n v="4.55"/>
    <n v="0"/>
    <n v="0"/>
    <x v="0"/>
  </r>
  <r>
    <x v="0"/>
    <s v="雨竜郡幌加内町"/>
    <x v="115"/>
    <x v="10"/>
    <n v="7"/>
    <n v="14.89"/>
    <n v="4"/>
    <n v="18.18"/>
    <n v="2"/>
    <n v="10"/>
    <x v="1"/>
  </r>
  <r>
    <x v="0"/>
    <s v="雨竜郡幌加内町"/>
    <x v="115"/>
    <x v="11"/>
    <n v="3"/>
    <n v="6.38"/>
    <n v="2"/>
    <n v="9.09"/>
    <n v="1"/>
    <n v="5"/>
    <x v="0"/>
  </r>
  <r>
    <x v="0"/>
    <s v="雨竜郡幌加内町"/>
    <x v="115"/>
    <x v="12"/>
    <n v="0"/>
    <n v="0"/>
    <n v="0"/>
    <n v="0"/>
    <n v="0"/>
    <n v="0"/>
    <x v="0"/>
  </r>
  <r>
    <x v="0"/>
    <s v="雨竜郡幌加内町"/>
    <x v="115"/>
    <x v="13"/>
    <n v="1"/>
    <n v="2.13"/>
    <n v="0"/>
    <n v="0"/>
    <n v="0"/>
    <n v="0"/>
    <x v="1"/>
  </r>
  <r>
    <x v="0"/>
    <s v="雨竜郡幌加内町"/>
    <x v="115"/>
    <x v="14"/>
    <n v="2"/>
    <n v="4.26"/>
    <n v="0"/>
    <n v="0"/>
    <n v="2"/>
    <n v="10"/>
    <x v="0"/>
  </r>
  <r>
    <x v="0"/>
    <s v="増毛郡増毛町"/>
    <x v="116"/>
    <x v="0"/>
    <n v="2"/>
    <n v="1.38"/>
    <n v="0"/>
    <n v="0"/>
    <n v="1"/>
    <n v="1.82"/>
    <x v="0"/>
  </r>
  <r>
    <x v="0"/>
    <s v="増毛郡増毛町"/>
    <x v="116"/>
    <x v="1"/>
    <n v="21"/>
    <n v="14.48"/>
    <n v="10"/>
    <n v="12.5"/>
    <n v="11"/>
    <n v="20"/>
    <x v="0"/>
  </r>
  <r>
    <x v="0"/>
    <s v="増毛郡増毛町"/>
    <x v="116"/>
    <x v="2"/>
    <n v="14"/>
    <n v="9.66"/>
    <n v="4"/>
    <n v="5"/>
    <n v="10"/>
    <n v="18.18"/>
    <x v="0"/>
  </r>
  <r>
    <x v="0"/>
    <s v="増毛郡増毛町"/>
    <x v="116"/>
    <x v="3"/>
    <n v="1"/>
    <n v="0.69"/>
    <n v="0"/>
    <n v="0"/>
    <n v="1"/>
    <n v="1.82"/>
    <x v="0"/>
  </r>
  <r>
    <x v="0"/>
    <s v="増毛郡増毛町"/>
    <x v="116"/>
    <x v="4"/>
    <n v="0"/>
    <n v="0"/>
    <n v="0"/>
    <n v="0"/>
    <n v="0"/>
    <n v="0"/>
    <x v="0"/>
  </r>
  <r>
    <x v="0"/>
    <s v="増毛郡増毛町"/>
    <x v="116"/>
    <x v="5"/>
    <n v="1"/>
    <n v="0.69"/>
    <n v="0"/>
    <n v="0"/>
    <n v="0"/>
    <n v="0"/>
    <x v="1"/>
  </r>
  <r>
    <x v="0"/>
    <s v="増毛郡増毛町"/>
    <x v="116"/>
    <x v="6"/>
    <n v="40"/>
    <n v="27.59"/>
    <n v="20"/>
    <n v="25"/>
    <n v="20"/>
    <n v="36.36"/>
    <x v="0"/>
  </r>
  <r>
    <x v="0"/>
    <s v="増毛郡増毛町"/>
    <x v="116"/>
    <x v="7"/>
    <n v="0"/>
    <n v="0"/>
    <n v="0"/>
    <n v="0"/>
    <n v="0"/>
    <n v="0"/>
    <x v="0"/>
  </r>
  <r>
    <x v="0"/>
    <s v="増毛郡増毛町"/>
    <x v="116"/>
    <x v="8"/>
    <n v="3"/>
    <n v="2.0699999999999998"/>
    <n v="3"/>
    <n v="3.75"/>
    <n v="0"/>
    <n v="0"/>
    <x v="0"/>
  </r>
  <r>
    <x v="0"/>
    <s v="増毛郡増毛町"/>
    <x v="116"/>
    <x v="9"/>
    <n v="2"/>
    <n v="1.38"/>
    <n v="0"/>
    <n v="0"/>
    <n v="2"/>
    <n v="3.64"/>
    <x v="0"/>
  </r>
  <r>
    <x v="0"/>
    <s v="増毛郡増毛町"/>
    <x v="116"/>
    <x v="10"/>
    <n v="27"/>
    <n v="18.62"/>
    <n v="23"/>
    <n v="28.75"/>
    <n v="4"/>
    <n v="7.27"/>
    <x v="0"/>
  </r>
  <r>
    <x v="0"/>
    <s v="増毛郡増毛町"/>
    <x v="116"/>
    <x v="11"/>
    <n v="18"/>
    <n v="12.41"/>
    <n v="14"/>
    <n v="17.5"/>
    <n v="0"/>
    <n v="0"/>
    <x v="0"/>
  </r>
  <r>
    <x v="0"/>
    <s v="増毛郡増毛町"/>
    <x v="116"/>
    <x v="12"/>
    <n v="4"/>
    <n v="2.76"/>
    <n v="2"/>
    <n v="2.5"/>
    <n v="0"/>
    <n v="0"/>
    <x v="0"/>
  </r>
  <r>
    <x v="0"/>
    <s v="増毛郡増毛町"/>
    <x v="116"/>
    <x v="13"/>
    <n v="7"/>
    <n v="4.83"/>
    <n v="2"/>
    <n v="2.5"/>
    <n v="3"/>
    <n v="5.45"/>
    <x v="0"/>
  </r>
  <r>
    <x v="0"/>
    <s v="増毛郡増毛町"/>
    <x v="116"/>
    <x v="14"/>
    <n v="5"/>
    <n v="3.45"/>
    <n v="2"/>
    <n v="2.5"/>
    <n v="3"/>
    <n v="5.45"/>
    <x v="0"/>
  </r>
  <r>
    <x v="0"/>
    <s v="留萌郡小平町"/>
    <x v="117"/>
    <x v="0"/>
    <n v="0"/>
    <n v="0"/>
    <n v="0"/>
    <n v="0"/>
    <n v="0"/>
    <n v="0"/>
    <x v="0"/>
  </r>
  <r>
    <x v="0"/>
    <s v="留萌郡小平町"/>
    <x v="117"/>
    <x v="1"/>
    <n v="16"/>
    <n v="21.62"/>
    <n v="7"/>
    <n v="18.420000000000002"/>
    <n v="9"/>
    <n v="33.33"/>
    <x v="0"/>
  </r>
  <r>
    <x v="0"/>
    <s v="留萌郡小平町"/>
    <x v="117"/>
    <x v="2"/>
    <n v="2"/>
    <n v="2.7"/>
    <n v="0"/>
    <n v="0"/>
    <n v="2"/>
    <n v="7.41"/>
    <x v="0"/>
  </r>
  <r>
    <x v="0"/>
    <s v="留萌郡小平町"/>
    <x v="117"/>
    <x v="3"/>
    <n v="2"/>
    <n v="2.7"/>
    <n v="0"/>
    <n v="0"/>
    <n v="0"/>
    <n v="0"/>
    <x v="0"/>
  </r>
  <r>
    <x v="0"/>
    <s v="留萌郡小平町"/>
    <x v="117"/>
    <x v="4"/>
    <n v="0"/>
    <n v="0"/>
    <n v="0"/>
    <n v="0"/>
    <n v="0"/>
    <n v="0"/>
    <x v="0"/>
  </r>
  <r>
    <x v="0"/>
    <s v="留萌郡小平町"/>
    <x v="117"/>
    <x v="5"/>
    <n v="7"/>
    <n v="9.4600000000000009"/>
    <n v="2"/>
    <n v="5.26"/>
    <n v="4"/>
    <n v="14.81"/>
    <x v="1"/>
  </r>
  <r>
    <x v="0"/>
    <s v="留萌郡小平町"/>
    <x v="117"/>
    <x v="6"/>
    <n v="18"/>
    <n v="24.32"/>
    <n v="9"/>
    <n v="23.68"/>
    <n v="9"/>
    <n v="33.33"/>
    <x v="0"/>
  </r>
  <r>
    <x v="0"/>
    <s v="留萌郡小平町"/>
    <x v="117"/>
    <x v="7"/>
    <n v="0"/>
    <n v="0"/>
    <n v="0"/>
    <n v="0"/>
    <n v="0"/>
    <n v="0"/>
    <x v="0"/>
  </r>
  <r>
    <x v="0"/>
    <s v="留萌郡小平町"/>
    <x v="117"/>
    <x v="8"/>
    <n v="2"/>
    <n v="2.7"/>
    <n v="0"/>
    <n v="0"/>
    <n v="2"/>
    <n v="7.41"/>
    <x v="0"/>
  </r>
  <r>
    <x v="0"/>
    <s v="留萌郡小平町"/>
    <x v="117"/>
    <x v="9"/>
    <n v="0"/>
    <n v="0"/>
    <n v="0"/>
    <n v="0"/>
    <n v="0"/>
    <n v="0"/>
    <x v="0"/>
  </r>
  <r>
    <x v="0"/>
    <s v="留萌郡小平町"/>
    <x v="117"/>
    <x v="10"/>
    <n v="11"/>
    <n v="14.86"/>
    <n v="10"/>
    <n v="26.32"/>
    <n v="1"/>
    <n v="3.7"/>
    <x v="0"/>
  </r>
  <r>
    <x v="0"/>
    <s v="留萌郡小平町"/>
    <x v="117"/>
    <x v="11"/>
    <n v="6"/>
    <n v="8.11"/>
    <n v="5"/>
    <n v="13.16"/>
    <n v="0"/>
    <n v="0"/>
    <x v="0"/>
  </r>
  <r>
    <x v="0"/>
    <s v="留萌郡小平町"/>
    <x v="117"/>
    <x v="12"/>
    <n v="5"/>
    <n v="6.76"/>
    <n v="5"/>
    <n v="13.16"/>
    <n v="0"/>
    <n v="0"/>
    <x v="0"/>
  </r>
  <r>
    <x v="0"/>
    <s v="留萌郡小平町"/>
    <x v="117"/>
    <x v="13"/>
    <n v="5"/>
    <n v="6.76"/>
    <n v="0"/>
    <n v="0"/>
    <n v="0"/>
    <n v="0"/>
    <x v="0"/>
  </r>
  <r>
    <x v="0"/>
    <s v="留萌郡小平町"/>
    <x v="117"/>
    <x v="14"/>
    <n v="0"/>
    <n v="0"/>
    <n v="0"/>
    <n v="0"/>
    <n v="0"/>
    <n v="0"/>
    <x v="0"/>
  </r>
  <r>
    <x v="0"/>
    <s v="苫前郡苫前町"/>
    <x v="118"/>
    <x v="0"/>
    <n v="0"/>
    <n v="0"/>
    <n v="0"/>
    <n v="0"/>
    <n v="0"/>
    <n v="0"/>
    <x v="0"/>
  </r>
  <r>
    <x v="0"/>
    <s v="苫前郡苫前町"/>
    <x v="118"/>
    <x v="1"/>
    <n v="17"/>
    <n v="17.71"/>
    <n v="5"/>
    <n v="10.199999999999999"/>
    <n v="12"/>
    <n v="27.27"/>
    <x v="0"/>
  </r>
  <r>
    <x v="0"/>
    <s v="苫前郡苫前町"/>
    <x v="118"/>
    <x v="2"/>
    <n v="8"/>
    <n v="8.33"/>
    <n v="1"/>
    <n v="2.04"/>
    <n v="7"/>
    <n v="15.91"/>
    <x v="0"/>
  </r>
  <r>
    <x v="0"/>
    <s v="苫前郡苫前町"/>
    <x v="118"/>
    <x v="3"/>
    <n v="3"/>
    <n v="3.13"/>
    <n v="0"/>
    <n v="0"/>
    <n v="1"/>
    <n v="2.27"/>
    <x v="0"/>
  </r>
  <r>
    <x v="0"/>
    <s v="苫前郡苫前町"/>
    <x v="118"/>
    <x v="4"/>
    <n v="1"/>
    <n v="1.04"/>
    <n v="1"/>
    <n v="2.04"/>
    <n v="0"/>
    <n v="0"/>
    <x v="0"/>
  </r>
  <r>
    <x v="0"/>
    <s v="苫前郡苫前町"/>
    <x v="118"/>
    <x v="5"/>
    <n v="3"/>
    <n v="3.13"/>
    <n v="1"/>
    <n v="2.04"/>
    <n v="2"/>
    <n v="4.55"/>
    <x v="0"/>
  </r>
  <r>
    <x v="0"/>
    <s v="苫前郡苫前町"/>
    <x v="118"/>
    <x v="6"/>
    <n v="23"/>
    <n v="23.96"/>
    <n v="8"/>
    <n v="16.329999999999998"/>
    <n v="15"/>
    <n v="34.090000000000003"/>
    <x v="0"/>
  </r>
  <r>
    <x v="0"/>
    <s v="苫前郡苫前町"/>
    <x v="118"/>
    <x v="7"/>
    <n v="0"/>
    <n v="0"/>
    <n v="0"/>
    <n v="0"/>
    <n v="0"/>
    <n v="0"/>
    <x v="0"/>
  </r>
  <r>
    <x v="0"/>
    <s v="苫前郡苫前町"/>
    <x v="118"/>
    <x v="8"/>
    <n v="3"/>
    <n v="3.13"/>
    <n v="3"/>
    <n v="6.12"/>
    <n v="0"/>
    <n v="0"/>
    <x v="0"/>
  </r>
  <r>
    <x v="0"/>
    <s v="苫前郡苫前町"/>
    <x v="118"/>
    <x v="9"/>
    <n v="1"/>
    <n v="1.04"/>
    <n v="0"/>
    <n v="0"/>
    <n v="1"/>
    <n v="2.27"/>
    <x v="0"/>
  </r>
  <r>
    <x v="0"/>
    <s v="苫前郡苫前町"/>
    <x v="118"/>
    <x v="10"/>
    <n v="20"/>
    <n v="20.83"/>
    <n v="17"/>
    <n v="34.69"/>
    <n v="2"/>
    <n v="4.55"/>
    <x v="0"/>
  </r>
  <r>
    <x v="0"/>
    <s v="苫前郡苫前町"/>
    <x v="118"/>
    <x v="11"/>
    <n v="10"/>
    <n v="10.42"/>
    <n v="10"/>
    <n v="20.41"/>
    <n v="0"/>
    <n v="0"/>
    <x v="0"/>
  </r>
  <r>
    <x v="0"/>
    <s v="苫前郡苫前町"/>
    <x v="118"/>
    <x v="12"/>
    <n v="0"/>
    <n v="0"/>
    <n v="0"/>
    <n v="0"/>
    <n v="0"/>
    <n v="0"/>
    <x v="0"/>
  </r>
  <r>
    <x v="0"/>
    <s v="苫前郡苫前町"/>
    <x v="118"/>
    <x v="13"/>
    <n v="1"/>
    <n v="1.04"/>
    <n v="1"/>
    <n v="2.04"/>
    <n v="0"/>
    <n v="0"/>
    <x v="0"/>
  </r>
  <r>
    <x v="0"/>
    <s v="苫前郡苫前町"/>
    <x v="118"/>
    <x v="14"/>
    <n v="6"/>
    <n v="6.25"/>
    <n v="2"/>
    <n v="4.08"/>
    <n v="4"/>
    <n v="9.09"/>
    <x v="0"/>
  </r>
  <r>
    <x v="0"/>
    <s v="苫前郡羽幌町"/>
    <x v="119"/>
    <x v="0"/>
    <n v="0"/>
    <n v="0"/>
    <n v="0"/>
    <n v="0"/>
    <n v="0"/>
    <n v="0"/>
    <x v="0"/>
  </r>
  <r>
    <x v="0"/>
    <s v="苫前郡羽幌町"/>
    <x v="119"/>
    <x v="1"/>
    <n v="40"/>
    <n v="13.33"/>
    <n v="22"/>
    <n v="11.83"/>
    <n v="18"/>
    <n v="18.18"/>
    <x v="0"/>
  </r>
  <r>
    <x v="0"/>
    <s v="苫前郡羽幌町"/>
    <x v="119"/>
    <x v="2"/>
    <n v="14"/>
    <n v="4.67"/>
    <n v="3"/>
    <n v="1.61"/>
    <n v="11"/>
    <n v="11.11"/>
    <x v="0"/>
  </r>
  <r>
    <x v="0"/>
    <s v="苫前郡羽幌町"/>
    <x v="119"/>
    <x v="3"/>
    <n v="0"/>
    <n v="0"/>
    <n v="0"/>
    <n v="0"/>
    <n v="0"/>
    <n v="0"/>
    <x v="0"/>
  </r>
  <r>
    <x v="0"/>
    <s v="苫前郡羽幌町"/>
    <x v="119"/>
    <x v="4"/>
    <n v="2"/>
    <n v="0.67"/>
    <n v="0"/>
    <n v="0"/>
    <n v="2"/>
    <n v="2.02"/>
    <x v="0"/>
  </r>
  <r>
    <x v="0"/>
    <s v="苫前郡羽幌町"/>
    <x v="119"/>
    <x v="5"/>
    <n v="6"/>
    <n v="2"/>
    <n v="1"/>
    <n v="0.54"/>
    <n v="5"/>
    <n v="5.05"/>
    <x v="0"/>
  </r>
  <r>
    <x v="0"/>
    <s v="苫前郡羽幌町"/>
    <x v="119"/>
    <x v="6"/>
    <n v="72"/>
    <n v="24"/>
    <n v="34"/>
    <n v="18.28"/>
    <n v="38"/>
    <n v="38.380000000000003"/>
    <x v="0"/>
  </r>
  <r>
    <x v="0"/>
    <s v="苫前郡羽幌町"/>
    <x v="119"/>
    <x v="7"/>
    <n v="2"/>
    <n v="0.67"/>
    <n v="1"/>
    <n v="0.54"/>
    <n v="1"/>
    <n v="1.01"/>
    <x v="0"/>
  </r>
  <r>
    <x v="0"/>
    <s v="苫前郡羽幌町"/>
    <x v="119"/>
    <x v="8"/>
    <n v="19"/>
    <n v="6.33"/>
    <n v="15"/>
    <n v="8.06"/>
    <n v="3"/>
    <n v="3.03"/>
    <x v="0"/>
  </r>
  <r>
    <x v="0"/>
    <s v="苫前郡羽幌町"/>
    <x v="119"/>
    <x v="9"/>
    <n v="8"/>
    <n v="2.67"/>
    <n v="6"/>
    <n v="3.23"/>
    <n v="1"/>
    <n v="1.01"/>
    <x v="0"/>
  </r>
  <r>
    <x v="0"/>
    <s v="苫前郡羽幌町"/>
    <x v="119"/>
    <x v="10"/>
    <n v="71"/>
    <n v="23.67"/>
    <n v="65"/>
    <n v="34.950000000000003"/>
    <n v="5"/>
    <n v="5.05"/>
    <x v="0"/>
  </r>
  <r>
    <x v="0"/>
    <s v="苫前郡羽幌町"/>
    <x v="119"/>
    <x v="11"/>
    <n v="33"/>
    <n v="11"/>
    <n v="29"/>
    <n v="15.59"/>
    <n v="0"/>
    <n v="0"/>
    <x v="0"/>
  </r>
  <r>
    <x v="0"/>
    <s v="苫前郡羽幌町"/>
    <x v="119"/>
    <x v="12"/>
    <n v="6"/>
    <n v="2"/>
    <n v="3"/>
    <n v="1.61"/>
    <n v="1"/>
    <n v="1.01"/>
    <x v="0"/>
  </r>
  <r>
    <x v="0"/>
    <s v="苫前郡羽幌町"/>
    <x v="119"/>
    <x v="13"/>
    <n v="11"/>
    <n v="3.67"/>
    <n v="6"/>
    <n v="3.23"/>
    <n v="1"/>
    <n v="1.01"/>
    <x v="1"/>
  </r>
  <r>
    <x v="0"/>
    <s v="苫前郡羽幌町"/>
    <x v="119"/>
    <x v="14"/>
    <n v="16"/>
    <n v="5.33"/>
    <n v="1"/>
    <n v="0.54"/>
    <n v="13"/>
    <n v="13.13"/>
    <x v="1"/>
  </r>
  <r>
    <x v="0"/>
    <s v="苫前郡初山別村"/>
    <x v="120"/>
    <x v="0"/>
    <n v="0"/>
    <n v="0"/>
    <n v="0"/>
    <n v="0"/>
    <n v="0"/>
    <n v="0"/>
    <x v="0"/>
  </r>
  <r>
    <x v="0"/>
    <s v="苫前郡初山別村"/>
    <x v="120"/>
    <x v="1"/>
    <n v="8"/>
    <n v="26.67"/>
    <n v="4"/>
    <n v="26.67"/>
    <n v="4"/>
    <n v="36.36"/>
    <x v="0"/>
  </r>
  <r>
    <x v="0"/>
    <s v="苫前郡初山別村"/>
    <x v="120"/>
    <x v="2"/>
    <n v="2"/>
    <n v="6.67"/>
    <n v="2"/>
    <n v="13.33"/>
    <n v="0"/>
    <n v="0"/>
    <x v="0"/>
  </r>
  <r>
    <x v="0"/>
    <s v="苫前郡初山別村"/>
    <x v="120"/>
    <x v="3"/>
    <n v="1"/>
    <n v="3.33"/>
    <n v="0"/>
    <n v="0"/>
    <n v="0"/>
    <n v="0"/>
    <x v="0"/>
  </r>
  <r>
    <x v="0"/>
    <s v="苫前郡初山別村"/>
    <x v="120"/>
    <x v="4"/>
    <n v="0"/>
    <n v="0"/>
    <n v="0"/>
    <n v="0"/>
    <n v="0"/>
    <n v="0"/>
    <x v="0"/>
  </r>
  <r>
    <x v="0"/>
    <s v="苫前郡初山別村"/>
    <x v="120"/>
    <x v="5"/>
    <n v="2"/>
    <n v="6.67"/>
    <n v="0"/>
    <n v="0"/>
    <n v="2"/>
    <n v="18.18"/>
    <x v="0"/>
  </r>
  <r>
    <x v="0"/>
    <s v="苫前郡初山別村"/>
    <x v="120"/>
    <x v="6"/>
    <n v="4"/>
    <n v="13.33"/>
    <n v="1"/>
    <n v="6.67"/>
    <n v="3"/>
    <n v="27.27"/>
    <x v="0"/>
  </r>
  <r>
    <x v="0"/>
    <s v="苫前郡初山別村"/>
    <x v="120"/>
    <x v="7"/>
    <n v="0"/>
    <n v="0"/>
    <n v="0"/>
    <n v="0"/>
    <n v="0"/>
    <n v="0"/>
    <x v="0"/>
  </r>
  <r>
    <x v="0"/>
    <s v="苫前郡初山別村"/>
    <x v="120"/>
    <x v="8"/>
    <n v="0"/>
    <n v="0"/>
    <n v="0"/>
    <n v="0"/>
    <n v="0"/>
    <n v="0"/>
    <x v="0"/>
  </r>
  <r>
    <x v="0"/>
    <s v="苫前郡初山別村"/>
    <x v="120"/>
    <x v="9"/>
    <n v="2"/>
    <n v="6.67"/>
    <n v="0"/>
    <n v="0"/>
    <n v="0"/>
    <n v="0"/>
    <x v="0"/>
  </r>
  <r>
    <x v="0"/>
    <s v="苫前郡初山別村"/>
    <x v="120"/>
    <x v="10"/>
    <n v="5"/>
    <n v="16.670000000000002"/>
    <n v="5"/>
    <n v="33.33"/>
    <n v="0"/>
    <n v="0"/>
    <x v="0"/>
  </r>
  <r>
    <x v="0"/>
    <s v="苫前郡初山別村"/>
    <x v="120"/>
    <x v="11"/>
    <n v="2"/>
    <n v="6.67"/>
    <n v="2"/>
    <n v="13.33"/>
    <n v="0"/>
    <n v="0"/>
    <x v="0"/>
  </r>
  <r>
    <x v="0"/>
    <s v="苫前郡初山別村"/>
    <x v="120"/>
    <x v="12"/>
    <n v="0"/>
    <n v="0"/>
    <n v="0"/>
    <n v="0"/>
    <n v="0"/>
    <n v="0"/>
    <x v="0"/>
  </r>
  <r>
    <x v="0"/>
    <s v="苫前郡初山別村"/>
    <x v="120"/>
    <x v="13"/>
    <n v="3"/>
    <n v="10"/>
    <n v="1"/>
    <n v="6.67"/>
    <n v="1"/>
    <n v="9.09"/>
    <x v="0"/>
  </r>
  <r>
    <x v="0"/>
    <s v="苫前郡初山別村"/>
    <x v="120"/>
    <x v="14"/>
    <n v="1"/>
    <n v="3.33"/>
    <n v="0"/>
    <n v="0"/>
    <n v="1"/>
    <n v="9.09"/>
    <x v="0"/>
  </r>
  <r>
    <x v="0"/>
    <s v="天塩郡遠別町"/>
    <x v="121"/>
    <x v="0"/>
    <n v="0"/>
    <n v="0"/>
    <n v="0"/>
    <n v="0"/>
    <n v="0"/>
    <n v="0"/>
    <x v="0"/>
  </r>
  <r>
    <x v="0"/>
    <s v="天塩郡遠別町"/>
    <x v="121"/>
    <x v="1"/>
    <n v="13"/>
    <n v="14.13"/>
    <n v="6"/>
    <n v="10.17"/>
    <n v="7"/>
    <n v="22.58"/>
    <x v="0"/>
  </r>
  <r>
    <x v="0"/>
    <s v="天塩郡遠別町"/>
    <x v="121"/>
    <x v="2"/>
    <n v="6"/>
    <n v="6.52"/>
    <n v="1"/>
    <n v="1.69"/>
    <n v="5"/>
    <n v="16.13"/>
    <x v="0"/>
  </r>
  <r>
    <x v="0"/>
    <s v="天塩郡遠別町"/>
    <x v="121"/>
    <x v="3"/>
    <n v="1"/>
    <n v="1.0900000000000001"/>
    <n v="0"/>
    <n v="0"/>
    <n v="1"/>
    <n v="3.23"/>
    <x v="0"/>
  </r>
  <r>
    <x v="0"/>
    <s v="天塩郡遠別町"/>
    <x v="121"/>
    <x v="4"/>
    <n v="0"/>
    <n v="0"/>
    <n v="0"/>
    <n v="0"/>
    <n v="0"/>
    <n v="0"/>
    <x v="0"/>
  </r>
  <r>
    <x v="0"/>
    <s v="天塩郡遠別町"/>
    <x v="121"/>
    <x v="5"/>
    <n v="3"/>
    <n v="3.26"/>
    <n v="2"/>
    <n v="3.39"/>
    <n v="1"/>
    <n v="3.23"/>
    <x v="0"/>
  </r>
  <r>
    <x v="0"/>
    <s v="天塩郡遠別町"/>
    <x v="121"/>
    <x v="6"/>
    <n v="25"/>
    <n v="27.17"/>
    <n v="17"/>
    <n v="28.81"/>
    <n v="8"/>
    <n v="25.81"/>
    <x v="0"/>
  </r>
  <r>
    <x v="0"/>
    <s v="天塩郡遠別町"/>
    <x v="121"/>
    <x v="7"/>
    <n v="1"/>
    <n v="1.0900000000000001"/>
    <n v="0"/>
    <n v="0"/>
    <n v="1"/>
    <n v="3.23"/>
    <x v="0"/>
  </r>
  <r>
    <x v="0"/>
    <s v="天塩郡遠別町"/>
    <x v="121"/>
    <x v="8"/>
    <n v="2"/>
    <n v="2.17"/>
    <n v="1"/>
    <n v="1.69"/>
    <n v="1"/>
    <n v="3.23"/>
    <x v="0"/>
  </r>
  <r>
    <x v="0"/>
    <s v="天塩郡遠別町"/>
    <x v="121"/>
    <x v="9"/>
    <n v="4"/>
    <n v="4.3499999999999996"/>
    <n v="1"/>
    <n v="1.69"/>
    <n v="3"/>
    <n v="9.68"/>
    <x v="0"/>
  </r>
  <r>
    <x v="0"/>
    <s v="天塩郡遠別町"/>
    <x v="121"/>
    <x v="10"/>
    <n v="14"/>
    <n v="15.22"/>
    <n v="11"/>
    <n v="18.64"/>
    <n v="2"/>
    <n v="6.45"/>
    <x v="0"/>
  </r>
  <r>
    <x v="0"/>
    <s v="天塩郡遠別町"/>
    <x v="121"/>
    <x v="11"/>
    <n v="13"/>
    <n v="14.13"/>
    <n v="12"/>
    <n v="20.34"/>
    <n v="0"/>
    <n v="0"/>
    <x v="0"/>
  </r>
  <r>
    <x v="0"/>
    <s v="天塩郡遠別町"/>
    <x v="121"/>
    <x v="12"/>
    <n v="2"/>
    <n v="2.17"/>
    <n v="2"/>
    <n v="3.39"/>
    <n v="0"/>
    <n v="0"/>
    <x v="0"/>
  </r>
  <r>
    <x v="0"/>
    <s v="天塩郡遠別町"/>
    <x v="121"/>
    <x v="13"/>
    <n v="2"/>
    <n v="2.17"/>
    <n v="1"/>
    <n v="1.69"/>
    <n v="1"/>
    <n v="3.23"/>
    <x v="0"/>
  </r>
  <r>
    <x v="0"/>
    <s v="天塩郡遠別町"/>
    <x v="121"/>
    <x v="14"/>
    <n v="6"/>
    <n v="6.52"/>
    <n v="5"/>
    <n v="8.4700000000000006"/>
    <n v="1"/>
    <n v="3.23"/>
    <x v="0"/>
  </r>
  <r>
    <x v="0"/>
    <s v="天塩郡天塩町"/>
    <x v="122"/>
    <x v="0"/>
    <n v="0"/>
    <n v="0"/>
    <n v="0"/>
    <n v="0"/>
    <n v="0"/>
    <n v="0"/>
    <x v="0"/>
  </r>
  <r>
    <x v="0"/>
    <s v="天塩郡天塩町"/>
    <x v="122"/>
    <x v="1"/>
    <n v="12"/>
    <n v="11.01"/>
    <n v="3"/>
    <n v="5.17"/>
    <n v="9"/>
    <n v="21.43"/>
    <x v="0"/>
  </r>
  <r>
    <x v="0"/>
    <s v="天塩郡天塩町"/>
    <x v="122"/>
    <x v="2"/>
    <n v="3"/>
    <n v="2.75"/>
    <n v="0"/>
    <n v="0"/>
    <n v="3"/>
    <n v="7.14"/>
    <x v="0"/>
  </r>
  <r>
    <x v="0"/>
    <s v="天塩郡天塩町"/>
    <x v="122"/>
    <x v="3"/>
    <n v="2"/>
    <n v="1.83"/>
    <n v="0"/>
    <n v="0"/>
    <n v="0"/>
    <n v="0"/>
    <x v="0"/>
  </r>
  <r>
    <x v="0"/>
    <s v="天塩郡天塩町"/>
    <x v="122"/>
    <x v="4"/>
    <n v="1"/>
    <n v="0.92"/>
    <n v="0"/>
    <n v="0"/>
    <n v="1"/>
    <n v="2.38"/>
    <x v="0"/>
  </r>
  <r>
    <x v="0"/>
    <s v="天塩郡天塩町"/>
    <x v="122"/>
    <x v="5"/>
    <n v="2"/>
    <n v="1.83"/>
    <n v="0"/>
    <n v="0"/>
    <n v="2"/>
    <n v="4.76"/>
    <x v="0"/>
  </r>
  <r>
    <x v="0"/>
    <s v="天塩郡天塩町"/>
    <x v="122"/>
    <x v="6"/>
    <n v="31"/>
    <n v="28.44"/>
    <n v="12"/>
    <n v="20.69"/>
    <n v="19"/>
    <n v="45.24"/>
    <x v="0"/>
  </r>
  <r>
    <x v="0"/>
    <s v="天塩郡天塩町"/>
    <x v="122"/>
    <x v="7"/>
    <n v="1"/>
    <n v="0.92"/>
    <n v="0"/>
    <n v="0"/>
    <n v="1"/>
    <n v="2.38"/>
    <x v="0"/>
  </r>
  <r>
    <x v="0"/>
    <s v="天塩郡天塩町"/>
    <x v="122"/>
    <x v="8"/>
    <n v="7"/>
    <n v="6.42"/>
    <n v="4"/>
    <n v="6.9"/>
    <n v="3"/>
    <n v="7.14"/>
    <x v="0"/>
  </r>
  <r>
    <x v="0"/>
    <s v="天塩郡天塩町"/>
    <x v="122"/>
    <x v="9"/>
    <n v="2"/>
    <n v="1.83"/>
    <n v="1"/>
    <n v="1.72"/>
    <n v="1"/>
    <n v="2.38"/>
    <x v="0"/>
  </r>
  <r>
    <x v="0"/>
    <s v="天塩郡天塩町"/>
    <x v="122"/>
    <x v="10"/>
    <n v="24"/>
    <n v="22.02"/>
    <n v="23"/>
    <n v="39.659999999999997"/>
    <n v="1"/>
    <n v="2.38"/>
    <x v="0"/>
  </r>
  <r>
    <x v="0"/>
    <s v="天塩郡天塩町"/>
    <x v="122"/>
    <x v="11"/>
    <n v="15"/>
    <n v="13.76"/>
    <n v="13"/>
    <n v="22.41"/>
    <n v="0"/>
    <n v="0"/>
    <x v="0"/>
  </r>
  <r>
    <x v="0"/>
    <s v="天塩郡天塩町"/>
    <x v="122"/>
    <x v="12"/>
    <n v="2"/>
    <n v="1.83"/>
    <n v="0"/>
    <n v="0"/>
    <n v="1"/>
    <n v="2.38"/>
    <x v="0"/>
  </r>
  <r>
    <x v="0"/>
    <s v="天塩郡天塩町"/>
    <x v="122"/>
    <x v="13"/>
    <n v="4"/>
    <n v="3.67"/>
    <n v="0"/>
    <n v="0"/>
    <n v="0"/>
    <n v="0"/>
    <x v="0"/>
  </r>
  <r>
    <x v="0"/>
    <s v="天塩郡天塩町"/>
    <x v="122"/>
    <x v="14"/>
    <n v="3"/>
    <n v="2.75"/>
    <n v="2"/>
    <n v="3.45"/>
    <n v="1"/>
    <n v="2.38"/>
    <x v="0"/>
  </r>
  <r>
    <x v="0"/>
    <s v="宗谷郡猿払村"/>
    <x v="123"/>
    <x v="0"/>
    <n v="0"/>
    <n v="0"/>
    <n v="0"/>
    <n v="0"/>
    <n v="0"/>
    <n v="0"/>
    <x v="0"/>
  </r>
  <r>
    <x v="0"/>
    <s v="宗谷郡猿払村"/>
    <x v="123"/>
    <x v="1"/>
    <n v="4"/>
    <n v="10.26"/>
    <n v="1"/>
    <n v="9.09"/>
    <n v="3"/>
    <n v="11.54"/>
    <x v="0"/>
  </r>
  <r>
    <x v="0"/>
    <s v="宗谷郡猿払村"/>
    <x v="123"/>
    <x v="2"/>
    <n v="5"/>
    <n v="12.82"/>
    <n v="1"/>
    <n v="9.09"/>
    <n v="4"/>
    <n v="15.38"/>
    <x v="0"/>
  </r>
  <r>
    <x v="0"/>
    <s v="宗谷郡猿払村"/>
    <x v="123"/>
    <x v="3"/>
    <n v="1"/>
    <n v="2.56"/>
    <n v="0"/>
    <n v="0"/>
    <n v="0"/>
    <n v="0"/>
    <x v="0"/>
  </r>
  <r>
    <x v="0"/>
    <s v="宗谷郡猿払村"/>
    <x v="123"/>
    <x v="4"/>
    <n v="0"/>
    <n v="0"/>
    <n v="0"/>
    <n v="0"/>
    <n v="0"/>
    <n v="0"/>
    <x v="0"/>
  </r>
  <r>
    <x v="0"/>
    <s v="宗谷郡猿払村"/>
    <x v="123"/>
    <x v="5"/>
    <n v="1"/>
    <n v="2.56"/>
    <n v="0"/>
    <n v="0"/>
    <n v="1"/>
    <n v="3.85"/>
    <x v="0"/>
  </r>
  <r>
    <x v="0"/>
    <s v="宗谷郡猿払村"/>
    <x v="123"/>
    <x v="6"/>
    <n v="11"/>
    <n v="28.21"/>
    <n v="2"/>
    <n v="18.18"/>
    <n v="9"/>
    <n v="34.619999999999997"/>
    <x v="0"/>
  </r>
  <r>
    <x v="0"/>
    <s v="宗谷郡猿払村"/>
    <x v="123"/>
    <x v="7"/>
    <n v="0"/>
    <n v="0"/>
    <n v="0"/>
    <n v="0"/>
    <n v="0"/>
    <n v="0"/>
    <x v="0"/>
  </r>
  <r>
    <x v="0"/>
    <s v="宗谷郡猿払村"/>
    <x v="123"/>
    <x v="8"/>
    <n v="0"/>
    <n v="0"/>
    <n v="0"/>
    <n v="0"/>
    <n v="0"/>
    <n v="0"/>
    <x v="0"/>
  </r>
  <r>
    <x v="0"/>
    <s v="宗谷郡猿払村"/>
    <x v="123"/>
    <x v="9"/>
    <n v="1"/>
    <n v="2.56"/>
    <n v="0"/>
    <n v="0"/>
    <n v="1"/>
    <n v="3.85"/>
    <x v="0"/>
  </r>
  <r>
    <x v="0"/>
    <s v="宗谷郡猿払村"/>
    <x v="123"/>
    <x v="10"/>
    <n v="7"/>
    <n v="17.95"/>
    <n v="5"/>
    <n v="45.45"/>
    <n v="1"/>
    <n v="3.85"/>
    <x v="0"/>
  </r>
  <r>
    <x v="0"/>
    <s v="宗谷郡猿払村"/>
    <x v="123"/>
    <x v="11"/>
    <n v="3"/>
    <n v="7.69"/>
    <n v="2"/>
    <n v="18.18"/>
    <n v="1"/>
    <n v="3.85"/>
    <x v="0"/>
  </r>
  <r>
    <x v="0"/>
    <s v="宗谷郡猿払村"/>
    <x v="123"/>
    <x v="12"/>
    <n v="0"/>
    <n v="0"/>
    <n v="0"/>
    <n v="0"/>
    <n v="0"/>
    <n v="0"/>
    <x v="0"/>
  </r>
  <r>
    <x v="0"/>
    <s v="宗谷郡猿払村"/>
    <x v="123"/>
    <x v="13"/>
    <n v="1"/>
    <n v="2.56"/>
    <n v="0"/>
    <n v="0"/>
    <n v="1"/>
    <n v="3.85"/>
    <x v="0"/>
  </r>
  <r>
    <x v="0"/>
    <s v="宗谷郡猿払村"/>
    <x v="123"/>
    <x v="14"/>
    <n v="5"/>
    <n v="12.82"/>
    <n v="0"/>
    <n v="0"/>
    <n v="5"/>
    <n v="19.23"/>
    <x v="0"/>
  </r>
  <r>
    <x v="0"/>
    <s v="枝幸郡浜頓別町"/>
    <x v="124"/>
    <x v="0"/>
    <n v="0"/>
    <n v="0"/>
    <n v="0"/>
    <n v="0"/>
    <n v="0"/>
    <n v="0"/>
    <x v="0"/>
  </r>
  <r>
    <x v="0"/>
    <s v="枝幸郡浜頓別町"/>
    <x v="124"/>
    <x v="1"/>
    <n v="13"/>
    <n v="13"/>
    <n v="3"/>
    <n v="6.52"/>
    <n v="10"/>
    <n v="21.28"/>
    <x v="0"/>
  </r>
  <r>
    <x v="0"/>
    <s v="枝幸郡浜頓別町"/>
    <x v="124"/>
    <x v="2"/>
    <n v="5"/>
    <n v="5"/>
    <n v="1"/>
    <n v="2.17"/>
    <n v="4"/>
    <n v="8.51"/>
    <x v="0"/>
  </r>
  <r>
    <x v="0"/>
    <s v="枝幸郡浜頓別町"/>
    <x v="124"/>
    <x v="3"/>
    <n v="1"/>
    <n v="1"/>
    <n v="0"/>
    <n v="0"/>
    <n v="0"/>
    <n v="0"/>
    <x v="0"/>
  </r>
  <r>
    <x v="0"/>
    <s v="枝幸郡浜頓別町"/>
    <x v="124"/>
    <x v="4"/>
    <n v="1"/>
    <n v="1"/>
    <n v="0"/>
    <n v="0"/>
    <n v="1"/>
    <n v="2.13"/>
    <x v="0"/>
  </r>
  <r>
    <x v="0"/>
    <s v="枝幸郡浜頓別町"/>
    <x v="124"/>
    <x v="5"/>
    <n v="2"/>
    <n v="2"/>
    <n v="0"/>
    <n v="0"/>
    <n v="2"/>
    <n v="4.26"/>
    <x v="0"/>
  </r>
  <r>
    <x v="0"/>
    <s v="枝幸郡浜頓別町"/>
    <x v="124"/>
    <x v="6"/>
    <n v="25"/>
    <n v="25"/>
    <n v="8"/>
    <n v="17.39"/>
    <n v="17"/>
    <n v="36.17"/>
    <x v="0"/>
  </r>
  <r>
    <x v="0"/>
    <s v="枝幸郡浜頓別町"/>
    <x v="124"/>
    <x v="7"/>
    <n v="1"/>
    <n v="1"/>
    <n v="0"/>
    <n v="0"/>
    <n v="1"/>
    <n v="2.13"/>
    <x v="0"/>
  </r>
  <r>
    <x v="0"/>
    <s v="枝幸郡浜頓別町"/>
    <x v="124"/>
    <x v="8"/>
    <n v="11"/>
    <n v="11"/>
    <n v="9"/>
    <n v="19.57"/>
    <n v="2"/>
    <n v="4.26"/>
    <x v="0"/>
  </r>
  <r>
    <x v="0"/>
    <s v="枝幸郡浜頓別町"/>
    <x v="124"/>
    <x v="9"/>
    <n v="2"/>
    <n v="2"/>
    <n v="0"/>
    <n v="0"/>
    <n v="1"/>
    <n v="2.13"/>
    <x v="0"/>
  </r>
  <r>
    <x v="0"/>
    <s v="枝幸郡浜頓別町"/>
    <x v="124"/>
    <x v="10"/>
    <n v="14"/>
    <n v="14"/>
    <n v="10"/>
    <n v="21.74"/>
    <n v="4"/>
    <n v="8.51"/>
    <x v="0"/>
  </r>
  <r>
    <x v="0"/>
    <s v="枝幸郡浜頓別町"/>
    <x v="124"/>
    <x v="11"/>
    <n v="13"/>
    <n v="13"/>
    <n v="11"/>
    <n v="23.91"/>
    <n v="0"/>
    <n v="0"/>
    <x v="0"/>
  </r>
  <r>
    <x v="0"/>
    <s v="枝幸郡浜頓別町"/>
    <x v="124"/>
    <x v="12"/>
    <n v="4"/>
    <n v="4"/>
    <n v="1"/>
    <n v="2.17"/>
    <n v="0"/>
    <n v="0"/>
    <x v="0"/>
  </r>
  <r>
    <x v="0"/>
    <s v="枝幸郡浜頓別町"/>
    <x v="124"/>
    <x v="13"/>
    <n v="3"/>
    <n v="3"/>
    <n v="2"/>
    <n v="4.3499999999999996"/>
    <n v="1"/>
    <n v="2.13"/>
    <x v="0"/>
  </r>
  <r>
    <x v="0"/>
    <s v="枝幸郡浜頓別町"/>
    <x v="124"/>
    <x v="14"/>
    <n v="5"/>
    <n v="5"/>
    <n v="1"/>
    <n v="2.17"/>
    <n v="4"/>
    <n v="8.51"/>
    <x v="0"/>
  </r>
  <r>
    <x v="0"/>
    <s v="枝幸郡中頓別町"/>
    <x v="125"/>
    <x v="0"/>
    <n v="0"/>
    <n v="0"/>
    <n v="0"/>
    <n v="0"/>
    <n v="0"/>
    <n v="0"/>
    <x v="0"/>
  </r>
  <r>
    <x v="0"/>
    <s v="枝幸郡中頓別町"/>
    <x v="125"/>
    <x v="1"/>
    <n v="5"/>
    <n v="8.06"/>
    <n v="1"/>
    <n v="2.86"/>
    <n v="4"/>
    <n v="16.670000000000002"/>
    <x v="0"/>
  </r>
  <r>
    <x v="0"/>
    <s v="枝幸郡中頓別町"/>
    <x v="125"/>
    <x v="2"/>
    <n v="7"/>
    <n v="11.29"/>
    <n v="3"/>
    <n v="8.57"/>
    <n v="3"/>
    <n v="12.5"/>
    <x v="1"/>
  </r>
  <r>
    <x v="0"/>
    <s v="枝幸郡中頓別町"/>
    <x v="125"/>
    <x v="3"/>
    <n v="2"/>
    <n v="3.23"/>
    <n v="0"/>
    <n v="0"/>
    <n v="1"/>
    <n v="4.17"/>
    <x v="0"/>
  </r>
  <r>
    <x v="0"/>
    <s v="枝幸郡中頓別町"/>
    <x v="125"/>
    <x v="4"/>
    <n v="0"/>
    <n v="0"/>
    <n v="0"/>
    <n v="0"/>
    <n v="0"/>
    <n v="0"/>
    <x v="0"/>
  </r>
  <r>
    <x v="0"/>
    <s v="枝幸郡中頓別町"/>
    <x v="125"/>
    <x v="5"/>
    <n v="4"/>
    <n v="6.45"/>
    <n v="1"/>
    <n v="2.86"/>
    <n v="3"/>
    <n v="12.5"/>
    <x v="0"/>
  </r>
  <r>
    <x v="0"/>
    <s v="枝幸郡中頓別町"/>
    <x v="125"/>
    <x v="6"/>
    <n v="15"/>
    <n v="24.19"/>
    <n v="8"/>
    <n v="22.86"/>
    <n v="7"/>
    <n v="29.17"/>
    <x v="0"/>
  </r>
  <r>
    <x v="0"/>
    <s v="枝幸郡中頓別町"/>
    <x v="125"/>
    <x v="7"/>
    <n v="0"/>
    <n v="0"/>
    <n v="0"/>
    <n v="0"/>
    <n v="0"/>
    <n v="0"/>
    <x v="0"/>
  </r>
  <r>
    <x v="0"/>
    <s v="枝幸郡中頓別町"/>
    <x v="125"/>
    <x v="8"/>
    <n v="1"/>
    <n v="1.61"/>
    <n v="0"/>
    <n v="0"/>
    <n v="1"/>
    <n v="4.17"/>
    <x v="0"/>
  </r>
  <r>
    <x v="0"/>
    <s v="枝幸郡中頓別町"/>
    <x v="125"/>
    <x v="9"/>
    <n v="0"/>
    <n v="0"/>
    <n v="0"/>
    <n v="0"/>
    <n v="0"/>
    <n v="0"/>
    <x v="0"/>
  </r>
  <r>
    <x v="0"/>
    <s v="枝幸郡中頓別町"/>
    <x v="125"/>
    <x v="10"/>
    <n v="12"/>
    <n v="19.350000000000001"/>
    <n v="12"/>
    <n v="34.29"/>
    <n v="0"/>
    <n v="0"/>
    <x v="0"/>
  </r>
  <r>
    <x v="0"/>
    <s v="枝幸郡中頓別町"/>
    <x v="125"/>
    <x v="11"/>
    <n v="5"/>
    <n v="8.06"/>
    <n v="4"/>
    <n v="11.43"/>
    <n v="1"/>
    <n v="4.17"/>
    <x v="0"/>
  </r>
  <r>
    <x v="0"/>
    <s v="枝幸郡中頓別町"/>
    <x v="125"/>
    <x v="12"/>
    <n v="2"/>
    <n v="3.23"/>
    <n v="1"/>
    <n v="2.86"/>
    <n v="0"/>
    <n v="0"/>
    <x v="0"/>
  </r>
  <r>
    <x v="0"/>
    <s v="枝幸郡中頓別町"/>
    <x v="125"/>
    <x v="13"/>
    <n v="5"/>
    <n v="8.06"/>
    <n v="2"/>
    <n v="5.71"/>
    <n v="3"/>
    <n v="12.5"/>
    <x v="0"/>
  </r>
  <r>
    <x v="0"/>
    <s v="枝幸郡中頓別町"/>
    <x v="125"/>
    <x v="14"/>
    <n v="4"/>
    <n v="6.45"/>
    <n v="3"/>
    <n v="8.57"/>
    <n v="1"/>
    <n v="4.17"/>
    <x v="0"/>
  </r>
  <r>
    <x v="0"/>
    <s v="枝幸郡枝幸町"/>
    <x v="126"/>
    <x v="0"/>
    <n v="0"/>
    <n v="0"/>
    <n v="0"/>
    <n v="0"/>
    <n v="0"/>
    <n v="0"/>
    <x v="0"/>
  </r>
  <r>
    <x v="0"/>
    <s v="枝幸郡枝幸町"/>
    <x v="126"/>
    <x v="1"/>
    <n v="31"/>
    <n v="13.48"/>
    <n v="19"/>
    <n v="13.19"/>
    <n v="12"/>
    <n v="15.38"/>
    <x v="0"/>
  </r>
  <r>
    <x v="0"/>
    <s v="枝幸郡枝幸町"/>
    <x v="126"/>
    <x v="2"/>
    <n v="15"/>
    <n v="6.52"/>
    <n v="4"/>
    <n v="2.78"/>
    <n v="11"/>
    <n v="14.1"/>
    <x v="0"/>
  </r>
  <r>
    <x v="0"/>
    <s v="枝幸郡枝幸町"/>
    <x v="126"/>
    <x v="3"/>
    <n v="0"/>
    <n v="0"/>
    <n v="0"/>
    <n v="0"/>
    <n v="0"/>
    <n v="0"/>
    <x v="0"/>
  </r>
  <r>
    <x v="0"/>
    <s v="枝幸郡枝幸町"/>
    <x v="126"/>
    <x v="4"/>
    <n v="2"/>
    <n v="0.87"/>
    <n v="0"/>
    <n v="0"/>
    <n v="2"/>
    <n v="2.56"/>
    <x v="0"/>
  </r>
  <r>
    <x v="0"/>
    <s v="枝幸郡枝幸町"/>
    <x v="126"/>
    <x v="5"/>
    <n v="4"/>
    <n v="1.74"/>
    <n v="0"/>
    <n v="0"/>
    <n v="3"/>
    <n v="3.85"/>
    <x v="1"/>
  </r>
  <r>
    <x v="0"/>
    <s v="枝幸郡枝幸町"/>
    <x v="126"/>
    <x v="6"/>
    <n v="38"/>
    <n v="16.52"/>
    <n v="15"/>
    <n v="10.42"/>
    <n v="23"/>
    <n v="29.49"/>
    <x v="0"/>
  </r>
  <r>
    <x v="0"/>
    <s v="枝幸郡枝幸町"/>
    <x v="126"/>
    <x v="7"/>
    <n v="1"/>
    <n v="0.43"/>
    <n v="0"/>
    <n v="0"/>
    <n v="1"/>
    <n v="1.28"/>
    <x v="0"/>
  </r>
  <r>
    <x v="0"/>
    <s v="枝幸郡枝幸町"/>
    <x v="126"/>
    <x v="8"/>
    <n v="20"/>
    <n v="8.6999999999999993"/>
    <n v="12"/>
    <n v="8.33"/>
    <n v="8"/>
    <n v="10.26"/>
    <x v="0"/>
  </r>
  <r>
    <x v="0"/>
    <s v="枝幸郡枝幸町"/>
    <x v="126"/>
    <x v="9"/>
    <n v="9"/>
    <n v="3.91"/>
    <n v="5"/>
    <n v="3.47"/>
    <n v="3"/>
    <n v="3.85"/>
    <x v="0"/>
  </r>
  <r>
    <x v="0"/>
    <s v="枝幸郡枝幸町"/>
    <x v="126"/>
    <x v="10"/>
    <n v="39"/>
    <n v="16.96"/>
    <n v="35"/>
    <n v="24.31"/>
    <n v="4"/>
    <n v="5.13"/>
    <x v="0"/>
  </r>
  <r>
    <x v="0"/>
    <s v="枝幸郡枝幸町"/>
    <x v="126"/>
    <x v="11"/>
    <n v="37"/>
    <n v="16.09"/>
    <n v="33"/>
    <n v="22.92"/>
    <n v="4"/>
    <n v="5.13"/>
    <x v="0"/>
  </r>
  <r>
    <x v="0"/>
    <s v="枝幸郡枝幸町"/>
    <x v="126"/>
    <x v="12"/>
    <n v="5"/>
    <n v="2.17"/>
    <n v="5"/>
    <n v="3.47"/>
    <n v="0"/>
    <n v="0"/>
    <x v="0"/>
  </r>
  <r>
    <x v="0"/>
    <s v="枝幸郡枝幸町"/>
    <x v="126"/>
    <x v="13"/>
    <n v="17"/>
    <n v="7.39"/>
    <n v="7"/>
    <n v="4.8600000000000003"/>
    <n v="4"/>
    <n v="5.13"/>
    <x v="0"/>
  </r>
  <r>
    <x v="0"/>
    <s v="枝幸郡枝幸町"/>
    <x v="126"/>
    <x v="14"/>
    <n v="12"/>
    <n v="5.22"/>
    <n v="9"/>
    <n v="6.25"/>
    <n v="3"/>
    <n v="3.85"/>
    <x v="0"/>
  </r>
  <r>
    <x v="0"/>
    <s v="天塩郡豊富町"/>
    <x v="127"/>
    <x v="0"/>
    <n v="0"/>
    <n v="0"/>
    <n v="0"/>
    <n v="0"/>
    <n v="0"/>
    <n v="0"/>
    <x v="0"/>
  </r>
  <r>
    <x v="0"/>
    <s v="天塩郡豊富町"/>
    <x v="127"/>
    <x v="1"/>
    <n v="23"/>
    <n v="15.97"/>
    <n v="3"/>
    <n v="4.92"/>
    <n v="20"/>
    <n v="25.97"/>
    <x v="0"/>
  </r>
  <r>
    <x v="0"/>
    <s v="天塩郡豊富町"/>
    <x v="127"/>
    <x v="2"/>
    <n v="10"/>
    <n v="6.94"/>
    <n v="3"/>
    <n v="4.92"/>
    <n v="7"/>
    <n v="9.09"/>
    <x v="0"/>
  </r>
  <r>
    <x v="0"/>
    <s v="天塩郡豊富町"/>
    <x v="127"/>
    <x v="3"/>
    <n v="2"/>
    <n v="1.39"/>
    <n v="0"/>
    <n v="0"/>
    <n v="1"/>
    <n v="1.3"/>
    <x v="0"/>
  </r>
  <r>
    <x v="0"/>
    <s v="天塩郡豊富町"/>
    <x v="127"/>
    <x v="4"/>
    <n v="2"/>
    <n v="1.39"/>
    <n v="0"/>
    <n v="0"/>
    <n v="2"/>
    <n v="2.6"/>
    <x v="0"/>
  </r>
  <r>
    <x v="0"/>
    <s v="天塩郡豊富町"/>
    <x v="127"/>
    <x v="5"/>
    <n v="4"/>
    <n v="2.78"/>
    <n v="0"/>
    <n v="0"/>
    <n v="3"/>
    <n v="3.9"/>
    <x v="1"/>
  </r>
  <r>
    <x v="0"/>
    <s v="天塩郡豊富町"/>
    <x v="127"/>
    <x v="6"/>
    <n v="33"/>
    <n v="22.92"/>
    <n v="7"/>
    <n v="11.48"/>
    <n v="26"/>
    <n v="33.770000000000003"/>
    <x v="0"/>
  </r>
  <r>
    <x v="0"/>
    <s v="天塩郡豊富町"/>
    <x v="127"/>
    <x v="7"/>
    <n v="0"/>
    <n v="0"/>
    <n v="0"/>
    <n v="0"/>
    <n v="0"/>
    <n v="0"/>
    <x v="0"/>
  </r>
  <r>
    <x v="0"/>
    <s v="天塩郡豊富町"/>
    <x v="127"/>
    <x v="8"/>
    <n v="7"/>
    <n v="4.8600000000000003"/>
    <n v="5"/>
    <n v="8.1999999999999993"/>
    <n v="2"/>
    <n v="2.6"/>
    <x v="0"/>
  </r>
  <r>
    <x v="0"/>
    <s v="天塩郡豊富町"/>
    <x v="127"/>
    <x v="9"/>
    <n v="6"/>
    <n v="4.17"/>
    <n v="3"/>
    <n v="4.92"/>
    <n v="3"/>
    <n v="3.9"/>
    <x v="0"/>
  </r>
  <r>
    <x v="0"/>
    <s v="天塩郡豊富町"/>
    <x v="127"/>
    <x v="10"/>
    <n v="27"/>
    <n v="18.75"/>
    <n v="16"/>
    <n v="26.23"/>
    <n v="8"/>
    <n v="10.39"/>
    <x v="14"/>
  </r>
  <r>
    <x v="0"/>
    <s v="天塩郡豊富町"/>
    <x v="127"/>
    <x v="11"/>
    <n v="15"/>
    <n v="10.42"/>
    <n v="14"/>
    <n v="22.95"/>
    <n v="0"/>
    <n v="0"/>
    <x v="1"/>
  </r>
  <r>
    <x v="0"/>
    <s v="天塩郡豊富町"/>
    <x v="127"/>
    <x v="12"/>
    <n v="2"/>
    <n v="1.39"/>
    <n v="2"/>
    <n v="3.28"/>
    <n v="0"/>
    <n v="0"/>
    <x v="0"/>
  </r>
  <r>
    <x v="0"/>
    <s v="天塩郡豊富町"/>
    <x v="127"/>
    <x v="13"/>
    <n v="7"/>
    <n v="4.8600000000000003"/>
    <n v="5"/>
    <n v="8.1999999999999993"/>
    <n v="2"/>
    <n v="2.6"/>
    <x v="0"/>
  </r>
  <r>
    <x v="0"/>
    <s v="天塩郡豊富町"/>
    <x v="127"/>
    <x v="14"/>
    <n v="6"/>
    <n v="4.17"/>
    <n v="3"/>
    <n v="4.92"/>
    <n v="3"/>
    <n v="3.9"/>
    <x v="0"/>
  </r>
  <r>
    <x v="0"/>
    <s v="礼文郡礼文町"/>
    <x v="128"/>
    <x v="0"/>
    <n v="0"/>
    <n v="0"/>
    <n v="0"/>
    <n v="0"/>
    <n v="0"/>
    <n v="0"/>
    <x v="0"/>
  </r>
  <r>
    <x v="0"/>
    <s v="礼文郡礼文町"/>
    <x v="128"/>
    <x v="1"/>
    <n v="12"/>
    <n v="11.65"/>
    <n v="6"/>
    <n v="8.4499999999999993"/>
    <n v="6"/>
    <n v="23.08"/>
    <x v="0"/>
  </r>
  <r>
    <x v="0"/>
    <s v="礼文郡礼文町"/>
    <x v="128"/>
    <x v="2"/>
    <n v="8"/>
    <n v="7.77"/>
    <n v="5"/>
    <n v="7.04"/>
    <n v="3"/>
    <n v="11.54"/>
    <x v="0"/>
  </r>
  <r>
    <x v="0"/>
    <s v="礼文郡礼文町"/>
    <x v="128"/>
    <x v="3"/>
    <n v="1"/>
    <n v="0.97"/>
    <n v="0"/>
    <n v="0"/>
    <n v="0"/>
    <n v="0"/>
    <x v="0"/>
  </r>
  <r>
    <x v="0"/>
    <s v="礼文郡礼文町"/>
    <x v="128"/>
    <x v="4"/>
    <n v="0"/>
    <n v="0"/>
    <n v="0"/>
    <n v="0"/>
    <n v="0"/>
    <n v="0"/>
    <x v="0"/>
  </r>
  <r>
    <x v="0"/>
    <s v="礼文郡礼文町"/>
    <x v="128"/>
    <x v="5"/>
    <n v="3"/>
    <n v="2.91"/>
    <n v="0"/>
    <n v="0"/>
    <n v="2"/>
    <n v="7.69"/>
    <x v="0"/>
  </r>
  <r>
    <x v="0"/>
    <s v="礼文郡礼文町"/>
    <x v="128"/>
    <x v="6"/>
    <n v="29"/>
    <n v="28.16"/>
    <n v="19"/>
    <n v="26.76"/>
    <n v="10"/>
    <n v="38.46"/>
    <x v="0"/>
  </r>
  <r>
    <x v="0"/>
    <s v="礼文郡礼文町"/>
    <x v="128"/>
    <x v="7"/>
    <n v="0"/>
    <n v="0"/>
    <n v="0"/>
    <n v="0"/>
    <n v="0"/>
    <n v="0"/>
    <x v="0"/>
  </r>
  <r>
    <x v="0"/>
    <s v="礼文郡礼文町"/>
    <x v="128"/>
    <x v="8"/>
    <n v="3"/>
    <n v="2.91"/>
    <n v="2"/>
    <n v="2.82"/>
    <n v="1"/>
    <n v="3.85"/>
    <x v="0"/>
  </r>
  <r>
    <x v="0"/>
    <s v="礼文郡礼文町"/>
    <x v="128"/>
    <x v="9"/>
    <n v="3"/>
    <n v="2.91"/>
    <n v="1"/>
    <n v="1.41"/>
    <n v="0"/>
    <n v="0"/>
    <x v="0"/>
  </r>
  <r>
    <x v="0"/>
    <s v="礼文郡礼文町"/>
    <x v="128"/>
    <x v="10"/>
    <n v="30"/>
    <n v="29.13"/>
    <n v="27"/>
    <n v="38.03"/>
    <n v="3"/>
    <n v="11.54"/>
    <x v="0"/>
  </r>
  <r>
    <x v="0"/>
    <s v="礼文郡礼文町"/>
    <x v="128"/>
    <x v="11"/>
    <n v="8"/>
    <n v="7.77"/>
    <n v="8"/>
    <n v="11.27"/>
    <n v="0"/>
    <n v="0"/>
    <x v="0"/>
  </r>
  <r>
    <x v="0"/>
    <s v="礼文郡礼文町"/>
    <x v="128"/>
    <x v="12"/>
    <n v="0"/>
    <n v="0"/>
    <n v="0"/>
    <n v="0"/>
    <n v="0"/>
    <n v="0"/>
    <x v="0"/>
  </r>
  <r>
    <x v="0"/>
    <s v="礼文郡礼文町"/>
    <x v="128"/>
    <x v="13"/>
    <n v="1"/>
    <n v="0.97"/>
    <n v="1"/>
    <n v="1.41"/>
    <n v="0"/>
    <n v="0"/>
    <x v="0"/>
  </r>
  <r>
    <x v="0"/>
    <s v="礼文郡礼文町"/>
    <x v="128"/>
    <x v="14"/>
    <n v="5"/>
    <n v="4.8499999999999996"/>
    <n v="2"/>
    <n v="2.82"/>
    <n v="1"/>
    <n v="3.85"/>
    <x v="0"/>
  </r>
  <r>
    <x v="0"/>
    <s v="利尻郡利尻町"/>
    <x v="129"/>
    <x v="0"/>
    <n v="0"/>
    <n v="0"/>
    <n v="0"/>
    <n v="0"/>
    <n v="0"/>
    <n v="0"/>
    <x v="0"/>
  </r>
  <r>
    <x v="0"/>
    <s v="利尻郡利尻町"/>
    <x v="129"/>
    <x v="1"/>
    <n v="10"/>
    <n v="10.1"/>
    <n v="7"/>
    <n v="12.07"/>
    <n v="3"/>
    <n v="8.82"/>
    <x v="0"/>
  </r>
  <r>
    <x v="0"/>
    <s v="利尻郡利尻町"/>
    <x v="129"/>
    <x v="2"/>
    <n v="7"/>
    <n v="7.07"/>
    <n v="0"/>
    <n v="0"/>
    <n v="7"/>
    <n v="20.59"/>
    <x v="0"/>
  </r>
  <r>
    <x v="0"/>
    <s v="利尻郡利尻町"/>
    <x v="129"/>
    <x v="3"/>
    <n v="2"/>
    <n v="2.02"/>
    <n v="0"/>
    <n v="0"/>
    <n v="1"/>
    <n v="2.94"/>
    <x v="0"/>
  </r>
  <r>
    <x v="0"/>
    <s v="利尻郡利尻町"/>
    <x v="129"/>
    <x v="4"/>
    <n v="1"/>
    <n v="1.01"/>
    <n v="0"/>
    <n v="0"/>
    <n v="1"/>
    <n v="2.94"/>
    <x v="0"/>
  </r>
  <r>
    <x v="0"/>
    <s v="利尻郡利尻町"/>
    <x v="129"/>
    <x v="5"/>
    <n v="1"/>
    <n v="1.01"/>
    <n v="0"/>
    <n v="0"/>
    <n v="1"/>
    <n v="2.94"/>
    <x v="0"/>
  </r>
  <r>
    <x v="0"/>
    <s v="利尻郡利尻町"/>
    <x v="129"/>
    <x v="6"/>
    <n v="37"/>
    <n v="37.369999999999997"/>
    <n v="23"/>
    <n v="39.659999999999997"/>
    <n v="14"/>
    <n v="41.18"/>
    <x v="0"/>
  </r>
  <r>
    <x v="0"/>
    <s v="利尻郡利尻町"/>
    <x v="129"/>
    <x v="7"/>
    <n v="1"/>
    <n v="1.01"/>
    <n v="0"/>
    <n v="0"/>
    <n v="1"/>
    <n v="2.94"/>
    <x v="0"/>
  </r>
  <r>
    <x v="0"/>
    <s v="利尻郡利尻町"/>
    <x v="129"/>
    <x v="8"/>
    <n v="0"/>
    <n v="0"/>
    <n v="0"/>
    <n v="0"/>
    <n v="0"/>
    <n v="0"/>
    <x v="0"/>
  </r>
  <r>
    <x v="0"/>
    <s v="利尻郡利尻町"/>
    <x v="129"/>
    <x v="9"/>
    <n v="1"/>
    <n v="1.01"/>
    <n v="0"/>
    <n v="0"/>
    <n v="1"/>
    <n v="2.94"/>
    <x v="0"/>
  </r>
  <r>
    <x v="0"/>
    <s v="利尻郡利尻町"/>
    <x v="129"/>
    <x v="10"/>
    <n v="22"/>
    <n v="22.22"/>
    <n v="20"/>
    <n v="34.479999999999997"/>
    <n v="2"/>
    <n v="5.88"/>
    <x v="0"/>
  </r>
  <r>
    <x v="0"/>
    <s v="利尻郡利尻町"/>
    <x v="129"/>
    <x v="11"/>
    <n v="9"/>
    <n v="9.09"/>
    <n v="7"/>
    <n v="12.07"/>
    <n v="1"/>
    <n v="2.94"/>
    <x v="0"/>
  </r>
  <r>
    <x v="0"/>
    <s v="利尻郡利尻町"/>
    <x v="129"/>
    <x v="12"/>
    <n v="1"/>
    <n v="1.01"/>
    <n v="0"/>
    <n v="0"/>
    <n v="0"/>
    <n v="0"/>
    <x v="0"/>
  </r>
  <r>
    <x v="0"/>
    <s v="利尻郡利尻町"/>
    <x v="129"/>
    <x v="13"/>
    <n v="5"/>
    <n v="5.05"/>
    <n v="1"/>
    <n v="1.72"/>
    <n v="1"/>
    <n v="2.94"/>
    <x v="0"/>
  </r>
  <r>
    <x v="0"/>
    <s v="利尻郡利尻町"/>
    <x v="129"/>
    <x v="14"/>
    <n v="2"/>
    <n v="2.02"/>
    <n v="0"/>
    <n v="0"/>
    <n v="1"/>
    <n v="2.94"/>
    <x v="0"/>
  </r>
  <r>
    <x v="0"/>
    <s v="利尻郡利尻富士町"/>
    <x v="130"/>
    <x v="0"/>
    <n v="0"/>
    <n v="0"/>
    <n v="0"/>
    <n v="0"/>
    <n v="0"/>
    <n v="0"/>
    <x v="0"/>
  </r>
  <r>
    <x v="0"/>
    <s v="利尻郡利尻富士町"/>
    <x v="130"/>
    <x v="1"/>
    <n v="12"/>
    <n v="10"/>
    <n v="5"/>
    <n v="8.33"/>
    <n v="7"/>
    <n v="14.29"/>
    <x v="0"/>
  </r>
  <r>
    <x v="0"/>
    <s v="利尻郡利尻富士町"/>
    <x v="130"/>
    <x v="2"/>
    <n v="8"/>
    <n v="6.67"/>
    <n v="1"/>
    <n v="1.67"/>
    <n v="7"/>
    <n v="14.29"/>
    <x v="0"/>
  </r>
  <r>
    <x v="0"/>
    <s v="利尻郡利尻富士町"/>
    <x v="130"/>
    <x v="3"/>
    <n v="2"/>
    <n v="1.67"/>
    <n v="0"/>
    <n v="0"/>
    <n v="1"/>
    <n v="2.04"/>
    <x v="0"/>
  </r>
  <r>
    <x v="0"/>
    <s v="利尻郡利尻富士町"/>
    <x v="130"/>
    <x v="4"/>
    <n v="0"/>
    <n v="0"/>
    <n v="0"/>
    <n v="0"/>
    <n v="0"/>
    <n v="0"/>
    <x v="0"/>
  </r>
  <r>
    <x v="0"/>
    <s v="利尻郡利尻富士町"/>
    <x v="130"/>
    <x v="5"/>
    <n v="4"/>
    <n v="3.33"/>
    <n v="1"/>
    <n v="1.67"/>
    <n v="3"/>
    <n v="6.12"/>
    <x v="0"/>
  </r>
  <r>
    <x v="0"/>
    <s v="利尻郡利尻富士町"/>
    <x v="130"/>
    <x v="6"/>
    <n v="35"/>
    <n v="29.17"/>
    <n v="12"/>
    <n v="20"/>
    <n v="23"/>
    <n v="46.94"/>
    <x v="0"/>
  </r>
  <r>
    <x v="0"/>
    <s v="利尻郡利尻富士町"/>
    <x v="130"/>
    <x v="7"/>
    <n v="0"/>
    <n v="0"/>
    <n v="0"/>
    <n v="0"/>
    <n v="0"/>
    <n v="0"/>
    <x v="0"/>
  </r>
  <r>
    <x v="0"/>
    <s v="利尻郡利尻富士町"/>
    <x v="130"/>
    <x v="8"/>
    <n v="2"/>
    <n v="1.67"/>
    <n v="0"/>
    <n v="0"/>
    <n v="2"/>
    <n v="4.08"/>
    <x v="0"/>
  </r>
  <r>
    <x v="0"/>
    <s v="利尻郡利尻富士町"/>
    <x v="130"/>
    <x v="9"/>
    <n v="5"/>
    <n v="4.17"/>
    <n v="2"/>
    <n v="3.33"/>
    <n v="1"/>
    <n v="2.04"/>
    <x v="0"/>
  </r>
  <r>
    <x v="0"/>
    <s v="利尻郡利尻富士町"/>
    <x v="130"/>
    <x v="10"/>
    <n v="30"/>
    <n v="25"/>
    <n v="27"/>
    <n v="45"/>
    <n v="3"/>
    <n v="6.12"/>
    <x v="0"/>
  </r>
  <r>
    <x v="0"/>
    <s v="利尻郡利尻富士町"/>
    <x v="130"/>
    <x v="11"/>
    <n v="11"/>
    <n v="9.17"/>
    <n v="9"/>
    <n v="15"/>
    <n v="1"/>
    <n v="2.04"/>
    <x v="0"/>
  </r>
  <r>
    <x v="0"/>
    <s v="利尻郡利尻富士町"/>
    <x v="130"/>
    <x v="12"/>
    <n v="2"/>
    <n v="1.67"/>
    <n v="0"/>
    <n v="0"/>
    <n v="0"/>
    <n v="0"/>
    <x v="0"/>
  </r>
  <r>
    <x v="0"/>
    <s v="利尻郡利尻富士町"/>
    <x v="130"/>
    <x v="13"/>
    <n v="6"/>
    <n v="5"/>
    <n v="1"/>
    <n v="1.67"/>
    <n v="1"/>
    <n v="2.04"/>
    <x v="0"/>
  </r>
  <r>
    <x v="0"/>
    <s v="利尻郡利尻富士町"/>
    <x v="130"/>
    <x v="14"/>
    <n v="3"/>
    <n v="2.5"/>
    <n v="2"/>
    <n v="3.33"/>
    <n v="0"/>
    <n v="0"/>
    <x v="0"/>
  </r>
  <r>
    <x v="0"/>
    <s v="天塩郡幌延町"/>
    <x v="131"/>
    <x v="0"/>
    <n v="1"/>
    <n v="1.2"/>
    <n v="0"/>
    <n v="0"/>
    <n v="1"/>
    <n v="2.2200000000000002"/>
    <x v="0"/>
  </r>
  <r>
    <x v="0"/>
    <s v="天塩郡幌延町"/>
    <x v="131"/>
    <x v="1"/>
    <n v="8"/>
    <n v="9.64"/>
    <n v="3"/>
    <n v="9.3800000000000008"/>
    <n v="5"/>
    <n v="11.11"/>
    <x v="0"/>
  </r>
  <r>
    <x v="0"/>
    <s v="天塩郡幌延町"/>
    <x v="131"/>
    <x v="2"/>
    <n v="4"/>
    <n v="4.82"/>
    <n v="1"/>
    <n v="3.13"/>
    <n v="3"/>
    <n v="6.67"/>
    <x v="0"/>
  </r>
  <r>
    <x v="0"/>
    <s v="天塩郡幌延町"/>
    <x v="131"/>
    <x v="3"/>
    <n v="3"/>
    <n v="3.61"/>
    <n v="0"/>
    <n v="0"/>
    <n v="2"/>
    <n v="4.4400000000000004"/>
    <x v="0"/>
  </r>
  <r>
    <x v="0"/>
    <s v="天塩郡幌延町"/>
    <x v="131"/>
    <x v="4"/>
    <n v="1"/>
    <n v="1.2"/>
    <n v="1"/>
    <n v="3.13"/>
    <n v="0"/>
    <n v="0"/>
    <x v="0"/>
  </r>
  <r>
    <x v="0"/>
    <s v="天塩郡幌延町"/>
    <x v="131"/>
    <x v="5"/>
    <n v="1"/>
    <n v="1.2"/>
    <n v="0"/>
    <n v="0"/>
    <n v="1"/>
    <n v="2.2200000000000002"/>
    <x v="0"/>
  </r>
  <r>
    <x v="0"/>
    <s v="天塩郡幌延町"/>
    <x v="131"/>
    <x v="6"/>
    <n v="17"/>
    <n v="20.48"/>
    <n v="5"/>
    <n v="15.63"/>
    <n v="12"/>
    <n v="26.67"/>
    <x v="0"/>
  </r>
  <r>
    <x v="0"/>
    <s v="天塩郡幌延町"/>
    <x v="131"/>
    <x v="7"/>
    <n v="0"/>
    <n v="0"/>
    <n v="0"/>
    <n v="0"/>
    <n v="0"/>
    <n v="0"/>
    <x v="0"/>
  </r>
  <r>
    <x v="0"/>
    <s v="天塩郡幌延町"/>
    <x v="131"/>
    <x v="8"/>
    <n v="11"/>
    <n v="13.25"/>
    <n v="5"/>
    <n v="15.63"/>
    <n v="6"/>
    <n v="13.33"/>
    <x v="0"/>
  </r>
  <r>
    <x v="0"/>
    <s v="天塩郡幌延町"/>
    <x v="131"/>
    <x v="9"/>
    <n v="1"/>
    <n v="1.2"/>
    <n v="0"/>
    <n v="0"/>
    <n v="1"/>
    <n v="2.2200000000000002"/>
    <x v="0"/>
  </r>
  <r>
    <x v="0"/>
    <s v="天塩郡幌延町"/>
    <x v="131"/>
    <x v="10"/>
    <n v="16"/>
    <n v="19.28"/>
    <n v="10"/>
    <n v="31.25"/>
    <n v="6"/>
    <n v="13.33"/>
    <x v="0"/>
  </r>
  <r>
    <x v="0"/>
    <s v="天塩郡幌延町"/>
    <x v="131"/>
    <x v="11"/>
    <n v="3"/>
    <n v="3.61"/>
    <n v="3"/>
    <n v="9.3800000000000008"/>
    <n v="0"/>
    <n v="0"/>
    <x v="0"/>
  </r>
  <r>
    <x v="0"/>
    <s v="天塩郡幌延町"/>
    <x v="131"/>
    <x v="12"/>
    <n v="5"/>
    <n v="6.02"/>
    <n v="2"/>
    <n v="6.25"/>
    <n v="1"/>
    <n v="2.2200000000000002"/>
    <x v="0"/>
  </r>
  <r>
    <x v="0"/>
    <s v="天塩郡幌延町"/>
    <x v="131"/>
    <x v="13"/>
    <n v="6"/>
    <n v="7.23"/>
    <n v="1"/>
    <n v="3.13"/>
    <n v="2"/>
    <n v="4.4400000000000004"/>
    <x v="0"/>
  </r>
  <r>
    <x v="0"/>
    <s v="天塩郡幌延町"/>
    <x v="131"/>
    <x v="14"/>
    <n v="6"/>
    <n v="7.23"/>
    <n v="1"/>
    <n v="3.13"/>
    <n v="5"/>
    <n v="11.11"/>
    <x v="0"/>
  </r>
  <r>
    <x v="0"/>
    <s v="網走郡美幌町"/>
    <x v="132"/>
    <x v="0"/>
    <n v="0"/>
    <n v="0"/>
    <n v="0"/>
    <n v="0"/>
    <n v="0"/>
    <n v="0"/>
    <x v="0"/>
  </r>
  <r>
    <x v="0"/>
    <s v="網走郡美幌町"/>
    <x v="132"/>
    <x v="1"/>
    <n v="34"/>
    <n v="7.67"/>
    <n v="11"/>
    <n v="4.12"/>
    <n v="23"/>
    <n v="13.61"/>
    <x v="0"/>
  </r>
  <r>
    <x v="0"/>
    <s v="網走郡美幌町"/>
    <x v="132"/>
    <x v="2"/>
    <n v="20"/>
    <n v="4.51"/>
    <n v="7"/>
    <n v="2.62"/>
    <n v="13"/>
    <n v="7.69"/>
    <x v="0"/>
  </r>
  <r>
    <x v="0"/>
    <s v="網走郡美幌町"/>
    <x v="132"/>
    <x v="3"/>
    <n v="2"/>
    <n v="0.45"/>
    <n v="0"/>
    <n v="0"/>
    <n v="2"/>
    <n v="1.18"/>
    <x v="0"/>
  </r>
  <r>
    <x v="0"/>
    <s v="網走郡美幌町"/>
    <x v="132"/>
    <x v="4"/>
    <n v="4"/>
    <n v="0.9"/>
    <n v="0"/>
    <n v="0"/>
    <n v="4"/>
    <n v="2.37"/>
    <x v="0"/>
  </r>
  <r>
    <x v="0"/>
    <s v="網走郡美幌町"/>
    <x v="132"/>
    <x v="5"/>
    <n v="7"/>
    <n v="1.58"/>
    <n v="4"/>
    <n v="1.5"/>
    <n v="3"/>
    <n v="1.78"/>
    <x v="0"/>
  </r>
  <r>
    <x v="0"/>
    <s v="網走郡美幌町"/>
    <x v="132"/>
    <x v="6"/>
    <n v="123"/>
    <n v="27.77"/>
    <n v="52"/>
    <n v="19.48"/>
    <n v="70"/>
    <n v="41.42"/>
    <x v="1"/>
  </r>
  <r>
    <x v="0"/>
    <s v="網走郡美幌町"/>
    <x v="132"/>
    <x v="7"/>
    <n v="7"/>
    <n v="1.58"/>
    <n v="2"/>
    <n v="0.75"/>
    <n v="5"/>
    <n v="2.96"/>
    <x v="0"/>
  </r>
  <r>
    <x v="0"/>
    <s v="網走郡美幌町"/>
    <x v="132"/>
    <x v="8"/>
    <n v="26"/>
    <n v="5.87"/>
    <n v="16"/>
    <n v="5.99"/>
    <n v="9"/>
    <n v="5.33"/>
    <x v="0"/>
  </r>
  <r>
    <x v="0"/>
    <s v="網走郡美幌町"/>
    <x v="132"/>
    <x v="9"/>
    <n v="12"/>
    <n v="2.71"/>
    <n v="4"/>
    <n v="1.5"/>
    <n v="8"/>
    <n v="4.7300000000000004"/>
    <x v="0"/>
  </r>
  <r>
    <x v="0"/>
    <s v="網走郡美幌町"/>
    <x v="132"/>
    <x v="10"/>
    <n v="82"/>
    <n v="18.510000000000002"/>
    <n v="72"/>
    <n v="26.97"/>
    <n v="10"/>
    <n v="5.92"/>
    <x v="0"/>
  </r>
  <r>
    <x v="0"/>
    <s v="網走郡美幌町"/>
    <x v="132"/>
    <x v="11"/>
    <n v="73"/>
    <n v="16.48"/>
    <n v="68"/>
    <n v="25.47"/>
    <n v="5"/>
    <n v="2.96"/>
    <x v="0"/>
  </r>
  <r>
    <x v="0"/>
    <s v="網走郡美幌町"/>
    <x v="132"/>
    <x v="12"/>
    <n v="11"/>
    <n v="2.48"/>
    <n v="9"/>
    <n v="3.37"/>
    <n v="2"/>
    <n v="1.18"/>
    <x v="0"/>
  </r>
  <r>
    <x v="0"/>
    <s v="網走郡美幌町"/>
    <x v="132"/>
    <x v="13"/>
    <n v="21"/>
    <n v="4.74"/>
    <n v="12"/>
    <n v="4.49"/>
    <n v="6"/>
    <n v="3.55"/>
    <x v="0"/>
  </r>
  <r>
    <x v="0"/>
    <s v="網走郡美幌町"/>
    <x v="132"/>
    <x v="14"/>
    <n v="21"/>
    <n v="4.74"/>
    <n v="10"/>
    <n v="3.75"/>
    <n v="9"/>
    <n v="5.33"/>
    <x v="0"/>
  </r>
  <r>
    <x v="0"/>
    <s v="網走郡津別町"/>
    <x v="133"/>
    <x v="0"/>
    <n v="0"/>
    <n v="0"/>
    <n v="0"/>
    <n v="0"/>
    <n v="0"/>
    <n v="0"/>
    <x v="0"/>
  </r>
  <r>
    <x v="0"/>
    <s v="網走郡津別町"/>
    <x v="133"/>
    <x v="1"/>
    <n v="14"/>
    <n v="12.28"/>
    <n v="5"/>
    <n v="9.09"/>
    <n v="9"/>
    <n v="16.36"/>
    <x v="0"/>
  </r>
  <r>
    <x v="0"/>
    <s v="網走郡津別町"/>
    <x v="133"/>
    <x v="2"/>
    <n v="9"/>
    <n v="7.89"/>
    <n v="0"/>
    <n v="0"/>
    <n v="9"/>
    <n v="16.36"/>
    <x v="0"/>
  </r>
  <r>
    <x v="0"/>
    <s v="網走郡津別町"/>
    <x v="133"/>
    <x v="3"/>
    <n v="1"/>
    <n v="0.88"/>
    <n v="0"/>
    <n v="0"/>
    <n v="0"/>
    <n v="0"/>
    <x v="0"/>
  </r>
  <r>
    <x v="0"/>
    <s v="網走郡津別町"/>
    <x v="133"/>
    <x v="4"/>
    <n v="2"/>
    <n v="1.75"/>
    <n v="0"/>
    <n v="0"/>
    <n v="2"/>
    <n v="3.64"/>
    <x v="0"/>
  </r>
  <r>
    <x v="0"/>
    <s v="網走郡津別町"/>
    <x v="133"/>
    <x v="5"/>
    <n v="3"/>
    <n v="2.63"/>
    <n v="0"/>
    <n v="0"/>
    <n v="3"/>
    <n v="5.45"/>
    <x v="0"/>
  </r>
  <r>
    <x v="0"/>
    <s v="網走郡津別町"/>
    <x v="133"/>
    <x v="6"/>
    <n v="29"/>
    <n v="25.44"/>
    <n v="15"/>
    <n v="27.27"/>
    <n v="14"/>
    <n v="25.45"/>
    <x v="0"/>
  </r>
  <r>
    <x v="0"/>
    <s v="網走郡津別町"/>
    <x v="133"/>
    <x v="7"/>
    <n v="1"/>
    <n v="0.88"/>
    <n v="0"/>
    <n v="0"/>
    <n v="1"/>
    <n v="1.82"/>
    <x v="0"/>
  </r>
  <r>
    <x v="0"/>
    <s v="網走郡津別町"/>
    <x v="133"/>
    <x v="8"/>
    <n v="4"/>
    <n v="3.51"/>
    <n v="1"/>
    <n v="1.82"/>
    <n v="3"/>
    <n v="5.45"/>
    <x v="0"/>
  </r>
  <r>
    <x v="0"/>
    <s v="網走郡津別町"/>
    <x v="133"/>
    <x v="9"/>
    <n v="5"/>
    <n v="4.3899999999999997"/>
    <n v="1"/>
    <n v="1.82"/>
    <n v="3"/>
    <n v="5.45"/>
    <x v="1"/>
  </r>
  <r>
    <x v="0"/>
    <s v="網走郡津別町"/>
    <x v="133"/>
    <x v="10"/>
    <n v="14"/>
    <n v="12.28"/>
    <n v="11"/>
    <n v="20"/>
    <n v="3"/>
    <n v="5.45"/>
    <x v="0"/>
  </r>
  <r>
    <x v="0"/>
    <s v="網走郡津別町"/>
    <x v="133"/>
    <x v="11"/>
    <n v="13"/>
    <n v="11.4"/>
    <n v="11"/>
    <n v="20"/>
    <n v="2"/>
    <n v="3.64"/>
    <x v="0"/>
  </r>
  <r>
    <x v="0"/>
    <s v="網走郡津別町"/>
    <x v="133"/>
    <x v="12"/>
    <n v="7"/>
    <n v="6.14"/>
    <n v="5"/>
    <n v="9.09"/>
    <n v="1"/>
    <n v="1.82"/>
    <x v="0"/>
  </r>
  <r>
    <x v="0"/>
    <s v="網走郡津別町"/>
    <x v="133"/>
    <x v="13"/>
    <n v="6"/>
    <n v="5.26"/>
    <n v="3"/>
    <n v="5.45"/>
    <n v="3"/>
    <n v="5.45"/>
    <x v="0"/>
  </r>
  <r>
    <x v="0"/>
    <s v="網走郡津別町"/>
    <x v="133"/>
    <x v="14"/>
    <n v="6"/>
    <n v="5.26"/>
    <n v="3"/>
    <n v="5.45"/>
    <n v="2"/>
    <n v="3.64"/>
    <x v="1"/>
  </r>
  <r>
    <x v="0"/>
    <s v="斜里郡斜里町"/>
    <x v="134"/>
    <x v="0"/>
    <n v="1"/>
    <n v="0.26"/>
    <n v="0"/>
    <n v="0"/>
    <n v="1"/>
    <n v="0.65"/>
    <x v="0"/>
  </r>
  <r>
    <x v="0"/>
    <s v="斜里郡斜里町"/>
    <x v="134"/>
    <x v="1"/>
    <n v="31"/>
    <n v="8.07"/>
    <n v="12"/>
    <n v="5.53"/>
    <n v="19"/>
    <n v="12.26"/>
    <x v="0"/>
  </r>
  <r>
    <x v="0"/>
    <s v="斜里郡斜里町"/>
    <x v="134"/>
    <x v="2"/>
    <n v="27"/>
    <n v="7.03"/>
    <n v="3"/>
    <n v="1.38"/>
    <n v="24"/>
    <n v="15.48"/>
    <x v="0"/>
  </r>
  <r>
    <x v="0"/>
    <s v="斜里郡斜里町"/>
    <x v="134"/>
    <x v="3"/>
    <n v="3"/>
    <n v="0.78"/>
    <n v="0"/>
    <n v="0"/>
    <n v="0"/>
    <n v="0"/>
    <x v="1"/>
  </r>
  <r>
    <x v="0"/>
    <s v="斜里郡斜里町"/>
    <x v="134"/>
    <x v="4"/>
    <n v="0"/>
    <n v="0"/>
    <n v="0"/>
    <n v="0"/>
    <n v="0"/>
    <n v="0"/>
    <x v="0"/>
  </r>
  <r>
    <x v="0"/>
    <s v="斜里郡斜里町"/>
    <x v="134"/>
    <x v="5"/>
    <n v="8"/>
    <n v="2.08"/>
    <n v="2"/>
    <n v="0.92"/>
    <n v="6"/>
    <n v="3.87"/>
    <x v="0"/>
  </r>
  <r>
    <x v="0"/>
    <s v="斜里郡斜里町"/>
    <x v="134"/>
    <x v="6"/>
    <n v="78"/>
    <n v="20.309999999999999"/>
    <n v="33"/>
    <n v="15.21"/>
    <n v="45"/>
    <n v="29.03"/>
    <x v="0"/>
  </r>
  <r>
    <x v="0"/>
    <s v="斜里郡斜里町"/>
    <x v="134"/>
    <x v="7"/>
    <n v="3"/>
    <n v="0.78"/>
    <n v="0"/>
    <n v="0"/>
    <n v="3"/>
    <n v="1.94"/>
    <x v="0"/>
  </r>
  <r>
    <x v="0"/>
    <s v="斜里郡斜里町"/>
    <x v="134"/>
    <x v="8"/>
    <n v="56"/>
    <n v="14.58"/>
    <n v="42"/>
    <n v="19.350000000000001"/>
    <n v="14"/>
    <n v="9.0299999999999994"/>
    <x v="0"/>
  </r>
  <r>
    <x v="0"/>
    <s v="斜里郡斜里町"/>
    <x v="134"/>
    <x v="9"/>
    <n v="12"/>
    <n v="3.13"/>
    <n v="5"/>
    <n v="2.2999999999999998"/>
    <n v="7"/>
    <n v="4.5199999999999996"/>
    <x v="0"/>
  </r>
  <r>
    <x v="0"/>
    <s v="斜里郡斜里町"/>
    <x v="134"/>
    <x v="10"/>
    <n v="75"/>
    <n v="19.53"/>
    <n v="56"/>
    <n v="25.81"/>
    <n v="18"/>
    <n v="11.61"/>
    <x v="1"/>
  </r>
  <r>
    <x v="0"/>
    <s v="斜里郡斜里町"/>
    <x v="134"/>
    <x v="11"/>
    <n v="52"/>
    <n v="13.54"/>
    <n v="45"/>
    <n v="20.74"/>
    <n v="5"/>
    <n v="3.23"/>
    <x v="0"/>
  </r>
  <r>
    <x v="0"/>
    <s v="斜里郡斜里町"/>
    <x v="134"/>
    <x v="12"/>
    <n v="11"/>
    <n v="2.86"/>
    <n v="8"/>
    <n v="3.69"/>
    <n v="1"/>
    <n v="0.65"/>
    <x v="0"/>
  </r>
  <r>
    <x v="0"/>
    <s v="斜里郡斜里町"/>
    <x v="134"/>
    <x v="13"/>
    <n v="13"/>
    <n v="3.39"/>
    <n v="5"/>
    <n v="2.2999999999999998"/>
    <n v="6"/>
    <n v="3.87"/>
    <x v="0"/>
  </r>
  <r>
    <x v="0"/>
    <s v="斜里郡斜里町"/>
    <x v="134"/>
    <x v="14"/>
    <n v="14"/>
    <n v="3.65"/>
    <n v="6"/>
    <n v="2.76"/>
    <n v="6"/>
    <n v="3.87"/>
    <x v="1"/>
  </r>
  <r>
    <x v="0"/>
    <s v="斜里郡清里町"/>
    <x v="135"/>
    <x v="0"/>
    <n v="0"/>
    <n v="0"/>
    <n v="0"/>
    <n v="0"/>
    <n v="0"/>
    <n v="0"/>
    <x v="0"/>
  </r>
  <r>
    <x v="0"/>
    <s v="斜里郡清里町"/>
    <x v="135"/>
    <x v="1"/>
    <n v="10"/>
    <n v="12.5"/>
    <n v="4"/>
    <n v="9.76"/>
    <n v="6"/>
    <n v="15.79"/>
    <x v="0"/>
  </r>
  <r>
    <x v="0"/>
    <s v="斜里郡清里町"/>
    <x v="135"/>
    <x v="2"/>
    <n v="5"/>
    <n v="6.25"/>
    <n v="3"/>
    <n v="7.32"/>
    <n v="2"/>
    <n v="5.26"/>
    <x v="0"/>
  </r>
  <r>
    <x v="0"/>
    <s v="斜里郡清里町"/>
    <x v="135"/>
    <x v="3"/>
    <n v="1"/>
    <n v="1.25"/>
    <n v="0"/>
    <n v="0"/>
    <n v="0"/>
    <n v="0"/>
    <x v="0"/>
  </r>
  <r>
    <x v="0"/>
    <s v="斜里郡清里町"/>
    <x v="135"/>
    <x v="4"/>
    <n v="0"/>
    <n v="0"/>
    <n v="0"/>
    <n v="0"/>
    <n v="0"/>
    <n v="0"/>
    <x v="0"/>
  </r>
  <r>
    <x v="0"/>
    <s v="斜里郡清里町"/>
    <x v="135"/>
    <x v="5"/>
    <n v="2"/>
    <n v="2.5"/>
    <n v="0"/>
    <n v="0"/>
    <n v="2"/>
    <n v="5.26"/>
    <x v="0"/>
  </r>
  <r>
    <x v="0"/>
    <s v="斜里郡清里町"/>
    <x v="135"/>
    <x v="6"/>
    <n v="24"/>
    <n v="30"/>
    <n v="12"/>
    <n v="29.27"/>
    <n v="12"/>
    <n v="31.58"/>
    <x v="0"/>
  </r>
  <r>
    <x v="0"/>
    <s v="斜里郡清里町"/>
    <x v="135"/>
    <x v="7"/>
    <n v="0"/>
    <n v="0"/>
    <n v="0"/>
    <n v="0"/>
    <n v="0"/>
    <n v="0"/>
    <x v="0"/>
  </r>
  <r>
    <x v="0"/>
    <s v="斜里郡清里町"/>
    <x v="135"/>
    <x v="8"/>
    <n v="3"/>
    <n v="3.75"/>
    <n v="0"/>
    <n v="0"/>
    <n v="3"/>
    <n v="7.89"/>
    <x v="0"/>
  </r>
  <r>
    <x v="0"/>
    <s v="斜里郡清里町"/>
    <x v="135"/>
    <x v="9"/>
    <n v="2"/>
    <n v="2.5"/>
    <n v="0"/>
    <n v="0"/>
    <n v="2"/>
    <n v="5.26"/>
    <x v="0"/>
  </r>
  <r>
    <x v="0"/>
    <s v="斜里郡清里町"/>
    <x v="135"/>
    <x v="10"/>
    <n v="13"/>
    <n v="16.25"/>
    <n v="8"/>
    <n v="19.510000000000002"/>
    <n v="5"/>
    <n v="13.16"/>
    <x v="0"/>
  </r>
  <r>
    <x v="0"/>
    <s v="斜里郡清里町"/>
    <x v="135"/>
    <x v="11"/>
    <n v="11"/>
    <n v="13.75"/>
    <n v="8"/>
    <n v="19.510000000000002"/>
    <n v="3"/>
    <n v="7.89"/>
    <x v="0"/>
  </r>
  <r>
    <x v="0"/>
    <s v="斜里郡清里町"/>
    <x v="135"/>
    <x v="12"/>
    <n v="2"/>
    <n v="2.5"/>
    <n v="2"/>
    <n v="4.88"/>
    <n v="0"/>
    <n v="0"/>
    <x v="0"/>
  </r>
  <r>
    <x v="0"/>
    <s v="斜里郡清里町"/>
    <x v="135"/>
    <x v="13"/>
    <n v="1"/>
    <n v="1.25"/>
    <n v="1"/>
    <n v="2.44"/>
    <n v="0"/>
    <n v="0"/>
    <x v="0"/>
  </r>
  <r>
    <x v="0"/>
    <s v="斜里郡清里町"/>
    <x v="135"/>
    <x v="14"/>
    <n v="6"/>
    <n v="7.5"/>
    <n v="3"/>
    <n v="7.32"/>
    <n v="3"/>
    <n v="7.89"/>
    <x v="0"/>
  </r>
  <r>
    <x v="0"/>
    <s v="斜里郡小清水町"/>
    <x v="136"/>
    <x v="0"/>
    <n v="0"/>
    <n v="0"/>
    <n v="0"/>
    <n v="0"/>
    <n v="0"/>
    <n v="0"/>
    <x v="0"/>
  </r>
  <r>
    <x v="0"/>
    <s v="斜里郡小清水町"/>
    <x v="136"/>
    <x v="1"/>
    <n v="14"/>
    <n v="10.07"/>
    <n v="6"/>
    <n v="6.38"/>
    <n v="8"/>
    <n v="20"/>
    <x v="0"/>
  </r>
  <r>
    <x v="0"/>
    <s v="斜里郡小清水町"/>
    <x v="136"/>
    <x v="2"/>
    <n v="9"/>
    <n v="6.47"/>
    <n v="2"/>
    <n v="2.13"/>
    <n v="7"/>
    <n v="17.5"/>
    <x v="0"/>
  </r>
  <r>
    <x v="0"/>
    <s v="斜里郡小清水町"/>
    <x v="136"/>
    <x v="3"/>
    <n v="2"/>
    <n v="1.44"/>
    <n v="0"/>
    <n v="0"/>
    <n v="1"/>
    <n v="2.5"/>
    <x v="0"/>
  </r>
  <r>
    <x v="0"/>
    <s v="斜里郡小清水町"/>
    <x v="136"/>
    <x v="4"/>
    <n v="0"/>
    <n v="0"/>
    <n v="0"/>
    <n v="0"/>
    <n v="0"/>
    <n v="0"/>
    <x v="0"/>
  </r>
  <r>
    <x v="0"/>
    <s v="斜里郡小清水町"/>
    <x v="136"/>
    <x v="5"/>
    <n v="1"/>
    <n v="0.72"/>
    <n v="0"/>
    <n v="0"/>
    <n v="1"/>
    <n v="2.5"/>
    <x v="0"/>
  </r>
  <r>
    <x v="0"/>
    <s v="斜里郡小清水町"/>
    <x v="136"/>
    <x v="6"/>
    <n v="42"/>
    <n v="30.22"/>
    <n v="28"/>
    <n v="29.79"/>
    <n v="14"/>
    <n v="35"/>
    <x v="0"/>
  </r>
  <r>
    <x v="0"/>
    <s v="斜里郡小清水町"/>
    <x v="136"/>
    <x v="7"/>
    <n v="0"/>
    <n v="0"/>
    <n v="0"/>
    <n v="0"/>
    <n v="0"/>
    <n v="0"/>
    <x v="0"/>
  </r>
  <r>
    <x v="0"/>
    <s v="斜里郡小清水町"/>
    <x v="136"/>
    <x v="8"/>
    <n v="5"/>
    <n v="3.6"/>
    <n v="4"/>
    <n v="4.26"/>
    <n v="1"/>
    <n v="2.5"/>
    <x v="0"/>
  </r>
  <r>
    <x v="0"/>
    <s v="斜里郡小清水町"/>
    <x v="136"/>
    <x v="9"/>
    <n v="2"/>
    <n v="1.44"/>
    <n v="2"/>
    <n v="2.13"/>
    <n v="0"/>
    <n v="0"/>
    <x v="0"/>
  </r>
  <r>
    <x v="0"/>
    <s v="斜里郡小清水町"/>
    <x v="136"/>
    <x v="10"/>
    <n v="21"/>
    <n v="15.11"/>
    <n v="16"/>
    <n v="17.02"/>
    <n v="5"/>
    <n v="12.5"/>
    <x v="0"/>
  </r>
  <r>
    <x v="0"/>
    <s v="斜里郡小清水町"/>
    <x v="136"/>
    <x v="11"/>
    <n v="21"/>
    <n v="15.11"/>
    <n v="20"/>
    <n v="21.28"/>
    <n v="1"/>
    <n v="2.5"/>
    <x v="0"/>
  </r>
  <r>
    <x v="0"/>
    <s v="斜里郡小清水町"/>
    <x v="136"/>
    <x v="12"/>
    <n v="5"/>
    <n v="3.6"/>
    <n v="5"/>
    <n v="5.32"/>
    <n v="0"/>
    <n v="0"/>
    <x v="0"/>
  </r>
  <r>
    <x v="0"/>
    <s v="斜里郡小清水町"/>
    <x v="136"/>
    <x v="13"/>
    <n v="8"/>
    <n v="5.76"/>
    <n v="5"/>
    <n v="5.32"/>
    <n v="0"/>
    <n v="0"/>
    <x v="0"/>
  </r>
  <r>
    <x v="0"/>
    <s v="斜里郡小清水町"/>
    <x v="136"/>
    <x v="14"/>
    <n v="9"/>
    <n v="6.47"/>
    <n v="6"/>
    <n v="6.38"/>
    <n v="2"/>
    <n v="5"/>
    <x v="0"/>
  </r>
  <r>
    <x v="0"/>
    <s v="常呂郡訓子府町"/>
    <x v="137"/>
    <x v="0"/>
    <n v="1"/>
    <n v="1.1000000000000001"/>
    <n v="0"/>
    <n v="0"/>
    <n v="1"/>
    <n v="2.7"/>
    <x v="0"/>
  </r>
  <r>
    <x v="0"/>
    <s v="常呂郡訓子府町"/>
    <x v="137"/>
    <x v="1"/>
    <n v="15"/>
    <n v="16.48"/>
    <n v="6"/>
    <n v="12.24"/>
    <n v="9"/>
    <n v="24.32"/>
    <x v="0"/>
  </r>
  <r>
    <x v="0"/>
    <s v="常呂郡訓子府町"/>
    <x v="137"/>
    <x v="2"/>
    <n v="4"/>
    <n v="4.4000000000000004"/>
    <n v="2"/>
    <n v="4.08"/>
    <n v="2"/>
    <n v="5.41"/>
    <x v="0"/>
  </r>
  <r>
    <x v="0"/>
    <s v="常呂郡訓子府町"/>
    <x v="137"/>
    <x v="3"/>
    <n v="0"/>
    <n v="0"/>
    <n v="0"/>
    <n v="0"/>
    <n v="0"/>
    <n v="0"/>
    <x v="0"/>
  </r>
  <r>
    <x v="0"/>
    <s v="常呂郡訓子府町"/>
    <x v="137"/>
    <x v="4"/>
    <n v="0"/>
    <n v="0"/>
    <n v="0"/>
    <n v="0"/>
    <n v="0"/>
    <n v="0"/>
    <x v="0"/>
  </r>
  <r>
    <x v="0"/>
    <s v="常呂郡訓子府町"/>
    <x v="137"/>
    <x v="5"/>
    <n v="1"/>
    <n v="1.1000000000000001"/>
    <n v="0"/>
    <n v="0"/>
    <n v="1"/>
    <n v="2.7"/>
    <x v="0"/>
  </r>
  <r>
    <x v="0"/>
    <s v="常呂郡訓子府町"/>
    <x v="137"/>
    <x v="6"/>
    <n v="22"/>
    <n v="24.18"/>
    <n v="9"/>
    <n v="18.37"/>
    <n v="13"/>
    <n v="35.14"/>
    <x v="0"/>
  </r>
  <r>
    <x v="0"/>
    <s v="常呂郡訓子府町"/>
    <x v="137"/>
    <x v="7"/>
    <n v="0"/>
    <n v="0"/>
    <n v="0"/>
    <n v="0"/>
    <n v="0"/>
    <n v="0"/>
    <x v="0"/>
  </r>
  <r>
    <x v="0"/>
    <s v="常呂郡訓子府町"/>
    <x v="137"/>
    <x v="8"/>
    <n v="2"/>
    <n v="2.2000000000000002"/>
    <n v="1"/>
    <n v="2.04"/>
    <n v="1"/>
    <n v="2.7"/>
    <x v="0"/>
  </r>
  <r>
    <x v="0"/>
    <s v="常呂郡訓子府町"/>
    <x v="137"/>
    <x v="9"/>
    <n v="6"/>
    <n v="6.59"/>
    <n v="3"/>
    <n v="6.12"/>
    <n v="2"/>
    <n v="5.41"/>
    <x v="0"/>
  </r>
  <r>
    <x v="0"/>
    <s v="常呂郡訓子府町"/>
    <x v="137"/>
    <x v="10"/>
    <n v="13"/>
    <n v="14.29"/>
    <n v="13"/>
    <n v="26.53"/>
    <n v="0"/>
    <n v="0"/>
    <x v="0"/>
  </r>
  <r>
    <x v="0"/>
    <s v="常呂郡訓子府町"/>
    <x v="137"/>
    <x v="11"/>
    <n v="14"/>
    <n v="15.38"/>
    <n v="12"/>
    <n v="24.49"/>
    <n v="1"/>
    <n v="2.7"/>
    <x v="0"/>
  </r>
  <r>
    <x v="0"/>
    <s v="常呂郡訓子府町"/>
    <x v="137"/>
    <x v="12"/>
    <n v="2"/>
    <n v="2.2000000000000002"/>
    <n v="1"/>
    <n v="2.04"/>
    <n v="0"/>
    <n v="0"/>
    <x v="0"/>
  </r>
  <r>
    <x v="0"/>
    <s v="常呂郡訓子府町"/>
    <x v="137"/>
    <x v="13"/>
    <n v="5"/>
    <n v="5.49"/>
    <n v="1"/>
    <n v="2.04"/>
    <n v="3"/>
    <n v="8.11"/>
    <x v="0"/>
  </r>
  <r>
    <x v="0"/>
    <s v="常呂郡訓子府町"/>
    <x v="137"/>
    <x v="14"/>
    <n v="6"/>
    <n v="6.59"/>
    <n v="1"/>
    <n v="2.04"/>
    <n v="4"/>
    <n v="10.81"/>
    <x v="1"/>
  </r>
  <r>
    <x v="0"/>
    <s v="常呂郡置戸町"/>
    <x v="138"/>
    <x v="0"/>
    <n v="0"/>
    <n v="0"/>
    <n v="0"/>
    <n v="0"/>
    <n v="0"/>
    <n v="0"/>
    <x v="0"/>
  </r>
  <r>
    <x v="0"/>
    <s v="常呂郡置戸町"/>
    <x v="138"/>
    <x v="1"/>
    <n v="7"/>
    <n v="6.48"/>
    <n v="4"/>
    <n v="5.56"/>
    <n v="3"/>
    <n v="11.11"/>
    <x v="0"/>
  </r>
  <r>
    <x v="0"/>
    <s v="常呂郡置戸町"/>
    <x v="138"/>
    <x v="2"/>
    <n v="30"/>
    <n v="27.78"/>
    <n v="24"/>
    <n v="33.33"/>
    <n v="6"/>
    <n v="22.22"/>
    <x v="0"/>
  </r>
  <r>
    <x v="0"/>
    <s v="常呂郡置戸町"/>
    <x v="138"/>
    <x v="3"/>
    <n v="2"/>
    <n v="1.85"/>
    <n v="0"/>
    <n v="0"/>
    <n v="0"/>
    <n v="0"/>
    <x v="0"/>
  </r>
  <r>
    <x v="0"/>
    <s v="常呂郡置戸町"/>
    <x v="138"/>
    <x v="4"/>
    <n v="1"/>
    <n v="0.93"/>
    <n v="0"/>
    <n v="0"/>
    <n v="1"/>
    <n v="3.7"/>
    <x v="0"/>
  </r>
  <r>
    <x v="0"/>
    <s v="常呂郡置戸町"/>
    <x v="138"/>
    <x v="5"/>
    <n v="1"/>
    <n v="0.93"/>
    <n v="0"/>
    <n v="0"/>
    <n v="1"/>
    <n v="3.7"/>
    <x v="0"/>
  </r>
  <r>
    <x v="0"/>
    <s v="常呂郡置戸町"/>
    <x v="138"/>
    <x v="6"/>
    <n v="27"/>
    <n v="25"/>
    <n v="16"/>
    <n v="22.22"/>
    <n v="11"/>
    <n v="40.74"/>
    <x v="0"/>
  </r>
  <r>
    <x v="0"/>
    <s v="常呂郡置戸町"/>
    <x v="138"/>
    <x v="7"/>
    <n v="0"/>
    <n v="0"/>
    <n v="0"/>
    <n v="0"/>
    <n v="0"/>
    <n v="0"/>
    <x v="0"/>
  </r>
  <r>
    <x v="0"/>
    <s v="常呂郡置戸町"/>
    <x v="138"/>
    <x v="8"/>
    <n v="3"/>
    <n v="2.78"/>
    <n v="3"/>
    <n v="4.17"/>
    <n v="0"/>
    <n v="0"/>
    <x v="0"/>
  </r>
  <r>
    <x v="0"/>
    <s v="常呂郡置戸町"/>
    <x v="138"/>
    <x v="9"/>
    <n v="1"/>
    <n v="0.93"/>
    <n v="1"/>
    <n v="1.39"/>
    <n v="0"/>
    <n v="0"/>
    <x v="0"/>
  </r>
  <r>
    <x v="0"/>
    <s v="常呂郡置戸町"/>
    <x v="138"/>
    <x v="10"/>
    <n v="4"/>
    <n v="3.7"/>
    <n v="4"/>
    <n v="5.56"/>
    <n v="0"/>
    <n v="0"/>
    <x v="0"/>
  </r>
  <r>
    <x v="0"/>
    <s v="常呂郡置戸町"/>
    <x v="138"/>
    <x v="11"/>
    <n v="11"/>
    <n v="10.19"/>
    <n v="9"/>
    <n v="12.5"/>
    <n v="0"/>
    <n v="0"/>
    <x v="0"/>
  </r>
  <r>
    <x v="0"/>
    <s v="常呂郡置戸町"/>
    <x v="138"/>
    <x v="12"/>
    <n v="4"/>
    <n v="3.7"/>
    <n v="0"/>
    <n v="0"/>
    <n v="0"/>
    <n v="0"/>
    <x v="0"/>
  </r>
  <r>
    <x v="0"/>
    <s v="常呂郡置戸町"/>
    <x v="138"/>
    <x v="13"/>
    <n v="9"/>
    <n v="8.33"/>
    <n v="5"/>
    <n v="6.94"/>
    <n v="3"/>
    <n v="11.11"/>
    <x v="0"/>
  </r>
  <r>
    <x v="0"/>
    <s v="常呂郡置戸町"/>
    <x v="138"/>
    <x v="14"/>
    <n v="8"/>
    <n v="7.41"/>
    <n v="6"/>
    <n v="8.33"/>
    <n v="2"/>
    <n v="7.41"/>
    <x v="0"/>
  </r>
  <r>
    <x v="0"/>
    <s v="常呂郡佐呂間町"/>
    <x v="139"/>
    <x v="0"/>
    <n v="0"/>
    <n v="0"/>
    <n v="0"/>
    <n v="0"/>
    <n v="0"/>
    <n v="0"/>
    <x v="0"/>
  </r>
  <r>
    <x v="0"/>
    <s v="常呂郡佐呂間町"/>
    <x v="139"/>
    <x v="1"/>
    <n v="18"/>
    <n v="12.08"/>
    <n v="9"/>
    <n v="10.98"/>
    <n v="9"/>
    <n v="15.52"/>
    <x v="0"/>
  </r>
  <r>
    <x v="0"/>
    <s v="常呂郡佐呂間町"/>
    <x v="139"/>
    <x v="2"/>
    <n v="9"/>
    <n v="6.04"/>
    <n v="0"/>
    <n v="0"/>
    <n v="9"/>
    <n v="15.52"/>
    <x v="0"/>
  </r>
  <r>
    <x v="0"/>
    <s v="常呂郡佐呂間町"/>
    <x v="139"/>
    <x v="3"/>
    <n v="2"/>
    <n v="1.34"/>
    <n v="0"/>
    <n v="0"/>
    <n v="0"/>
    <n v="0"/>
    <x v="0"/>
  </r>
  <r>
    <x v="0"/>
    <s v="常呂郡佐呂間町"/>
    <x v="139"/>
    <x v="4"/>
    <n v="0"/>
    <n v="0"/>
    <n v="0"/>
    <n v="0"/>
    <n v="0"/>
    <n v="0"/>
    <x v="0"/>
  </r>
  <r>
    <x v="0"/>
    <s v="常呂郡佐呂間町"/>
    <x v="139"/>
    <x v="5"/>
    <n v="2"/>
    <n v="1.34"/>
    <n v="1"/>
    <n v="1.22"/>
    <n v="1"/>
    <n v="1.72"/>
    <x v="0"/>
  </r>
  <r>
    <x v="0"/>
    <s v="常呂郡佐呂間町"/>
    <x v="139"/>
    <x v="6"/>
    <n v="43"/>
    <n v="28.86"/>
    <n v="28"/>
    <n v="34.15"/>
    <n v="15"/>
    <n v="25.86"/>
    <x v="0"/>
  </r>
  <r>
    <x v="0"/>
    <s v="常呂郡佐呂間町"/>
    <x v="139"/>
    <x v="7"/>
    <n v="0"/>
    <n v="0"/>
    <n v="0"/>
    <n v="0"/>
    <n v="0"/>
    <n v="0"/>
    <x v="0"/>
  </r>
  <r>
    <x v="0"/>
    <s v="常呂郡佐呂間町"/>
    <x v="139"/>
    <x v="8"/>
    <n v="9"/>
    <n v="6.04"/>
    <n v="7"/>
    <n v="8.5399999999999991"/>
    <n v="2"/>
    <n v="3.45"/>
    <x v="0"/>
  </r>
  <r>
    <x v="0"/>
    <s v="常呂郡佐呂間町"/>
    <x v="139"/>
    <x v="9"/>
    <n v="7"/>
    <n v="4.7"/>
    <n v="3"/>
    <n v="3.66"/>
    <n v="4"/>
    <n v="6.9"/>
    <x v="0"/>
  </r>
  <r>
    <x v="0"/>
    <s v="常呂郡佐呂間町"/>
    <x v="139"/>
    <x v="10"/>
    <n v="20"/>
    <n v="13.42"/>
    <n v="11"/>
    <n v="13.41"/>
    <n v="9"/>
    <n v="15.52"/>
    <x v="0"/>
  </r>
  <r>
    <x v="0"/>
    <s v="常呂郡佐呂間町"/>
    <x v="139"/>
    <x v="11"/>
    <n v="15"/>
    <n v="10.07"/>
    <n v="13"/>
    <n v="15.85"/>
    <n v="2"/>
    <n v="3.45"/>
    <x v="0"/>
  </r>
  <r>
    <x v="0"/>
    <s v="常呂郡佐呂間町"/>
    <x v="139"/>
    <x v="12"/>
    <n v="3"/>
    <n v="2.0099999999999998"/>
    <n v="1"/>
    <n v="1.22"/>
    <n v="0"/>
    <n v="0"/>
    <x v="0"/>
  </r>
  <r>
    <x v="0"/>
    <s v="常呂郡佐呂間町"/>
    <x v="139"/>
    <x v="13"/>
    <n v="11"/>
    <n v="7.38"/>
    <n v="3"/>
    <n v="3.66"/>
    <n v="3"/>
    <n v="5.17"/>
    <x v="0"/>
  </r>
  <r>
    <x v="0"/>
    <s v="常呂郡佐呂間町"/>
    <x v="139"/>
    <x v="14"/>
    <n v="10"/>
    <n v="6.71"/>
    <n v="6"/>
    <n v="7.32"/>
    <n v="4"/>
    <n v="6.9"/>
    <x v="0"/>
  </r>
  <r>
    <x v="0"/>
    <s v="紋別郡遠軽町"/>
    <x v="140"/>
    <x v="0"/>
    <n v="0"/>
    <n v="0"/>
    <n v="0"/>
    <n v="0"/>
    <n v="0"/>
    <n v="0"/>
    <x v="0"/>
  </r>
  <r>
    <x v="0"/>
    <s v="紋別郡遠軽町"/>
    <x v="140"/>
    <x v="1"/>
    <n v="56"/>
    <n v="12.76"/>
    <n v="24"/>
    <n v="9.6"/>
    <n v="32"/>
    <n v="18.18"/>
    <x v="0"/>
  </r>
  <r>
    <x v="0"/>
    <s v="紋別郡遠軽町"/>
    <x v="140"/>
    <x v="2"/>
    <n v="28"/>
    <n v="6.38"/>
    <n v="8"/>
    <n v="3.2"/>
    <n v="20"/>
    <n v="11.36"/>
    <x v="0"/>
  </r>
  <r>
    <x v="0"/>
    <s v="紋別郡遠軽町"/>
    <x v="140"/>
    <x v="3"/>
    <n v="3"/>
    <n v="0.68"/>
    <n v="0"/>
    <n v="0"/>
    <n v="1"/>
    <n v="0.56999999999999995"/>
    <x v="0"/>
  </r>
  <r>
    <x v="0"/>
    <s v="紋別郡遠軽町"/>
    <x v="140"/>
    <x v="4"/>
    <n v="2"/>
    <n v="0.46"/>
    <n v="0"/>
    <n v="0"/>
    <n v="1"/>
    <n v="0.56999999999999995"/>
    <x v="1"/>
  </r>
  <r>
    <x v="0"/>
    <s v="紋別郡遠軽町"/>
    <x v="140"/>
    <x v="5"/>
    <n v="7"/>
    <n v="1.59"/>
    <n v="2"/>
    <n v="0.8"/>
    <n v="5"/>
    <n v="2.84"/>
    <x v="0"/>
  </r>
  <r>
    <x v="0"/>
    <s v="紋別郡遠軽町"/>
    <x v="140"/>
    <x v="6"/>
    <n v="92"/>
    <n v="20.96"/>
    <n v="33"/>
    <n v="13.2"/>
    <n v="59"/>
    <n v="33.520000000000003"/>
    <x v="0"/>
  </r>
  <r>
    <x v="0"/>
    <s v="紋別郡遠軽町"/>
    <x v="140"/>
    <x v="7"/>
    <n v="5"/>
    <n v="1.1399999999999999"/>
    <n v="0"/>
    <n v="0"/>
    <n v="5"/>
    <n v="2.84"/>
    <x v="0"/>
  </r>
  <r>
    <x v="0"/>
    <s v="紋別郡遠軽町"/>
    <x v="140"/>
    <x v="8"/>
    <n v="24"/>
    <n v="5.47"/>
    <n v="16"/>
    <n v="6.4"/>
    <n v="8"/>
    <n v="4.55"/>
    <x v="0"/>
  </r>
  <r>
    <x v="0"/>
    <s v="紋別郡遠軽町"/>
    <x v="140"/>
    <x v="9"/>
    <n v="14"/>
    <n v="3.19"/>
    <n v="10"/>
    <n v="4"/>
    <n v="3"/>
    <n v="1.7"/>
    <x v="0"/>
  </r>
  <r>
    <x v="0"/>
    <s v="紋別郡遠軽町"/>
    <x v="140"/>
    <x v="10"/>
    <n v="67"/>
    <n v="15.26"/>
    <n v="57"/>
    <n v="22.8"/>
    <n v="9"/>
    <n v="5.1100000000000003"/>
    <x v="1"/>
  </r>
  <r>
    <x v="0"/>
    <s v="紋別郡遠軽町"/>
    <x v="140"/>
    <x v="11"/>
    <n v="71"/>
    <n v="16.170000000000002"/>
    <n v="62"/>
    <n v="24.8"/>
    <n v="9"/>
    <n v="5.1100000000000003"/>
    <x v="0"/>
  </r>
  <r>
    <x v="0"/>
    <s v="紋別郡遠軽町"/>
    <x v="140"/>
    <x v="12"/>
    <n v="20"/>
    <n v="4.5599999999999996"/>
    <n v="9"/>
    <n v="3.6"/>
    <n v="6"/>
    <n v="3.41"/>
    <x v="0"/>
  </r>
  <r>
    <x v="0"/>
    <s v="紋別郡遠軽町"/>
    <x v="140"/>
    <x v="13"/>
    <n v="34"/>
    <n v="7.74"/>
    <n v="22"/>
    <n v="8.8000000000000007"/>
    <n v="10"/>
    <n v="5.68"/>
    <x v="0"/>
  </r>
  <r>
    <x v="0"/>
    <s v="紋別郡遠軽町"/>
    <x v="140"/>
    <x v="14"/>
    <n v="16"/>
    <n v="3.64"/>
    <n v="7"/>
    <n v="2.8"/>
    <n v="8"/>
    <n v="4.55"/>
    <x v="0"/>
  </r>
  <r>
    <x v="0"/>
    <s v="紋別郡湧別町"/>
    <x v="141"/>
    <x v="0"/>
    <n v="0"/>
    <n v="0"/>
    <n v="0"/>
    <n v="0"/>
    <n v="0"/>
    <n v="0"/>
    <x v="0"/>
  </r>
  <r>
    <x v="0"/>
    <s v="紋別郡湧別町"/>
    <x v="141"/>
    <x v="1"/>
    <n v="29"/>
    <n v="11.55"/>
    <n v="10"/>
    <n v="7.09"/>
    <n v="19"/>
    <n v="18.63"/>
    <x v="0"/>
  </r>
  <r>
    <x v="0"/>
    <s v="紋別郡湧別町"/>
    <x v="141"/>
    <x v="2"/>
    <n v="33"/>
    <n v="13.15"/>
    <n v="14"/>
    <n v="9.93"/>
    <n v="19"/>
    <n v="18.63"/>
    <x v="0"/>
  </r>
  <r>
    <x v="0"/>
    <s v="紋別郡湧別町"/>
    <x v="141"/>
    <x v="3"/>
    <n v="0"/>
    <n v="0"/>
    <n v="0"/>
    <n v="0"/>
    <n v="0"/>
    <n v="0"/>
    <x v="0"/>
  </r>
  <r>
    <x v="0"/>
    <s v="紋別郡湧別町"/>
    <x v="141"/>
    <x v="4"/>
    <n v="1"/>
    <n v="0.4"/>
    <n v="0"/>
    <n v="0"/>
    <n v="1"/>
    <n v="0.98"/>
    <x v="0"/>
  </r>
  <r>
    <x v="0"/>
    <s v="紋別郡湧別町"/>
    <x v="141"/>
    <x v="5"/>
    <n v="5"/>
    <n v="1.99"/>
    <n v="3"/>
    <n v="2.13"/>
    <n v="1"/>
    <n v="0.98"/>
    <x v="1"/>
  </r>
  <r>
    <x v="0"/>
    <s v="紋別郡湧別町"/>
    <x v="141"/>
    <x v="6"/>
    <n v="64"/>
    <n v="25.5"/>
    <n v="30"/>
    <n v="21.28"/>
    <n v="34"/>
    <n v="33.33"/>
    <x v="0"/>
  </r>
  <r>
    <x v="0"/>
    <s v="紋別郡湧別町"/>
    <x v="141"/>
    <x v="7"/>
    <n v="0"/>
    <n v="0"/>
    <n v="0"/>
    <n v="0"/>
    <n v="0"/>
    <n v="0"/>
    <x v="0"/>
  </r>
  <r>
    <x v="0"/>
    <s v="紋別郡湧別町"/>
    <x v="141"/>
    <x v="8"/>
    <n v="12"/>
    <n v="4.78"/>
    <n v="8"/>
    <n v="5.67"/>
    <n v="4"/>
    <n v="3.92"/>
    <x v="0"/>
  </r>
  <r>
    <x v="0"/>
    <s v="紋別郡湧別町"/>
    <x v="141"/>
    <x v="9"/>
    <n v="5"/>
    <n v="1.99"/>
    <n v="4"/>
    <n v="2.84"/>
    <n v="1"/>
    <n v="0.98"/>
    <x v="0"/>
  </r>
  <r>
    <x v="0"/>
    <s v="紋別郡湧別町"/>
    <x v="141"/>
    <x v="10"/>
    <n v="36"/>
    <n v="14.34"/>
    <n v="26"/>
    <n v="18.440000000000001"/>
    <n v="8"/>
    <n v="7.84"/>
    <x v="1"/>
  </r>
  <r>
    <x v="0"/>
    <s v="紋別郡湧別町"/>
    <x v="141"/>
    <x v="11"/>
    <n v="34"/>
    <n v="13.55"/>
    <n v="27"/>
    <n v="19.149999999999999"/>
    <n v="6"/>
    <n v="5.88"/>
    <x v="0"/>
  </r>
  <r>
    <x v="0"/>
    <s v="紋別郡湧別町"/>
    <x v="141"/>
    <x v="12"/>
    <n v="7"/>
    <n v="2.79"/>
    <n v="5"/>
    <n v="3.55"/>
    <n v="0"/>
    <n v="0"/>
    <x v="0"/>
  </r>
  <r>
    <x v="0"/>
    <s v="紋別郡湧別町"/>
    <x v="141"/>
    <x v="13"/>
    <n v="15"/>
    <n v="5.98"/>
    <n v="11"/>
    <n v="7.8"/>
    <n v="4"/>
    <n v="3.92"/>
    <x v="0"/>
  </r>
  <r>
    <x v="0"/>
    <s v="紋別郡湧別町"/>
    <x v="141"/>
    <x v="14"/>
    <n v="10"/>
    <n v="3.98"/>
    <n v="3"/>
    <n v="2.13"/>
    <n v="5"/>
    <n v="4.9000000000000004"/>
    <x v="14"/>
  </r>
  <r>
    <x v="0"/>
    <s v="紋別郡滝上町"/>
    <x v="142"/>
    <x v="0"/>
    <n v="0"/>
    <n v="0"/>
    <n v="0"/>
    <n v="0"/>
    <n v="0"/>
    <n v="0"/>
    <x v="0"/>
  </r>
  <r>
    <x v="0"/>
    <s v="紋別郡滝上町"/>
    <x v="142"/>
    <x v="1"/>
    <n v="9"/>
    <n v="10.98"/>
    <n v="3"/>
    <n v="6.98"/>
    <n v="6"/>
    <n v="20.69"/>
    <x v="0"/>
  </r>
  <r>
    <x v="0"/>
    <s v="紋別郡滝上町"/>
    <x v="142"/>
    <x v="2"/>
    <n v="8"/>
    <n v="9.76"/>
    <n v="3"/>
    <n v="6.98"/>
    <n v="5"/>
    <n v="17.239999999999998"/>
    <x v="0"/>
  </r>
  <r>
    <x v="0"/>
    <s v="紋別郡滝上町"/>
    <x v="142"/>
    <x v="3"/>
    <n v="1"/>
    <n v="1.22"/>
    <n v="0"/>
    <n v="0"/>
    <n v="0"/>
    <n v="0"/>
    <x v="0"/>
  </r>
  <r>
    <x v="0"/>
    <s v="紋別郡滝上町"/>
    <x v="142"/>
    <x v="4"/>
    <n v="1"/>
    <n v="1.22"/>
    <n v="1"/>
    <n v="2.33"/>
    <n v="0"/>
    <n v="0"/>
    <x v="0"/>
  </r>
  <r>
    <x v="0"/>
    <s v="紋別郡滝上町"/>
    <x v="142"/>
    <x v="5"/>
    <n v="3"/>
    <n v="3.66"/>
    <n v="1"/>
    <n v="2.33"/>
    <n v="2"/>
    <n v="6.9"/>
    <x v="0"/>
  </r>
  <r>
    <x v="0"/>
    <s v="紋別郡滝上町"/>
    <x v="142"/>
    <x v="6"/>
    <n v="25"/>
    <n v="30.49"/>
    <n v="13"/>
    <n v="30.23"/>
    <n v="12"/>
    <n v="41.38"/>
    <x v="0"/>
  </r>
  <r>
    <x v="0"/>
    <s v="紋別郡滝上町"/>
    <x v="142"/>
    <x v="7"/>
    <n v="0"/>
    <n v="0"/>
    <n v="0"/>
    <n v="0"/>
    <n v="0"/>
    <n v="0"/>
    <x v="0"/>
  </r>
  <r>
    <x v="0"/>
    <s v="紋別郡滝上町"/>
    <x v="142"/>
    <x v="8"/>
    <n v="2"/>
    <n v="2.44"/>
    <n v="1"/>
    <n v="2.33"/>
    <n v="0"/>
    <n v="0"/>
    <x v="0"/>
  </r>
  <r>
    <x v="0"/>
    <s v="紋別郡滝上町"/>
    <x v="142"/>
    <x v="9"/>
    <n v="1"/>
    <n v="1.22"/>
    <n v="1"/>
    <n v="2.33"/>
    <n v="0"/>
    <n v="0"/>
    <x v="0"/>
  </r>
  <r>
    <x v="0"/>
    <s v="紋別郡滝上町"/>
    <x v="142"/>
    <x v="10"/>
    <n v="9"/>
    <n v="10.98"/>
    <n v="7"/>
    <n v="16.28"/>
    <n v="2"/>
    <n v="6.9"/>
    <x v="0"/>
  </r>
  <r>
    <x v="0"/>
    <s v="紋別郡滝上町"/>
    <x v="142"/>
    <x v="11"/>
    <n v="14"/>
    <n v="17.07"/>
    <n v="10"/>
    <n v="23.26"/>
    <n v="2"/>
    <n v="6.9"/>
    <x v="0"/>
  </r>
  <r>
    <x v="0"/>
    <s v="紋別郡滝上町"/>
    <x v="142"/>
    <x v="12"/>
    <n v="4"/>
    <n v="4.88"/>
    <n v="1"/>
    <n v="2.33"/>
    <n v="0"/>
    <n v="0"/>
    <x v="0"/>
  </r>
  <r>
    <x v="0"/>
    <s v="紋別郡滝上町"/>
    <x v="142"/>
    <x v="13"/>
    <n v="3"/>
    <n v="3.66"/>
    <n v="1"/>
    <n v="2.33"/>
    <n v="0"/>
    <n v="0"/>
    <x v="0"/>
  </r>
  <r>
    <x v="0"/>
    <s v="紋別郡滝上町"/>
    <x v="142"/>
    <x v="14"/>
    <n v="2"/>
    <n v="2.44"/>
    <n v="1"/>
    <n v="2.33"/>
    <n v="0"/>
    <n v="0"/>
    <x v="0"/>
  </r>
  <r>
    <x v="0"/>
    <s v="紋別郡興部町"/>
    <x v="143"/>
    <x v="0"/>
    <n v="0"/>
    <n v="0"/>
    <n v="0"/>
    <n v="0"/>
    <n v="0"/>
    <n v="0"/>
    <x v="0"/>
  </r>
  <r>
    <x v="0"/>
    <s v="紋別郡興部町"/>
    <x v="143"/>
    <x v="1"/>
    <n v="6"/>
    <n v="6.38"/>
    <n v="1"/>
    <n v="1.82"/>
    <n v="5"/>
    <n v="14.29"/>
    <x v="0"/>
  </r>
  <r>
    <x v="0"/>
    <s v="紋別郡興部町"/>
    <x v="143"/>
    <x v="2"/>
    <n v="17"/>
    <n v="18.09"/>
    <n v="5"/>
    <n v="9.09"/>
    <n v="12"/>
    <n v="34.29"/>
    <x v="0"/>
  </r>
  <r>
    <x v="0"/>
    <s v="紋別郡興部町"/>
    <x v="143"/>
    <x v="3"/>
    <n v="0"/>
    <n v="0"/>
    <n v="0"/>
    <n v="0"/>
    <n v="0"/>
    <n v="0"/>
    <x v="0"/>
  </r>
  <r>
    <x v="0"/>
    <s v="紋別郡興部町"/>
    <x v="143"/>
    <x v="4"/>
    <n v="0"/>
    <n v="0"/>
    <n v="0"/>
    <n v="0"/>
    <n v="0"/>
    <n v="0"/>
    <x v="0"/>
  </r>
  <r>
    <x v="0"/>
    <s v="紋別郡興部町"/>
    <x v="143"/>
    <x v="5"/>
    <n v="0"/>
    <n v="0"/>
    <n v="0"/>
    <n v="0"/>
    <n v="0"/>
    <n v="0"/>
    <x v="0"/>
  </r>
  <r>
    <x v="0"/>
    <s v="紋別郡興部町"/>
    <x v="143"/>
    <x v="6"/>
    <n v="25"/>
    <n v="26.6"/>
    <n v="15"/>
    <n v="27.27"/>
    <n v="9"/>
    <n v="25.71"/>
    <x v="1"/>
  </r>
  <r>
    <x v="0"/>
    <s v="紋別郡興部町"/>
    <x v="143"/>
    <x v="7"/>
    <n v="0"/>
    <n v="0"/>
    <n v="0"/>
    <n v="0"/>
    <n v="0"/>
    <n v="0"/>
    <x v="0"/>
  </r>
  <r>
    <x v="0"/>
    <s v="紋別郡興部町"/>
    <x v="143"/>
    <x v="8"/>
    <n v="2"/>
    <n v="2.13"/>
    <n v="0"/>
    <n v="0"/>
    <n v="2"/>
    <n v="5.71"/>
    <x v="0"/>
  </r>
  <r>
    <x v="0"/>
    <s v="紋別郡興部町"/>
    <x v="143"/>
    <x v="9"/>
    <n v="5"/>
    <n v="5.32"/>
    <n v="2"/>
    <n v="3.64"/>
    <n v="3"/>
    <n v="8.57"/>
    <x v="0"/>
  </r>
  <r>
    <x v="0"/>
    <s v="紋別郡興部町"/>
    <x v="143"/>
    <x v="10"/>
    <n v="15"/>
    <n v="15.96"/>
    <n v="13"/>
    <n v="23.64"/>
    <n v="2"/>
    <n v="5.71"/>
    <x v="0"/>
  </r>
  <r>
    <x v="0"/>
    <s v="紋別郡興部町"/>
    <x v="143"/>
    <x v="11"/>
    <n v="12"/>
    <n v="12.77"/>
    <n v="12"/>
    <n v="21.82"/>
    <n v="0"/>
    <n v="0"/>
    <x v="0"/>
  </r>
  <r>
    <x v="0"/>
    <s v="紋別郡興部町"/>
    <x v="143"/>
    <x v="12"/>
    <n v="6"/>
    <n v="6.38"/>
    <n v="5"/>
    <n v="9.09"/>
    <n v="0"/>
    <n v="0"/>
    <x v="0"/>
  </r>
  <r>
    <x v="0"/>
    <s v="紋別郡興部町"/>
    <x v="143"/>
    <x v="13"/>
    <n v="0"/>
    <n v="0"/>
    <n v="0"/>
    <n v="0"/>
    <n v="0"/>
    <n v="0"/>
    <x v="0"/>
  </r>
  <r>
    <x v="0"/>
    <s v="紋別郡興部町"/>
    <x v="143"/>
    <x v="14"/>
    <n v="6"/>
    <n v="6.38"/>
    <n v="2"/>
    <n v="3.64"/>
    <n v="2"/>
    <n v="5.71"/>
    <x v="0"/>
  </r>
  <r>
    <x v="0"/>
    <s v="紋別郡西興部村"/>
    <x v="144"/>
    <x v="0"/>
    <n v="0"/>
    <n v="0"/>
    <n v="0"/>
    <n v="0"/>
    <n v="0"/>
    <n v="0"/>
    <x v="0"/>
  </r>
  <r>
    <x v="0"/>
    <s v="紋別郡西興部村"/>
    <x v="144"/>
    <x v="1"/>
    <n v="3"/>
    <n v="7.14"/>
    <n v="3"/>
    <n v="13.64"/>
    <n v="0"/>
    <n v="0"/>
    <x v="0"/>
  </r>
  <r>
    <x v="0"/>
    <s v="紋別郡西興部村"/>
    <x v="144"/>
    <x v="2"/>
    <n v="2"/>
    <n v="4.76"/>
    <n v="2"/>
    <n v="9.09"/>
    <n v="0"/>
    <n v="0"/>
    <x v="0"/>
  </r>
  <r>
    <x v="0"/>
    <s v="紋別郡西興部村"/>
    <x v="144"/>
    <x v="3"/>
    <n v="2"/>
    <n v="4.76"/>
    <n v="0"/>
    <n v="0"/>
    <n v="1"/>
    <n v="12.5"/>
    <x v="0"/>
  </r>
  <r>
    <x v="0"/>
    <s v="紋別郡西興部村"/>
    <x v="144"/>
    <x v="4"/>
    <n v="1"/>
    <n v="2.38"/>
    <n v="0"/>
    <n v="0"/>
    <n v="0"/>
    <n v="0"/>
    <x v="0"/>
  </r>
  <r>
    <x v="0"/>
    <s v="紋別郡西興部村"/>
    <x v="144"/>
    <x v="5"/>
    <n v="1"/>
    <n v="2.38"/>
    <n v="0"/>
    <n v="0"/>
    <n v="0"/>
    <n v="0"/>
    <x v="0"/>
  </r>
  <r>
    <x v="0"/>
    <s v="紋別郡西興部村"/>
    <x v="144"/>
    <x v="6"/>
    <n v="9"/>
    <n v="21.43"/>
    <n v="8"/>
    <n v="36.36"/>
    <n v="1"/>
    <n v="12.5"/>
    <x v="0"/>
  </r>
  <r>
    <x v="0"/>
    <s v="紋別郡西興部村"/>
    <x v="144"/>
    <x v="7"/>
    <n v="0"/>
    <n v="0"/>
    <n v="0"/>
    <n v="0"/>
    <n v="0"/>
    <n v="0"/>
    <x v="0"/>
  </r>
  <r>
    <x v="0"/>
    <s v="紋別郡西興部村"/>
    <x v="144"/>
    <x v="8"/>
    <n v="0"/>
    <n v="0"/>
    <n v="0"/>
    <n v="0"/>
    <n v="0"/>
    <n v="0"/>
    <x v="0"/>
  </r>
  <r>
    <x v="0"/>
    <s v="紋別郡西興部村"/>
    <x v="144"/>
    <x v="9"/>
    <n v="2"/>
    <n v="4.76"/>
    <n v="1"/>
    <n v="4.55"/>
    <n v="1"/>
    <n v="12.5"/>
    <x v="0"/>
  </r>
  <r>
    <x v="0"/>
    <s v="紋別郡西興部村"/>
    <x v="144"/>
    <x v="10"/>
    <n v="7"/>
    <n v="16.670000000000002"/>
    <n v="4"/>
    <n v="18.18"/>
    <n v="3"/>
    <n v="37.5"/>
    <x v="0"/>
  </r>
  <r>
    <x v="0"/>
    <s v="紋別郡西興部村"/>
    <x v="144"/>
    <x v="11"/>
    <n v="8"/>
    <n v="19.05"/>
    <n v="2"/>
    <n v="9.09"/>
    <n v="0"/>
    <n v="0"/>
    <x v="0"/>
  </r>
  <r>
    <x v="0"/>
    <s v="紋別郡西興部村"/>
    <x v="144"/>
    <x v="12"/>
    <n v="2"/>
    <n v="4.76"/>
    <n v="1"/>
    <n v="4.55"/>
    <n v="0"/>
    <n v="0"/>
    <x v="0"/>
  </r>
  <r>
    <x v="0"/>
    <s v="紋別郡西興部村"/>
    <x v="144"/>
    <x v="13"/>
    <n v="3"/>
    <n v="7.14"/>
    <n v="1"/>
    <n v="4.55"/>
    <n v="2"/>
    <n v="25"/>
    <x v="0"/>
  </r>
  <r>
    <x v="0"/>
    <s v="紋別郡西興部村"/>
    <x v="144"/>
    <x v="14"/>
    <n v="2"/>
    <n v="4.76"/>
    <n v="0"/>
    <n v="0"/>
    <n v="0"/>
    <n v="0"/>
    <x v="0"/>
  </r>
  <r>
    <x v="0"/>
    <s v="紋別郡雄武町"/>
    <x v="145"/>
    <x v="0"/>
    <n v="0"/>
    <n v="0"/>
    <n v="0"/>
    <n v="0"/>
    <n v="0"/>
    <n v="0"/>
    <x v="0"/>
  </r>
  <r>
    <x v="0"/>
    <s v="紋別郡雄武町"/>
    <x v="145"/>
    <x v="1"/>
    <n v="13"/>
    <n v="10.57"/>
    <n v="6"/>
    <n v="7.59"/>
    <n v="7"/>
    <n v="17.5"/>
    <x v="0"/>
  </r>
  <r>
    <x v="0"/>
    <s v="紋別郡雄武町"/>
    <x v="145"/>
    <x v="2"/>
    <n v="14"/>
    <n v="11.38"/>
    <n v="6"/>
    <n v="7.59"/>
    <n v="8"/>
    <n v="20"/>
    <x v="0"/>
  </r>
  <r>
    <x v="0"/>
    <s v="紋別郡雄武町"/>
    <x v="145"/>
    <x v="3"/>
    <n v="0"/>
    <n v="0"/>
    <n v="0"/>
    <n v="0"/>
    <n v="0"/>
    <n v="0"/>
    <x v="0"/>
  </r>
  <r>
    <x v="0"/>
    <s v="紋別郡雄武町"/>
    <x v="145"/>
    <x v="4"/>
    <n v="0"/>
    <n v="0"/>
    <n v="0"/>
    <n v="0"/>
    <n v="0"/>
    <n v="0"/>
    <x v="0"/>
  </r>
  <r>
    <x v="0"/>
    <s v="紋別郡雄武町"/>
    <x v="145"/>
    <x v="5"/>
    <n v="2"/>
    <n v="1.63"/>
    <n v="0"/>
    <n v="0"/>
    <n v="2"/>
    <n v="5"/>
    <x v="0"/>
  </r>
  <r>
    <x v="0"/>
    <s v="紋別郡雄武町"/>
    <x v="145"/>
    <x v="6"/>
    <n v="30"/>
    <n v="24.39"/>
    <n v="15"/>
    <n v="18.989999999999998"/>
    <n v="14"/>
    <n v="35"/>
    <x v="1"/>
  </r>
  <r>
    <x v="0"/>
    <s v="紋別郡雄武町"/>
    <x v="145"/>
    <x v="7"/>
    <n v="0"/>
    <n v="0"/>
    <n v="0"/>
    <n v="0"/>
    <n v="0"/>
    <n v="0"/>
    <x v="0"/>
  </r>
  <r>
    <x v="0"/>
    <s v="紋別郡雄武町"/>
    <x v="145"/>
    <x v="8"/>
    <n v="2"/>
    <n v="1.63"/>
    <n v="0"/>
    <n v="0"/>
    <n v="2"/>
    <n v="5"/>
    <x v="0"/>
  </r>
  <r>
    <x v="0"/>
    <s v="紋別郡雄武町"/>
    <x v="145"/>
    <x v="9"/>
    <n v="3"/>
    <n v="2.44"/>
    <n v="1"/>
    <n v="1.27"/>
    <n v="2"/>
    <n v="5"/>
    <x v="0"/>
  </r>
  <r>
    <x v="0"/>
    <s v="紋別郡雄武町"/>
    <x v="145"/>
    <x v="10"/>
    <n v="29"/>
    <n v="23.58"/>
    <n v="26"/>
    <n v="32.909999999999997"/>
    <n v="2"/>
    <n v="5"/>
    <x v="0"/>
  </r>
  <r>
    <x v="0"/>
    <s v="紋別郡雄武町"/>
    <x v="145"/>
    <x v="11"/>
    <n v="19"/>
    <n v="15.45"/>
    <n v="17"/>
    <n v="21.52"/>
    <n v="2"/>
    <n v="5"/>
    <x v="0"/>
  </r>
  <r>
    <x v="0"/>
    <s v="紋別郡雄武町"/>
    <x v="145"/>
    <x v="12"/>
    <n v="2"/>
    <n v="1.63"/>
    <n v="0"/>
    <n v="0"/>
    <n v="0"/>
    <n v="0"/>
    <x v="0"/>
  </r>
  <r>
    <x v="0"/>
    <s v="紋別郡雄武町"/>
    <x v="145"/>
    <x v="13"/>
    <n v="2"/>
    <n v="1.63"/>
    <n v="2"/>
    <n v="2.5299999999999998"/>
    <n v="0"/>
    <n v="0"/>
    <x v="0"/>
  </r>
  <r>
    <x v="0"/>
    <s v="紋別郡雄武町"/>
    <x v="145"/>
    <x v="14"/>
    <n v="7"/>
    <n v="5.69"/>
    <n v="6"/>
    <n v="7.59"/>
    <n v="1"/>
    <n v="2.5"/>
    <x v="0"/>
  </r>
  <r>
    <x v="0"/>
    <s v="網走郡大空町"/>
    <x v="146"/>
    <x v="0"/>
    <n v="0"/>
    <n v="0"/>
    <n v="0"/>
    <n v="0"/>
    <n v="0"/>
    <n v="0"/>
    <x v="0"/>
  </r>
  <r>
    <x v="0"/>
    <s v="網走郡大空町"/>
    <x v="146"/>
    <x v="1"/>
    <n v="26"/>
    <n v="14.94"/>
    <n v="3"/>
    <n v="3.95"/>
    <n v="23"/>
    <n v="25.27"/>
    <x v="0"/>
  </r>
  <r>
    <x v="0"/>
    <s v="網走郡大空町"/>
    <x v="146"/>
    <x v="2"/>
    <n v="12"/>
    <n v="6.9"/>
    <n v="3"/>
    <n v="3.95"/>
    <n v="9"/>
    <n v="9.89"/>
    <x v="0"/>
  </r>
  <r>
    <x v="0"/>
    <s v="網走郡大空町"/>
    <x v="146"/>
    <x v="3"/>
    <n v="3"/>
    <n v="1.72"/>
    <n v="0"/>
    <n v="0"/>
    <n v="1"/>
    <n v="1.1000000000000001"/>
    <x v="0"/>
  </r>
  <r>
    <x v="0"/>
    <s v="網走郡大空町"/>
    <x v="146"/>
    <x v="4"/>
    <n v="0"/>
    <n v="0"/>
    <n v="0"/>
    <n v="0"/>
    <n v="0"/>
    <n v="0"/>
    <x v="0"/>
  </r>
  <r>
    <x v="0"/>
    <s v="網走郡大空町"/>
    <x v="146"/>
    <x v="5"/>
    <n v="3"/>
    <n v="1.72"/>
    <n v="1"/>
    <n v="1.32"/>
    <n v="2"/>
    <n v="2.2000000000000002"/>
    <x v="0"/>
  </r>
  <r>
    <x v="0"/>
    <s v="網走郡大空町"/>
    <x v="146"/>
    <x v="6"/>
    <n v="45"/>
    <n v="25.86"/>
    <n v="15"/>
    <n v="19.739999999999998"/>
    <n v="30"/>
    <n v="32.97"/>
    <x v="0"/>
  </r>
  <r>
    <x v="0"/>
    <s v="網走郡大空町"/>
    <x v="146"/>
    <x v="7"/>
    <n v="0"/>
    <n v="0"/>
    <n v="0"/>
    <n v="0"/>
    <n v="0"/>
    <n v="0"/>
    <x v="0"/>
  </r>
  <r>
    <x v="0"/>
    <s v="網走郡大空町"/>
    <x v="146"/>
    <x v="8"/>
    <n v="4"/>
    <n v="2.2999999999999998"/>
    <n v="0"/>
    <n v="0"/>
    <n v="4"/>
    <n v="4.4000000000000004"/>
    <x v="0"/>
  </r>
  <r>
    <x v="0"/>
    <s v="網走郡大空町"/>
    <x v="146"/>
    <x v="9"/>
    <n v="10"/>
    <n v="5.75"/>
    <n v="5"/>
    <n v="6.58"/>
    <n v="4"/>
    <n v="4.4000000000000004"/>
    <x v="1"/>
  </r>
  <r>
    <x v="0"/>
    <s v="網走郡大空町"/>
    <x v="146"/>
    <x v="10"/>
    <n v="30"/>
    <n v="17.239999999999998"/>
    <n v="20"/>
    <n v="26.32"/>
    <n v="7"/>
    <n v="7.69"/>
    <x v="0"/>
  </r>
  <r>
    <x v="0"/>
    <s v="網走郡大空町"/>
    <x v="146"/>
    <x v="11"/>
    <n v="19"/>
    <n v="10.92"/>
    <n v="17"/>
    <n v="22.37"/>
    <n v="2"/>
    <n v="2.2000000000000002"/>
    <x v="0"/>
  </r>
  <r>
    <x v="0"/>
    <s v="網走郡大空町"/>
    <x v="146"/>
    <x v="12"/>
    <n v="5"/>
    <n v="2.87"/>
    <n v="5"/>
    <n v="6.58"/>
    <n v="0"/>
    <n v="0"/>
    <x v="0"/>
  </r>
  <r>
    <x v="0"/>
    <s v="網走郡大空町"/>
    <x v="146"/>
    <x v="13"/>
    <n v="5"/>
    <n v="2.87"/>
    <n v="4"/>
    <n v="5.26"/>
    <n v="1"/>
    <n v="1.1000000000000001"/>
    <x v="0"/>
  </r>
  <r>
    <x v="0"/>
    <s v="網走郡大空町"/>
    <x v="146"/>
    <x v="14"/>
    <n v="12"/>
    <n v="6.9"/>
    <n v="3"/>
    <n v="3.95"/>
    <n v="8"/>
    <n v="8.7899999999999991"/>
    <x v="1"/>
  </r>
  <r>
    <x v="0"/>
    <s v="虻田郡豊浦町"/>
    <x v="147"/>
    <x v="0"/>
    <n v="0"/>
    <n v="0"/>
    <n v="0"/>
    <n v="0"/>
    <n v="0"/>
    <n v="0"/>
    <x v="0"/>
  </r>
  <r>
    <x v="0"/>
    <s v="虻田郡豊浦町"/>
    <x v="147"/>
    <x v="1"/>
    <n v="18"/>
    <n v="13.74"/>
    <n v="6"/>
    <n v="9.52"/>
    <n v="12"/>
    <n v="19.670000000000002"/>
    <x v="0"/>
  </r>
  <r>
    <x v="0"/>
    <s v="虻田郡豊浦町"/>
    <x v="147"/>
    <x v="2"/>
    <n v="16"/>
    <n v="12.21"/>
    <n v="6"/>
    <n v="9.52"/>
    <n v="9"/>
    <n v="14.75"/>
    <x v="1"/>
  </r>
  <r>
    <x v="0"/>
    <s v="虻田郡豊浦町"/>
    <x v="147"/>
    <x v="3"/>
    <n v="2"/>
    <n v="1.53"/>
    <n v="0"/>
    <n v="0"/>
    <n v="1"/>
    <n v="1.64"/>
    <x v="0"/>
  </r>
  <r>
    <x v="0"/>
    <s v="虻田郡豊浦町"/>
    <x v="147"/>
    <x v="4"/>
    <n v="0"/>
    <n v="0"/>
    <n v="0"/>
    <n v="0"/>
    <n v="0"/>
    <n v="0"/>
    <x v="0"/>
  </r>
  <r>
    <x v="0"/>
    <s v="虻田郡豊浦町"/>
    <x v="147"/>
    <x v="5"/>
    <n v="2"/>
    <n v="1.53"/>
    <n v="0"/>
    <n v="0"/>
    <n v="2"/>
    <n v="3.28"/>
    <x v="0"/>
  </r>
  <r>
    <x v="0"/>
    <s v="虻田郡豊浦町"/>
    <x v="147"/>
    <x v="6"/>
    <n v="35"/>
    <n v="26.72"/>
    <n v="19"/>
    <n v="30.16"/>
    <n v="16"/>
    <n v="26.23"/>
    <x v="0"/>
  </r>
  <r>
    <x v="0"/>
    <s v="虻田郡豊浦町"/>
    <x v="147"/>
    <x v="7"/>
    <n v="0"/>
    <n v="0"/>
    <n v="0"/>
    <n v="0"/>
    <n v="0"/>
    <n v="0"/>
    <x v="0"/>
  </r>
  <r>
    <x v="0"/>
    <s v="虻田郡豊浦町"/>
    <x v="147"/>
    <x v="8"/>
    <n v="6"/>
    <n v="4.58"/>
    <n v="0"/>
    <n v="0"/>
    <n v="5"/>
    <n v="8.1999999999999993"/>
    <x v="0"/>
  </r>
  <r>
    <x v="0"/>
    <s v="虻田郡豊浦町"/>
    <x v="147"/>
    <x v="9"/>
    <n v="5"/>
    <n v="3.82"/>
    <n v="2"/>
    <n v="3.17"/>
    <n v="3"/>
    <n v="4.92"/>
    <x v="0"/>
  </r>
  <r>
    <x v="0"/>
    <s v="虻田郡豊浦町"/>
    <x v="147"/>
    <x v="10"/>
    <n v="20"/>
    <n v="15.27"/>
    <n v="13"/>
    <n v="20.63"/>
    <n v="6"/>
    <n v="9.84"/>
    <x v="0"/>
  </r>
  <r>
    <x v="0"/>
    <s v="虻田郡豊浦町"/>
    <x v="147"/>
    <x v="11"/>
    <n v="14"/>
    <n v="10.69"/>
    <n v="11"/>
    <n v="17.46"/>
    <n v="1"/>
    <n v="1.64"/>
    <x v="0"/>
  </r>
  <r>
    <x v="0"/>
    <s v="虻田郡豊浦町"/>
    <x v="147"/>
    <x v="12"/>
    <n v="4"/>
    <n v="3.05"/>
    <n v="2"/>
    <n v="3.17"/>
    <n v="1"/>
    <n v="1.64"/>
    <x v="0"/>
  </r>
  <r>
    <x v="0"/>
    <s v="虻田郡豊浦町"/>
    <x v="147"/>
    <x v="13"/>
    <n v="5"/>
    <n v="3.82"/>
    <n v="2"/>
    <n v="3.17"/>
    <n v="3"/>
    <n v="4.92"/>
    <x v="0"/>
  </r>
  <r>
    <x v="0"/>
    <s v="虻田郡豊浦町"/>
    <x v="147"/>
    <x v="14"/>
    <n v="4"/>
    <n v="3.05"/>
    <n v="2"/>
    <n v="3.17"/>
    <n v="2"/>
    <n v="3.28"/>
    <x v="0"/>
  </r>
  <r>
    <x v="0"/>
    <s v="有珠郡壮瞥町"/>
    <x v="148"/>
    <x v="0"/>
    <n v="0"/>
    <n v="0"/>
    <n v="0"/>
    <n v="0"/>
    <n v="0"/>
    <n v="0"/>
    <x v="0"/>
  </r>
  <r>
    <x v="0"/>
    <s v="有珠郡壮瞥町"/>
    <x v="148"/>
    <x v="1"/>
    <n v="6"/>
    <n v="7.32"/>
    <n v="1"/>
    <n v="2.44"/>
    <n v="5"/>
    <n v="13.16"/>
    <x v="0"/>
  </r>
  <r>
    <x v="0"/>
    <s v="有珠郡壮瞥町"/>
    <x v="148"/>
    <x v="2"/>
    <n v="6"/>
    <n v="7.32"/>
    <n v="1"/>
    <n v="2.44"/>
    <n v="5"/>
    <n v="13.16"/>
    <x v="0"/>
  </r>
  <r>
    <x v="0"/>
    <s v="有珠郡壮瞥町"/>
    <x v="148"/>
    <x v="3"/>
    <n v="1"/>
    <n v="1.22"/>
    <n v="0"/>
    <n v="0"/>
    <n v="0"/>
    <n v="0"/>
    <x v="0"/>
  </r>
  <r>
    <x v="0"/>
    <s v="有珠郡壮瞥町"/>
    <x v="148"/>
    <x v="4"/>
    <n v="0"/>
    <n v="0"/>
    <n v="0"/>
    <n v="0"/>
    <n v="0"/>
    <n v="0"/>
    <x v="0"/>
  </r>
  <r>
    <x v="0"/>
    <s v="有珠郡壮瞥町"/>
    <x v="148"/>
    <x v="5"/>
    <n v="1"/>
    <n v="1.22"/>
    <n v="0"/>
    <n v="0"/>
    <n v="1"/>
    <n v="2.63"/>
    <x v="0"/>
  </r>
  <r>
    <x v="0"/>
    <s v="有珠郡壮瞥町"/>
    <x v="148"/>
    <x v="6"/>
    <n v="23"/>
    <n v="28.05"/>
    <n v="16"/>
    <n v="39.020000000000003"/>
    <n v="7"/>
    <n v="18.420000000000002"/>
    <x v="0"/>
  </r>
  <r>
    <x v="0"/>
    <s v="有珠郡壮瞥町"/>
    <x v="148"/>
    <x v="7"/>
    <n v="1"/>
    <n v="1.22"/>
    <n v="0"/>
    <n v="0"/>
    <n v="1"/>
    <n v="2.63"/>
    <x v="0"/>
  </r>
  <r>
    <x v="0"/>
    <s v="有珠郡壮瞥町"/>
    <x v="148"/>
    <x v="8"/>
    <n v="8"/>
    <n v="9.76"/>
    <n v="4"/>
    <n v="9.76"/>
    <n v="3"/>
    <n v="7.89"/>
    <x v="0"/>
  </r>
  <r>
    <x v="0"/>
    <s v="有珠郡壮瞥町"/>
    <x v="148"/>
    <x v="9"/>
    <n v="3"/>
    <n v="3.66"/>
    <n v="0"/>
    <n v="0"/>
    <n v="3"/>
    <n v="7.89"/>
    <x v="0"/>
  </r>
  <r>
    <x v="0"/>
    <s v="有珠郡壮瞥町"/>
    <x v="148"/>
    <x v="10"/>
    <n v="15"/>
    <n v="18.29"/>
    <n v="10"/>
    <n v="24.39"/>
    <n v="5"/>
    <n v="13.16"/>
    <x v="0"/>
  </r>
  <r>
    <x v="0"/>
    <s v="有珠郡壮瞥町"/>
    <x v="148"/>
    <x v="11"/>
    <n v="6"/>
    <n v="7.32"/>
    <n v="6"/>
    <n v="14.63"/>
    <n v="0"/>
    <n v="0"/>
    <x v="0"/>
  </r>
  <r>
    <x v="0"/>
    <s v="有珠郡壮瞥町"/>
    <x v="148"/>
    <x v="12"/>
    <n v="2"/>
    <n v="2.44"/>
    <n v="1"/>
    <n v="2.44"/>
    <n v="1"/>
    <n v="2.63"/>
    <x v="0"/>
  </r>
  <r>
    <x v="0"/>
    <s v="有珠郡壮瞥町"/>
    <x v="148"/>
    <x v="13"/>
    <n v="5"/>
    <n v="6.1"/>
    <n v="0"/>
    <n v="0"/>
    <n v="4"/>
    <n v="10.53"/>
    <x v="0"/>
  </r>
  <r>
    <x v="0"/>
    <s v="有珠郡壮瞥町"/>
    <x v="148"/>
    <x v="14"/>
    <n v="5"/>
    <n v="6.1"/>
    <n v="2"/>
    <n v="4.88"/>
    <n v="3"/>
    <n v="7.89"/>
    <x v="0"/>
  </r>
  <r>
    <x v="0"/>
    <s v="白老郡白老町"/>
    <x v="149"/>
    <x v="0"/>
    <n v="1"/>
    <n v="0.25"/>
    <n v="0"/>
    <n v="0"/>
    <n v="1"/>
    <n v="0.51"/>
    <x v="0"/>
  </r>
  <r>
    <x v="0"/>
    <s v="白老郡白老町"/>
    <x v="149"/>
    <x v="1"/>
    <n v="55"/>
    <n v="13.51"/>
    <n v="22"/>
    <n v="10.95"/>
    <n v="33"/>
    <n v="16.920000000000002"/>
    <x v="0"/>
  </r>
  <r>
    <x v="0"/>
    <s v="白老郡白老町"/>
    <x v="149"/>
    <x v="2"/>
    <n v="43"/>
    <n v="10.57"/>
    <n v="10"/>
    <n v="4.9800000000000004"/>
    <n v="33"/>
    <n v="16.920000000000002"/>
    <x v="0"/>
  </r>
  <r>
    <x v="0"/>
    <s v="白老郡白老町"/>
    <x v="149"/>
    <x v="3"/>
    <n v="1"/>
    <n v="0.25"/>
    <n v="0"/>
    <n v="0"/>
    <n v="1"/>
    <n v="0.51"/>
    <x v="0"/>
  </r>
  <r>
    <x v="0"/>
    <s v="白老郡白老町"/>
    <x v="149"/>
    <x v="4"/>
    <n v="4"/>
    <n v="0.98"/>
    <n v="1"/>
    <n v="0.5"/>
    <n v="3"/>
    <n v="1.54"/>
    <x v="0"/>
  </r>
  <r>
    <x v="0"/>
    <s v="白老郡白老町"/>
    <x v="149"/>
    <x v="5"/>
    <n v="8"/>
    <n v="1.97"/>
    <n v="1"/>
    <n v="0.5"/>
    <n v="7"/>
    <n v="3.59"/>
    <x v="0"/>
  </r>
  <r>
    <x v="0"/>
    <s v="白老郡白老町"/>
    <x v="149"/>
    <x v="6"/>
    <n v="95"/>
    <n v="23.34"/>
    <n v="33"/>
    <n v="16.420000000000002"/>
    <n v="62"/>
    <n v="31.79"/>
    <x v="0"/>
  </r>
  <r>
    <x v="0"/>
    <s v="白老郡白老町"/>
    <x v="149"/>
    <x v="7"/>
    <n v="3"/>
    <n v="0.74"/>
    <n v="1"/>
    <n v="0.5"/>
    <n v="2"/>
    <n v="1.03"/>
    <x v="0"/>
  </r>
  <r>
    <x v="0"/>
    <s v="白老郡白老町"/>
    <x v="149"/>
    <x v="8"/>
    <n v="18"/>
    <n v="4.42"/>
    <n v="8"/>
    <n v="3.98"/>
    <n v="10"/>
    <n v="5.13"/>
    <x v="0"/>
  </r>
  <r>
    <x v="0"/>
    <s v="白老郡白老町"/>
    <x v="149"/>
    <x v="9"/>
    <n v="7"/>
    <n v="1.72"/>
    <n v="4"/>
    <n v="1.99"/>
    <n v="3"/>
    <n v="1.54"/>
    <x v="0"/>
  </r>
  <r>
    <x v="0"/>
    <s v="白老郡白老町"/>
    <x v="149"/>
    <x v="10"/>
    <n v="67"/>
    <n v="16.46"/>
    <n v="55"/>
    <n v="27.36"/>
    <n v="11"/>
    <n v="5.64"/>
    <x v="0"/>
  </r>
  <r>
    <x v="0"/>
    <s v="白老郡白老町"/>
    <x v="149"/>
    <x v="11"/>
    <n v="54"/>
    <n v="13.27"/>
    <n v="45"/>
    <n v="22.39"/>
    <n v="7"/>
    <n v="3.59"/>
    <x v="0"/>
  </r>
  <r>
    <x v="0"/>
    <s v="白老郡白老町"/>
    <x v="149"/>
    <x v="12"/>
    <n v="7"/>
    <n v="1.72"/>
    <n v="4"/>
    <n v="1.99"/>
    <n v="1"/>
    <n v="0.51"/>
    <x v="0"/>
  </r>
  <r>
    <x v="0"/>
    <s v="白老郡白老町"/>
    <x v="149"/>
    <x v="13"/>
    <n v="24"/>
    <n v="5.9"/>
    <n v="9"/>
    <n v="4.4800000000000004"/>
    <n v="10"/>
    <n v="5.13"/>
    <x v="0"/>
  </r>
  <r>
    <x v="0"/>
    <s v="白老郡白老町"/>
    <x v="149"/>
    <x v="14"/>
    <n v="20"/>
    <n v="4.91"/>
    <n v="8"/>
    <n v="3.98"/>
    <n v="11"/>
    <n v="5.64"/>
    <x v="1"/>
  </r>
  <r>
    <x v="0"/>
    <s v="勇払郡厚真町"/>
    <x v="150"/>
    <x v="0"/>
    <n v="2"/>
    <n v="1.68"/>
    <n v="0"/>
    <n v="0"/>
    <n v="2"/>
    <n v="3.39"/>
    <x v="0"/>
  </r>
  <r>
    <x v="0"/>
    <s v="勇払郡厚真町"/>
    <x v="150"/>
    <x v="1"/>
    <n v="14"/>
    <n v="11.76"/>
    <n v="2"/>
    <n v="3.77"/>
    <n v="12"/>
    <n v="20.34"/>
    <x v="0"/>
  </r>
  <r>
    <x v="0"/>
    <s v="勇払郡厚真町"/>
    <x v="150"/>
    <x v="2"/>
    <n v="10"/>
    <n v="8.4"/>
    <n v="4"/>
    <n v="7.55"/>
    <n v="6"/>
    <n v="10.17"/>
    <x v="0"/>
  </r>
  <r>
    <x v="0"/>
    <s v="勇払郡厚真町"/>
    <x v="150"/>
    <x v="3"/>
    <n v="4"/>
    <n v="3.36"/>
    <n v="0"/>
    <n v="0"/>
    <n v="3"/>
    <n v="5.08"/>
    <x v="0"/>
  </r>
  <r>
    <x v="0"/>
    <s v="勇払郡厚真町"/>
    <x v="150"/>
    <x v="4"/>
    <n v="4"/>
    <n v="3.36"/>
    <n v="3"/>
    <n v="5.66"/>
    <n v="1"/>
    <n v="1.69"/>
    <x v="0"/>
  </r>
  <r>
    <x v="0"/>
    <s v="勇払郡厚真町"/>
    <x v="150"/>
    <x v="5"/>
    <n v="1"/>
    <n v="0.84"/>
    <n v="0"/>
    <n v="0"/>
    <n v="1"/>
    <n v="1.69"/>
    <x v="0"/>
  </r>
  <r>
    <x v="0"/>
    <s v="勇払郡厚真町"/>
    <x v="150"/>
    <x v="6"/>
    <n v="26"/>
    <n v="21.85"/>
    <n v="12"/>
    <n v="22.64"/>
    <n v="14"/>
    <n v="23.73"/>
    <x v="0"/>
  </r>
  <r>
    <x v="0"/>
    <s v="勇払郡厚真町"/>
    <x v="150"/>
    <x v="7"/>
    <n v="1"/>
    <n v="0.84"/>
    <n v="0"/>
    <n v="0"/>
    <n v="1"/>
    <n v="1.69"/>
    <x v="0"/>
  </r>
  <r>
    <x v="0"/>
    <s v="勇払郡厚真町"/>
    <x v="150"/>
    <x v="8"/>
    <n v="6"/>
    <n v="5.04"/>
    <n v="1"/>
    <n v="1.89"/>
    <n v="5"/>
    <n v="8.4700000000000006"/>
    <x v="0"/>
  </r>
  <r>
    <x v="0"/>
    <s v="勇払郡厚真町"/>
    <x v="150"/>
    <x v="9"/>
    <n v="4"/>
    <n v="3.36"/>
    <n v="2"/>
    <n v="3.77"/>
    <n v="1"/>
    <n v="1.69"/>
    <x v="0"/>
  </r>
  <r>
    <x v="0"/>
    <s v="勇払郡厚真町"/>
    <x v="150"/>
    <x v="10"/>
    <n v="18"/>
    <n v="15.13"/>
    <n v="15"/>
    <n v="28.3"/>
    <n v="3"/>
    <n v="5.08"/>
    <x v="0"/>
  </r>
  <r>
    <x v="0"/>
    <s v="勇払郡厚真町"/>
    <x v="150"/>
    <x v="11"/>
    <n v="11"/>
    <n v="9.24"/>
    <n v="7"/>
    <n v="13.21"/>
    <n v="2"/>
    <n v="3.39"/>
    <x v="0"/>
  </r>
  <r>
    <x v="0"/>
    <s v="勇払郡厚真町"/>
    <x v="150"/>
    <x v="12"/>
    <n v="1"/>
    <n v="0.84"/>
    <n v="1"/>
    <n v="1.89"/>
    <n v="0"/>
    <n v="0"/>
    <x v="0"/>
  </r>
  <r>
    <x v="0"/>
    <s v="勇払郡厚真町"/>
    <x v="150"/>
    <x v="13"/>
    <n v="9"/>
    <n v="7.56"/>
    <n v="4"/>
    <n v="7.55"/>
    <n v="3"/>
    <n v="5.08"/>
    <x v="0"/>
  </r>
  <r>
    <x v="0"/>
    <s v="勇払郡厚真町"/>
    <x v="150"/>
    <x v="14"/>
    <n v="8"/>
    <n v="6.72"/>
    <n v="2"/>
    <n v="3.77"/>
    <n v="5"/>
    <n v="8.4700000000000006"/>
    <x v="1"/>
  </r>
  <r>
    <x v="0"/>
    <s v="虻田郡洞爺湖町"/>
    <x v="151"/>
    <x v="0"/>
    <n v="2"/>
    <n v="0.69"/>
    <n v="0"/>
    <n v="0"/>
    <n v="2"/>
    <n v="1.63"/>
    <x v="0"/>
  </r>
  <r>
    <x v="0"/>
    <s v="虻田郡洞爺湖町"/>
    <x v="151"/>
    <x v="1"/>
    <n v="36"/>
    <n v="12.37"/>
    <n v="15"/>
    <n v="9.3800000000000008"/>
    <n v="21"/>
    <n v="17.07"/>
    <x v="0"/>
  </r>
  <r>
    <x v="0"/>
    <s v="虻田郡洞爺湖町"/>
    <x v="151"/>
    <x v="2"/>
    <n v="20"/>
    <n v="6.87"/>
    <n v="5"/>
    <n v="3.13"/>
    <n v="15"/>
    <n v="12.2"/>
    <x v="0"/>
  </r>
  <r>
    <x v="0"/>
    <s v="虻田郡洞爺湖町"/>
    <x v="151"/>
    <x v="3"/>
    <n v="0"/>
    <n v="0"/>
    <n v="0"/>
    <n v="0"/>
    <n v="0"/>
    <n v="0"/>
    <x v="0"/>
  </r>
  <r>
    <x v="0"/>
    <s v="虻田郡洞爺湖町"/>
    <x v="151"/>
    <x v="4"/>
    <n v="0"/>
    <n v="0"/>
    <n v="0"/>
    <n v="0"/>
    <n v="0"/>
    <n v="0"/>
    <x v="0"/>
  </r>
  <r>
    <x v="0"/>
    <s v="虻田郡洞爺湖町"/>
    <x v="151"/>
    <x v="5"/>
    <n v="3"/>
    <n v="1.03"/>
    <n v="1"/>
    <n v="0.63"/>
    <n v="2"/>
    <n v="1.63"/>
    <x v="0"/>
  </r>
  <r>
    <x v="0"/>
    <s v="虻田郡洞爺湖町"/>
    <x v="151"/>
    <x v="6"/>
    <n v="61"/>
    <n v="20.96"/>
    <n v="31"/>
    <n v="19.38"/>
    <n v="30"/>
    <n v="24.39"/>
    <x v="0"/>
  </r>
  <r>
    <x v="0"/>
    <s v="虻田郡洞爺湖町"/>
    <x v="151"/>
    <x v="7"/>
    <n v="2"/>
    <n v="0.69"/>
    <n v="0"/>
    <n v="0"/>
    <n v="2"/>
    <n v="1.63"/>
    <x v="0"/>
  </r>
  <r>
    <x v="0"/>
    <s v="虻田郡洞爺湖町"/>
    <x v="151"/>
    <x v="8"/>
    <n v="23"/>
    <n v="7.9"/>
    <n v="9"/>
    <n v="5.63"/>
    <n v="14"/>
    <n v="11.38"/>
    <x v="0"/>
  </r>
  <r>
    <x v="0"/>
    <s v="虻田郡洞爺湖町"/>
    <x v="151"/>
    <x v="9"/>
    <n v="11"/>
    <n v="3.78"/>
    <n v="8"/>
    <n v="5"/>
    <n v="3"/>
    <n v="2.44"/>
    <x v="0"/>
  </r>
  <r>
    <x v="0"/>
    <s v="虻田郡洞爺湖町"/>
    <x v="151"/>
    <x v="10"/>
    <n v="77"/>
    <n v="26.46"/>
    <n v="51"/>
    <n v="31.88"/>
    <n v="26"/>
    <n v="21.14"/>
    <x v="0"/>
  </r>
  <r>
    <x v="0"/>
    <s v="虻田郡洞爺湖町"/>
    <x v="151"/>
    <x v="11"/>
    <n v="32"/>
    <n v="11"/>
    <n v="28"/>
    <n v="17.5"/>
    <n v="2"/>
    <n v="1.63"/>
    <x v="0"/>
  </r>
  <r>
    <x v="0"/>
    <s v="虻田郡洞爺湖町"/>
    <x v="151"/>
    <x v="12"/>
    <n v="11"/>
    <n v="3.78"/>
    <n v="5"/>
    <n v="3.13"/>
    <n v="0"/>
    <n v="0"/>
    <x v="1"/>
  </r>
  <r>
    <x v="0"/>
    <s v="虻田郡洞爺湖町"/>
    <x v="151"/>
    <x v="13"/>
    <n v="9"/>
    <n v="3.09"/>
    <n v="5"/>
    <n v="3.13"/>
    <n v="4"/>
    <n v="3.25"/>
    <x v="0"/>
  </r>
  <r>
    <x v="0"/>
    <s v="虻田郡洞爺湖町"/>
    <x v="151"/>
    <x v="14"/>
    <n v="4"/>
    <n v="1.37"/>
    <n v="2"/>
    <n v="1.25"/>
    <n v="2"/>
    <n v="1.63"/>
    <x v="0"/>
  </r>
  <r>
    <x v="0"/>
    <s v="勇払郡安平町"/>
    <x v="152"/>
    <x v="0"/>
    <n v="0"/>
    <n v="0"/>
    <n v="0"/>
    <n v="0"/>
    <n v="0"/>
    <n v="0"/>
    <x v="0"/>
  </r>
  <r>
    <x v="0"/>
    <s v="勇払郡安平町"/>
    <x v="152"/>
    <x v="1"/>
    <n v="30"/>
    <n v="16.04"/>
    <n v="5"/>
    <n v="6.02"/>
    <n v="25"/>
    <n v="25.77"/>
    <x v="0"/>
  </r>
  <r>
    <x v="0"/>
    <s v="勇払郡安平町"/>
    <x v="152"/>
    <x v="2"/>
    <n v="13"/>
    <n v="6.95"/>
    <n v="2"/>
    <n v="2.41"/>
    <n v="11"/>
    <n v="11.34"/>
    <x v="0"/>
  </r>
  <r>
    <x v="0"/>
    <s v="勇払郡安平町"/>
    <x v="152"/>
    <x v="3"/>
    <n v="1"/>
    <n v="0.53"/>
    <n v="0"/>
    <n v="0"/>
    <n v="1"/>
    <n v="1.03"/>
    <x v="0"/>
  </r>
  <r>
    <x v="0"/>
    <s v="勇払郡安平町"/>
    <x v="152"/>
    <x v="4"/>
    <n v="0"/>
    <n v="0"/>
    <n v="0"/>
    <n v="0"/>
    <n v="0"/>
    <n v="0"/>
    <x v="0"/>
  </r>
  <r>
    <x v="0"/>
    <s v="勇払郡安平町"/>
    <x v="152"/>
    <x v="5"/>
    <n v="1"/>
    <n v="0.53"/>
    <n v="0"/>
    <n v="0"/>
    <n v="1"/>
    <n v="1.03"/>
    <x v="0"/>
  </r>
  <r>
    <x v="0"/>
    <s v="勇払郡安平町"/>
    <x v="152"/>
    <x v="6"/>
    <n v="46"/>
    <n v="24.6"/>
    <n v="21"/>
    <n v="25.3"/>
    <n v="25"/>
    <n v="25.77"/>
    <x v="0"/>
  </r>
  <r>
    <x v="0"/>
    <s v="勇払郡安平町"/>
    <x v="152"/>
    <x v="7"/>
    <n v="2"/>
    <n v="1.07"/>
    <n v="0"/>
    <n v="0"/>
    <n v="2"/>
    <n v="2.06"/>
    <x v="0"/>
  </r>
  <r>
    <x v="0"/>
    <s v="勇払郡安平町"/>
    <x v="152"/>
    <x v="8"/>
    <n v="5"/>
    <n v="2.67"/>
    <n v="2"/>
    <n v="2.41"/>
    <n v="3"/>
    <n v="3.09"/>
    <x v="0"/>
  </r>
  <r>
    <x v="0"/>
    <s v="勇払郡安平町"/>
    <x v="152"/>
    <x v="9"/>
    <n v="8"/>
    <n v="4.28"/>
    <n v="4"/>
    <n v="4.82"/>
    <n v="4"/>
    <n v="4.12"/>
    <x v="0"/>
  </r>
  <r>
    <x v="0"/>
    <s v="勇払郡安平町"/>
    <x v="152"/>
    <x v="10"/>
    <n v="30"/>
    <n v="16.04"/>
    <n v="22"/>
    <n v="26.51"/>
    <n v="7"/>
    <n v="7.22"/>
    <x v="0"/>
  </r>
  <r>
    <x v="0"/>
    <s v="勇払郡安平町"/>
    <x v="152"/>
    <x v="11"/>
    <n v="17"/>
    <n v="9.09"/>
    <n v="13"/>
    <n v="15.66"/>
    <n v="4"/>
    <n v="4.12"/>
    <x v="0"/>
  </r>
  <r>
    <x v="0"/>
    <s v="勇払郡安平町"/>
    <x v="152"/>
    <x v="12"/>
    <n v="8"/>
    <n v="4.28"/>
    <n v="3"/>
    <n v="3.61"/>
    <n v="1"/>
    <n v="1.03"/>
    <x v="0"/>
  </r>
  <r>
    <x v="0"/>
    <s v="勇払郡安平町"/>
    <x v="152"/>
    <x v="13"/>
    <n v="12"/>
    <n v="6.42"/>
    <n v="6"/>
    <n v="7.23"/>
    <n v="6"/>
    <n v="6.19"/>
    <x v="0"/>
  </r>
  <r>
    <x v="0"/>
    <s v="勇払郡安平町"/>
    <x v="152"/>
    <x v="14"/>
    <n v="14"/>
    <n v="7.49"/>
    <n v="5"/>
    <n v="6.02"/>
    <n v="7"/>
    <n v="7.22"/>
    <x v="0"/>
  </r>
  <r>
    <x v="0"/>
    <s v="勇払郡むかわ町"/>
    <x v="153"/>
    <x v="0"/>
    <n v="3"/>
    <n v="1.42"/>
    <n v="0"/>
    <n v="0"/>
    <n v="3"/>
    <n v="3.37"/>
    <x v="0"/>
  </r>
  <r>
    <x v="0"/>
    <s v="勇払郡むかわ町"/>
    <x v="153"/>
    <x v="1"/>
    <n v="34"/>
    <n v="16.11"/>
    <n v="13"/>
    <n v="11.4"/>
    <n v="21"/>
    <n v="23.6"/>
    <x v="0"/>
  </r>
  <r>
    <x v="0"/>
    <s v="勇払郡むかわ町"/>
    <x v="153"/>
    <x v="2"/>
    <n v="20"/>
    <n v="9.48"/>
    <n v="7"/>
    <n v="6.14"/>
    <n v="13"/>
    <n v="14.61"/>
    <x v="0"/>
  </r>
  <r>
    <x v="0"/>
    <s v="勇払郡むかわ町"/>
    <x v="153"/>
    <x v="3"/>
    <n v="2"/>
    <n v="0.95"/>
    <n v="0"/>
    <n v="0"/>
    <n v="1"/>
    <n v="1.1200000000000001"/>
    <x v="0"/>
  </r>
  <r>
    <x v="0"/>
    <s v="勇払郡むかわ町"/>
    <x v="153"/>
    <x v="4"/>
    <n v="0"/>
    <n v="0"/>
    <n v="0"/>
    <n v="0"/>
    <n v="0"/>
    <n v="0"/>
    <x v="0"/>
  </r>
  <r>
    <x v="0"/>
    <s v="勇払郡むかわ町"/>
    <x v="153"/>
    <x v="5"/>
    <n v="4"/>
    <n v="1.9"/>
    <n v="1"/>
    <n v="0.88"/>
    <n v="3"/>
    <n v="3.37"/>
    <x v="0"/>
  </r>
  <r>
    <x v="0"/>
    <s v="勇払郡むかわ町"/>
    <x v="153"/>
    <x v="6"/>
    <n v="42"/>
    <n v="19.91"/>
    <n v="22"/>
    <n v="19.3"/>
    <n v="20"/>
    <n v="22.47"/>
    <x v="0"/>
  </r>
  <r>
    <x v="0"/>
    <s v="勇払郡むかわ町"/>
    <x v="153"/>
    <x v="7"/>
    <n v="0"/>
    <n v="0"/>
    <n v="0"/>
    <n v="0"/>
    <n v="0"/>
    <n v="0"/>
    <x v="0"/>
  </r>
  <r>
    <x v="0"/>
    <s v="勇払郡むかわ町"/>
    <x v="153"/>
    <x v="8"/>
    <n v="17"/>
    <n v="8.06"/>
    <n v="12"/>
    <n v="10.53"/>
    <n v="5"/>
    <n v="5.62"/>
    <x v="0"/>
  </r>
  <r>
    <x v="0"/>
    <s v="勇払郡むかわ町"/>
    <x v="153"/>
    <x v="9"/>
    <n v="7"/>
    <n v="3.32"/>
    <n v="3"/>
    <n v="2.63"/>
    <n v="4"/>
    <n v="4.49"/>
    <x v="0"/>
  </r>
  <r>
    <x v="0"/>
    <s v="勇払郡むかわ町"/>
    <x v="153"/>
    <x v="10"/>
    <n v="45"/>
    <n v="21.33"/>
    <n v="35"/>
    <n v="30.7"/>
    <n v="8"/>
    <n v="8.99"/>
    <x v="0"/>
  </r>
  <r>
    <x v="0"/>
    <s v="勇払郡むかわ町"/>
    <x v="153"/>
    <x v="11"/>
    <n v="16"/>
    <n v="7.58"/>
    <n v="14"/>
    <n v="12.28"/>
    <n v="2"/>
    <n v="2.25"/>
    <x v="0"/>
  </r>
  <r>
    <x v="0"/>
    <s v="勇払郡むかわ町"/>
    <x v="153"/>
    <x v="12"/>
    <n v="3"/>
    <n v="1.42"/>
    <n v="1"/>
    <n v="0.88"/>
    <n v="0"/>
    <n v="0"/>
    <x v="0"/>
  </r>
  <r>
    <x v="0"/>
    <s v="勇払郡むかわ町"/>
    <x v="153"/>
    <x v="13"/>
    <n v="12"/>
    <n v="5.69"/>
    <n v="5"/>
    <n v="4.3899999999999997"/>
    <n v="5"/>
    <n v="5.62"/>
    <x v="0"/>
  </r>
  <r>
    <x v="0"/>
    <s v="勇払郡むかわ町"/>
    <x v="153"/>
    <x v="14"/>
    <n v="6"/>
    <n v="2.84"/>
    <n v="1"/>
    <n v="0.88"/>
    <n v="4"/>
    <n v="4.49"/>
    <x v="1"/>
  </r>
  <r>
    <x v="0"/>
    <s v="沙流郡日高町"/>
    <x v="154"/>
    <x v="0"/>
    <n v="0"/>
    <n v="0"/>
    <n v="0"/>
    <n v="0"/>
    <n v="0"/>
    <n v="0"/>
    <x v="0"/>
  </r>
  <r>
    <x v="0"/>
    <s v="沙流郡日高町"/>
    <x v="154"/>
    <x v="1"/>
    <n v="33"/>
    <n v="11.15"/>
    <n v="6"/>
    <n v="4.1100000000000003"/>
    <n v="27"/>
    <n v="19.71"/>
    <x v="0"/>
  </r>
  <r>
    <x v="0"/>
    <s v="沙流郡日高町"/>
    <x v="154"/>
    <x v="2"/>
    <n v="18"/>
    <n v="6.08"/>
    <n v="3"/>
    <n v="2.0499999999999998"/>
    <n v="15"/>
    <n v="10.95"/>
    <x v="0"/>
  </r>
  <r>
    <x v="0"/>
    <s v="沙流郡日高町"/>
    <x v="154"/>
    <x v="3"/>
    <n v="3"/>
    <n v="1.01"/>
    <n v="0"/>
    <n v="0"/>
    <n v="2"/>
    <n v="1.46"/>
    <x v="0"/>
  </r>
  <r>
    <x v="0"/>
    <s v="沙流郡日高町"/>
    <x v="154"/>
    <x v="4"/>
    <n v="2"/>
    <n v="0.68"/>
    <n v="0"/>
    <n v="0"/>
    <n v="2"/>
    <n v="1.46"/>
    <x v="0"/>
  </r>
  <r>
    <x v="0"/>
    <s v="沙流郡日高町"/>
    <x v="154"/>
    <x v="5"/>
    <n v="7"/>
    <n v="2.36"/>
    <n v="1"/>
    <n v="0.68"/>
    <n v="6"/>
    <n v="4.38"/>
    <x v="0"/>
  </r>
  <r>
    <x v="0"/>
    <s v="沙流郡日高町"/>
    <x v="154"/>
    <x v="6"/>
    <n v="69"/>
    <n v="23.31"/>
    <n v="26"/>
    <n v="17.809999999999999"/>
    <n v="43"/>
    <n v="31.39"/>
    <x v="0"/>
  </r>
  <r>
    <x v="0"/>
    <s v="沙流郡日高町"/>
    <x v="154"/>
    <x v="7"/>
    <n v="1"/>
    <n v="0.34"/>
    <n v="0"/>
    <n v="0"/>
    <n v="1"/>
    <n v="0.73"/>
    <x v="0"/>
  </r>
  <r>
    <x v="0"/>
    <s v="沙流郡日高町"/>
    <x v="154"/>
    <x v="8"/>
    <n v="8"/>
    <n v="2.7"/>
    <n v="3"/>
    <n v="2.0499999999999998"/>
    <n v="5"/>
    <n v="3.65"/>
    <x v="0"/>
  </r>
  <r>
    <x v="0"/>
    <s v="沙流郡日高町"/>
    <x v="154"/>
    <x v="9"/>
    <n v="13"/>
    <n v="4.3899999999999997"/>
    <n v="5"/>
    <n v="3.42"/>
    <n v="8"/>
    <n v="5.84"/>
    <x v="0"/>
  </r>
  <r>
    <x v="0"/>
    <s v="沙流郡日高町"/>
    <x v="154"/>
    <x v="10"/>
    <n v="59"/>
    <n v="19.93"/>
    <n v="47"/>
    <n v="32.19"/>
    <n v="11"/>
    <n v="8.0299999999999994"/>
    <x v="0"/>
  </r>
  <r>
    <x v="0"/>
    <s v="沙流郡日高町"/>
    <x v="154"/>
    <x v="11"/>
    <n v="44"/>
    <n v="14.86"/>
    <n v="37"/>
    <n v="25.34"/>
    <n v="6"/>
    <n v="4.38"/>
    <x v="0"/>
  </r>
  <r>
    <x v="0"/>
    <s v="沙流郡日高町"/>
    <x v="154"/>
    <x v="12"/>
    <n v="10"/>
    <n v="3.38"/>
    <n v="8"/>
    <n v="5.48"/>
    <n v="0"/>
    <n v="0"/>
    <x v="0"/>
  </r>
  <r>
    <x v="0"/>
    <s v="沙流郡日高町"/>
    <x v="154"/>
    <x v="13"/>
    <n v="18"/>
    <n v="6.08"/>
    <n v="7"/>
    <n v="4.79"/>
    <n v="4"/>
    <n v="2.92"/>
    <x v="0"/>
  </r>
  <r>
    <x v="0"/>
    <s v="沙流郡日高町"/>
    <x v="154"/>
    <x v="14"/>
    <n v="11"/>
    <n v="3.72"/>
    <n v="3"/>
    <n v="2.0499999999999998"/>
    <n v="7"/>
    <n v="5.1100000000000003"/>
    <x v="1"/>
  </r>
  <r>
    <x v="0"/>
    <s v="沙流郡平取町"/>
    <x v="155"/>
    <x v="0"/>
    <n v="2"/>
    <n v="1.39"/>
    <n v="0"/>
    <n v="0"/>
    <n v="2"/>
    <n v="3.51"/>
    <x v="0"/>
  </r>
  <r>
    <x v="0"/>
    <s v="沙流郡平取町"/>
    <x v="155"/>
    <x v="1"/>
    <n v="23"/>
    <n v="15.97"/>
    <n v="10"/>
    <n v="13.16"/>
    <n v="13"/>
    <n v="22.81"/>
    <x v="0"/>
  </r>
  <r>
    <x v="0"/>
    <s v="沙流郡平取町"/>
    <x v="155"/>
    <x v="2"/>
    <n v="7"/>
    <n v="4.8600000000000003"/>
    <n v="2"/>
    <n v="2.63"/>
    <n v="5"/>
    <n v="8.77"/>
    <x v="0"/>
  </r>
  <r>
    <x v="0"/>
    <s v="沙流郡平取町"/>
    <x v="155"/>
    <x v="3"/>
    <n v="1"/>
    <n v="0.69"/>
    <n v="0"/>
    <n v="0"/>
    <n v="0"/>
    <n v="0"/>
    <x v="0"/>
  </r>
  <r>
    <x v="0"/>
    <s v="沙流郡平取町"/>
    <x v="155"/>
    <x v="4"/>
    <n v="0"/>
    <n v="0"/>
    <n v="0"/>
    <n v="0"/>
    <n v="0"/>
    <n v="0"/>
    <x v="0"/>
  </r>
  <r>
    <x v="0"/>
    <s v="沙流郡平取町"/>
    <x v="155"/>
    <x v="5"/>
    <n v="4"/>
    <n v="2.78"/>
    <n v="1"/>
    <n v="1.32"/>
    <n v="3"/>
    <n v="5.26"/>
    <x v="0"/>
  </r>
  <r>
    <x v="0"/>
    <s v="沙流郡平取町"/>
    <x v="155"/>
    <x v="6"/>
    <n v="38"/>
    <n v="26.39"/>
    <n v="16"/>
    <n v="21.05"/>
    <n v="22"/>
    <n v="38.6"/>
    <x v="0"/>
  </r>
  <r>
    <x v="0"/>
    <s v="沙流郡平取町"/>
    <x v="155"/>
    <x v="7"/>
    <n v="1"/>
    <n v="0.69"/>
    <n v="1"/>
    <n v="1.32"/>
    <n v="0"/>
    <n v="0"/>
    <x v="0"/>
  </r>
  <r>
    <x v="0"/>
    <s v="沙流郡平取町"/>
    <x v="155"/>
    <x v="8"/>
    <n v="5"/>
    <n v="3.47"/>
    <n v="2"/>
    <n v="2.63"/>
    <n v="3"/>
    <n v="5.26"/>
    <x v="0"/>
  </r>
  <r>
    <x v="0"/>
    <s v="沙流郡平取町"/>
    <x v="155"/>
    <x v="9"/>
    <n v="4"/>
    <n v="2.78"/>
    <n v="3"/>
    <n v="3.95"/>
    <n v="0"/>
    <n v="0"/>
    <x v="0"/>
  </r>
  <r>
    <x v="0"/>
    <s v="沙流郡平取町"/>
    <x v="155"/>
    <x v="10"/>
    <n v="22"/>
    <n v="15.28"/>
    <n v="18"/>
    <n v="23.68"/>
    <n v="4"/>
    <n v="7.02"/>
    <x v="0"/>
  </r>
  <r>
    <x v="0"/>
    <s v="沙流郡平取町"/>
    <x v="155"/>
    <x v="11"/>
    <n v="15"/>
    <n v="10.42"/>
    <n v="14"/>
    <n v="18.420000000000002"/>
    <n v="0"/>
    <n v="0"/>
    <x v="0"/>
  </r>
  <r>
    <x v="0"/>
    <s v="沙流郡平取町"/>
    <x v="155"/>
    <x v="12"/>
    <n v="5"/>
    <n v="3.47"/>
    <n v="3"/>
    <n v="3.95"/>
    <n v="0"/>
    <n v="0"/>
    <x v="0"/>
  </r>
  <r>
    <x v="0"/>
    <s v="沙流郡平取町"/>
    <x v="155"/>
    <x v="13"/>
    <n v="11"/>
    <n v="7.64"/>
    <n v="3"/>
    <n v="3.95"/>
    <n v="3"/>
    <n v="5.26"/>
    <x v="0"/>
  </r>
  <r>
    <x v="0"/>
    <s v="沙流郡平取町"/>
    <x v="155"/>
    <x v="14"/>
    <n v="6"/>
    <n v="4.17"/>
    <n v="3"/>
    <n v="3.95"/>
    <n v="2"/>
    <n v="3.51"/>
    <x v="0"/>
  </r>
  <r>
    <x v="0"/>
    <s v="新冠郡新冠町"/>
    <x v="156"/>
    <x v="0"/>
    <n v="1"/>
    <n v="0.74"/>
    <n v="0"/>
    <n v="0"/>
    <n v="1"/>
    <n v="1.59"/>
    <x v="0"/>
  </r>
  <r>
    <x v="0"/>
    <s v="新冠郡新冠町"/>
    <x v="156"/>
    <x v="1"/>
    <n v="28"/>
    <n v="20.59"/>
    <n v="7"/>
    <n v="10.29"/>
    <n v="21"/>
    <n v="33.33"/>
    <x v="0"/>
  </r>
  <r>
    <x v="0"/>
    <s v="新冠郡新冠町"/>
    <x v="156"/>
    <x v="2"/>
    <n v="6"/>
    <n v="4.41"/>
    <n v="2"/>
    <n v="2.94"/>
    <n v="4"/>
    <n v="6.35"/>
    <x v="0"/>
  </r>
  <r>
    <x v="0"/>
    <s v="新冠郡新冠町"/>
    <x v="156"/>
    <x v="3"/>
    <n v="1"/>
    <n v="0.74"/>
    <n v="0"/>
    <n v="0"/>
    <n v="0"/>
    <n v="0"/>
    <x v="0"/>
  </r>
  <r>
    <x v="0"/>
    <s v="新冠郡新冠町"/>
    <x v="156"/>
    <x v="4"/>
    <n v="0"/>
    <n v="0"/>
    <n v="0"/>
    <n v="0"/>
    <n v="0"/>
    <n v="0"/>
    <x v="0"/>
  </r>
  <r>
    <x v="0"/>
    <s v="新冠郡新冠町"/>
    <x v="156"/>
    <x v="5"/>
    <n v="1"/>
    <n v="0.74"/>
    <n v="0"/>
    <n v="0"/>
    <n v="1"/>
    <n v="1.59"/>
    <x v="0"/>
  </r>
  <r>
    <x v="0"/>
    <s v="新冠郡新冠町"/>
    <x v="156"/>
    <x v="6"/>
    <n v="33"/>
    <n v="24.26"/>
    <n v="14"/>
    <n v="20.59"/>
    <n v="19"/>
    <n v="30.16"/>
    <x v="0"/>
  </r>
  <r>
    <x v="0"/>
    <s v="新冠郡新冠町"/>
    <x v="156"/>
    <x v="7"/>
    <n v="0"/>
    <n v="0"/>
    <n v="0"/>
    <n v="0"/>
    <n v="0"/>
    <n v="0"/>
    <x v="0"/>
  </r>
  <r>
    <x v="0"/>
    <s v="新冠郡新冠町"/>
    <x v="156"/>
    <x v="8"/>
    <n v="9"/>
    <n v="6.62"/>
    <n v="5"/>
    <n v="7.35"/>
    <n v="4"/>
    <n v="6.35"/>
    <x v="0"/>
  </r>
  <r>
    <x v="0"/>
    <s v="新冠郡新冠町"/>
    <x v="156"/>
    <x v="9"/>
    <n v="8"/>
    <n v="5.88"/>
    <n v="5"/>
    <n v="7.35"/>
    <n v="3"/>
    <n v="4.76"/>
    <x v="0"/>
  </r>
  <r>
    <x v="0"/>
    <s v="新冠郡新冠町"/>
    <x v="156"/>
    <x v="10"/>
    <n v="17"/>
    <n v="12.5"/>
    <n v="14"/>
    <n v="20.59"/>
    <n v="3"/>
    <n v="4.76"/>
    <x v="0"/>
  </r>
  <r>
    <x v="0"/>
    <s v="新冠郡新冠町"/>
    <x v="156"/>
    <x v="11"/>
    <n v="14"/>
    <n v="10.29"/>
    <n v="11"/>
    <n v="16.18"/>
    <n v="2"/>
    <n v="3.17"/>
    <x v="0"/>
  </r>
  <r>
    <x v="0"/>
    <s v="新冠郡新冠町"/>
    <x v="156"/>
    <x v="12"/>
    <n v="5"/>
    <n v="3.68"/>
    <n v="3"/>
    <n v="4.41"/>
    <n v="0"/>
    <n v="0"/>
    <x v="0"/>
  </r>
  <r>
    <x v="0"/>
    <s v="新冠郡新冠町"/>
    <x v="156"/>
    <x v="13"/>
    <n v="6"/>
    <n v="4.41"/>
    <n v="5"/>
    <n v="7.35"/>
    <n v="1"/>
    <n v="1.59"/>
    <x v="0"/>
  </r>
  <r>
    <x v="0"/>
    <s v="新冠郡新冠町"/>
    <x v="156"/>
    <x v="14"/>
    <n v="7"/>
    <n v="5.15"/>
    <n v="2"/>
    <n v="2.94"/>
    <n v="4"/>
    <n v="6.35"/>
    <x v="1"/>
  </r>
  <r>
    <x v="0"/>
    <s v="浦河郡浦河町"/>
    <x v="157"/>
    <x v="0"/>
    <n v="0"/>
    <n v="0"/>
    <n v="0"/>
    <n v="0"/>
    <n v="0"/>
    <n v="0"/>
    <x v="0"/>
  </r>
  <r>
    <x v="0"/>
    <s v="浦河郡浦河町"/>
    <x v="157"/>
    <x v="1"/>
    <n v="44"/>
    <n v="10.5"/>
    <n v="13"/>
    <n v="5.88"/>
    <n v="31"/>
    <n v="17.510000000000002"/>
    <x v="0"/>
  </r>
  <r>
    <x v="0"/>
    <s v="浦河郡浦河町"/>
    <x v="157"/>
    <x v="2"/>
    <n v="24"/>
    <n v="5.73"/>
    <n v="9"/>
    <n v="4.07"/>
    <n v="15"/>
    <n v="8.4700000000000006"/>
    <x v="0"/>
  </r>
  <r>
    <x v="0"/>
    <s v="浦河郡浦河町"/>
    <x v="157"/>
    <x v="3"/>
    <n v="1"/>
    <n v="0.24"/>
    <n v="0"/>
    <n v="0"/>
    <n v="1"/>
    <n v="0.56000000000000005"/>
    <x v="0"/>
  </r>
  <r>
    <x v="0"/>
    <s v="浦河郡浦河町"/>
    <x v="157"/>
    <x v="4"/>
    <n v="5"/>
    <n v="1.19"/>
    <n v="1"/>
    <n v="0.45"/>
    <n v="4"/>
    <n v="2.2599999999999998"/>
    <x v="0"/>
  </r>
  <r>
    <x v="0"/>
    <s v="浦河郡浦河町"/>
    <x v="157"/>
    <x v="5"/>
    <n v="1"/>
    <n v="0.24"/>
    <n v="0"/>
    <n v="0"/>
    <n v="1"/>
    <n v="0.56000000000000005"/>
    <x v="0"/>
  </r>
  <r>
    <x v="0"/>
    <s v="浦河郡浦河町"/>
    <x v="157"/>
    <x v="6"/>
    <n v="99"/>
    <n v="23.63"/>
    <n v="52"/>
    <n v="23.53"/>
    <n v="47"/>
    <n v="26.55"/>
    <x v="0"/>
  </r>
  <r>
    <x v="0"/>
    <s v="浦河郡浦河町"/>
    <x v="157"/>
    <x v="7"/>
    <n v="6"/>
    <n v="1.43"/>
    <n v="1"/>
    <n v="0.45"/>
    <n v="5"/>
    <n v="2.82"/>
    <x v="0"/>
  </r>
  <r>
    <x v="0"/>
    <s v="浦河郡浦河町"/>
    <x v="157"/>
    <x v="8"/>
    <n v="27"/>
    <n v="6.44"/>
    <n v="12"/>
    <n v="5.43"/>
    <n v="14"/>
    <n v="7.91"/>
    <x v="0"/>
  </r>
  <r>
    <x v="0"/>
    <s v="浦河郡浦河町"/>
    <x v="157"/>
    <x v="9"/>
    <n v="19"/>
    <n v="4.53"/>
    <n v="13"/>
    <n v="5.88"/>
    <n v="5"/>
    <n v="2.82"/>
    <x v="0"/>
  </r>
  <r>
    <x v="0"/>
    <s v="浦河郡浦河町"/>
    <x v="157"/>
    <x v="10"/>
    <n v="70"/>
    <n v="16.71"/>
    <n v="57"/>
    <n v="25.79"/>
    <n v="13"/>
    <n v="7.34"/>
    <x v="0"/>
  </r>
  <r>
    <x v="0"/>
    <s v="浦河郡浦河町"/>
    <x v="157"/>
    <x v="11"/>
    <n v="65"/>
    <n v="15.51"/>
    <n v="44"/>
    <n v="19.91"/>
    <n v="17"/>
    <n v="9.6"/>
    <x v="0"/>
  </r>
  <r>
    <x v="0"/>
    <s v="浦河郡浦河町"/>
    <x v="157"/>
    <x v="12"/>
    <n v="9"/>
    <n v="2.15"/>
    <n v="5"/>
    <n v="2.2599999999999998"/>
    <n v="3"/>
    <n v="1.69"/>
    <x v="0"/>
  </r>
  <r>
    <x v="0"/>
    <s v="浦河郡浦河町"/>
    <x v="157"/>
    <x v="13"/>
    <n v="32"/>
    <n v="7.64"/>
    <n v="9"/>
    <n v="4.07"/>
    <n v="17"/>
    <n v="9.6"/>
    <x v="0"/>
  </r>
  <r>
    <x v="0"/>
    <s v="浦河郡浦河町"/>
    <x v="157"/>
    <x v="14"/>
    <n v="17"/>
    <n v="4.0599999999999996"/>
    <n v="5"/>
    <n v="2.2599999999999998"/>
    <n v="4"/>
    <n v="2.2599999999999998"/>
    <x v="0"/>
  </r>
  <r>
    <x v="0"/>
    <s v="様似郡様似町"/>
    <x v="158"/>
    <x v="0"/>
    <n v="0"/>
    <n v="0"/>
    <n v="0"/>
    <n v="0"/>
    <n v="0"/>
    <n v="0"/>
    <x v="0"/>
  </r>
  <r>
    <x v="0"/>
    <s v="様似郡様似町"/>
    <x v="158"/>
    <x v="1"/>
    <n v="13"/>
    <n v="9.77"/>
    <n v="5"/>
    <n v="7.58"/>
    <n v="8"/>
    <n v="13.33"/>
    <x v="0"/>
  </r>
  <r>
    <x v="0"/>
    <s v="様似郡様似町"/>
    <x v="158"/>
    <x v="2"/>
    <n v="11"/>
    <n v="8.27"/>
    <n v="1"/>
    <n v="1.52"/>
    <n v="10"/>
    <n v="16.670000000000002"/>
    <x v="0"/>
  </r>
  <r>
    <x v="0"/>
    <s v="様似郡様似町"/>
    <x v="158"/>
    <x v="3"/>
    <n v="0"/>
    <n v="0"/>
    <n v="0"/>
    <n v="0"/>
    <n v="0"/>
    <n v="0"/>
    <x v="0"/>
  </r>
  <r>
    <x v="0"/>
    <s v="様似郡様似町"/>
    <x v="158"/>
    <x v="4"/>
    <n v="0"/>
    <n v="0"/>
    <n v="0"/>
    <n v="0"/>
    <n v="0"/>
    <n v="0"/>
    <x v="0"/>
  </r>
  <r>
    <x v="0"/>
    <s v="様似郡様似町"/>
    <x v="158"/>
    <x v="5"/>
    <n v="1"/>
    <n v="0.75"/>
    <n v="0"/>
    <n v="0"/>
    <n v="1"/>
    <n v="1.67"/>
    <x v="0"/>
  </r>
  <r>
    <x v="0"/>
    <s v="様似郡様似町"/>
    <x v="158"/>
    <x v="6"/>
    <n v="38"/>
    <n v="28.57"/>
    <n v="16"/>
    <n v="24.24"/>
    <n v="22"/>
    <n v="36.67"/>
    <x v="0"/>
  </r>
  <r>
    <x v="0"/>
    <s v="様似郡様似町"/>
    <x v="158"/>
    <x v="7"/>
    <n v="1"/>
    <n v="0.75"/>
    <n v="0"/>
    <n v="0"/>
    <n v="1"/>
    <n v="1.67"/>
    <x v="0"/>
  </r>
  <r>
    <x v="0"/>
    <s v="様似郡様似町"/>
    <x v="158"/>
    <x v="8"/>
    <n v="15"/>
    <n v="11.28"/>
    <n v="9"/>
    <n v="13.64"/>
    <n v="5"/>
    <n v="8.33"/>
    <x v="0"/>
  </r>
  <r>
    <x v="0"/>
    <s v="様似郡様似町"/>
    <x v="158"/>
    <x v="9"/>
    <n v="3"/>
    <n v="2.2599999999999998"/>
    <n v="1"/>
    <n v="1.52"/>
    <n v="2"/>
    <n v="3.33"/>
    <x v="0"/>
  </r>
  <r>
    <x v="0"/>
    <s v="様似郡様似町"/>
    <x v="158"/>
    <x v="10"/>
    <n v="20"/>
    <n v="15.04"/>
    <n v="17"/>
    <n v="25.76"/>
    <n v="3"/>
    <n v="5"/>
    <x v="0"/>
  </r>
  <r>
    <x v="0"/>
    <s v="様似郡様似町"/>
    <x v="158"/>
    <x v="11"/>
    <n v="15"/>
    <n v="11.28"/>
    <n v="11"/>
    <n v="16.670000000000002"/>
    <n v="4"/>
    <n v="6.67"/>
    <x v="0"/>
  </r>
  <r>
    <x v="0"/>
    <s v="様似郡様似町"/>
    <x v="158"/>
    <x v="12"/>
    <n v="5"/>
    <n v="3.76"/>
    <n v="2"/>
    <n v="3.03"/>
    <n v="0"/>
    <n v="0"/>
    <x v="0"/>
  </r>
  <r>
    <x v="0"/>
    <s v="様似郡様似町"/>
    <x v="158"/>
    <x v="13"/>
    <n v="6"/>
    <n v="4.51"/>
    <n v="3"/>
    <n v="4.55"/>
    <n v="1"/>
    <n v="1.67"/>
    <x v="0"/>
  </r>
  <r>
    <x v="0"/>
    <s v="様似郡様似町"/>
    <x v="158"/>
    <x v="14"/>
    <n v="5"/>
    <n v="3.76"/>
    <n v="1"/>
    <n v="1.52"/>
    <n v="3"/>
    <n v="5"/>
    <x v="0"/>
  </r>
  <r>
    <x v="0"/>
    <s v="幌泉郡えりも町"/>
    <x v="159"/>
    <x v="0"/>
    <n v="0"/>
    <n v="0"/>
    <n v="0"/>
    <n v="0"/>
    <n v="0"/>
    <n v="0"/>
    <x v="0"/>
  </r>
  <r>
    <x v="0"/>
    <s v="幌泉郡えりも町"/>
    <x v="159"/>
    <x v="1"/>
    <n v="24"/>
    <n v="15.38"/>
    <n v="9"/>
    <n v="10.47"/>
    <n v="15"/>
    <n v="28.3"/>
    <x v="0"/>
  </r>
  <r>
    <x v="0"/>
    <s v="幌泉郡えりも町"/>
    <x v="159"/>
    <x v="2"/>
    <n v="9"/>
    <n v="5.77"/>
    <n v="1"/>
    <n v="1.1599999999999999"/>
    <n v="8"/>
    <n v="15.09"/>
    <x v="0"/>
  </r>
  <r>
    <x v="0"/>
    <s v="幌泉郡えりも町"/>
    <x v="159"/>
    <x v="3"/>
    <n v="1"/>
    <n v="0.64"/>
    <n v="0"/>
    <n v="0"/>
    <n v="0"/>
    <n v="0"/>
    <x v="0"/>
  </r>
  <r>
    <x v="0"/>
    <s v="幌泉郡えりも町"/>
    <x v="159"/>
    <x v="4"/>
    <n v="0"/>
    <n v="0"/>
    <n v="0"/>
    <n v="0"/>
    <n v="0"/>
    <n v="0"/>
    <x v="0"/>
  </r>
  <r>
    <x v="0"/>
    <s v="幌泉郡えりも町"/>
    <x v="159"/>
    <x v="5"/>
    <n v="2"/>
    <n v="1.28"/>
    <n v="0"/>
    <n v="0"/>
    <n v="2"/>
    <n v="3.77"/>
    <x v="0"/>
  </r>
  <r>
    <x v="0"/>
    <s v="幌泉郡えりも町"/>
    <x v="159"/>
    <x v="6"/>
    <n v="40"/>
    <n v="25.64"/>
    <n v="21"/>
    <n v="24.42"/>
    <n v="18"/>
    <n v="33.96"/>
    <x v="1"/>
  </r>
  <r>
    <x v="0"/>
    <s v="幌泉郡えりも町"/>
    <x v="159"/>
    <x v="7"/>
    <n v="0"/>
    <n v="0"/>
    <n v="0"/>
    <n v="0"/>
    <n v="0"/>
    <n v="0"/>
    <x v="0"/>
  </r>
  <r>
    <x v="0"/>
    <s v="幌泉郡えりも町"/>
    <x v="159"/>
    <x v="8"/>
    <n v="2"/>
    <n v="1.28"/>
    <n v="0"/>
    <n v="0"/>
    <n v="2"/>
    <n v="3.77"/>
    <x v="0"/>
  </r>
  <r>
    <x v="0"/>
    <s v="幌泉郡えりも町"/>
    <x v="159"/>
    <x v="9"/>
    <n v="3"/>
    <n v="1.92"/>
    <n v="2"/>
    <n v="2.33"/>
    <n v="0"/>
    <n v="0"/>
    <x v="0"/>
  </r>
  <r>
    <x v="0"/>
    <s v="幌泉郡えりも町"/>
    <x v="159"/>
    <x v="10"/>
    <n v="31"/>
    <n v="19.87"/>
    <n v="27"/>
    <n v="31.4"/>
    <n v="3"/>
    <n v="5.66"/>
    <x v="0"/>
  </r>
  <r>
    <x v="0"/>
    <s v="幌泉郡えりも町"/>
    <x v="159"/>
    <x v="11"/>
    <n v="21"/>
    <n v="13.46"/>
    <n v="16"/>
    <n v="18.600000000000001"/>
    <n v="2"/>
    <n v="3.77"/>
    <x v="0"/>
  </r>
  <r>
    <x v="0"/>
    <s v="幌泉郡えりも町"/>
    <x v="159"/>
    <x v="12"/>
    <n v="4"/>
    <n v="2.56"/>
    <n v="2"/>
    <n v="2.33"/>
    <n v="0"/>
    <n v="0"/>
    <x v="0"/>
  </r>
  <r>
    <x v="0"/>
    <s v="幌泉郡えりも町"/>
    <x v="159"/>
    <x v="13"/>
    <n v="11"/>
    <n v="7.05"/>
    <n v="4"/>
    <n v="4.6500000000000004"/>
    <n v="2"/>
    <n v="3.77"/>
    <x v="0"/>
  </r>
  <r>
    <x v="0"/>
    <s v="幌泉郡えりも町"/>
    <x v="159"/>
    <x v="14"/>
    <n v="8"/>
    <n v="5.13"/>
    <n v="4"/>
    <n v="4.6500000000000004"/>
    <n v="1"/>
    <n v="1.89"/>
    <x v="0"/>
  </r>
  <r>
    <x v="0"/>
    <s v="日高郡新ひだか町"/>
    <x v="160"/>
    <x v="0"/>
    <n v="1"/>
    <n v="0.15"/>
    <n v="0"/>
    <n v="0"/>
    <n v="1"/>
    <n v="0.34"/>
    <x v="0"/>
  </r>
  <r>
    <x v="0"/>
    <s v="日高郡新ひだか町"/>
    <x v="160"/>
    <x v="1"/>
    <n v="88"/>
    <n v="13.31"/>
    <n v="33"/>
    <n v="9.2200000000000006"/>
    <n v="55"/>
    <n v="18.84"/>
    <x v="0"/>
  </r>
  <r>
    <x v="0"/>
    <s v="日高郡新ひだか町"/>
    <x v="160"/>
    <x v="2"/>
    <n v="33"/>
    <n v="4.99"/>
    <n v="13"/>
    <n v="3.63"/>
    <n v="20"/>
    <n v="6.85"/>
    <x v="0"/>
  </r>
  <r>
    <x v="0"/>
    <s v="日高郡新ひだか町"/>
    <x v="160"/>
    <x v="3"/>
    <n v="1"/>
    <n v="0.15"/>
    <n v="0"/>
    <n v="0"/>
    <n v="0"/>
    <n v="0"/>
    <x v="0"/>
  </r>
  <r>
    <x v="0"/>
    <s v="日高郡新ひだか町"/>
    <x v="160"/>
    <x v="4"/>
    <n v="4"/>
    <n v="0.61"/>
    <n v="0"/>
    <n v="0"/>
    <n v="4"/>
    <n v="1.37"/>
    <x v="0"/>
  </r>
  <r>
    <x v="0"/>
    <s v="日高郡新ひだか町"/>
    <x v="160"/>
    <x v="5"/>
    <n v="6"/>
    <n v="0.91"/>
    <n v="1"/>
    <n v="0.28000000000000003"/>
    <n v="4"/>
    <n v="1.37"/>
    <x v="1"/>
  </r>
  <r>
    <x v="0"/>
    <s v="日高郡新ひだか町"/>
    <x v="160"/>
    <x v="6"/>
    <n v="160"/>
    <n v="24.21"/>
    <n v="66"/>
    <n v="18.440000000000001"/>
    <n v="94"/>
    <n v="32.19"/>
    <x v="0"/>
  </r>
  <r>
    <x v="0"/>
    <s v="日高郡新ひだか町"/>
    <x v="160"/>
    <x v="7"/>
    <n v="5"/>
    <n v="0.76"/>
    <n v="1"/>
    <n v="0.28000000000000003"/>
    <n v="4"/>
    <n v="1.37"/>
    <x v="0"/>
  </r>
  <r>
    <x v="0"/>
    <s v="日高郡新ひだか町"/>
    <x v="160"/>
    <x v="8"/>
    <n v="63"/>
    <n v="9.5299999999999994"/>
    <n v="39"/>
    <n v="10.89"/>
    <n v="24"/>
    <n v="8.2200000000000006"/>
    <x v="0"/>
  </r>
  <r>
    <x v="0"/>
    <s v="日高郡新ひだか町"/>
    <x v="160"/>
    <x v="9"/>
    <n v="31"/>
    <n v="4.6900000000000004"/>
    <n v="19"/>
    <n v="5.31"/>
    <n v="10"/>
    <n v="3.42"/>
    <x v="1"/>
  </r>
  <r>
    <x v="0"/>
    <s v="日高郡新ひだか町"/>
    <x v="160"/>
    <x v="10"/>
    <n v="110"/>
    <n v="16.64"/>
    <n v="90"/>
    <n v="25.14"/>
    <n v="19"/>
    <n v="6.51"/>
    <x v="0"/>
  </r>
  <r>
    <x v="0"/>
    <s v="日高郡新ひだか町"/>
    <x v="160"/>
    <x v="11"/>
    <n v="80"/>
    <n v="12.1"/>
    <n v="62"/>
    <n v="17.32"/>
    <n v="17"/>
    <n v="5.82"/>
    <x v="0"/>
  </r>
  <r>
    <x v="0"/>
    <s v="日高郡新ひだか町"/>
    <x v="160"/>
    <x v="12"/>
    <n v="18"/>
    <n v="2.72"/>
    <n v="13"/>
    <n v="3.63"/>
    <n v="3"/>
    <n v="1.03"/>
    <x v="0"/>
  </r>
  <r>
    <x v="0"/>
    <s v="日高郡新ひだか町"/>
    <x v="160"/>
    <x v="13"/>
    <n v="39"/>
    <n v="5.9"/>
    <n v="16"/>
    <n v="4.47"/>
    <n v="21"/>
    <n v="7.19"/>
    <x v="0"/>
  </r>
  <r>
    <x v="0"/>
    <s v="日高郡新ひだか町"/>
    <x v="160"/>
    <x v="14"/>
    <n v="22"/>
    <n v="3.33"/>
    <n v="5"/>
    <n v="1.4"/>
    <n v="16"/>
    <n v="5.48"/>
    <x v="0"/>
  </r>
  <r>
    <x v="0"/>
    <s v="河東郡音更町"/>
    <x v="161"/>
    <x v="0"/>
    <n v="0"/>
    <n v="0"/>
    <n v="0"/>
    <n v="0"/>
    <n v="0"/>
    <n v="0"/>
    <x v="0"/>
  </r>
  <r>
    <x v="0"/>
    <s v="河東郡音更町"/>
    <x v="161"/>
    <x v="1"/>
    <n v="133"/>
    <n v="19.05"/>
    <n v="38"/>
    <n v="10.58"/>
    <n v="95"/>
    <n v="28.27"/>
    <x v="0"/>
  </r>
  <r>
    <x v="0"/>
    <s v="河東郡音更町"/>
    <x v="161"/>
    <x v="2"/>
    <n v="34"/>
    <n v="4.87"/>
    <n v="11"/>
    <n v="3.06"/>
    <n v="23"/>
    <n v="6.85"/>
    <x v="0"/>
  </r>
  <r>
    <x v="0"/>
    <s v="河東郡音更町"/>
    <x v="161"/>
    <x v="3"/>
    <n v="4"/>
    <n v="0.56999999999999995"/>
    <n v="0"/>
    <n v="0"/>
    <n v="4"/>
    <n v="1.19"/>
    <x v="0"/>
  </r>
  <r>
    <x v="0"/>
    <s v="河東郡音更町"/>
    <x v="161"/>
    <x v="4"/>
    <n v="4"/>
    <n v="0.56999999999999995"/>
    <n v="1"/>
    <n v="0.28000000000000003"/>
    <n v="3"/>
    <n v="0.89"/>
    <x v="0"/>
  </r>
  <r>
    <x v="0"/>
    <s v="河東郡音更町"/>
    <x v="161"/>
    <x v="5"/>
    <n v="10"/>
    <n v="1.43"/>
    <n v="5"/>
    <n v="1.39"/>
    <n v="5"/>
    <n v="1.49"/>
    <x v="0"/>
  </r>
  <r>
    <x v="0"/>
    <s v="河東郡音更町"/>
    <x v="161"/>
    <x v="6"/>
    <n v="142"/>
    <n v="20.34"/>
    <n v="49"/>
    <n v="13.65"/>
    <n v="93"/>
    <n v="27.68"/>
    <x v="0"/>
  </r>
  <r>
    <x v="0"/>
    <s v="河東郡音更町"/>
    <x v="161"/>
    <x v="7"/>
    <n v="6"/>
    <n v="0.86"/>
    <n v="1"/>
    <n v="0.28000000000000003"/>
    <n v="5"/>
    <n v="1.49"/>
    <x v="0"/>
  </r>
  <r>
    <x v="0"/>
    <s v="河東郡音更町"/>
    <x v="161"/>
    <x v="8"/>
    <n v="57"/>
    <n v="8.17"/>
    <n v="36"/>
    <n v="10.029999999999999"/>
    <n v="20"/>
    <n v="5.95"/>
    <x v="0"/>
  </r>
  <r>
    <x v="0"/>
    <s v="河東郡音更町"/>
    <x v="161"/>
    <x v="9"/>
    <n v="30"/>
    <n v="4.3"/>
    <n v="14"/>
    <n v="3.9"/>
    <n v="16"/>
    <n v="4.76"/>
    <x v="0"/>
  </r>
  <r>
    <x v="0"/>
    <s v="河東郡音更町"/>
    <x v="161"/>
    <x v="10"/>
    <n v="61"/>
    <n v="8.74"/>
    <n v="46"/>
    <n v="12.81"/>
    <n v="15"/>
    <n v="4.46"/>
    <x v="0"/>
  </r>
  <r>
    <x v="0"/>
    <s v="河東郡音更町"/>
    <x v="161"/>
    <x v="11"/>
    <n v="109"/>
    <n v="15.62"/>
    <n v="94"/>
    <n v="26.18"/>
    <n v="15"/>
    <n v="4.46"/>
    <x v="0"/>
  </r>
  <r>
    <x v="0"/>
    <s v="河東郡音更町"/>
    <x v="161"/>
    <x v="12"/>
    <n v="32"/>
    <n v="4.58"/>
    <n v="23"/>
    <n v="6.41"/>
    <n v="8"/>
    <n v="2.38"/>
    <x v="0"/>
  </r>
  <r>
    <x v="0"/>
    <s v="河東郡音更町"/>
    <x v="161"/>
    <x v="13"/>
    <n v="42"/>
    <n v="6.02"/>
    <n v="30"/>
    <n v="8.36"/>
    <n v="11"/>
    <n v="3.27"/>
    <x v="0"/>
  </r>
  <r>
    <x v="0"/>
    <s v="河東郡音更町"/>
    <x v="161"/>
    <x v="14"/>
    <n v="34"/>
    <n v="4.87"/>
    <n v="11"/>
    <n v="3.06"/>
    <n v="23"/>
    <n v="6.85"/>
    <x v="0"/>
  </r>
  <r>
    <x v="0"/>
    <s v="河東郡士幌町"/>
    <x v="162"/>
    <x v="0"/>
    <n v="0"/>
    <n v="0"/>
    <n v="0"/>
    <n v="0"/>
    <n v="0"/>
    <n v="0"/>
    <x v="0"/>
  </r>
  <r>
    <x v="0"/>
    <s v="河東郡士幌町"/>
    <x v="162"/>
    <x v="1"/>
    <n v="29"/>
    <n v="22.48"/>
    <n v="14"/>
    <n v="19.72"/>
    <n v="15"/>
    <n v="26.79"/>
    <x v="0"/>
  </r>
  <r>
    <x v="0"/>
    <s v="河東郡士幌町"/>
    <x v="162"/>
    <x v="2"/>
    <n v="8"/>
    <n v="6.2"/>
    <n v="3"/>
    <n v="4.2300000000000004"/>
    <n v="5"/>
    <n v="8.93"/>
    <x v="0"/>
  </r>
  <r>
    <x v="0"/>
    <s v="河東郡士幌町"/>
    <x v="162"/>
    <x v="3"/>
    <n v="1"/>
    <n v="0.78"/>
    <n v="0"/>
    <n v="0"/>
    <n v="1"/>
    <n v="1.79"/>
    <x v="0"/>
  </r>
  <r>
    <x v="0"/>
    <s v="河東郡士幌町"/>
    <x v="162"/>
    <x v="4"/>
    <n v="0"/>
    <n v="0"/>
    <n v="0"/>
    <n v="0"/>
    <n v="0"/>
    <n v="0"/>
    <x v="0"/>
  </r>
  <r>
    <x v="0"/>
    <s v="河東郡士幌町"/>
    <x v="162"/>
    <x v="5"/>
    <n v="2"/>
    <n v="1.55"/>
    <n v="1"/>
    <n v="1.41"/>
    <n v="0"/>
    <n v="0"/>
    <x v="0"/>
  </r>
  <r>
    <x v="0"/>
    <s v="河東郡士幌町"/>
    <x v="162"/>
    <x v="6"/>
    <n v="31"/>
    <n v="24.03"/>
    <n v="5"/>
    <n v="7.04"/>
    <n v="26"/>
    <n v="46.43"/>
    <x v="0"/>
  </r>
  <r>
    <x v="0"/>
    <s v="河東郡士幌町"/>
    <x v="162"/>
    <x v="7"/>
    <n v="1"/>
    <n v="0.78"/>
    <n v="0"/>
    <n v="0"/>
    <n v="1"/>
    <n v="1.79"/>
    <x v="0"/>
  </r>
  <r>
    <x v="0"/>
    <s v="河東郡士幌町"/>
    <x v="162"/>
    <x v="8"/>
    <n v="11"/>
    <n v="8.5299999999999994"/>
    <n v="10"/>
    <n v="14.08"/>
    <n v="1"/>
    <n v="1.79"/>
    <x v="0"/>
  </r>
  <r>
    <x v="0"/>
    <s v="河東郡士幌町"/>
    <x v="162"/>
    <x v="9"/>
    <n v="5"/>
    <n v="3.88"/>
    <n v="3"/>
    <n v="4.2300000000000004"/>
    <n v="2"/>
    <n v="3.57"/>
    <x v="0"/>
  </r>
  <r>
    <x v="0"/>
    <s v="河東郡士幌町"/>
    <x v="162"/>
    <x v="10"/>
    <n v="20"/>
    <n v="15.5"/>
    <n v="18"/>
    <n v="25.35"/>
    <n v="1"/>
    <n v="1.79"/>
    <x v="0"/>
  </r>
  <r>
    <x v="0"/>
    <s v="河東郡士幌町"/>
    <x v="162"/>
    <x v="11"/>
    <n v="14"/>
    <n v="10.85"/>
    <n v="14"/>
    <n v="19.72"/>
    <n v="0"/>
    <n v="0"/>
    <x v="0"/>
  </r>
  <r>
    <x v="0"/>
    <s v="河東郡士幌町"/>
    <x v="162"/>
    <x v="12"/>
    <n v="1"/>
    <n v="0.78"/>
    <n v="0"/>
    <n v="0"/>
    <n v="1"/>
    <n v="1.79"/>
    <x v="0"/>
  </r>
  <r>
    <x v="0"/>
    <s v="河東郡士幌町"/>
    <x v="162"/>
    <x v="13"/>
    <n v="2"/>
    <n v="1.55"/>
    <n v="2"/>
    <n v="2.82"/>
    <n v="0"/>
    <n v="0"/>
    <x v="0"/>
  </r>
  <r>
    <x v="0"/>
    <s v="河東郡士幌町"/>
    <x v="162"/>
    <x v="14"/>
    <n v="4"/>
    <n v="3.1"/>
    <n v="1"/>
    <n v="1.41"/>
    <n v="3"/>
    <n v="5.36"/>
    <x v="0"/>
  </r>
  <r>
    <x v="0"/>
    <s v="河東郡上士幌町"/>
    <x v="163"/>
    <x v="0"/>
    <n v="0"/>
    <n v="0"/>
    <n v="0"/>
    <n v="0"/>
    <n v="0"/>
    <n v="0"/>
    <x v="0"/>
  </r>
  <r>
    <x v="0"/>
    <s v="河東郡上士幌町"/>
    <x v="163"/>
    <x v="1"/>
    <n v="22"/>
    <n v="14.67"/>
    <n v="9"/>
    <n v="10.11"/>
    <n v="13"/>
    <n v="23.64"/>
    <x v="0"/>
  </r>
  <r>
    <x v="0"/>
    <s v="河東郡上士幌町"/>
    <x v="163"/>
    <x v="2"/>
    <n v="15"/>
    <n v="10"/>
    <n v="7"/>
    <n v="7.87"/>
    <n v="8"/>
    <n v="14.55"/>
    <x v="0"/>
  </r>
  <r>
    <x v="0"/>
    <s v="河東郡上士幌町"/>
    <x v="163"/>
    <x v="3"/>
    <n v="2"/>
    <n v="1.33"/>
    <n v="0"/>
    <n v="0"/>
    <n v="2"/>
    <n v="3.64"/>
    <x v="0"/>
  </r>
  <r>
    <x v="0"/>
    <s v="河東郡上士幌町"/>
    <x v="163"/>
    <x v="4"/>
    <n v="0"/>
    <n v="0"/>
    <n v="0"/>
    <n v="0"/>
    <n v="0"/>
    <n v="0"/>
    <x v="0"/>
  </r>
  <r>
    <x v="0"/>
    <s v="河東郡上士幌町"/>
    <x v="163"/>
    <x v="5"/>
    <n v="4"/>
    <n v="2.67"/>
    <n v="2"/>
    <n v="2.25"/>
    <n v="2"/>
    <n v="3.64"/>
    <x v="0"/>
  </r>
  <r>
    <x v="0"/>
    <s v="河東郡上士幌町"/>
    <x v="163"/>
    <x v="6"/>
    <n v="27"/>
    <n v="18"/>
    <n v="17"/>
    <n v="19.100000000000001"/>
    <n v="10"/>
    <n v="18.18"/>
    <x v="0"/>
  </r>
  <r>
    <x v="0"/>
    <s v="河東郡上士幌町"/>
    <x v="163"/>
    <x v="7"/>
    <n v="1"/>
    <n v="0.67"/>
    <n v="0"/>
    <n v="0"/>
    <n v="1"/>
    <n v="1.82"/>
    <x v="0"/>
  </r>
  <r>
    <x v="0"/>
    <s v="河東郡上士幌町"/>
    <x v="163"/>
    <x v="8"/>
    <n v="2"/>
    <n v="1.33"/>
    <n v="1"/>
    <n v="1.1200000000000001"/>
    <n v="1"/>
    <n v="1.82"/>
    <x v="0"/>
  </r>
  <r>
    <x v="0"/>
    <s v="河東郡上士幌町"/>
    <x v="163"/>
    <x v="9"/>
    <n v="9"/>
    <n v="6"/>
    <n v="7"/>
    <n v="7.87"/>
    <n v="1"/>
    <n v="1.82"/>
    <x v="0"/>
  </r>
  <r>
    <x v="0"/>
    <s v="河東郡上士幌町"/>
    <x v="163"/>
    <x v="10"/>
    <n v="29"/>
    <n v="19.329999999999998"/>
    <n v="18"/>
    <n v="20.22"/>
    <n v="11"/>
    <n v="20"/>
    <x v="0"/>
  </r>
  <r>
    <x v="0"/>
    <s v="河東郡上士幌町"/>
    <x v="163"/>
    <x v="11"/>
    <n v="22"/>
    <n v="14.67"/>
    <n v="19"/>
    <n v="21.35"/>
    <n v="2"/>
    <n v="3.64"/>
    <x v="0"/>
  </r>
  <r>
    <x v="0"/>
    <s v="河東郡上士幌町"/>
    <x v="163"/>
    <x v="12"/>
    <n v="5"/>
    <n v="3.33"/>
    <n v="3"/>
    <n v="3.37"/>
    <n v="1"/>
    <n v="1.82"/>
    <x v="1"/>
  </r>
  <r>
    <x v="0"/>
    <s v="河東郡上士幌町"/>
    <x v="163"/>
    <x v="13"/>
    <n v="6"/>
    <n v="4"/>
    <n v="4"/>
    <n v="4.49"/>
    <n v="0"/>
    <n v="0"/>
    <x v="0"/>
  </r>
  <r>
    <x v="0"/>
    <s v="河東郡上士幌町"/>
    <x v="163"/>
    <x v="14"/>
    <n v="6"/>
    <n v="4"/>
    <n v="2"/>
    <n v="2.25"/>
    <n v="3"/>
    <n v="5.45"/>
    <x v="0"/>
  </r>
  <r>
    <x v="0"/>
    <s v="河東郡鹿追町"/>
    <x v="164"/>
    <x v="0"/>
    <n v="0"/>
    <n v="0"/>
    <n v="0"/>
    <n v="0"/>
    <n v="0"/>
    <n v="0"/>
    <x v="0"/>
  </r>
  <r>
    <x v="0"/>
    <s v="河東郡鹿追町"/>
    <x v="164"/>
    <x v="1"/>
    <n v="11"/>
    <n v="7.97"/>
    <n v="1"/>
    <n v="1.67"/>
    <n v="10"/>
    <n v="18.18"/>
    <x v="0"/>
  </r>
  <r>
    <x v="0"/>
    <s v="河東郡鹿追町"/>
    <x v="164"/>
    <x v="2"/>
    <n v="10"/>
    <n v="7.25"/>
    <n v="2"/>
    <n v="3.33"/>
    <n v="8"/>
    <n v="14.55"/>
    <x v="0"/>
  </r>
  <r>
    <x v="0"/>
    <s v="河東郡鹿追町"/>
    <x v="164"/>
    <x v="3"/>
    <n v="1"/>
    <n v="0.72"/>
    <n v="0"/>
    <n v="0"/>
    <n v="0"/>
    <n v="0"/>
    <x v="0"/>
  </r>
  <r>
    <x v="0"/>
    <s v="河東郡鹿追町"/>
    <x v="164"/>
    <x v="4"/>
    <n v="0"/>
    <n v="0"/>
    <n v="0"/>
    <n v="0"/>
    <n v="0"/>
    <n v="0"/>
    <x v="0"/>
  </r>
  <r>
    <x v="0"/>
    <s v="河東郡鹿追町"/>
    <x v="164"/>
    <x v="5"/>
    <n v="2"/>
    <n v="1.45"/>
    <n v="0"/>
    <n v="0"/>
    <n v="1"/>
    <n v="1.82"/>
    <x v="0"/>
  </r>
  <r>
    <x v="0"/>
    <s v="河東郡鹿追町"/>
    <x v="164"/>
    <x v="6"/>
    <n v="25"/>
    <n v="18.12"/>
    <n v="8"/>
    <n v="13.33"/>
    <n v="16"/>
    <n v="29.09"/>
    <x v="1"/>
  </r>
  <r>
    <x v="0"/>
    <s v="河東郡鹿追町"/>
    <x v="164"/>
    <x v="7"/>
    <n v="0"/>
    <n v="0"/>
    <n v="0"/>
    <n v="0"/>
    <n v="0"/>
    <n v="0"/>
    <x v="0"/>
  </r>
  <r>
    <x v="0"/>
    <s v="河東郡鹿追町"/>
    <x v="164"/>
    <x v="8"/>
    <n v="5"/>
    <n v="3.62"/>
    <n v="3"/>
    <n v="5"/>
    <n v="2"/>
    <n v="3.64"/>
    <x v="0"/>
  </r>
  <r>
    <x v="0"/>
    <s v="河東郡鹿追町"/>
    <x v="164"/>
    <x v="9"/>
    <n v="5"/>
    <n v="3.62"/>
    <n v="4"/>
    <n v="6.67"/>
    <n v="1"/>
    <n v="1.82"/>
    <x v="0"/>
  </r>
  <r>
    <x v="0"/>
    <s v="河東郡鹿追町"/>
    <x v="164"/>
    <x v="10"/>
    <n v="28"/>
    <n v="20.29"/>
    <n v="17"/>
    <n v="28.33"/>
    <n v="9"/>
    <n v="16.36"/>
    <x v="0"/>
  </r>
  <r>
    <x v="0"/>
    <s v="河東郡鹿追町"/>
    <x v="164"/>
    <x v="11"/>
    <n v="21"/>
    <n v="15.22"/>
    <n v="15"/>
    <n v="25"/>
    <n v="4"/>
    <n v="7.27"/>
    <x v="0"/>
  </r>
  <r>
    <x v="0"/>
    <s v="河東郡鹿追町"/>
    <x v="164"/>
    <x v="12"/>
    <n v="11"/>
    <n v="7.97"/>
    <n v="7"/>
    <n v="11.67"/>
    <n v="1"/>
    <n v="1.82"/>
    <x v="0"/>
  </r>
  <r>
    <x v="0"/>
    <s v="河東郡鹿追町"/>
    <x v="164"/>
    <x v="13"/>
    <n v="7"/>
    <n v="5.07"/>
    <n v="0"/>
    <n v="0"/>
    <n v="1"/>
    <n v="1.82"/>
    <x v="0"/>
  </r>
  <r>
    <x v="0"/>
    <s v="河東郡鹿追町"/>
    <x v="164"/>
    <x v="14"/>
    <n v="12"/>
    <n v="8.6999999999999993"/>
    <n v="3"/>
    <n v="5"/>
    <n v="2"/>
    <n v="3.64"/>
    <x v="0"/>
  </r>
  <r>
    <x v="0"/>
    <s v="上川郡新得町"/>
    <x v="165"/>
    <x v="0"/>
    <n v="0"/>
    <n v="0"/>
    <n v="0"/>
    <n v="0"/>
    <n v="0"/>
    <n v="0"/>
    <x v="0"/>
  </r>
  <r>
    <x v="0"/>
    <s v="上川郡新得町"/>
    <x v="165"/>
    <x v="1"/>
    <n v="15"/>
    <n v="8.98"/>
    <n v="4"/>
    <n v="4.88"/>
    <n v="11"/>
    <n v="14.67"/>
    <x v="0"/>
  </r>
  <r>
    <x v="0"/>
    <s v="上川郡新得町"/>
    <x v="165"/>
    <x v="2"/>
    <n v="12"/>
    <n v="7.19"/>
    <n v="2"/>
    <n v="2.44"/>
    <n v="10"/>
    <n v="13.33"/>
    <x v="0"/>
  </r>
  <r>
    <x v="0"/>
    <s v="上川郡新得町"/>
    <x v="165"/>
    <x v="3"/>
    <n v="5"/>
    <n v="2.99"/>
    <n v="0"/>
    <n v="0"/>
    <n v="5"/>
    <n v="6.67"/>
    <x v="0"/>
  </r>
  <r>
    <x v="0"/>
    <s v="上川郡新得町"/>
    <x v="165"/>
    <x v="4"/>
    <n v="3"/>
    <n v="1.8"/>
    <n v="0"/>
    <n v="0"/>
    <n v="3"/>
    <n v="4"/>
    <x v="0"/>
  </r>
  <r>
    <x v="0"/>
    <s v="上川郡新得町"/>
    <x v="165"/>
    <x v="5"/>
    <n v="2"/>
    <n v="1.2"/>
    <n v="1"/>
    <n v="1.22"/>
    <n v="1"/>
    <n v="1.33"/>
    <x v="0"/>
  </r>
  <r>
    <x v="0"/>
    <s v="上川郡新得町"/>
    <x v="165"/>
    <x v="6"/>
    <n v="32"/>
    <n v="19.16"/>
    <n v="16"/>
    <n v="19.510000000000002"/>
    <n v="16"/>
    <n v="21.33"/>
    <x v="0"/>
  </r>
  <r>
    <x v="0"/>
    <s v="上川郡新得町"/>
    <x v="165"/>
    <x v="7"/>
    <n v="1"/>
    <n v="0.6"/>
    <n v="0"/>
    <n v="0"/>
    <n v="1"/>
    <n v="1.33"/>
    <x v="0"/>
  </r>
  <r>
    <x v="0"/>
    <s v="上川郡新得町"/>
    <x v="165"/>
    <x v="8"/>
    <n v="8"/>
    <n v="4.79"/>
    <n v="2"/>
    <n v="2.44"/>
    <n v="5"/>
    <n v="6.67"/>
    <x v="0"/>
  </r>
  <r>
    <x v="0"/>
    <s v="上川郡新得町"/>
    <x v="165"/>
    <x v="9"/>
    <n v="6"/>
    <n v="3.59"/>
    <n v="2"/>
    <n v="2.44"/>
    <n v="3"/>
    <n v="4"/>
    <x v="0"/>
  </r>
  <r>
    <x v="0"/>
    <s v="上川郡新得町"/>
    <x v="165"/>
    <x v="10"/>
    <n v="44"/>
    <n v="26.35"/>
    <n v="34"/>
    <n v="41.46"/>
    <n v="10"/>
    <n v="13.33"/>
    <x v="0"/>
  </r>
  <r>
    <x v="0"/>
    <s v="上川郡新得町"/>
    <x v="165"/>
    <x v="11"/>
    <n v="14"/>
    <n v="8.3800000000000008"/>
    <n v="11"/>
    <n v="13.41"/>
    <n v="2"/>
    <n v="2.67"/>
    <x v="1"/>
  </r>
  <r>
    <x v="0"/>
    <s v="上川郡新得町"/>
    <x v="165"/>
    <x v="12"/>
    <n v="6"/>
    <n v="3.59"/>
    <n v="3"/>
    <n v="3.66"/>
    <n v="0"/>
    <n v="0"/>
    <x v="0"/>
  </r>
  <r>
    <x v="0"/>
    <s v="上川郡新得町"/>
    <x v="165"/>
    <x v="13"/>
    <n v="12"/>
    <n v="7.19"/>
    <n v="3"/>
    <n v="3.66"/>
    <n v="6"/>
    <n v="8"/>
    <x v="1"/>
  </r>
  <r>
    <x v="0"/>
    <s v="上川郡新得町"/>
    <x v="165"/>
    <x v="14"/>
    <n v="7"/>
    <n v="4.1900000000000004"/>
    <n v="4"/>
    <n v="4.88"/>
    <n v="2"/>
    <n v="2.67"/>
    <x v="0"/>
  </r>
  <r>
    <x v="0"/>
    <s v="上川郡清水町"/>
    <x v="166"/>
    <x v="0"/>
    <n v="0"/>
    <n v="0"/>
    <n v="0"/>
    <n v="0"/>
    <n v="0"/>
    <n v="0"/>
    <x v="0"/>
  </r>
  <r>
    <x v="0"/>
    <s v="上川郡清水町"/>
    <x v="166"/>
    <x v="1"/>
    <n v="35"/>
    <n v="14"/>
    <n v="12"/>
    <n v="8.6999999999999993"/>
    <n v="23"/>
    <n v="20.91"/>
    <x v="0"/>
  </r>
  <r>
    <x v="0"/>
    <s v="上川郡清水町"/>
    <x v="166"/>
    <x v="2"/>
    <n v="19"/>
    <n v="7.6"/>
    <n v="4"/>
    <n v="2.9"/>
    <n v="15"/>
    <n v="13.64"/>
    <x v="0"/>
  </r>
  <r>
    <x v="0"/>
    <s v="上川郡清水町"/>
    <x v="166"/>
    <x v="3"/>
    <n v="1"/>
    <n v="0.4"/>
    <n v="0"/>
    <n v="0"/>
    <n v="1"/>
    <n v="0.91"/>
    <x v="0"/>
  </r>
  <r>
    <x v="0"/>
    <s v="上川郡清水町"/>
    <x v="166"/>
    <x v="4"/>
    <n v="1"/>
    <n v="0.4"/>
    <n v="0"/>
    <n v="0"/>
    <n v="1"/>
    <n v="0.91"/>
    <x v="0"/>
  </r>
  <r>
    <x v="0"/>
    <s v="上川郡清水町"/>
    <x v="166"/>
    <x v="5"/>
    <n v="4"/>
    <n v="1.6"/>
    <n v="1"/>
    <n v="0.72"/>
    <n v="3"/>
    <n v="2.73"/>
    <x v="0"/>
  </r>
  <r>
    <x v="0"/>
    <s v="上川郡清水町"/>
    <x v="166"/>
    <x v="6"/>
    <n v="57"/>
    <n v="22.8"/>
    <n v="24"/>
    <n v="17.39"/>
    <n v="33"/>
    <n v="30"/>
    <x v="0"/>
  </r>
  <r>
    <x v="0"/>
    <s v="上川郡清水町"/>
    <x v="166"/>
    <x v="7"/>
    <n v="0"/>
    <n v="0"/>
    <n v="0"/>
    <n v="0"/>
    <n v="0"/>
    <n v="0"/>
    <x v="0"/>
  </r>
  <r>
    <x v="0"/>
    <s v="上川郡清水町"/>
    <x v="166"/>
    <x v="8"/>
    <n v="20"/>
    <n v="8"/>
    <n v="12"/>
    <n v="8.6999999999999993"/>
    <n v="7"/>
    <n v="6.36"/>
    <x v="0"/>
  </r>
  <r>
    <x v="0"/>
    <s v="上川郡清水町"/>
    <x v="166"/>
    <x v="9"/>
    <n v="8"/>
    <n v="3.2"/>
    <n v="6"/>
    <n v="4.3499999999999996"/>
    <n v="2"/>
    <n v="1.82"/>
    <x v="0"/>
  </r>
  <r>
    <x v="0"/>
    <s v="上川郡清水町"/>
    <x v="166"/>
    <x v="10"/>
    <n v="46"/>
    <n v="18.399999999999999"/>
    <n v="40"/>
    <n v="28.99"/>
    <n v="6"/>
    <n v="5.45"/>
    <x v="0"/>
  </r>
  <r>
    <x v="0"/>
    <s v="上川郡清水町"/>
    <x v="166"/>
    <x v="11"/>
    <n v="24"/>
    <n v="9.6"/>
    <n v="20"/>
    <n v="14.49"/>
    <n v="4"/>
    <n v="3.64"/>
    <x v="0"/>
  </r>
  <r>
    <x v="0"/>
    <s v="上川郡清水町"/>
    <x v="166"/>
    <x v="12"/>
    <n v="8"/>
    <n v="3.2"/>
    <n v="7"/>
    <n v="5.07"/>
    <n v="1"/>
    <n v="0.91"/>
    <x v="0"/>
  </r>
  <r>
    <x v="0"/>
    <s v="上川郡清水町"/>
    <x v="166"/>
    <x v="13"/>
    <n v="17"/>
    <n v="6.8"/>
    <n v="6"/>
    <n v="4.3499999999999996"/>
    <n v="11"/>
    <n v="10"/>
    <x v="0"/>
  </r>
  <r>
    <x v="0"/>
    <s v="上川郡清水町"/>
    <x v="166"/>
    <x v="14"/>
    <n v="10"/>
    <n v="4"/>
    <n v="6"/>
    <n v="4.3499999999999996"/>
    <n v="3"/>
    <n v="2.73"/>
    <x v="0"/>
  </r>
  <r>
    <x v="0"/>
    <s v="河西郡芽室町"/>
    <x v="167"/>
    <x v="0"/>
    <n v="0"/>
    <n v="0"/>
    <n v="0"/>
    <n v="0"/>
    <n v="0"/>
    <n v="0"/>
    <x v="0"/>
  </r>
  <r>
    <x v="0"/>
    <s v="河西郡芽室町"/>
    <x v="167"/>
    <x v="1"/>
    <n v="49"/>
    <n v="14.2"/>
    <n v="9"/>
    <n v="5.81"/>
    <n v="40"/>
    <n v="22.1"/>
    <x v="0"/>
  </r>
  <r>
    <x v="0"/>
    <s v="河西郡芽室町"/>
    <x v="167"/>
    <x v="2"/>
    <n v="21"/>
    <n v="6.09"/>
    <n v="7"/>
    <n v="4.5199999999999996"/>
    <n v="14"/>
    <n v="7.73"/>
    <x v="0"/>
  </r>
  <r>
    <x v="0"/>
    <s v="河西郡芽室町"/>
    <x v="167"/>
    <x v="3"/>
    <n v="1"/>
    <n v="0.28999999999999998"/>
    <n v="0"/>
    <n v="0"/>
    <n v="1"/>
    <n v="0.55000000000000004"/>
    <x v="0"/>
  </r>
  <r>
    <x v="0"/>
    <s v="河西郡芽室町"/>
    <x v="167"/>
    <x v="4"/>
    <n v="0"/>
    <n v="0"/>
    <n v="0"/>
    <n v="0"/>
    <n v="0"/>
    <n v="0"/>
    <x v="0"/>
  </r>
  <r>
    <x v="0"/>
    <s v="河西郡芽室町"/>
    <x v="167"/>
    <x v="5"/>
    <n v="16"/>
    <n v="4.6399999999999997"/>
    <n v="0"/>
    <n v="0"/>
    <n v="15"/>
    <n v="8.2899999999999991"/>
    <x v="0"/>
  </r>
  <r>
    <x v="0"/>
    <s v="河西郡芽室町"/>
    <x v="167"/>
    <x v="6"/>
    <n v="88"/>
    <n v="25.51"/>
    <n v="25"/>
    <n v="16.13"/>
    <n v="63"/>
    <n v="34.81"/>
    <x v="0"/>
  </r>
  <r>
    <x v="0"/>
    <s v="河西郡芽室町"/>
    <x v="167"/>
    <x v="7"/>
    <n v="5"/>
    <n v="1.45"/>
    <n v="3"/>
    <n v="1.94"/>
    <n v="2"/>
    <n v="1.1000000000000001"/>
    <x v="0"/>
  </r>
  <r>
    <x v="0"/>
    <s v="河西郡芽室町"/>
    <x v="167"/>
    <x v="8"/>
    <n v="33"/>
    <n v="9.57"/>
    <n v="13"/>
    <n v="8.39"/>
    <n v="19"/>
    <n v="10.5"/>
    <x v="0"/>
  </r>
  <r>
    <x v="0"/>
    <s v="河西郡芽室町"/>
    <x v="167"/>
    <x v="9"/>
    <n v="11"/>
    <n v="3.19"/>
    <n v="7"/>
    <n v="4.5199999999999996"/>
    <n v="3"/>
    <n v="1.66"/>
    <x v="0"/>
  </r>
  <r>
    <x v="0"/>
    <s v="河西郡芽室町"/>
    <x v="167"/>
    <x v="10"/>
    <n v="37"/>
    <n v="10.72"/>
    <n v="30"/>
    <n v="19.350000000000001"/>
    <n v="7"/>
    <n v="3.87"/>
    <x v="0"/>
  </r>
  <r>
    <x v="0"/>
    <s v="河西郡芽室町"/>
    <x v="167"/>
    <x v="11"/>
    <n v="40"/>
    <n v="11.59"/>
    <n v="35"/>
    <n v="22.58"/>
    <n v="5"/>
    <n v="2.76"/>
    <x v="0"/>
  </r>
  <r>
    <x v="0"/>
    <s v="河西郡芽室町"/>
    <x v="167"/>
    <x v="12"/>
    <n v="11"/>
    <n v="3.19"/>
    <n v="8"/>
    <n v="5.16"/>
    <n v="2"/>
    <n v="1.1000000000000001"/>
    <x v="0"/>
  </r>
  <r>
    <x v="0"/>
    <s v="河西郡芽室町"/>
    <x v="167"/>
    <x v="13"/>
    <n v="14"/>
    <n v="4.0599999999999996"/>
    <n v="9"/>
    <n v="5.81"/>
    <n v="2"/>
    <n v="1.1000000000000001"/>
    <x v="1"/>
  </r>
  <r>
    <x v="0"/>
    <s v="河西郡芽室町"/>
    <x v="167"/>
    <x v="14"/>
    <n v="19"/>
    <n v="5.51"/>
    <n v="9"/>
    <n v="5.81"/>
    <n v="8"/>
    <n v="4.42"/>
    <x v="1"/>
  </r>
  <r>
    <x v="0"/>
    <s v="河西郡中札内村"/>
    <x v="168"/>
    <x v="0"/>
    <n v="1"/>
    <n v="0.93"/>
    <n v="0"/>
    <n v="0"/>
    <n v="1"/>
    <n v="1.96"/>
    <x v="0"/>
  </r>
  <r>
    <x v="0"/>
    <s v="河西郡中札内村"/>
    <x v="168"/>
    <x v="1"/>
    <n v="9"/>
    <n v="8.41"/>
    <n v="1"/>
    <n v="1.92"/>
    <n v="8"/>
    <n v="15.69"/>
    <x v="0"/>
  </r>
  <r>
    <x v="0"/>
    <s v="河西郡中札内村"/>
    <x v="168"/>
    <x v="2"/>
    <n v="13"/>
    <n v="12.15"/>
    <n v="0"/>
    <n v="0"/>
    <n v="13"/>
    <n v="25.49"/>
    <x v="0"/>
  </r>
  <r>
    <x v="0"/>
    <s v="河西郡中札内村"/>
    <x v="168"/>
    <x v="3"/>
    <n v="3"/>
    <n v="2.8"/>
    <n v="0"/>
    <n v="0"/>
    <n v="2"/>
    <n v="3.92"/>
    <x v="0"/>
  </r>
  <r>
    <x v="0"/>
    <s v="河西郡中札内村"/>
    <x v="168"/>
    <x v="4"/>
    <n v="0"/>
    <n v="0"/>
    <n v="0"/>
    <n v="0"/>
    <n v="0"/>
    <n v="0"/>
    <x v="0"/>
  </r>
  <r>
    <x v="0"/>
    <s v="河西郡中札内村"/>
    <x v="168"/>
    <x v="5"/>
    <n v="3"/>
    <n v="2.8"/>
    <n v="0"/>
    <n v="0"/>
    <n v="3"/>
    <n v="5.88"/>
    <x v="0"/>
  </r>
  <r>
    <x v="0"/>
    <s v="河西郡中札内村"/>
    <x v="168"/>
    <x v="6"/>
    <n v="23"/>
    <n v="21.5"/>
    <n v="13"/>
    <n v="25"/>
    <n v="10"/>
    <n v="19.61"/>
    <x v="0"/>
  </r>
  <r>
    <x v="0"/>
    <s v="河西郡中札内村"/>
    <x v="168"/>
    <x v="7"/>
    <n v="0"/>
    <n v="0"/>
    <n v="0"/>
    <n v="0"/>
    <n v="0"/>
    <n v="0"/>
    <x v="0"/>
  </r>
  <r>
    <x v="0"/>
    <s v="河西郡中札内村"/>
    <x v="168"/>
    <x v="8"/>
    <n v="8"/>
    <n v="7.48"/>
    <n v="3"/>
    <n v="5.77"/>
    <n v="5"/>
    <n v="9.8000000000000007"/>
    <x v="0"/>
  </r>
  <r>
    <x v="0"/>
    <s v="河西郡中札内村"/>
    <x v="168"/>
    <x v="9"/>
    <n v="5"/>
    <n v="4.67"/>
    <n v="3"/>
    <n v="5.77"/>
    <n v="2"/>
    <n v="3.92"/>
    <x v="0"/>
  </r>
  <r>
    <x v="0"/>
    <s v="河西郡中札内村"/>
    <x v="168"/>
    <x v="10"/>
    <n v="13"/>
    <n v="12.15"/>
    <n v="12"/>
    <n v="23.08"/>
    <n v="1"/>
    <n v="1.96"/>
    <x v="0"/>
  </r>
  <r>
    <x v="0"/>
    <s v="河西郡中札内村"/>
    <x v="168"/>
    <x v="11"/>
    <n v="11"/>
    <n v="10.28"/>
    <n v="9"/>
    <n v="17.309999999999999"/>
    <n v="2"/>
    <n v="3.92"/>
    <x v="0"/>
  </r>
  <r>
    <x v="0"/>
    <s v="河西郡中札内村"/>
    <x v="168"/>
    <x v="12"/>
    <n v="7"/>
    <n v="6.54"/>
    <n v="5"/>
    <n v="9.6199999999999992"/>
    <n v="1"/>
    <n v="1.96"/>
    <x v="0"/>
  </r>
  <r>
    <x v="0"/>
    <s v="河西郡中札内村"/>
    <x v="168"/>
    <x v="13"/>
    <n v="6"/>
    <n v="5.61"/>
    <n v="3"/>
    <n v="5.77"/>
    <n v="2"/>
    <n v="3.92"/>
    <x v="0"/>
  </r>
  <r>
    <x v="0"/>
    <s v="河西郡中札内村"/>
    <x v="168"/>
    <x v="14"/>
    <n v="5"/>
    <n v="4.67"/>
    <n v="3"/>
    <n v="5.77"/>
    <n v="1"/>
    <n v="1.96"/>
    <x v="0"/>
  </r>
  <r>
    <x v="0"/>
    <s v="河西郡更別村"/>
    <x v="169"/>
    <x v="0"/>
    <n v="0"/>
    <n v="0"/>
    <n v="0"/>
    <n v="0"/>
    <n v="0"/>
    <n v="0"/>
    <x v="0"/>
  </r>
  <r>
    <x v="0"/>
    <s v="河西郡更別村"/>
    <x v="169"/>
    <x v="1"/>
    <n v="2"/>
    <n v="3.23"/>
    <n v="0"/>
    <n v="0"/>
    <n v="2"/>
    <n v="7.69"/>
    <x v="0"/>
  </r>
  <r>
    <x v="0"/>
    <s v="河西郡更別村"/>
    <x v="169"/>
    <x v="2"/>
    <n v="3"/>
    <n v="4.84"/>
    <n v="1"/>
    <n v="2.86"/>
    <n v="2"/>
    <n v="7.69"/>
    <x v="0"/>
  </r>
  <r>
    <x v="0"/>
    <s v="河西郡更別村"/>
    <x v="169"/>
    <x v="3"/>
    <n v="2"/>
    <n v="3.23"/>
    <n v="0"/>
    <n v="0"/>
    <n v="1"/>
    <n v="3.85"/>
    <x v="0"/>
  </r>
  <r>
    <x v="0"/>
    <s v="河西郡更別村"/>
    <x v="169"/>
    <x v="4"/>
    <n v="1"/>
    <n v="1.61"/>
    <n v="0"/>
    <n v="0"/>
    <n v="1"/>
    <n v="3.85"/>
    <x v="0"/>
  </r>
  <r>
    <x v="0"/>
    <s v="河西郡更別村"/>
    <x v="169"/>
    <x v="5"/>
    <n v="0"/>
    <n v="0"/>
    <n v="0"/>
    <n v="0"/>
    <n v="0"/>
    <n v="0"/>
    <x v="0"/>
  </r>
  <r>
    <x v="0"/>
    <s v="河西郡更別村"/>
    <x v="169"/>
    <x v="6"/>
    <n v="20"/>
    <n v="32.26"/>
    <n v="10"/>
    <n v="28.57"/>
    <n v="10"/>
    <n v="38.46"/>
    <x v="0"/>
  </r>
  <r>
    <x v="0"/>
    <s v="河西郡更別村"/>
    <x v="169"/>
    <x v="7"/>
    <n v="0"/>
    <n v="0"/>
    <n v="0"/>
    <n v="0"/>
    <n v="0"/>
    <n v="0"/>
    <x v="0"/>
  </r>
  <r>
    <x v="0"/>
    <s v="河西郡更別村"/>
    <x v="169"/>
    <x v="8"/>
    <n v="2"/>
    <n v="3.23"/>
    <n v="1"/>
    <n v="2.86"/>
    <n v="1"/>
    <n v="3.85"/>
    <x v="0"/>
  </r>
  <r>
    <x v="0"/>
    <s v="河西郡更別村"/>
    <x v="169"/>
    <x v="9"/>
    <n v="6"/>
    <n v="9.68"/>
    <n v="1"/>
    <n v="2.86"/>
    <n v="5"/>
    <n v="19.23"/>
    <x v="0"/>
  </r>
  <r>
    <x v="0"/>
    <s v="河西郡更別村"/>
    <x v="169"/>
    <x v="10"/>
    <n v="12"/>
    <n v="19.350000000000001"/>
    <n v="11"/>
    <n v="31.43"/>
    <n v="1"/>
    <n v="3.85"/>
    <x v="0"/>
  </r>
  <r>
    <x v="0"/>
    <s v="河西郡更別村"/>
    <x v="169"/>
    <x v="11"/>
    <n v="5"/>
    <n v="8.06"/>
    <n v="4"/>
    <n v="11.43"/>
    <n v="1"/>
    <n v="3.85"/>
    <x v="0"/>
  </r>
  <r>
    <x v="0"/>
    <s v="河西郡更別村"/>
    <x v="169"/>
    <x v="12"/>
    <n v="5"/>
    <n v="8.06"/>
    <n v="5"/>
    <n v="14.29"/>
    <n v="0"/>
    <n v="0"/>
    <x v="0"/>
  </r>
  <r>
    <x v="0"/>
    <s v="河西郡更別村"/>
    <x v="169"/>
    <x v="13"/>
    <n v="4"/>
    <n v="6.45"/>
    <n v="2"/>
    <n v="5.71"/>
    <n v="2"/>
    <n v="7.69"/>
    <x v="0"/>
  </r>
  <r>
    <x v="0"/>
    <s v="河西郡更別村"/>
    <x v="169"/>
    <x v="14"/>
    <n v="0"/>
    <n v="0"/>
    <n v="0"/>
    <n v="0"/>
    <n v="0"/>
    <n v="0"/>
    <x v="0"/>
  </r>
  <r>
    <x v="0"/>
    <s v="広尾郡大樹町"/>
    <x v="170"/>
    <x v="0"/>
    <n v="0"/>
    <n v="0"/>
    <n v="0"/>
    <n v="0"/>
    <n v="0"/>
    <n v="0"/>
    <x v="0"/>
  </r>
  <r>
    <x v="0"/>
    <s v="広尾郡大樹町"/>
    <x v="170"/>
    <x v="1"/>
    <n v="28"/>
    <n v="16.47"/>
    <n v="10"/>
    <n v="10.1"/>
    <n v="18"/>
    <n v="26.87"/>
    <x v="0"/>
  </r>
  <r>
    <x v="0"/>
    <s v="広尾郡大樹町"/>
    <x v="170"/>
    <x v="2"/>
    <n v="16"/>
    <n v="9.41"/>
    <n v="5"/>
    <n v="5.05"/>
    <n v="11"/>
    <n v="16.420000000000002"/>
    <x v="0"/>
  </r>
  <r>
    <x v="0"/>
    <s v="広尾郡大樹町"/>
    <x v="170"/>
    <x v="3"/>
    <n v="0"/>
    <n v="0"/>
    <n v="0"/>
    <n v="0"/>
    <n v="0"/>
    <n v="0"/>
    <x v="0"/>
  </r>
  <r>
    <x v="0"/>
    <s v="広尾郡大樹町"/>
    <x v="170"/>
    <x v="4"/>
    <n v="1"/>
    <n v="0.59"/>
    <n v="0"/>
    <n v="0"/>
    <n v="1"/>
    <n v="1.49"/>
    <x v="0"/>
  </r>
  <r>
    <x v="0"/>
    <s v="広尾郡大樹町"/>
    <x v="170"/>
    <x v="5"/>
    <n v="2"/>
    <n v="1.18"/>
    <n v="1"/>
    <n v="1.01"/>
    <n v="1"/>
    <n v="1.49"/>
    <x v="0"/>
  </r>
  <r>
    <x v="0"/>
    <s v="広尾郡大樹町"/>
    <x v="170"/>
    <x v="6"/>
    <n v="43"/>
    <n v="25.29"/>
    <n v="26"/>
    <n v="26.26"/>
    <n v="17"/>
    <n v="25.37"/>
    <x v="0"/>
  </r>
  <r>
    <x v="0"/>
    <s v="広尾郡大樹町"/>
    <x v="170"/>
    <x v="7"/>
    <n v="1"/>
    <n v="0.59"/>
    <n v="0"/>
    <n v="0"/>
    <n v="1"/>
    <n v="1.49"/>
    <x v="0"/>
  </r>
  <r>
    <x v="0"/>
    <s v="広尾郡大樹町"/>
    <x v="170"/>
    <x v="8"/>
    <n v="10"/>
    <n v="5.88"/>
    <n v="4"/>
    <n v="4.04"/>
    <n v="6"/>
    <n v="8.9600000000000009"/>
    <x v="0"/>
  </r>
  <r>
    <x v="0"/>
    <s v="広尾郡大樹町"/>
    <x v="170"/>
    <x v="9"/>
    <n v="4"/>
    <n v="2.35"/>
    <n v="2"/>
    <n v="2.02"/>
    <n v="1"/>
    <n v="1.49"/>
    <x v="0"/>
  </r>
  <r>
    <x v="0"/>
    <s v="広尾郡大樹町"/>
    <x v="170"/>
    <x v="10"/>
    <n v="33"/>
    <n v="19.41"/>
    <n v="26"/>
    <n v="26.26"/>
    <n v="7"/>
    <n v="10.45"/>
    <x v="0"/>
  </r>
  <r>
    <x v="0"/>
    <s v="広尾郡大樹町"/>
    <x v="170"/>
    <x v="11"/>
    <n v="15"/>
    <n v="8.82"/>
    <n v="13"/>
    <n v="13.13"/>
    <n v="1"/>
    <n v="1.49"/>
    <x v="0"/>
  </r>
  <r>
    <x v="0"/>
    <s v="広尾郡大樹町"/>
    <x v="170"/>
    <x v="12"/>
    <n v="5"/>
    <n v="2.94"/>
    <n v="5"/>
    <n v="5.05"/>
    <n v="0"/>
    <n v="0"/>
    <x v="0"/>
  </r>
  <r>
    <x v="0"/>
    <s v="広尾郡大樹町"/>
    <x v="170"/>
    <x v="13"/>
    <n v="6"/>
    <n v="3.53"/>
    <n v="3"/>
    <n v="3.03"/>
    <n v="2"/>
    <n v="2.99"/>
    <x v="0"/>
  </r>
  <r>
    <x v="0"/>
    <s v="広尾郡大樹町"/>
    <x v="170"/>
    <x v="14"/>
    <n v="6"/>
    <n v="3.53"/>
    <n v="4"/>
    <n v="4.04"/>
    <n v="1"/>
    <n v="1.49"/>
    <x v="1"/>
  </r>
  <r>
    <x v="0"/>
    <s v="広尾郡広尾町"/>
    <x v="171"/>
    <x v="0"/>
    <n v="0"/>
    <n v="0"/>
    <n v="0"/>
    <n v="0"/>
    <n v="0"/>
    <n v="0"/>
    <x v="0"/>
  </r>
  <r>
    <x v="0"/>
    <s v="広尾郡広尾町"/>
    <x v="171"/>
    <x v="1"/>
    <n v="37"/>
    <n v="15.1"/>
    <n v="21"/>
    <n v="13.73"/>
    <n v="16"/>
    <n v="19.510000000000002"/>
    <x v="0"/>
  </r>
  <r>
    <x v="0"/>
    <s v="広尾郡広尾町"/>
    <x v="171"/>
    <x v="2"/>
    <n v="21"/>
    <n v="8.57"/>
    <n v="5"/>
    <n v="3.27"/>
    <n v="16"/>
    <n v="19.510000000000002"/>
    <x v="0"/>
  </r>
  <r>
    <x v="0"/>
    <s v="広尾郡広尾町"/>
    <x v="171"/>
    <x v="3"/>
    <n v="0"/>
    <n v="0"/>
    <n v="0"/>
    <n v="0"/>
    <n v="0"/>
    <n v="0"/>
    <x v="0"/>
  </r>
  <r>
    <x v="0"/>
    <s v="広尾郡広尾町"/>
    <x v="171"/>
    <x v="4"/>
    <n v="3"/>
    <n v="1.22"/>
    <n v="0"/>
    <n v="0"/>
    <n v="3"/>
    <n v="3.66"/>
    <x v="0"/>
  </r>
  <r>
    <x v="0"/>
    <s v="広尾郡広尾町"/>
    <x v="171"/>
    <x v="5"/>
    <n v="8"/>
    <n v="3.27"/>
    <n v="3"/>
    <n v="1.96"/>
    <n v="4"/>
    <n v="4.88"/>
    <x v="0"/>
  </r>
  <r>
    <x v="0"/>
    <s v="広尾郡広尾町"/>
    <x v="171"/>
    <x v="6"/>
    <n v="62"/>
    <n v="25.31"/>
    <n v="34"/>
    <n v="22.22"/>
    <n v="28"/>
    <n v="34.15"/>
    <x v="0"/>
  </r>
  <r>
    <x v="0"/>
    <s v="広尾郡広尾町"/>
    <x v="171"/>
    <x v="7"/>
    <n v="1"/>
    <n v="0.41"/>
    <n v="1"/>
    <n v="0.65"/>
    <n v="0"/>
    <n v="0"/>
    <x v="0"/>
  </r>
  <r>
    <x v="0"/>
    <s v="広尾郡広尾町"/>
    <x v="171"/>
    <x v="8"/>
    <n v="15"/>
    <n v="6.12"/>
    <n v="11"/>
    <n v="7.19"/>
    <n v="4"/>
    <n v="4.88"/>
    <x v="0"/>
  </r>
  <r>
    <x v="0"/>
    <s v="広尾郡広尾町"/>
    <x v="171"/>
    <x v="9"/>
    <n v="9"/>
    <n v="3.67"/>
    <n v="5"/>
    <n v="3.27"/>
    <n v="2"/>
    <n v="2.44"/>
    <x v="0"/>
  </r>
  <r>
    <x v="0"/>
    <s v="広尾郡広尾町"/>
    <x v="171"/>
    <x v="10"/>
    <n v="36"/>
    <n v="14.69"/>
    <n v="31"/>
    <n v="20.260000000000002"/>
    <n v="5"/>
    <n v="6.1"/>
    <x v="0"/>
  </r>
  <r>
    <x v="0"/>
    <s v="広尾郡広尾町"/>
    <x v="171"/>
    <x v="11"/>
    <n v="28"/>
    <n v="11.43"/>
    <n v="28"/>
    <n v="18.3"/>
    <n v="0"/>
    <n v="0"/>
    <x v="0"/>
  </r>
  <r>
    <x v="0"/>
    <s v="広尾郡広尾町"/>
    <x v="171"/>
    <x v="12"/>
    <n v="7"/>
    <n v="2.86"/>
    <n v="4"/>
    <n v="2.61"/>
    <n v="0"/>
    <n v="0"/>
    <x v="0"/>
  </r>
  <r>
    <x v="0"/>
    <s v="広尾郡広尾町"/>
    <x v="171"/>
    <x v="13"/>
    <n v="8"/>
    <n v="3.27"/>
    <n v="4"/>
    <n v="2.61"/>
    <n v="2"/>
    <n v="2.44"/>
    <x v="0"/>
  </r>
  <r>
    <x v="0"/>
    <s v="広尾郡広尾町"/>
    <x v="171"/>
    <x v="14"/>
    <n v="10"/>
    <n v="4.08"/>
    <n v="6"/>
    <n v="3.92"/>
    <n v="2"/>
    <n v="2.44"/>
    <x v="0"/>
  </r>
  <r>
    <x v="0"/>
    <s v="中川郡幕別町"/>
    <x v="172"/>
    <x v="0"/>
    <n v="0"/>
    <n v="0"/>
    <n v="0"/>
    <n v="0"/>
    <n v="0"/>
    <n v="0"/>
    <x v="0"/>
  </r>
  <r>
    <x v="0"/>
    <s v="中川郡幕別町"/>
    <x v="172"/>
    <x v="1"/>
    <n v="83"/>
    <n v="15.51"/>
    <n v="23"/>
    <n v="8.65"/>
    <n v="60"/>
    <n v="24.1"/>
    <x v="0"/>
  </r>
  <r>
    <x v="0"/>
    <s v="中川郡幕別町"/>
    <x v="172"/>
    <x v="2"/>
    <n v="40"/>
    <n v="7.48"/>
    <n v="11"/>
    <n v="4.1399999999999997"/>
    <n v="29"/>
    <n v="11.65"/>
    <x v="0"/>
  </r>
  <r>
    <x v="0"/>
    <s v="中川郡幕別町"/>
    <x v="172"/>
    <x v="3"/>
    <n v="4"/>
    <n v="0.75"/>
    <n v="0"/>
    <n v="0"/>
    <n v="2"/>
    <n v="0.8"/>
    <x v="0"/>
  </r>
  <r>
    <x v="0"/>
    <s v="中川郡幕別町"/>
    <x v="172"/>
    <x v="4"/>
    <n v="1"/>
    <n v="0.19"/>
    <n v="0"/>
    <n v="0"/>
    <n v="1"/>
    <n v="0.4"/>
    <x v="0"/>
  </r>
  <r>
    <x v="0"/>
    <s v="中川郡幕別町"/>
    <x v="172"/>
    <x v="5"/>
    <n v="5"/>
    <n v="0.93"/>
    <n v="1"/>
    <n v="0.38"/>
    <n v="4"/>
    <n v="1.61"/>
    <x v="0"/>
  </r>
  <r>
    <x v="0"/>
    <s v="中川郡幕別町"/>
    <x v="172"/>
    <x v="6"/>
    <n v="127"/>
    <n v="23.74"/>
    <n v="48"/>
    <n v="18.05"/>
    <n v="79"/>
    <n v="31.73"/>
    <x v="0"/>
  </r>
  <r>
    <x v="0"/>
    <s v="中川郡幕別町"/>
    <x v="172"/>
    <x v="7"/>
    <n v="3"/>
    <n v="0.56000000000000005"/>
    <n v="1"/>
    <n v="0.38"/>
    <n v="1"/>
    <n v="0.4"/>
    <x v="1"/>
  </r>
  <r>
    <x v="0"/>
    <s v="中川郡幕別町"/>
    <x v="172"/>
    <x v="8"/>
    <n v="26"/>
    <n v="4.8600000000000003"/>
    <n v="13"/>
    <n v="4.8899999999999997"/>
    <n v="12"/>
    <n v="4.82"/>
    <x v="0"/>
  </r>
  <r>
    <x v="0"/>
    <s v="中川郡幕別町"/>
    <x v="172"/>
    <x v="9"/>
    <n v="21"/>
    <n v="3.93"/>
    <n v="8"/>
    <n v="3.01"/>
    <n v="12"/>
    <n v="4.82"/>
    <x v="1"/>
  </r>
  <r>
    <x v="0"/>
    <s v="中川郡幕別町"/>
    <x v="172"/>
    <x v="10"/>
    <n v="56"/>
    <n v="10.47"/>
    <n v="47"/>
    <n v="17.670000000000002"/>
    <n v="9"/>
    <n v="3.61"/>
    <x v="0"/>
  </r>
  <r>
    <x v="0"/>
    <s v="中川郡幕別町"/>
    <x v="172"/>
    <x v="11"/>
    <n v="73"/>
    <n v="13.64"/>
    <n v="62"/>
    <n v="23.31"/>
    <n v="10"/>
    <n v="4.0199999999999996"/>
    <x v="0"/>
  </r>
  <r>
    <x v="0"/>
    <s v="中川郡幕別町"/>
    <x v="172"/>
    <x v="12"/>
    <n v="27"/>
    <n v="5.05"/>
    <n v="14"/>
    <n v="5.26"/>
    <n v="7"/>
    <n v="2.81"/>
    <x v="0"/>
  </r>
  <r>
    <x v="0"/>
    <s v="中川郡幕別町"/>
    <x v="172"/>
    <x v="13"/>
    <n v="39"/>
    <n v="7.29"/>
    <n v="23"/>
    <n v="8.65"/>
    <n v="9"/>
    <n v="3.61"/>
    <x v="0"/>
  </r>
  <r>
    <x v="0"/>
    <s v="中川郡幕別町"/>
    <x v="172"/>
    <x v="14"/>
    <n v="30"/>
    <n v="5.61"/>
    <n v="15"/>
    <n v="5.64"/>
    <n v="14"/>
    <n v="5.62"/>
    <x v="0"/>
  </r>
  <r>
    <x v="0"/>
    <s v="中川郡池田町"/>
    <x v="173"/>
    <x v="0"/>
    <n v="0"/>
    <n v="0"/>
    <n v="0"/>
    <n v="0"/>
    <n v="0"/>
    <n v="0"/>
    <x v="0"/>
  </r>
  <r>
    <x v="0"/>
    <s v="中川郡池田町"/>
    <x v="173"/>
    <x v="1"/>
    <n v="29"/>
    <n v="13.55"/>
    <n v="11"/>
    <n v="8.94"/>
    <n v="18"/>
    <n v="20.93"/>
    <x v="0"/>
  </r>
  <r>
    <x v="0"/>
    <s v="中川郡池田町"/>
    <x v="173"/>
    <x v="2"/>
    <n v="14"/>
    <n v="6.54"/>
    <n v="4"/>
    <n v="3.25"/>
    <n v="10"/>
    <n v="11.63"/>
    <x v="0"/>
  </r>
  <r>
    <x v="0"/>
    <s v="中川郡池田町"/>
    <x v="173"/>
    <x v="3"/>
    <n v="1"/>
    <n v="0.47"/>
    <n v="0"/>
    <n v="0"/>
    <n v="0"/>
    <n v="0"/>
    <x v="0"/>
  </r>
  <r>
    <x v="0"/>
    <s v="中川郡池田町"/>
    <x v="173"/>
    <x v="4"/>
    <n v="3"/>
    <n v="1.4"/>
    <n v="1"/>
    <n v="0.81"/>
    <n v="2"/>
    <n v="2.33"/>
    <x v="0"/>
  </r>
  <r>
    <x v="0"/>
    <s v="中川郡池田町"/>
    <x v="173"/>
    <x v="5"/>
    <n v="2"/>
    <n v="0.93"/>
    <n v="1"/>
    <n v="0.81"/>
    <n v="1"/>
    <n v="1.1599999999999999"/>
    <x v="0"/>
  </r>
  <r>
    <x v="0"/>
    <s v="中川郡池田町"/>
    <x v="173"/>
    <x v="6"/>
    <n v="50"/>
    <n v="23.36"/>
    <n v="21"/>
    <n v="17.07"/>
    <n v="29"/>
    <n v="33.72"/>
    <x v="0"/>
  </r>
  <r>
    <x v="0"/>
    <s v="中川郡池田町"/>
    <x v="173"/>
    <x v="7"/>
    <n v="1"/>
    <n v="0.47"/>
    <n v="1"/>
    <n v="0.81"/>
    <n v="0"/>
    <n v="0"/>
    <x v="0"/>
  </r>
  <r>
    <x v="0"/>
    <s v="中川郡池田町"/>
    <x v="173"/>
    <x v="8"/>
    <n v="13"/>
    <n v="6.07"/>
    <n v="10"/>
    <n v="8.1300000000000008"/>
    <n v="3"/>
    <n v="3.49"/>
    <x v="0"/>
  </r>
  <r>
    <x v="0"/>
    <s v="中川郡池田町"/>
    <x v="173"/>
    <x v="9"/>
    <n v="8"/>
    <n v="3.74"/>
    <n v="5"/>
    <n v="4.07"/>
    <n v="3"/>
    <n v="3.49"/>
    <x v="0"/>
  </r>
  <r>
    <x v="0"/>
    <s v="中川郡池田町"/>
    <x v="173"/>
    <x v="10"/>
    <n v="33"/>
    <n v="15.42"/>
    <n v="26"/>
    <n v="21.14"/>
    <n v="7"/>
    <n v="8.14"/>
    <x v="0"/>
  </r>
  <r>
    <x v="0"/>
    <s v="中川郡池田町"/>
    <x v="173"/>
    <x v="11"/>
    <n v="23"/>
    <n v="10.75"/>
    <n v="20"/>
    <n v="16.260000000000002"/>
    <n v="3"/>
    <n v="3.49"/>
    <x v="0"/>
  </r>
  <r>
    <x v="0"/>
    <s v="中川郡池田町"/>
    <x v="173"/>
    <x v="12"/>
    <n v="15"/>
    <n v="7.01"/>
    <n v="9"/>
    <n v="7.32"/>
    <n v="3"/>
    <n v="3.49"/>
    <x v="0"/>
  </r>
  <r>
    <x v="0"/>
    <s v="中川郡池田町"/>
    <x v="173"/>
    <x v="13"/>
    <n v="14"/>
    <n v="6.54"/>
    <n v="9"/>
    <n v="7.32"/>
    <n v="4"/>
    <n v="4.6500000000000004"/>
    <x v="0"/>
  </r>
  <r>
    <x v="0"/>
    <s v="中川郡池田町"/>
    <x v="173"/>
    <x v="14"/>
    <n v="8"/>
    <n v="3.74"/>
    <n v="5"/>
    <n v="4.07"/>
    <n v="3"/>
    <n v="3.49"/>
    <x v="0"/>
  </r>
  <r>
    <x v="0"/>
    <s v="中川郡豊頃町"/>
    <x v="174"/>
    <x v="0"/>
    <n v="1"/>
    <n v="1.19"/>
    <n v="0"/>
    <n v="0"/>
    <n v="1"/>
    <n v="3.03"/>
    <x v="0"/>
  </r>
  <r>
    <x v="0"/>
    <s v="中川郡豊頃町"/>
    <x v="174"/>
    <x v="1"/>
    <n v="9"/>
    <n v="10.71"/>
    <n v="2"/>
    <n v="4.76"/>
    <n v="7"/>
    <n v="21.21"/>
    <x v="0"/>
  </r>
  <r>
    <x v="0"/>
    <s v="中川郡豊頃町"/>
    <x v="174"/>
    <x v="2"/>
    <n v="10"/>
    <n v="11.9"/>
    <n v="4"/>
    <n v="9.52"/>
    <n v="6"/>
    <n v="18.18"/>
    <x v="0"/>
  </r>
  <r>
    <x v="0"/>
    <s v="中川郡豊頃町"/>
    <x v="174"/>
    <x v="3"/>
    <n v="4"/>
    <n v="4.76"/>
    <n v="0"/>
    <n v="0"/>
    <n v="3"/>
    <n v="9.09"/>
    <x v="0"/>
  </r>
  <r>
    <x v="0"/>
    <s v="中川郡豊頃町"/>
    <x v="174"/>
    <x v="4"/>
    <n v="0"/>
    <n v="0"/>
    <n v="0"/>
    <n v="0"/>
    <n v="0"/>
    <n v="0"/>
    <x v="0"/>
  </r>
  <r>
    <x v="0"/>
    <s v="中川郡豊頃町"/>
    <x v="174"/>
    <x v="5"/>
    <n v="2"/>
    <n v="2.38"/>
    <n v="1"/>
    <n v="2.38"/>
    <n v="0"/>
    <n v="0"/>
    <x v="0"/>
  </r>
  <r>
    <x v="0"/>
    <s v="中川郡豊頃町"/>
    <x v="174"/>
    <x v="6"/>
    <n v="22"/>
    <n v="26.19"/>
    <n v="12"/>
    <n v="28.57"/>
    <n v="9"/>
    <n v="27.27"/>
    <x v="1"/>
  </r>
  <r>
    <x v="0"/>
    <s v="中川郡豊頃町"/>
    <x v="174"/>
    <x v="7"/>
    <n v="0"/>
    <n v="0"/>
    <n v="0"/>
    <n v="0"/>
    <n v="0"/>
    <n v="0"/>
    <x v="0"/>
  </r>
  <r>
    <x v="0"/>
    <s v="中川郡豊頃町"/>
    <x v="174"/>
    <x v="8"/>
    <n v="1"/>
    <n v="1.19"/>
    <n v="0"/>
    <n v="0"/>
    <n v="1"/>
    <n v="3.03"/>
    <x v="0"/>
  </r>
  <r>
    <x v="0"/>
    <s v="中川郡豊頃町"/>
    <x v="174"/>
    <x v="9"/>
    <n v="3"/>
    <n v="3.57"/>
    <n v="1"/>
    <n v="2.38"/>
    <n v="2"/>
    <n v="6.06"/>
    <x v="0"/>
  </r>
  <r>
    <x v="0"/>
    <s v="中川郡豊頃町"/>
    <x v="174"/>
    <x v="10"/>
    <n v="10"/>
    <n v="11.9"/>
    <n v="7"/>
    <n v="16.670000000000002"/>
    <n v="2"/>
    <n v="6.06"/>
    <x v="0"/>
  </r>
  <r>
    <x v="0"/>
    <s v="中川郡豊頃町"/>
    <x v="174"/>
    <x v="11"/>
    <n v="10"/>
    <n v="11.9"/>
    <n v="9"/>
    <n v="21.43"/>
    <n v="0"/>
    <n v="0"/>
    <x v="0"/>
  </r>
  <r>
    <x v="0"/>
    <s v="中川郡豊頃町"/>
    <x v="174"/>
    <x v="12"/>
    <n v="2"/>
    <n v="2.38"/>
    <n v="1"/>
    <n v="2.38"/>
    <n v="0"/>
    <n v="0"/>
    <x v="0"/>
  </r>
  <r>
    <x v="0"/>
    <s v="中川郡豊頃町"/>
    <x v="174"/>
    <x v="13"/>
    <n v="4"/>
    <n v="4.76"/>
    <n v="1"/>
    <n v="2.38"/>
    <n v="0"/>
    <n v="0"/>
    <x v="0"/>
  </r>
  <r>
    <x v="0"/>
    <s v="中川郡豊頃町"/>
    <x v="174"/>
    <x v="14"/>
    <n v="6"/>
    <n v="7.14"/>
    <n v="4"/>
    <n v="9.52"/>
    <n v="2"/>
    <n v="6.06"/>
    <x v="0"/>
  </r>
  <r>
    <x v="0"/>
    <s v="中川郡本別町"/>
    <x v="175"/>
    <x v="0"/>
    <n v="0"/>
    <n v="0"/>
    <n v="0"/>
    <n v="0"/>
    <n v="0"/>
    <n v="0"/>
    <x v="0"/>
  </r>
  <r>
    <x v="0"/>
    <s v="中川郡本別町"/>
    <x v="175"/>
    <x v="1"/>
    <n v="26"/>
    <n v="12.15"/>
    <n v="10"/>
    <n v="8.6999999999999993"/>
    <n v="16"/>
    <n v="18.18"/>
    <x v="0"/>
  </r>
  <r>
    <x v="0"/>
    <s v="中川郡本別町"/>
    <x v="175"/>
    <x v="2"/>
    <n v="14"/>
    <n v="6.54"/>
    <n v="2"/>
    <n v="1.74"/>
    <n v="12"/>
    <n v="13.64"/>
    <x v="0"/>
  </r>
  <r>
    <x v="0"/>
    <s v="中川郡本別町"/>
    <x v="175"/>
    <x v="3"/>
    <n v="0"/>
    <n v="0"/>
    <n v="0"/>
    <n v="0"/>
    <n v="0"/>
    <n v="0"/>
    <x v="0"/>
  </r>
  <r>
    <x v="0"/>
    <s v="中川郡本別町"/>
    <x v="175"/>
    <x v="4"/>
    <n v="2"/>
    <n v="0.93"/>
    <n v="0"/>
    <n v="0"/>
    <n v="2"/>
    <n v="2.27"/>
    <x v="0"/>
  </r>
  <r>
    <x v="0"/>
    <s v="中川郡本別町"/>
    <x v="175"/>
    <x v="5"/>
    <n v="6"/>
    <n v="2.8"/>
    <n v="2"/>
    <n v="1.74"/>
    <n v="4"/>
    <n v="4.55"/>
    <x v="0"/>
  </r>
  <r>
    <x v="0"/>
    <s v="中川郡本別町"/>
    <x v="175"/>
    <x v="6"/>
    <n v="62"/>
    <n v="28.97"/>
    <n v="26"/>
    <n v="22.61"/>
    <n v="34"/>
    <n v="38.64"/>
    <x v="14"/>
  </r>
  <r>
    <x v="0"/>
    <s v="中川郡本別町"/>
    <x v="175"/>
    <x v="7"/>
    <n v="1"/>
    <n v="0.47"/>
    <n v="0"/>
    <n v="0"/>
    <n v="1"/>
    <n v="1.1399999999999999"/>
    <x v="0"/>
  </r>
  <r>
    <x v="0"/>
    <s v="中川郡本別町"/>
    <x v="175"/>
    <x v="8"/>
    <n v="11"/>
    <n v="5.14"/>
    <n v="6"/>
    <n v="5.22"/>
    <n v="5"/>
    <n v="5.68"/>
    <x v="0"/>
  </r>
  <r>
    <x v="0"/>
    <s v="中川郡本別町"/>
    <x v="175"/>
    <x v="9"/>
    <n v="7"/>
    <n v="3.27"/>
    <n v="4"/>
    <n v="3.48"/>
    <n v="3"/>
    <n v="3.41"/>
    <x v="0"/>
  </r>
  <r>
    <x v="0"/>
    <s v="中川郡本別町"/>
    <x v="175"/>
    <x v="10"/>
    <n v="26"/>
    <n v="12.15"/>
    <n v="22"/>
    <n v="19.13"/>
    <n v="4"/>
    <n v="4.55"/>
    <x v="0"/>
  </r>
  <r>
    <x v="0"/>
    <s v="中川郡本別町"/>
    <x v="175"/>
    <x v="11"/>
    <n v="30"/>
    <n v="14.02"/>
    <n v="27"/>
    <n v="23.48"/>
    <n v="2"/>
    <n v="2.27"/>
    <x v="0"/>
  </r>
  <r>
    <x v="0"/>
    <s v="中川郡本別町"/>
    <x v="175"/>
    <x v="12"/>
    <n v="12"/>
    <n v="5.61"/>
    <n v="7"/>
    <n v="6.09"/>
    <n v="0"/>
    <n v="0"/>
    <x v="0"/>
  </r>
  <r>
    <x v="0"/>
    <s v="中川郡本別町"/>
    <x v="175"/>
    <x v="13"/>
    <n v="9"/>
    <n v="4.21"/>
    <n v="6"/>
    <n v="5.22"/>
    <n v="1"/>
    <n v="1.1399999999999999"/>
    <x v="0"/>
  </r>
  <r>
    <x v="0"/>
    <s v="中川郡本別町"/>
    <x v="175"/>
    <x v="14"/>
    <n v="8"/>
    <n v="3.74"/>
    <n v="3"/>
    <n v="2.61"/>
    <n v="4"/>
    <n v="4.55"/>
    <x v="1"/>
  </r>
  <r>
    <x v="0"/>
    <s v="足寄郡足寄町"/>
    <x v="176"/>
    <x v="0"/>
    <n v="1"/>
    <n v="0.51"/>
    <n v="0"/>
    <n v="0"/>
    <n v="1"/>
    <n v="1.1399999999999999"/>
    <x v="0"/>
  </r>
  <r>
    <x v="0"/>
    <s v="足寄郡足寄町"/>
    <x v="176"/>
    <x v="1"/>
    <n v="21"/>
    <n v="10.61"/>
    <n v="6"/>
    <n v="5.77"/>
    <n v="15"/>
    <n v="17.05"/>
    <x v="0"/>
  </r>
  <r>
    <x v="0"/>
    <s v="足寄郡足寄町"/>
    <x v="176"/>
    <x v="2"/>
    <n v="15"/>
    <n v="7.58"/>
    <n v="2"/>
    <n v="1.92"/>
    <n v="13"/>
    <n v="14.77"/>
    <x v="0"/>
  </r>
  <r>
    <x v="0"/>
    <s v="足寄郡足寄町"/>
    <x v="176"/>
    <x v="3"/>
    <n v="3"/>
    <n v="1.52"/>
    <n v="0"/>
    <n v="0"/>
    <n v="3"/>
    <n v="3.41"/>
    <x v="0"/>
  </r>
  <r>
    <x v="0"/>
    <s v="足寄郡足寄町"/>
    <x v="176"/>
    <x v="4"/>
    <n v="0"/>
    <n v="0"/>
    <n v="0"/>
    <n v="0"/>
    <n v="0"/>
    <n v="0"/>
    <x v="0"/>
  </r>
  <r>
    <x v="0"/>
    <s v="足寄郡足寄町"/>
    <x v="176"/>
    <x v="5"/>
    <n v="0"/>
    <n v="0"/>
    <n v="0"/>
    <n v="0"/>
    <n v="0"/>
    <n v="0"/>
    <x v="0"/>
  </r>
  <r>
    <x v="0"/>
    <s v="足寄郡足寄町"/>
    <x v="176"/>
    <x v="6"/>
    <n v="49"/>
    <n v="24.75"/>
    <n v="16"/>
    <n v="15.38"/>
    <n v="33"/>
    <n v="37.5"/>
    <x v="0"/>
  </r>
  <r>
    <x v="0"/>
    <s v="足寄郡足寄町"/>
    <x v="176"/>
    <x v="7"/>
    <n v="2"/>
    <n v="1.01"/>
    <n v="0"/>
    <n v="0"/>
    <n v="2"/>
    <n v="2.27"/>
    <x v="0"/>
  </r>
  <r>
    <x v="0"/>
    <s v="足寄郡足寄町"/>
    <x v="176"/>
    <x v="8"/>
    <n v="18"/>
    <n v="9.09"/>
    <n v="11"/>
    <n v="10.58"/>
    <n v="7"/>
    <n v="7.95"/>
    <x v="0"/>
  </r>
  <r>
    <x v="0"/>
    <s v="足寄郡足寄町"/>
    <x v="176"/>
    <x v="9"/>
    <n v="8"/>
    <n v="4.04"/>
    <n v="3"/>
    <n v="2.88"/>
    <n v="4"/>
    <n v="4.55"/>
    <x v="0"/>
  </r>
  <r>
    <x v="0"/>
    <s v="足寄郡足寄町"/>
    <x v="176"/>
    <x v="10"/>
    <n v="36"/>
    <n v="18.18"/>
    <n v="31"/>
    <n v="29.81"/>
    <n v="5"/>
    <n v="5.68"/>
    <x v="0"/>
  </r>
  <r>
    <x v="0"/>
    <s v="足寄郡足寄町"/>
    <x v="176"/>
    <x v="11"/>
    <n v="23"/>
    <n v="11.62"/>
    <n v="20"/>
    <n v="19.23"/>
    <n v="2"/>
    <n v="2.27"/>
    <x v="0"/>
  </r>
  <r>
    <x v="0"/>
    <s v="足寄郡足寄町"/>
    <x v="176"/>
    <x v="12"/>
    <n v="5"/>
    <n v="2.5299999999999998"/>
    <n v="4"/>
    <n v="3.85"/>
    <n v="0"/>
    <n v="0"/>
    <x v="0"/>
  </r>
  <r>
    <x v="0"/>
    <s v="足寄郡足寄町"/>
    <x v="176"/>
    <x v="13"/>
    <n v="10"/>
    <n v="5.05"/>
    <n v="8"/>
    <n v="7.69"/>
    <n v="0"/>
    <n v="0"/>
    <x v="0"/>
  </r>
  <r>
    <x v="0"/>
    <s v="足寄郡足寄町"/>
    <x v="176"/>
    <x v="14"/>
    <n v="7"/>
    <n v="3.54"/>
    <n v="3"/>
    <n v="2.88"/>
    <n v="3"/>
    <n v="3.41"/>
    <x v="0"/>
  </r>
  <r>
    <x v="0"/>
    <s v="足寄郡陸別町"/>
    <x v="177"/>
    <x v="0"/>
    <n v="0"/>
    <n v="0"/>
    <n v="0"/>
    <n v="0"/>
    <n v="0"/>
    <n v="0"/>
    <x v="0"/>
  </r>
  <r>
    <x v="0"/>
    <s v="足寄郡陸別町"/>
    <x v="177"/>
    <x v="1"/>
    <n v="7"/>
    <n v="10.61"/>
    <n v="1"/>
    <n v="3.13"/>
    <n v="6"/>
    <n v="20"/>
    <x v="0"/>
  </r>
  <r>
    <x v="0"/>
    <s v="足寄郡陸別町"/>
    <x v="177"/>
    <x v="2"/>
    <n v="5"/>
    <n v="7.58"/>
    <n v="1"/>
    <n v="3.13"/>
    <n v="3"/>
    <n v="10"/>
    <x v="1"/>
  </r>
  <r>
    <x v="0"/>
    <s v="足寄郡陸別町"/>
    <x v="177"/>
    <x v="3"/>
    <n v="2"/>
    <n v="3.03"/>
    <n v="0"/>
    <n v="0"/>
    <n v="1"/>
    <n v="3.33"/>
    <x v="0"/>
  </r>
  <r>
    <x v="0"/>
    <s v="足寄郡陸別町"/>
    <x v="177"/>
    <x v="4"/>
    <n v="0"/>
    <n v="0"/>
    <n v="0"/>
    <n v="0"/>
    <n v="0"/>
    <n v="0"/>
    <x v="0"/>
  </r>
  <r>
    <x v="0"/>
    <s v="足寄郡陸別町"/>
    <x v="177"/>
    <x v="5"/>
    <n v="1"/>
    <n v="1.52"/>
    <n v="1"/>
    <n v="3.13"/>
    <n v="0"/>
    <n v="0"/>
    <x v="0"/>
  </r>
  <r>
    <x v="0"/>
    <s v="足寄郡陸別町"/>
    <x v="177"/>
    <x v="6"/>
    <n v="13"/>
    <n v="19.7"/>
    <n v="5"/>
    <n v="15.63"/>
    <n v="8"/>
    <n v="26.67"/>
    <x v="0"/>
  </r>
  <r>
    <x v="0"/>
    <s v="足寄郡陸別町"/>
    <x v="177"/>
    <x v="7"/>
    <n v="0"/>
    <n v="0"/>
    <n v="0"/>
    <n v="0"/>
    <n v="0"/>
    <n v="0"/>
    <x v="0"/>
  </r>
  <r>
    <x v="0"/>
    <s v="足寄郡陸別町"/>
    <x v="177"/>
    <x v="8"/>
    <n v="6"/>
    <n v="9.09"/>
    <n v="1"/>
    <n v="3.13"/>
    <n v="5"/>
    <n v="16.670000000000002"/>
    <x v="0"/>
  </r>
  <r>
    <x v="0"/>
    <s v="足寄郡陸別町"/>
    <x v="177"/>
    <x v="9"/>
    <n v="3"/>
    <n v="4.55"/>
    <n v="2"/>
    <n v="6.25"/>
    <n v="1"/>
    <n v="3.33"/>
    <x v="0"/>
  </r>
  <r>
    <x v="0"/>
    <s v="足寄郡陸別町"/>
    <x v="177"/>
    <x v="10"/>
    <n v="14"/>
    <n v="21.21"/>
    <n v="11"/>
    <n v="34.380000000000003"/>
    <n v="3"/>
    <n v="10"/>
    <x v="0"/>
  </r>
  <r>
    <x v="0"/>
    <s v="足寄郡陸別町"/>
    <x v="177"/>
    <x v="11"/>
    <n v="6"/>
    <n v="9.09"/>
    <n v="4"/>
    <n v="12.5"/>
    <n v="2"/>
    <n v="6.67"/>
    <x v="0"/>
  </r>
  <r>
    <x v="0"/>
    <s v="足寄郡陸別町"/>
    <x v="177"/>
    <x v="12"/>
    <n v="2"/>
    <n v="3.03"/>
    <n v="2"/>
    <n v="6.25"/>
    <n v="0"/>
    <n v="0"/>
    <x v="0"/>
  </r>
  <r>
    <x v="0"/>
    <s v="足寄郡陸別町"/>
    <x v="177"/>
    <x v="13"/>
    <n v="4"/>
    <n v="6.06"/>
    <n v="2"/>
    <n v="6.25"/>
    <n v="0"/>
    <n v="0"/>
    <x v="0"/>
  </r>
  <r>
    <x v="0"/>
    <s v="足寄郡陸別町"/>
    <x v="177"/>
    <x v="14"/>
    <n v="3"/>
    <n v="4.55"/>
    <n v="2"/>
    <n v="6.25"/>
    <n v="1"/>
    <n v="3.33"/>
    <x v="0"/>
  </r>
  <r>
    <x v="0"/>
    <s v="十勝郡浦幌町"/>
    <x v="178"/>
    <x v="0"/>
    <n v="0"/>
    <n v="0"/>
    <n v="0"/>
    <n v="0"/>
    <n v="0"/>
    <n v="0"/>
    <x v="0"/>
  </r>
  <r>
    <x v="0"/>
    <s v="十勝郡浦幌町"/>
    <x v="178"/>
    <x v="1"/>
    <n v="19"/>
    <n v="13.19"/>
    <n v="8"/>
    <n v="10.53"/>
    <n v="11"/>
    <n v="18.329999999999998"/>
    <x v="0"/>
  </r>
  <r>
    <x v="0"/>
    <s v="十勝郡浦幌町"/>
    <x v="178"/>
    <x v="2"/>
    <n v="9"/>
    <n v="6.25"/>
    <n v="3"/>
    <n v="3.95"/>
    <n v="6"/>
    <n v="10"/>
    <x v="0"/>
  </r>
  <r>
    <x v="0"/>
    <s v="十勝郡浦幌町"/>
    <x v="178"/>
    <x v="3"/>
    <n v="1"/>
    <n v="0.69"/>
    <n v="0"/>
    <n v="0"/>
    <n v="0"/>
    <n v="0"/>
    <x v="0"/>
  </r>
  <r>
    <x v="0"/>
    <s v="十勝郡浦幌町"/>
    <x v="178"/>
    <x v="4"/>
    <n v="0"/>
    <n v="0"/>
    <n v="0"/>
    <n v="0"/>
    <n v="0"/>
    <n v="0"/>
    <x v="0"/>
  </r>
  <r>
    <x v="0"/>
    <s v="十勝郡浦幌町"/>
    <x v="178"/>
    <x v="5"/>
    <n v="5"/>
    <n v="3.47"/>
    <n v="1"/>
    <n v="1.32"/>
    <n v="4"/>
    <n v="6.67"/>
    <x v="0"/>
  </r>
  <r>
    <x v="0"/>
    <s v="十勝郡浦幌町"/>
    <x v="178"/>
    <x v="6"/>
    <n v="37"/>
    <n v="25.69"/>
    <n v="16"/>
    <n v="21.05"/>
    <n v="21"/>
    <n v="35"/>
    <x v="0"/>
  </r>
  <r>
    <x v="0"/>
    <s v="十勝郡浦幌町"/>
    <x v="178"/>
    <x v="7"/>
    <n v="0"/>
    <n v="0"/>
    <n v="0"/>
    <n v="0"/>
    <n v="0"/>
    <n v="0"/>
    <x v="0"/>
  </r>
  <r>
    <x v="0"/>
    <s v="十勝郡浦幌町"/>
    <x v="178"/>
    <x v="8"/>
    <n v="10"/>
    <n v="6.94"/>
    <n v="6"/>
    <n v="7.89"/>
    <n v="3"/>
    <n v="5"/>
    <x v="0"/>
  </r>
  <r>
    <x v="0"/>
    <s v="十勝郡浦幌町"/>
    <x v="178"/>
    <x v="9"/>
    <n v="4"/>
    <n v="2.78"/>
    <n v="2"/>
    <n v="2.63"/>
    <n v="2"/>
    <n v="3.33"/>
    <x v="0"/>
  </r>
  <r>
    <x v="0"/>
    <s v="十勝郡浦幌町"/>
    <x v="178"/>
    <x v="10"/>
    <n v="27"/>
    <n v="18.75"/>
    <n v="24"/>
    <n v="31.58"/>
    <n v="3"/>
    <n v="5"/>
    <x v="0"/>
  </r>
  <r>
    <x v="0"/>
    <s v="十勝郡浦幌町"/>
    <x v="178"/>
    <x v="11"/>
    <n v="10"/>
    <n v="6.94"/>
    <n v="9"/>
    <n v="11.84"/>
    <n v="1"/>
    <n v="1.67"/>
    <x v="0"/>
  </r>
  <r>
    <x v="0"/>
    <s v="十勝郡浦幌町"/>
    <x v="178"/>
    <x v="12"/>
    <n v="7"/>
    <n v="4.8600000000000003"/>
    <n v="2"/>
    <n v="2.63"/>
    <n v="2"/>
    <n v="3.33"/>
    <x v="0"/>
  </r>
  <r>
    <x v="0"/>
    <s v="十勝郡浦幌町"/>
    <x v="178"/>
    <x v="13"/>
    <n v="8"/>
    <n v="5.56"/>
    <n v="2"/>
    <n v="2.63"/>
    <n v="3"/>
    <n v="5"/>
    <x v="0"/>
  </r>
  <r>
    <x v="0"/>
    <s v="十勝郡浦幌町"/>
    <x v="178"/>
    <x v="14"/>
    <n v="7"/>
    <n v="4.8600000000000003"/>
    <n v="3"/>
    <n v="3.95"/>
    <n v="4"/>
    <n v="6.67"/>
    <x v="0"/>
  </r>
  <r>
    <x v="0"/>
    <s v="釧路郡釧路町"/>
    <x v="179"/>
    <x v="0"/>
    <n v="0"/>
    <n v="0"/>
    <n v="0"/>
    <n v="0"/>
    <n v="0"/>
    <n v="0"/>
    <x v="0"/>
  </r>
  <r>
    <x v="0"/>
    <s v="釧路郡釧路町"/>
    <x v="179"/>
    <x v="1"/>
    <n v="125"/>
    <n v="22.6"/>
    <n v="34"/>
    <n v="13.6"/>
    <n v="91"/>
    <n v="30.64"/>
    <x v="0"/>
  </r>
  <r>
    <x v="0"/>
    <s v="釧路郡釧路町"/>
    <x v="179"/>
    <x v="2"/>
    <n v="44"/>
    <n v="7.96"/>
    <n v="13"/>
    <n v="5.2"/>
    <n v="31"/>
    <n v="10.44"/>
    <x v="0"/>
  </r>
  <r>
    <x v="0"/>
    <s v="釧路郡釧路町"/>
    <x v="179"/>
    <x v="3"/>
    <n v="0"/>
    <n v="0"/>
    <n v="0"/>
    <n v="0"/>
    <n v="0"/>
    <n v="0"/>
    <x v="0"/>
  </r>
  <r>
    <x v="0"/>
    <s v="釧路郡釧路町"/>
    <x v="179"/>
    <x v="4"/>
    <n v="2"/>
    <n v="0.36"/>
    <n v="2"/>
    <n v="0.8"/>
    <n v="0"/>
    <n v="0"/>
    <x v="0"/>
  </r>
  <r>
    <x v="0"/>
    <s v="釧路郡釧路町"/>
    <x v="179"/>
    <x v="5"/>
    <n v="6"/>
    <n v="1.08"/>
    <n v="4"/>
    <n v="1.6"/>
    <n v="2"/>
    <n v="0.67"/>
    <x v="0"/>
  </r>
  <r>
    <x v="0"/>
    <s v="釧路郡釧路町"/>
    <x v="179"/>
    <x v="6"/>
    <n v="126"/>
    <n v="22.78"/>
    <n v="30"/>
    <n v="12"/>
    <n v="96"/>
    <n v="32.32"/>
    <x v="0"/>
  </r>
  <r>
    <x v="0"/>
    <s v="釧路郡釧路町"/>
    <x v="179"/>
    <x v="7"/>
    <n v="3"/>
    <n v="0.54"/>
    <n v="1"/>
    <n v="0.4"/>
    <n v="2"/>
    <n v="0.67"/>
    <x v="0"/>
  </r>
  <r>
    <x v="0"/>
    <s v="釧路郡釧路町"/>
    <x v="179"/>
    <x v="8"/>
    <n v="49"/>
    <n v="8.86"/>
    <n v="35"/>
    <n v="14"/>
    <n v="13"/>
    <n v="4.38"/>
    <x v="0"/>
  </r>
  <r>
    <x v="0"/>
    <s v="釧路郡釧路町"/>
    <x v="179"/>
    <x v="9"/>
    <n v="10"/>
    <n v="1.81"/>
    <n v="4"/>
    <n v="1.6"/>
    <n v="6"/>
    <n v="2.02"/>
    <x v="0"/>
  </r>
  <r>
    <x v="0"/>
    <s v="釧路郡釧路町"/>
    <x v="179"/>
    <x v="10"/>
    <n v="51"/>
    <n v="9.2200000000000006"/>
    <n v="39"/>
    <n v="15.6"/>
    <n v="12"/>
    <n v="4.04"/>
    <x v="0"/>
  </r>
  <r>
    <x v="0"/>
    <s v="釧路郡釧路町"/>
    <x v="179"/>
    <x v="11"/>
    <n v="61"/>
    <n v="11.03"/>
    <n v="49"/>
    <n v="19.600000000000001"/>
    <n v="12"/>
    <n v="4.04"/>
    <x v="0"/>
  </r>
  <r>
    <x v="0"/>
    <s v="釧路郡釧路町"/>
    <x v="179"/>
    <x v="12"/>
    <n v="21"/>
    <n v="3.8"/>
    <n v="15"/>
    <n v="6"/>
    <n v="3"/>
    <n v="1.01"/>
    <x v="0"/>
  </r>
  <r>
    <x v="0"/>
    <s v="釧路郡釧路町"/>
    <x v="179"/>
    <x v="13"/>
    <n v="29"/>
    <n v="5.24"/>
    <n v="14"/>
    <n v="5.6"/>
    <n v="13"/>
    <n v="4.38"/>
    <x v="0"/>
  </r>
  <r>
    <x v="0"/>
    <s v="釧路郡釧路町"/>
    <x v="179"/>
    <x v="14"/>
    <n v="26"/>
    <n v="4.7"/>
    <n v="10"/>
    <n v="4"/>
    <n v="16"/>
    <n v="5.39"/>
    <x v="0"/>
  </r>
  <r>
    <x v="0"/>
    <s v="厚岸郡厚岸町"/>
    <x v="180"/>
    <x v="0"/>
    <n v="0"/>
    <n v="0"/>
    <n v="0"/>
    <n v="0"/>
    <n v="0"/>
    <n v="0"/>
    <x v="0"/>
  </r>
  <r>
    <x v="0"/>
    <s v="厚岸郡厚岸町"/>
    <x v="180"/>
    <x v="1"/>
    <n v="35"/>
    <n v="12.15"/>
    <n v="12"/>
    <n v="8.0500000000000007"/>
    <n v="23"/>
    <n v="18.7"/>
    <x v="0"/>
  </r>
  <r>
    <x v="0"/>
    <s v="厚岸郡厚岸町"/>
    <x v="180"/>
    <x v="2"/>
    <n v="30"/>
    <n v="10.42"/>
    <n v="6"/>
    <n v="4.03"/>
    <n v="24"/>
    <n v="19.510000000000002"/>
    <x v="0"/>
  </r>
  <r>
    <x v="0"/>
    <s v="厚岸郡厚岸町"/>
    <x v="180"/>
    <x v="3"/>
    <n v="0"/>
    <n v="0"/>
    <n v="0"/>
    <n v="0"/>
    <n v="0"/>
    <n v="0"/>
    <x v="0"/>
  </r>
  <r>
    <x v="0"/>
    <s v="厚岸郡厚岸町"/>
    <x v="180"/>
    <x v="4"/>
    <n v="1"/>
    <n v="0.35"/>
    <n v="0"/>
    <n v="0"/>
    <n v="1"/>
    <n v="0.81"/>
    <x v="0"/>
  </r>
  <r>
    <x v="0"/>
    <s v="厚岸郡厚岸町"/>
    <x v="180"/>
    <x v="5"/>
    <n v="4"/>
    <n v="1.39"/>
    <n v="3"/>
    <n v="2.0099999999999998"/>
    <n v="0"/>
    <n v="0"/>
    <x v="1"/>
  </r>
  <r>
    <x v="0"/>
    <s v="厚岸郡厚岸町"/>
    <x v="180"/>
    <x v="6"/>
    <n v="85"/>
    <n v="29.51"/>
    <n v="29"/>
    <n v="19.46"/>
    <n v="54"/>
    <n v="43.9"/>
    <x v="14"/>
  </r>
  <r>
    <x v="0"/>
    <s v="厚岸郡厚岸町"/>
    <x v="180"/>
    <x v="7"/>
    <n v="2"/>
    <n v="0.69"/>
    <n v="1"/>
    <n v="0.67"/>
    <n v="1"/>
    <n v="0.81"/>
    <x v="0"/>
  </r>
  <r>
    <x v="0"/>
    <s v="厚岸郡厚岸町"/>
    <x v="180"/>
    <x v="8"/>
    <n v="22"/>
    <n v="7.64"/>
    <n v="16"/>
    <n v="10.74"/>
    <n v="6"/>
    <n v="4.88"/>
    <x v="0"/>
  </r>
  <r>
    <x v="0"/>
    <s v="厚岸郡厚岸町"/>
    <x v="180"/>
    <x v="9"/>
    <n v="5"/>
    <n v="1.74"/>
    <n v="3"/>
    <n v="2.0099999999999998"/>
    <n v="2"/>
    <n v="1.63"/>
    <x v="0"/>
  </r>
  <r>
    <x v="0"/>
    <s v="厚岸郡厚岸町"/>
    <x v="180"/>
    <x v="10"/>
    <n v="36"/>
    <n v="12.5"/>
    <n v="32"/>
    <n v="21.48"/>
    <n v="4"/>
    <n v="3.25"/>
    <x v="0"/>
  </r>
  <r>
    <x v="0"/>
    <s v="厚岸郡厚岸町"/>
    <x v="180"/>
    <x v="11"/>
    <n v="35"/>
    <n v="12.15"/>
    <n v="28"/>
    <n v="18.79"/>
    <n v="3"/>
    <n v="2.44"/>
    <x v="0"/>
  </r>
  <r>
    <x v="0"/>
    <s v="厚岸郡厚岸町"/>
    <x v="180"/>
    <x v="12"/>
    <n v="10"/>
    <n v="3.47"/>
    <n v="5"/>
    <n v="3.36"/>
    <n v="0"/>
    <n v="0"/>
    <x v="0"/>
  </r>
  <r>
    <x v="0"/>
    <s v="厚岸郡厚岸町"/>
    <x v="180"/>
    <x v="13"/>
    <n v="11"/>
    <n v="3.82"/>
    <n v="6"/>
    <n v="4.03"/>
    <n v="3"/>
    <n v="2.44"/>
    <x v="0"/>
  </r>
  <r>
    <x v="0"/>
    <s v="厚岸郡厚岸町"/>
    <x v="180"/>
    <x v="14"/>
    <n v="12"/>
    <n v="4.17"/>
    <n v="8"/>
    <n v="5.37"/>
    <n v="2"/>
    <n v="1.63"/>
    <x v="0"/>
  </r>
  <r>
    <x v="0"/>
    <s v="厚岸郡浜中町"/>
    <x v="181"/>
    <x v="0"/>
    <n v="0"/>
    <n v="0"/>
    <n v="0"/>
    <n v="0"/>
    <n v="0"/>
    <n v="0"/>
    <x v="0"/>
  </r>
  <r>
    <x v="0"/>
    <s v="厚岸郡浜中町"/>
    <x v="181"/>
    <x v="1"/>
    <n v="13"/>
    <n v="8.84"/>
    <n v="5"/>
    <n v="5.62"/>
    <n v="8"/>
    <n v="17.39"/>
    <x v="0"/>
  </r>
  <r>
    <x v="0"/>
    <s v="厚岸郡浜中町"/>
    <x v="181"/>
    <x v="2"/>
    <n v="20"/>
    <n v="13.61"/>
    <n v="11"/>
    <n v="12.36"/>
    <n v="9"/>
    <n v="19.57"/>
    <x v="0"/>
  </r>
  <r>
    <x v="0"/>
    <s v="厚岸郡浜中町"/>
    <x v="181"/>
    <x v="3"/>
    <n v="1"/>
    <n v="0.68"/>
    <n v="0"/>
    <n v="0"/>
    <n v="1"/>
    <n v="2.17"/>
    <x v="0"/>
  </r>
  <r>
    <x v="0"/>
    <s v="厚岸郡浜中町"/>
    <x v="181"/>
    <x v="4"/>
    <n v="0"/>
    <n v="0"/>
    <n v="0"/>
    <n v="0"/>
    <n v="0"/>
    <n v="0"/>
    <x v="0"/>
  </r>
  <r>
    <x v="0"/>
    <s v="厚岸郡浜中町"/>
    <x v="181"/>
    <x v="5"/>
    <n v="1"/>
    <n v="0.68"/>
    <n v="0"/>
    <n v="0"/>
    <n v="1"/>
    <n v="2.17"/>
    <x v="0"/>
  </r>
  <r>
    <x v="0"/>
    <s v="厚岸郡浜中町"/>
    <x v="181"/>
    <x v="6"/>
    <n v="35"/>
    <n v="23.81"/>
    <n v="16"/>
    <n v="17.98"/>
    <n v="19"/>
    <n v="41.3"/>
    <x v="0"/>
  </r>
  <r>
    <x v="0"/>
    <s v="厚岸郡浜中町"/>
    <x v="181"/>
    <x v="7"/>
    <n v="2"/>
    <n v="1.36"/>
    <n v="0"/>
    <n v="0"/>
    <n v="2"/>
    <n v="4.3499999999999996"/>
    <x v="0"/>
  </r>
  <r>
    <x v="0"/>
    <s v="厚岸郡浜中町"/>
    <x v="181"/>
    <x v="8"/>
    <n v="3"/>
    <n v="2.04"/>
    <n v="2"/>
    <n v="2.25"/>
    <n v="1"/>
    <n v="2.17"/>
    <x v="0"/>
  </r>
  <r>
    <x v="0"/>
    <s v="厚岸郡浜中町"/>
    <x v="181"/>
    <x v="9"/>
    <n v="3"/>
    <n v="2.04"/>
    <n v="2"/>
    <n v="2.25"/>
    <n v="1"/>
    <n v="2.17"/>
    <x v="0"/>
  </r>
  <r>
    <x v="0"/>
    <s v="厚岸郡浜中町"/>
    <x v="181"/>
    <x v="10"/>
    <n v="29"/>
    <n v="19.73"/>
    <n v="27"/>
    <n v="30.34"/>
    <n v="2"/>
    <n v="4.3499999999999996"/>
    <x v="0"/>
  </r>
  <r>
    <x v="0"/>
    <s v="厚岸郡浜中町"/>
    <x v="181"/>
    <x v="11"/>
    <n v="24"/>
    <n v="16.329999999999998"/>
    <n v="20"/>
    <n v="22.47"/>
    <n v="0"/>
    <n v="0"/>
    <x v="0"/>
  </r>
  <r>
    <x v="0"/>
    <s v="厚岸郡浜中町"/>
    <x v="181"/>
    <x v="12"/>
    <n v="2"/>
    <n v="1.36"/>
    <n v="2"/>
    <n v="2.25"/>
    <n v="0"/>
    <n v="0"/>
    <x v="0"/>
  </r>
  <r>
    <x v="0"/>
    <s v="厚岸郡浜中町"/>
    <x v="181"/>
    <x v="13"/>
    <n v="8"/>
    <n v="5.44"/>
    <n v="2"/>
    <n v="2.25"/>
    <n v="0"/>
    <n v="0"/>
    <x v="0"/>
  </r>
  <r>
    <x v="0"/>
    <s v="厚岸郡浜中町"/>
    <x v="181"/>
    <x v="14"/>
    <n v="6"/>
    <n v="4.08"/>
    <n v="2"/>
    <n v="2.25"/>
    <n v="2"/>
    <n v="4.3499999999999996"/>
    <x v="0"/>
  </r>
  <r>
    <x v="0"/>
    <s v="川上郡標茶町"/>
    <x v="182"/>
    <x v="0"/>
    <n v="0"/>
    <n v="0"/>
    <n v="0"/>
    <n v="0"/>
    <n v="0"/>
    <n v="0"/>
    <x v="0"/>
  </r>
  <r>
    <x v="0"/>
    <s v="川上郡標茶町"/>
    <x v="182"/>
    <x v="1"/>
    <n v="25"/>
    <n v="11.47"/>
    <n v="4"/>
    <n v="3.6"/>
    <n v="21"/>
    <n v="21.88"/>
    <x v="0"/>
  </r>
  <r>
    <x v="0"/>
    <s v="川上郡標茶町"/>
    <x v="182"/>
    <x v="2"/>
    <n v="9"/>
    <n v="4.13"/>
    <n v="1"/>
    <n v="0.9"/>
    <n v="8"/>
    <n v="8.33"/>
    <x v="0"/>
  </r>
  <r>
    <x v="0"/>
    <s v="川上郡標茶町"/>
    <x v="182"/>
    <x v="3"/>
    <n v="2"/>
    <n v="0.92"/>
    <n v="0"/>
    <n v="0"/>
    <n v="2"/>
    <n v="2.08"/>
    <x v="0"/>
  </r>
  <r>
    <x v="0"/>
    <s v="川上郡標茶町"/>
    <x v="182"/>
    <x v="4"/>
    <n v="1"/>
    <n v="0.46"/>
    <n v="0"/>
    <n v="0"/>
    <n v="1"/>
    <n v="1.04"/>
    <x v="0"/>
  </r>
  <r>
    <x v="0"/>
    <s v="川上郡標茶町"/>
    <x v="182"/>
    <x v="5"/>
    <n v="2"/>
    <n v="0.92"/>
    <n v="0"/>
    <n v="0"/>
    <n v="2"/>
    <n v="2.08"/>
    <x v="0"/>
  </r>
  <r>
    <x v="0"/>
    <s v="川上郡標茶町"/>
    <x v="182"/>
    <x v="6"/>
    <n v="56"/>
    <n v="25.69"/>
    <n v="23"/>
    <n v="20.72"/>
    <n v="33"/>
    <n v="34.380000000000003"/>
    <x v="0"/>
  </r>
  <r>
    <x v="0"/>
    <s v="川上郡標茶町"/>
    <x v="182"/>
    <x v="7"/>
    <n v="1"/>
    <n v="0.46"/>
    <n v="0"/>
    <n v="0"/>
    <n v="1"/>
    <n v="1.04"/>
    <x v="0"/>
  </r>
  <r>
    <x v="0"/>
    <s v="川上郡標茶町"/>
    <x v="182"/>
    <x v="8"/>
    <n v="17"/>
    <n v="7.8"/>
    <n v="10"/>
    <n v="9.01"/>
    <n v="7"/>
    <n v="7.29"/>
    <x v="0"/>
  </r>
  <r>
    <x v="0"/>
    <s v="川上郡標茶町"/>
    <x v="182"/>
    <x v="9"/>
    <n v="9"/>
    <n v="4.13"/>
    <n v="3"/>
    <n v="2.7"/>
    <n v="6"/>
    <n v="6.25"/>
    <x v="0"/>
  </r>
  <r>
    <x v="0"/>
    <s v="川上郡標茶町"/>
    <x v="182"/>
    <x v="10"/>
    <n v="40"/>
    <n v="18.350000000000001"/>
    <n v="37"/>
    <n v="33.33"/>
    <n v="3"/>
    <n v="3.13"/>
    <x v="0"/>
  </r>
  <r>
    <x v="0"/>
    <s v="川上郡標茶町"/>
    <x v="182"/>
    <x v="11"/>
    <n v="25"/>
    <n v="11.47"/>
    <n v="19"/>
    <n v="17.12"/>
    <n v="5"/>
    <n v="5.21"/>
    <x v="0"/>
  </r>
  <r>
    <x v="0"/>
    <s v="川上郡標茶町"/>
    <x v="182"/>
    <x v="12"/>
    <n v="9"/>
    <n v="4.13"/>
    <n v="3"/>
    <n v="2.7"/>
    <n v="0"/>
    <n v="0"/>
    <x v="0"/>
  </r>
  <r>
    <x v="0"/>
    <s v="川上郡標茶町"/>
    <x v="182"/>
    <x v="13"/>
    <n v="10"/>
    <n v="4.59"/>
    <n v="4"/>
    <n v="3.6"/>
    <n v="2"/>
    <n v="2.08"/>
    <x v="0"/>
  </r>
  <r>
    <x v="0"/>
    <s v="川上郡標茶町"/>
    <x v="182"/>
    <x v="14"/>
    <n v="12"/>
    <n v="5.5"/>
    <n v="7"/>
    <n v="6.31"/>
    <n v="5"/>
    <n v="5.21"/>
    <x v="0"/>
  </r>
  <r>
    <x v="0"/>
    <s v="川上郡弟子屈町"/>
    <x v="183"/>
    <x v="0"/>
    <n v="0"/>
    <n v="0"/>
    <n v="0"/>
    <n v="0"/>
    <n v="0"/>
    <n v="0"/>
    <x v="0"/>
  </r>
  <r>
    <x v="0"/>
    <s v="川上郡弟子屈町"/>
    <x v="183"/>
    <x v="1"/>
    <n v="26"/>
    <n v="9.0299999999999994"/>
    <n v="9"/>
    <n v="5.92"/>
    <n v="17"/>
    <n v="13.82"/>
    <x v="0"/>
  </r>
  <r>
    <x v="0"/>
    <s v="川上郡弟子屈町"/>
    <x v="183"/>
    <x v="2"/>
    <n v="9"/>
    <n v="3.13"/>
    <n v="2"/>
    <n v="1.32"/>
    <n v="7"/>
    <n v="5.69"/>
    <x v="0"/>
  </r>
  <r>
    <x v="0"/>
    <s v="川上郡弟子屈町"/>
    <x v="183"/>
    <x v="3"/>
    <n v="1"/>
    <n v="0.35"/>
    <n v="0"/>
    <n v="0"/>
    <n v="0"/>
    <n v="0"/>
    <x v="0"/>
  </r>
  <r>
    <x v="0"/>
    <s v="川上郡弟子屈町"/>
    <x v="183"/>
    <x v="4"/>
    <n v="2"/>
    <n v="0.69"/>
    <n v="0"/>
    <n v="0"/>
    <n v="2"/>
    <n v="1.63"/>
    <x v="0"/>
  </r>
  <r>
    <x v="0"/>
    <s v="川上郡弟子屈町"/>
    <x v="183"/>
    <x v="5"/>
    <n v="10"/>
    <n v="3.47"/>
    <n v="2"/>
    <n v="1.32"/>
    <n v="7"/>
    <n v="5.69"/>
    <x v="0"/>
  </r>
  <r>
    <x v="0"/>
    <s v="川上郡弟子屈町"/>
    <x v="183"/>
    <x v="6"/>
    <n v="69"/>
    <n v="23.96"/>
    <n v="35"/>
    <n v="23.03"/>
    <n v="34"/>
    <n v="27.64"/>
    <x v="0"/>
  </r>
  <r>
    <x v="0"/>
    <s v="川上郡弟子屈町"/>
    <x v="183"/>
    <x v="7"/>
    <n v="2"/>
    <n v="0.69"/>
    <n v="0"/>
    <n v="0"/>
    <n v="2"/>
    <n v="1.63"/>
    <x v="0"/>
  </r>
  <r>
    <x v="0"/>
    <s v="川上郡弟子屈町"/>
    <x v="183"/>
    <x v="8"/>
    <n v="12"/>
    <n v="4.17"/>
    <n v="2"/>
    <n v="1.32"/>
    <n v="9"/>
    <n v="7.32"/>
    <x v="0"/>
  </r>
  <r>
    <x v="0"/>
    <s v="川上郡弟子屈町"/>
    <x v="183"/>
    <x v="9"/>
    <n v="4"/>
    <n v="1.39"/>
    <n v="1"/>
    <n v="0.66"/>
    <n v="3"/>
    <n v="2.44"/>
    <x v="0"/>
  </r>
  <r>
    <x v="0"/>
    <s v="川上郡弟子屈町"/>
    <x v="183"/>
    <x v="10"/>
    <n v="81"/>
    <n v="28.13"/>
    <n v="61"/>
    <n v="40.130000000000003"/>
    <n v="20"/>
    <n v="16.260000000000002"/>
    <x v="0"/>
  </r>
  <r>
    <x v="0"/>
    <s v="川上郡弟子屈町"/>
    <x v="183"/>
    <x v="11"/>
    <n v="44"/>
    <n v="15.28"/>
    <n v="35"/>
    <n v="23.03"/>
    <n v="7"/>
    <n v="5.69"/>
    <x v="0"/>
  </r>
  <r>
    <x v="0"/>
    <s v="川上郡弟子屈町"/>
    <x v="183"/>
    <x v="12"/>
    <n v="7"/>
    <n v="2.4300000000000002"/>
    <n v="2"/>
    <n v="1.32"/>
    <n v="2"/>
    <n v="1.63"/>
    <x v="0"/>
  </r>
  <r>
    <x v="0"/>
    <s v="川上郡弟子屈町"/>
    <x v="183"/>
    <x v="13"/>
    <n v="12"/>
    <n v="4.17"/>
    <n v="3"/>
    <n v="1.97"/>
    <n v="6"/>
    <n v="4.88"/>
    <x v="0"/>
  </r>
  <r>
    <x v="0"/>
    <s v="川上郡弟子屈町"/>
    <x v="183"/>
    <x v="14"/>
    <n v="9"/>
    <n v="3.13"/>
    <n v="0"/>
    <n v="0"/>
    <n v="7"/>
    <n v="5.69"/>
    <x v="0"/>
  </r>
  <r>
    <x v="0"/>
    <s v="阿寒郡鶴居村"/>
    <x v="184"/>
    <x v="0"/>
    <n v="1"/>
    <n v="1.72"/>
    <n v="0"/>
    <n v="0"/>
    <n v="1"/>
    <n v="3.03"/>
    <x v="0"/>
  </r>
  <r>
    <x v="0"/>
    <s v="阿寒郡鶴居村"/>
    <x v="184"/>
    <x v="1"/>
    <n v="3"/>
    <n v="5.17"/>
    <n v="1"/>
    <n v="4.55"/>
    <n v="2"/>
    <n v="6.06"/>
    <x v="0"/>
  </r>
  <r>
    <x v="0"/>
    <s v="阿寒郡鶴居村"/>
    <x v="184"/>
    <x v="2"/>
    <n v="4"/>
    <n v="6.9"/>
    <n v="0"/>
    <n v="0"/>
    <n v="4"/>
    <n v="12.12"/>
    <x v="0"/>
  </r>
  <r>
    <x v="0"/>
    <s v="阿寒郡鶴居村"/>
    <x v="184"/>
    <x v="3"/>
    <n v="1"/>
    <n v="1.72"/>
    <n v="0"/>
    <n v="0"/>
    <n v="0"/>
    <n v="0"/>
    <x v="0"/>
  </r>
  <r>
    <x v="0"/>
    <s v="阿寒郡鶴居村"/>
    <x v="184"/>
    <x v="4"/>
    <n v="1"/>
    <n v="1.72"/>
    <n v="0"/>
    <n v="0"/>
    <n v="1"/>
    <n v="3.03"/>
    <x v="0"/>
  </r>
  <r>
    <x v="0"/>
    <s v="阿寒郡鶴居村"/>
    <x v="184"/>
    <x v="5"/>
    <n v="1"/>
    <n v="1.72"/>
    <n v="0"/>
    <n v="0"/>
    <n v="1"/>
    <n v="3.03"/>
    <x v="0"/>
  </r>
  <r>
    <x v="0"/>
    <s v="阿寒郡鶴居村"/>
    <x v="184"/>
    <x v="6"/>
    <n v="12"/>
    <n v="20.69"/>
    <n v="3"/>
    <n v="13.64"/>
    <n v="9"/>
    <n v="27.27"/>
    <x v="0"/>
  </r>
  <r>
    <x v="0"/>
    <s v="阿寒郡鶴居村"/>
    <x v="184"/>
    <x v="7"/>
    <n v="0"/>
    <n v="0"/>
    <n v="0"/>
    <n v="0"/>
    <n v="0"/>
    <n v="0"/>
    <x v="0"/>
  </r>
  <r>
    <x v="0"/>
    <s v="阿寒郡鶴居村"/>
    <x v="184"/>
    <x v="8"/>
    <n v="1"/>
    <n v="1.72"/>
    <n v="0"/>
    <n v="0"/>
    <n v="1"/>
    <n v="3.03"/>
    <x v="0"/>
  </r>
  <r>
    <x v="0"/>
    <s v="阿寒郡鶴居村"/>
    <x v="184"/>
    <x v="9"/>
    <n v="3"/>
    <n v="5.17"/>
    <n v="0"/>
    <n v="0"/>
    <n v="3"/>
    <n v="9.09"/>
    <x v="0"/>
  </r>
  <r>
    <x v="0"/>
    <s v="阿寒郡鶴居村"/>
    <x v="184"/>
    <x v="10"/>
    <n v="15"/>
    <n v="25.86"/>
    <n v="11"/>
    <n v="50"/>
    <n v="4"/>
    <n v="12.12"/>
    <x v="0"/>
  </r>
  <r>
    <x v="0"/>
    <s v="阿寒郡鶴居村"/>
    <x v="184"/>
    <x v="11"/>
    <n v="8"/>
    <n v="13.79"/>
    <n v="3"/>
    <n v="13.64"/>
    <n v="5"/>
    <n v="15.15"/>
    <x v="0"/>
  </r>
  <r>
    <x v="0"/>
    <s v="阿寒郡鶴居村"/>
    <x v="184"/>
    <x v="12"/>
    <n v="3"/>
    <n v="5.17"/>
    <n v="2"/>
    <n v="9.09"/>
    <n v="0"/>
    <n v="0"/>
    <x v="0"/>
  </r>
  <r>
    <x v="0"/>
    <s v="阿寒郡鶴居村"/>
    <x v="184"/>
    <x v="13"/>
    <n v="4"/>
    <n v="6.9"/>
    <n v="1"/>
    <n v="4.55"/>
    <n v="2"/>
    <n v="6.06"/>
    <x v="0"/>
  </r>
  <r>
    <x v="0"/>
    <s v="阿寒郡鶴居村"/>
    <x v="184"/>
    <x v="14"/>
    <n v="1"/>
    <n v="1.72"/>
    <n v="1"/>
    <n v="4.55"/>
    <n v="0"/>
    <n v="0"/>
    <x v="0"/>
  </r>
  <r>
    <x v="0"/>
    <s v="白糠郡白糠町"/>
    <x v="185"/>
    <x v="0"/>
    <n v="0"/>
    <n v="0"/>
    <n v="0"/>
    <n v="0"/>
    <n v="0"/>
    <n v="0"/>
    <x v="0"/>
  </r>
  <r>
    <x v="0"/>
    <s v="白糠郡白糠町"/>
    <x v="185"/>
    <x v="1"/>
    <n v="23"/>
    <n v="11.17"/>
    <n v="5"/>
    <n v="5.15"/>
    <n v="18"/>
    <n v="17.14"/>
    <x v="0"/>
  </r>
  <r>
    <x v="0"/>
    <s v="白糠郡白糠町"/>
    <x v="185"/>
    <x v="2"/>
    <n v="27"/>
    <n v="13.11"/>
    <n v="5"/>
    <n v="5.15"/>
    <n v="22"/>
    <n v="20.95"/>
    <x v="0"/>
  </r>
  <r>
    <x v="0"/>
    <s v="白糠郡白糠町"/>
    <x v="185"/>
    <x v="3"/>
    <n v="4"/>
    <n v="1.94"/>
    <n v="0"/>
    <n v="0"/>
    <n v="3"/>
    <n v="2.86"/>
    <x v="0"/>
  </r>
  <r>
    <x v="0"/>
    <s v="白糠郡白糠町"/>
    <x v="185"/>
    <x v="4"/>
    <n v="0"/>
    <n v="0"/>
    <n v="0"/>
    <n v="0"/>
    <n v="0"/>
    <n v="0"/>
    <x v="0"/>
  </r>
  <r>
    <x v="0"/>
    <s v="白糠郡白糠町"/>
    <x v="185"/>
    <x v="5"/>
    <n v="6"/>
    <n v="2.91"/>
    <n v="2"/>
    <n v="2.06"/>
    <n v="4"/>
    <n v="3.81"/>
    <x v="0"/>
  </r>
  <r>
    <x v="0"/>
    <s v="白糠郡白糠町"/>
    <x v="185"/>
    <x v="6"/>
    <n v="52"/>
    <n v="25.24"/>
    <n v="18"/>
    <n v="18.559999999999999"/>
    <n v="34"/>
    <n v="32.380000000000003"/>
    <x v="0"/>
  </r>
  <r>
    <x v="0"/>
    <s v="白糠郡白糠町"/>
    <x v="185"/>
    <x v="7"/>
    <n v="1"/>
    <n v="0.49"/>
    <n v="0"/>
    <n v="0"/>
    <n v="1"/>
    <n v="0.95"/>
    <x v="0"/>
  </r>
  <r>
    <x v="0"/>
    <s v="白糠郡白糠町"/>
    <x v="185"/>
    <x v="8"/>
    <n v="5"/>
    <n v="2.4300000000000002"/>
    <n v="1"/>
    <n v="1.03"/>
    <n v="3"/>
    <n v="2.86"/>
    <x v="0"/>
  </r>
  <r>
    <x v="0"/>
    <s v="白糠郡白糠町"/>
    <x v="185"/>
    <x v="9"/>
    <n v="3"/>
    <n v="1.46"/>
    <n v="1"/>
    <n v="1.03"/>
    <n v="2"/>
    <n v="1.9"/>
    <x v="0"/>
  </r>
  <r>
    <x v="0"/>
    <s v="白糠郡白糠町"/>
    <x v="185"/>
    <x v="10"/>
    <n v="27"/>
    <n v="13.11"/>
    <n v="25"/>
    <n v="25.77"/>
    <n v="2"/>
    <n v="1.9"/>
    <x v="0"/>
  </r>
  <r>
    <x v="0"/>
    <s v="白糠郡白糠町"/>
    <x v="185"/>
    <x v="11"/>
    <n v="43"/>
    <n v="20.87"/>
    <n v="31"/>
    <n v="31.96"/>
    <n v="12"/>
    <n v="11.43"/>
    <x v="0"/>
  </r>
  <r>
    <x v="0"/>
    <s v="白糠郡白糠町"/>
    <x v="185"/>
    <x v="12"/>
    <n v="6"/>
    <n v="2.91"/>
    <n v="4"/>
    <n v="4.12"/>
    <n v="0"/>
    <n v="0"/>
    <x v="0"/>
  </r>
  <r>
    <x v="0"/>
    <s v="白糠郡白糠町"/>
    <x v="185"/>
    <x v="13"/>
    <n v="6"/>
    <n v="2.91"/>
    <n v="3"/>
    <n v="3.09"/>
    <n v="3"/>
    <n v="2.86"/>
    <x v="0"/>
  </r>
  <r>
    <x v="0"/>
    <s v="白糠郡白糠町"/>
    <x v="185"/>
    <x v="14"/>
    <n v="3"/>
    <n v="1.46"/>
    <n v="2"/>
    <n v="2.06"/>
    <n v="1"/>
    <n v="0.95"/>
    <x v="0"/>
  </r>
  <r>
    <x v="0"/>
    <s v="野付郡別海町"/>
    <x v="186"/>
    <x v="0"/>
    <n v="0"/>
    <n v="0"/>
    <n v="0"/>
    <n v="0"/>
    <n v="0"/>
    <n v="0"/>
    <x v="0"/>
  </r>
  <r>
    <x v="0"/>
    <s v="野付郡別海町"/>
    <x v="186"/>
    <x v="1"/>
    <n v="46"/>
    <n v="13.29"/>
    <n v="14"/>
    <n v="7.57"/>
    <n v="32"/>
    <n v="22.7"/>
    <x v="0"/>
  </r>
  <r>
    <x v="0"/>
    <s v="野付郡別海町"/>
    <x v="186"/>
    <x v="2"/>
    <n v="28"/>
    <n v="8.09"/>
    <n v="7"/>
    <n v="3.78"/>
    <n v="21"/>
    <n v="14.89"/>
    <x v="0"/>
  </r>
  <r>
    <x v="0"/>
    <s v="野付郡別海町"/>
    <x v="186"/>
    <x v="3"/>
    <n v="4"/>
    <n v="1.1599999999999999"/>
    <n v="0"/>
    <n v="0"/>
    <n v="3"/>
    <n v="2.13"/>
    <x v="0"/>
  </r>
  <r>
    <x v="0"/>
    <s v="野付郡別海町"/>
    <x v="186"/>
    <x v="4"/>
    <n v="0"/>
    <n v="0"/>
    <n v="0"/>
    <n v="0"/>
    <n v="0"/>
    <n v="0"/>
    <x v="0"/>
  </r>
  <r>
    <x v="0"/>
    <s v="野付郡別海町"/>
    <x v="186"/>
    <x v="5"/>
    <n v="5"/>
    <n v="1.45"/>
    <n v="1"/>
    <n v="0.54"/>
    <n v="2"/>
    <n v="1.42"/>
    <x v="1"/>
  </r>
  <r>
    <x v="0"/>
    <s v="野付郡別海町"/>
    <x v="186"/>
    <x v="6"/>
    <n v="78"/>
    <n v="22.54"/>
    <n v="30"/>
    <n v="16.22"/>
    <n v="48"/>
    <n v="34.04"/>
    <x v="0"/>
  </r>
  <r>
    <x v="0"/>
    <s v="野付郡別海町"/>
    <x v="186"/>
    <x v="7"/>
    <n v="1"/>
    <n v="0.28999999999999998"/>
    <n v="1"/>
    <n v="0.54"/>
    <n v="0"/>
    <n v="0"/>
    <x v="0"/>
  </r>
  <r>
    <x v="0"/>
    <s v="野付郡別海町"/>
    <x v="186"/>
    <x v="8"/>
    <n v="38"/>
    <n v="10.98"/>
    <n v="30"/>
    <n v="16.22"/>
    <n v="8"/>
    <n v="5.67"/>
    <x v="0"/>
  </r>
  <r>
    <x v="0"/>
    <s v="野付郡別海町"/>
    <x v="186"/>
    <x v="9"/>
    <n v="9"/>
    <n v="2.6"/>
    <n v="4"/>
    <n v="2.16"/>
    <n v="5"/>
    <n v="3.55"/>
    <x v="0"/>
  </r>
  <r>
    <x v="0"/>
    <s v="野付郡別海町"/>
    <x v="186"/>
    <x v="10"/>
    <n v="53"/>
    <n v="15.32"/>
    <n v="45"/>
    <n v="24.32"/>
    <n v="8"/>
    <n v="5.67"/>
    <x v="0"/>
  </r>
  <r>
    <x v="0"/>
    <s v="野付郡別海町"/>
    <x v="186"/>
    <x v="11"/>
    <n v="38"/>
    <n v="10.98"/>
    <n v="31"/>
    <n v="16.760000000000002"/>
    <n v="3"/>
    <n v="2.13"/>
    <x v="0"/>
  </r>
  <r>
    <x v="0"/>
    <s v="野付郡別海町"/>
    <x v="186"/>
    <x v="12"/>
    <n v="10"/>
    <n v="2.89"/>
    <n v="7"/>
    <n v="3.78"/>
    <n v="0"/>
    <n v="0"/>
    <x v="0"/>
  </r>
  <r>
    <x v="0"/>
    <s v="野付郡別海町"/>
    <x v="186"/>
    <x v="13"/>
    <n v="14"/>
    <n v="4.05"/>
    <n v="4"/>
    <n v="2.16"/>
    <n v="2"/>
    <n v="1.42"/>
    <x v="1"/>
  </r>
  <r>
    <x v="0"/>
    <s v="野付郡別海町"/>
    <x v="186"/>
    <x v="14"/>
    <n v="22"/>
    <n v="6.36"/>
    <n v="11"/>
    <n v="5.95"/>
    <n v="9"/>
    <n v="6.38"/>
    <x v="1"/>
  </r>
  <r>
    <x v="0"/>
    <s v="標津郡中標津町"/>
    <x v="187"/>
    <x v="0"/>
    <n v="0"/>
    <n v="0"/>
    <n v="0"/>
    <n v="0"/>
    <n v="0"/>
    <n v="0"/>
    <x v="0"/>
  </r>
  <r>
    <x v="0"/>
    <s v="標津郡中標津町"/>
    <x v="187"/>
    <x v="1"/>
    <n v="117"/>
    <n v="14.18"/>
    <n v="42"/>
    <n v="9.0299999999999994"/>
    <n v="75"/>
    <n v="21.49"/>
    <x v="0"/>
  </r>
  <r>
    <x v="0"/>
    <s v="標津郡中標津町"/>
    <x v="187"/>
    <x v="2"/>
    <n v="45"/>
    <n v="5.45"/>
    <n v="13"/>
    <n v="2.8"/>
    <n v="31"/>
    <n v="8.8800000000000008"/>
    <x v="1"/>
  </r>
  <r>
    <x v="0"/>
    <s v="標津郡中標津町"/>
    <x v="187"/>
    <x v="3"/>
    <n v="3"/>
    <n v="0.36"/>
    <n v="0"/>
    <n v="0"/>
    <n v="2"/>
    <n v="0.56999999999999995"/>
    <x v="0"/>
  </r>
  <r>
    <x v="0"/>
    <s v="標津郡中標津町"/>
    <x v="187"/>
    <x v="4"/>
    <n v="5"/>
    <n v="0.61"/>
    <n v="2"/>
    <n v="0.43"/>
    <n v="3"/>
    <n v="0.86"/>
    <x v="0"/>
  </r>
  <r>
    <x v="0"/>
    <s v="標津郡中標津町"/>
    <x v="187"/>
    <x v="5"/>
    <n v="13"/>
    <n v="1.58"/>
    <n v="2"/>
    <n v="0.43"/>
    <n v="11"/>
    <n v="3.15"/>
    <x v="0"/>
  </r>
  <r>
    <x v="0"/>
    <s v="標津郡中標津町"/>
    <x v="187"/>
    <x v="6"/>
    <n v="204"/>
    <n v="24.73"/>
    <n v="76"/>
    <n v="16.34"/>
    <n v="128"/>
    <n v="36.68"/>
    <x v="0"/>
  </r>
  <r>
    <x v="0"/>
    <s v="標津郡中標津町"/>
    <x v="187"/>
    <x v="7"/>
    <n v="11"/>
    <n v="1.33"/>
    <n v="3"/>
    <n v="0.65"/>
    <n v="8"/>
    <n v="2.29"/>
    <x v="0"/>
  </r>
  <r>
    <x v="0"/>
    <s v="標津郡中標津町"/>
    <x v="187"/>
    <x v="8"/>
    <n v="77"/>
    <n v="9.33"/>
    <n v="55"/>
    <n v="11.83"/>
    <n v="21"/>
    <n v="6.02"/>
    <x v="0"/>
  </r>
  <r>
    <x v="0"/>
    <s v="標津郡中標津町"/>
    <x v="187"/>
    <x v="9"/>
    <n v="36"/>
    <n v="4.3600000000000003"/>
    <n v="17"/>
    <n v="3.66"/>
    <n v="17"/>
    <n v="4.87"/>
    <x v="0"/>
  </r>
  <r>
    <x v="0"/>
    <s v="標津郡中標津町"/>
    <x v="187"/>
    <x v="10"/>
    <n v="123"/>
    <n v="14.91"/>
    <n v="110"/>
    <n v="23.66"/>
    <n v="13"/>
    <n v="3.72"/>
    <x v="0"/>
  </r>
  <r>
    <x v="0"/>
    <s v="標津郡中標津町"/>
    <x v="187"/>
    <x v="11"/>
    <n v="110"/>
    <n v="13.33"/>
    <n v="93"/>
    <n v="20"/>
    <n v="16"/>
    <n v="4.58"/>
    <x v="0"/>
  </r>
  <r>
    <x v="0"/>
    <s v="標津郡中標津町"/>
    <x v="187"/>
    <x v="12"/>
    <n v="25"/>
    <n v="3.03"/>
    <n v="19"/>
    <n v="4.09"/>
    <n v="4"/>
    <n v="1.1499999999999999"/>
    <x v="1"/>
  </r>
  <r>
    <x v="0"/>
    <s v="標津郡中標津町"/>
    <x v="187"/>
    <x v="13"/>
    <n v="31"/>
    <n v="3.76"/>
    <n v="22"/>
    <n v="4.7300000000000004"/>
    <n v="9"/>
    <n v="2.58"/>
    <x v="0"/>
  </r>
  <r>
    <x v="0"/>
    <s v="標津郡中標津町"/>
    <x v="187"/>
    <x v="14"/>
    <n v="25"/>
    <n v="3.03"/>
    <n v="11"/>
    <n v="2.37"/>
    <n v="11"/>
    <n v="3.15"/>
    <x v="1"/>
  </r>
  <r>
    <x v="0"/>
    <s v="標津郡標津町"/>
    <x v="188"/>
    <x v="0"/>
    <n v="0"/>
    <n v="0"/>
    <n v="0"/>
    <n v="0"/>
    <n v="0"/>
    <n v="0"/>
    <x v="0"/>
  </r>
  <r>
    <x v="0"/>
    <s v="標津郡標津町"/>
    <x v="188"/>
    <x v="1"/>
    <n v="21"/>
    <n v="14.29"/>
    <n v="6"/>
    <n v="7.59"/>
    <n v="15"/>
    <n v="27.78"/>
    <x v="0"/>
  </r>
  <r>
    <x v="0"/>
    <s v="標津郡標津町"/>
    <x v="188"/>
    <x v="2"/>
    <n v="16"/>
    <n v="10.88"/>
    <n v="4"/>
    <n v="5.0599999999999996"/>
    <n v="12"/>
    <n v="22.22"/>
    <x v="0"/>
  </r>
  <r>
    <x v="0"/>
    <s v="標津郡標津町"/>
    <x v="188"/>
    <x v="3"/>
    <n v="1"/>
    <n v="0.68"/>
    <n v="0"/>
    <n v="0"/>
    <n v="1"/>
    <n v="1.85"/>
    <x v="0"/>
  </r>
  <r>
    <x v="0"/>
    <s v="標津郡標津町"/>
    <x v="188"/>
    <x v="4"/>
    <n v="0"/>
    <n v="0"/>
    <n v="0"/>
    <n v="0"/>
    <n v="0"/>
    <n v="0"/>
    <x v="0"/>
  </r>
  <r>
    <x v="0"/>
    <s v="標津郡標津町"/>
    <x v="188"/>
    <x v="5"/>
    <n v="3"/>
    <n v="2.04"/>
    <n v="0"/>
    <n v="0"/>
    <n v="3"/>
    <n v="5.56"/>
    <x v="0"/>
  </r>
  <r>
    <x v="0"/>
    <s v="標津郡標津町"/>
    <x v="188"/>
    <x v="6"/>
    <n v="28"/>
    <n v="19.05"/>
    <n v="15"/>
    <n v="18.989999999999998"/>
    <n v="13"/>
    <n v="24.07"/>
    <x v="0"/>
  </r>
  <r>
    <x v="0"/>
    <s v="標津郡標津町"/>
    <x v="188"/>
    <x v="7"/>
    <n v="1"/>
    <n v="0.68"/>
    <n v="1"/>
    <n v="1.27"/>
    <n v="0"/>
    <n v="0"/>
    <x v="0"/>
  </r>
  <r>
    <x v="0"/>
    <s v="標津郡標津町"/>
    <x v="188"/>
    <x v="8"/>
    <n v="9"/>
    <n v="6.12"/>
    <n v="7"/>
    <n v="8.86"/>
    <n v="1"/>
    <n v="1.85"/>
    <x v="0"/>
  </r>
  <r>
    <x v="0"/>
    <s v="標津郡標津町"/>
    <x v="188"/>
    <x v="9"/>
    <n v="6"/>
    <n v="4.08"/>
    <n v="2"/>
    <n v="2.5299999999999998"/>
    <n v="3"/>
    <n v="5.56"/>
    <x v="0"/>
  </r>
  <r>
    <x v="0"/>
    <s v="標津郡標津町"/>
    <x v="188"/>
    <x v="10"/>
    <n v="30"/>
    <n v="20.41"/>
    <n v="28"/>
    <n v="35.44"/>
    <n v="1"/>
    <n v="1.85"/>
    <x v="0"/>
  </r>
  <r>
    <x v="0"/>
    <s v="標津郡標津町"/>
    <x v="188"/>
    <x v="11"/>
    <n v="9"/>
    <n v="6.12"/>
    <n v="8"/>
    <n v="10.130000000000001"/>
    <n v="0"/>
    <n v="0"/>
    <x v="0"/>
  </r>
  <r>
    <x v="0"/>
    <s v="標津郡標津町"/>
    <x v="188"/>
    <x v="12"/>
    <n v="6"/>
    <n v="4.08"/>
    <n v="2"/>
    <n v="2.5299999999999998"/>
    <n v="1"/>
    <n v="1.85"/>
    <x v="0"/>
  </r>
  <r>
    <x v="0"/>
    <s v="標津郡標津町"/>
    <x v="188"/>
    <x v="13"/>
    <n v="10"/>
    <n v="6.8"/>
    <n v="3"/>
    <n v="3.8"/>
    <n v="2"/>
    <n v="3.7"/>
    <x v="0"/>
  </r>
  <r>
    <x v="0"/>
    <s v="標津郡標津町"/>
    <x v="188"/>
    <x v="14"/>
    <n v="7"/>
    <n v="4.76"/>
    <n v="3"/>
    <n v="3.8"/>
    <n v="2"/>
    <n v="3.7"/>
    <x v="0"/>
  </r>
  <r>
    <x v="0"/>
    <s v="目梨郡羅臼町"/>
    <x v="189"/>
    <x v="0"/>
    <n v="0"/>
    <n v="0"/>
    <n v="0"/>
    <n v="0"/>
    <n v="0"/>
    <n v="0"/>
    <x v="0"/>
  </r>
  <r>
    <x v="0"/>
    <s v="目梨郡羅臼町"/>
    <x v="189"/>
    <x v="1"/>
    <n v="10"/>
    <n v="5.81"/>
    <n v="3"/>
    <n v="3.49"/>
    <n v="7"/>
    <n v="8.5399999999999991"/>
    <x v="0"/>
  </r>
  <r>
    <x v="0"/>
    <s v="目梨郡羅臼町"/>
    <x v="189"/>
    <x v="2"/>
    <n v="21"/>
    <n v="12.21"/>
    <n v="4"/>
    <n v="4.6500000000000004"/>
    <n v="17"/>
    <n v="20.73"/>
    <x v="0"/>
  </r>
  <r>
    <x v="0"/>
    <s v="目梨郡羅臼町"/>
    <x v="189"/>
    <x v="3"/>
    <n v="1"/>
    <n v="0.57999999999999996"/>
    <n v="0"/>
    <n v="0"/>
    <n v="0"/>
    <n v="0"/>
    <x v="0"/>
  </r>
  <r>
    <x v="0"/>
    <s v="目梨郡羅臼町"/>
    <x v="189"/>
    <x v="4"/>
    <n v="1"/>
    <n v="0.57999999999999996"/>
    <n v="0"/>
    <n v="0"/>
    <n v="1"/>
    <n v="1.22"/>
    <x v="0"/>
  </r>
  <r>
    <x v="0"/>
    <s v="目梨郡羅臼町"/>
    <x v="189"/>
    <x v="5"/>
    <n v="6"/>
    <n v="3.49"/>
    <n v="1"/>
    <n v="1.1599999999999999"/>
    <n v="5"/>
    <n v="6.1"/>
    <x v="0"/>
  </r>
  <r>
    <x v="0"/>
    <s v="目梨郡羅臼町"/>
    <x v="189"/>
    <x v="6"/>
    <n v="40"/>
    <n v="23.26"/>
    <n v="13"/>
    <n v="15.12"/>
    <n v="27"/>
    <n v="32.93"/>
    <x v="0"/>
  </r>
  <r>
    <x v="0"/>
    <s v="目梨郡羅臼町"/>
    <x v="189"/>
    <x v="7"/>
    <n v="1"/>
    <n v="0.57999999999999996"/>
    <n v="0"/>
    <n v="0"/>
    <n v="1"/>
    <n v="1.22"/>
    <x v="0"/>
  </r>
  <r>
    <x v="0"/>
    <s v="目梨郡羅臼町"/>
    <x v="189"/>
    <x v="8"/>
    <n v="26"/>
    <n v="15.12"/>
    <n v="16"/>
    <n v="18.600000000000001"/>
    <n v="10"/>
    <n v="12.2"/>
    <x v="0"/>
  </r>
  <r>
    <x v="0"/>
    <s v="目梨郡羅臼町"/>
    <x v="189"/>
    <x v="9"/>
    <n v="2"/>
    <n v="1.1599999999999999"/>
    <n v="1"/>
    <n v="1.1599999999999999"/>
    <n v="1"/>
    <n v="1.22"/>
    <x v="0"/>
  </r>
  <r>
    <x v="0"/>
    <s v="目梨郡羅臼町"/>
    <x v="189"/>
    <x v="10"/>
    <n v="33"/>
    <n v="19.190000000000001"/>
    <n v="29"/>
    <n v="33.72"/>
    <n v="4"/>
    <n v="4.88"/>
    <x v="0"/>
  </r>
  <r>
    <x v="0"/>
    <s v="目梨郡羅臼町"/>
    <x v="189"/>
    <x v="11"/>
    <n v="17"/>
    <n v="9.8800000000000008"/>
    <n v="14"/>
    <n v="16.28"/>
    <n v="2"/>
    <n v="2.44"/>
    <x v="0"/>
  </r>
  <r>
    <x v="0"/>
    <s v="目梨郡羅臼町"/>
    <x v="189"/>
    <x v="12"/>
    <n v="1"/>
    <n v="0.57999999999999996"/>
    <n v="0"/>
    <n v="0"/>
    <n v="0"/>
    <n v="0"/>
    <x v="0"/>
  </r>
  <r>
    <x v="0"/>
    <s v="目梨郡羅臼町"/>
    <x v="189"/>
    <x v="13"/>
    <n v="6"/>
    <n v="3.49"/>
    <n v="3"/>
    <n v="3.49"/>
    <n v="2"/>
    <n v="2.44"/>
    <x v="0"/>
  </r>
  <r>
    <x v="0"/>
    <s v="目梨郡羅臼町"/>
    <x v="189"/>
    <x v="14"/>
    <n v="7"/>
    <n v="4.07"/>
    <n v="2"/>
    <n v="2.33"/>
    <n v="5"/>
    <n v="6.1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70">
  <r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1"/>
    <x v="1"/>
    <x v="1"/>
    <x v="1"/>
    <x v="1"/>
    <x v="1"/>
    <x v="1"/>
  </r>
  <r>
    <x v="0"/>
    <x v="0"/>
    <x v="0"/>
    <x v="2"/>
    <x v="2"/>
    <x v="2"/>
    <x v="2"/>
    <x v="2"/>
    <x v="2"/>
    <x v="2"/>
    <x v="2"/>
    <x v="2"/>
    <x v="2"/>
    <x v="2"/>
  </r>
  <r>
    <x v="0"/>
    <x v="0"/>
    <x v="0"/>
    <x v="3"/>
    <x v="3"/>
    <x v="3"/>
    <x v="3"/>
    <x v="3"/>
    <x v="3"/>
    <x v="3"/>
    <x v="3"/>
    <x v="3"/>
    <x v="3"/>
    <x v="3"/>
  </r>
  <r>
    <x v="0"/>
    <x v="0"/>
    <x v="0"/>
    <x v="4"/>
    <x v="4"/>
    <x v="4"/>
    <x v="4"/>
    <x v="4"/>
    <x v="4"/>
    <x v="4"/>
    <x v="4"/>
    <x v="4"/>
    <x v="4"/>
    <x v="4"/>
  </r>
  <r>
    <x v="0"/>
    <x v="0"/>
    <x v="0"/>
    <x v="5"/>
    <x v="5"/>
    <x v="5"/>
    <x v="5"/>
    <x v="5"/>
    <x v="5"/>
    <x v="5"/>
    <x v="5"/>
    <x v="5"/>
    <x v="5"/>
    <x v="5"/>
  </r>
  <r>
    <x v="0"/>
    <x v="0"/>
    <x v="0"/>
    <x v="6"/>
    <x v="6"/>
    <x v="6"/>
    <x v="6"/>
    <x v="6"/>
    <x v="6"/>
    <x v="6"/>
    <x v="6"/>
    <x v="6"/>
    <x v="6"/>
    <x v="6"/>
  </r>
  <r>
    <x v="0"/>
    <x v="0"/>
    <x v="0"/>
    <x v="7"/>
    <x v="7"/>
    <x v="7"/>
    <x v="7"/>
    <x v="7"/>
    <x v="7"/>
    <x v="7"/>
    <x v="7"/>
    <x v="7"/>
    <x v="7"/>
    <x v="4"/>
  </r>
  <r>
    <x v="0"/>
    <x v="0"/>
    <x v="0"/>
    <x v="8"/>
    <x v="8"/>
    <x v="8"/>
    <x v="8"/>
    <x v="8"/>
    <x v="8"/>
    <x v="8"/>
    <x v="8"/>
    <x v="8"/>
    <x v="8"/>
    <x v="5"/>
  </r>
  <r>
    <x v="0"/>
    <x v="0"/>
    <x v="0"/>
    <x v="9"/>
    <x v="9"/>
    <x v="9"/>
    <x v="9"/>
    <x v="9"/>
    <x v="9"/>
    <x v="9"/>
    <x v="9"/>
    <x v="9"/>
    <x v="9"/>
    <x v="7"/>
  </r>
  <r>
    <x v="0"/>
    <x v="0"/>
    <x v="0"/>
    <x v="10"/>
    <x v="10"/>
    <x v="10"/>
    <x v="10"/>
    <x v="10"/>
    <x v="10"/>
    <x v="10"/>
    <x v="10"/>
    <x v="10"/>
    <x v="10"/>
    <x v="8"/>
  </r>
  <r>
    <x v="0"/>
    <x v="0"/>
    <x v="0"/>
    <x v="11"/>
    <x v="11"/>
    <x v="11"/>
    <x v="11"/>
    <x v="11"/>
    <x v="10"/>
    <x v="11"/>
    <x v="11"/>
    <x v="11"/>
    <x v="11"/>
    <x v="5"/>
  </r>
  <r>
    <x v="0"/>
    <x v="0"/>
    <x v="0"/>
    <x v="12"/>
    <x v="12"/>
    <x v="12"/>
    <x v="12"/>
    <x v="12"/>
    <x v="11"/>
    <x v="12"/>
    <x v="12"/>
    <x v="12"/>
    <x v="12"/>
    <x v="1"/>
  </r>
  <r>
    <x v="0"/>
    <x v="0"/>
    <x v="0"/>
    <x v="13"/>
    <x v="13"/>
    <x v="13"/>
    <x v="13"/>
    <x v="13"/>
    <x v="12"/>
    <x v="13"/>
    <x v="13"/>
    <x v="13"/>
    <x v="13"/>
    <x v="5"/>
  </r>
  <r>
    <x v="0"/>
    <x v="0"/>
    <x v="0"/>
    <x v="14"/>
    <x v="14"/>
    <x v="14"/>
    <x v="14"/>
    <x v="14"/>
    <x v="13"/>
    <x v="14"/>
    <x v="14"/>
    <x v="14"/>
    <x v="14"/>
    <x v="9"/>
  </r>
  <r>
    <x v="0"/>
    <x v="0"/>
    <x v="0"/>
    <x v="15"/>
    <x v="15"/>
    <x v="15"/>
    <x v="15"/>
    <x v="15"/>
    <x v="14"/>
    <x v="15"/>
    <x v="15"/>
    <x v="15"/>
    <x v="15"/>
    <x v="4"/>
  </r>
  <r>
    <x v="0"/>
    <x v="0"/>
    <x v="0"/>
    <x v="16"/>
    <x v="16"/>
    <x v="16"/>
    <x v="16"/>
    <x v="16"/>
    <x v="15"/>
    <x v="16"/>
    <x v="16"/>
    <x v="16"/>
    <x v="16"/>
    <x v="10"/>
  </r>
  <r>
    <x v="0"/>
    <x v="0"/>
    <x v="0"/>
    <x v="17"/>
    <x v="17"/>
    <x v="17"/>
    <x v="17"/>
    <x v="17"/>
    <x v="16"/>
    <x v="17"/>
    <x v="17"/>
    <x v="17"/>
    <x v="17"/>
    <x v="11"/>
  </r>
  <r>
    <x v="0"/>
    <x v="0"/>
    <x v="0"/>
    <x v="18"/>
    <x v="18"/>
    <x v="18"/>
    <x v="18"/>
    <x v="18"/>
    <x v="17"/>
    <x v="18"/>
    <x v="18"/>
    <x v="18"/>
    <x v="18"/>
    <x v="10"/>
  </r>
  <r>
    <x v="0"/>
    <x v="0"/>
    <x v="0"/>
    <x v="19"/>
    <x v="19"/>
    <x v="19"/>
    <x v="19"/>
    <x v="19"/>
    <x v="18"/>
    <x v="19"/>
    <x v="19"/>
    <x v="19"/>
    <x v="19"/>
    <x v="4"/>
  </r>
  <r>
    <x v="0"/>
    <x v="1"/>
    <x v="1"/>
    <x v="2"/>
    <x v="2"/>
    <x v="2"/>
    <x v="0"/>
    <x v="20"/>
    <x v="19"/>
    <x v="20"/>
    <x v="20"/>
    <x v="20"/>
    <x v="20"/>
    <x v="12"/>
  </r>
  <r>
    <x v="0"/>
    <x v="1"/>
    <x v="1"/>
    <x v="0"/>
    <x v="0"/>
    <x v="0"/>
    <x v="1"/>
    <x v="21"/>
    <x v="20"/>
    <x v="21"/>
    <x v="21"/>
    <x v="21"/>
    <x v="21"/>
    <x v="5"/>
  </r>
  <r>
    <x v="0"/>
    <x v="1"/>
    <x v="1"/>
    <x v="1"/>
    <x v="1"/>
    <x v="1"/>
    <x v="2"/>
    <x v="22"/>
    <x v="21"/>
    <x v="22"/>
    <x v="22"/>
    <x v="22"/>
    <x v="22"/>
    <x v="5"/>
  </r>
  <r>
    <x v="0"/>
    <x v="1"/>
    <x v="1"/>
    <x v="5"/>
    <x v="5"/>
    <x v="5"/>
    <x v="3"/>
    <x v="23"/>
    <x v="22"/>
    <x v="23"/>
    <x v="23"/>
    <x v="23"/>
    <x v="23"/>
    <x v="5"/>
  </r>
  <r>
    <x v="0"/>
    <x v="1"/>
    <x v="1"/>
    <x v="3"/>
    <x v="3"/>
    <x v="3"/>
    <x v="4"/>
    <x v="24"/>
    <x v="23"/>
    <x v="24"/>
    <x v="24"/>
    <x v="24"/>
    <x v="24"/>
    <x v="10"/>
  </r>
  <r>
    <x v="0"/>
    <x v="1"/>
    <x v="1"/>
    <x v="4"/>
    <x v="4"/>
    <x v="4"/>
    <x v="5"/>
    <x v="25"/>
    <x v="24"/>
    <x v="25"/>
    <x v="25"/>
    <x v="25"/>
    <x v="25"/>
    <x v="4"/>
  </r>
  <r>
    <x v="0"/>
    <x v="1"/>
    <x v="1"/>
    <x v="10"/>
    <x v="10"/>
    <x v="10"/>
    <x v="6"/>
    <x v="26"/>
    <x v="25"/>
    <x v="26"/>
    <x v="26"/>
    <x v="26"/>
    <x v="26"/>
    <x v="13"/>
  </r>
  <r>
    <x v="0"/>
    <x v="1"/>
    <x v="1"/>
    <x v="7"/>
    <x v="7"/>
    <x v="7"/>
    <x v="7"/>
    <x v="27"/>
    <x v="26"/>
    <x v="27"/>
    <x v="27"/>
    <x v="27"/>
    <x v="27"/>
    <x v="5"/>
  </r>
  <r>
    <x v="0"/>
    <x v="1"/>
    <x v="1"/>
    <x v="8"/>
    <x v="8"/>
    <x v="8"/>
    <x v="8"/>
    <x v="28"/>
    <x v="27"/>
    <x v="28"/>
    <x v="28"/>
    <x v="28"/>
    <x v="28"/>
    <x v="5"/>
  </r>
  <r>
    <x v="0"/>
    <x v="1"/>
    <x v="1"/>
    <x v="9"/>
    <x v="9"/>
    <x v="9"/>
    <x v="9"/>
    <x v="29"/>
    <x v="28"/>
    <x v="29"/>
    <x v="29"/>
    <x v="29"/>
    <x v="29"/>
    <x v="3"/>
  </r>
  <r>
    <x v="0"/>
    <x v="1"/>
    <x v="1"/>
    <x v="12"/>
    <x v="12"/>
    <x v="12"/>
    <x v="10"/>
    <x v="30"/>
    <x v="29"/>
    <x v="30"/>
    <x v="30"/>
    <x v="30"/>
    <x v="30"/>
    <x v="4"/>
  </r>
  <r>
    <x v="0"/>
    <x v="1"/>
    <x v="1"/>
    <x v="15"/>
    <x v="15"/>
    <x v="15"/>
    <x v="11"/>
    <x v="31"/>
    <x v="30"/>
    <x v="31"/>
    <x v="31"/>
    <x v="31"/>
    <x v="31"/>
    <x v="5"/>
  </r>
  <r>
    <x v="0"/>
    <x v="1"/>
    <x v="1"/>
    <x v="6"/>
    <x v="6"/>
    <x v="6"/>
    <x v="12"/>
    <x v="32"/>
    <x v="31"/>
    <x v="32"/>
    <x v="32"/>
    <x v="32"/>
    <x v="32"/>
    <x v="10"/>
  </r>
  <r>
    <x v="0"/>
    <x v="1"/>
    <x v="1"/>
    <x v="16"/>
    <x v="16"/>
    <x v="16"/>
    <x v="13"/>
    <x v="33"/>
    <x v="32"/>
    <x v="33"/>
    <x v="33"/>
    <x v="33"/>
    <x v="33"/>
    <x v="4"/>
  </r>
  <r>
    <x v="0"/>
    <x v="1"/>
    <x v="1"/>
    <x v="20"/>
    <x v="20"/>
    <x v="20"/>
    <x v="14"/>
    <x v="34"/>
    <x v="33"/>
    <x v="34"/>
    <x v="31"/>
    <x v="34"/>
    <x v="14"/>
    <x v="5"/>
  </r>
  <r>
    <x v="0"/>
    <x v="1"/>
    <x v="1"/>
    <x v="13"/>
    <x v="13"/>
    <x v="13"/>
    <x v="15"/>
    <x v="35"/>
    <x v="34"/>
    <x v="35"/>
    <x v="34"/>
    <x v="35"/>
    <x v="34"/>
    <x v="5"/>
  </r>
  <r>
    <x v="0"/>
    <x v="1"/>
    <x v="1"/>
    <x v="11"/>
    <x v="11"/>
    <x v="11"/>
    <x v="16"/>
    <x v="36"/>
    <x v="35"/>
    <x v="36"/>
    <x v="35"/>
    <x v="36"/>
    <x v="35"/>
    <x v="5"/>
  </r>
  <r>
    <x v="0"/>
    <x v="1"/>
    <x v="1"/>
    <x v="21"/>
    <x v="21"/>
    <x v="21"/>
    <x v="17"/>
    <x v="37"/>
    <x v="36"/>
    <x v="37"/>
    <x v="36"/>
    <x v="37"/>
    <x v="36"/>
    <x v="7"/>
  </r>
  <r>
    <x v="0"/>
    <x v="1"/>
    <x v="1"/>
    <x v="14"/>
    <x v="14"/>
    <x v="14"/>
    <x v="18"/>
    <x v="38"/>
    <x v="37"/>
    <x v="38"/>
    <x v="37"/>
    <x v="38"/>
    <x v="34"/>
    <x v="12"/>
  </r>
  <r>
    <x v="0"/>
    <x v="1"/>
    <x v="1"/>
    <x v="17"/>
    <x v="17"/>
    <x v="17"/>
    <x v="19"/>
    <x v="39"/>
    <x v="38"/>
    <x v="39"/>
    <x v="38"/>
    <x v="39"/>
    <x v="37"/>
    <x v="4"/>
  </r>
  <r>
    <x v="0"/>
    <x v="2"/>
    <x v="2"/>
    <x v="0"/>
    <x v="0"/>
    <x v="0"/>
    <x v="0"/>
    <x v="40"/>
    <x v="39"/>
    <x v="40"/>
    <x v="39"/>
    <x v="40"/>
    <x v="38"/>
    <x v="5"/>
  </r>
  <r>
    <x v="0"/>
    <x v="2"/>
    <x v="2"/>
    <x v="2"/>
    <x v="2"/>
    <x v="2"/>
    <x v="1"/>
    <x v="41"/>
    <x v="40"/>
    <x v="41"/>
    <x v="40"/>
    <x v="41"/>
    <x v="39"/>
    <x v="5"/>
  </r>
  <r>
    <x v="0"/>
    <x v="2"/>
    <x v="2"/>
    <x v="10"/>
    <x v="10"/>
    <x v="10"/>
    <x v="2"/>
    <x v="42"/>
    <x v="41"/>
    <x v="42"/>
    <x v="41"/>
    <x v="42"/>
    <x v="40"/>
    <x v="13"/>
  </r>
  <r>
    <x v="0"/>
    <x v="2"/>
    <x v="2"/>
    <x v="1"/>
    <x v="1"/>
    <x v="1"/>
    <x v="3"/>
    <x v="43"/>
    <x v="42"/>
    <x v="43"/>
    <x v="42"/>
    <x v="43"/>
    <x v="41"/>
    <x v="5"/>
  </r>
  <r>
    <x v="0"/>
    <x v="2"/>
    <x v="2"/>
    <x v="3"/>
    <x v="3"/>
    <x v="3"/>
    <x v="4"/>
    <x v="44"/>
    <x v="43"/>
    <x v="44"/>
    <x v="43"/>
    <x v="44"/>
    <x v="42"/>
    <x v="10"/>
  </r>
  <r>
    <x v="0"/>
    <x v="2"/>
    <x v="2"/>
    <x v="7"/>
    <x v="7"/>
    <x v="7"/>
    <x v="5"/>
    <x v="45"/>
    <x v="44"/>
    <x v="45"/>
    <x v="44"/>
    <x v="45"/>
    <x v="43"/>
    <x v="5"/>
  </r>
  <r>
    <x v="0"/>
    <x v="2"/>
    <x v="2"/>
    <x v="13"/>
    <x v="13"/>
    <x v="13"/>
    <x v="6"/>
    <x v="46"/>
    <x v="45"/>
    <x v="46"/>
    <x v="45"/>
    <x v="46"/>
    <x v="44"/>
    <x v="5"/>
  </r>
  <r>
    <x v="0"/>
    <x v="2"/>
    <x v="2"/>
    <x v="9"/>
    <x v="9"/>
    <x v="9"/>
    <x v="7"/>
    <x v="47"/>
    <x v="46"/>
    <x v="47"/>
    <x v="46"/>
    <x v="47"/>
    <x v="37"/>
    <x v="10"/>
  </r>
  <r>
    <x v="0"/>
    <x v="2"/>
    <x v="2"/>
    <x v="20"/>
    <x v="20"/>
    <x v="20"/>
    <x v="8"/>
    <x v="48"/>
    <x v="47"/>
    <x v="48"/>
    <x v="47"/>
    <x v="48"/>
    <x v="45"/>
    <x v="5"/>
  </r>
  <r>
    <x v="0"/>
    <x v="2"/>
    <x v="2"/>
    <x v="12"/>
    <x v="12"/>
    <x v="12"/>
    <x v="9"/>
    <x v="49"/>
    <x v="48"/>
    <x v="25"/>
    <x v="48"/>
    <x v="49"/>
    <x v="46"/>
    <x v="4"/>
  </r>
  <r>
    <x v="0"/>
    <x v="2"/>
    <x v="2"/>
    <x v="6"/>
    <x v="6"/>
    <x v="6"/>
    <x v="10"/>
    <x v="50"/>
    <x v="49"/>
    <x v="49"/>
    <x v="49"/>
    <x v="50"/>
    <x v="47"/>
    <x v="5"/>
  </r>
  <r>
    <x v="0"/>
    <x v="2"/>
    <x v="2"/>
    <x v="21"/>
    <x v="21"/>
    <x v="21"/>
    <x v="10"/>
    <x v="50"/>
    <x v="49"/>
    <x v="50"/>
    <x v="50"/>
    <x v="51"/>
    <x v="48"/>
    <x v="0"/>
  </r>
  <r>
    <x v="0"/>
    <x v="2"/>
    <x v="2"/>
    <x v="15"/>
    <x v="15"/>
    <x v="15"/>
    <x v="12"/>
    <x v="51"/>
    <x v="50"/>
    <x v="48"/>
    <x v="47"/>
    <x v="52"/>
    <x v="31"/>
    <x v="5"/>
  </r>
  <r>
    <x v="0"/>
    <x v="2"/>
    <x v="2"/>
    <x v="16"/>
    <x v="16"/>
    <x v="16"/>
    <x v="13"/>
    <x v="52"/>
    <x v="32"/>
    <x v="51"/>
    <x v="51"/>
    <x v="53"/>
    <x v="49"/>
    <x v="5"/>
  </r>
  <r>
    <x v="0"/>
    <x v="2"/>
    <x v="2"/>
    <x v="4"/>
    <x v="4"/>
    <x v="4"/>
    <x v="14"/>
    <x v="53"/>
    <x v="34"/>
    <x v="51"/>
    <x v="51"/>
    <x v="54"/>
    <x v="50"/>
    <x v="5"/>
  </r>
  <r>
    <x v="0"/>
    <x v="2"/>
    <x v="2"/>
    <x v="18"/>
    <x v="18"/>
    <x v="18"/>
    <x v="15"/>
    <x v="54"/>
    <x v="51"/>
    <x v="50"/>
    <x v="50"/>
    <x v="55"/>
    <x v="51"/>
    <x v="5"/>
  </r>
  <r>
    <x v="0"/>
    <x v="2"/>
    <x v="2"/>
    <x v="22"/>
    <x v="22"/>
    <x v="22"/>
    <x v="16"/>
    <x v="55"/>
    <x v="52"/>
    <x v="52"/>
    <x v="14"/>
    <x v="56"/>
    <x v="52"/>
    <x v="5"/>
  </r>
  <r>
    <x v="0"/>
    <x v="2"/>
    <x v="2"/>
    <x v="17"/>
    <x v="17"/>
    <x v="17"/>
    <x v="17"/>
    <x v="56"/>
    <x v="53"/>
    <x v="51"/>
    <x v="51"/>
    <x v="57"/>
    <x v="53"/>
    <x v="4"/>
  </r>
  <r>
    <x v="0"/>
    <x v="2"/>
    <x v="2"/>
    <x v="8"/>
    <x v="8"/>
    <x v="8"/>
    <x v="18"/>
    <x v="57"/>
    <x v="54"/>
    <x v="48"/>
    <x v="47"/>
    <x v="58"/>
    <x v="18"/>
    <x v="5"/>
  </r>
  <r>
    <x v="0"/>
    <x v="2"/>
    <x v="2"/>
    <x v="5"/>
    <x v="5"/>
    <x v="5"/>
    <x v="19"/>
    <x v="58"/>
    <x v="55"/>
    <x v="53"/>
    <x v="52"/>
    <x v="59"/>
    <x v="54"/>
    <x v="5"/>
  </r>
  <r>
    <x v="0"/>
    <x v="3"/>
    <x v="3"/>
    <x v="2"/>
    <x v="2"/>
    <x v="2"/>
    <x v="0"/>
    <x v="59"/>
    <x v="56"/>
    <x v="54"/>
    <x v="53"/>
    <x v="60"/>
    <x v="55"/>
    <x v="10"/>
  </r>
  <r>
    <x v="0"/>
    <x v="3"/>
    <x v="3"/>
    <x v="1"/>
    <x v="1"/>
    <x v="1"/>
    <x v="1"/>
    <x v="60"/>
    <x v="57"/>
    <x v="55"/>
    <x v="54"/>
    <x v="61"/>
    <x v="56"/>
    <x v="5"/>
  </r>
  <r>
    <x v="0"/>
    <x v="3"/>
    <x v="3"/>
    <x v="0"/>
    <x v="0"/>
    <x v="0"/>
    <x v="2"/>
    <x v="61"/>
    <x v="58"/>
    <x v="56"/>
    <x v="55"/>
    <x v="62"/>
    <x v="57"/>
    <x v="5"/>
  </r>
  <r>
    <x v="0"/>
    <x v="3"/>
    <x v="3"/>
    <x v="5"/>
    <x v="5"/>
    <x v="5"/>
    <x v="3"/>
    <x v="62"/>
    <x v="59"/>
    <x v="57"/>
    <x v="56"/>
    <x v="63"/>
    <x v="58"/>
    <x v="5"/>
  </r>
  <r>
    <x v="0"/>
    <x v="3"/>
    <x v="3"/>
    <x v="8"/>
    <x v="8"/>
    <x v="8"/>
    <x v="4"/>
    <x v="63"/>
    <x v="60"/>
    <x v="58"/>
    <x v="57"/>
    <x v="64"/>
    <x v="59"/>
    <x v="5"/>
  </r>
  <r>
    <x v="0"/>
    <x v="3"/>
    <x v="3"/>
    <x v="4"/>
    <x v="4"/>
    <x v="4"/>
    <x v="5"/>
    <x v="64"/>
    <x v="61"/>
    <x v="50"/>
    <x v="58"/>
    <x v="65"/>
    <x v="60"/>
    <x v="5"/>
  </r>
  <r>
    <x v="0"/>
    <x v="3"/>
    <x v="3"/>
    <x v="3"/>
    <x v="3"/>
    <x v="3"/>
    <x v="6"/>
    <x v="65"/>
    <x v="62"/>
    <x v="25"/>
    <x v="59"/>
    <x v="66"/>
    <x v="61"/>
    <x v="5"/>
  </r>
  <r>
    <x v="0"/>
    <x v="3"/>
    <x v="3"/>
    <x v="7"/>
    <x v="7"/>
    <x v="7"/>
    <x v="7"/>
    <x v="53"/>
    <x v="63"/>
    <x v="59"/>
    <x v="60"/>
    <x v="67"/>
    <x v="62"/>
    <x v="5"/>
  </r>
  <r>
    <x v="0"/>
    <x v="3"/>
    <x v="3"/>
    <x v="10"/>
    <x v="10"/>
    <x v="10"/>
    <x v="8"/>
    <x v="66"/>
    <x v="64"/>
    <x v="60"/>
    <x v="61"/>
    <x v="68"/>
    <x v="63"/>
    <x v="5"/>
  </r>
  <r>
    <x v="0"/>
    <x v="3"/>
    <x v="3"/>
    <x v="12"/>
    <x v="12"/>
    <x v="12"/>
    <x v="9"/>
    <x v="67"/>
    <x v="65"/>
    <x v="61"/>
    <x v="62"/>
    <x v="69"/>
    <x v="64"/>
    <x v="5"/>
  </r>
  <r>
    <x v="0"/>
    <x v="3"/>
    <x v="3"/>
    <x v="9"/>
    <x v="9"/>
    <x v="9"/>
    <x v="10"/>
    <x v="68"/>
    <x v="66"/>
    <x v="62"/>
    <x v="6"/>
    <x v="70"/>
    <x v="65"/>
    <x v="5"/>
  </r>
  <r>
    <x v="0"/>
    <x v="3"/>
    <x v="3"/>
    <x v="15"/>
    <x v="15"/>
    <x v="15"/>
    <x v="11"/>
    <x v="69"/>
    <x v="67"/>
    <x v="48"/>
    <x v="63"/>
    <x v="71"/>
    <x v="31"/>
    <x v="5"/>
  </r>
  <r>
    <x v="0"/>
    <x v="3"/>
    <x v="3"/>
    <x v="11"/>
    <x v="11"/>
    <x v="11"/>
    <x v="12"/>
    <x v="70"/>
    <x v="68"/>
    <x v="63"/>
    <x v="64"/>
    <x v="72"/>
    <x v="66"/>
    <x v="5"/>
  </r>
  <r>
    <x v="0"/>
    <x v="3"/>
    <x v="3"/>
    <x v="6"/>
    <x v="6"/>
    <x v="6"/>
    <x v="13"/>
    <x v="71"/>
    <x v="11"/>
    <x v="14"/>
    <x v="65"/>
    <x v="73"/>
    <x v="67"/>
    <x v="5"/>
  </r>
  <r>
    <x v="0"/>
    <x v="3"/>
    <x v="3"/>
    <x v="16"/>
    <x v="16"/>
    <x v="16"/>
    <x v="14"/>
    <x v="72"/>
    <x v="69"/>
    <x v="50"/>
    <x v="58"/>
    <x v="74"/>
    <x v="68"/>
    <x v="5"/>
  </r>
  <r>
    <x v="0"/>
    <x v="3"/>
    <x v="3"/>
    <x v="20"/>
    <x v="20"/>
    <x v="20"/>
    <x v="15"/>
    <x v="73"/>
    <x v="70"/>
    <x v="64"/>
    <x v="66"/>
    <x v="74"/>
    <x v="68"/>
    <x v="5"/>
  </r>
  <r>
    <x v="0"/>
    <x v="3"/>
    <x v="3"/>
    <x v="21"/>
    <x v="21"/>
    <x v="21"/>
    <x v="16"/>
    <x v="74"/>
    <x v="51"/>
    <x v="65"/>
    <x v="17"/>
    <x v="75"/>
    <x v="69"/>
    <x v="10"/>
  </r>
  <r>
    <x v="0"/>
    <x v="3"/>
    <x v="3"/>
    <x v="13"/>
    <x v="13"/>
    <x v="13"/>
    <x v="17"/>
    <x v="75"/>
    <x v="36"/>
    <x v="34"/>
    <x v="67"/>
    <x v="76"/>
    <x v="70"/>
    <x v="5"/>
  </r>
  <r>
    <x v="0"/>
    <x v="3"/>
    <x v="3"/>
    <x v="14"/>
    <x v="14"/>
    <x v="14"/>
    <x v="18"/>
    <x v="76"/>
    <x v="37"/>
    <x v="64"/>
    <x v="66"/>
    <x v="72"/>
    <x v="66"/>
    <x v="4"/>
  </r>
  <r>
    <x v="0"/>
    <x v="3"/>
    <x v="3"/>
    <x v="19"/>
    <x v="19"/>
    <x v="19"/>
    <x v="19"/>
    <x v="77"/>
    <x v="71"/>
    <x v="66"/>
    <x v="68"/>
    <x v="77"/>
    <x v="71"/>
    <x v="5"/>
  </r>
  <r>
    <x v="0"/>
    <x v="4"/>
    <x v="4"/>
    <x v="2"/>
    <x v="2"/>
    <x v="2"/>
    <x v="0"/>
    <x v="78"/>
    <x v="72"/>
    <x v="67"/>
    <x v="69"/>
    <x v="78"/>
    <x v="72"/>
    <x v="4"/>
  </r>
  <r>
    <x v="0"/>
    <x v="4"/>
    <x v="4"/>
    <x v="1"/>
    <x v="1"/>
    <x v="1"/>
    <x v="1"/>
    <x v="79"/>
    <x v="73"/>
    <x v="68"/>
    <x v="70"/>
    <x v="79"/>
    <x v="73"/>
    <x v="5"/>
  </r>
  <r>
    <x v="0"/>
    <x v="4"/>
    <x v="4"/>
    <x v="5"/>
    <x v="5"/>
    <x v="5"/>
    <x v="2"/>
    <x v="80"/>
    <x v="74"/>
    <x v="69"/>
    <x v="71"/>
    <x v="80"/>
    <x v="74"/>
    <x v="5"/>
  </r>
  <r>
    <x v="0"/>
    <x v="4"/>
    <x v="4"/>
    <x v="8"/>
    <x v="8"/>
    <x v="8"/>
    <x v="3"/>
    <x v="81"/>
    <x v="75"/>
    <x v="70"/>
    <x v="72"/>
    <x v="81"/>
    <x v="75"/>
    <x v="5"/>
  </r>
  <r>
    <x v="0"/>
    <x v="4"/>
    <x v="4"/>
    <x v="0"/>
    <x v="0"/>
    <x v="0"/>
    <x v="4"/>
    <x v="82"/>
    <x v="76"/>
    <x v="71"/>
    <x v="73"/>
    <x v="82"/>
    <x v="76"/>
    <x v="5"/>
  </r>
  <r>
    <x v="0"/>
    <x v="4"/>
    <x v="4"/>
    <x v="4"/>
    <x v="4"/>
    <x v="4"/>
    <x v="5"/>
    <x v="83"/>
    <x v="77"/>
    <x v="70"/>
    <x v="72"/>
    <x v="83"/>
    <x v="77"/>
    <x v="5"/>
  </r>
  <r>
    <x v="0"/>
    <x v="4"/>
    <x v="4"/>
    <x v="3"/>
    <x v="3"/>
    <x v="3"/>
    <x v="6"/>
    <x v="84"/>
    <x v="78"/>
    <x v="72"/>
    <x v="74"/>
    <x v="84"/>
    <x v="78"/>
    <x v="5"/>
  </r>
  <r>
    <x v="0"/>
    <x v="4"/>
    <x v="4"/>
    <x v="15"/>
    <x v="15"/>
    <x v="15"/>
    <x v="7"/>
    <x v="85"/>
    <x v="79"/>
    <x v="64"/>
    <x v="75"/>
    <x v="85"/>
    <x v="79"/>
    <x v="5"/>
  </r>
  <r>
    <x v="0"/>
    <x v="4"/>
    <x v="4"/>
    <x v="7"/>
    <x v="7"/>
    <x v="7"/>
    <x v="8"/>
    <x v="86"/>
    <x v="80"/>
    <x v="73"/>
    <x v="76"/>
    <x v="86"/>
    <x v="80"/>
    <x v="5"/>
  </r>
  <r>
    <x v="0"/>
    <x v="4"/>
    <x v="4"/>
    <x v="16"/>
    <x v="16"/>
    <x v="16"/>
    <x v="9"/>
    <x v="87"/>
    <x v="66"/>
    <x v="52"/>
    <x v="77"/>
    <x v="87"/>
    <x v="6"/>
    <x v="4"/>
  </r>
  <r>
    <x v="0"/>
    <x v="4"/>
    <x v="4"/>
    <x v="11"/>
    <x v="11"/>
    <x v="11"/>
    <x v="10"/>
    <x v="88"/>
    <x v="10"/>
    <x v="74"/>
    <x v="78"/>
    <x v="88"/>
    <x v="81"/>
    <x v="5"/>
  </r>
  <r>
    <x v="0"/>
    <x v="4"/>
    <x v="4"/>
    <x v="10"/>
    <x v="10"/>
    <x v="10"/>
    <x v="11"/>
    <x v="89"/>
    <x v="81"/>
    <x v="75"/>
    <x v="79"/>
    <x v="89"/>
    <x v="82"/>
    <x v="5"/>
  </r>
  <r>
    <x v="0"/>
    <x v="4"/>
    <x v="4"/>
    <x v="12"/>
    <x v="12"/>
    <x v="12"/>
    <x v="12"/>
    <x v="71"/>
    <x v="50"/>
    <x v="76"/>
    <x v="80"/>
    <x v="90"/>
    <x v="83"/>
    <x v="5"/>
  </r>
  <r>
    <x v="0"/>
    <x v="4"/>
    <x v="4"/>
    <x v="9"/>
    <x v="9"/>
    <x v="9"/>
    <x v="13"/>
    <x v="90"/>
    <x v="82"/>
    <x v="25"/>
    <x v="81"/>
    <x v="91"/>
    <x v="84"/>
    <x v="5"/>
  </r>
  <r>
    <x v="0"/>
    <x v="4"/>
    <x v="4"/>
    <x v="17"/>
    <x v="17"/>
    <x v="17"/>
    <x v="14"/>
    <x v="91"/>
    <x v="12"/>
    <x v="50"/>
    <x v="82"/>
    <x v="92"/>
    <x v="47"/>
    <x v="5"/>
  </r>
  <r>
    <x v="0"/>
    <x v="4"/>
    <x v="4"/>
    <x v="14"/>
    <x v="14"/>
    <x v="14"/>
    <x v="15"/>
    <x v="92"/>
    <x v="33"/>
    <x v="77"/>
    <x v="83"/>
    <x v="88"/>
    <x v="81"/>
    <x v="5"/>
  </r>
  <r>
    <x v="0"/>
    <x v="4"/>
    <x v="4"/>
    <x v="20"/>
    <x v="20"/>
    <x v="20"/>
    <x v="16"/>
    <x v="93"/>
    <x v="83"/>
    <x v="52"/>
    <x v="77"/>
    <x v="93"/>
    <x v="85"/>
    <x v="5"/>
  </r>
  <r>
    <x v="0"/>
    <x v="4"/>
    <x v="4"/>
    <x v="6"/>
    <x v="6"/>
    <x v="6"/>
    <x v="17"/>
    <x v="74"/>
    <x v="84"/>
    <x v="37"/>
    <x v="84"/>
    <x v="67"/>
    <x v="86"/>
    <x v="4"/>
  </r>
  <r>
    <x v="0"/>
    <x v="4"/>
    <x v="4"/>
    <x v="21"/>
    <x v="21"/>
    <x v="21"/>
    <x v="18"/>
    <x v="94"/>
    <x v="15"/>
    <x v="65"/>
    <x v="85"/>
    <x v="94"/>
    <x v="54"/>
    <x v="5"/>
  </r>
  <r>
    <x v="0"/>
    <x v="4"/>
    <x v="4"/>
    <x v="13"/>
    <x v="13"/>
    <x v="13"/>
    <x v="19"/>
    <x v="95"/>
    <x v="85"/>
    <x v="78"/>
    <x v="86"/>
    <x v="95"/>
    <x v="87"/>
    <x v="5"/>
  </r>
  <r>
    <x v="0"/>
    <x v="5"/>
    <x v="5"/>
    <x v="2"/>
    <x v="2"/>
    <x v="2"/>
    <x v="0"/>
    <x v="96"/>
    <x v="86"/>
    <x v="79"/>
    <x v="87"/>
    <x v="96"/>
    <x v="88"/>
    <x v="5"/>
  </r>
  <r>
    <x v="0"/>
    <x v="5"/>
    <x v="5"/>
    <x v="1"/>
    <x v="1"/>
    <x v="1"/>
    <x v="1"/>
    <x v="97"/>
    <x v="87"/>
    <x v="80"/>
    <x v="88"/>
    <x v="97"/>
    <x v="89"/>
    <x v="5"/>
  </r>
  <r>
    <x v="0"/>
    <x v="5"/>
    <x v="5"/>
    <x v="5"/>
    <x v="5"/>
    <x v="5"/>
    <x v="2"/>
    <x v="98"/>
    <x v="88"/>
    <x v="69"/>
    <x v="89"/>
    <x v="98"/>
    <x v="90"/>
    <x v="5"/>
  </r>
  <r>
    <x v="0"/>
    <x v="5"/>
    <x v="5"/>
    <x v="0"/>
    <x v="0"/>
    <x v="0"/>
    <x v="3"/>
    <x v="99"/>
    <x v="89"/>
    <x v="81"/>
    <x v="90"/>
    <x v="99"/>
    <x v="91"/>
    <x v="5"/>
  </r>
  <r>
    <x v="0"/>
    <x v="5"/>
    <x v="5"/>
    <x v="4"/>
    <x v="4"/>
    <x v="4"/>
    <x v="4"/>
    <x v="100"/>
    <x v="90"/>
    <x v="65"/>
    <x v="18"/>
    <x v="100"/>
    <x v="92"/>
    <x v="5"/>
  </r>
  <r>
    <x v="0"/>
    <x v="5"/>
    <x v="5"/>
    <x v="8"/>
    <x v="8"/>
    <x v="8"/>
    <x v="4"/>
    <x v="100"/>
    <x v="90"/>
    <x v="82"/>
    <x v="91"/>
    <x v="101"/>
    <x v="93"/>
    <x v="5"/>
  </r>
  <r>
    <x v="0"/>
    <x v="5"/>
    <x v="5"/>
    <x v="3"/>
    <x v="3"/>
    <x v="3"/>
    <x v="6"/>
    <x v="101"/>
    <x v="91"/>
    <x v="25"/>
    <x v="92"/>
    <x v="71"/>
    <x v="94"/>
    <x v="5"/>
  </r>
  <r>
    <x v="0"/>
    <x v="5"/>
    <x v="5"/>
    <x v="15"/>
    <x v="15"/>
    <x v="15"/>
    <x v="7"/>
    <x v="102"/>
    <x v="92"/>
    <x v="51"/>
    <x v="93"/>
    <x v="102"/>
    <x v="95"/>
    <x v="5"/>
  </r>
  <r>
    <x v="0"/>
    <x v="5"/>
    <x v="5"/>
    <x v="7"/>
    <x v="7"/>
    <x v="7"/>
    <x v="8"/>
    <x v="56"/>
    <x v="64"/>
    <x v="83"/>
    <x v="94"/>
    <x v="103"/>
    <x v="96"/>
    <x v="5"/>
  </r>
  <r>
    <x v="0"/>
    <x v="5"/>
    <x v="5"/>
    <x v="16"/>
    <x v="16"/>
    <x v="16"/>
    <x v="9"/>
    <x v="103"/>
    <x v="93"/>
    <x v="51"/>
    <x v="93"/>
    <x v="104"/>
    <x v="97"/>
    <x v="5"/>
  </r>
  <r>
    <x v="0"/>
    <x v="5"/>
    <x v="5"/>
    <x v="11"/>
    <x v="11"/>
    <x v="11"/>
    <x v="10"/>
    <x v="104"/>
    <x v="94"/>
    <x v="57"/>
    <x v="13"/>
    <x v="105"/>
    <x v="98"/>
    <x v="5"/>
  </r>
  <r>
    <x v="0"/>
    <x v="5"/>
    <x v="5"/>
    <x v="12"/>
    <x v="12"/>
    <x v="12"/>
    <x v="11"/>
    <x v="105"/>
    <x v="95"/>
    <x v="70"/>
    <x v="86"/>
    <x v="106"/>
    <x v="99"/>
    <x v="5"/>
  </r>
  <r>
    <x v="0"/>
    <x v="5"/>
    <x v="5"/>
    <x v="17"/>
    <x v="17"/>
    <x v="17"/>
    <x v="12"/>
    <x v="106"/>
    <x v="96"/>
    <x v="51"/>
    <x v="93"/>
    <x v="107"/>
    <x v="100"/>
    <x v="5"/>
  </r>
  <r>
    <x v="0"/>
    <x v="5"/>
    <x v="5"/>
    <x v="6"/>
    <x v="6"/>
    <x v="6"/>
    <x v="13"/>
    <x v="75"/>
    <x v="97"/>
    <x v="39"/>
    <x v="95"/>
    <x v="108"/>
    <x v="101"/>
    <x v="5"/>
  </r>
  <r>
    <x v="0"/>
    <x v="5"/>
    <x v="5"/>
    <x v="10"/>
    <x v="10"/>
    <x v="10"/>
    <x v="14"/>
    <x v="107"/>
    <x v="51"/>
    <x v="84"/>
    <x v="96"/>
    <x v="86"/>
    <x v="19"/>
    <x v="5"/>
  </r>
  <r>
    <x v="0"/>
    <x v="5"/>
    <x v="5"/>
    <x v="20"/>
    <x v="20"/>
    <x v="20"/>
    <x v="15"/>
    <x v="77"/>
    <x v="98"/>
    <x v="52"/>
    <x v="50"/>
    <x v="73"/>
    <x v="53"/>
    <x v="5"/>
  </r>
  <r>
    <x v="0"/>
    <x v="5"/>
    <x v="5"/>
    <x v="9"/>
    <x v="9"/>
    <x v="9"/>
    <x v="16"/>
    <x v="108"/>
    <x v="52"/>
    <x v="85"/>
    <x v="97"/>
    <x v="109"/>
    <x v="102"/>
    <x v="10"/>
  </r>
  <r>
    <x v="0"/>
    <x v="5"/>
    <x v="5"/>
    <x v="23"/>
    <x v="23"/>
    <x v="23"/>
    <x v="17"/>
    <x v="109"/>
    <x v="53"/>
    <x v="51"/>
    <x v="93"/>
    <x v="110"/>
    <x v="103"/>
    <x v="5"/>
  </r>
  <r>
    <x v="0"/>
    <x v="5"/>
    <x v="5"/>
    <x v="14"/>
    <x v="14"/>
    <x v="14"/>
    <x v="18"/>
    <x v="110"/>
    <x v="16"/>
    <x v="48"/>
    <x v="14"/>
    <x v="111"/>
    <x v="104"/>
    <x v="5"/>
  </r>
  <r>
    <x v="0"/>
    <x v="5"/>
    <x v="5"/>
    <x v="18"/>
    <x v="18"/>
    <x v="18"/>
    <x v="19"/>
    <x v="95"/>
    <x v="99"/>
    <x v="77"/>
    <x v="83"/>
    <x v="110"/>
    <x v="103"/>
    <x v="5"/>
  </r>
  <r>
    <x v="0"/>
    <x v="6"/>
    <x v="6"/>
    <x v="2"/>
    <x v="2"/>
    <x v="2"/>
    <x v="0"/>
    <x v="111"/>
    <x v="100"/>
    <x v="86"/>
    <x v="98"/>
    <x v="112"/>
    <x v="105"/>
    <x v="10"/>
  </r>
  <r>
    <x v="0"/>
    <x v="6"/>
    <x v="6"/>
    <x v="1"/>
    <x v="1"/>
    <x v="1"/>
    <x v="1"/>
    <x v="112"/>
    <x v="101"/>
    <x v="87"/>
    <x v="99"/>
    <x v="106"/>
    <x v="106"/>
    <x v="5"/>
  </r>
  <r>
    <x v="0"/>
    <x v="6"/>
    <x v="6"/>
    <x v="0"/>
    <x v="0"/>
    <x v="0"/>
    <x v="2"/>
    <x v="113"/>
    <x v="102"/>
    <x v="88"/>
    <x v="100"/>
    <x v="113"/>
    <x v="107"/>
    <x v="5"/>
  </r>
  <r>
    <x v="0"/>
    <x v="6"/>
    <x v="6"/>
    <x v="7"/>
    <x v="7"/>
    <x v="7"/>
    <x v="3"/>
    <x v="114"/>
    <x v="103"/>
    <x v="89"/>
    <x v="101"/>
    <x v="114"/>
    <x v="108"/>
    <x v="5"/>
  </r>
  <r>
    <x v="0"/>
    <x v="6"/>
    <x v="6"/>
    <x v="4"/>
    <x v="4"/>
    <x v="4"/>
    <x v="4"/>
    <x v="115"/>
    <x v="104"/>
    <x v="65"/>
    <x v="85"/>
    <x v="84"/>
    <x v="109"/>
    <x v="5"/>
  </r>
  <r>
    <x v="0"/>
    <x v="6"/>
    <x v="6"/>
    <x v="5"/>
    <x v="5"/>
    <x v="5"/>
    <x v="5"/>
    <x v="116"/>
    <x v="105"/>
    <x v="78"/>
    <x v="86"/>
    <x v="115"/>
    <x v="110"/>
    <x v="5"/>
  </r>
  <r>
    <x v="0"/>
    <x v="6"/>
    <x v="6"/>
    <x v="3"/>
    <x v="3"/>
    <x v="3"/>
    <x v="6"/>
    <x v="117"/>
    <x v="106"/>
    <x v="63"/>
    <x v="102"/>
    <x v="116"/>
    <x v="111"/>
    <x v="5"/>
  </r>
  <r>
    <x v="0"/>
    <x v="6"/>
    <x v="6"/>
    <x v="8"/>
    <x v="8"/>
    <x v="8"/>
    <x v="7"/>
    <x v="118"/>
    <x v="107"/>
    <x v="65"/>
    <x v="85"/>
    <x v="117"/>
    <x v="112"/>
    <x v="5"/>
  </r>
  <r>
    <x v="0"/>
    <x v="6"/>
    <x v="6"/>
    <x v="20"/>
    <x v="20"/>
    <x v="20"/>
    <x v="8"/>
    <x v="72"/>
    <x v="108"/>
    <x v="64"/>
    <x v="75"/>
    <x v="106"/>
    <x v="106"/>
    <x v="5"/>
  </r>
  <r>
    <x v="0"/>
    <x v="6"/>
    <x v="6"/>
    <x v="9"/>
    <x v="9"/>
    <x v="9"/>
    <x v="9"/>
    <x v="90"/>
    <x v="109"/>
    <x v="90"/>
    <x v="3"/>
    <x v="118"/>
    <x v="113"/>
    <x v="5"/>
  </r>
  <r>
    <x v="0"/>
    <x v="6"/>
    <x v="6"/>
    <x v="12"/>
    <x v="12"/>
    <x v="12"/>
    <x v="10"/>
    <x v="73"/>
    <x v="110"/>
    <x v="34"/>
    <x v="103"/>
    <x v="97"/>
    <x v="114"/>
    <x v="5"/>
  </r>
  <r>
    <x v="0"/>
    <x v="6"/>
    <x v="6"/>
    <x v="10"/>
    <x v="10"/>
    <x v="10"/>
    <x v="11"/>
    <x v="119"/>
    <x v="111"/>
    <x v="91"/>
    <x v="43"/>
    <x v="77"/>
    <x v="115"/>
    <x v="5"/>
  </r>
  <r>
    <x v="0"/>
    <x v="6"/>
    <x v="6"/>
    <x v="6"/>
    <x v="6"/>
    <x v="6"/>
    <x v="12"/>
    <x v="120"/>
    <x v="112"/>
    <x v="14"/>
    <x v="104"/>
    <x v="119"/>
    <x v="116"/>
    <x v="5"/>
  </r>
  <r>
    <x v="0"/>
    <x v="6"/>
    <x v="6"/>
    <x v="16"/>
    <x v="16"/>
    <x v="16"/>
    <x v="13"/>
    <x v="75"/>
    <x v="81"/>
    <x v="52"/>
    <x v="77"/>
    <x v="75"/>
    <x v="117"/>
    <x v="5"/>
  </r>
  <r>
    <x v="0"/>
    <x v="6"/>
    <x v="6"/>
    <x v="14"/>
    <x v="14"/>
    <x v="14"/>
    <x v="14"/>
    <x v="121"/>
    <x v="113"/>
    <x v="48"/>
    <x v="14"/>
    <x v="72"/>
    <x v="118"/>
    <x v="4"/>
  </r>
  <r>
    <x v="0"/>
    <x v="6"/>
    <x v="6"/>
    <x v="15"/>
    <x v="15"/>
    <x v="15"/>
    <x v="15"/>
    <x v="122"/>
    <x v="114"/>
    <x v="48"/>
    <x v="14"/>
    <x v="120"/>
    <x v="119"/>
    <x v="5"/>
  </r>
  <r>
    <x v="0"/>
    <x v="6"/>
    <x v="6"/>
    <x v="21"/>
    <x v="21"/>
    <x v="21"/>
    <x v="16"/>
    <x v="123"/>
    <x v="36"/>
    <x v="65"/>
    <x v="85"/>
    <x v="67"/>
    <x v="57"/>
    <x v="4"/>
  </r>
  <r>
    <x v="0"/>
    <x v="6"/>
    <x v="6"/>
    <x v="11"/>
    <x v="11"/>
    <x v="11"/>
    <x v="17"/>
    <x v="124"/>
    <x v="115"/>
    <x v="78"/>
    <x v="86"/>
    <x v="114"/>
    <x v="108"/>
    <x v="5"/>
  </r>
  <r>
    <x v="0"/>
    <x v="6"/>
    <x v="6"/>
    <x v="24"/>
    <x v="24"/>
    <x v="24"/>
    <x v="17"/>
    <x v="124"/>
    <x v="115"/>
    <x v="64"/>
    <x v="75"/>
    <x v="121"/>
    <x v="120"/>
    <x v="5"/>
  </r>
  <r>
    <x v="0"/>
    <x v="6"/>
    <x v="6"/>
    <x v="19"/>
    <x v="19"/>
    <x v="19"/>
    <x v="17"/>
    <x v="124"/>
    <x v="115"/>
    <x v="92"/>
    <x v="105"/>
    <x v="122"/>
    <x v="121"/>
    <x v="5"/>
  </r>
  <r>
    <x v="0"/>
    <x v="7"/>
    <x v="7"/>
    <x v="2"/>
    <x v="2"/>
    <x v="2"/>
    <x v="0"/>
    <x v="125"/>
    <x v="116"/>
    <x v="93"/>
    <x v="106"/>
    <x v="123"/>
    <x v="122"/>
    <x v="10"/>
  </r>
  <r>
    <x v="0"/>
    <x v="7"/>
    <x v="7"/>
    <x v="1"/>
    <x v="1"/>
    <x v="1"/>
    <x v="1"/>
    <x v="126"/>
    <x v="117"/>
    <x v="94"/>
    <x v="99"/>
    <x v="124"/>
    <x v="123"/>
    <x v="5"/>
  </r>
  <r>
    <x v="0"/>
    <x v="7"/>
    <x v="7"/>
    <x v="0"/>
    <x v="0"/>
    <x v="0"/>
    <x v="2"/>
    <x v="127"/>
    <x v="118"/>
    <x v="95"/>
    <x v="107"/>
    <x v="125"/>
    <x v="124"/>
    <x v="5"/>
  </r>
  <r>
    <x v="0"/>
    <x v="7"/>
    <x v="7"/>
    <x v="4"/>
    <x v="4"/>
    <x v="4"/>
    <x v="3"/>
    <x v="128"/>
    <x v="61"/>
    <x v="82"/>
    <x v="108"/>
    <x v="87"/>
    <x v="125"/>
    <x v="4"/>
  </r>
  <r>
    <x v="0"/>
    <x v="7"/>
    <x v="7"/>
    <x v="3"/>
    <x v="3"/>
    <x v="3"/>
    <x v="4"/>
    <x v="129"/>
    <x v="119"/>
    <x v="39"/>
    <x v="109"/>
    <x v="45"/>
    <x v="126"/>
    <x v="5"/>
  </r>
  <r>
    <x v="0"/>
    <x v="7"/>
    <x v="7"/>
    <x v="5"/>
    <x v="5"/>
    <x v="5"/>
    <x v="5"/>
    <x v="72"/>
    <x v="90"/>
    <x v="96"/>
    <x v="110"/>
    <x v="126"/>
    <x v="127"/>
    <x v="5"/>
  </r>
  <r>
    <x v="0"/>
    <x v="7"/>
    <x v="7"/>
    <x v="7"/>
    <x v="7"/>
    <x v="7"/>
    <x v="6"/>
    <x v="74"/>
    <x v="25"/>
    <x v="90"/>
    <x v="111"/>
    <x v="127"/>
    <x v="128"/>
    <x v="5"/>
  </r>
  <r>
    <x v="0"/>
    <x v="7"/>
    <x v="7"/>
    <x v="12"/>
    <x v="12"/>
    <x v="12"/>
    <x v="7"/>
    <x v="130"/>
    <x v="80"/>
    <x v="92"/>
    <x v="112"/>
    <x v="108"/>
    <x v="129"/>
    <x v="5"/>
  </r>
  <r>
    <x v="0"/>
    <x v="7"/>
    <x v="7"/>
    <x v="8"/>
    <x v="8"/>
    <x v="8"/>
    <x v="8"/>
    <x v="131"/>
    <x v="120"/>
    <x v="65"/>
    <x v="113"/>
    <x v="89"/>
    <x v="130"/>
    <x v="5"/>
  </r>
  <r>
    <x v="0"/>
    <x v="7"/>
    <x v="7"/>
    <x v="9"/>
    <x v="9"/>
    <x v="9"/>
    <x v="8"/>
    <x v="131"/>
    <x v="120"/>
    <x v="72"/>
    <x v="114"/>
    <x v="128"/>
    <x v="131"/>
    <x v="5"/>
  </r>
  <r>
    <x v="0"/>
    <x v="7"/>
    <x v="7"/>
    <x v="6"/>
    <x v="6"/>
    <x v="6"/>
    <x v="10"/>
    <x v="132"/>
    <x v="121"/>
    <x v="97"/>
    <x v="115"/>
    <x v="129"/>
    <x v="63"/>
    <x v="5"/>
  </r>
  <r>
    <x v="0"/>
    <x v="7"/>
    <x v="7"/>
    <x v="10"/>
    <x v="10"/>
    <x v="10"/>
    <x v="11"/>
    <x v="133"/>
    <x v="122"/>
    <x v="57"/>
    <x v="116"/>
    <x v="127"/>
    <x v="128"/>
    <x v="5"/>
  </r>
  <r>
    <x v="0"/>
    <x v="7"/>
    <x v="7"/>
    <x v="14"/>
    <x v="14"/>
    <x v="14"/>
    <x v="12"/>
    <x v="134"/>
    <x v="33"/>
    <x v="48"/>
    <x v="31"/>
    <x v="130"/>
    <x v="132"/>
    <x v="5"/>
  </r>
  <r>
    <x v="0"/>
    <x v="7"/>
    <x v="7"/>
    <x v="11"/>
    <x v="11"/>
    <x v="11"/>
    <x v="13"/>
    <x v="135"/>
    <x v="123"/>
    <x v="38"/>
    <x v="56"/>
    <x v="131"/>
    <x v="82"/>
    <x v="5"/>
  </r>
  <r>
    <x v="0"/>
    <x v="7"/>
    <x v="7"/>
    <x v="25"/>
    <x v="25"/>
    <x v="25"/>
    <x v="14"/>
    <x v="136"/>
    <x v="124"/>
    <x v="98"/>
    <x v="117"/>
    <x v="132"/>
    <x v="133"/>
    <x v="5"/>
  </r>
  <r>
    <x v="0"/>
    <x v="7"/>
    <x v="7"/>
    <x v="16"/>
    <x v="16"/>
    <x v="16"/>
    <x v="15"/>
    <x v="137"/>
    <x v="71"/>
    <x v="52"/>
    <x v="85"/>
    <x v="133"/>
    <x v="134"/>
    <x v="5"/>
  </r>
  <r>
    <x v="0"/>
    <x v="7"/>
    <x v="7"/>
    <x v="21"/>
    <x v="21"/>
    <x v="21"/>
    <x v="15"/>
    <x v="137"/>
    <x v="71"/>
    <x v="77"/>
    <x v="83"/>
    <x v="133"/>
    <x v="134"/>
    <x v="11"/>
  </r>
  <r>
    <x v="0"/>
    <x v="7"/>
    <x v="7"/>
    <x v="19"/>
    <x v="19"/>
    <x v="19"/>
    <x v="17"/>
    <x v="138"/>
    <x v="115"/>
    <x v="38"/>
    <x v="56"/>
    <x v="134"/>
    <x v="135"/>
    <x v="5"/>
  </r>
  <r>
    <x v="0"/>
    <x v="7"/>
    <x v="7"/>
    <x v="13"/>
    <x v="13"/>
    <x v="13"/>
    <x v="18"/>
    <x v="139"/>
    <x v="125"/>
    <x v="78"/>
    <x v="118"/>
    <x v="135"/>
    <x v="136"/>
    <x v="5"/>
  </r>
  <r>
    <x v="0"/>
    <x v="7"/>
    <x v="7"/>
    <x v="20"/>
    <x v="20"/>
    <x v="20"/>
    <x v="19"/>
    <x v="140"/>
    <x v="126"/>
    <x v="77"/>
    <x v="83"/>
    <x v="136"/>
    <x v="103"/>
    <x v="5"/>
  </r>
  <r>
    <x v="0"/>
    <x v="8"/>
    <x v="8"/>
    <x v="2"/>
    <x v="2"/>
    <x v="2"/>
    <x v="0"/>
    <x v="141"/>
    <x v="127"/>
    <x v="99"/>
    <x v="119"/>
    <x v="137"/>
    <x v="137"/>
    <x v="5"/>
  </r>
  <r>
    <x v="0"/>
    <x v="8"/>
    <x v="8"/>
    <x v="0"/>
    <x v="0"/>
    <x v="0"/>
    <x v="1"/>
    <x v="142"/>
    <x v="128"/>
    <x v="100"/>
    <x v="120"/>
    <x v="62"/>
    <x v="138"/>
    <x v="5"/>
  </r>
  <r>
    <x v="0"/>
    <x v="8"/>
    <x v="8"/>
    <x v="1"/>
    <x v="1"/>
    <x v="1"/>
    <x v="2"/>
    <x v="143"/>
    <x v="129"/>
    <x v="101"/>
    <x v="121"/>
    <x v="90"/>
    <x v="139"/>
    <x v="5"/>
  </r>
  <r>
    <x v="0"/>
    <x v="8"/>
    <x v="8"/>
    <x v="5"/>
    <x v="5"/>
    <x v="5"/>
    <x v="3"/>
    <x v="101"/>
    <x v="4"/>
    <x v="76"/>
    <x v="12"/>
    <x v="138"/>
    <x v="140"/>
    <x v="5"/>
  </r>
  <r>
    <x v="0"/>
    <x v="8"/>
    <x v="8"/>
    <x v="7"/>
    <x v="7"/>
    <x v="7"/>
    <x v="4"/>
    <x v="144"/>
    <x v="130"/>
    <x v="102"/>
    <x v="122"/>
    <x v="139"/>
    <x v="91"/>
    <x v="5"/>
  </r>
  <r>
    <x v="0"/>
    <x v="8"/>
    <x v="8"/>
    <x v="4"/>
    <x v="4"/>
    <x v="4"/>
    <x v="5"/>
    <x v="145"/>
    <x v="131"/>
    <x v="65"/>
    <x v="16"/>
    <x v="140"/>
    <x v="141"/>
    <x v="5"/>
  </r>
  <r>
    <x v="0"/>
    <x v="8"/>
    <x v="8"/>
    <x v="3"/>
    <x v="3"/>
    <x v="3"/>
    <x v="6"/>
    <x v="146"/>
    <x v="106"/>
    <x v="103"/>
    <x v="123"/>
    <x v="141"/>
    <x v="142"/>
    <x v="5"/>
  </r>
  <r>
    <x v="0"/>
    <x v="8"/>
    <x v="8"/>
    <x v="8"/>
    <x v="8"/>
    <x v="8"/>
    <x v="7"/>
    <x v="147"/>
    <x v="132"/>
    <x v="82"/>
    <x v="25"/>
    <x v="142"/>
    <x v="143"/>
    <x v="5"/>
  </r>
  <r>
    <x v="0"/>
    <x v="8"/>
    <x v="8"/>
    <x v="9"/>
    <x v="9"/>
    <x v="9"/>
    <x v="8"/>
    <x v="148"/>
    <x v="133"/>
    <x v="104"/>
    <x v="124"/>
    <x v="130"/>
    <x v="144"/>
    <x v="10"/>
  </r>
  <r>
    <x v="0"/>
    <x v="8"/>
    <x v="8"/>
    <x v="10"/>
    <x v="10"/>
    <x v="10"/>
    <x v="9"/>
    <x v="104"/>
    <x v="45"/>
    <x v="105"/>
    <x v="125"/>
    <x v="120"/>
    <x v="85"/>
    <x v="5"/>
  </r>
  <r>
    <x v="0"/>
    <x v="8"/>
    <x v="8"/>
    <x v="12"/>
    <x v="12"/>
    <x v="12"/>
    <x v="10"/>
    <x v="128"/>
    <x v="134"/>
    <x v="74"/>
    <x v="126"/>
    <x v="143"/>
    <x v="145"/>
    <x v="5"/>
  </r>
  <r>
    <x v="0"/>
    <x v="8"/>
    <x v="8"/>
    <x v="6"/>
    <x v="6"/>
    <x v="6"/>
    <x v="11"/>
    <x v="149"/>
    <x v="47"/>
    <x v="106"/>
    <x v="127"/>
    <x v="119"/>
    <x v="146"/>
    <x v="5"/>
  </r>
  <r>
    <x v="0"/>
    <x v="8"/>
    <x v="8"/>
    <x v="18"/>
    <x v="18"/>
    <x v="18"/>
    <x v="12"/>
    <x v="150"/>
    <x v="135"/>
    <x v="64"/>
    <x v="75"/>
    <x v="79"/>
    <x v="147"/>
    <x v="5"/>
  </r>
  <r>
    <x v="0"/>
    <x v="8"/>
    <x v="8"/>
    <x v="14"/>
    <x v="14"/>
    <x v="14"/>
    <x v="13"/>
    <x v="151"/>
    <x v="136"/>
    <x v="64"/>
    <x v="75"/>
    <x v="97"/>
    <x v="49"/>
    <x v="4"/>
  </r>
  <r>
    <x v="0"/>
    <x v="8"/>
    <x v="8"/>
    <x v="15"/>
    <x v="15"/>
    <x v="15"/>
    <x v="14"/>
    <x v="95"/>
    <x v="137"/>
    <x v="48"/>
    <x v="14"/>
    <x v="144"/>
    <x v="83"/>
    <x v="5"/>
  </r>
  <r>
    <x v="0"/>
    <x v="8"/>
    <x v="8"/>
    <x v="11"/>
    <x v="11"/>
    <x v="11"/>
    <x v="15"/>
    <x v="132"/>
    <x v="123"/>
    <x v="76"/>
    <x v="12"/>
    <x v="121"/>
    <x v="70"/>
    <x v="5"/>
  </r>
  <r>
    <x v="0"/>
    <x v="8"/>
    <x v="8"/>
    <x v="16"/>
    <x v="16"/>
    <x v="16"/>
    <x v="16"/>
    <x v="122"/>
    <x v="36"/>
    <x v="51"/>
    <x v="128"/>
    <x v="125"/>
    <x v="16"/>
    <x v="5"/>
  </r>
  <r>
    <x v="0"/>
    <x v="8"/>
    <x v="8"/>
    <x v="20"/>
    <x v="20"/>
    <x v="20"/>
    <x v="17"/>
    <x v="152"/>
    <x v="138"/>
    <x v="65"/>
    <x v="16"/>
    <x v="70"/>
    <x v="148"/>
    <x v="5"/>
  </r>
  <r>
    <x v="0"/>
    <x v="8"/>
    <x v="8"/>
    <x v="13"/>
    <x v="13"/>
    <x v="13"/>
    <x v="18"/>
    <x v="153"/>
    <x v="139"/>
    <x v="92"/>
    <x v="23"/>
    <x v="121"/>
    <x v="70"/>
    <x v="5"/>
  </r>
  <r>
    <x v="0"/>
    <x v="8"/>
    <x v="8"/>
    <x v="19"/>
    <x v="19"/>
    <x v="19"/>
    <x v="19"/>
    <x v="154"/>
    <x v="140"/>
    <x v="31"/>
    <x v="129"/>
    <x v="145"/>
    <x v="149"/>
    <x v="5"/>
  </r>
  <r>
    <x v="0"/>
    <x v="9"/>
    <x v="9"/>
    <x v="2"/>
    <x v="2"/>
    <x v="2"/>
    <x v="0"/>
    <x v="53"/>
    <x v="141"/>
    <x v="105"/>
    <x v="130"/>
    <x v="146"/>
    <x v="150"/>
    <x v="5"/>
  </r>
  <r>
    <x v="0"/>
    <x v="9"/>
    <x v="9"/>
    <x v="1"/>
    <x v="1"/>
    <x v="1"/>
    <x v="1"/>
    <x v="117"/>
    <x v="142"/>
    <x v="107"/>
    <x v="131"/>
    <x v="147"/>
    <x v="151"/>
    <x v="5"/>
  </r>
  <r>
    <x v="0"/>
    <x v="9"/>
    <x v="9"/>
    <x v="0"/>
    <x v="0"/>
    <x v="0"/>
    <x v="2"/>
    <x v="155"/>
    <x v="143"/>
    <x v="108"/>
    <x v="90"/>
    <x v="148"/>
    <x v="152"/>
    <x v="5"/>
  </r>
  <r>
    <x v="0"/>
    <x v="9"/>
    <x v="9"/>
    <x v="3"/>
    <x v="3"/>
    <x v="3"/>
    <x v="3"/>
    <x v="77"/>
    <x v="144"/>
    <x v="31"/>
    <x v="132"/>
    <x v="149"/>
    <x v="153"/>
    <x v="5"/>
  </r>
  <r>
    <x v="0"/>
    <x v="9"/>
    <x v="9"/>
    <x v="7"/>
    <x v="7"/>
    <x v="7"/>
    <x v="4"/>
    <x v="110"/>
    <x v="145"/>
    <x v="109"/>
    <x v="133"/>
    <x v="150"/>
    <x v="67"/>
    <x v="5"/>
  </r>
  <r>
    <x v="0"/>
    <x v="9"/>
    <x v="9"/>
    <x v="4"/>
    <x v="4"/>
    <x v="4"/>
    <x v="5"/>
    <x v="156"/>
    <x v="146"/>
    <x v="77"/>
    <x v="83"/>
    <x v="108"/>
    <x v="154"/>
    <x v="5"/>
  </r>
  <r>
    <x v="0"/>
    <x v="9"/>
    <x v="9"/>
    <x v="5"/>
    <x v="5"/>
    <x v="5"/>
    <x v="6"/>
    <x v="157"/>
    <x v="147"/>
    <x v="53"/>
    <x v="134"/>
    <x v="121"/>
    <x v="155"/>
    <x v="5"/>
  </r>
  <r>
    <x v="0"/>
    <x v="9"/>
    <x v="9"/>
    <x v="13"/>
    <x v="13"/>
    <x v="13"/>
    <x v="7"/>
    <x v="158"/>
    <x v="44"/>
    <x v="64"/>
    <x v="135"/>
    <x v="151"/>
    <x v="156"/>
    <x v="5"/>
  </r>
  <r>
    <x v="0"/>
    <x v="9"/>
    <x v="9"/>
    <x v="8"/>
    <x v="8"/>
    <x v="8"/>
    <x v="8"/>
    <x v="133"/>
    <x v="148"/>
    <x v="51"/>
    <x v="136"/>
    <x v="91"/>
    <x v="157"/>
    <x v="5"/>
  </r>
  <r>
    <x v="0"/>
    <x v="9"/>
    <x v="9"/>
    <x v="9"/>
    <x v="9"/>
    <x v="9"/>
    <x v="9"/>
    <x v="159"/>
    <x v="149"/>
    <x v="110"/>
    <x v="137"/>
    <x v="135"/>
    <x v="158"/>
    <x v="5"/>
  </r>
  <r>
    <x v="0"/>
    <x v="9"/>
    <x v="9"/>
    <x v="10"/>
    <x v="10"/>
    <x v="10"/>
    <x v="10"/>
    <x v="135"/>
    <x v="150"/>
    <x v="111"/>
    <x v="138"/>
    <x v="128"/>
    <x v="159"/>
    <x v="5"/>
  </r>
  <r>
    <x v="0"/>
    <x v="9"/>
    <x v="9"/>
    <x v="12"/>
    <x v="12"/>
    <x v="12"/>
    <x v="10"/>
    <x v="135"/>
    <x v="150"/>
    <x v="52"/>
    <x v="86"/>
    <x v="122"/>
    <x v="160"/>
    <x v="5"/>
  </r>
  <r>
    <x v="0"/>
    <x v="9"/>
    <x v="9"/>
    <x v="15"/>
    <x v="15"/>
    <x v="15"/>
    <x v="12"/>
    <x v="160"/>
    <x v="151"/>
    <x v="77"/>
    <x v="83"/>
    <x v="152"/>
    <x v="49"/>
    <x v="5"/>
  </r>
  <r>
    <x v="0"/>
    <x v="9"/>
    <x v="9"/>
    <x v="16"/>
    <x v="16"/>
    <x v="16"/>
    <x v="12"/>
    <x v="160"/>
    <x v="151"/>
    <x v="52"/>
    <x v="86"/>
    <x v="118"/>
    <x v="161"/>
    <x v="5"/>
  </r>
  <r>
    <x v="0"/>
    <x v="9"/>
    <x v="9"/>
    <x v="6"/>
    <x v="6"/>
    <x v="6"/>
    <x v="14"/>
    <x v="161"/>
    <x v="152"/>
    <x v="65"/>
    <x v="139"/>
    <x v="153"/>
    <x v="162"/>
    <x v="4"/>
  </r>
  <r>
    <x v="0"/>
    <x v="9"/>
    <x v="9"/>
    <x v="22"/>
    <x v="22"/>
    <x v="22"/>
    <x v="15"/>
    <x v="138"/>
    <x v="153"/>
    <x v="77"/>
    <x v="83"/>
    <x v="145"/>
    <x v="163"/>
    <x v="5"/>
  </r>
  <r>
    <x v="0"/>
    <x v="9"/>
    <x v="9"/>
    <x v="11"/>
    <x v="11"/>
    <x v="11"/>
    <x v="15"/>
    <x v="138"/>
    <x v="153"/>
    <x v="53"/>
    <x v="134"/>
    <x v="128"/>
    <x v="159"/>
    <x v="5"/>
  </r>
  <r>
    <x v="0"/>
    <x v="9"/>
    <x v="9"/>
    <x v="26"/>
    <x v="26"/>
    <x v="26"/>
    <x v="17"/>
    <x v="162"/>
    <x v="35"/>
    <x v="52"/>
    <x v="86"/>
    <x v="131"/>
    <x v="37"/>
    <x v="5"/>
  </r>
  <r>
    <x v="0"/>
    <x v="9"/>
    <x v="9"/>
    <x v="21"/>
    <x v="21"/>
    <x v="21"/>
    <x v="18"/>
    <x v="163"/>
    <x v="137"/>
    <x v="64"/>
    <x v="135"/>
    <x v="131"/>
    <x v="37"/>
    <x v="5"/>
  </r>
  <r>
    <x v="0"/>
    <x v="9"/>
    <x v="9"/>
    <x v="14"/>
    <x v="14"/>
    <x v="14"/>
    <x v="19"/>
    <x v="164"/>
    <x v="154"/>
    <x v="48"/>
    <x v="36"/>
    <x v="128"/>
    <x v="159"/>
    <x v="5"/>
  </r>
  <r>
    <x v="0"/>
    <x v="10"/>
    <x v="10"/>
    <x v="1"/>
    <x v="1"/>
    <x v="1"/>
    <x v="0"/>
    <x v="165"/>
    <x v="155"/>
    <x v="112"/>
    <x v="140"/>
    <x v="154"/>
    <x v="164"/>
    <x v="5"/>
  </r>
  <r>
    <x v="0"/>
    <x v="10"/>
    <x v="10"/>
    <x v="2"/>
    <x v="2"/>
    <x v="2"/>
    <x v="1"/>
    <x v="103"/>
    <x v="156"/>
    <x v="109"/>
    <x v="141"/>
    <x v="143"/>
    <x v="165"/>
    <x v="5"/>
  </r>
  <r>
    <x v="0"/>
    <x v="10"/>
    <x v="10"/>
    <x v="0"/>
    <x v="0"/>
    <x v="0"/>
    <x v="2"/>
    <x v="166"/>
    <x v="157"/>
    <x v="113"/>
    <x v="142"/>
    <x v="155"/>
    <x v="166"/>
    <x v="5"/>
  </r>
  <r>
    <x v="0"/>
    <x v="10"/>
    <x v="10"/>
    <x v="5"/>
    <x v="5"/>
    <x v="5"/>
    <x v="3"/>
    <x v="104"/>
    <x v="158"/>
    <x v="92"/>
    <x v="143"/>
    <x v="116"/>
    <x v="167"/>
    <x v="5"/>
  </r>
  <r>
    <x v="0"/>
    <x v="10"/>
    <x v="10"/>
    <x v="4"/>
    <x v="4"/>
    <x v="4"/>
    <x v="4"/>
    <x v="88"/>
    <x v="60"/>
    <x v="38"/>
    <x v="144"/>
    <x v="156"/>
    <x v="168"/>
    <x v="5"/>
  </r>
  <r>
    <x v="0"/>
    <x v="10"/>
    <x v="10"/>
    <x v="7"/>
    <x v="7"/>
    <x v="7"/>
    <x v="5"/>
    <x v="129"/>
    <x v="159"/>
    <x v="114"/>
    <x v="145"/>
    <x v="157"/>
    <x v="149"/>
    <x v="5"/>
  </r>
  <r>
    <x v="0"/>
    <x v="10"/>
    <x v="10"/>
    <x v="8"/>
    <x v="8"/>
    <x v="8"/>
    <x v="6"/>
    <x v="149"/>
    <x v="160"/>
    <x v="96"/>
    <x v="146"/>
    <x v="158"/>
    <x v="169"/>
    <x v="5"/>
  </r>
  <r>
    <x v="0"/>
    <x v="10"/>
    <x v="10"/>
    <x v="3"/>
    <x v="3"/>
    <x v="3"/>
    <x v="7"/>
    <x v="167"/>
    <x v="161"/>
    <x v="115"/>
    <x v="147"/>
    <x v="159"/>
    <x v="170"/>
    <x v="5"/>
  </r>
  <r>
    <x v="0"/>
    <x v="10"/>
    <x v="10"/>
    <x v="9"/>
    <x v="9"/>
    <x v="9"/>
    <x v="8"/>
    <x v="93"/>
    <x v="162"/>
    <x v="116"/>
    <x v="148"/>
    <x v="153"/>
    <x v="104"/>
    <x v="5"/>
  </r>
  <r>
    <x v="0"/>
    <x v="10"/>
    <x v="10"/>
    <x v="11"/>
    <x v="11"/>
    <x v="11"/>
    <x v="9"/>
    <x v="95"/>
    <x v="163"/>
    <x v="74"/>
    <x v="149"/>
    <x v="82"/>
    <x v="171"/>
    <x v="5"/>
  </r>
  <r>
    <x v="0"/>
    <x v="10"/>
    <x v="10"/>
    <x v="12"/>
    <x v="12"/>
    <x v="12"/>
    <x v="10"/>
    <x v="157"/>
    <x v="164"/>
    <x v="58"/>
    <x v="56"/>
    <x v="91"/>
    <x v="172"/>
    <x v="5"/>
  </r>
  <r>
    <x v="0"/>
    <x v="10"/>
    <x v="10"/>
    <x v="25"/>
    <x v="25"/>
    <x v="25"/>
    <x v="11"/>
    <x v="168"/>
    <x v="95"/>
    <x v="85"/>
    <x v="150"/>
    <x v="160"/>
    <x v="173"/>
    <x v="5"/>
  </r>
  <r>
    <x v="0"/>
    <x v="10"/>
    <x v="10"/>
    <x v="6"/>
    <x v="6"/>
    <x v="6"/>
    <x v="12"/>
    <x v="169"/>
    <x v="165"/>
    <x v="110"/>
    <x v="151"/>
    <x v="150"/>
    <x v="131"/>
    <x v="5"/>
  </r>
  <r>
    <x v="0"/>
    <x v="10"/>
    <x v="10"/>
    <x v="10"/>
    <x v="10"/>
    <x v="10"/>
    <x v="13"/>
    <x v="160"/>
    <x v="166"/>
    <x v="117"/>
    <x v="152"/>
    <x v="134"/>
    <x v="174"/>
    <x v="5"/>
  </r>
  <r>
    <x v="0"/>
    <x v="10"/>
    <x v="10"/>
    <x v="14"/>
    <x v="14"/>
    <x v="14"/>
    <x v="13"/>
    <x v="160"/>
    <x v="166"/>
    <x v="48"/>
    <x v="66"/>
    <x v="122"/>
    <x v="68"/>
    <x v="4"/>
  </r>
  <r>
    <x v="0"/>
    <x v="10"/>
    <x v="10"/>
    <x v="19"/>
    <x v="19"/>
    <x v="19"/>
    <x v="15"/>
    <x v="161"/>
    <x v="98"/>
    <x v="50"/>
    <x v="153"/>
    <x v="109"/>
    <x v="146"/>
    <x v="5"/>
  </r>
  <r>
    <x v="0"/>
    <x v="10"/>
    <x v="10"/>
    <x v="16"/>
    <x v="16"/>
    <x v="16"/>
    <x v="16"/>
    <x v="139"/>
    <x v="167"/>
    <x v="48"/>
    <x v="66"/>
    <x v="136"/>
    <x v="37"/>
    <x v="5"/>
  </r>
  <r>
    <x v="0"/>
    <x v="10"/>
    <x v="10"/>
    <x v="13"/>
    <x v="13"/>
    <x v="13"/>
    <x v="17"/>
    <x v="140"/>
    <x v="115"/>
    <x v="82"/>
    <x v="154"/>
    <x v="150"/>
    <x v="131"/>
    <x v="5"/>
  </r>
  <r>
    <x v="0"/>
    <x v="10"/>
    <x v="10"/>
    <x v="26"/>
    <x v="26"/>
    <x v="26"/>
    <x v="17"/>
    <x v="140"/>
    <x v="115"/>
    <x v="48"/>
    <x v="66"/>
    <x v="153"/>
    <x v="104"/>
    <x v="5"/>
  </r>
  <r>
    <x v="0"/>
    <x v="10"/>
    <x v="10"/>
    <x v="21"/>
    <x v="21"/>
    <x v="21"/>
    <x v="19"/>
    <x v="162"/>
    <x v="55"/>
    <x v="51"/>
    <x v="155"/>
    <x v="128"/>
    <x v="175"/>
    <x v="5"/>
  </r>
  <r>
    <x v="0"/>
    <x v="11"/>
    <x v="11"/>
    <x v="1"/>
    <x v="1"/>
    <x v="1"/>
    <x v="0"/>
    <x v="85"/>
    <x v="168"/>
    <x v="118"/>
    <x v="156"/>
    <x v="82"/>
    <x v="176"/>
    <x v="5"/>
  </r>
  <r>
    <x v="0"/>
    <x v="11"/>
    <x v="11"/>
    <x v="2"/>
    <x v="2"/>
    <x v="2"/>
    <x v="1"/>
    <x v="58"/>
    <x v="169"/>
    <x v="119"/>
    <x v="157"/>
    <x v="161"/>
    <x v="177"/>
    <x v="5"/>
  </r>
  <r>
    <x v="0"/>
    <x v="11"/>
    <x v="11"/>
    <x v="0"/>
    <x v="0"/>
    <x v="0"/>
    <x v="2"/>
    <x v="170"/>
    <x v="170"/>
    <x v="120"/>
    <x v="158"/>
    <x v="150"/>
    <x v="178"/>
    <x v="5"/>
  </r>
  <r>
    <x v="0"/>
    <x v="11"/>
    <x v="11"/>
    <x v="5"/>
    <x v="5"/>
    <x v="5"/>
    <x v="3"/>
    <x v="70"/>
    <x v="171"/>
    <x v="70"/>
    <x v="159"/>
    <x v="162"/>
    <x v="39"/>
    <x v="5"/>
  </r>
  <r>
    <x v="0"/>
    <x v="11"/>
    <x v="11"/>
    <x v="4"/>
    <x v="4"/>
    <x v="4"/>
    <x v="4"/>
    <x v="106"/>
    <x v="172"/>
    <x v="52"/>
    <x v="160"/>
    <x v="116"/>
    <x v="179"/>
    <x v="5"/>
  </r>
  <r>
    <x v="0"/>
    <x v="11"/>
    <x v="11"/>
    <x v="8"/>
    <x v="8"/>
    <x v="8"/>
    <x v="5"/>
    <x v="171"/>
    <x v="173"/>
    <x v="50"/>
    <x v="161"/>
    <x v="62"/>
    <x v="180"/>
    <x v="5"/>
  </r>
  <r>
    <x v="0"/>
    <x v="11"/>
    <x v="11"/>
    <x v="3"/>
    <x v="3"/>
    <x v="3"/>
    <x v="6"/>
    <x v="107"/>
    <x v="174"/>
    <x v="111"/>
    <x v="162"/>
    <x v="111"/>
    <x v="181"/>
    <x v="5"/>
  </r>
  <r>
    <x v="0"/>
    <x v="11"/>
    <x v="11"/>
    <x v="9"/>
    <x v="9"/>
    <x v="9"/>
    <x v="7"/>
    <x v="172"/>
    <x v="175"/>
    <x v="121"/>
    <x v="163"/>
    <x v="150"/>
    <x v="178"/>
    <x v="5"/>
  </r>
  <r>
    <x v="0"/>
    <x v="11"/>
    <x v="11"/>
    <x v="7"/>
    <x v="7"/>
    <x v="7"/>
    <x v="8"/>
    <x v="108"/>
    <x v="24"/>
    <x v="122"/>
    <x v="164"/>
    <x v="135"/>
    <x v="182"/>
    <x v="5"/>
  </r>
  <r>
    <x v="0"/>
    <x v="11"/>
    <x v="11"/>
    <x v="11"/>
    <x v="11"/>
    <x v="11"/>
    <x v="9"/>
    <x v="131"/>
    <x v="176"/>
    <x v="34"/>
    <x v="165"/>
    <x v="147"/>
    <x v="183"/>
    <x v="5"/>
  </r>
  <r>
    <x v="0"/>
    <x v="11"/>
    <x v="11"/>
    <x v="10"/>
    <x v="10"/>
    <x v="10"/>
    <x v="10"/>
    <x v="156"/>
    <x v="134"/>
    <x v="37"/>
    <x v="166"/>
    <x v="150"/>
    <x v="178"/>
    <x v="5"/>
  </r>
  <r>
    <x v="0"/>
    <x v="11"/>
    <x v="11"/>
    <x v="12"/>
    <x v="12"/>
    <x v="12"/>
    <x v="11"/>
    <x v="173"/>
    <x v="177"/>
    <x v="58"/>
    <x v="167"/>
    <x v="148"/>
    <x v="184"/>
    <x v="5"/>
  </r>
  <r>
    <x v="0"/>
    <x v="11"/>
    <x v="11"/>
    <x v="25"/>
    <x v="25"/>
    <x v="25"/>
    <x v="12"/>
    <x v="159"/>
    <x v="178"/>
    <x v="84"/>
    <x v="168"/>
    <x v="163"/>
    <x v="185"/>
    <x v="5"/>
  </r>
  <r>
    <x v="0"/>
    <x v="11"/>
    <x v="11"/>
    <x v="6"/>
    <x v="6"/>
    <x v="6"/>
    <x v="13"/>
    <x v="160"/>
    <x v="179"/>
    <x v="78"/>
    <x v="169"/>
    <x v="164"/>
    <x v="186"/>
    <x v="5"/>
  </r>
  <r>
    <x v="0"/>
    <x v="11"/>
    <x v="11"/>
    <x v="14"/>
    <x v="14"/>
    <x v="14"/>
    <x v="14"/>
    <x v="174"/>
    <x v="51"/>
    <x v="77"/>
    <x v="83"/>
    <x v="145"/>
    <x v="73"/>
    <x v="4"/>
  </r>
  <r>
    <x v="0"/>
    <x v="11"/>
    <x v="11"/>
    <x v="23"/>
    <x v="23"/>
    <x v="23"/>
    <x v="15"/>
    <x v="140"/>
    <x v="180"/>
    <x v="52"/>
    <x v="160"/>
    <x v="109"/>
    <x v="120"/>
    <x v="5"/>
  </r>
  <r>
    <x v="0"/>
    <x v="11"/>
    <x v="11"/>
    <x v="19"/>
    <x v="19"/>
    <x v="19"/>
    <x v="16"/>
    <x v="162"/>
    <x v="15"/>
    <x v="53"/>
    <x v="170"/>
    <x v="135"/>
    <x v="182"/>
    <x v="5"/>
  </r>
  <r>
    <x v="0"/>
    <x v="11"/>
    <x v="11"/>
    <x v="13"/>
    <x v="13"/>
    <x v="13"/>
    <x v="17"/>
    <x v="163"/>
    <x v="71"/>
    <x v="82"/>
    <x v="171"/>
    <x v="165"/>
    <x v="29"/>
    <x v="5"/>
  </r>
  <r>
    <x v="0"/>
    <x v="11"/>
    <x v="11"/>
    <x v="16"/>
    <x v="16"/>
    <x v="16"/>
    <x v="18"/>
    <x v="175"/>
    <x v="181"/>
    <x v="52"/>
    <x v="160"/>
    <x v="150"/>
    <x v="178"/>
    <x v="5"/>
  </r>
  <r>
    <x v="0"/>
    <x v="11"/>
    <x v="11"/>
    <x v="15"/>
    <x v="15"/>
    <x v="15"/>
    <x v="19"/>
    <x v="164"/>
    <x v="54"/>
    <x v="77"/>
    <x v="83"/>
    <x v="131"/>
    <x v="187"/>
    <x v="5"/>
  </r>
  <r>
    <x v="0"/>
    <x v="12"/>
    <x v="12"/>
    <x v="0"/>
    <x v="0"/>
    <x v="0"/>
    <x v="0"/>
    <x v="176"/>
    <x v="182"/>
    <x v="123"/>
    <x v="172"/>
    <x v="138"/>
    <x v="97"/>
    <x v="5"/>
  </r>
  <r>
    <x v="0"/>
    <x v="12"/>
    <x v="12"/>
    <x v="1"/>
    <x v="1"/>
    <x v="1"/>
    <x v="1"/>
    <x v="177"/>
    <x v="183"/>
    <x v="124"/>
    <x v="173"/>
    <x v="166"/>
    <x v="188"/>
    <x v="5"/>
  </r>
  <r>
    <x v="0"/>
    <x v="12"/>
    <x v="12"/>
    <x v="2"/>
    <x v="2"/>
    <x v="2"/>
    <x v="2"/>
    <x v="178"/>
    <x v="184"/>
    <x v="125"/>
    <x v="174"/>
    <x v="167"/>
    <x v="189"/>
    <x v="5"/>
  </r>
  <r>
    <x v="0"/>
    <x v="12"/>
    <x v="12"/>
    <x v="3"/>
    <x v="3"/>
    <x v="3"/>
    <x v="3"/>
    <x v="179"/>
    <x v="185"/>
    <x v="126"/>
    <x v="175"/>
    <x v="168"/>
    <x v="190"/>
    <x v="5"/>
  </r>
  <r>
    <x v="0"/>
    <x v="12"/>
    <x v="12"/>
    <x v="6"/>
    <x v="6"/>
    <x v="6"/>
    <x v="4"/>
    <x v="180"/>
    <x v="186"/>
    <x v="127"/>
    <x v="176"/>
    <x v="169"/>
    <x v="191"/>
    <x v="5"/>
  </r>
  <r>
    <x v="0"/>
    <x v="12"/>
    <x v="12"/>
    <x v="4"/>
    <x v="4"/>
    <x v="4"/>
    <x v="5"/>
    <x v="181"/>
    <x v="187"/>
    <x v="121"/>
    <x v="177"/>
    <x v="170"/>
    <x v="192"/>
    <x v="5"/>
  </r>
  <r>
    <x v="0"/>
    <x v="12"/>
    <x v="12"/>
    <x v="5"/>
    <x v="5"/>
    <x v="5"/>
    <x v="6"/>
    <x v="182"/>
    <x v="188"/>
    <x v="128"/>
    <x v="178"/>
    <x v="171"/>
    <x v="193"/>
    <x v="5"/>
  </r>
  <r>
    <x v="0"/>
    <x v="12"/>
    <x v="12"/>
    <x v="8"/>
    <x v="8"/>
    <x v="8"/>
    <x v="7"/>
    <x v="183"/>
    <x v="134"/>
    <x v="63"/>
    <x v="179"/>
    <x v="172"/>
    <x v="194"/>
    <x v="5"/>
  </r>
  <r>
    <x v="0"/>
    <x v="12"/>
    <x v="12"/>
    <x v="7"/>
    <x v="7"/>
    <x v="7"/>
    <x v="8"/>
    <x v="184"/>
    <x v="189"/>
    <x v="129"/>
    <x v="180"/>
    <x v="86"/>
    <x v="195"/>
    <x v="5"/>
  </r>
  <r>
    <x v="0"/>
    <x v="12"/>
    <x v="12"/>
    <x v="9"/>
    <x v="9"/>
    <x v="9"/>
    <x v="9"/>
    <x v="185"/>
    <x v="190"/>
    <x v="130"/>
    <x v="181"/>
    <x v="147"/>
    <x v="9"/>
    <x v="4"/>
  </r>
  <r>
    <x v="0"/>
    <x v="12"/>
    <x v="12"/>
    <x v="11"/>
    <x v="11"/>
    <x v="11"/>
    <x v="10"/>
    <x v="85"/>
    <x v="191"/>
    <x v="108"/>
    <x v="182"/>
    <x v="105"/>
    <x v="196"/>
    <x v="5"/>
  </r>
  <r>
    <x v="0"/>
    <x v="12"/>
    <x v="12"/>
    <x v="10"/>
    <x v="10"/>
    <x v="10"/>
    <x v="11"/>
    <x v="186"/>
    <x v="192"/>
    <x v="60"/>
    <x v="183"/>
    <x v="144"/>
    <x v="197"/>
    <x v="5"/>
  </r>
  <r>
    <x v="0"/>
    <x v="12"/>
    <x v="12"/>
    <x v="12"/>
    <x v="12"/>
    <x v="12"/>
    <x v="12"/>
    <x v="187"/>
    <x v="193"/>
    <x v="131"/>
    <x v="8"/>
    <x v="117"/>
    <x v="12"/>
    <x v="5"/>
  </r>
  <r>
    <x v="0"/>
    <x v="12"/>
    <x v="12"/>
    <x v="14"/>
    <x v="14"/>
    <x v="14"/>
    <x v="13"/>
    <x v="148"/>
    <x v="34"/>
    <x v="64"/>
    <x v="63"/>
    <x v="156"/>
    <x v="107"/>
    <x v="11"/>
  </r>
  <r>
    <x v="0"/>
    <x v="12"/>
    <x v="12"/>
    <x v="13"/>
    <x v="13"/>
    <x v="13"/>
    <x v="14"/>
    <x v="104"/>
    <x v="194"/>
    <x v="132"/>
    <x v="184"/>
    <x v="173"/>
    <x v="104"/>
    <x v="5"/>
  </r>
  <r>
    <x v="0"/>
    <x v="12"/>
    <x v="12"/>
    <x v="18"/>
    <x v="18"/>
    <x v="18"/>
    <x v="15"/>
    <x v="188"/>
    <x v="52"/>
    <x v="58"/>
    <x v="185"/>
    <x v="88"/>
    <x v="83"/>
    <x v="5"/>
  </r>
  <r>
    <x v="0"/>
    <x v="12"/>
    <x v="12"/>
    <x v="15"/>
    <x v="15"/>
    <x v="15"/>
    <x v="15"/>
    <x v="188"/>
    <x v="52"/>
    <x v="51"/>
    <x v="66"/>
    <x v="156"/>
    <x v="107"/>
    <x v="5"/>
  </r>
  <r>
    <x v="0"/>
    <x v="12"/>
    <x v="12"/>
    <x v="19"/>
    <x v="19"/>
    <x v="19"/>
    <x v="17"/>
    <x v="72"/>
    <x v="38"/>
    <x v="122"/>
    <x v="169"/>
    <x v="147"/>
    <x v="9"/>
    <x v="5"/>
  </r>
  <r>
    <x v="0"/>
    <x v="12"/>
    <x v="12"/>
    <x v="27"/>
    <x v="27"/>
    <x v="27"/>
    <x v="18"/>
    <x v="189"/>
    <x v="16"/>
    <x v="122"/>
    <x v="169"/>
    <x v="154"/>
    <x v="198"/>
    <x v="5"/>
  </r>
  <r>
    <x v="0"/>
    <x v="12"/>
    <x v="12"/>
    <x v="16"/>
    <x v="16"/>
    <x v="16"/>
    <x v="19"/>
    <x v="190"/>
    <x v="85"/>
    <x v="92"/>
    <x v="186"/>
    <x v="174"/>
    <x v="199"/>
    <x v="5"/>
  </r>
  <r>
    <x v="0"/>
    <x v="13"/>
    <x v="13"/>
    <x v="0"/>
    <x v="0"/>
    <x v="0"/>
    <x v="0"/>
    <x v="191"/>
    <x v="195"/>
    <x v="133"/>
    <x v="187"/>
    <x v="158"/>
    <x v="200"/>
    <x v="5"/>
  </r>
  <r>
    <x v="0"/>
    <x v="13"/>
    <x v="13"/>
    <x v="1"/>
    <x v="1"/>
    <x v="1"/>
    <x v="1"/>
    <x v="192"/>
    <x v="196"/>
    <x v="134"/>
    <x v="188"/>
    <x v="147"/>
    <x v="119"/>
    <x v="5"/>
  </r>
  <r>
    <x v="0"/>
    <x v="13"/>
    <x v="13"/>
    <x v="3"/>
    <x v="3"/>
    <x v="3"/>
    <x v="2"/>
    <x v="193"/>
    <x v="197"/>
    <x v="135"/>
    <x v="189"/>
    <x v="175"/>
    <x v="201"/>
    <x v="5"/>
  </r>
  <r>
    <x v="0"/>
    <x v="13"/>
    <x v="13"/>
    <x v="6"/>
    <x v="6"/>
    <x v="6"/>
    <x v="3"/>
    <x v="53"/>
    <x v="198"/>
    <x v="104"/>
    <x v="190"/>
    <x v="176"/>
    <x v="77"/>
    <x v="4"/>
  </r>
  <r>
    <x v="0"/>
    <x v="13"/>
    <x v="13"/>
    <x v="4"/>
    <x v="4"/>
    <x v="4"/>
    <x v="4"/>
    <x v="148"/>
    <x v="24"/>
    <x v="66"/>
    <x v="191"/>
    <x v="141"/>
    <x v="202"/>
    <x v="5"/>
  </r>
  <r>
    <x v="0"/>
    <x v="13"/>
    <x v="13"/>
    <x v="2"/>
    <x v="2"/>
    <x v="2"/>
    <x v="5"/>
    <x v="104"/>
    <x v="199"/>
    <x v="66"/>
    <x v="191"/>
    <x v="106"/>
    <x v="203"/>
    <x v="5"/>
  </r>
  <r>
    <x v="0"/>
    <x v="13"/>
    <x v="13"/>
    <x v="7"/>
    <x v="7"/>
    <x v="7"/>
    <x v="6"/>
    <x v="87"/>
    <x v="200"/>
    <x v="136"/>
    <x v="192"/>
    <x v="134"/>
    <x v="204"/>
    <x v="5"/>
  </r>
  <r>
    <x v="0"/>
    <x v="13"/>
    <x v="13"/>
    <x v="5"/>
    <x v="5"/>
    <x v="5"/>
    <x v="7"/>
    <x v="155"/>
    <x v="201"/>
    <x v="137"/>
    <x v="193"/>
    <x v="177"/>
    <x v="205"/>
    <x v="5"/>
  </r>
  <r>
    <x v="0"/>
    <x v="13"/>
    <x v="13"/>
    <x v="13"/>
    <x v="13"/>
    <x v="13"/>
    <x v="8"/>
    <x v="90"/>
    <x v="202"/>
    <x v="37"/>
    <x v="178"/>
    <x v="94"/>
    <x v="206"/>
    <x v="5"/>
  </r>
  <r>
    <x v="0"/>
    <x v="13"/>
    <x v="13"/>
    <x v="11"/>
    <x v="11"/>
    <x v="11"/>
    <x v="9"/>
    <x v="151"/>
    <x v="203"/>
    <x v="39"/>
    <x v="194"/>
    <x v="95"/>
    <x v="207"/>
    <x v="5"/>
  </r>
  <r>
    <x v="0"/>
    <x v="13"/>
    <x v="13"/>
    <x v="9"/>
    <x v="9"/>
    <x v="9"/>
    <x v="10"/>
    <x v="130"/>
    <x v="204"/>
    <x v="85"/>
    <x v="195"/>
    <x v="165"/>
    <x v="208"/>
    <x v="10"/>
  </r>
  <r>
    <x v="0"/>
    <x v="13"/>
    <x v="13"/>
    <x v="8"/>
    <x v="8"/>
    <x v="8"/>
    <x v="11"/>
    <x v="109"/>
    <x v="205"/>
    <x v="50"/>
    <x v="113"/>
    <x v="89"/>
    <x v="209"/>
    <x v="5"/>
  </r>
  <r>
    <x v="0"/>
    <x v="13"/>
    <x v="13"/>
    <x v="18"/>
    <x v="18"/>
    <x v="18"/>
    <x v="12"/>
    <x v="194"/>
    <x v="206"/>
    <x v="96"/>
    <x v="196"/>
    <x v="77"/>
    <x v="210"/>
    <x v="5"/>
  </r>
  <r>
    <x v="0"/>
    <x v="13"/>
    <x v="13"/>
    <x v="17"/>
    <x v="17"/>
    <x v="17"/>
    <x v="13"/>
    <x v="195"/>
    <x v="207"/>
    <x v="65"/>
    <x v="185"/>
    <x v="67"/>
    <x v="211"/>
    <x v="5"/>
  </r>
  <r>
    <x v="0"/>
    <x v="13"/>
    <x v="13"/>
    <x v="14"/>
    <x v="14"/>
    <x v="14"/>
    <x v="14"/>
    <x v="196"/>
    <x v="36"/>
    <x v="77"/>
    <x v="83"/>
    <x v="147"/>
    <x v="119"/>
    <x v="5"/>
  </r>
  <r>
    <x v="0"/>
    <x v="13"/>
    <x v="13"/>
    <x v="10"/>
    <x v="10"/>
    <x v="10"/>
    <x v="15"/>
    <x v="124"/>
    <x v="180"/>
    <x v="138"/>
    <x v="152"/>
    <x v="157"/>
    <x v="212"/>
    <x v="5"/>
  </r>
  <r>
    <x v="0"/>
    <x v="13"/>
    <x v="13"/>
    <x v="16"/>
    <x v="16"/>
    <x v="16"/>
    <x v="16"/>
    <x v="133"/>
    <x v="208"/>
    <x v="52"/>
    <x v="197"/>
    <x v="130"/>
    <x v="57"/>
    <x v="5"/>
  </r>
  <r>
    <x v="0"/>
    <x v="13"/>
    <x v="13"/>
    <x v="28"/>
    <x v="28"/>
    <x v="28"/>
    <x v="17"/>
    <x v="197"/>
    <x v="209"/>
    <x v="50"/>
    <x v="113"/>
    <x v="122"/>
    <x v="213"/>
    <x v="4"/>
  </r>
  <r>
    <x v="0"/>
    <x v="13"/>
    <x v="13"/>
    <x v="12"/>
    <x v="12"/>
    <x v="12"/>
    <x v="18"/>
    <x v="198"/>
    <x v="18"/>
    <x v="70"/>
    <x v="198"/>
    <x v="153"/>
    <x v="62"/>
    <x v="5"/>
  </r>
  <r>
    <x v="0"/>
    <x v="13"/>
    <x v="13"/>
    <x v="15"/>
    <x v="15"/>
    <x v="15"/>
    <x v="19"/>
    <x v="160"/>
    <x v="210"/>
    <x v="64"/>
    <x v="75"/>
    <x v="122"/>
    <x v="213"/>
    <x v="5"/>
  </r>
  <r>
    <x v="0"/>
    <x v="14"/>
    <x v="14"/>
    <x v="0"/>
    <x v="0"/>
    <x v="0"/>
    <x v="0"/>
    <x v="199"/>
    <x v="211"/>
    <x v="139"/>
    <x v="199"/>
    <x v="178"/>
    <x v="164"/>
    <x v="4"/>
  </r>
  <r>
    <x v="0"/>
    <x v="14"/>
    <x v="14"/>
    <x v="1"/>
    <x v="1"/>
    <x v="1"/>
    <x v="1"/>
    <x v="200"/>
    <x v="212"/>
    <x v="140"/>
    <x v="200"/>
    <x v="179"/>
    <x v="49"/>
    <x v="5"/>
  </r>
  <r>
    <x v="0"/>
    <x v="14"/>
    <x v="14"/>
    <x v="2"/>
    <x v="2"/>
    <x v="2"/>
    <x v="2"/>
    <x v="201"/>
    <x v="213"/>
    <x v="141"/>
    <x v="201"/>
    <x v="180"/>
    <x v="214"/>
    <x v="5"/>
  </r>
  <r>
    <x v="0"/>
    <x v="14"/>
    <x v="14"/>
    <x v="3"/>
    <x v="3"/>
    <x v="3"/>
    <x v="3"/>
    <x v="202"/>
    <x v="214"/>
    <x v="142"/>
    <x v="202"/>
    <x v="181"/>
    <x v="109"/>
    <x v="5"/>
  </r>
  <r>
    <x v="0"/>
    <x v="14"/>
    <x v="14"/>
    <x v="4"/>
    <x v="4"/>
    <x v="4"/>
    <x v="4"/>
    <x v="203"/>
    <x v="22"/>
    <x v="85"/>
    <x v="62"/>
    <x v="182"/>
    <x v="215"/>
    <x v="5"/>
  </r>
  <r>
    <x v="0"/>
    <x v="14"/>
    <x v="14"/>
    <x v="5"/>
    <x v="5"/>
    <x v="5"/>
    <x v="5"/>
    <x v="204"/>
    <x v="215"/>
    <x v="143"/>
    <x v="203"/>
    <x v="183"/>
    <x v="216"/>
    <x v="5"/>
  </r>
  <r>
    <x v="0"/>
    <x v="14"/>
    <x v="14"/>
    <x v="7"/>
    <x v="7"/>
    <x v="7"/>
    <x v="6"/>
    <x v="98"/>
    <x v="216"/>
    <x v="80"/>
    <x v="204"/>
    <x v="149"/>
    <x v="9"/>
    <x v="5"/>
  </r>
  <r>
    <x v="0"/>
    <x v="14"/>
    <x v="14"/>
    <x v="8"/>
    <x v="8"/>
    <x v="8"/>
    <x v="7"/>
    <x v="82"/>
    <x v="93"/>
    <x v="91"/>
    <x v="170"/>
    <x v="184"/>
    <x v="217"/>
    <x v="5"/>
  </r>
  <r>
    <x v="0"/>
    <x v="14"/>
    <x v="14"/>
    <x v="11"/>
    <x v="11"/>
    <x v="11"/>
    <x v="8"/>
    <x v="205"/>
    <x v="217"/>
    <x v="144"/>
    <x v="205"/>
    <x v="47"/>
    <x v="22"/>
    <x v="5"/>
  </r>
  <r>
    <x v="0"/>
    <x v="14"/>
    <x v="14"/>
    <x v="6"/>
    <x v="6"/>
    <x v="6"/>
    <x v="9"/>
    <x v="206"/>
    <x v="107"/>
    <x v="113"/>
    <x v="206"/>
    <x v="71"/>
    <x v="218"/>
    <x v="5"/>
  </r>
  <r>
    <x v="0"/>
    <x v="14"/>
    <x v="14"/>
    <x v="13"/>
    <x v="13"/>
    <x v="13"/>
    <x v="10"/>
    <x v="207"/>
    <x v="218"/>
    <x v="145"/>
    <x v="207"/>
    <x v="104"/>
    <x v="219"/>
    <x v="5"/>
  </r>
  <r>
    <x v="0"/>
    <x v="14"/>
    <x v="14"/>
    <x v="9"/>
    <x v="9"/>
    <x v="9"/>
    <x v="11"/>
    <x v="208"/>
    <x v="178"/>
    <x v="146"/>
    <x v="208"/>
    <x v="154"/>
    <x v="7"/>
    <x v="4"/>
  </r>
  <r>
    <x v="0"/>
    <x v="14"/>
    <x v="14"/>
    <x v="10"/>
    <x v="10"/>
    <x v="10"/>
    <x v="12"/>
    <x v="85"/>
    <x v="219"/>
    <x v="147"/>
    <x v="209"/>
    <x v="95"/>
    <x v="76"/>
    <x v="5"/>
  </r>
  <r>
    <x v="0"/>
    <x v="14"/>
    <x v="14"/>
    <x v="14"/>
    <x v="14"/>
    <x v="14"/>
    <x v="13"/>
    <x v="209"/>
    <x v="220"/>
    <x v="51"/>
    <x v="210"/>
    <x v="185"/>
    <x v="220"/>
    <x v="5"/>
  </r>
  <r>
    <x v="0"/>
    <x v="14"/>
    <x v="14"/>
    <x v="12"/>
    <x v="12"/>
    <x v="12"/>
    <x v="14"/>
    <x v="67"/>
    <x v="84"/>
    <x v="148"/>
    <x v="19"/>
    <x v="141"/>
    <x v="221"/>
    <x v="5"/>
  </r>
  <r>
    <x v="0"/>
    <x v="14"/>
    <x v="14"/>
    <x v="15"/>
    <x v="15"/>
    <x v="15"/>
    <x v="15"/>
    <x v="210"/>
    <x v="114"/>
    <x v="58"/>
    <x v="17"/>
    <x v="186"/>
    <x v="222"/>
    <x v="5"/>
  </r>
  <r>
    <x v="0"/>
    <x v="14"/>
    <x v="14"/>
    <x v="16"/>
    <x v="16"/>
    <x v="16"/>
    <x v="16"/>
    <x v="211"/>
    <x v="221"/>
    <x v="117"/>
    <x v="58"/>
    <x v="187"/>
    <x v="17"/>
    <x v="5"/>
  </r>
  <r>
    <x v="0"/>
    <x v="14"/>
    <x v="14"/>
    <x v="20"/>
    <x v="20"/>
    <x v="20"/>
    <x v="16"/>
    <x v="211"/>
    <x v="221"/>
    <x v="52"/>
    <x v="211"/>
    <x v="188"/>
    <x v="12"/>
    <x v="5"/>
  </r>
  <r>
    <x v="0"/>
    <x v="14"/>
    <x v="14"/>
    <x v="17"/>
    <x v="17"/>
    <x v="17"/>
    <x v="18"/>
    <x v="106"/>
    <x v="167"/>
    <x v="65"/>
    <x v="66"/>
    <x v="141"/>
    <x v="221"/>
    <x v="5"/>
  </r>
  <r>
    <x v="0"/>
    <x v="14"/>
    <x v="14"/>
    <x v="27"/>
    <x v="27"/>
    <x v="27"/>
    <x v="19"/>
    <x v="73"/>
    <x v="140"/>
    <x v="149"/>
    <x v="126"/>
    <x v="91"/>
    <x v="223"/>
    <x v="5"/>
  </r>
  <r>
    <x v="0"/>
    <x v="15"/>
    <x v="15"/>
    <x v="0"/>
    <x v="0"/>
    <x v="0"/>
    <x v="0"/>
    <x v="212"/>
    <x v="222"/>
    <x v="150"/>
    <x v="212"/>
    <x v="103"/>
    <x v="33"/>
    <x v="5"/>
  </r>
  <r>
    <x v="0"/>
    <x v="15"/>
    <x v="15"/>
    <x v="1"/>
    <x v="1"/>
    <x v="1"/>
    <x v="1"/>
    <x v="207"/>
    <x v="223"/>
    <x v="30"/>
    <x v="213"/>
    <x v="103"/>
    <x v="33"/>
    <x v="5"/>
  </r>
  <r>
    <x v="0"/>
    <x v="15"/>
    <x v="15"/>
    <x v="2"/>
    <x v="2"/>
    <x v="2"/>
    <x v="2"/>
    <x v="213"/>
    <x v="224"/>
    <x v="114"/>
    <x v="214"/>
    <x v="62"/>
    <x v="75"/>
    <x v="4"/>
  </r>
  <r>
    <x v="0"/>
    <x v="15"/>
    <x v="15"/>
    <x v="3"/>
    <x v="3"/>
    <x v="3"/>
    <x v="3"/>
    <x v="214"/>
    <x v="225"/>
    <x v="151"/>
    <x v="215"/>
    <x v="158"/>
    <x v="224"/>
    <x v="5"/>
  </r>
  <r>
    <x v="0"/>
    <x v="15"/>
    <x v="15"/>
    <x v="6"/>
    <x v="6"/>
    <x v="6"/>
    <x v="4"/>
    <x v="149"/>
    <x v="226"/>
    <x v="151"/>
    <x v="215"/>
    <x v="121"/>
    <x v="225"/>
    <x v="5"/>
  </r>
  <r>
    <x v="0"/>
    <x v="15"/>
    <x v="15"/>
    <x v="4"/>
    <x v="4"/>
    <x v="4"/>
    <x v="5"/>
    <x v="119"/>
    <x v="227"/>
    <x v="78"/>
    <x v="216"/>
    <x v="62"/>
    <x v="75"/>
    <x v="5"/>
  </r>
  <r>
    <x v="0"/>
    <x v="15"/>
    <x v="15"/>
    <x v="5"/>
    <x v="5"/>
    <x v="5"/>
    <x v="6"/>
    <x v="215"/>
    <x v="228"/>
    <x v="57"/>
    <x v="152"/>
    <x v="120"/>
    <x v="226"/>
    <x v="5"/>
  </r>
  <r>
    <x v="0"/>
    <x v="15"/>
    <x v="15"/>
    <x v="8"/>
    <x v="8"/>
    <x v="8"/>
    <x v="7"/>
    <x v="75"/>
    <x v="229"/>
    <x v="50"/>
    <x v="154"/>
    <x v="173"/>
    <x v="227"/>
    <x v="5"/>
  </r>
  <r>
    <x v="0"/>
    <x v="15"/>
    <x v="15"/>
    <x v="7"/>
    <x v="7"/>
    <x v="7"/>
    <x v="8"/>
    <x v="216"/>
    <x v="151"/>
    <x v="91"/>
    <x v="217"/>
    <x v="189"/>
    <x v="228"/>
    <x v="5"/>
  </r>
  <r>
    <x v="0"/>
    <x v="15"/>
    <x v="15"/>
    <x v="11"/>
    <x v="11"/>
    <x v="11"/>
    <x v="9"/>
    <x v="168"/>
    <x v="192"/>
    <x v="74"/>
    <x v="218"/>
    <x v="133"/>
    <x v="229"/>
    <x v="5"/>
  </r>
  <r>
    <x v="0"/>
    <x v="15"/>
    <x v="15"/>
    <x v="17"/>
    <x v="17"/>
    <x v="17"/>
    <x v="10"/>
    <x v="169"/>
    <x v="230"/>
    <x v="64"/>
    <x v="50"/>
    <x v="154"/>
    <x v="230"/>
    <x v="5"/>
  </r>
  <r>
    <x v="0"/>
    <x v="15"/>
    <x v="15"/>
    <x v="15"/>
    <x v="15"/>
    <x v="15"/>
    <x v="10"/>
    <x v="169"/>
    <x v="230"/>
    <x v="52"/>
    <x v="219"/>
    <x v="82"/>
    <x v="231"/>
    <x v="5"/>
  </r>
  <r>
    <x v="0"/>
    <x v="15"/>
    <x v="15"/>
    <x v="13"/>
    <x v="13"/>
    <x v="13"/>
    <x v="12"/>
    <x v="154"/>
    <x v="219"/>
    <x v="34"/>
    <x v="220"/>
    <x v="145"/>
    <x v="232"/>
    <x v="5"/>
  </r>
  <r>
    <x v="0"/>
    <x v="15"/>
    <x v="15"/>
    <x v="9"/>
    <x v="9"/>
    <x v="9"/>
    <x v="13"/>
    <x v="133"/>
    <x v="220"/>
    <x v="69"/>
    <x v="221"/>
    <x v="157"/>
    <x v="233"/>
    <x v="5"/>
  </r>
  <r>
    <x v="0"/>
    <x v="15"/>
    <x v="15"/>
    <x v="10"/>
    <x v="10"/>
    <x v="10"/>
    <x v="14"/>
    <x v="217"/>
    <x v="84"/>
    <x v="152"/>
    <x v="222"/>
    <x v="190"/>
    <x v="234"/>
    <x v="5"/>
  </r>
  <r>
    <x v="0"/>
    <x v="15"/>
    <x v="15"/>
    <x v="24"/>
    <x v="24"/>
    <x v="24"/>
    <x v="15"/>
    <x v="160"/>
    <x v="37"/>
    <x v="65"/>
    <x v="135"/>
    <x v="191"/>
    <x v="235"/>
    <x v="5"/>
  </r>
  <r>
    <x v="0"/>
    <x v="15"/>
    <x v="15"/>
    <x v="12"/>
    <x v="12"/>
    <x v="12"/>
    <x v="16"/>
    <x v="218"/>
    <x v="154"/>
    <x v="96"/>
    <x v="223"/>
    <x v="128"/>
    <x v="236"/>
    <x v="5"/>
  </r>
  <r>
    <x v="0"/>
    <x v="15"/>
    <x v="15"/>
    <x v="14"/>
    <x v="14"/>
    <x v="14"/>
    <x v="17"/>
    <x v="137"/>
    <x v="231"/>
    <x v="48"/>
    <x v="51"/>
    <x v="145"/>
    <x v="232"/>
    <x v="5"/>
  </r>
  <r>
    <x v="0"/>
    <x v="15"/>
    <x v="15"/>
    <x v="29"/>
    <x v="29"/>
    <x v="29"/>
    <x v="18"/>
    <x v="174"/>
    <x v="232"/>
    <x v="96"/>
    <x v="223"/>
    <x v="150"/>
    <x v="178"/>
    <x v="5"/>
  </r>
  <r>
    <x v="0"/>
    <x v="15"/>
    <x v="15"/>
    <x v="16"/>
    <x v="16"/>
    <x v="16"/>
    <x v="19"/>
    <x v="139"/>
    <x v="233"/>
    <x v="82"/>
    <x v="224"/>
    <x v="128"/>
    <x v="236"/>
    <x v="5"/>
  </r>
  <r>
    <x v="0"/>
    <x v="16"/>
    <x v="16"/>
    <x v="0"/>
    <x v="0"/>
    <x v="0"/>
    <x v="0"/>
    <x v="219"/>
    <x v="234"/>
    <x v="124"/>
    <x v="225"/>
    <x v="192"/>
    <x v="145"/>
    <x v="4"/>
  </r>
  <r>
    <x v="0"/>
    <x v="16"/>
    <x v="16"/>
    <x v="1"/>
    <x v="1"/>
    <x v="1"/>
    <x v="1"/>
    <x v="220"/>
    <x v="235"/>
    <x v="153"/>
    <x v="226"/>
    <x v="193"/>
    <x v="237"/>
    <x v="5"/>
  </r>
  <r>
    <x v="0"/>
    <x v="16"/>
    <x v="16"/>
    <x v="2"/>
    <x v="2"/>
    <x v="2"/>
    <x v="2"/>
    <x v="221"/>
    <x v="236"/>
    <x v="86"/>
    <x v="227"/>
    <x v="142"/>
    <x v="238"/>
    <x v="5"/>
  </r>
  <r>
    <x v="0"/>
    <x v="16"/>
    <x v="16"/>
    <x v="3"/>
    <x v="3"/>
    <x v="3"/>
    <x v="3"/>
    <x v="83"/>
    <x v="237"/>
    <x v="154"/>
    <x v="228"/>
    <x v="194"/>
    <x v="239"/>
    <x v="5"/>
  </r>
  <r>
    <x v="0"/>
    <x v="16"/>
    <x v="16"/>
    <x v="4"/>
    <x v="4"/>
    <x v="4"/>
    <x v="4"/>
    <x v="222"/>
    <x v="238"/>
    <x v="76"/>
    <x v="57"/>
    <x v="194"/>
    <x v="239"/>
    <x v="5"/>
  </r>
  <r>
    <x v="0"/>
    <x v="16"/>
    <x v="16"/>
    <x v="5"/>
    <x v="5"/>
    <x v="5"/>
    <x v="5"/>
    <x v="223"/>
    <x v="239"/>
    <x v="85"/>
    <x v="143"/>
    <x v="195"/>
    <x v="240"/>
    <x v="5"/>
  </r>
  <r>
    <x v="0"/>
    <x v="16"/>
    <x v="16"/>
    <x v="6"/>
    <x v="6"/>
    <x v="6"/>
    <x v="6"/>
    <x v="224"/>
    <x v="240"/>
    <x v="155"/>
    <x v="229"/>
    <x v="192"/>
    <x v="145"/>
    <x v="5"/>
  </r>
  <r>
    <x v="0"/>
    <x v="16"/>
    <x v="16"/>
    <x v="8"/>
    <x v="8"/>
    <x v="8"/>
    <x v="7"/>
    <x v="166"/>
    <x v="217"/>
    <x v="115"/>
    <x v="230"/>
    <x v="176"/>
    <x v="241"/>
    <x v="5"/>
  </r>
  <r>
    <x v="0"/>
    <x v="16"/>
    <x v="16"/>
    <x v="11"/>
    <x v="11"/>
    <x v="11"/>
    <x v="8"/>
    <x v="225"/>
    <x v="46"/>
    <x v="156"/>
    <x v="231"/>
    <x v="196"/>
    <x v="41"/>
    <x v="5"/>
  </r>
  <r>
    <x v="0"/>
    <x v="16"/>
    <x v="16"/>
    <x v="9"/>
    <x v="9"/>
    <x v="9"/>
    <x v="9"/>
    <x v="147"/>
    <x v="107"/>
    <x v="136"/>
    <x v="232"/>
    <x v="145"/>
    <x v="19"/>
    <x v="4"/>
  </r>
  <r>
    <x v="0"/>
    <x v="16"/>
    <x v="16"/>
    <x v="7"/>
    <x v="7"/>
    <x v="7"/>
    <x v="10"/>
    <x v="105"/>
    <x v="151"/>
    <x v="157"/>
    <x v="233"/>
    <x v="197"/>
    <x v="242"/>
    <x v="5"/>
  </r>
  <r>
    <x v="0"/>
    <x v="16"/>
    <x v="16"/>
    <x v="12"/>
    <x v="12"/>
    <x v="12"/>
    <x v="11"/>
    <x v="226"/>
    <x v="230"/>
    <x v="98"/>
    <x v="234"/>
    <x v="159"/>
    <x v="46"/>
    <x v="5"/>
  </r>
  <r>
    <x v="0"/>
    <x v="16"/>
    <x v="16"/>
    <x v="14"/>
    <x v="14"/>
    <x v="14"/>
    <x v="12"/>
    <x v="150"/>
    <x v="34"/>
    <x v="48"/>
    <x v="235"/>
    <x v="45"/>
    <x v="22"/>
    <x v="10"/>
  </r>
  <r>
    <x v="0"/>
    <x v="16"/>
    <x v="16"/>
    <x v="15"/>
    <x v="15"/>
    <x v="15"/>
    <x v="13"/>
    <x v="227"/>
    <x v="241"/>
    <x v="53"/>
    <x v="219"/>
    <x v="97"/>
    <x v="243"/>
    <x v="5"/>
  </r>
  <r>
    <x v="0"/>
    <x v="16"/>
    <x v="16"/>
    <x v="13"/>
    <x v="13"/>
    <x v="13"/>
    <x v="13"/>
    <x v="227"/>
    <x v="241"/>
    <x v="137"/>
    <x v="236"/>
    <x v="151"/>
    <x v="244"/>
    <x v="5"/>
  </r>
  <r>
    <x v="0"/>
    <x v="16"/>
    <x v="16"/>
    <x v="10"/>
    <x v="10"/>
    <x v="10"/>
    <x v="15"/>
    <x v="172"/>
    <x v="242"/>
    <x v="109"/>
    <x v="95"/>
    <x v="155"/>
    <x v="9"/>
    <x v="5"/>
  </r>
  <r>
    <x v="0"/>
    <x v="16"/>
    <x v="16"/>
    <x v="27"/>
    <x v="27"/>
    <x v="27"/>
    <x v="15"/>
    <x v="172"/>
    <x v="242"/>
    <x v="158"/>
    <x v="237"/>
    <x v="86"/>
    <x v="245"/>
    <x v="5"/>
  </r>
  <r>
    <x v="0"/>
    <x v="16"/>
    <x v="16"/>
    <x v="17"/>
    <x v="17"/>
    <x v="17"/>
    <x v="17"/>
    <x v="130"/>
    <x v="15"/>
    <x v="51"/>
    <x v="52"/>
    <x v="94"/>
    <x v="15"/>
    <x v="5"/>
  </r>
  <r>
    <x v="0"/>
    <x v="16"/>
    <x v="16"/>
    <x v="16"/>
    <x v="16"/>
    <x v="16"/>
    <x v="18"/>
    <x v="132"/>
    <x v="85"/>
    <x v="82"/>
    <x v="36"/>
    <x v="149"/>
    <x v="13"/>
    <x v="5"/>
  </r>
  <r>
    <x v="0"/>
    <x v="16"/>
    <x v="16"/>
    <x v="30"/>
    <x v="30"/>
    <x v="30"/>
    <x v="19"/>
    <x v="122"/>
    <x v="54"/>
    <x v="63"/>
    <x v="238"/>
    <x v="153"/>
    <x v="246"/>
    <x v="5"/>
  </r>
  <r>
    <x v="0"/>
    <x v="17"/>
    <x v="17"/>
    <x v="0"/>
    <x v="0"/>
    <x v="0"/>
    <x v="0"/>
    <x v="228"/>
    <x v="243"/>
    <x v="124"/>
    <x v="239"/>
    <x v="68"/>
    <x v="209"/>
    <x v="10"/>
  </r>
  <r>
    <x v="0"/>
    <x v="17"/>
    <x v="17"/>
    <x v="1"/>
    <x v="1"/>
    <x v="1"/>
    <x v="1"/>
    <x v="229"/>
    <x v="244"/>
    <x v="159"/>
    <x v="240"/>
    <x v="158"/>
    <x v="247"/>
    <x v="5"/>
  </r>
  <r>
    <x v="0"/>
    <x v="17"/>
    <x v="17"/>
    <x v="2"/>
    <x v="2"/>
    <x v="2"/>
    <x v="2"/>
    <x v="230"/>
    <x v="158"/>
    <x v="35"/>
    <x v="241"/>
    <x v="198"/>
    <x v="248"/>
    <x v="5"/>
  </r>
  <r>
    <x v="0"/>
    <x v="17"/>
    <x v="17"/>
    <x v="3"/>
    <x v="3"/>
    <x v="3"/>
    <x v="3"/>
    <x v="231"/>
    <x v="245"/>
    <x v="160"/>
    <x v="242"/>
    <x v="50"/>
    <x v="3"/>
    <x v="5"/>
  </r>
  <r>
    <x v="0"/>
    <x v="17"/>
    <x v="17"/>
    <x v="4"/>
    <x v="4"/>
    <x v="4"/>
    <x v="4"/>
    <x v="232"/>
    <x v="246"/>
    <x v="131"/>
    <x v="243"/>
    <x v="199"/>
    <x v="249"/>
    <x v="5"/>
  </r>
  <r>
    <x v="0"/>
    <x v="17"/>
    <x v="17"/>
    <x v="5"/>
    <x v="5"/>
    <x v="5"/>
    <x v="5"/>
    <x v="165"/>
    <x v="105"/>
    <x v="60"/>
    <x v="244"/>
    <x v="200"/>
    <x v="250"/>
    <x v="5"/>
  </r>
  <r>
    <x v="0"/>
    <x v="17"/>
    <x v="17"/>
    <x v="7"/>
    <x v="7"/>
    <x v="7"/>
    <x v="6"/>
    <x v="213"/>
    <x v="79"/>
    <x v="161"/>
    <x v="245"/>
    <x v="150"/>
    <x v="251"/>
    <x v="5"/>
  </r>
  <r>
    <x v="0"/>
    <x v="17"/>
    <x v="17"/>
    <x v="8"/>
    <x v="8"/>
    <x v="8"/>
    <x v="7"/>
    <x v="233"/>
    <x v="247"/>
    <x v="137"/>
    <x v="246"/>
    <x v="115"/>
    <x v="252"/>
    <x v="5"/>
  </r>
  <r>
    <x v="0"/>
    <x v="17"/>
    <x v="17"/>
    <x v="9"/>
    <x v="9"/>
    <x v="9"/>
    <x v="8"/>
    <x v="144"/>
    <x v="239"/>
    <x v="35"/>
    <x v="241"/>
    <x v="148"/>
    <x v="253"/>
    <x v="5"/>
  </r>
  <r>
    <x v="0"/>
    <x v="17"/>
    <x v="17"/>
    <x v="6"/>
    <x v="6"/>
    <x v="6"/>
    <x v="9"/>
    <x v="147"/>
    <x v="203"/>
    <x v="151"/>
    <x v="194"/>
    <x v="79"/>
    <x v="254"/>
    <x v="5"/>
  </r>
  <r>
    <x v="0"/>
    <x v="17"/>
    <x v="17"/>
    <x v="13"/>
    <x v="13"/>
    <x v="13"/>
    <x v="10"/>
    <x v="234"/>
    <x v="248"/>
    <x v="158"/>
    <x v="247"/>
    <x v="201"/>
    <x v="255"/>
    <x v="5"/>
  </r>
  <r>
    <x v="0"/>
    <x v="17"/>
    <x v="17"/>
    <x v="11"/>
    <x v="11"/>
    <x v="11"/>
    <x v="11"/>
    <x v="235"/>
    <x v="178"/>
    <x v="106"/>
    <x v="231"/>
    <x v="72"/>
    <x v="14"/>
    <x v="5"/>
  </r>
  <r>
    <x v="0"/>
    <x v="17"/>
    <x v="17"/>
    <x v="12"/>
    <x v="12"/>
    <x v="12"/>
    <x v="12"/>
    <x v="236"/>
    <x v="249"/>
    <x v="46"/>
    <x v="167"/>
    <x v="72"/>
    <x v="14"/>
    <x v="5"/>
  </r>
  <r>
    <x v="0"/>
    <x v="17"/>
    <x v="17"/>
    <x v="10"/>
    <x v="10"/>
    <x v="10"/>
    <x v="13"/>
    <x v="105"/>
    <x v="136"/>
    <x v="49"/>
    <x v="248"/>
    <x v="91"/>
    <x v="86"/>
    <x v="4"/>
  </r>
  <r>
    <x v="0"/>
    <x v="17"/>
    <x v="17"/>
    <x v="15"/>
    <x v="15"/>
    <x v="15"/>
    <x v="14"/>
    <x v="90"/>
    <x v="193"/>
    <x v="82"/>
    <x v="36"/>
    <x v="74"/>
    <x v="171"/>
    <x v="5"/>
  </r>
  <r>
    <x v="0"/>
    <x v="17"/>
    <x v="17"/>
    <x v="16"/>
    <x v="16"/>
    <x v="16"/>
    <x v="15"/>
    <x v="150"/>
    <x v="166"/>
    <x v="38"/>
    <x v="249"/>
    <x v="173"/>
    <x v="256"/>
    <x v="5"/>
  </r>
  <r>
    <x v="0"/>
    <x v="17"/>
    <x v="17"/>
    <x v="27"/>
    <x v="27"/>
    <x v="27"/>
    <x v="16"/>
    <x v="76"/>
    <x v="37"/>
    <x v="106"/>
    <x v="231"/>
    <x v="155"/>
    <x v="257"/>
    <x v="5"/>
  </r>
  <r>
    <x v="0"/>
    <x v="17"/>
    <x v="17"/>
    <x v="17"/>
    <x v="17"/>
    <x v="17"/>
    <x v="17"/>
    <x v="109"/>
    <x v="115"/>
    <x v="82"/>
    <x v="36"/>
    <x v="113"/>
    <x v="148"/>
    <x v="5"/>
  </r>
  <r>
    <x v="0"/>
    <x v="17"/>
    <x v="17"/>
    <x v="14"/>
    <x v="14"/>
    <x v="14"/>
    <x v="18"/>
    <x v="237"/>
    <x v="54"/>
    <x v="64"/>
    <x v="211"/>
    <x v="110"/>
    <x v="52"/>
    <x v="4"/>
  </r>
  <r>
    <x v="0"/>
    <x v="17"/>
    <x v="17"/>
    <x v="24"/>
    <x v="24"/>
    <x v="24"/>
    <x v="19"/>
    <x v="110"/>
    <x v="125"/>
    <x v="70"/>
    <x v="250"/>
    <x v="108"/>
    <x v="120"/>
    <x v="5"/>
  </r>
  <r>
    <x v="0"/>
    <x v="18"/>
    <x v="18"/>
    <x v="0"/>
    <x v="0"/>
    <x v="0"/>
    <x v="0"/>
    <x v="238"/>
    <x v="250"/>
    <x v="162"/>
    <x v="251"/>
    <x v="119"/>
    <x v="258"/>
    <x v="4"/>
  </r>
  <r>
    <x v="0"/>
    <x v="18"/>
    <x v="18"/>
    <x v="1"/>
    <x v="1"/>
    <x v="1"/>
    <x v="1"/>
    <x v="239"/>
    <x v="251"/>
    <x v="163"/>
    <x v="252"/>
    <x v="154"/>
    <x v="107"/>
    <x v="5"/>
  </r>
  <r>
    <x v="0"/>
    <x v="18"/>
    <x v="18"/>
    <x v="2"/>
    <x v="2"/>
    <x v="2"/>
    <x v="2"/>
    <x v="240"/>
    <x v="252"/>
    <x v="73"/>
    <x v="253"/>
    <x v="202"/>
    <x v="3"/>
    <x v="5"/>
  </r>
  <r>
    <x v="0"/>
    <x v="18"/>
    <x v="18"/>
    <x v="3"/>
    <x v="3"/>
    <x v="3"/>
    <x v="3"/>
    <x v="241"/>
    <x v="3"/>
    <x v="49"/>
    <x v="254"/>
    <x v="203"/>
    <x v="259"/>
    <x v="5"/>
  </r>
  <r>
    <x v="0"/>
    <x v="18"/>
    <x v="18"/>
    <x v="4"/>
    <x v="4"/>
    <x v="4"/>
    <x v="4"/>
    <x v="235"/>
    <x v="23"/>
    <x v="34"/>
    <x v="255"/>
    <x v="204"/>
    <x v="260"/>
    <x v="5"/>
  </r>
  <r>
    <x v="0"/>
    <x v="18"/>
    <x v="18"/>
    <x v="5"/>
    <x v="5"/>
    <x v="5"/>
    <x v="5"/>
    <x v="242"/>
    <x v="253"/>
    <x v="14"/>
    <x v="256"/>
    <x v="97"/>
    <x v="261"/>
    <x v="5"/>
  </r>
  <r>
    <x v="0"/>
    <x v="18"/>
    <x v="18"/>
    <x v="6"/>
    <x v="6"/>
    <x v="6"/>
    <x v="6"/>
    <x v="119"/>
    <x v="45"/>
    <x v="109"/>
    <x v="257"/>
    <x v="205"/>
    <x v="98"/>
    <x v="5"/>
  </r>
  <r>
    <x v="0"/>
    <x v="18"/>
    <x v="18"/>
    <x v="13"/>
    <x v="13"/>
    <x v="13"/>
    <x v="7"/>
    <x v="167"/>
    <x v="254"/>
    <x v="131"/>
    <x v="258"/>
    <x v="89"/>
    <x v="262"/>
    <x v="5"/>
  </r>
  <r>
    <x v="0"/>
    <x v="18"/>
    <x v="18"/>
    <x v="7"/>
    <x v="7"/>
    <x v="7"/>
    <x v="8"/>
    <x v="171"/>
    <x v="255"/>
    <x v="128"/>
    <x v="7"/>
    <x v="206"/>
    <x v="263"/>
    <x v="5"/>
  </r>
  <r>
    <x v="0"/>
    <x v="18"/>
    <x v="18"/>
    <x v="14"/>
    <x v="14"/>
    <x v="14"/>
    <x v="9"/>
    <x v="243"/>
    <x v="256"/>
    <x v="77"/>
    <x v="83"/>
    <x v="207"/>
    <x v="97"/>
    <x v="10"/>
  </r>
  <r>
    <x v="0"/>
    <x v="18"/>
    <x v="18"/>
    <x v="8"/>
    <x v="8"/>
    <x v="8"/>
    <x v="10"/>
    <x v="75"/>
    <x v="9"/>
    <x v="76"/>
    <x v="259"/>
    <x v="94"/>
    <x v="264"/>
    <x v="5"/>
  </r>
  <r>
    <x v="0"/>
    <x v="18"/>
    <x v="18"/>
    <x v="11"/>
    <x v="11"/>
    <x v="11"/>
    <x v="10"/>
    <x v="75"/>
    <x v="9"/>
    <x v="37"/>
    <x v="260"/>
    <x v="205"/>
    <x v="98"/>
    <x v="5"/>
  </r>
  <r>
    <x v="0"/>
    <x v="18"/>
    <x v="18"/>
    <x v="15"/>
    <x v="15"/>
    <x v="15"/>
    <x v="12"/>
    <x v="237"/>
    <x v="257"/>
    <x v="82"/>
    <x v="250"/>
    <x v="120"/>
    <x v="265"/>
    <x v="5"/>
  </r>
  <r>
    <x v="0"/>
    <x v="18"/>
    <x v="18"/>
    <x v="16"/>
    <x v="16"/>
    <x v="16"/>
    <x v="13"/>
    <x v="156"/>
    <x v="83"/>
    <x v="78"/>
    <x v="261"/>
    <x v="121"/>
    <x v="210"/>
    <x v="5"/>
  </r>
  <r>
    <x v="0"/>
    <x v="18"/>
    <x v="18"/>
    <x v="9"/>
    <x v="9"/>
    <x v="9"/>
    <x v="13"/>
    <x v="156"/>
    <x v="83"/>
    <x v="97"/>
    <x v="262"/>
    <x v="165"/>
    <x v="149"/>
    <x v="5"/>
  </r>
  <r>
    <x v="0"/>
    <x v="18"/>
    <x v="18"/>
    <x v="12"/>
    <x v="12"/>
    <x v="12"/>
    <x v="15"/>
    <x v="158"/>
    <x v="137"/>
    <x v="31"/>
    <x v="45"/>
    <x v="122"/>
    <x v="120"/>
    <x v="5"/>
  </r>
  <r>
    <x v="0"/>
    <x v="18"/>
    <x v="18"/>
    <x v="17"/>
    <x v="17"/>
    <x v="17"/>
    <x v="16"/>
    <x v="124"/>
    <x v="258"/>
    <x v="96"/>
    <x v="196"/>
    <x v="86"/>
    <x v="162"/>
    <x v="5"/>
  </r>
  <r>
    <x v="0"/>
    <x v="18"/>
    <x v="18"/>
    <x v="10"/>
    <x v="10"/>
    <x v="10"/>
    <x v="17"/>
    <x v="154"/>
    <x v="154"/>
    <x v="39"/>
    <x v="263"/>
    <x v="208"/>
    <x v="266"/>
    <x v="5"/>
  </r>
  <r>
    <x v="0"/>
    <x v="18"/>
    <x v="18"/>
    <x v="29"/>
    <x v="29"/>
    <x v="29"/>
    <x v="18"/>
    <x v="217"/>
    <x v="209"/>
    <x v="31"/>
    <x v="45"/>
    <x v="109"/>
    <x v="267"/>
    <x v="5"/>
  </r>
  <r>
    <x v="0"/>
    <x v="18"/>
    <x v="18"/>
    <x v="30"/>
    <x v="30"/>
    <x v="30"/>
    <x v="19"/>
    <x v="244"/>
    <x v="54"/>
    <x v="66"/>
    <x v="177"/>
    <x v="134"/>
    <x v="268"/>
    <x v="5"/>
  </r>
  <r>
    <x v="0"/>
    <x v="18"/>
    <x v="18"/>
    <x v="27"/>
    <x v="27"/>
    <x v="27"/>
    <x v="19"/>
    <x v="244"/>
    <x v="54"/>
    <x v="31"/>
    <x v="45"/>
    <x v="131"/>
    <x v="113"/>
    <x v="5"/>
  </r>
  <r>
    <x v="0"/>
    <x v="19"/>
    <x v="19"/>
    <x v="1"/>
    <x v="1"/>
    <x v="1"/>
    <x v="0"/>
    <x v="160"/>
    <x v="259"/>
    <x v="97"/>
    <x v="264"/>
    <x v="163"/>
    <x v="269"/>
    <x v="10"/>
  </r>
  <r>
    <x v="0"/>
    <x v="19"/>
    <x v="19"/>
    <x v="3"/>
    <x v="3"/>
    <x v="3"/>
    <x v="1"/>
    <x v="138"/>
    <x v="260"/>
    <x v="111"/>
    <x v="265"/>
    <x v="157"/>
    <x v="270"/>
    <x v="5"/>
  </r>
  <r>
    <x v="0"/>
    <x v="19"/>
    <x v="19"/>
    <x v="0"/>
    <x v="0"/>
    <x v="0"/>
    <x v="2"/>
    <x v="139"/>
    <x v="261"/>
    <x v="69"/>
    <x v="266"/>
    <x v="209"/>
    <x v="255"/>
    <x v="5"/>
  </r>
  <r>
    <x v="0"/>
    <x v="19"/>
    <x v="19"/>
    <x v="6"/>
    <x v="6"/>
    <x v="6"/>
    <x v="3"/>
    <x v="245"/>
    <x v="262"/>
    <x v="70"/>
    <x v="267"/>
    <x v="197"/>
    <x v="271"/>
    <x v="5"/>
  </r>
  <r>
    <x v="0"/>
    <x v="19"/>
    <x v="19"/>
    <x v="14"/>
    <x v="14"/>
    <x v="14"/>
    <x v="4"/>
    <x v="246"/>
    <x v="263"/>
    <x v="77"/>
    <x v="83"/>
    <x v="197"/>
    <x v="271"/>
    <x v="5"/>
  </r>
  <r>
    <x v="0"/>
    <x v="19"/>
    <x v="19"/>
    <x v="4"/>
    <x v="4"/>
    <x v="4"/>
    <x v="5"/>
    <x v="247"/>
    <x v="247"/>
    <x v="48"/>
    <x v="268"/>
    <x v="189"/>
    <x v="272"/>
    <x v="5"/>
  </r>
  <r>
    <x v="0"/>
    <x v="19"/>
    <x v="19"/>
    <x v="27"/>
    <x v="27"/>
    <x v="27"/>
    <x v="6"/>
    <x v="248"/>
    <x v="264"/>
    <x v="65"/>
    <x v="269"/>
    <x v="160"/>
    <x v="19"/>
    <x v="5"/>
  </r>
  <r>
    <x v="0"/>
    <x v="19"/>
    <x v="19"/>
    <x v="8"/>
    <x v="8"/>
    <x v="8"/>
    <x v="7"/>
    <x v="249"/>
    <x v="48"/>
    <x v="77"/>
    <x v="83"/>
    <x v="210"/>
    <x v="273"/>
    <x v="5"/>
  </r>
  <r>
    <x v="0"/>
    <x v="19"/>
    <x v="19"/>
    <x v="11"/>
    <x v="11"/>
    <x v="11"/>
    <x v="7"/>
    <x v="249"/>
    <x v="48"/>
    <x v="64"/>
    <x v="270"/>
    <x v="209"/>
    <x v="255"/>
    <x v="5"/>
  </r>
  <r>
    <x v="0"/>
    <x v="19"/>
    <x v="19"/>
    <x v="7"/>
    <x v="7"/>
    <x v="7"/>
    <x v="7"/>
    <x v="249"/>
    <x v="48"/>
    <x v="65"/>
    <x v="269"/>
    <x v="211"/>
    <x v="274"/>
    <x v="5"/>
  </r>
  <r>
    <x v="0"/>
    <x v="19"/>
    <x v="19"/>
    <x v="13"/>
    <x v="13"/>
    <x v="13"/>
    <x v="10"/>
    <x v="250"/>
    <x v="265"/>
    <x v="51"/>
    <x v="271"/>
    <x v="211"/>
    <x v="274"/>
    <x v="5"/>
  </r>
  <r>
    <x v="0"/>
    <x v="19"/>
    <x v="19"/>
    <x v="28"/>
    <x v="28"/>
    <x v="28"/>
    <x v="11"/>
    <x v="251"/>
    <x v="124"/>
    <x v="77"/>
    <x v="83"/>
    <x v="209"/>
    <x v="255"/>
    <x v="5"/>
  </r>
  <r>
    <x v="0"/>
    <x v="19"/>
    <x v="19"/>
    <x v="2"/>
    <x v="2"/>
    <x v="2"/>
    <x v="11"/>
    <x v="251"/>
    <x v="124"/>
    <x v="48"/>
    <x v="268"/>
    <x v="163"/>
    <x v="269"/>
    <x v="5"/>
  </r>
  <r>
    <x v="0"/>
    <x v="19"/>
    <x v="19"/>
    <x v="31"/>
    <x v="31"/>
    <x v="31"/>
    <x v="11"/>
    <x v="251"/>
    <x v="124"/>
    <x v="48"/>
    <x v="268"/>
    <x v="163"/>
    <x v="269"/>
    <x v="5"/>
  </r>
  <r>
    <x v="0"/>
    <x v="19"/>
    <x v="19"/>
    <x v="30"/>
    <x v="30"/>
    <x v="30"/>
    <x v="11"/>
    <x v="251"/>
    <x v="124"/>
    <x v="52"/>
    <x v="272"/>
    <x v="211"/>
    <x v="274"/>
    <x v="5"/>
  </r>
  <r>
    <x v="0"/>
    <x v="19"/>
    <x v="19"/>
    <x v="9"/>
    <x v="9"/>
    <x v="9"/>
    <x v="11"/>
    <x v="251"/>
    <x v="124"/>
    <x v="77"/>
    <x v="83"/>
    <x v="163"/>
    <x v="269"/>
    <x v="5"/>
  </r>
  <r>
    <x v="0"/>
    <x v="19"/>
    <x v="19"/>
    <x v="5"/>
    <x v="5"/>
    <x v="5"/>
    <x v="16"/>
    <x v="252"/>
    <x v="266"/>
    <x v="77"/>
    <x v="83"/>
    <x v="163"/>
    <x v="269"/>
    <x v="5"/>
  </r>
  <r>
    <x v="0"/>
    <x v="19"/>
    <x v="19"/>
    <x v="32"/>
    <x v="32"/>
    <x v="32"/>
    <x v="16"/>
    <x v="252"/>
    <x v="266"/>
    <x v="77"/>
    <x v="83"/>
    <x v="163"/>
    <x v="269"/>
    <x v="5"/>
  </r>
  <r>
    <x v="0"/>
    <x v="19"/>
    <x v="19"/>
    <x v="33"/>
    <x v="33"/>
    <x v="33"/>
    <x v="16"/>
    <x v="252"/>
    <x v="266"/>
    <x v="77"/>
    <x v="83"/>
    <x v="163"/>
    <x v="269"/>
    <x v="5"/>
  </r>
  <r>
    <x v="0"/>
    <x v="19"/>
    <x v="19"/>
    <x v="17"/>
    <x v="17"/>
    <x v="17"/>
    <x v="16"/>
    <x v="252"/>
    <x v="266"/>
    <x v="64"/>
    <x v="270"/>
    <x v="211"/>
    <x v="274"/>
    <x v="5"/>
  </r>
  <r>
    <x v="0"/>
    <x v="19"/>
    <x v="19"/>
    <x v="10"/>
    <x v="10"/>
    <x v="10"/>
    <x v="16"/>
    <x v="252"/>
    <x v="266"/>
    <x v="48"/>
    <x v="268"/>
    <x v="160"/>
    <x v="19"/>
    <x v="5"/>
  </r>
  <r>
    <x v="0"/>
    <x v="19"/>
    <x v="19"/>
    <x v="19"/>
    <x v="19"/>
    <x v="19"/>
    <x v="16"/>
    <x v="252"/>
    <x v="266"/>
    <x v="48"/>
    <x v="268"/>
    <x v="160"/>
    <x v="19"/>
    <x v="5"/>
  </r>
  <r>
    <x v="0"/>
    <x v="20"/>
    <x v="20"/>
    <x v="1"/>
    <x v="1"/>
    <x v="1"/>
    <x v="0"/>
    <x v="253"/>
    <x v="267"/>
    <x v="17"/>
    <x v="273"/>
    <x v="133"/>
    <x v="33"/>
    <x v="5"/>
  </r>
  <r>
    <x v="0"/>
    <x v="20"/>
    <x v="20"/>
    <x v="2"/>
    <x v="2"/>
    <x v="2"/>
    <x v="1"/>
    <x v="254"/>
    <x v="268"/>
    <x v="164"/>
    <x v="274"/>
    <x v="207"/>
    <x v="275"/>
    <x v="5"/>
  </r>
  <r>
    <x v="0"/>
    <x v="20"/>
    <x v="20"/>
    <x v="0"/>
    <x v="0"/>
    <x v="0"/>
    <x v="2"/>
    <x v="255"/>
    <x v="269"/>
    <x v="165"/>
    <x v="275"/>
    <x v="153"/>
    <x v="276"/>
    <x v="5"/>
  </r>
  <r>
    <x v="0"/>
    <x v="20"/>
    <x v="20"/>
    <x v="3"/>
    <x v="3"/>
    <x v="3"/>
    <x v="3"/>
    <x v="171"/>
    <x v="76"/>
    <x v="152"/>
    <x v="276"/>
    <x v="120"/>
    <x v="277"/>
    <x v="5"/>
  </r>
  <r>
    <x v="0"/>
    <x v="20"/>
    <x v="20"/>
    <x v="4"/>
    <x v="4"/>
    <x v="4"/>
    <x v="4"/>
    <x v="215"/>
    <x v="270"/>
    <x v="65"/>
    <x v="277"/>
    <x v="75"/>
    <x v="278"/>
    <x v="5"/>
  </r>
  <r>
    <x v="0"/>
    <x v="20"/>
    <x v="20"/>
    <x v="5"/>
    <x v="5"/>
    <x v="5"/>
    <x v="5"/>
    <x v="76"/>
    <x v="22"/>
    <x v="14"/>
    <x v="278"/>
    <x v="82"/>
    <x v="279"/>
    <x v="5"/>
  </r>
  <r>
    <x v="0"/>
    <x v="20"/>
    <x v="20"/>
    <x v="6"/>
    <x v="6"/>
    <x v="6"/>
    <x v="6"/>
    <x v="256"/>
    <x v="271"/>
    <x v="63"/>
    <x v="279"/>
    <x v="148"/>
    <x v="79"/>
    <x v="4"/>
  </r>
  <r>
    <x v="0"/>
    <x v="20"/>
    <x v="20"/>
    <x v="7"/>
    <x v="7"/>
    <x v="7"/>
    <x v="7"/>
    <x v="131"/>
    <x v="92"/>
    <x v="103"/>
    <x v="280"/>
    <x v="208"/>
    <x v="213"/>
    <x v="5"/>
  </r>
  <r>
    <x v="0"/>
    <x v="20"/>
    <x v="20"/>
    <x v="14"/>
    <x v="14"/>
    <x v="14"/>
    <x v="8"/>
    <x v="257"/>
    <x v="272"/>
    <x v="77"/>
    <x v="83"/>
    <x v="122"/>
    <x v="280"/>
    <x v="3"/>
  </r>
  <r>
    <x v="0"/>
    <x v="20"/>
    <x v="20"/>
    <x v="11"/>
    <x v="11"/>
    <x v="11"/>
    <x v="9"/>
    <x v="216"/>
    <x v="273"/>
    <x v="34"/>
    <x v="281"/>
    <x v="152"/>
    <x v="281"/>
    <x v="5"/>
  </r>
  <r>
    <x v="0"/>
    <x v="20"/>
    <x v="20"/>
    <x v="10"/>
    <x v="10"/>
    <x v="10"/>
    <x v="10"/>
    <x v="158"/>
    <x v="109"/>
    <x v="37"/>
    <x v="282"/>
    <x v="212"/>
    <x v="71"/>
    <x v="10"/>
  </r>
  <r>
    <x v="0"/>
    <x v="20"/>
    <x v="20"/>
    <x v="8"/>
    <x v="8"/>
    <x v="8"/>
    <x v="11"/>
    <x v="168"/>
    <x v="274"/>
    <x v="53"/>
    <x v="283"/>
    <x v="130"/>
    <x v="282"/>
    <x v="5"/>
  </r>
  <r>
    <x v="0"/>
    <x v="20"/>
    <x v="20"/>
    <x v="9"/>
    <x v="9"/>
    <x v="9"/>
    <x v="12"/>
    <x v="124"/>
    <x v="110"/>
    <x v="138"/>
    <x v="284"/>
    <x v="190"/>
    <x v="212"/>
    <x v="4"/>
  </r>
  <r>
    <x v="0"/>
    <x v="20"/>
    <x v="20"/>
    <x v="13"/>
    <x v="13"/>
    <x v="13"/>
    <x v="13"/>
    <x v="135"/>
    <x v="275"/>
    <x v="38"/>
    <x v="285"/>
    <x v="131"/>
    <x v="283"/>
    <x v="5"/>
  </r>
  <r>
    <x v="0"/>
    <x v="20"/>
    <x v="20"/>
    <x v="12"/>
    <x v="12"/>
    <x v="12"/>
    <x v="14"/>
    <x v="218"/>
    <x v="276"/>
    <x v="65"/>
    <x v="277"/>
    <x v="136"/>
    <x v="161"/>
    <x v="5"/>
  </r>
  <r>
    <x v="0"/>
    <x v="20"/>
    <x v="20"/>
    <x v="17"/>
    <x v="17"/>
    <x v="17"/>
    <x v="15"/>
    <x v="139"/>
    <x v="98"/>
    <x v="64"/>
    <x v="36"/>
    <x v="153"/>
    <x v="276"/>
    <x v="5"/>
  </r>
  <r>
    <x v="0"/>
    <x v="20"/>
    <x v="20"/>
    <x v="19"/>
    <x v="19"/>
    <x v="19"/>
    <x v="16"/>
    <x v="175"/>
    <x v="209"/>
    <x v="70"/>
    <x v="259"/>
    <x v="212"/>
    <x v="71"/>
    <x v="5"/>
  </r>
  <r>
    <x v="0"/>
    <x v="20"/>
    <x v="20"/>
    <x v="15"/>
    <x v="15"/>
    <x v="15"/>
    <x v="17"/>
    <x v="258"/>
    <x v="210"/>
    <x v="52"/>
    <x v="185"/>
    <x v="208"/>
    <x v="213"/>
    <x v="5"/>
  </r>
  <r>
    <x v="0"/>
    <x v="20"/>
    <x v="20"/>
    <x v="23"/>
    <x v="23"/>
    <x v="23"/>
    <x v="18"/>
    <x v="259"/>
    <x v="277"/>
    <x v="64"/>
    <x v="36"/>
    <x v="208"/>
    <x v="213"/>
    <x v="5"/>
  </r>
  <r>
    <x v="0"/>
    <x v="20"/>
    <x v="20"/>
    <x v="27"/>
    <x v="27"/>
    <x v="27"/>
    <x v="18"/>
    <x v="259"/>
    <x v="277"/>
    <x v="82"/>
    <x v="286"/>
    <x v="213"/>
    <x v="284"/>
    <x v="5"/>
  </r>
  <r>
    <x v="0"/>
    <x v="21"/>
    <x v="21"/>
    <x v="2"/>
    <x v="2"/>
    <x v="2"/>
    <x v="0"/>
    <x v="105"/>
    <x v="278"/>
    <x v="145"/>
    <x v="287"/>
    <x v="118"/>
    <x v="285"/>
    <x v="5"/>
  </r>
  <r>
    <x v="0"/>
    <x v="21"/>
    <x v="21"/>
    <x v="1"/>
    <x v="1"/>
    <x v="1"/>
    <x v="1"/>
    <x v="226"/>
    <x v="279"/>
    <x v="104"/>
    <x v="288"/>
    <x v="134"/>
    <x v="286"/>
    <x v="5"/>
  </r>
  <r>
    <x v="0"/>
    <x v="21"/>
    <x v="21"/>
    <x v="0"/>
    <x v="0"/>
    <x v="0"/>
    <x v="2"/>
    <x v="215"/>
    <x v="280"/>
    <x v="49"/>
    <x v="289"/>
    <x v="157"/>
    <x v="287"/>
    <x v="5"/>
  </r>
  <r>
    <x v="0"/>
    <x v="21"/>
    <x v="21"/>
    <x v="3"/>
    <x v="3"/>
    <x v="3"/>
    <x v="3"/>
    <x v="94"/>
    <x v="281"/>
    <x v="166"/>
    <x v="290"/>
    <x v="82"/>
    <x v="288"/>
    <x v="4"/>
  </r>
  <r>
    <x v="0"/>
    <x v="21"/>
    <x v="21"/>
    <x v="4"/>
    <x v="4"/>
    <x v="4"/>
    <x v="4"/>
    <x v="216"/>
    <x v="282"/>
    <x v="78"/>
    <x v="194"/>
    <x v="130"/>
    <x v="289"/>
    <x v="5"/>
  </r>
  <r>
    <x v="0"/>
    <x v="21"/>
    <x v="21"/>
    <x v="5"/>
    <x v="5"/>
    <x v="5"/>
    <x v="5"/>
    <x v="217"/>
    <x v="283"/>
    <x v="31"/>
    <x v="10"/>
    <x v="109"/>
    <x v="191"/>
    <x v="5"/>
  </r>
  <r>
    <x v="0"/>
    <x v="21"/>
    <x v="21"/>
    <x v="6"/>
    <x v="6"/>
    <x v="6"/>
    <x v="5"/>
    <x v="217"/>
    <x v="283"/>
    <x v="69"/>
    <x v="291"/>
    <x v="157"/>
    <x v="287"/>
    <x v="4"/>
  </r>
  <r>
    <x v="0"/>
    <x v="21"/>
    <x v="21"/>
    <x v="28"/>
    <x v="28"/>
    <x v="28"/>
    <x v="7"/>
    <x v="137"/>
    <x v="45"/>
    <x v="53"/>
    <x v="78"/>
    <x v="109"/>
    <x v="191"/>
    <x v="5"/>
  </r>
  <r>
    <x v="0"/>
    <x v="21"/>
    <x v="21"/>
    <x v="8"/>
    <x v="8"/>
    <x v="8"/>
    <x v="8"/>
    <x v="162"/>
    <x v="284"/>
    <x v="53"/>
    <x v="78"/>
    <x v="165"/>
    <x v="152"/>
    <x v="5"/>
  </r>
  <r>
    <x v="0"/>
    <x v="21"/>
    <x v="21"/>
    <x v="11"/>
    <x v="11"/>
    <x v="11"/>
    <x v="9"/>
    <x v="175"/>
    <x v="285"/>
    <x v="34"/>
    <x v="292"/>
    <x v="189"/>
    <x v="290"/>
    <x v="5"/>
  </r>
  <r>
    <x v="0"/>
    <x v="21"/>
    <x v="21"/>
    <x v="7"/>
    <x v="7"/>
    <x v="7"/>
    <x v="10"/>
    <x v="164"/>
    <x v="286"/>
    <x v="61"/>
    <x v="81"/>
    <x v="163"/>
    <x v="291"/>
    <x v="5"/>
  </r>
  <r>
    <x v="0"/>
    <x v="21"/>
    <x v="21"/>
    <x v="10"/>
    <x v="10"/>
    <x v="10"/>
    <x v="11"/>
    <x v="260"/>
    <x v="204"/>
    <x v="31"/>
    <x v="10"/>
    <x v="210"/>
    <x v="43"/>
    <x v="5"/>
  </r>
  <r>
    <x v="0"/>
    <x v="21"/>
    <x v="21"/>
    <x v="14"/>
    <x v="14"/>
    <x v="14"/>
    <x v="11"/>
    <x v="260"/>
    <x v="204"/>
    <x v="48"/>
    <x v="77"/>
    <x v="208"/>
    <x v="164"/>
    <x v="5"/>
  </r>
  <r>
    <x v="0"/>
    <x v="21"/>
    <x v="21"/>
    <x v="12"/>
    <x v="12"/>
    <x v="12"/>
    <x v="13"/>
    <x v="261"/>
    <x v="287"/>
    <x v="65"/>
    <x v="105"/>
    <x v="213"/>
    <x v="73"/>
    <x v="5"/>
  </r>
  <r>
    <x v="0"/>
    <x v="21"/>
    <x v="21"/>
    <x v="30"/>
    <x v="30"/>
    <x v="30"/>
    <x v="14"/>
    <x v="262"/>
    <x v="114"/>
    <x v="111"/>
    <x v="206"/>
    <x v="163"/>
    <x v="291"/>
    <x v="5"/>
  </r>
  <r>
    <x v="0"/>
    <x v="21"/>
    <x v="21"/>
    <x v="9"/>
    <x v="9"/>
    <x v="9"/>
    <x v="14"/>
    <x v="262"/>
    <x v="114"/>
    <x v="50"/>
    <x v="71"/>
    <x v="132"/>
    <x v="292"/>
    <x v="4"/>
  </r>
  <r>
    <x v="0"/>
    <x v="21"/>
    <x v="21"/>
    <x v="15"/>
    <x v="15"/>
    <x v="15"/>
    <x v="16"/>
    <x v="246"/>
    <x v="71"/>
    <x v="77"/>
    <x v="83"/>
    <x v="214"/>
    <x v="14"/>
    <x v="5"/>
  </r>
  <r>
    <x v="0"/>
    <x v="21"/>
    <x v="21"/>
    <x v="13"/>
    <x v="13"/>
    <x v="13"/>
    <x v="16"/>
    <x v="246"/>
    <x v="71"/>
    <x v="53"/>
    <x v="78"/>
    <x v="189"/>
    <x v="290"/>
    <x v="5"/>
  </r>
  <r>
    <x v="0"/>
    <x v="21"/>
    <x v="21"/>
    <x v="23"/>
    <x v="23"/>
    <x v="23"/>
    <x v="18"/>
    <x v="263"/>
    <x v="288"/>
    <x v="51"/>
    <x v="283"/>
    <x v="206"/>
    <x v="293"/>
    <x v="5"/>
  </r>
  <r>
    <x v="0"/>
    <x v="21"/>
    <x v="21"/>
    <x v="18"/>
    <x v="18"/>
    <x v="18"/>
    <x v="19"/>
    <x v="264"/>
    <x v="289"/>
    <x v="52"/>
    <x v="293"/>
    <x v="206"/>
    <x v="293"/>
    <x v="5"/>
  </r>
  <r>
    <x v="0"/>
    <x v="21"/>
    <x v="21"/>
    <x v="26"/>
    <x v="26"/>
    <x v="26"/>
    <x v="19"/>
    <x v="264"/>
    <x v="289"/>
    <x v="64"/>
    <x v="25"/>
    <x v="197"/>
    <x v="159"/>
    <x v="5"/>
  </r>
  <r>
    <x v="0"/>
    <x v="21"/>
    <x v="21"/>
    <x v="34"/>
    <x v="34"/>
    <x v="34"/>
    <x v="19"/>
    <x v="264"/>
    <x v="289"/>
    <x v="52"/>
    <x v="293"/>
    <x v="206"/>
    <x v="293"/>
    <x v="5"/>
  </r>
  <r>
    <x v="0"/>
    <x v="22"/>
    <x v="22"/>
    <x v="0"/>
    <x v="0"/>
    <x v="0"/>
    <x v="0"/>
    <x v="74"/>
    <x v="290"/>
    <x v="167"/>
    <x v="294"/>
    <x v="190"/>
    <x v="166"/>
    <x v="5"/>
  </r>
  <r>
    <x v="0"/>
    <x v="22"/>
    <x v="22"/>
    <x v="1"/>
    <x v="1"/>
    <x v="1"/>
    <x v="1"/>
    <x v="265"/>
    <x v="291"/>
    <x v="116"/>
    <x v="295"/>
    <x v="206"/>
    <x v="294"/>
    <x v="5"/>
  </r>
  <r>
    <x v="0"/>
    <x v="22"/>
    <x v="22"/>
    <x v="3"/>
    <x v="3"/>
    <x v="3"/>
    <x v="2"/>
    <x v="158"/>
    <x v="292"/>
    <x v="66"/>
    <x v="296"/>
    <x v="136"/>
    <x v="295"/>
    <x v="5"/>
  </r>
  <r>
    <x v="0"/>
    <x v="22"/>
    <x v="22"/>
    <x v="2"/>
    <x v="2"/>
    <x v="2"/>
    <x v="3"/>
    <x v="266"/>
    <x v="293"/>
    <x v="31"/>
    <x v="297"/>
    <x v="150"/>
    <x v="277"/>
    <x v="5"/>
  </r>
  <r>
    <x v="0"/>
    <x v="22"/>
    <x v="22"/>
    <x v="5"/>
    <x v="5"/>
    <x v="5"/>
    <x v="4"/>
    <x v="218"/>
    <x v="294"/>
    <x v="31"/>
    <x v="297"/>
    <x v="135"/>
    <x v="296"/>
    <x v="5"/>
  </r>
  <r>
    <x v="0"/>
    <x v="22"/>
    <x v="22"/>
    <x v="6"/>
    <x v="6"/>
    <x v="6"/>
    <x v="4"/>
    <x v="218"/>
    <x v="294"/>
    <x v="66"/>
    <x v="296"/>
    <x v="215"/>
    <x v="22"/>
    <x v="5"/>
  </r>
  <r>
    <x v="0"/>
    <x v="22"/>
    <x v="22"/>
    <x v="11"/>
    <x v="11"/>
    <x v="11"/>
    <x v="6"/>
    <x v="140"/>
    <x v="106"/>
    <x v="111"/>
    <x v="298"/>
    <x v="212"/>
    <x v="264"/>
    <x v="5"/>
  </r>
  <r>
    <x v="0"/>
    <x v="22"/>
    <x v="22"/>
    <x v="4"/>
    <x v="4"/>
    <x v="4"/>
    <x v="7"/>
    <x v="164"/>
    <x v="295"/>
    <x v="82"/>
    <x v="299"/>
    <x v="208"/>
    <x v="297"/>
    <x v="5"/>
  </r>
  <r>
    <x v="0"/>
    <x v="22"/>
    <x v="22"/>
    <x v="8"/>
    <x v="8"/>
    <x v="8"/>
    <x v="8"/>
    <x v="259"/>
    <x v="109"/>
    <x v="53"/>
    <x v="218"/>
    <x v="213"/>
    <x v="157"/>
    <x v="5"/>
  </r>
  <r>
    <x v="0"/>
    <x v="22"/>
    <x v="22"/>
    <x v="7"/>
    <x v="7"/>
    <x v="7"/>
    <x v="8"/>
    <x v="259"/>
    <x v="109"/>
    <x v="34"/>
    <x v="300"/>
    <x v="160"/>
    <x v="298"/>
    <x v="5"/>
  </r>
  <r>
    <x v="0"/>
    <x v="22"/>
    <x v="22"/>
    <x v="12"/>
    <x v="12"/>
    <x v="12"/>
    <x v="10"/>
    <x v="267"/>
    <x v="296"/>
    <x v="65"/>
    <x v="184"/>
    <x v="197"/>
    <x v="188"/>
    <x v="5"/>
  </r>
  <r>
    <x v="0"/>
    <x v="22"/>
    <x v="22"/>
    <x v="13"/>
    <x v="13"/>
    <x v="13"/>
    <x v="11"/>
    <x v="263"/>
    <x v="297"/>
    <x v="53"/>
    <x v="218"/>
    <x v="210"/>
    <x v="299"/>
    <x v="5"/>
  </r>
  <r>
    <x v="0"/>
    <x v="22"/>
    <x v="22"/>
    <x v="23"/>
    <x v="23"/>
    <x v="23"/>
    <x v="11"/>
    <x v="263"/>
    <x v="297"/>
    <x v="52"/>
    <x v="223"/>
    <x v="197"/>
    <x v="188"/>
    <x v="5"/>
  </r>
  <r>
    <x v="0"/>
    <x v="22"/>
    <x v="22"/>
    <x v="14"/>
    <x v="14"/>
    <x v="14"/>
    <x v="11"/>
    <x v="263"/>
    <x v="297"/>
    <x v="77"/>
    <x v="83"/>
    <x v="215"/>
    <x v="22"/>
    <x v="5"/>
  </r>
  <r>
    <x v="0"/>
    <x v="22"/>
    <x v="22"/>
    <x v="10"/>
    <x v="10"/>
    <x v="10"/>
    <x v="14"/>
    <x v="264"/>
    <x v="298"/>
    <x v="70"/>
    <x v="301"/>
    <x v="211"/>
    <x v="274"/>
    <x v="5"/>
  </r>
  <r>
    <x v="0"/>
    <x v="22"/>
    <x v="22"/>
    <x v="27"/>
    <x v="27"/>
    <x v="27"/>
    <x v="14"/>
    <x v="264"/>
    <x v="298"/>
    <x v="52"/>
    <x v="223"/>
    <x v="206"/>
    <x v="294"/>
    <x v="5"/>
  </r>
  <r>
    <x v="0"/>
    <x v="22"/>
    <x v="22"/>
    <x v="9"/>
    <x v="9"/>
    <x v="9"/>
    <x v="16"/>
    <x v="268"/>
    <x v="16"/>
    <x v="53"/>
    <x v="218"/>
    <x v="160"/>
    <x v="298"/>
    <x v="5"/>
  </r>
  <r>
    <x v="0"/>
    <x v="22"/>
    <x v="22"/>
    <x v="35"/>
    <x v="35"/>
    <x v="35"/>
    <x v="17"/>
    <x v="269"/>
    <x v="233"/>
    <x v="64"/>
    <x v="224"/>
    <x v="189"/>
    <x v="300"/>
    <x v="5"/>
  </r>
  <r>
    <x v="0"/>
    <x v="22"/>
    <x v="22"/>
    <x v="17"/>
    <x v="17"/>
    <x v="17"/>
    <x v="17"/>
    <x v="269"/>
    <x v="233"/>
    <x v="77"/>
    <x v="83"/>
    <x v="206"/>
    <x v="294"/>
    <x v="5"/>
  </r>
  <r>
    <x v="0"/>
    <x v="22"/>
    <x v="22"/>
    <x v="24"/>
    <x v="24"/>
    <x v="24"/>
    <x v="17"/>
    <x v="269"/>
    <x v="233"/>
    <x v="77"/>
    <x v="83"/>
    <x v="206"/>
    <x v="294"/>
    <x v="5"/>
  </r>
  <r>
    <x v="0"/>
    <x v="22"/>
    <x v="22"/>
    <x v="30"/>
    <x v="30"/>
    <x v="30"/>
    <x v="17"/>
    <x v="269"/>
    <x v="233"/>
    <x v="53"/>
    <x v="218"/>
    <x v="160"/>
    <x v="298"/>
    <x v="5"/>
  </r>
  <r>
    <x v="0"/>
    <x v="22"/>
    <x v="22"/>
    <x v="19"/>
    <x v="19"/>
    <x v="19"/>
    <x v="17"/>
    <x v="269"/>
    <x v="233"/>
    <x v="82"/>
    <x v="299"/>
    <x v="163"/>
    <x v="301"/>
    <x v="5"/>
  </r>
  <r>
    <x v="0"/>
    <x v="22"/>
    <x v="22"/>
    <x v="36"/>
    <x v="36"/>
    <x v="36"/>
    <x v="17"/>
    <x v="269"/>
    <x v="233"/>
    <x v="77"/>
    <x v="83"/>
    <x v="190"/>
    <x v="166"/>
    <x v="5"/>
  </r>
  <r>
    <x v="0"/>
    <x v="22"/>
    <x v="22"/>
    <x v="37"/>
    <x v="37"/>
    <x v="37"/>
    <x v="17"/>
    <x v="269"/>
    <x v="233"/>
    <x v="77"/>
    <x v="83"/>
    <x v="163"/>
    <x v="301"/>
    <x v="3"/>
  </r>
  <r>
    <x v="0"/>
    <x v="23"/>
    <x v="23"/>
    <x v="0"/>
    <x v="0"/>
    <x v="0"/>
    <x v="0"/>
    <x v="270"/>
    <x v="299"/>
    <x v="168"/>
    <x v="302"/>
    <x v="124"/>
    <x v="163"/>
    <x v="5"/>
  </r>
  <r>
    <x v="0"/>
    <x v="23"/>
    <x v="23"/>
    <x v="1"/>
    <x v="1"/>
    <x v="1"/>
    <x v="1"/>
    <x v="271"/>
    <x v="300"/>
    <x v="169"/>
    <x v="303"/>
    <x v="94"/>
    <x v="1"/>
    <x v="5"/>
  </r>
  <r>
    <x v="0"/>
    <x v="23"/>
    <x v="23"/>
    <x v="4"/>
    <x v="4"/>
    <x v="4"/>
    <x v="2"/>
    <x v="100"/>
    <x v="301"/>
    <x v="76"/>
    <x v="179"/>
    <x v="216"/>
    <x v="302"/>
    <x v="5"/>
  </r>
  <r>
    <x v="0"/>
    <x v="23"/>
    <x v="23"/>
    <x v="5"/>
    <x v="5"/>
    <x v="5"/>
    <x v="3"/>
    <x v="272"/>
    <x v="302"/>
    <x v="72"/>
    <x v="304"/>
    <x v="217"/>
    <x v="303"/>
    <x v="5"/>
  </r>
  <r>
    <x v="0"/>
    <x v="23"/>
    <x v="23"/>
    <x v="3"/>
    <x v="3"/>
    <x v="3"/>
    <x v="4"/>
    <x v="273"/>
    <x v="303"/>
    <x v="170"/>
    <x v="305"/>
    <x v="71"/>
    <x v="304"/>
    <x v="5"/>
  </r>
  <r>
    <x v="0"/>
    <x v="23"/>
    <x v="23"/>
    <x v="8"/>
    <x v="8"/>
    <x v="8"/>
    <x v="5"/>
    <x v="66"/>
    <x v="4"/>
    <x v="92"/>
    <x v="34"/>
    <x v="85"/>
    <x v="305"/>
    <x v="5"/>
  </r>
  <r>
    <x v="0"/>
    <x v="23"/>
    <x v="23"/>
    <x v="2"/>
    <x v="2"/>
    <x v="2"/>
    <x v="6"/>
    <x v="274"/>
    <x v="304"/>
    <x v="144"/>
    <x v="280"/>
    <x v="207"/>
    <x v="219"/>
    <x v="5"/>
  </r>
  <r>
    <x v="0"/>
    <x v="23"/>
    <x v="23"/>
    <x v="9"/>
    <x v="9"/>
    <x v="9"/>
    <x v="7"/>
    <x v="275"/>
    <x v="305"/>
    <x v="120"/>
    <x v="306"/>
    <x v="133"/>
    <x v="233"/>
    <x v="5"/>
  </r>
  <r>
    <x v="0"/>
    <x v="23"/>
    <x v="23"/>
    <x v="7"/>
    <x v="7"/>
    <x v="7"/>
    <x v="8"/>
    <x v="129"/>
    <x v="306"/>
    <x v="171"/>
    <x v="166"/>
    <x v="135"/>
    <x v="306"/>
    <x v="5"/>
  </r>
  <r>
    <x v="0"/>
    <x v="23"/>
    <x v="23"/>
    <x v="17"/>
    <x v="17"/>
    <x v="17"/>
    <x v="9"/>
    <x v="119"/>
    <x v="307"/>
    <x v="65"/>
    <x v="17"/>
    <x v="158"/>
    <x v="307"/>
    <x v="4"/>
  </r>
  <r>
    <x v="0"/>
    <x v="23"/>
    <x v="23"/>
    <x v="11"/>
    <x v="11"/>
    <x v="11"/>
    <x v="10"/>
    <x v="190"/>
    <x v="95"/>
    <x v="152"/>
    <x v="307"/>
    <x v="89"/>
    <x v="119"/>
    <x v="5"/>
  </r>
  <r>
    <x v="0"/>
    <x v="23"/>
    <x v="23"/>
    <x v="13"/>
    <x v="13"/>
    <x v="13"/>
    <x v="11"/>
    <x v="121"/>
    <x v="308"/>
    <x v="115"/>
    <x v="308"/>
    <x v="124"/>
    <x v="163"/>
    <x v="5"/>
  </r>
  <r>
    <x v="0"/>
    <x v="23"/>
    <x v="23"/>
    <x v="6"/>
    <x v="6"/>
    <x v="6"/>
    <x v="11"/>
    <x v="121"/>
    <x v="308"/>
    <x v="63"/>
    <x v="309"/>
    <x v="154"/>
    <x v="103"/>
    <x v="5"/>
  </r>
  <r>
    <x v="0"/>
    <x v="23"/>
    <x v="23"/>
    <x v="10"/>
    <x v="10"/>
    <x v="10"/>
    <x v="13"/>
    <x v="276"/>
    <x v="275"/>
    <x v="151"/>
    <x v="310"/>
    <x v="164"/>
    <x v="96"/>
    <x v="5"/>
  </r>
  <r>
    <x v="0"/>
    <x v="23"/>
    <x v="23"/>
    <x v="15"/>
    <x v="15"/>
    <x v="15"/>
    <x v="14"/>
    <x v="130"/>
    <x v="287"/>
    <x v="65"/>
    <x v="17"/>
    <x v="111"/>
    <x v="308"/>
    <x v="5"/>
  </r>
  <r>
    <x v="0"/>
    <x v="23"/>
    <x v="23"/>
    <x v="23"/>
    <x v="23"/>
    <x v="23"/>
    <x v="15"/>
    <x v="237"/>
    <x v="309"/>
    <x v="84"/>
    <x v="311"/>
    <x v="136"/>
    <x v="19"/>
    <x v="5"/>
  </r>
  <r>
    <x v="0"/>
    <x v="23"/>
    <x v="23"/>
    <x v="14"/>
    <x v="14"/>
    <x v="14"/>
    <x v="15"/>
    <x v="237"/>
    <x v="309"/>
    <x v="52"/>
    <x v="312"/>
    <x v="77"/>
    <x v="148"/>
    <x v="4"/>
  </r>
  <r>
    <x v="0"/>
    <x v="23"/>
    <x v="23"/>
    <x v="12"/>
    <x v="12"/>
    <x v="12"/>
    <x v="17"/>
    <x v="123"/>
    <x v="180"/>
    <x v="92"/>
    <x v="34"/>
    <x v="82"/>
    <x v="309"/>
    <x v="5"/>
  </r>
  <r>
    <x v="0"/>
    <x v="23"/>
    <x v="23"/>
    <x v="26"/>
    <x v="26"/>
    <x v="26"/>
    <x v="18"/>
    <x v="156"/>
    <x v="310"/>
    <x v="65"/>
    <x v="17"/>
    <x v="77"/>
    <x v="148"/>
    <x v="5"/>
  </r>
  <r>
    <x v="0"/>
    <x v="23"/>
    <x v="23"/>
    <x v="19"/>
    <x v="19"/>
    <x v="19"/>
    <x v="19"/>
    <x v="173"/>
    <x v="16"/>
    <x v="66"/>
    <x v="48"/>
    <x v="118"/>
    <x v="310"/>
    <x v="5"/>
  </r>
  <r>
    <x v="0"/>
    <x v="24"/>
    <x v="24"/>
    <x v="0"/>
    <x v="0"/>
    <x v="0"/>
    <x v="0"/>
    <x v="277"/>
    <x v="311"/>
    <x v="172"/>
    <x v="313"/>
    <x v="165"/>
    <x v="114"/>
    <x v="5"/>
  </r>
  <r>
    <x v="0"/>
    <x v="24"/>
    <x v="24"/>
    <x v="1"/>
    <x v="1"/>
    <x v="1"/>
    <x v="1"/>
    <x v="89"/>
    <x v="183"/>
    <x v="136"/>
    <x v="314"/>
    <x v="197"/>
    <x v="311"/>
    <x v="5"/>
  </r>
  <r>
    <x v="0"/>
    <x v="24"/>
    <x v="24"/>
    <x v="2"/>
    <x v="2"/>
    <x v="2"/>
    <x v="2"/>
    <x v="94"/>
    <x v="312"/>
    <x v="109"/>
    <x v="315"/>
    <x v="109"/>
    <x v="312"/>
    <x v="5"/>
  </r>
  <r>
    <x v="0"/>
    <x v="24"/>
    <x v="24"/>
    <x v="3"/>
    <x v="3"/>
    <x v="3"/>
    <x v="3"/>
    <x v="122"/>
    <x v="313"/>
    <x v="66"/>
    <x v="316"/>
    <x v="139"/>
    <x v="313"/>
    <x v="5"/>
  </r>
  <r>
    <x v="0"/>
    <x v="24"/>
    <x v="24"/>
    <x v="5"/>
    <x v="5"/>
    <x v="5"/>
    <x v="4"/>
    <x v="278"/>
    <x v="314"/>
    <x v="66"/>
    <x v="316"/>
    <x v="155"/>
    <x v="314"/>
    <x v="5"/>
  </r>
  <r>
    <x v="0"/>
    <x v="24"/>
    <x v="24"/>
    <x v="4"/>
    <x v="4"/>
    <x v="4"/>
    <x v="5"/>
    <x v="169"/>
    <x v="315"/>
    <x v="82"/>
    <x v="317"/>
    <x v="91"/>
    <x v="315"/>
    <x v="5"/>
  </r>
  <r>
    <x v="0"/>
    <x v="24"/>
    <x v="24"/>
    <x v="6"/>
    <x v="6"/>
    <x v="6"/>
    <x v="6"/>
    <x v="135"/>
    <x v="316"/>
    <x v="74"/>
    <x v="9"/>
    <x v="157"/>
    <x v="294"/>
    <x v="5"/>
  </r>
  <r>
    <x v="0"/>
    <x v="24"/>
    <x v="24"/>
    <x v="17"/>
    <x v="17"/>
    <x v="17"/>
    <x v="7"/>
    <x v="175"/>
    <x v="257"/>
    <x v="64"/>
    <x v="318"/>
    <x v="128"/>
    <x v="316"/>
    <x v="5"/>
  </r>
  <r>
    <x v="0"/>
    <x v="24"/>
    <x v="24"/>
    <x v="8"/>
    <x v="8"/>
    <x v="8"/>
    <x v="8"/>
    <x v="164"/>
    <x v="317"/>
    <x v="48"/>
    <x v="38"/>
    <x v="128"/>
    <x v="316"/>
    <x v="5"/>
  </r>
  <r>
    <x v="0"/>
    <x v="24"/>
    <x v="24"/>
    <x v="7"/>
    <x v="7"/>
    <x v="7"/>
    <x v="9"/>
    <x v="260"/>
    <x v="219"/>
    <x v="34"/>
    <x v="319"/>
    <x v="132"/>
    <x v="212"/>
    <x v="5"/>
  </r>
  <r>
    <x v="0"/>
    <x v="24"/>
    <x v="24"/>
    <x v="28"/>
    <x v="28"/>
    <x v="28"/>
    <x v="10"/>
    <x v="245"/>
    <x v="69"/>
    <x v="52"/>
    <x v="320"/>
    <x v="208"/>
    <x v="317"/>
    <x v="4"/>
  </r>
  <r>
    <x v="0"/>
    <x v="24"/>
    <x v="24"/>
    <x v="15"/>
    <x v="15"/>
    <x v="15"/>
    <x v="10"/>
    <x v="245"/>
    <x v="69"/>
    <x v="77"/>
    <x v="83"/>
    <x v="150"/>
    <x v="318"/>
    <x v="5"/>
  </r>
  <r>
    <x v="0"/>
    <x v="24"/>
    <x v="24"/>
    <x v="11"/>
    <x v="11"/>
    <x v="11"/>
    <x v="12"/>
    <x v="258"/>
    <x v="297"/>
    <x v="96"/>
    <x v="321"/>
    <x v="215"/>
    <x v="244"/>
    <x v="5"/>
  </r>
  <r>
    <x v="0"/>
    <x v="24"/>
    <x v="24"/>
    <x v="9"/>
    <x v="9"/>
    <x v="9"/>
    <x v="12"/>
    <x v="258"/>
    <x v="297"/>
    <x v="96"/>
    <x v="321"/>
    <x v="210"/>
    <x v="319"/>
    <x v="5"/>
  </r>
  <r>
    <x v="0"/>
    <x v="24"/>
    <x v="24"/>
    <x v="14"/>
    <x v="14"/>
    <x v="14"/>
    <x v="12"/>
    <x v="258"/>
    <x v="297"/>
    <x v="48"/>
    <x v="38"/>
    <x v="157"/>
    <x v="294"/>
    <x v="5"/>
  </r>
  <r>
    <x v="0"/>
    <x v="24"/>
    <x v="24"/>
    <x v="13"/>
    <x v="13"/>
    <x v="13"/>
    <x v="15"/>
    <x v="259"/>
    <x v="318"/>
    <x v="78"/>
    <x v="167"/>
    <x v="206"/>
    <x v="91"/>
    <x v="5"/>
  </r>
  <r>
    <x v="0"/>
    <x v="24"/>
    <x v="24"/>
    <x v="12"/>
    <x v="12"/>
    <x v="12"/>
    <x v="16"/>
    <x v="261"/>
    <x v="319"/>
    <x v="82"/>
    <x v="317"/>
    <x v="215"/>
    <x v="244"/>
    <x v="5"/>
  </r>
  <r>
    <x v="0"/>
    <x v="24"/>
    <x v="24"/>
    <x v="30"/>
    <x v="30"/>
    <x v="30"/>
    <x v="16"/>
    <x v="261"/>
    <x v="319"/>
    <x v="58"/>
    <x v="322"/>
    <x v="210"/>
    <x v="319"/>
    <x v="5"/>
  </r>
  <r>
    <x v="0"/>
    <x v="24"/>
    <x v="24"/>
    <x v="27"/>
    <x v="27"/>
    <x v="27"/>
    <x v="16"/>
    <x v="261"/>
    <x v="319"/>
    <x v="53"/>
    <x v="68"/>
    <x v="215"/>
    <x v="244"/>
    <x v="5"/>
  </r>
  <r>
    <x v="0"/>
    <x v="24"/>
    <x v="24"/>
    <x v="16"/>
    <x v="16"/>
    <x v="16"/>
    <x v="19"/>
    <x v="267"/>
    <x v="320"/>
    <x v="64"/>
    <x v="318"/>
    <x v="214"/>
    <x v="47"/>
    <x v="5"/>
  </r>
  <r>
    <x v="0"/>
    <x v="24"/>
    <x v="24"/>
    <x v="24"/>
    <x v="24"/>
    <x v="24"/>
    <x v="19"/>
    <x v="267"/>
    <x v="320"/>
    <x v="64"/>
    <x v="318"/>
    <x v="214"/>
    <x v="47"/>
    <x v="5"/>
  </r>
  <r>
    <x v="0"/>
    <x v="25"/>
    <x v="25"/>
    <x v="1"/>
    <x v="1"/>
    <x v="1"/>
    <x v="0"/>
    <x v="110"/>
    <x v="321"/>
    <x v="149"/>
    <x v="323"/>
    <x v="206"/>
    <x v="320"/>
    <x v="4"/>
  </r>
  <r>
    <x v="0"/>
    <x v="25"/>
    <x v="25"/>
    <x v="0"/>
    <x v="0"/>
    <x v="0"/>
    <x v="1"/>
    <x v="195"/>
    <x v="322"/>
    <x v="46"/>
    <x v="324"/>
    <x v="190"/>
    <x v="1"/>
    <x v="5"/>
  </r>
  <r>
    <x v="0"/>
    <x v="25"/>
    <x v="25"/>
    <x v="2"/>
    <x v="2"/>
    <x v="2"/>
    <x v="2"/>
    <x v="257"/>
    <x v="236"/>
    <x v="37"/>
    <x v="325"/>
    <x v="128"/>
    <x v="321"/>
    <x v="5"/>
  </r>
  <r>
    <x v="0"/>
    <x v="25"/>
    <x v="25"/>
    <x v="3"/>
    <x v="3"/>
    <x v="3"/>
    <x v="3"/>
    <x v="278"/>
    <x v="142"/>
    <x v="69"/>
    <x v="326"/>
    <x v="191"/>
    <x v="322"/>
    <x v="5"/>
  </r>
  <r>
    <x v="0"/>
    <x v="25"/>
    <x v="25"/>
    <x v="5"/>
    <x v="5"/>
    <x v="5"/>
    <x v="4"/>
    <x v="197"/>
    <x v="323"/>
    <x v="61"/>
    <x v="327"/>
    <x v="128"/>
    <x v="321"/>
    <x v="5"/>
  </r>
  <r>
    <x v="0"/>
    <x v="25"/>
    <x v="25"/>
    <x v="4"/>
    <x v="4"/>
    <x v="4"/>
    <x v="5"/>
    <x v="162"/>
    <x v="324"/>
    <x v="53"/>
    <x v="328"/>
    <x v="165"/>
    <x v="323"/>
    <x v="5"/>
  </r>
  <r>
    <x v="0"/>
    <x v="25"/>
    <x v="25"/>
    <x v="6"/>
    <x v="6"/>
    <x v="6"/>
    <x v="6"/>
    <x v="261"/>
    <x v="325"/>
    <x v="50"/>
    <x v="329"/>
    <x v="206"/>
    <x v="320"/>
    <x v="4"/>
  </r>
  <r>
    <x v="0"/>
    <x v="25"/>
    <x v="25"/>
    <x v="13"/>
    <x v="13"/>
    <x v="13"/>
    <x v="7"/>
    <x v="262"/>
    <x v="256"/>
    <x v="78"/>
    <x v="330"/>
    <x v="189"/>
    <x v="324"/>
    <x v="5"/>
  </r>
  <r>
    <x v="0"/>
    <x v="25"/>
    <x v="25"/>
    <x v="8"/>
    <x v="8"/>
    <x v="8"/>
    <x v="8"/>
    <x v="267"/>
    <x v="108"/>
    <x v="65"/>
    <x v="299"/>
    <x v="215"/>
    <x v="325"/>
    <x v="5"/>
  </r>
  <r>
    <x v="0"/>
    <x v="25"/>
    <x v="25"/>
    <x v="11"/>
    <x v="11"/>
    <x v="11"/>
    <x v="9"/>
    <x v="279"/>
    <x v="203"/>
    <x v="82"/>
    <x v="331"/>
    <x v="206"/>
    <x v="320"/>
    <x v="5"/>
  </r>
  <r>
    <x v="0"/>
    <x v="25"/>
    <x v="25"/>
    <x v="9"/>
    <x v="9"/>
    <x v="9"/>
    <x v="9"/>
    <x v="279"/>
    <x v="203"/>
    <x v="70"/>
    <x v="332"/>
    <x v="163"/>
    <x v="326"/>
    <x v="5"/>
  </r>
  <r>
    <x v="0"/>
    <x v="25"/>
    <x v="25"/>
    <x v="7"/>
    <x v="7"/>
    <x v="7"/>
    <x v="9"/>
    <x v="279"/>
    <x v="203"/>
    <x v="111"/>
    <x v="333"/>
    <x v="211"/>
    <x v="274"/>
    <x v="5"/>
  </r>
  <r>
    <x v="0"/>
    <x v="25"/>
    <x v="25"/>
    <x v="17"/>
    <x v="17"/>
    <x v="17"/>
    <x v="12"/>
    <x v="269"/>
    <x v="154"/>
    <x v="65"/>
    <x v="299"/>
    <x v="209"/>
    <x v="327"/>
    <x v="5"/>
  </r>
  <r>
    <x v="0"/>
    <x v="25"/>
    <x v="25"/>
    <x v="23"/>
    <x v="23"/>
    <x v="23"/>
    <x v="13"/>
    <x v="248"/>
    <x v="326"/>
    <x v="48"/>
    <x v="16"/>
    <x v="210"/>
    <x v="328"/>
    <x v="5"/>
  </r>
  <r>
    <x v="0"/>
    <x v="25"/>
    <x v="25"/>
    <x v="27"/>
    <x v="27"/>
    <x v="27"/>
    <x v="13"/>
    <x v="248"/>
    <x v="326"/>
    <x v="52"/>
    <x v="23"/>
    <x v="209"/>
    <x v="327"/>
    <x v="5"/>
  </r>
  <r>
    <x v="0"/>
    <x v="25"/>
    <x v="25"/>
    <x v="38"/>
    <x v="38"/>
    <x v="38"/>
    <x v="15"/>
    <x v="249"/>
    <x v="327"/>
    <x v="64"/>
    <x v="334"/>
    <x v="209"/>
    <x v="327"/>
    <x v="5"/>
  </r>
  <r>
    <x v="0"/>
    <x v="25"/>
    <x v="25"/>
    <x v="33"/>
    <x v="33"/>
    <x v="33"/>
    <x v="15"/>
    <x v="249"/>
    <x v="327"/>
    <x v="77"/>
    <x v="83"/>
    <x v="210"/>
    <x v="328"/>
    <x v="5"/>
  </r>
  <r>
    <x v="0"/>
    <x v="25"/>
    <x v="25"/>
    <x v="34"/>
    <x v="34"/>
    <x v="34"/>
    <x v="15"/>
    <x v="249"/>
    <x v="327"/>
    <x v="52"/>
    <x v="23"/>
    <x v="160"/>
    <x v="329"/>
    <x v="5"/>
  </r>
  <r>
    <x v="0"/>
    <x v="25"/>
    <x v="25"/>
    <x v="28"/>
    <x v="28"/>
    <x v="28"/>
    <x v="18"/>
    <x v="250"/>
    <x v="328"/>
    <x v="77"/>
    <x v="83"/>
    <x v="132"/>
    <x v="101"/>
    <x v="5"/>
  </r>
  <r>
    <x v="0"/>
    <x v="25"/>
    <x v="25"/>
    <x v="39"/>
    <x v="39"/>
    <x v="39"/>
    <x v="18"/>
    <x v="250"/>
    <x v="328"/>
    <x v="48"/>
    <x v="16"/>
    <x v="209"/>
    <x v="327"/>
    <x v="5"/>
  </r>
  <r>
    <x v="0"/>
    <x v="25"/>
    <x v="25"/>
    <x v="10"/>
    <x v="10"/>
    <x v="10"/>
    <x v="18"/>
    <x v="250"/>
    <x v="328"/>
    <x v="52"/>
    <x v="23"/>
    <x v="160"/>
    <x v="329"/>
    <x v="5"/>
  </r>
  <r>
    <x v="0"/>
    <x v="25"/>
    <x v="25"/>
    <x v="19"/>
    <x v="19"/>
    <x v="19"/>
    <x v="18"/>
    <x v="250"/>
    <x v="328"/>
    <x v="64"/>
    <x v="334"/>
    <x v="163"/>
    <x v="326"/>
    <x v="5"/>
  </r>
  <r>
    <x v="0"/>
    <x v="25"/>
    <x v="25"/>
    <x v="14"/>
    <x v="14"/>
    <x v="14"/>
    <x v="18"/>
    <x v="250"/>
    <x v="328"/>
    <x v="48"/>
    <x v="16"/>
    <x v="209"/>
    <x v="327"/>
    <x v="5"/>
  </r>
  <r>
    <x v="0"/>
    <x v="25"/>
    <x v="25"/>
    <x v="21"/>
    <x v="21"/>
    <x v="21"/>
    <x v="18"/>
    <x v="250"/>
    <x v="328"/>
    <x v="77"/>
    <x v="83"/>
    <x v="209"/>
    <x v="327"/>
    <x v="4"/>
  </r>
  <r>
    <x v="0"/>
    <x v="26"/>
    <x v="26"/>
    <x v="0"/>
    <x v="0"/>
    <x v="0"/>
    <x v="0"/>
    <x v="173"/>
    <x v="329"/>
    <x v="106"/>
    <x v="335"/>
    <x v="163"/>
    <x v="76"/>
    <x v="5"/>
  </r>
  <r>
    <x v="0"/>
    <x v="26"/>
    <x v="26"/>
    <x v="1"/>
    <x v="1"/>
    <x v="1"/>
    <x v="1"/>
    <x v="216"/>
    <x v="330"/>
    <x v="91"/>
    <x v="336"/>
    <x v="132"/>
    <x v="13"/>
    <x v="10"/>
  </r>
  <r>
    <x v="0"/>
    <x v="26"/>
    <x v="26"/>
    <x v="3"/>
    <x v="3"/>
    <x v="3"/>
    <x v="2"/>
    <x v="138"/>
    <x v="331"/>
    <x v="70"/>
    <x v="337"/>
    <x v="135"/>
    <x v="330"/>
    <x v="5"/>
  </r>
  <r>
    <x v="0"/>
    <x v="26"/>
    <x v="26"/>
    <x v="14"/>
    <x v="14"/>
    <x v="14"/>
    <x v="3"/>
    <x v="163"/>
    <x v="332"/>
    <x v="77"/>
    <x v="83"/>
    <x v="150"/>
    <x v="331"/>
    <x v="5"/>
  </r>
  <r>
    <x v="0"/>
    <x v="26"/>
    <x v="26"/>
    <x v="6"/>
    <x v="6"/>
    <x v="6"/>
    <x v="4"/>
    <x v="259"/>
    <x v="333"/>
    <x v="82"/>
    <x v="338"/>
    <x v="212"/>
    <x v="332"/>
    <x v="5"/>
  </r>
  <r>
    <x v="0"/>
    <x v="26"/>
    <x v="26"/>
    <x v="2"/>
    <x v="2"/>
    <x v="2"/>
    <x v="4"/>
    <x v="259"/>
    <x v="333"/>
    <x v="70"/>
    <x v="337"/>
    <x v="189"/>
    <x v="117"/>
    <x v="5"/>
  </r>
  <r>
    <x v="0"/>
    <x v="26"/>
    <x v="26"/>
    <x v="5"/>
    <x v="5"/>
    <x v="5"/>
    <x v="6"/>
    <x v="262"/>
    <x v="334"/>
    <x v="82"/>
    <x v="338"/>
    <x v="215"/>
    <x v="333"/>
    <x v="5"/>
  </r>
  <r>
    <x v="0"/>
    <x v="26"/>
    <x v="26"/>
    <x v="11"/>
    <x v="11"/>
    <x v="11"/>
    <x v="6"/>
    <x v="262"/>
    <x v="334"/>
    <x v="82"/>
    <x v="338"/>
    <x v="215"/>
    <x v="333"/>
    <x v="5"/>
  </r>
  <r>
    <x v="0"/>
    <x v="26"/>
    <x v="26"/>
    <x v="4"/>
    <x v="4"/>
    <x v="4"/>
    <x v="8"/>
    <x v="280"/>
    <x v="335"/>
    <x v="77"/>
    <x v="83"/>
    <x v="215"/>
    <x v="333"/>
    <x v="5"/>
  </r>
  <r>
    <x v="0"/>
    <x v="26"/>
    <x v="26"/>
    <x v="7"/>
    <x v="7"/>
    <x v="7"/>
    <x v="8"/>
    <x v="280"/>
    <x v="335"/>
    <x v="65"/>
    <x v="339"/>
    <x v="132"/>
    <x v="13"/>
    <x v="5"/>
  </r>
  <r>
    <x v="0"/>
    <x v="26"/>
    <x v="26"/>
    <x v="21"/>
    <x v="21"/>
    <x v="21"/>
    <x v="10"/>
    <x v="268"/>
    <x v="48"/>
    <x v="77"/>
    <x v="83"/>
    <x v="197"/>
    <x v="334"/>
    <x v="5"/>
  </r>
  <r>
    <x v="0"/>
    <x v="26"/>
    <x v="26"/>
    <x v="8"/>
    <x v="8"/>
    <x v="8"/>
    <x v="11"/>
    <x v="248"/>
    <x v="137"/>
    <x v="64"/>
    <x v="340"/>
    <x v="132"/>
    <x v="13"/>
    <x v="5"/>
  </r>
  <r>
    <x v="0"/>
    <x v="26"/>
    <x v="26"/>
    <x v="28"/>
    <x v="28"/>
    <x v="28"/>
    <x v="11"/>
    <x v="248"/>
    <x v="137"/>
    <x v="48"/>
    <x v="341"/>
    <x v="210"/>
    <x v="335"/>
    <x v="5"/>
  </r>
  <r>
    <x v="0"/>
    <x v="26"/>
    <x v="26"/>
    <x v="13"/>
    <x v="13"/>
    <x v="13"/>
    <x v="11"/>
    <x v="248"/>
    <x v="137"/>
    <x v="52"/>
    <x v="236"/>
    <x v="209"/>
    <x v="336"/>
    <x v="5"/>
  </r>
  <r>
    <x v="0"/>
    <x v="26"/>
    <x v="26"/>
    <x v="24"/>
    <x v="24"/>
    <x v="24"/>
    <x v="11"/>
    <x v="248"/>
    <x v="137"/>
    <x v="48"/>
    <x v="341"/>
    <x v="210"/>
    <x v="335"/>
    <x v="5"/>
  </r>
  <r>
    <x v="0"/>
    <x v="26"/>
    <x v="26"/>
    <x v="18"/>
    <x v="18"/>
    <x v="18"/>
    <x v="15"/>
    <x v="249"/>
    <x v="336"/>
    <x v="64"/>
    <x v="340"/>
    <x v="209"/>
    <x v="336"/>
    <x v="5"/>
  </r>
  <r>
    <x v="0"/>
    <x v="26"/>
    <x v="26"/>
    <x v="27"/>
    <x v="27"/>
    <x v="27"/>
    <x v="15"/>
    <x v="249"/>
    <x v="336"/>
    <x v="64"/>
    <x v="340"/>
    <x v="163"/>
    <x v="76"/>
    <x v="5"/>
  </r>
  <r>
    <x v="0"/>
    <x v="26"/>
    <x v="26"/>
    <x v="9"/>
    <x v="9"/>
    <x v="9"/>
    <x v="17"/>
    <x v="250"/>
    <x v="337"/>
    <x v="52"/>
    <x v="236"/>
    <x v="160"/>
    <x v="337"/>
    <x v="5"/>
  </r>
  <r>
    <x v="0"/>
    <x v="26"/>
    <x v="26"/>
    <x v="29"/>
    <x v="29"/>
    <x v="29"/>
    <x v="17"/>
    <x v="250"/>
    <x v="337"/>
    <x v="64"/>
    <x v="340"/>
    <x v="163"/>
    <x v="76"/>
    <x v="5"/>
  </r>
  <r>
    <x v="0"/>
    <x v="26"/>
    <x v="26"/>
    <x v="38"/>
    <x v="38"/>
    <x v="38"/>
    <x v="19"/>
    <x v="251"/>
    <x v="338"/>
    <x v="77"/>
    <x v="83"/>
    <x v="209"/>
    <x v="336"/>
    <x v="5"/>
  </r>
  <r>
    <x v="0"/>
    <x v="26"/>
    <x v="26"/>
    <x v="40"/>
    <x v="40"/>
    <x v="40"/>
    <x v="19"/>
    <x v="251"/>
    <x v="338"/>
    <x v="48"/>
    <x v="341"/>
    <x v="163"/>
    <x v="76"/>
    <x v="5"/>
  </r>
  <r>
    <x v="0"/>
    <x v="26"/>
    <x v="26"/>
    <x v="31"/>
    <x v="31"/>
    <x v="31"/>
    <x v="19"/>
    <x v="251"/>
    <x v="338"/>
    <x v="77"/>
    <x v="83"/>
    <x v="209"/>
    <x v="336"/>
    <x v="5"/>
  </r>
  <r>
    <x v="0"/>
    <x v="26"/>
    <x v="26"/>
    <x v="10"/>
    <x v="10"/>
    <x v="10"/>
    <x v="19"/>
    <x v="251"/>
    <x v="338"/>
    <x v="52"/>
    <x v="236"/>
    <x v="211"/>
    <x v="274"/>
    <x v="5"/>
  </r>
  <r>
    <x v="0"/>
    <x v="26"/>
    <x v="26"/>
    <x v="30"/>
    <x v="30"/>
    <x v="30"/>
    <x v="19"/>
    <x v="251"/>
    <x v="338"/>
    <x v="64"/>
    <x v="340"/>
    <x v="160"/>
    <x v="337"/>
    <x v="5"/>
  </r>
  <r>
    <x v="0"/>
    <x v="26"/>
    <x v="26"/>
    <x v="26"/>
    <x v="26"/>
    <x v="26"/>
    <x v="19"/>
    <x v="251"/>
    <x v="338"/>
    <x v="52"/>
    <x v="236"/>
    <x v="211"/>
    <x v="274"/>
    <x v="5"/>
  </r>
  <r>
    <x v="0"/>
    <x v="26"/>
    <x v="26"/>
    <x v="19"/>
    <x v="19"/>
    <x v="19"/>
    <x v="19"/>
    <x v="251"/>
    <x v="338"/>
    <x v="64"/>
    <x v="340"/>
    <x v="160"/>
    <x v="337"/>
    <x v="5"/>
  </r>
  <r>
    <x v="0"/>
    <x v="27"/>
    <x v="27"/>
    <x v="1"/>
    <x v="1"/>
    <x v="1"/>
    <x v="0"/>
    <x v="281"/>
    <x v="339"/>
    <x v="173"/>
    <x v="342"/>
    <x v="86"/>
    <x v="41"/>
    <x v="5"/>
  </r>
  <r>
    <x v="0"/>
    <x v="27"/>
    <x v="27"/>
    <x v="0"/>
    <x v="0"/>
    <x v="0"/>
    <x v="1"/>
    <x v="114"/>
    <x v="340"/>
    <x v="35"/>
    <x v="343"/>
    <x v="129"/>
    <x v="338"/>
    <x v="5"/>
  </r>
  <r>
    <x v="0"/>
    <x v="27"/>
    <x v="27"/>
    <x v="2"/>
    <x v="2"/>
    <x v="2"/>
    <x v="2"/>
    <x v="166"/>
    <x v="341"/>
    <x v="107"/>
    <x v="344"/>
    <x v="151"/>
    <x v="339"/>
    <x v="5"/>
  </r>
  <r>
    <x v="0"/>
    <x v="27"/>
    <x v="27"/>
    <x v="5"/>
    <x v="5"/>
    <x v="5"/>
    <x v="3"/>
    <x v="282"/>
    <x v="342"/>
    <x v="152"/>
    <x v="345"/>
    <x v="106"/>
    <x v="340"/>
    <x v="5"/>
  </r>
  <r>
    <x v="0"/>
    <x v="27"/>
    <x v="27"/>
    <x v="9"/>
    <x v="9"/>
    <x v="9"/>
    <x v="4"/>
    <x v="170"/>
    <x v="343"/>
    <x v="107"/>
    <x v="344"/>
    <x v="127"/>
    <x v="341"/>
    <x v="5"/>
  </r>
  <r>
    <x v="0"/>
    <x v="27"/>
    <x v="27"/>
    <x v="7"/>
    <x v="7"/>
    <x v="7"/>
    <x v="5"/>
    <x v="155"/>
    <x v="344"/>
    <x v="157"/>
    <x v="346"/>
    <x v="213"/>
    <x v="257"/>
    <x v="5"/>
  </r>
  <r>
    <x v="0"/>
    <x v="27"/>
    <x v="27"/>
    <x v="3"/>
    <x v="3"/>
    <x v="3"/>
    <x v="6"/>
    <x v="106"/>
    <x v="345"/>
    <x v="137"/>
    <x v="347"/>
    <x v="159"/>
    <x v="127"/>
    <x v="5"/>
  </r>
  <r>
    <x v="0"/>
    <x v="27"/>
    <x v="27"/>
    <x v="4"/>
    <x v="4"/>
    <x v="4"/>
    <x v="7"/>
    <x v="90"/>
    <x v="346"/>
    <x v="58"/>
    <x v="348"/>
    <x v="158"/>
    <x v="342"/>
    <x v="5"/>
  </r>
  <r>
    <x v="0"/>
    <x v="27"/>
    <x v="27"/>
    <x v="8"/>
    <x v="8"/>
    <x v="8"/>
    <x v="8"/>
    <x v="172"/>
    <x v="91"/>
    <x v="50"/>
    <x v="349"/>
    <x v="218"/>
    <x v="343"/>
    <x v="5"/>
  </r>
  <r>
    <x v="0"/>
    <x v="27"/>
    <x v="27"/>
    <x v="11"/>
    <x v="11"/>
    <x v="11"/>
    <x v="9"/>
    <x v="152"/>
    <x v="254"/>
    <x v="76"/>
    <x v="350"/>
    <x v="82"/>
    <x v="344"/>
    <x v="5"/>
  </r>
  <r>
    <x v="0"/>
    <x v="27"/>
    <x v="27"/>
    <x v="14"/>
    <x v="14"/>
    <x v="14"/>
    <x v="10"/>
    <x v="196"/>
    <x v="164"/>
    <x v="52"/>
    <x v="18"/>
    <x v="91"/>
    <x v="152"/>
    <x v="5"/>
  </r>
  <r>
    <x v="0"/>
    <x v="27"/>
    <x v="27"/>
    <x v="6"/>
    <x v="6"/>
    <x v="6"/>
    <x v="11"/>
    <x v="158"/>
    <x v="347"/>
    <x v="98"/>
    <x v="351"/>
    <x v="150"/>
    <x v="159"/>
    <x v="4"/>
  </r>
  <r>
    <x v="0"/>
    <x v="27"/>
    <x v="27"/>
    <x v="12"/>
    <x v="12"/>
    <x v="12"/>
    <x v="12"/>
    <x v="169"/>
    <x v="10"/>
    <x v="92"/>
    <x v="236"/>
    <x v="118"/>
    <x v="287"/>
    <x v="5"/>
  </r>
  <r>
    <x v="0"/>
    <x v="27"/>
    <x v="27"/>
    <x v="10"/>
    <x v="10"/>
    <x v="10"/>
    <x v="13"/>
    <x v="283"/>
    <x v="11"/>
    <x v="97"/>
    <x v="338"/>
    <x v="215"/>
    <x v="266"/>
    <x v="5"/>
  </r>
  <r>
    <x v="0"/>
    <x v="27"/>
    <x v="27"/>
    <x v="15"/>
    <x v="15"/>
    <x v="15"/>
    <x v="14"/>
    <x v="140"/>
    <x v="99"/>
    <x v="64"/>
    <x v="77"/>
    <x v="164"/>
    <x v="13"/>
    <x v="5"/>
  </r>
  <r>
    <x v="0"/>
    <x v="27"/>
    <x v="27"/>
    <x v="17"/>
    <x v="17"/>
    <x v="17"/>
    <x v="15"/>
    <x v="163"/>
    <x v="55"/>
    <x v="64"/>
    <x v="77"/>
    <x v="131"/>
    <x v="345"/>
    <x v="5"/>
  </r>
  <r>
    <x v="0"/>
    <x v="27"/>
    <x v="27"/>
    <x v="19"/>
    <x v="19"/>
    <x v="19"/>
    <x v="15"/>
    <x v="163"/>
    <x v="55"/>
    <x v="34"/>
    <x v="159"/>
    <x v="190"/>
    <x v="346"/>
    <x v="5"/>
  </r>
  <r>
    <x v="0"/>
    <x v="27"/>
    <x v="27"/>
    <x v="13"/>
    <x v="13"/>
    <x v="13"/>
    <x v="17"/>
    <x v="164"/>
    <x v="348"/>
    <x v="58"/>
    <x v="348"/>
    <x v="215"/>
    <x v="266"/>
    <x v="5"/>
  </r>
  <r>
    <x v="0"/>
    <x v="27"/>
    <x v="27"/>
    <x v="27"/>
    <x v="27"/>
    <x v="27"/>
    <x v="17"/>
    <x v="164"/>
    <x v="348"/>
    <x v="96"/>
    <x v="216"/>
    <x v="214"/>
    <x v="136"/>
    <x v="5"/>
  </r>
  <r>
    <x v="0"/>
    <x v="27"/>
    <x v="27"/>
    <x v="16"/>
    <x v="16"/>
    <x v="16"/>
    <x v="19"/>
    <x v="245"/>
    <x v="349"/>
    <x v="52"/>
    <x v="18"/>
    <x v="135"/>
    <x v="101"/>
    <x v="5"/>
  </r>
  <r>
    <x v="0"/>
    <x v="27"/>
    <x v="27"/>
    <x v="23"/>
    <x v="23"/>
    <x v="23"/>
    <x v="19"/>
    <x v="245"/>
    <x v="349"/>
    <x v="48"/>
    <x v="210"/>
    <x v="127"/>
    <x v="341"/>
    <x v="5"/>
  </r>
  <r>
    <x v="0"/>
    <x v="28"/>
    <x v="28"/>
    <x v="1"/>
    <x v="1"/>
    <x v="1"/>
    <x v="0"/>
    <x v="198"/>
    <x v="350"/>
    <x v="138"/>
    <x v="352"/>
    <x v="209"/>
    <x v="89"/>
    <x v="5"/>
  </r>
  <r>
    <x v="0"/>
    <x v="28"/>
    <x v="28"/>
    <x v="0"/>
    <x v="0"/>
    <x v="0"/>
    <x v="1"/>
    <x v="136"/>
    <x v="351"/>
    <x v="57"/>
    <x v="353"/>
    <x v="190"/>
    <x v="42"/>
    <x v="5"/>
  </r>
  <r>
    <x v="0"/>
    <x v="28"/>
    <x v="28"/>
    <x v="3"/>
    <x v="3"/>
    <x v="3"/>
    <x v="2"/>
    <x v="161"/>
    <x v="352"/>
    <x v="70"/>
    <x v="354"/>
    <x v="150"/>
    <x v="347"/>
    <x v="5"/>
  </r>
  <r>
    <x v="0"/>
    <x v="28"/>
    <x v="28"/>
    <x v="6"/>
    <x v="6"/>
    <x v="6"/>
    <x v="3"/>
    <x v="245"/>
    <x v="353"/>
    <x v="65"/>
    <x v="347"/>
    <x v="157"/>
    <x v="348"/>
    <x v="4"/>
  </r>
  <r>
    <x v="0"/>
    <x v="28"/>
    <x v="28"/>
    <x v="5"/>
    <x v="5"/>
    <x v="5"/>
    <x v="4"/>
    <x v="279"/>
    <x v="354"/>
    <x v="53"/>
    <x v="355"/>
    <x v="190"/>
    <x v="42"/>
    <x v="5"/>
  </r>
  <r>
    <x v="0"/>
    <x v="28"/>
    <x v="28"/>
    <x v="14"/>
    <x v="14"/>
    <x v="14"/>
    <x v="5"/>
    <x v="246"/>
    <x v="355"/>
    <x v="77"/>
    <x v="83"/>
    <x v="209"/>
    <x v="89"/>
    <x v="5"/>
  </r>
  <r>
    <x v="0"/>
    <x v="28"/>
    <x v="28"/>
    <x v="4"/>
    <x v="4"/>
    <x v="4"/>
    <x v="6"/>
    <x v="268"/>
    <x v="188"/>
    <x v="48"/>
    <x v="349"/>
    <x v="206"/>
    <x v="109"/>
    <x v="5"/>
  </r>
  <r>
    <x v="0"/>
    <x v="28"/>
    <x v="28"/>
    <x v="8"/>
    <x v="8"/>
    <x v="8"/>
    <x v="6"/>
    <x v="268"/>
    <x v="188"/>
    <x v="52"/>
    <x v="356"/>
    <x v="189"/>
    <x v="240"/>
    <x v="5"/>
  </r>
  <r>
    <x v="0"/>
    <x v="28"/>
    <x v="28"/>
    <x v="11"/>
    <x v="11"/>
    <x v="11"/>
    <x v="6"/>
    <x v="268"/>
    <x v="188"/>
    <x v="82"/>
    <x v="357"/>
    <x v="209"/>
    <x v="89"/>
    <x v="5"/>
  </r>
  <r>
    <x v="0"/>
    <x v="28"/>
    <x v="28"/>
    <x v="7"/>
    <x v="7"/>
    <x v="7"/>
    <x v="9"/>
    <x v="247"/>
    <x v="335"/>
    <x v="82"/>
    <x v="357"/>
    <x v="160"/>
    <x v="349"/>
    <x v="5"/>
  </r>
  <r>
    <x v="0"/>
    <x v="28"/>
    <x v="28"/>
    <x v="13"/>
    <x v="13"/>
    <x v="13"/>
    <x v="10"/>
    <x v="248"/>
    <x v="356"/>
    <x v="64"/>
    <x v="358"/>
    <x v="132"/>
    <x v="48"/>
    <x v="5"/>
  </r>
  <r>
    <x v="0"/>
    <x v="28"/>
    <x v="28"/>
    <x v="19"/>
    <x v="19"/>
    <x v="19"/>
    <x v="11"/>
    <x v="249"/>
    <x v="179"/>
    <x v="64"/>
    <x v="358"/>
    <x v="209"/>
    <x v="89"/>
    <x v="5"/>
  </r>
  <r>
    <x v="0"/>
    <x v="28"/>
    <x v="28"/>
    <x v="9"/>
    <x v="9"/>
    <x v="9"/>
    <x v="11"/>
    <x v="249"/>
    <x v="179"/>
    <x v="64"/>
    <x v="358"/>
    <x v="211"/>
    <x v="274"/>
    <x v="5"/>
  </r>
  <r>
    <x v="0"/>
    <x v="28"/>
    <x v="28"/>
    <x v="17"/>
    <x v="17"/>
    <x v="17"/>
    <x v="13"/>
    <x v="250"/>
    <x v="138"/>
    <x v="48"/>
    <x v="349"/>
    <x v="163"/>
    <x v="144"/>
    <x v="4"/>
  </r>
  <r>
    <x v="0"/>
    <x v="28"/>
    <x v="28"/>
    <x v="2"/>
    <x v="2"/>
    <x v="2"/>
    <x v="13"/>
    <x v="250"/>
    <x v="138"/>
    <x v="64"/>
    <x v="358"/>
    <x v="163"/>
    <x v="144"/>
    <x v="5"/>
  </r>
  <r>
    <x v="0"/>
    <x v="28"/>
    <x v="28"/>
    <x v="26"/>
    <x v="26"/>
    <x v="26"/>
    <x v="15"/>
    <x v="251"/>
    <x v="357"/>
    <x v="77"/>
    <x v="83"/>
    <x v="163"/>
    <x v="144"/>
    <x v="5"/>
  </r>
  <r>
    <x v="0"/>
    <x v="28"/>
    <x v="28"/>
    <x v="36"/>
    <x v="36"/>
    <x v="36"/>
    <x v="15"/>
    <x v="251"/>
    <x v="357"/>
    <x v="77"/>
    <x v="83"/>
    <x v="163"/>
    <x v="144"/>
    <x v="5"/>
  </r>
  <r>
    <x v="0"/>
    <x v="28"/>
    <x v="28"/>
    <x v="28"/>
    <x v="28"/>
    <x v="28"/>
    <x v="17"/>
    <x v="252"/>
    <x v="358"/>
    <x v="48"/>
    <x v="349"/>
    <x v="160"/>
    <x v="349"/>
    <x v="5"/>
  </r>
  <r>
    <x v="0"/>
    <x v="28"/>
    <x v="28"/>
    <x v="32"/>
    <x v="32"/>
    <x v="32"/>
    <x v="17"/>
    <x v="252"/>
    <x v="358"/>
    <x v="77"/>
    <x v="83"/>
    <x v="163"/>
    <x v="144"/>
    <x v="5"/>
  </r>
  <r>
    <x v="0"/>
    <x v="28"/>
    <x v="28"/>
    <x v="38"/>
    <x v="38"/>
    <x v="38"/>
    <x v="17"/>
    <x v="252"/>
    <x v="358"/>
    <x v="77"/>
    <x v="83"/>
    <x v="163"/>
    <x v="144"/>
    <x v="5"/>
  </r>
  <r>
    <x v="0"/>
    <x v="28"/>
    <x v="28"/>
    <x v="40"/>
    <x v="40"/>
    <x v="40"/>
    <x v="17"/>
    <x v="252"/>
    <x v="358"/>
    <x v="77"/>
    <x v="83"/>
    <x v="163"/>
    <x v="144"/>
    <x v="5"/>
  </r>
  <r>
    <x v="0"/>
    <x v="28"/>
    <x v="28"/>
    <x v="15"/>
    <x v="15"/>
    <x v="15"/>
    <x v="17"/>
    <x v="252"/>
    <x v="358"/>
    <x v="48"/>
    <x v="349"/>
    <x v="160"/>
    <x v="349"/>
    <x v="5"/>
  </r>
  <r>
    <x v="0"/>
    <x v="28"/>
    <x v="28"/>
    <x v="12"/>
    <x v="12"/>
    <x v="12"/>
    <x v="17"/>
    <x v="252"/>
    <x v="358"/>
    <x v="77"/>
    <x v="83"/>
    <x v="163"/>
    <x v="144"/>
    <x v="5"/>
  </r>
  <r>
    <x v="0"/>
    <x v="28"/>
    <x v="28"/>
    <x v="27"/>
    <x v="27"/>
    <x v="27"/>
    <x v="17"/>
    <x v="252"/>
    <x v="358"/>
    <x v="48"/>
    <x v="349"/>
    <x v="160"/>
    <x v="349"/>
    <x v="5"/>
  </r>
  <r>
    <x v="0"/>
    <x v="29"/>
    <x v="29"/>
    <x v="0"/>
    <x v="0"/>
    <x v="0"/>
    <x v="0"/>
    <x v="282"/>
    <x v="359"/>
    <x v="174"/>
    <x v="359"/>
    <x v="208"/>
    <x v="350"/>
    <x v="5"/>
  </r>
  <r>
    <x v="0"/>
    <x v="29"/>
    <x v="29"/>
    <x v="1"/>
    <x v="1"/>
    <x v="1"/>
    <x v="1"/>
    <x v="74"/>
    <x v="360"/>
    <x v="175"/>
    <x v="360"/>
    <x v="197"/>
    <x v="196"/>
    <x v="5"/>
  </r>
  <r>
    <x v="0"/>
    <x v="29"/>
    <x v="29"/>
    <x v="2"/>
    <x v="2"/>
    <x v="2"/>
    <x v="2"/>
    <x v="132"/>
    <x v="281"/>
    <x v="72"/>
    <x v="101"/>
    <x v="150"/>
    <x v="351"/>
    <x v="5"/>
  </r>
  <r>
    <x v="0"/>
    <x v="29"/>
    <x v="29"/>
    <x v="3"/>
    <x v="3"/>
    <x v="3"/>
    <x v="3"/>
    <x v="169"/>
    <x v="159"/>
    <x v="76"/>
    <x v="361"/>
    <x v="145"/>
    <x v="352"/>
    <x v="5"/>
  </r>
  <r>
    <x v="0"/>
    <x v="29"/>
    <x v="29"/>
    <x v="4"/>
    <x v="4"/>
    <x v="4"/>
    <x v="4"/>
    <x v="244"/>
    <x v="174"/>
    <x v="58"/>
    <x v="260"/>
    <x v="136"/>
    <x v="353"/>
    <x v="5"/>
  </r>
  <r>
    <x v="0"/>
    <x v="29"/>
    <x v="29"/>
    <x v="6"/>
    <x v="6"/>
    <x v="6"/>
    <x v="5"/>
    <x v="218"/>
    <x v="361"/>
    <x v="31"/>
    <x v="195"/>
    <x v="135"/>
    <x v="24"/>
    <x v="5"/>
  </r>
  <r>
    <x v="0"/>
    <x v="29"/>
    <x v="29"/>
    <x v="5"/>
    <x v="5"/>
    <x v="5"/>
    <x v="6"/>
    <x v="174"/>
    <x v="362"/>
    <x v="115"/>
    <x v="362"/>
    <x v="190"/>
    <x v="199"/>
    <x v="5"/>
  </r>
  <r>
    <x v="0"/>
    <x v="29"/>
    <x v="29"/>
    <x v="11"/>
    <x v="11"/>
    <x v="11"/>
    <x v="7"/>
    <x v="163"/>
    <x v="306"/>
    <x v="92"/>
    <x v="363"/>
    <x v="197"/>
    <x v="196"/>
    <x v="5"/>
  </r>
  <r>
    <x v="0"/>
    <x v="29"/>
    <x v="29"/>
    <x v="8"/>
    <x v="8"/>
    <x v="8"/>
    <x v="8"/>
    <x v="258"/>
    <x v="165"/>
    <x v="82"/>
    <x v="364"/>
    <x v="214"/>
    <x v="41"/>
    <x v="5"/>
  </r>
  <r>
    <x v="0"/>
    <x v="29"/>
    <x v="29"/>
    <x v="10"/>
    <x v="10"/>
    <x v="10"/>
    <x v="9"/>
    <x v="259"/>
    <x v="363"/>
    <x v="111"/>
    <x v="365"/>
    <x v="209"/>
    <x v="354"/>
    <x v="4"/>
  </r>
  <r>
    <x v="0"/>
    <x v="29"/>
    <x v="29"/>
    <x v="18"/>
    <x v="18"/>
    <x v="18"/>
    <x v="10"/>
    <x v="261"/>
    <x v="122"/>
    <x v="64"/>
    <x v="366"/>
    <x v="134"/>
    <x v="355"/>
    <x v="5"/>
  </r>
  <r>
    <x v="0"/>
    <x v="29"/>
    <x v="29"/>
    <x v="17"/>
    <x v="17"/>
    <x v="17"/>
    <x v="10"/>
    <x v="261"/>
    <x v="122"/>
    <x v="52"/>
    <x v="367"/>
    <x v="157"/>
    <x v="21"/>
    <x v="5"/>
  </r>
  <r>
    <x v="0"/>
    <x v="29"/>
    <x v="29"/>
    <x v="7"/>
    <x v="7"/>
    <x v="7"/>
    <x v="10"/>
    <x v="261"/>
    <x v="122"/>
    <x v="111"/>
    <x v="365"/>
    <x v="209"/>
    <x v="354"/>
    <x v="5"/>
  </r>
  <r>
    <x v="0"/>
    <x v="29"/>
    <x v="29"/>
    <x v="16"/>
    <x v="16"/>
    <x v="16"/>
    <x v="13"/>
    <x v="262"/>
    <x v="153"/>
    <x v="48"/>
    <x v="77"/>
    <x v="134"/>
    <x v="355"/>
    <x v="5"/>
  </r>
  <r>
    <x v="0"/>
    <x v="29"/>
    <x v="29"/>
    <x v="14"/>
    <x v="14"/>
    <x v="14"/>
    <x v="13"/>
    <x v="262"/>
    <x v="153"/>
    <x v="77"/>
    <x v="83"/>
    <x v="160"/>
    <x v="356"/>
    <x v="5"/>
  </r>
  <r>
    <x v="0"/>
    <x v="29"/>
    <x v="29"/>
    <x v="24"/>
    <x v="24"/>
    <x v="24"/>
    <x v="15"/>
    <x v="267"/>
    <x v="364"/>
    <x v="48"/>
    <x v="77"/>
    <x v="157"/>
    <x v="21"/>
    <x v="5"/>
  </r>
  <r>
    <x v="0"/>
    <x v="29"/>
    <x v="29"/>
    <x v="9"/>
    <x v="9"/>
    <x v="9"/>
    <x v="15"/>
    <x v="267"/>
    <x v="364"/>
    <x v="58"/>
    <x v="260"/>
    <x v="163"/>
    <x v="357"/>
    <x v="5"/>
  </r>
  <r>
    <x v="0"/>
    <x v="29"/>
    <x v="29"/>
    <x v="27"/>
    <x v="27"/>
    <x v="27"/>
    <x v="17"/>
    <x v="246"/>
    <x v="37"/>
    <x v="70"/>
    <x v="368"/>
    <x v="163"/>
    <x v="357"/>
    <x v="5"/>
  </r>
  <r>
    <x v="0"/>
    <x v="29"/>
    <x v="29"/>
    <x v="28"/>
    <x v="28"/>
    <x v="28"/>
    <x v="18"/>
    <x v="263"/>
    <x v="15"/>
    <x v="65"/>
    <x v="340"/>
    <x v="190"/>
    <x v="199"/>
    <x v="5"/>
  </r>
  <r>
    <x v="0"/>
    <x v="29"/>
    <x v="29"/>
    <x v="15"/>
    <x v="15"/>
    <x v="15"/>
    <x v="19"/>
    <x v="264"/>
    <x v="232"/>
    <x v="64"/>
    <x v="366"/>
    <x v="197"/>
    <x v="196"/>
    <x v="5"/>
  </r>
  <r>
    <x v="0"/>
    <x v="29"/>
    <x v="29"/>
    <x v="30"/>
    <x v="30"/>
    <x v="30"/>
    <x v="19"/>
    <x v="264"/>
    <x v="232"/>
    <x v="65"/>
    <x v="340"/>
    <x v="189"/>
    <x v="178"/>
    <x v="5"/>
  </r>
  <r>
    <x v="0"/>
    <x v="30"/>
    <x v="30"/>
    <x v="0"/>
    <x v="0"/>
    <x v="0"/>
    <x v="0"/>
    <x v="190"/>
    <x v="365"/>
    <x v="104"/>
    <x v="369"/>
    <x v="210"/>
    <x v="134"/>
    <x v="5"/>
  </r>
  <r>
    <x v="0"/>
    <x v="30"/>
    <x v="30"/>
    <x v="1"/>
    <x v="1"/>
    <x v="1"/>
    <x v="1"/>
    <x v="131"/>
    <x v="366"/>
    <x v="105"/>
    <x v="370"/>
    <x v="163"/>
    <x v="349"/>
    <x v="5"/>
  </r>
  <r>
    <x v="0"/>
    <x v="30"/>
    <x v="30"/>
    <x v="3"/>
    <x v="3"/>
    <x v="3"/>
    <x v="2"/>
    <x v="158"/>
    <x v="367"/>
    <x v="74"/>
    <x v="141"/>
    <x v="145"/>
    <x v="348"/>
    <x v="5"/>
  </r>
  <r>
    <x v="0"/>
    <x v="30"/>
    <x v="30"/>
    <x v="2"/>
    <x v="2"/>
    <x v="2"/>
    <x v="3"/>
    <x v="244"/>
    <x v="368"/>
    <x v="138"/>
    <x v="371"/>
    <x v="132"/>
    <x v="144"/>
    <x v="5"/>
  </r>
  <r>
    <x v="0"/>
    <x v="30"/>
    <x v="30"/>
    <x v="5"/>
    <x v="5"/>
    <x v="5"/>
    <x v="4"/>
    <x v="161"/>
    <x v="144"/>
    <x v="76"/>
    <x v="372"/>
    <x v="214"/>
    <x v="358"/>
    <x v="5"/>
  </r>
  <r>
    <x v="0"/>
    <x v="30"/>
    <x v="30"/>
    <x v="6"/>
    <x v="6"/>
    <x v="6"/>
    <x v="5"/>
    <x v="139"/>
    <x v="369"/>
    <x v="38"/>
    <x v="373"/>
    <x v="157"/>
    <x v="42"/>
    <x v="5"/>
  </r>
  <r>
    <x v="0"/>
    <x v="30"/>
    <x v="30"/>
    <x v="4"/>
    <x v="4"/>
    <x v="4"/>
    <x v="6"/>
    <x v="162"/>
    <x v="370"/>
    <x v="64"/>
    <x v="374"/>
    <x v="109"/>
    <x v="288"/>
    <x v="5"/>
  </r>
  <r>
    <x v="0"/>
    <x v="30"/>
    <x v="30"/>
    <x v="9"/>
    <x v="9"/>
    <x v="9"/>
    <x v="7"/>
    <x v="163"/>
    <x v="371"/>
    <x v="111"/>
    <x v="375"/>
    <x v="163"/>
    <x v="349"/>
    <x v="4"/>
  </r>
  <r>
    <x v="0"/>
    <x v="30"/>
    <x v="30"/>
    <x v="7"/>
    <x v="7"/>
    <x v="7"/>
    <x v="8"/>
    <x v="245"/>
    <x v="202"/>
    <x v="92"/>
    <x v="376"/>
    <x v="210"/>
    <x v="134"/>
    <x v="5"/>
  </r>
  <r>
    <x v="0"/>
    <x v="30"/>
    <x v="30"/>
    <x v="11"/>
    <x v="11"/>
    <x v="11"/>
    <x v="9"/>
    <x v="258"/>
    <x v="372"/>
    <x v="111"/>
    <x v="375"/>
    <x v="210"/>
    <x v="134"/>
    <x v="5"/>
  </r>
  <r>
    <x v="0"/>
    <x v="30"/>
    <x v="30"/>
    <x v="14"/>
    <x v="14"/>
    <x v="14"/>
    <x v="9"/>
    <x v="258"/>
    <x v="372"/>
    <x v="77"/>
    <x v="83"/>
    <x v="135"/>
    <x v="359"/>
    <x v="4"/>
  </r>
  <r>
    <x v="0"/>
    <x v="30"/>
    <x v="30"/>
    <x v="27"/>
    <x v="27"/>
    <x v="27"/>
    <x v="11"/>
    <x v="246"/>
    <x v="230"/>
    <x v="70"/>
    <x v="377"/>
    <x v="163"/>
    <x v="349"/>
    <x v="5"/>
  </r>
  <r>
    <x v="0"/>
    <x v="30"/>
    <x v="30"/>
    <x v="8"/>
    <x v="8"/>
    <x v="8"/>
    <x v="12"/>
    <x v="263"/>
    <x v="373"/>
    <x v="51"/>
    <x v="179"/>
    <x v="206"/>
    <x v="48"/>
    <x v="5"/>
  </r>
  <r>
    <x v="0"/>
    <x v="30"/>
    <x v="30"/>
    <x v="30"/>
    <x v="30"/>
    <x v="30"/>
    <x v="13"/>
    <x v="264"/>
    <x v="97"/>
    <x v="96"/>
    <x v="378"/>
    <x v="163"/>
    <x v="349"/>
    <x v="5"/>
  </r>
  <r>
    <x v="0"/>
    <x v="30"/>
    <x v="30"/>
    <x v="16"/>
    <x v="16"/>
    <x v="16"/>
    <x v="14"/>
    <x v="280"/>
    <x v="374"/>
    <x v="51"/>
    <x v="179"/>
    <x v="189"/>
    <x v="89"/>
    <x v="5"/>
  </r>
  <r>
    <x v="0"/>
    <x v="30"/>
    <x v="30"/>
    <x v="13"/>
    <x v="13"/>
    <x v="13"/>
    <x v="14"/>
    <x v="280"/>
    <x v="374"/>
    <x v="51"/>
    <x v="179"/>
    <x v="189"/>
    <x v="89"/>
    <x v="5"/>
  </r>
  <r>
    <x v="0"/>
    <x v="30"/>
    <x v="30"/>
    <x v="19"/>
    <x v="19"/>
    <x v="19"/>
    <x v="14"/>
    <x v="280"/>
    <x v="374"/>
    <x v="82"/>
    <x v="134"/>
    <x v="132"/>
    <x v="144"/>
    <x v="5"/>
  </r>
  <r>
    <x v="0"/>
    <x v="30"/>
    <x v="30"/>
    <x v="17"/>
    <x v="17"/>
    <x v="17"/>
    <x v="17"/>
    <x v="268"/>
    <x v="38"/>
    <x v="52"/>
    <x v="379"/>
    <x v="189"/>
    <x v="89"/>
    <x v="5"/>
  </r>
  <r>
    <x v="0"/>
    <x v="30"/>
    <x v="30"/>
    <x v="10"/>
    <x v="10"/>
    <x v="10"/>
    <x v="17"/>
    <x v="268"/>
    <x v="38"/>
    <x v="53"/>
    <x v="380"/>
    <x v="163"/>
    <x v="349"/>
    <x v="5"/>
  </r>
  <r>
    <x v="0"/>
    <x v="30"/>
    <x v="30"/>
    <x v="12"/>
    <x v="12"/>
    <x v="12"/>
    <x v="17"/>
    <x v="268"/>
    <x v="38"/>
    <x v="64"/>
    <x v="374"/>
    <x v="190"/>
    <x v="360"/>
    <x v="5"/>
  </r>
  <r>
    <x v="0"/>
    <x v="31"/>
    <x v="31"/>
    <x v="2"/>
    <x v="2"/>
    <x v="2"/>
    <x v="0"/>
    <x v="155"/>
    <x v="375"/>
    <x v="144"/>
    <x v="381"/>
    <x v="150"/>
    <x v="361"/>
    <x v="5"/>
  </r>
  <r>
    <x v="0"/>
    <x v="31"/>
    <x v="31"/>
    <x v="0"/>
    <x v="0"/>
    <x v="0"/>
    <x v="1"/>
    <x v="89"/>
    <x v="376"/>
    <x v="154"/>
    <x v="382"/>
    <x v="206"/>
    <x v="362"/>
    <x v="5"/>
  </r>
  <r>
    <x v="0"/>
    <x v="31"/>
    <x v="31"/>
    <x v="1"/>
    <x v="1"/>
    <x v="1"/>
    <x v="2"/>
    <x v="150"/>
    <x v="377"/>
    <x v="176"/>
    <x v="383"/>
    <x v="214"/>
    <x v="363"/>
    <x v="5"/>
  </r>
  <r>
    <x v="0"/>
    <x v="31"/>
    <x v="31"/>
    <x v="3"/>
    <x v="3"/>
    <x v="3"/>
    <x v="3"/>
    <x v="123"/>
    <x v="378"/>
    <x v="115"/>
    <x v="279"/>
    <x v="219"/>
    <x v="364"/>
    <x v="5"/>
  </r>
  <r>
    <x v="0"/>
    <x v="31"/>
    <x v="31"/>
    <x v="6"/>
    <x v="6"/>
    <x v="6"/>
    <x v="4"/>
    <x v="135"/>
    <x v="379"/>
    <x v="61"/>
    <x v="384"/>
    <x v="134"/>
    <x v="365"/>
    <x v="5"/>
  </r>
  <r>
    <x v="0"/>
    <x v="31"/>
    <x v="31"/>
    <x v="7"/>
    <x v="7"/>
    <x v="7"/>
    <x v="5"/>
    <x v="136"/>
    <x v="380"/>
    <x v="69"/>
    <x v="385"/>
    <x v="206"/>
    <x v="362"/>
    <x v="5"/>
  </r>
  <r>
    <x v="0"/>
    <x v="31"/>
    <x v="31"/>
    <x v="5"/>
    <x v="5"/>
    <x v="5"/>
    <x v="6"/>
    <x v="140"/>
    <x v="255"/>
    <x v="111"/>
    <x v="165"/>
    <x v="212"/>
    <x v="0"/>
    <x v="5"/>
  </r>
  <r>
    <x v="0"/>
    <x v="31"/>
    <x v="31"/>
    <x v="4"/>
    <x v="4"/>
    <x v="4"/>
    <x v="7"/>
    <x v="163"/>
    <x v="273"/>
    <x v="78"/>
    <x v="218"/>
    <x v="157"/>
    <x v="193"/>
    <x v="5"/>
  </r>
  <r>
    <x v="0"/>
    <x v="31"/>
    <x v="31"/>
    <x v="11"/>
    <x v="11"/>
    <x v="11"/>
    <x v="8"/>
    <x v="260"/>
    <x v="347"/>
    <x v="70"/>
    <x v="386"/>
    <x v="215"/>
    <x v="366"/>
    <x v="5"/>
  </r>
  <r>
    <x v="0"/>
    <x v="31"/>
    <x v="31"/>
    <x v="9"/>
    <x v="9"/>
    <x v="9"/>
    <x v="8"/>
    <x v="260"/>
    <x v="347"/>
    <x v="31"/>
    <x v="338"/>
    <x v="163"/>
    <x v="367"/>
    <x v="5"/>
  </r>
  <r>
    <x v="0"/>
    <x v="31"/>
    <x v="31"/>
    <x v="14"/>
    <x v="14"/>
    <x v="14"/>
    <x v="10"/>
    <x v="258"/>
    <x v="135"/>
    <x v="77"/>
    <x v="83"/>
    <x v="134"/>
    <x v="365"/>
    <x v="5"/>
  </r>
  <r>
    <x v="0"/>
    <x v="31"/>
    <x v="31"/>
    <x v="8"/>
    <x v="8"/>
    <x v="8"/>
    <x v="11"/>
    <x v="267"/>
    <x v="287"/>
    <x v="51"/>
    <x v="198"/>
    <x v="213"/>
    <x v="171"/>
    <x v="5"/>
  </r>
  <r>
    <x v="0"/>
    <x v="31"/>
    <x v="31"/>
    <x v="13"/>
    <x v="13"/>
    <x v="13"/>
    <x v="12"/>
    <x v="246"/>
    <x v="242"/>
    <x v="65"/>
    <x v="387"/>
    <x v="206"/>
    <x v="362"/>
    <x v="5"/>
  </r>
  <r>
    <x v="0"/>
    <x v="31"/>
    <x v="31"/>
    <x v="24"/>
    <x v="24"/>
    <x v="24"/>
    <x v="12"/>
    <x v="246"/>
    <x v="242"/>
    <x v="52"/>
    <x v="277"/>
    <x v="215"/>
    <x v="366"/>
    <x v="5"/>
  </r>
  <r>
    <x v="0"/>
    <x v="31"/>
    <x v="31"/>
    <x v="12"/>
    <x v="12"/>
    <x v="12"/>
    <x v="12"/>
    <x v="246"/>
    <x v="242"/>
    <x v="50"/>
    <x v="13"/>
    <x v="132"/>
    <x v="368"/>
    <x v="5"/>
  </r>
  <r>
    <x v="0"/>
    <x v="31"/>
    <x v="31"/>
    <x v="30"/>
    <x v="30"/>
    <x v="30"/>
    <x v="12"/>
    <x v="246"/>
    <x v="242"/>
    <x v="58"/>
    <x v="388"/>
    <x v="160"/>
    <x v="369"/>
    <x v="5"/>
  </r>
  <r>
    <x v="0"/>
    <x v="31"/>
    <x v="31"/>
    <x v="19"/>
    <x v="19"/>
    <x v="19"/>
    <x v="12"/>
    <x v="246"/>
    <x v="242"/>
    <x v="53"/>
    <x v="4"/>
    <x v="189"/>
    <x v="370"/>
    <x v="5"/>
  </r>
  <r>
    <x v="0"/>
    <x v="31"/>
    <x v="31"/>
    <x v="21"/>
    <x v="21"/>
    <x v="21"/>
    <x v="12"/>
    <x v="246"/>
    <x v="242"/>
    <x v="64"/>
    <x v="318"/>
    <x v="215"/>
    <x v="366"/>
    <x v="4"/>
  </r>
  <r>
    <x v="0"/>
    <x v="31"/>
    <x v="31"/>
    <x v="10"/>
    <x v="10"/>
    <x v="10"/>
    <x v="18"/>
    <x v="264"/>
    <x v="181"/>
    <x v="78"/>
    <x v="218"/>
    <x v="160"/>
    <x v="369"/>
    <x v="5"/>
  </r>
  <r>
    <x v="0"/>
    <x v="31"/>
    <x v="31"/>
    <x v="28"/>
    <x v="28"/>
    <x v="28"/>
    <x v="19"/>
    <x v="280"/>
    <x v="126"/>
    <x v="52"/>
    <x v="277"/>
    <x v="190"/>
    <x v="69"/>
    <x v="5"/>
  </r>
  <r>
    <x v="0"/>
    <x v="31"/>
    <x v="31"/>
    <x v="17"/>
    <x v="17"/>
    <x v="17"/>
    <x v="19"/>
    <x v="280"/>
    <x v="126"/>
    <x v="48"/>
    <x v="38"/>
    <x v="197"/>
    <x v="276"/>
    <x v="5"/>
  </r>
  <r>
    <x v="0"/>
    <x v="31"/>
    <x v="31"/>
    <x v="34"/>
    <x v="34"/>
    <x v="34"/>
    <x v="19"/>
    <x v="280"/>
    <x v="126"/>
    <x v="52"/>
    <x v="277"/>
    <x v="189"/>
    <x v="370"/>
    <x v="4"/>
  </r>
  <r>
    <x v="0"/>
    <x v="32"/>
    <x v="32"/>
    <x v="1"/>
    <x v="1"/>
    <x v="1"/>
    <x v="0"/>
    <x v="138"/>
    <x v="381"/>
    <x v="66"/>
    <x v="389"/>
    <x v="210"/>
    <x v="97"/>
    <x v="5"/>
  </r>
  <r>
    <x v="0"/>
    <x v="32"/>
    <x v="32"/>
    <x v="0"/>
    <x v="0"/>
    <x v="0"/>
    <x v="1"/>
    <x v="258"/>
    <x v="382"/>
    <x v="34"/>
    <x v="390"/>
    <x v="163"/>
    <x v="311"/>
    <x v="5"/>
  </r>
  <r>
    <x v="0"/>
    <x v="32"/>
    <x v="32"/>
    <x v="6"/>
    <x v="6"/>
    <x v="6"/>
    <x v="2"/>
    <x v="261"/>
    <x v="383"/>
    <x v="53"/>
    <x v="391"/>
    <x v="215"/>
    <x v="371"/>
    <x v="5"/>
  </r>
  <r>
    <x v="0"/>
    <x v="32"/>
    <x v="32"/>
    <x v="3"/>
    <x v="3"/>
    <x v="3"/>
    <x v="2"/>
    <x v="261"/>
    <x v="383"/>
    <x v="53"/>
    <x v="391"/>
    <x v="215"/>
    <x v="371"/>
    <x v="5"/>
  </r>
  <r>
    <x v="0"/>
    <x v="32"/>
    <x v="32"/>
    <x v="4"/>
    <x v="4"/>
    <x v="4"/>
    <x v="4"/>
    <x v="279"/>
    <x v="384"/>
    <x v="64"/>
    <x v="178"/>
    <x v="212"/>
    <x v="372"/>
    <x v="5"/>
  </r>
  <r>
    <x v="0"/>
    <x v="32"/>
    <x v="32"/>
    <x v="5"/>
    <x v="5"/>
    <x v="5"/>
    <x v="5"/>
    <x v="268"/>
    <x v="385"/>
    <x v="64"/>
    <x v="178"/>
    <x v="190"/>
    <x v="373"/>
    <x v="5"/>
  </r>
  <r>
    <x v="0"/>
    <x v="32"/>
    <x v="32"/>
    <x v="13"/>
    <x v="13"/>
    <x v="13"/>
    <x v="5"/>
    <x v="268"/>
    <x v="385"/>
    <x v="65"/>
    <x v="392"/>
    <x v="132"/>
    <x v="374"/>
    <x v="5"/>
  </r>
  <r>
    <x v="0"/>
    <x v="32"/>
    <x v="32"/>
    <x v="8"/>
    <x v="8"/>
    <x v="8"/>
    <x v="7"/>
    <x v="247"/>
    <x v="386"/>
    <x v="48"/>
    <x v="80"/>
    <x v="189"/>
    <x v="375"/>
    <x v="5"/>
  </r>
  <r>
    <x v="0"/>
    <x v="32"/>
    <x v="32"/>
    <x v="11"/>
    <x v="11"/>
    <x v="11"/>
    <x v="8"/>
    <x v="248"/>
    <x v="256"/>
    <x v="48"/>
    <x v="80"/>
    <x v="210"/>
    <x v="97"/>
    <x v="5"/>
  </r>
  <r>
    <x v="0"/>
    <x v="32"/>
    <x v="32"/>
    <x v="23"/>
    <x v="23"/>
    <x v="23"/>
    <x v="9"/>
    <x v="249"/>
    <x v="387"/>
    <x v="77"/>
    <x v="83"/>
    <x v="210"/>
    <x v="97"/>
    <x v="5"/>
  </r>
  <r>
    <x v="0"/>
    <x v="32"/>
    <x v="32"/>
    <x v="14"/>
    <x v="14"/>
    <x v="14"/>
    <x v="9"/>
    <x v="249"/>
    <x v="387"/>
    <x v="77"/>
    <x v="83"/>
    <x v="132"/>
    <x v="374"/>
    <x v="4"/>
  </r>
  <r>
    <x v="0"/>
    <x v="32"/>
    <x v="32"/>
    <x v="32"/>
    <x v="32"/>
    <x v="32"/>
    <x v="11"/>
    <x v="251"/>
    <x v="154"/>
    <x v="48"/>
    <x v="80"/>
    <x v="163"/>
    <x v="311"/>
    <x v="5"/>
  </r>
  <r>
    <x v="0"/>
    <x v="32"/>
    <x v="32"/>
    <x v="41"/>
    <x v="41"/>
    <x v="41"/>
    <x v="11"/>
    <x v="251"/>
    <x v="154"/>
    <x v="77"/>
    <x v="83"/>
    <x v="160"/>
    <x v="223"/>
    <x v="5"/>
  </r>
  <r>
    <x v="0"/>
    <x v="32"/>
    <x v="32"/>
    <x v="17"/>
    <x v="17"/>
    <x v="17"/>
    <x v="11"/>
    <x v="251"/>
    <x v="154"/>
    <x v="48"/>
    <x v="80"/>
    <x v="163"/>
    <x v="311"/>
    <x v="5"/>
  </r>
  <r>
    <x v="0"/>
    <x v="32"/>
    <x v="32"/>
    <x v="2"/>
    <x v="2"/>
    <x v="2"/>
    <x v="11"/>
    <x v="251"/>
    <x v="154"/>
    <x v="77"/>
    <x v="83"/>
    <x v="163"/>
    <x v="311"/>
    <x v="5"/>
  </r>
  <r>
    <x v="0"/>
    <x v="32"/>
    <x v="32"/>
    <x v="26"/>
    <x v="26"/>
    <x v="26"/>
    <x v="11"/>
    <x v="251"/>
    <x v="154"/>
    <x v="77"/>
    <x v="83"/>
    <x v="209"/>
    <x v="376"/>
    <x v="5"/>
  </r>
  <r>
    <x v="0"/>
    <x v="32"/>
    <x v="32"/>
    <x v="9"/>
    <x v="9"/>
    <x v="9"/>
    <x v="11"/>
    <x v="251"/>
    <x v="154"/>
    <x v="48"/>
    <x v="80"/>
    <x v="211"/>
    <x v="274"/>
    <x v="5"/>
  </r>
  <r>
    <x v="0"/>
    <x v="32"/>
    <x v="32"/>
    <x v="21"/>
    <x v="21"/>
    <x v="21"/>
    <x v="11"/>
    <x v="251"/>
    <x v="154"/>
    <x v="48"/>
    <x v="80"/>
    <x v="163"/>
    <x v="311"/>
    <x v="5"/>
  </r>
  <r>
    <x v="0"/>
    <x v="32"/>
    <x v="32"/>
    <x v="28"/>
    <x v="28"/>
    <x v="28"/>
    <x v="18"/>
    <x v="252"/>
    <x v="388"/>
    <x v="77"/>
    <x v="83"/>
    <x v="163"/>
    <x v="311"/>
    <x v="5"/>
  </r>
  <r>
    <x v="0"/>
    <x v="32"/>
    <x v="32"/>
    <x v="42"/>
    <x v="42"/>
    <x v="42"/>
    <x v="18"/>
    <x v="252"/>
    <x v="388"/>
    <x v="77"/>
    <x v="83"/>
    <x v="163"/>
    <x v="311"/>
    <x v="5"/>
  </r>
  <r>
    <x v="0"/>
    <x v="32"/>
    <x v="32"/>
    <x v="15"/>
    <x v="15"/>
    <x v="15"/>
    <x v="18"/>
    <x v="252"/>
    <x v="388"/>
    <x v="77"/>
    <x v="83"/>
    <x v="163"/>
    <x v="311"/>
    <x v="5"/>
  </r>
  <r>
    <x v="0"/>
    <x v="32"/>
    <x v="32"/>
    <x v="43"/>
    <x v="43"/>
    <x v="43"/>
    <x v="18"/>
    <x v="252"/>
    <x v="388"/>
    <x v="77"/>
    <x v="83"/>
    <x v="160"/>
    <x v="223"/>
    <x v="5"/>
  </r>
  <r>
    <x v="0"/>
    <x v="32"/>
    <x v="32"/>
    <x v="30"/>
    <x v="30"/>
    <x v="30"/>
    <x v="18"/>
    <x v="252"/>
    <x v="388"/>
    <x v="77"/>
    <x v="83"/>
    <x v="160"/>
    <x v="223"/>
    <x v="5"/>
  </r>
  <r>
    <x v="0"/>
    <x v="32"/>
    <x v="32"/>
    <x v="19"/>
    <x v="19"/>
    <x v="19"/>
    <x v="18"/>
    <x v="252"/>
    <x v="388"/>
    <x v="77"/>
    <x v="83"/>
    <x v="163"/>
    <x v="311"/>
    <x v="5"/>
  </r>
  <r>
    <x v="0"/>
    <x v="32"/>
    <x v="32"/>
    <x v="34"/>
    <x v="34"/>
    <x v="34"/>
    <x v="18"/>
    <x v="252"/>
    <x v="388"/>
    <x v="77"/>
    <x v="83"/>
    <x v="163"/>
    <x v="311"/>
    <x v="5"/>
  </r>
  <r>
    <x v="0"/>
    <x v="32"/>
    <x v="32"/>
    <x v="29"/>
    <x v="29"/>
    <x v="29"/>
    <x v="18"/>
    <x v="252"/>
    <x v="388"/>
    <x v="64"/>
    <x v="178"/>
    <x v="211"/>
    <x v="274"/>
    <x v="5"/>
  </r>
  <r>
    <x v="0"/>
    <x v="33"/>
    <x v="33"/>
    <x v="0"/>
    <x v="0"/>
    <x v="0"/>
    <x v="0"/>
    <x v="284"/>
    <x v="389"/>
    <x v="147"/>
    <x v="393"/>
    <x v="190"/>
    <x v="377"/>
    <x v="5"/>
  </r>
  <r>
    <x v="0"/>
    <x v="33"/>
    <x v="33"/>
    <x v="1"/>
    <x v="1"/>
    <x v="1"/>
    <x v="1"/>
    <x v="71"/>
    <x v="390"/>
    <x v="177"/>
    <x v="394"/>
    <x v="214"/>
    <x v="171"/>
    <x v="5"/>
  </r>
  <r>
    <x v="0"/>
    <x v="33"/>
    <x v="33"/>
    <x v="3"/>
    <x v="3"/>
    <x v="3"/>
    <x v="2"/>
    <x v="156"/>
    <x v="391"/>
    <x v="61"/>
    <x v="395"/>
    <x v="103"/>
    <x v="378"/>
    <x v="5"/>
  </r>
  <r>
    <x v="0"/>
    <x v="33"/>
    <x v="33"/>
    <x v="2"/>
    <x v="2"/>
    <x v="2"/>
    <x v="3"/>
    <x v="159"/>
    <x v="392"/>
    <x v="31"/>
    <x v="396"/>
    <x v="153"/>
    <x v="379"/>
    <x v="5"/>
  </r>
  <r>
    <x v="0"/>
    <x v="33"/>
    <x v="33"/>
    <x v="28"/>
    <x v="28"/>
    <x v="28"/>
    <x v="4"/>
    <x v="283"/>
    <x v="393"/>
    <x v="70"/>
    <x v="388"/>
    <x v="145"/>
    <x v="380"/>
    <x v="4"/>
  </r>
  <r>
    <x v="0"/>
    <x v="33"/>
    <x v="33"/>
    <x v="4"/>
    <x v="4"/>
    <x v="4"/>
    <x v="5"/>
    <x v="266"/>
    <x v="227"/>
    <x v="96"/>
    <x v="307"/>
    <x v="145"/>
    <x v="380"/>
    <x v="5"/>
  </r>
  <r>
    <x v="0"/>
    <x v="33"/>
    <x v="33"/>
    <x v="6"/>
    <x v="6"/>
    <x v="6"/>
    <x v="6"/>
    <x v="160"/>
    <x v="216"/>
    <x v="115"/>
    <x v="397"/>
    <x v="212"/>
    <x v="381"/>
    <x v="5"/>
  </r>
  <r>
    <x v="0"/>
    <x v="33"/>
    <x v="33"/>
    <x v="5"/>
    <x v="5"/>
    <x v="5"/>
    <x v="7"/>
    <x v="136"/>
    <x v="176"/>
    <x v="76"/>
    <x v="398"/>
    <x v="157"/>
    <x v="382"/>
    <x v="5"/>
  </r>
  <r>
    <x v="0"/>
    <x v="33"/>
    <x v="33"/>
    <x v="18"/>
    <x v="18"/>
    <x v="18"/>
    <x v="8"/>
    <x v="139"/>
    <x v="134"/>
    <x v="51"/>
    <x v="399"/>
    <x v="109"/>
    <x v="383"/>
    <x v="5"/>
  </r>
  <r>
    <x v="0"/>
    <x v="33"/>
    <x v="33"/>
    <x v="9"/>
    <x v="9"/>
    <x v="9"/>
    <x v="9"/>
    <x v="258"/>
    <x v="113"/>
    <x v="31"/>
    <x v="396"/>
    <x v="160"/>
    <x v="384"/>
    <x v="5"/>
  </r>
  <r>
    <x v="0"/>
    <x v="33"/>
    <x v="33"/>
    <x v="30"/>
    <x v="30"/>
    <x v="30"/>
    <x v="10"/>
    <x v="261"/>
    <x v="275"/>
    <x v="58"/>
    <x v="96"/>
    <x v="210"/>
    <x v="290"/>
    <x v="5"/>
  </r>
  <r>
    <x v="0"/>
    <x v="33"/>
    <x v="33"/>
    <x v="13"/>
    <x v="13"/>
    <x v="13"/>
    <x v="11"/>
    <x v="262"/>
    <x v="276"/>
    <x v="70"/>
    <x v="388"/>
    <x v="210"/>
    <x v="290"/>
    <x v="5"/>
  </r>
  <r>
    <x v="0"/>
    <x v="33"/>
    <x v="33"/>
    <x v="14"/>
    <x v="14"/>
    <x v="14"/>
    <x v="11"/>
    <x v="262"/>
    <x v="276"/>
    <x v="48"/>
    <x v="197"/>
    <x v="197"/>
    <x v="13"/>
    <x v="5"/>
  </r>
  <r>
    <x v="0"/>
    <x v="33"/>
    <x v="33"/>
    <x v="11"/>
    <x v="11"/>
    <x v="11"/>
    <x v="13"/>
    <x v="267"/>
    <x v="318"/>
    <x v="65"/>
    <x v="400"/>
    <x v="215"/>
    <x v="163"/>
    <x v="5"/>
  </r>
  <r>
    <x v="0"/>
    <x v="33"/>
    <x v="33"/>
    <x v="7"/>
    <x v="7"/>
    <x v="7"/>
    <x v="14"/>
    <x v="279"/>
    <x v="394"/>
    <x v="38"/>
    <x v="256"/>
    <x v="160"/>
    <x v="384"/>
    <x v="5"/>
  </r>
  <r>
    <x v="0"/>
    <x v="33"/>
    <x v="33"/>
    <x v="27"/>
    <x v="27"/>
    <x v="27"/>
    <x v="14"/>
    <x v="279"/>
    <x v="394"/>
    <x v="96"/>
    <x v="307"/>
    <x v="210"/>
    <x v="290"/>
    <x v="5"/>
  </r>
  <r>
    <x v="0"/>
    <x v="33"/>
    <x v="33"/>
    <x v="8"/>
    <x v="8"/>
    <x v="8"/>
    <x v="16"/>
    <x v="246"/>
    <x v="395"/>
    <x v="64"/>
    <x v="250"/>
    <x v="213"/>
    <x v="211"/>
    <x v="5"/>
  </r>
  <r>
    <x v="0"/>
    <x v="33"/>
    <x v="33"/>
    <x v="17"/>
    <x v="17"/>
    <x v="17"/>
    <x v="17"/>
    <x v="263"/>
    <x v="208"/>
    <x v="52"/>
    <x v="196"/>
    <x v="197"/>
    <x v="13"/>
    <x v="5"/>
  </r>
  <r>
    <x v="0"/>
    <x v="33"/>
    <x v="33"/>
    <x v="12"/>
    <x v="12"/>
    <x v="12"/>
    <x v="17"/>
    <x v="263"/>
    <x v="208"/>
    <x v="65"/>
    <x v="400"/>
    <x v="189"/>
    <x v="245"/>
    <x v="5"/>
  </r>
  <r>
    <x v="0"/>
    <x v="33"/>
    <x v="33"/>
    <x v="44"/>
    <x v="44"/>
    <x v="44"/>
    <x v="19"/>
    <x v="264"/>
    <x v="115"/>
    <x v="51"/>
    <x v="399"/>
    <x v="190"/>
    <x v="377"/>
    <x v="5"/>
  </r>
  <r>
    <x v="0"/>
    <x v="33"/>
    <x v="33"/>
    <x v="19"/>
    <x v="19"/>
    <x v="19"/>
    <x v="19"/>
    <x v="264"/>
    <x v="115"/>
    <x v="53"/>
    <x v="237"/>
    <x v="209"/>
    <x v="385"/>
    <x v="5"/>
  </r>
  <r>
    <x v="0"/>
    <x v="34"/>
    <x v="34"/>
    <x v="0"/>
    <x v="0"/>
    <x v="0"/>
    <x v="0"/>
    <x v="285"/>
    <x v="396"/>
    <x v="178"/>
    <x v="401"/>
    <x v="111"/>
    <x v="386"/>
    <x v="5"/>
  </r>
  <r>
    <x v="0"/>
    <x v="34"/>
    <x v="34"/>
    <x v="1"/>
    <x v="1"/>
    <x v="1"/>
    <x v="1"/>
    <x v="55"/>
    <x v="397"/>
    <x v="172"/>
    <x v="402"/>
    <x v="114"/>
    <x v="265"/>
    <x v="5"/>
  </r>
  <r>
    <x v="0"/>
    <x v="34"/>
    <x v="34"/>
    <x v="3"/>
    <x v="3"/>
    <x v="3"/>
    <x v="2"/>
    <x v="286"/>
    <x v="398"/>
    <x v="97"/>
    <x v="403"/>
    <x v="174"/>
    <x v="387"/>
    <x v="5"/>
  </r>
  <r>
    <x v="0"/>
    <x v="34"/>
    <x v="34"/>
    <x v="4"/>
    <x v="4"/>
    <x v="4"/>
    <x v="3"/>
    <x v="110"/>
    <x v="399"/>
    <x v="65"/>
    <x v="154"/>
    <x v="120"/>
    <x v="361"/>
    <x v="5"/>
  </r>
  <r>
    <x v="0"/>
    <x v="34"/>
    <x v="34"/>
    <x v="9"/>
    <x v="9"/>
    <x v="9"/>
    <x v="4"/>
    <x v="131"/>
    <x v="106"/>
    <x v="103"/>
    <x v="404"/>
    <x v="208"/>
    <x v="144"/>
    <x v="5"/>
  </r>
  <r>
    <x v="0"/>
    <x v="34"/>
    <x v="34"/>
    <x v="6"/>
    <x v="6"/>
    <x v="6"/>
    <x v="5"/>
    <x v="132"/>
    <x v="78"/>
    <x v="69"/>
    <x v="405"/>
    <x v="139"/>
    <x v="307"/>
    <x v="5"/>
  </r>
  <r>
    <x v="0"/>
    <x v="34"/>
    <x v="34"/>
    <x v="7"/>
    <x v="7"/>
    <x v="7"/>
    <x v="5"/>
    <x v="132"/>
    <x v="78"/>
    <x v="151"/>
    <x v="406"/>
    <x v="215"/>
    <x v="388"/>
    <x v="5"/>
  </r>
  <r>
    <x v="0"/>
    <x v="34"/>
    <x v="34"/>
    <x v="5"/>
    <x v="5"/>
    <x v="5"/>
    <x v="7"/>
    <x v="194"/>
    <x v="400"/>
    <x v="78"/>
    <x v="407"/>
    <x v="205"/>
    <x v="389"/>
    <x v="5"/>
  </r>
  <r>
    <x v="0"/>
    <x v="34"/>
    <x v="34"/>
    <x v="2"/>
    <x v="2"/>
    <x v="2"/>
    <x v="8"/>
    <x v="195"/>
    <x v="386"/>
    <x v="51"/>
    <x v="408"/>
    <x v="99"/>
    <x v="390"/>
    <x v="5"/>
  </r>
  <r>
    <x v="0"/>
    <x v="34"/>
    <x v="34"/>
    <x v="13"/>
    <x v="13"/>
    <x v="13"/>
    <x v="9"/>
    <x v="157"/>
    <x v="325"/>
    <x v="78"/>
    <x v="407"/>
    <x v="148"/>
    <x v="391"/>
    <x v="5"/>
  </r>
  <r>
    <x v="0"/>
    <x v="34"/>
    <x v="34"/>
    <x v="8"/>
    <x v="8"/>
    <x v="8"/>
    <x v="10"/>
    <x v="168"/>
    <x v="401"/>
    <x v="51"/>
    <x v="408"/>
    <x v="154"/>
    <x v="392"/>
    <x v="5"/>
  </r>
  <r>
    <x v="0"/>
    <x v="34"/>
    <x v="34"/>
    <x v="11"/>
    <x v="11"/>
    <x v="11"/>
    <x v="11"/>
    <x v="133"/>
    <x v="274"/>
    <x v="38"/>
    <x v="167"/>
    <x v="118"/>
    <x v="381"/>
    <x v="5"/>
  </r>
  <r>
    <x v="0"/>
    <x v="34"/>
    <x v="34"/>
    <x v="12"/>
    <x v="12"/>
    <x v="12"/>
    <x v="12"/>
    <x v="160"/>
    <x v="230"/>
    <x v="111"/>
    <x v="409"/>
    <x v="150"/>
    <x v="134"/>
    <x v="5"/>
  </r>
  <r>
    <x v="0"/>
    <x v="34"/>
    <x v="34"/>
    <x v="10"/>
    <x v="10"/>
    <x v="10"/>
    <x v="13"/>
    <x v="174"/>
    <x v="241"/>
    <x v="61"/>
    <x v="410"/>
    <x v="197"/>
    <x v="393"/>
    <x v="5"/>
  </r>
  <r>
    <x v="0"/>
    <x v="34"/>
    <x v="34"/>
    <x v="14"/>
    <x v="14"/>
    <x v="14"/>
    <x v="14"/>
    <x v="175"/>
    <x v="310"/>
    <x v="77"/>
    <x v="83"/>
    <x v="127"/>
    <x v="394"/>
    <x v="5"/>
  </r>
  <r>
    <x v="0"/>
    <x v="34"/>
    <x v="34"/>
    <x v="17"/>
    <x v="17"/>
    <x v="17"/>
    <x v="15"/>
    <x v="164"/>
    <x v="402"/>
    <x v="77"/>
    <x v="83"/>
    <x v="131"/>
    <x v="395"/>
    <x v="5"/>
  </r>
  <r>
    <x v="0"/>
    <x v="34"/>
    <x v="34"/>
    <x v="19"/>
    <x v="19"/>
    <x v="19"/>
    <x v="16"/>
    <x v="260"/>
    <x v="85"/>
    <x v="96"/>
    <x v="411"/>
    <x v="212"/>
    <x v="396"/>
    <x v="5"/>
  </r>
  <r>
    <x v="0"/>
    <x v="34"/>
    <x v="34"/>
    <x v="20"/>
    <x v="20"/>
    <x v="20"/>
    <x v="17"/>
    <x v="245"/>
    <x v="233"/>
    <x v="77"/>
    <x v="83"/>
    <x v="150"/>
    <x v="134"/>
    <x v="5"/>
  </r>
  <r>
    <x v="0"/>
    <x v="34"/>
    <x v="34"/>
    <x v="27"/>
    <x v="27"/>
    <x v="27"/>
    <x v="17"/>
    <x v="245"/>
    <x v="233"/>
    <x v="78"/>
    <x v="407"/>
    <x v="215"/>
    <x v="388"/>
    <x v="5"/>
  </r>
  <r>
    <x v="0"/>
    <x v="34"/>
    <x v="34"/>
    <x v="15"/>
    <x v="15"/>
    <x v="15"/>
    <x v="19"/>
    <x v="261"/>
    <x v="403"/>
    <x v="48"/>
    <x v="412"/>
    <x v="208"/>
    <x v="144"/>
    <x v="5"/>
  </r>
  <r>
    <x v="0"/>
    <x v="35"/>
    <x v="35"/>
    <x v="0"/>
    <x v="0"/>
    <x v="0"/>
    <x v="0"/>
    <x v="56"/>
    <x v="404"/>
    <x v="179"/>
    <x v="413"/>
    <x v="155"/>
    <x v="397"/>
    <x v="5"/>
  </r>
  <r>
    <x v="0"/>
    <x v="35"/>
    <x v="35"/>
    <x v="1"/>
    <x v="1"/>
    <x v="1"/>
    <x v="1"/>
    <x v="275"/>
    <x v="405"/>
    <x v="180"/>
    <x v="414"/>
    <x v="208"/>
    <x v="398"/>
    <x v="5"/>
  </r>
  <r>
    <x v="0"/>
    <x v="35"/>
    <x v="35"/>
    <x v="2"/>
    <x v="2"/>
    <x v="2"/>
    <x v="2"/>
    <x v="237"/>
    <x v="406"/>
    <x v="72"/>
    <x v="415"/>
    <x v="164"/>
    <x v="399"/>
    <x v="5"/>
  </r>
  <r>
    <x v="0"/>
    <x v="35"/>
    <x v="35"/>
    <x v="3"/>
    <x v="3"/>
    <x v="3"/>
    <x v="3"/>
    <x v="132"/>
    <x v="407"/>
    <x v="74"/>
    <x v="416"/>
    <x v="148"/>
    <x v="400"/>
    <x v="5"/>
  </r>
  <r>
    <x v="0"/>
    <x v="35"/>
    <x v="35"/>
    <x v="5"/>
    <x v="5"/>
    <x v="5"/>
    <x v="4"/>
    <x v="158"/>
    <x v="408"/>
    <x v="74"/>
    <x v="416"/>
    <x v="145"/>
    <x v="401"/>
    <x v="5"/>
  </r>
  <r>
    <x v="0"/>
    <x v="35"/>
    <x v="35"/>
    <x v="4"/>
    <x v="4"/>
    <x v="4"/>
    <x v="5"/>
    <x v="168"/>
    <x v="226"/>
    <x v="65"/>
    <x v="417"/>
    <x v="82"/>
    <x v="402"/>
    <x v="5"/>
  </r>
  <r>
    <x v="0"/>
    <x v="35"/>
    <x v="35"/>
    <x v="7"/>
    <x v="7"/>
    <x v="7"/>
    <x v="6"/>
    <x v="159"/>
    <x v="63"/>
    <x v="37"/>
    <x v="418"/>
    <x v="206"/>
    <x v="245"/>
    <x v="5"/>
  </r>
  <r>
    <x v="0"/>
    <x v="35"/>
    <x v="35"/>
    <x v="8"/>
    <x v="8"/>
    <x v="8"/>
    <x v="7"/>
    <x v="217"/>
    <x v="409"/>
    <x v="65"/>
    <x v="417"/>
    <x v="152"/>
    <x v="343"/>
    <x v="5"/>
  </r>
  <r>
    <x v="0"/>
    <x v="35"/>
    <x v="35"/>
    <x v="11"/>
    <x v="11"/>
    <x v="11"/>
    <x v="8"/>
    <x v="135"/>
    <x v="410"/>
    <x v="34"/>
    <x v="419"/>
    <x v="165"/>
    <x v="403"/>
    <x v="5"/>
  </r>
  <r>
    <x v="0"/>
    <x v="35"/>
    <x v="35"/>
    <x v="9"/>
    <x v="9"/>
    <x v="9"/>
    <x v="9"/>
    <x v="218"/>
    <x v="411"/>
    <x v="74"/>
    <x v="416"/>
    <x v="206"/>
    <x v="245"/>
    <x v="5"/>
  </r>
  <r>
    <x v="0"/>
    <x v="35"/>
    <x v="35"/>
    <x v="13"/>
    <x v="13"/>
    <x v="13"/>
    <x v="10"/>
    <x v="161"/>
    <x v="107"/>
    <x v="96"/>
    <x v="144"/>
    <x v="131"/>
    <x v="404"/>
    <x v="5"/>
  </r>
  <r>
    <x v="0"/>
    <x v="35"/>
    <x v="35"/>
    <x v="6"/>
    <x v="6"/>
    <x v="6"/>
    <x v="11"/>
    <x v="139"/>
    <x v="387"/>
    <x v="111"/>
    <x v="260"/>
    <x v="214"/>
    <x v="405"/>
    <x v="5"/>
  </r>
  <r>
    <x v="0"/>
    <x v="35"/>
    <x v="35"/>
    <x v="10"/>
    <x v="10"/>
    <x v="10"/>
    <x v="12"/>
    <x v="164"/>
    <x v="82"/>
    <x v="76"/>
    <x v="151"/>
    <x v="132"/>
    <x v="385"/>
    <x v="5"/>
  </r>
  <r>
    <x v="0"/>
    <x v="35"/>
    <x v="35"/>
    <x v="17"/>
    <x v="17"/>
    <x v="17"/>
    <x v="13"/>
    <x v="245"/>
    <x v="412"/>
    <x v="52"/>
    <x v="420"/>
    <x v="135"/>
    <x v="209"/>
    <x v="5"/>
  </r>
  <r>
    <x v="0"/>
    <x v="35"/>
    <x v="35"/>
    <x v="37"/>
    <x v="37"/>
    <x v="37"/>
    <x v="14"/>
    <x v="261"/>
    <x v="258"/>
    <x v="77"/>
    <x v="83"/>
    <x v="210"/>
    <x v="319"/>
    <x v="14"/>
  </r>
  <r>
    <x v="0"/>
    <x v="35"/>
    <x v="35"/>
    <x v="12"/>
    <x v="12"/>
    <x v="12"/>
    <x v="15"/>
    <x v="262"/>
    <x v="413"/>
    <x v="82"/>
    <x v="400"/>
    <x v="197"/>
    <x v="406"/>
    <x v="5"/>
  </r>
  <r>
    <x v="0"/>
    <x v="35"/>
    <x v="35"/>
    <x v="19"/>
    <x v="19"/>
    <x v="19"/>
    <x v="15"/>
    <x v="262"/>
    <x v="413"/>
    <x v="82"/>
    <x v="400"/>
    <x v="190"/>
    <x v="310"/>
    <x v="5"/>
  </r>
  <r>
    <x v="0"/>
    <x v="35"/>
    <x v="35"/>
    <x v="14"/>
    <x v="14"/>
    <x v="14"/>
    <x v="17"/>
    <x v="279"/>
    <x v="85"/>
    <x v="77"/>
    <x v="83"/>
    <x v="197"/>
    <x v="406"/>
    <x v="5"/>
  </r>
  <r>
    <x v="0"/>
    <x v="35"/>
    <x v="35"/>
    <x v="15"/>
    <x v="15"/>
    <x v="15"/>
    <x v="18"/>
    <x v="246"/>
    <x v="126"/>
    <x v="77"/>
    <x v="83"/>
    <x v="214"/>
    <x v="405"/>
    <x v="5"/>
  </r>
  <r>
    <x v="0"/>
    <x v="35"/>
    <x v="35"/>
    <x v="27"/>
    <x v="27"/>
    <x v="27"/>
    <x v="18"/>
    <x v="246"/>
    <x v="126"/>
    <x v="50"/>
    <x v="126"/>
    <x v="210"/>
    <x v="319"/>
    <x v="5"/>
  </r>
  <r>
    <x v="0"/>
    <x v="36"/>
    <x v="36"/>
    <x v="0"/>
    <x v="0"/>
    <x v="0"/>
    <x v="0"/>
    <x v="172"/>
    <x v="414"/>
    <x v="28"/>
    <x v="421"/>
    <x v="197"/>
    <x v="282"/>
    <x v="5"/>
  </r>
  <r>
    <x v="0"/>
    <x v="36"/>
    <x v="36"/>
    <x v="1"/>
    <x v="1"/>
    <x v="1"/>
    <x v="1"/>
    <x v="168"/>
    <x v="397"/>
    <x v="84"/>
    <x v="422"/>
    <x v="190"/>
    <x v="220"/>
    <x v="5"/>
  </r>
  <r>
    <x v="0"/>
    <x v="36"/>
    <x v="36"/>
    <x v="3"/>
    <x v="3"/>
    <x v="3"/>
    <x v="2"/>
    <x v="161"/>
    <x v="415"/>
    <x v="38"/>
    <x v="423"/>
    <x v="165"/>
    <x v="407"/>
    <x v="5"/>
  </r>
  <r>
    <x v="0"/>
    <x v="36"/>
    <x v="36"/>
    <x v="5"/>
    <x v="5"/>
    <x v="5"/>
    <x v="3"/>
    <x v="162"/>
    <x v="416"/>
    <x v="51"/>
    <x v="71"/>
    <x v="128"/>
    <x v="408"/>
    <x v="5"/>
  </r>
  <r>
    <x v="0"/>
    <x v="36"/>
    <x v="36"/>
    <x v="2"/>
    <x v="2"/>
    <x v="2"/>
    <x v="3"/>
    <x v="162"/>
    <x v="416"/>
    <x v="111"/>
    <x v="175"/>
    <x v="215"/>
    <x v="409"/>
    <x v="5"/>
  </r>
  <r>
    <x v="0"/>
    <x v="36"/>
    <x v="36"/>
    <x v="4"/>
    <x v="4"/>
    <x v="4"/>
    <x v="5"/>
    <x v="245"/>
    <x v="385"/>
    <x v="65"/>
    <x v="194"/>
    <x v="134"/>
    <x v="410"/>
    <x v="5"/>
  </r>
  <r>
    <x v="0"/>
    <x v="36"/>
    <x v="36"/>
    <x v="6"/>
    <x v="6"/>
    <x v="6"/>
    <x v="6"/>
    <x v="279"/>
    <x v="163"/>
    <x v="50"/>
    <x v="10"/>
    <x v="189"/>
    <x v="287"/>
    <x v="5"/>
  </r>
  <r>
    <x v="0"/>
    <x v="36"/>
    <x v="36"/>
    <x v="14"/>
    <x v="14"/>
    <x v="14"/>
    <x v="6"/>
    <x v="279"/>
    <x v="163"/>
    <x v="77"/>
    <x v="83"/>
    <x v="215"/>
    <x v="409"/>
    <x v="5"/>
  </r>
  <r>
    <x v="0"/>
    <x v="36"/>
    <x v="36"/>
    <x v="7"/>
    <x v="7"/>
    <x v="7"/>
    <x v="8"/>
    <x v="246"/>
    <x v="149"/>
    <x v="58"/>
    <x v="291"/>
    <x v="160"/>
    <x v="411"/>
    <x v="5"/>
  </r>
  <r>
    <x v="0"/>
    <x v="36"/>
    <x v="36"/>
    <x v="9"/>
    <x v="9"/>
    <x v="9"/>
    <x v="9"/>
    <x v="263"/>
    <x v="417"/>
    <x v="70"/>
    <x v="424"/>
    <x v="211"/>
    <x v="274"/>
    <x v="5"/>
  </r>
  <r>
    <x v="0"/>
    <x v="36"/>
    <x v="36"/>
    <x v="8"/>
    <x v="8"/>
    <x v="8"/>
    <x v="10"/>
    <x v="264"/>
    <x v="418"/>
    <x v="52"/>
    <x v="80"/>
    <x v="206"/>
    <x v="145"/>
    <x v="5"/>
  </r>
  <r>
    <x v="0"/>
    <x v="36"/>
    <x v="36"/>
    <x v="11"/>
    <x v="11"/>
    <x v="11"/>
    <x v="10"/>
    <x v="264"/>
    <x v="418"/>
    <x v="65"/>
    <x v="194"/>
    <x v="189"/>
    <x v="287"/>
    <x v="5"/>
  </r>
  <r>
    <x v="0"/>
    <x v="36"/>
    <x v="36"/>
    <x v="10"/>
    <x v="10"/>
    <x v="10"/>
    <x v="12"/>
    <x v="280"/>
    <x v="419"/>
    <x v="82"/>
    <x v="311"/>
    <x v="132"/>
    <x v="134"/>
    <x v="5"/>
  </r>
  <r>
    <x v="0"/>
    <x v="36"/>
    <x v="36"/>
    <x v="30"/>
    <x v="30"/>
    <x v="30"/>
    <x v="13"/>
    <x v="268"/>
    <x v="122"/>
    <x v="82"/>
    <x v="311"/>
    <x v="209"/>
    <x v="412"/>
    <x v="5"/>
  </r>
  <r>
    <x v="0"/>
    <x v="36"/>
    <x v="36"/>
    <x v="27"/>
    <x v="27"/>
    <x v="27"/>
    <x v="14"/>
    <x v="269"/>
    <x v="287"/>
    <x v="52"/>
    <x v="80"/>
    <x v="210"/>
    <x v="68"/>
    <x v="5"/>
  </r>
  <r>
    <x v="0"/>
    <x v="36"/>
    <x v="36"/>
    <x v="19"/>
    <x v="19"/>
    <x v="19"/>
    <x v="15"/>
    <x v="247"/>
    <x v="258"/>
    <x v="65"/>
    <x v="194"/>
    <x v="163"/>
    <x v="388"/>
    <x v="5"/>
  </r>
  <r>
    <x v="0"/>
    <x v="36"/>
    <x v="36"/>
    <x v="13"/>
    <x v="13"/>
    <x v="13"/>
    <x v="16"/>
    <x v="248"/>
    <x v="402"/>
    <x v="64"/>
    <x v="283"/>
    <x v="132"/>
    <x v="134"/>
    <x v="5"/>
  </r>
  <r>
    <x v="0"/>
    <x v="36"/>
    <x v="36"/>
    <x v="23"/>
    <x v="23"/>
    <x v="23"/>
    <x v="16"/>
    <x v="248"/>
    <x v="402"/>
    <x v="52"/>
    <x v="80"/>
    <x v="209"/>
    <x v="412"/>
    <x v="5"/>
  </r>
  <r>
    <x v="0"/>
    <x v="36"/>
    <x v="36"/>
    <x v="12"/>
    <x v="12"/>
    <x v="12"/>
    <x v="16"/>
    <x v="248"/>
    <x v="402"/>
    <x v="48"/>
    <x v="25"/>
    <x v="210"/>
    <x v="68"/>
    <x v="5"/>
  </r>
  <r>
    <x v="0"/>
    <x v="36"/>
    <x v="36"/>
    <x v="18"/>
    <x v="18"/>
    <x v="18"/>
    <x v="19"/>
    <x v="249"/>
    <x v="326"/>
    <x v="48"/>
    <x v="25"/>
    <x v="132"/>
    <x v="134"/>
    <x v="5"/>
  </r>
  <r>
    <x v="0"/>
    <x v="36"/>
    <x v="36"/>
    <x v="16"/>
    <x v="16"/>
    <x v="16"/>
    <x v="19"/>
    <x v="249"/>
    <x v="326"/>
    <x v="48"/>
    <x v="25"/>
    <x v="132"/>
    <x v="134"/>
    <x v="5"/>
  </r>
  <r>
    <x v="0"/>
    <x v="36"/>
    <x v="36"/>
    <x v="31"/>
    <x v="31"/>
    <x v="31"/>
    <x v="19"/>
    <x v="249"/>
    <x v="326"/>
    <x v="64"/>
    <x v="283"/>
    <x v="209"/>
    <x v="412"/>
    <x v="5"/>
  </r>
  <r>
    <x v="0"/>
    <x v="37"/>
    <x v="37"/>
    <x v="3"/>
    <x v="3"/>
    <x v="3"/>
    <x v="0"/>
    <x v="268"/>
    <x v="420"/>
    <x v="82"/>
    <x v="425"/>
    <x v="209"/>
    <x v="413"/>
    <x v="5"/>
  </r>
  <r>
    <x v="0"/>
    <x v="37"/>
    <x v="37"/>
    <x v="1"/>
    <x v="1"/>
    <x v="1"/>
    <x v="1"/>
    <x v="247"/>
    <x v="421"/>
    <x v="53"/>
    <x v="426"/>
    <x v="211"/>
    <x v="274"/>
    <x v="5"/>
  </r>
  <r>
    <x v="0"/>
    <x v="37"/>
    <x v="37"/>
    <x v="4"/>
    <x v="4"/>
    <x v="4"/>
    <x v="2"/>
    <x v="249"/>
    <x v="88"/>
    <x v="77"/>
    <x v="83"/>
    <x v="210"/>
    <x v="414"/>
    <x v="5"/>
  </r>
  <r>
    <x v="0"/>
    <x v="37"/>
    <x v="37"/>
    <x v="14"/>
    <x v="14"/>
    <x v="14"/>
    <x v="2"/>
    <x v="249"/>
    <x v="88"/>
    <x v="77"/>
    <x v="83"/>
    <x v="209"/>
    <x v="413"/>
    <x v="5"/>
  </r>
  <r>
    <x v="0"/>
    <x v="37"/>
    <x v="37"/>
    <x v="9"/>
    <x v="9"/>
    <x v="9"/>
    <x v="4"/>
    <x v="250"/>
    <x v="422"/>
    <x v="64"/>
    <x v="427"/>
    <x v="211"/>
    <x v="274"/>
    <x v="5"/>
  </r>
  <r>
    <x v="0"/>
    <x v="37"/>
    <x v="37"/>
    <x v="5"/>
    <x v="5"/>
    <x v="5"/>
    <x v="5"/>
    <x v="251"/>
    <x v="379"/>
    <x v="64"/>
    <x v="427"/>
    <x v="160"/>
    <x v="415"/>
    <x v="5"/>
  </r>
  <r>
    <x v="0"/>
    <x v="37"/>
    <x v="37"/>
    <x v="8"/>
    <x v="8"/>
    <x v="8"/>
    <x v="5"/>
    <x v="251"/>
    <x v="379"/>
    <x v="48"/>
    <x v="428"/>
    <x v="163"/>
    <x v="323"/>
    <x v="5"/>
  </r>
  <r>
    <x v="0"/>
    <x v="37"/>
    <x v="37"/>
    <x v="0"/>
    <x v="0"/>
    <x v="0"/>
    <x v="5"/>
    <x v="251"/>
    <x v="379"/>
    <x v="52"/>
    <x v="429"/>
    <x v="211"/>
    <x v="274"/>
    <x v="5"/>
  </r>
  <r>
    <x v="0"/>
    <x v="37"/>
    <x v="37"/>
    <x v="41"/>
    <x v="41"/>
    <x v="41"/>
    <x v="8"/>
    <x v="252"/>
    <x v="9"/>
    <x v="77"/>
    <x v="83"/>
    <x v="211"/>
    <x v="274"/>
    <x v="5"/>
  </r>
  <r>
    <x v="0"/>
    <x v="37"/>
    <x v="37"/>
    <x v="13"/>
    <x v="13"/>
    <x v="13"/>
    <x v="8"/>
    <x v="252"/>
    <x v="9"/>
    <x v="48"/>
    <x v="428"/>
    <x v="160"/>
    <x v="415"/>
    <x v="5"/>
  </r>
  <r>
    <x v="0"/>
    <x v="37"/>
    <x v="37"/>
    <x v="6"/>
    <x v="6"/>
    <x v="6"/>
    <x v="8"/>
    <x v="252"/>
    <x v="9"/>
    <x v="48"/>
    <x v="428"/>
    <x v="160"/>
    <x v="415"/>
    <x v="5"/>
  </r>
  <r>
    <x v="0"/>
    <x v="37"/>
    <x v="37"/>
    <x v="11"/>
    <x v="11"/>
    <x v="11"/>
    <x v="8"/>
    <x v="252"/>
    <x v="9"/>
    <x v="64"/>
    <x v="427"/>
    <x v="211"/>
    <x v="274"/>
    <x v="5"/>
  </r>
  <r>
    <x v="0"/>
    <x v="37"/>
    <x v="37"/>
    <x v="2"/>
    <x v="2"/>
    <x v="2"/>
    <x v="8"/>
    <x v="252"/>
    <x v="9"/>
    <x v="77"/>
    <x v="83"/>
    <x v="160"/>
    <x v="415"/>
    <x v="5"/>
  </r>
  <r>
    <x v="0"/>
    <x v="37"/>
    <x v="37"/>
    <x v="30"/>
    <x v="30"/>
    <x v="30"/>
    <x v="8"/>
    <x v="252"/>
    <x v="9"/>
    <x v="48"/>
    <x v="428"/>
    <x v="160"/>
    <x v="415"/>
    <x v="5"/>
  </r>
  <r>
    <x v="0"/>
    <x v="37"/>
    <x v="37"/>
    <x v="7"/>
    <x v="7"/>
    <x v="7"/>
    <x v="8"/>
    <x v="252"/>
    <x v="9"/>
    <x v="64"/>
    <x v="427"/>
    <x v="211"/>
    <x v="274"/>
    <x v="5"/>
  </r>
  <r>
    <x v="0"/>
    <x v="37"/>
    <x v="37"/>
    <x v="36"/>
    <x v="36"/>
    <x v="36"/>
    <x v="8"/>
    <x v="252"/>
    <x v="9"/>
    <x v="77"/>
    <x v="83"/>
    <x v="160"/>
    <x v="415"/>
    <x v="5"/>
  </r>
  <r>
    <x v="0"/>
    <x v="37"/>
    <x v="37"/>
    <x v="45"/>
    <x v="45"/>
    <x v="45"/>
    <x v="16"/>
    <x v="287"/>
    <x v="208"/>
    <x v="48"/>
    <x v="428"/>
    <x v="211"/>
    <x v="274"/>
    <x v="5"/>
  </r>
  <r>
    <x v="0"/>
    <x v="37"/>
    <x v="37"/>
    <x v="46"/>
    <x v="46"/>
    <x v="46"/>
    <x v="16"/>
    <x v="287"/>
    <x v="208"/>
    <x v="77"/>
    <x v="83"/>
    <x v="160"/>
    <x v="415"/>
    <x v="5"/>
  </r>
  <r>
    <x v="0"/>
    <x v="37"/>
    <x v="37"/>
    <x v="22"/>
    <x v="22"/>
    <x v="22"/>
    <x v="16"/>
    <x v="287"/>
    <x v="208"/>
    <x v="77"/>
    <x v="83"/>
    <x v="160"/>
    <x v="415"/>
    <x v="5"/>
  </r>
  <r>
    <x v="0"/>
    <x v="37"/>
    <x v="37"/>
    <x v="47"/>
    <x v="47"/>
    <x v="47"/>
    <x v="16"/>
    <x v="287"/>
    <x v="208"/>
    <x v="77"/>
    <x v="83"/>
    <x v="160"/>
    <x v="415"/>
    <x v="5"/>
  </r>
  <r>
    <x v="0"/>
    <x v="37"/>
    <x v="37"/>
    <x v="48"/>
    <x v="48"/>
    <x v="48"/>
    <x v="16"/>
    <x v="287"/>
    <x v="208"/>
    <x v="77"/>
    <x v="83"/>
    <x v="211"/>
    <x v="274"/>
    <x v="5"/>
  </r>
  <r>
    <x v="0"/>
    <x v="37"/>
    <x v="37"/>
    <x v="23"/>
    <x v="23"/>
    <x v="23"/>
    <x v="16"/>
    <x v="287"/>
    <x v="208"/>
    <x v="48"/>
    <x v="428"/>
    <x v="211"/>
    <x v="274"/>
    <x v="5"/>
  </r>
  <r>
    <x v="0"/>
    <x v="37"/>
    <x v="37"/>
    <x v="24"/>
    <x v="24"/>
    <x v="24"/>
    <x v="16"/>
    <x v="287"/>
    <x v="208"/>
    <x v="77"/>
    <x v="83"/>
    <x v="160"/>
    <x v="415"/>
    <x v="5"/>
  </r>
  <r>
    <x v="0"/>
    <x v="37"/>
    <x v="37"/>
    <x v="19"/>
    <x v="19"/>
    <x v="19"/>
    <x v="16"/>
    <x v="287"/>
    <x v="208"/>
    <x v="48"/>
    <x v="428"/>
    <x v="211"/>
    <x v="274"/>
    <x v="5"/>
  </r>
  <r>
    <x v="0"/>
    <x v="37"/>
    <x v="37"/>
    <x v="34"/>
    <x v="34"/>
    <x v="34"/>
    <x v="16"/>
    <x v="287"/>
    <x v="208"/>
    <x v="77"/>
    <x v="83"/>
    <x v="211"/>
    <x v="274"/>
    <x v="5"/>
  </r>
  <r>
    <x v="0"/>
    <x v="37"/>
    <x v="37"/>
    <x v="27"/>
    <x v="27"/>
    <x v="27"/>
    <x v="16"/>
    <x v="287"/>
    <x v="208"/>
    <x v="48"/>
    <x v="428"/>
    <x v="211"/>
    <x v="274"/>
    <x v="5"/>
  </r>
  <r>
    <x v="0"/>
    <x v="37"/>
    <x v="37"/>
    <x v="29"/>
    <x v="29"/>
    <x v="29"/>
    <x v="16"/>
    <x v="287"/>
    <x v="208"/>
    <x v="48"/>
    <x v="428"/>
    <x v="211"/>
    <x v="274"/>
    <x v="5"/>
  </r>
  <r>
    <x v="0"/>
    <x v="37"/>
    <x v="37"/>
    <x v="21"/>
    <x v="21"/>
    <x v="21"/>
    <x v="16"/>
    <x v="287"/>
    <x v="208"/>
    <x v="77"/>
    <x v="83"/>
    <x v="160"/>
    <x v="415"/>
    <x v="5"/>
  </r>
  <r>
    <x v="0"/>
    <x v="38"/>
    <x v="38"/>
    <x v="0"/>
    <x v="0"/>
    <x v="0"/>
    <x v="0"/>
    <x v="151"/>
    <x v="423"/>
    <x v="181"/>
    <x v="430"/>
    <x v="214"/>
    <x v="416"/>
    <x v="5"/>
  </r>
  <r>
    <x v="0"/>
    <x v="38"/>
    <x v="38"/>
    <x v="1"/>
    <x v="1"/>
    <x v="1"/>
    <x v="1"/>
    <x v="77"/>
    <x v="424"/>
    <x v="116"/>
    <x v="414"/>
    <x v="190"/>
    <x v="417"/>
    <x v="5"/>
  </r>
  <r>
    <x v="0"/>
    <x v="38"/>
    <x v="38"/>
    <x v="3"/>
    <x v="3"/>
    <x v="3"/>
    <x v="2"/>
    <x v="133"/>
    <x v="331"/>
    <x v="31"/>
    <x v="431"/>
    <x v="145"/>
    <x v="418"/>
    <x v="5"/>
  </r>
  <r>
    <x v="0"/>
    <x v="38"/>
    <x v="38"/>
    <x v="2"/>
    <x v="2"/>
    <x v="2"/>
    <x v="3"/>
    <x v="197"/>
    <x v="425"/>
    <x v="98"/>
    <x v="432"/>
    <x v="214"/>
    <x v="416"/>
    <x v="5"/>
  </r>
  <r>
    <x v="0"/>
    <x v="38"/>
    <x v="38"/>
    <x v="6"/>
    <x v="6"/>
    <x v="6"/>
    <x v="4"/>
    <x v="217"/>
    <x v="426"/>
    <x v="69"/>
    <x v="433"/>
    <x v="134"/>
    <x v="419"/>
    <x v="5"/>
  </r>
  <r>
    <x v="0"/>
    <x v="38"/>
    <x v="38"/>
    <x v="4"/>
    <x v="4"/>
    <x v="4"/>
    <x v="5"/>
    <x v="174"/>
    <x v="427"/>
    <x v="96"/>
    <x v="428"/>
    <x v="150"/>
    <x v="420"/>
    <x v="5"/>
  </r>
  <r>
    <x v="0"/>
    <x v="38"/>
    <x v="38"/>
    <x v="11"/>
    <x v="11"/>
    <x v="11"/>
    <x v="6"/>
    <x v="260"/>
    <x v="428"/>
    <x v="96"/>
    <x v="428"/>
    <x v="212"/>
    <x v="421"/>
    <x v="5"/>
  </r>
  <r>
    <x v="0"/>
    <x v="38"/>
    <x v="38"/>
    <x v="5"/>
    <x v="5"/>
    <x v="5"/>
    <x v="7"/>
    <x v="262"/>
    <x v="429"/>
    <x v="82"/>
    <x v="350"/>
    <x v="215"/>
    <x v="422"/>
    <x v="5"/>
  </r>
  <r>
    <x v="0"/>
    <x v="38"/>
    <x v="38"/>
    <x v="7"/>
    <x v="7"/>
    <x v="7"/>
    <x v="7"/>
    <x v="262"/>
    <x v="429"/>
    <x v="92"/>
    <x v="385"/>
    <x v="160"/>
    <x v="423"/>
    <x v="5"/>
  </r>
  <r>
    <x v="0"/>
    <x v="38"/>
    <x v="38"/>
    <x v="13"/>
    <x v="13"/>
    <x v="13"/>
    <x v="9"/>
    <x v="246"/>
    <x v="49"/>
    <x v="65"/>
    <x v="13"/>
    <x v="206"/>
    <x v="99"/>
    <x v="5"/>
  </r>
  <r>
    <x v="0"/>
    <x v="38"/>
    <x v="38"/>
    <x v="8"/>
    <x v="8"/>
    <x v="8"/>
    <x v="10"/>
    <x v="264"/>
    <x v="153"/>
    <x v="65"/>
    <x v="13"/>
    <x v="189"/>
    <x v="16"/>
    <x v="5"/>
  </r>
  <r>
    <x v="0"/>
    <x v="38"/>
    <x v="38"/>
    <x v="12"/>
    <x v="12"/>
    <x v="12"/>
    <x v="10"/>
    <x v="264"/>
    <x v="153"/>
    <x v="64"/>
    <x v="367"/>
    <x v="197"/>
    <x v="147"/>
    <x v="5"/>
  </r>
  <r>
    <x v="0"/>
    <x v="38"/>
    <x v="38"/>
    <x v="30"/>
    <x v="30"/>
    <x v="30"/>
    <x v="12"/>
    <x v="280"/>
    <x v="430"/>
    <x v="52"/>
    <x v="216"/>
    <x v="190"/>
    <x v="417"/>
    <x v="5"/>
  </r>
  <r>
    <x v="0"/>
    <x v="38"/>
    <x v="38"/>
    <x v="9"/>
    <x v="9"/>
    <x v="9"/>
    <x v="12"/>
    <x v="280"/>
    <x v="430"/>
    <x v="65"/>
    <x v="13"/>
    <x v="132"/>
    <x v="424"/>
    <x v="5"/>
  </r>
  <r>
    <x v="0"/>
    <x v="38"/>
    <x v="38"/>
    <x v="17"/>
    <x v="17"/>
    <x v="17"/>
    <x v="14"/>
    <x v="268"/>
    <x v="138"/>
    <x v="52"/>
    <x v="216"/>
    <x v="189"/>
    <x v="16"/>
    <x v="5"/>
  </r>
  <r>
    <x v="0"/>
    <x v="38"/>
    <x v="38"/>
    <x v="10"/>
    <x v="10"/>
    <x v="10"/>
    <x v="14"/>
    <x v="268"/>
    <x v="138"/>
    <x v="50"/>
    <x v="434"/>
    <x v="160"/>
    <x v="423"/>
    <x v="5"/>
  </r>
  <r>
    <x v="0"/>
    <x v="38"/>
    <x v="38"/>
    <x v="19"/>
    <x v="19"/>
    <x v="19"/>
    <x v="16"/>
    <x v="269"/>
    <x v="16"/>
    <x v="51"/>
    <x v="348"/>
    <x v="132"/>
    <x v="424"/>
    <x v="5"/>
  </r>
  <r>
    <x v="0"/>
    <x v="38"/>
    <x v="38"/>
    <x v="14"/>
    <x v="14"/>
    <x v="14"/>
    <x v="16"/>
    <x v="269"/>
    <x v="16"/>
    <x v="77"/>
    <x v="83"/>
    <x v="189"/>
    <x v="16"/>
    <x v="5"/>
  </r>
  <r>
    <x v="0"/>
    <x v="38"/>
    <x v="38"/>
    <x v="34"/>
    <x v="34"/>
    <x v="34"/>
    <x v="18"/>
    <x v="248"/>
    <x v="403"/>
    <x v="48"/>
    <x v="18"/>
    <x v="210"/>
    <x v="394"/>
    <x v="5"/>
  </r>
  <r>
    <x v="0"/>
    <x v="38"/>
    <x v="38"/>
    <x v="42"/>
    <x v="42"/>
    <x v="42"/>
    <x v="19"/>
    <x v="249"/>
    <x v="431"/>
    <x v="77"/>
    <x v="83"/>
    <x v="210"/>
    <x v="394"/>
    <x v="5"/>
  </r>
  <r>
    <x v="0"/>
    <x v="38"/>
    <x v="38"/>
    <x v="24"/>
    <x v="24"/>
    <x v="24"/>
    <x v="19"/>
    <x v="249"/>
    <x v="431"/>
    <x v="48"/>
    <x v="18"/>
    <x v="132"/>
    <x v="424"/>
    <x v="5"/>
  </r>
  <r>
    <x v="0"/>
    <x v="38"/>
    <x v="38"/>
    <x v="21"/>
    <x v="21"/>
    <x v="21"/>
    <x v="19"/>
    <x v="249"/>
    <x v="431"/>
    <x v="48"/>
    <x v="18"/>
    <x v="209"/>
    <x v="19"/>
    <x v="4"/>
  </r>
  <r>
    <x v="0"/>
    <x v="39"/>
    <x v="39"/>
    <x v="0"/>
    <x v="0"/>
    <x v="0"/>
    <x v="0"/>
    <x v="106"/>
    <x v="432"/>
    <x v="128"/>
    <x v="435"/>
    <x v="133"/>
    <x v="425"/>
    <x v="5"/>
  </r>
  <r>
    <x v="0"/>
    <x v="39"/>
    <x v="39"/>
    <x v="1"/>
    <x v="1"/>
    <x v="1"/>
    <x v="1"/>
    <x v="109"/>
    <x v="433"/>
    <x v="105"/>
    <x v="436"/>
    <x v="210"/>
    <x v="70"/>
    <x v="5"/>
  </r>
  <r>
    <x v="0"/>
    <x v="39"/>
    <x v="39"/>
    <x v="2"/>
    <x v="2"/>
    <x v="2"/>
    <x v="2"/>
    <x v="110"/>
    <x v="434"/>
    <x v="156"/>
    <x v="437"/>
    <x v="134"/>
    <x v="426"/>
    <x v="5"/>
  </r>
  <r>
    <x v="0"/>
    <x v="39"/>
    <x v="39"/>
    <x v="3"/>
    <x v="3"/>
    <x v="3"/>
    <x v="3"/>
    <x v="257"/>
    <x v="435"/>
    <x v="69"/>
    <x v="438"/>
    <x v="122"/>
    <x v="427"/>
    <x v="5"/>
  </r>
  <r>
    <x v="0"/>
    <x v="39"/>
    <x v="39"/>
    <x v="6"/>
    <x v="6"/>
    <x v="6"/>
    <x v="4"/>
    <x v="135"/>
    <x v="436"/>
    <x v="74"/>
    <x v="439"/>
    <x v="214"/>
    <x v="365"/>
    <x v="4"/>
  </r>
  <r>
    <x v="0"/>
    <x v="39"/>
    <x v="39"/>
    <x v="30"/>
    <x v="30"/>
    <x v="30"/>
    <x v="5"/>
    <x v="136"/>
    <x v="437"/>
    <x v="61"/>
    <x v="291"/>
    <x v="212"/>
    <x v="61"/>
    <x v="5"/>
  </r>
  <r>
    <x v="0"/>
    <x v="39"/>
    <x v="39"/>
    <x v="7"/>
    <x v="7"/>
    <x v="7"/>
    <x v="6"/>
    <x v="140"/>
    <x v="200"/>
    <x v="57"/>
    <x v="190"/>
    <x v="160"/>
    <x v="428"/>
    <x v="5"/>
  </r>
  <r>
    <x v="0"/>
    <x v="39"/>
    <x v="39"/>
    <x v="11"/>
    <x v="11"/>
    <x v="11"/>
    <x v="7"/>
    <x v="245"/>
    <x v="438"/>
    <x v="70"/>
    <x v="147"/>
    <x v="197"/>
    <x v="30"/>
    <x v="5"/>
  </r>
  <r>
    <x v="0"/>
    <x v="39"/>
    <x v="39"/>
    <x v="5"/>
    <x v="5"/>
    <x v="5"/>
    <x v="8"/>
    <x v="258"/>
    <x v="439"/>
    <x v="78"/>
    <x v="311"/>
    <x v="197"/>
    <x v="30"/>
    <x v="5"/>
  </r>
  <r>
    <x v="0"/>
    <x v="39"/>
    <x v="39"/>
    <x v="9"/>
    <x v="9"/>
    <x v="9"/>
    <x v="9"/>
    <x v="259"/>
    <x v="203"/>
    <x v="111"/>
    <x v="208"/>
    <x v="163"/>
    <x v="251"/>
    <x v="4"/>
  </r>
  <r>
    <x v="0"/>
    <x v="39"/>
    <x v="39"/>
    <x v="4"/>
    <x v="4"/>
    <x v="4"/>
    <x v="10"/>
    <x v="261"/>
    <x v="440"/>
    <x v="82"/>
    <x v="56"/>
    <x v="213"/>
    <x v="429"/>
    <x v="5"/>
  </r>
  <r>
    <x v="0"/>
    <x v="39"/>
    <x v="39"/>
    <x v="13"/>
    <x v="13"/>
    <x v="13"/>
    <x v="11"/>
    <x v="279"/>
    <x v="219"/>
    <x v="51"/>
    <x v="153"/>
    <x v="215"/>
    <x v="280"/>
    <x v="5"/>
  </r>
  <r>
    <x v="0"/>
    <x v="39"/>
    <x v="39"/>
    <x v="10"/>
    <x v="10"/>
    <x v="10"/>
    <x v="12"/>
    <x v="246"/>
    <x v="193"/>
    <x v="38"/>
    <x v="151"/>
    <x v="211"/>
    <x v="274"/>
    <x v="5"/>
  </r>
  <r>
    <x v="0"/>
    <x v="39"/>
    <x v="39"/>
    <x v="18"/>
    <x v="18"/>
    <x v="18"/>
    <x v="13"/>
    <x v="263"/>
    <x v="318"/>
    <x v="64"/>
    <x v="155"/>
    <x v="197"/>
    <x v="30"/>
    <x v="4"/>
  </r>
  <r>
    <x v="0"/>
    <x v="39"/>
    <x v="39"/>
    <x v="19"/>
    <x v="19"/>
    <x v="19"/>
    <x v="13"/>
    <x v="263"/>
    <x v="318"/>
    <x v="51"/>
    <x v="153"/>
    <x v="206"/>
    <x v="430"/>
    <x v="5"/>
  </r>
  <r>
    <x v="0"/>
    <x v="39"/>
    <x v="39"/>
    <x v="8"/>
    <x v="8"/>
    <x v="8"/>
    <x v="15"/>
    <x v="264"/>
    <x v="123"/>
    <x v="82"/>
    <x v="56"/>
    <x v="210"/>
    <x v="70"/>
    <x v="5"/>
  </r>
  <r>
    <x v="0"/>
    <x v="39"/>
    <x v="39"/>
    <x v="28"/>
    <x v="28"/>
    <x v="28"/>
    <x v="15"/>
    <x v="264"/>
    <x v="123"/>
    <x v="65"/>
    <x v="80"/>
    <x v="189"/>
    <x v="431"/>
    <x v="5"/>
  </r>
  <r>
    <x v="0"/>
    <x v="39"/>
    <x v="39"/>
    <x v="14"/>
    <x v="14"/>
    <x v="14"/>
    <x v="15"/>
    <x v="264"/>
    <x v="123"/>
    <x v="48"/>
    <x v="93"/>
    <x v="189"/>
    <x v="431"/>
    <x v="5"/>
  </r>
  <r>
    <x v="0"/>
    <x v="39"/>
    <x v="39"/>
    <x v="12"/>
    <x v="12"/>
    <x v="12"/>
    <x v="18"/>
    <x v="268"/>
    <x v="232"/>
    <x v="52"/>
    <x v="154"/>
    <x v="210"/>
    <x v="70"/>
    <x v="5"/>
  </r>
  <r>
    <x v="0"/>
    <x v="39"/>
    <x v="39"/>
    <x v="15"/>
    <x v="15"/>
    <x v="15"/>
    <x v="19"/>
    <x v="269"/>
    <x v="357"/>
    <x v="77"/>
    <x v="83"/>
    <x v="206"/>
    <x v="430"/>
    <x v="5"/>
  </r>
  <r>
    <x v="0"/>
    <x v="40"/>
    <x v="40"/>
    <x v="1"/>
    <x v="1"/>
    <x v="1"/>
    <x v="0"/>
    <x v="170"/>
    <x v="441"/>
    <x v="160"/>
    <x v="440"/>
    <x v="165"/>
    <x v="117"/>
    <x v="5"/>
  </r>
  <r>
    <x v="0"/>
    <x v="40"/>
    <x v="40"/>
    <x v="0"/>
    <x v="0"/>
    <x v="0"/>
    <x v="1"/>
    <x v="91"/>
    <x v="442"/>
    <x v="182"/>
    <x v="441"/>
    <x v="135"/>
    <x v="320"/>
    <x v="5"/>
  </r>
  <r>
    <x v="0"/>
    <x v="40"/>
    <x v="40"/>
    <x v="4"/>
    <x v="4"/>
    <x v="4"/>
    <x v="2"/>
    <x v="121"/>
    <x v="443"/>
    <x v="92"/>
    <x v="363"/>
    <x v="94"/>
    <x v="432"/>
    <x v="5"/>
  </r>
  <r>
    <x v="0"/>
    <x v="40"/>
    <x v="40"/>
    <x v="2"/>
    <x v="2"/>
    <x v="2"/>
    <x v="3"/>
    <x v="265"/>
    <x v="87"/>
    <x v="132"/>
    <x v="442"/>
    <x v="153"/>
    <x v="433"/>
    <x v="5"/>
  </r>
  <r>
    <x v="0"/>
    <x v="40"/>
    <x v="40"/>
    <x v="5"/>
    <x v="5"/>
    <x v="5"/>
    <x v="4"/>
    <x v="77"/>
    <x v="444"/>
    <x v="39"/>
    <x v="443"/>
    <x v="154"/>
    <x v="434"/>
    <x v="5"/>
  </r>
  <r>
    <x v="0"/>
    <x v="40"/>
    <x v="40"/>
    <x v="3"/>
    <x v="3"/>
    <x v="3"/>
    <x v="5"/>
    <x v="122"/>
    <x v="445"/>
    <x v="74"/>
    <x v="444"/>
    <x v="130"/>
    <x v="435"/>
    <x v="5"/>
  </r>
  <r>
    <x v="0"/>
    <x v="40"/>
    <x v="40"/>
    <x v="7"/>
    <x v="7"/>
    <x v="7"/>
    <x v="6"/>
    <x v="244"/>
    <x v="380"/>
    <x v="131"/>
    <x v="445"/>
    <x v="132"/>
    <x v="385"/>
    <x v="5"/>
  </r>
  <r>
    <x v="0"/>
    <x v="40"/>
    <x v="40"/>
    <x v="9"/>
    <x v="9"/>
    <x v="9"/>
    <x v="7"/>
    <x v="198"/>
    <x v="446"/>
    <x v="66"/>
    <x v="446"/>
    <x v="197"/>
    <x v="336"/>
    <x v="5"/>
  </r>
  <r>
    <x v="0"/>
    <x v="40"/>
    <x v="40"/>
    <x v="11"/>
    <x v="11"/>
    <x v="11"/>
    <x v="8"/>
    <x v="137"/>
    <x v="447"/>
    <x v="96"/>
    <x v="447"/>
    <x v="128"/>
    <x v="129"/>
    <x v="5"/>
  </r>
  <r>
    <x v="0"/>
    <x v="40"/>
    <x v="40"/>
    <x v="8"/>
    <x v="8"/>
    <x v="8"/>
    <x v="9"/>
    <x v="162"/>
    <x v="347"/>
    <x v="65"/>
    <x v="340"/>
    <x v="150"/>
    <x v="436"/>
    <x v="5"/>
  </r>
  <r>
    <x v="0"/>
    <x v="40"/>
    <x v="40"/>
    <x v="14"/>
    <x v="14"/>
    <x v="14"/>
    <x v="9"/>
    <x v="162"/>
    <x v="347"/>
    <x v="77"/>
    <x v="83"/>
    <x v="206"/>
    <x v="245"/>
    <x v="5"/>
  </r>
  <r>
    <x v="0"/>
    <x v="40"/>
    <x v="40"/>
    <x v="6"/>
    <x v="6"/>
    <x v="6"/>
    <x v="11"/>
    <x v="163"/>
    <x v="66"/>
    <x v="111"/>
    <x v="365"/>
    <x v="197"/>
    <x v="336"/>
    <x v="4"/>
  </r>
  <r>
    <x v="0"/>
    <x v="40"/>
    <x v="40"/>
    <x v="13"/>
    <x v="13"/>
    <x v="13"/>
    <x v="12"/>
    <x v="245"/>
    <x v="12"/>
    <x v="53"/>
    <x v="238"/>
    <x v="214"/>
    <x v="437"/>
    <x v="5"/>
  </r>
  <r>
    <x v="0"/>
    <x v="40"/>
    <x v="40"/>
    <x v="12"/>
    <x v="12"/>
    <x v="12"/>
    <x v="13"/>
    <x v="258"/>
    <x v="373"/>
    <x v="53"/>
    <x v="238"/>
    <x v="212"/>
    <x v="13"/>
    <x v="5"/>
  </r>
  <r>
    <x v="0"/>
    <x v="40"/>
    <x v="40"/>
    <x v="17"/>
    <x v="17"/>
    <x v="17"/>
    <x v="14"/>
    <x v="262"/>
    <x v="123"/>
    <x v="64"/>
    <x v="366"/>
    <x v="157"/>
    <x v="438"/>
    <x v="5"/>
  </r>
  <r>
    <x v="0"/>
    <x v="40"/>
    <x v="40"/>
    <x v="19"/>
    <x v="19"/>
    <x v="19"/>
    <x v="14"/>
    <x v="262"/>
    <x v="123"/>
    <x v="82"/>
    <x v="364"/>
    <x v="215"/>
    <x v="120"/>
    <x v="5"/>
  </r>
  <r>
    <x v="0"/>
    <x v="40"/>
    <x v="40"/>
    <x v="27"/>
    <x v="27"/>
    <x v="27"/>
    <x v="16"/>
    <x v="267"/>
    <x v="52"/>
    <x v="82"/>
    <x v="364"/>
    <x v="197"/>
    <x v="336"/>
    <x v="5"/>
  </r>
  <r>
    <x v="0"/>
    <x v="40"/>
    <x v="40"/>
    <x v="24"/>
    <x v="24"/>
    <x v="24"/>
    <x v="17"/>
    <x v="264"/>
    <x v="448"/>
    <x v="48"/>
    <x v="77"/>
    <x v="215"/>
    <x v="120"/>
    <x v="5"/>
  </r>
  <r>
    <x v="0"/>
    <x v="40"/>
    <x v="40"/>
    <x v="30"/>
    <x v="30"/>
    <x v="30"/>
    <x v="17"/>
    <x v="264"/>
    <x v="448"/>
    <x v="51"/>
    <x v="448"/>
    <x v="190"/>
    <x v="439"/>
    <x v="5"/>
  </r>
  <r>
    <x v="0"/>
    <x v="40"/>
    <x v="40"/>
    <x v="23"/>
    <x v="23"/>
    <x v="23"/>
    <x v="19"/>
    <x v="280"/>
    <x v="277"/>
    <x v="64"/>
    <x v="366"/>
    <x v="206"/>
    <x v="245"/>
    <x v="5"/>
  </r>
  <r>
    <x v="0"/>
    <x v="41"/>
    <x v="41"/>
    <x v="1"/>
    <x v="1"/>
    <x v="1"/>
    <x v="0"/>
    <x v="115"/>
    <x v="449"/>
    <x v="15"/>
    <x v="449"/>
    <x v="133"/>
    <x v="440"/>
    <x v="5"/>
  </r>
  <r>
    <x v="0"/>
    <x v="41"/>
    <x v="41"/>
    <x v="0"/>
    <x v="0"/>
    <x v="0"/>
    <x v="1"/>
    <x v="72"/>
    <x v="450"/>
    <x v="182"/>
    <x v="450"/>
    <x v="150"/>
    <x v="117"/>
    <x v="5"/>
  </r>
  <r>
    <x v="0"/>
    <x v="41"/>
    <x v="41"/>
    <x v="2"/>
    <x v="2"/>
    <x v="2"/>
    <x v="2"/>
    <x v="76"/>
    <x v="451"/>
    <x v="109"/>
    <x v="451"/>
    <x v="219"/>
    <x v="23"/>
    <x v="5"/>
  </r>
  <r>
    <x v="0"/>
    <x v="41"/>
    <x v="41"/>
    <x v="3"/>
    <x v="3"/>
    <x v="3"/>
    <x v="3"/>
    <x v="237"/>
    <x v="452"/>
    <x v="66"/>
    <x v="269"/>
    <x v="154"/>
    <x v="441"/>
    <x v="5"/>
  </r>
  <r>
    <x v="0"/>
    <x v="41"/>
    <x v="41"/>
    <x v="9"/>
    <x v="9"/>
    <x v="9"/>
    <x v="4"/>
    <x v="123"/>
    <x v="453"/>
    <x v="14"/>
    <x v="452"/>
    <x v="208"/>
    <x v="258"/>
    <x v="5"/>
  </r>
  <r>
    <x v="0"/>
    <x v="41"/>
    <x v="41"/>
    <x v="4"/>
    <x v="4"/>
    <x v="4"/>
    <x v="5"/>
    <x v="195"/>
    <x v="454"/>
    <x v="51"/>
    <x v="453"/>
    <x v="220"/>
    <x v="442"/>
    <x v="5"/>
  </r>
  <r>
    <x v="0"/>
    <x v="41"/>
    <x v="41"/>
    <x v="5"/>
    <x v="5"/>
    <x v="5"/>
    <x v="6"/>
    <x v="196"/>
    <x v="161"/>
    <x v="61"/>
    <x v="454"/>
    <x v="155"/>
    <x v="334"/>
    <x v="5"/>
  </r>
  <r>
    <x v="0"/>
    <x v="41"/>
    <x v="41"/>
    <x v="7"/>
    <x v="7"/>
    <x v="7"/>
    <x v="7"/>
    <x v="197"/>
    <x v="200"/>
    <x v="63"/>
    <x v="455"/>
    <x v="132"/>
    <x v="102"/>
    <x v="5"/>
  </r>
  <r>
    <x v="0"/>
    <x v="41"/>
    <x v="41"/>
    <x v="8"/>
    <x v="8"/>
    <x v="8"/>
    <x v="8"/>
    <x v="161"/>
    <x v="273"/>
    <x v="82"/>
    <x v="45"/>
    <x v="153"/>
    <x v="443"/>
    <x v="5"/>
  </r>
  <r>
    <x v="0"/>
    <x v="41"/>
    <x v="41"/>
    <x v="6"/>
    <x v="6"/>
    <x v="6"/>
    <x v="9"/>
    <x v="139"/>
    <x v="387"/>
    <x v="76"/>
    <x v="456"/>
    <x v="206"/>
    <x v="267"/>
    <x v="4"/>
  </r>
  <r>
    <x v="0"/>
    <x v="41"/>
    <x v="41"/>
    <x v="11"/>
    <x v="11"/>
    <x v="11"/>
    <x v="9"/>
    <x v="139"/>
    <x v="387"/>
    <x v="38"/>
    <x v="178"/>
    <x v="157"/>
    <x v="63"/>
    <x v="5"/>
  </r>
  <r>
    <x v="0"/>
    <x v="41"/>
    <x v="41"/>
    <x v="12"/>
    <x v="12"/>
    <x v="12"/>
    <x v="11"/>
    <x v="175"/>
    <x v="136"/>
    <x v="82"/>
    <x v="45"/>
    <x v="135"/>
    <x v="33"/>
    <x v="5"/>
  </r>
  <r>
    <x v="0"/>
    <x v="41"/>
    <x v="41"/>
    <x v="14"/>
    <x v="14"/>
    <x v="14"/>
    <x v="12"/>
    <x v="164"/>
    <x v="219"/>
    <x v="48"/>
    <x v="38"/>
    <x v="208"/>
    <x v="258"/>
    <x v="5"/>
  </r>
  <r>
    <x v="0"/>
    <x v="41"/>
    <x v="41"/>
    <x v="10"/>
    <x v="10"/>
    <x v="10"/>
    <x v="13"/>
    <x v="258"/>
    <x v="97"/>
    <x v="111"/>
    <x v="457"/>
    <x v="210"/>
    <x v="444"/>
    <x v="5"/>
  </r>
  <r>
    <x v="0"/>
    <x v="41"/>
    <x v="41"/>
    <x v="19"/>
    <x v="19"/>
    <x v="19"/>
    <x v="13"/>
    <x v="258"/>
    <x v="97"/>
    <x v="50"/>
    <x v="458"/>
    <x v="213"/>
    <x v="103"/>
    <x v="5"/>
  </r>
  <r>
    <x v="0"/>
    <x v="41"/>
    <x v="41"/>
    <x v="16"/>
    <x v="16"/>
    <x v="16"/>
    <x v="15"/>
    <x v="279"/>
    <x v="85"/>
    <x v="51"/>
    <x v="453"/>
    <x v="215"/>
    <x v="336"/>
    <x v="5"/>
  </r>
  <r>
    <x v="0"/>
    <x v="41"/>
    <x v="41"/>
    <x v="24"/>
    <x v="24"/>
    <x v="24"/>
    <x v="15"/>
    <x v="279"/>
    <x v="85"/>
    <x v="51"/>
    <x v="453"/>
    <x v="215"/>
    <x v="336"/>
    <x v="5"/>
  </r>
  <r>
    <x v="0"/>
    <x v="41"/>
    <x v="41"/>
    <x v="26"/>
    <x v="26"/>
    <x v="26"/>
    <x v="15"/>
    <x v="279"/>
    <x v="85"/>
    <x v="52"/>
    <x v="320"/>
    <x v="215"/>
    <x v="336"/>
    <x v="5"/>
  </r>
  <r>
    <x v="0"/>
    <x v="41"/>
    <x v="41"/>
    <x v="27"/>
    <x v="27"/>
    <x v="27"/>
    <x v="18"/>
    <x v="246"/>
    <x v="455"/>
    <x v="65"/>
    <x v="459"/>
    <x v="206"/>
    <x v="267"/>
    <x v="5"/>
  </r>
  <r>
    <x v="0"/>
    <x v="41"/>
    <x v="41"/>
    <x v="15"/>
    <x v="15"/>
    <x v="15"/>
    <x v="19"/>
    <x v="263"/>
    <x v="456"/>
    <x v="77"/>
    <x v="83"/>
    <x v="212"/>
    <x v="445"/>
    <x v="5"/>
  </r>
  <r>
    <x v="0"/>
    <x v="42"/>
    <x v="42"/>
    <x v="0"/>
    <x v="0"/>
    <x v="0"/>
    <x v="0"/>
    <x v="72"/>
    <x v="457"/>
    <x v="104"/>
    <x v="460"/>
    <x v="208"/>
    <x v="446"/>
    <x v="5"/>
  </r>
  <r>
    <x v="0"/>
    <x v="42"/>
    <x v="42"/>
    <x v="1"/>
    <x v="1"/>
    <x v="1"/>
    <x v="1"/>
    <x v="167"/>
    <x v="458"/>
    <x v="128"/>
    <x v="461"/>
    <x v="197"/>
    <x v="68"/>
    <x v="5"/>
  </r>
  <r>
    <x v="0"/>
    <x v="42"/>
    <x v="42"/>
    <x v="2"/>
    <x v="2"/>
    <x v="2"/>
    <x v="2"/>
    <x v="190"/>
    <x v="459"/>
    <x v="183"/>
    <x v="265"/>
    <x v="152"/>
    <x v="447"/>
    <x v="5"/>
  </r>
  <r>
    <x v="0"/>
    <x v="42"/>
    <x v="42"/>
    <x v="3"/>
    <x v="3"/>
    <x v="3"/>
    <x v="3"/>
    <x v="95"/>
    <x v="252"/>
    <x v="39"/>
    <x v="462"/>
    <x v="103"/>
    <x v="448"/>
    <x v="5"/>
  </r>
  <r>
    <x v="0"/>
    <x v="42"/>
    <x v="42"/>
    <x v="4"/>
    <x v="4"/>
    <x v="4"/>
    <x v="4"/>
    <x v="217"/>
    <x v="90"/>
    <x v="50"/>
    <x v="463"/>
    <x v="118"/>
    <x v="449"/>
    <x v="5"/>
  </r>
  <r>
    <x v="0"/>
    <x v="42"/>
    <x v="42"/>
    <x v="7"/>
    <x v="7"/>
    <x v="7"/>
    <x v="5"/>
    <x v="136"/>
    <x v="228"/>
    <x v="97"/>
    <x v="464"/>
    <x v="163"/>
    <x v="357"/>
    <x v="5"/>
  </r>
  <r>
    <x v="0"/>
    <x v="42"/>
    <x v="42"/>
    <x v="5"/>
    <x v="5"/>
    <x v="5"/>
    <x v="6"/>
    <x v="137"/>
    <x v="428"/>
    <x v="50"/>
    <x v="463"/>
    <x v="131"/>
    <x v="450"/>
    <x v="5"/>
  </r>
  <r>
    <x v="0"/>
    <x v="42"/>
    <x v="42"/>
    <x v="6"/>
    <x v="6"/>
    <x v="6"/>
    <x v="7"/>
    <x v="174"/>
    <x v="460"/>
    <x v="34"/>
    <x v="465"/>
    <x v="212"/>
    <x v="451"/>
    <x v="5"/>
  </r>
  <r>
    <x v="0"/>
    <x v="42"/>
    <x v="42"/>
    <x v="11"/>
    <x v="11"/>
    <x v="11"/>
    <x v="8"/>
    <x v="139"/>
    <x v="461"/>
    <x v="92"/>
    <x v="310"/>
    <x v="212"/>
    <x v="451"/>
    <x v="5"/>
  </r>
  <r>
    <x v="0"/>
    <x v="42"/>
    <x v="42"/>
    <x v="14"/>
    <x v="14"/>
    <x v="14"/>
    <x v="9"/>
    <x v="140"/>
    <x v="272"/>
    <x v="48"/>
    <x v="197"/>
    <x v="127"/>
    <x v="452"/>
    <x v="5"/>
  </r>
  <r>
    <x v="0"/>
    <x v="42"/>
    <x v="42"/>
    <x v="9"/>
    <x v="9"/>
    <x v="9"/>
    <x v="10"/>
    <x v="260"/>
    <x v="462"/>
    <x v="111"/>
    <x v="466"/>
    <x v="190"/>
    <x v="104"/>
    <x v="5"/>
  </r>
  <r>
    <x v="0"/>
    <x v="42"/>
    <x v="42"/>
    <x v="12"/>
    <x v="12"/>
    <x v="12"/>
    <x v="11"/>
    <x v="261"/>
    <x v="463"/>
    <x v="65"/>
    <x v="467"/>
    <x v="212"/>
    <x v="451"/>
    <x v="5"/>
  </r>
  <r>
    <x v="0"/>
    <x v="42"/>
    <x v="42"/>
    <x v="26"/>
    <x v="26"/>
    <x v="26"/>
    <x v="11"/>
    <x v="261"/>
    <x v="463"/>
    <x v="65"/>
    <x v="467"/>
    <x v="212"/>
    <x v="451"/>
    <x v="5"/>
  </r>
  <r>
    <x v="0"/>
    <x v="42"/>
    <x v="42"/>
    <x v="8"/>
    <x v="8"/>
    <x v="8"/>
    <x v="13"/>
    <x v="263"/>
    <x v="320"/>
    <x v="52"/>
    <x v="468"/>
    <x v="197"/>
    <x v="68"/>
    <x v="5"/>
  </r>
  <r>
    <x v="0"/>
    <x v="42"/>
    <x v="42"/>
    <x v="17"/>
    <x v="17"/>
    <x v="17"/>
    <x v="13"/>
    <x v="263"/>
    <x v="320"/>
    <x v="64"/>
    <x v="250"/>
    <x v="215"/>
    <x v="14"/>
    <x v="5"/>
  </r>
  <r>
    <x v="0"/>
    <x v="42"/>
    <x v="42"/>
    <x v="10"/>
    <x v="10"/>
    <x v="10"/>
    <x v="15"/>
    <x v="264"/>
    <x v="99"/>
    <x v="70"/>
    <x v="469"/>
    <x v="211"/>
    <x v="274"/>
    <x v="5"/>
  </r>
  <r>
    <x v="0"/>
    <x v="42"/>
    <x v="42"/>
    <x v="27"/>
    <x v="27"/>
    <x v="27"/>
    <x v="15"/>
    <x v="264"/>
    <x v="99"/>
    <x v="53"/>
    <x v="56"/>
    <x v="132"/>
    <x v="135"/>
    <x v="5"/>
  </r>
  <r>
    <x v="0"/>
    <x v="42"/>
    <x v="42"/>
    <x v="13"/>
    <x v="13"/>
    <x v="13"/>
    <x v="17"/>
    <x v="280"/>
    <x v="17"/>
    <x v="65"/>
    <x v="467"/>
    <x v="210"/>
    <x v="453"/>
    <x v="5"/>
  </r>
  <r>
    <x v="0"/>
    <x v="42"/>
    <x v="42"/>
    <x v="45"/>
    <x v="45"/>
    <x v="45"/>
    <x v="18"/>
    <x v="268"/>
    <x v="337"/>
    <x v="65"/>
    <x v="467"/>
    <x v="132"/>
    <x v="135"/>
    <x v="5"/>
  </r>
  <r>
    <x v="0"/>
    <x v="42"/>
    <x v="42"/>
    <x v="18"/>
    <x v="18"/>
    <x v="18"/>
    <x v="18"/>
    <x v="268"/>
    <x v="337"/>
    <x v="82"/>
    <x v="30"/>
    <x v="209"/>
    <x v="454"/>
    <x v="5"/>
  </r>
  <r>
    <x v="0"/>
    <x v="42"/>
    <x v="42"/>
    <x v="24"/>
    <x v="24"/>
    <x v="24"/>
    <x v="18"/>
    <x v="268"/>
    <x v="337"/>
    <x v="52"/>
    <x v="468"/>
    <x v="189"/>
    <x v="299"/>
    <x v="5"/>
  </r>
  <r>
    <x v="0"/>
    <x v="42"/>
    <x v="42"/>
    <x v="30"/>
    <x v="30"/>
    <x v="30"/>
    <x v="18"/>
    <x v="268"/>
    <x v="337"/>
    <x v="53"/>
    <x v="56"/>
    <x v="163"/>
    <x v="357"/>
    <x v="5"/>
  </r>
  <r>
    <x v="0"/>
    <x v="42"/>
    <x v="42"/>
    <x v="19"/>
    <x v="19"/>
    <x v="19"/>
    <x v="18"/>
    <x v="268"/>
    <x v="337"/>
    <x v="51"/>
    <x v="223"/>
    <x v="210"/>
    <x v="453"/>
    <x v="5"/>
  </r>
  <r>
    <x v="0"/>
    <x v="42"/>
    <x v="42"/>
    <x v="21"/>
    <x v="21"/>
    <x v="21"/>
    <x v="18"/>
    <x v="268"/>
    <x v="337"/>
    <x v="52"/>
    <x v="468"/>
    <x v="189"/>
    <x v="299"/>
    <x v="5"/>
  </r>
  <r>
    <x v="0"/>
    <x v="43"/>
    <x v="43"/>
    <x v="4"/>
    <x v="4"/>
    <x v="4"/>
    <x v="0"/>
    <x v="109"/>
    <x v="464"/>
    <x v="52"/>
    <x v="170"/>
    <x v="111"/>
    <x v="455"/>
    <x v="5"/>
  </r>
  <r>
    <x v="0"/>
    <x v="43"/>
    <x v="43"/>
    <x v="1"/>
    <x v="1"/>
    <x v="1"/>
    <x v="1"/>
    <x v="195"/>
    <x v="465"/>
    <x v="91"/>
    <x v="470"/>
    <x v="212"/>
    <x v="456"/>
    <x v="5"/>
  </r>
  <r>
    <x v="0"/>
    <x v="43"/>
    <x v="43"/>
    <x v="3"/>
    <x v="3"/>
    <x v="3"/>
    <x v="2"/>
    <x v="278"/>
    <x v="466"/>
    <x v="70"/>
    <x v="232"/>
    <x v="148"/>
    <x v="457"/>
    <x v="5"/>
  </r>
  <r>
    <x v="0"/>
    <x v="43"/>
    <x v="43"/>
    <x v="5"/>
    <x v="5"/>
    <x v="5"/>
    <x v="3"/>
    <x v="157"/>
    <x v="467"/>
    <x v="53"/>
    <x v="471"/>
    <x v="121"/>
    <x v="458"/>
    <x v="5"/>
  </r>
  <r>
    <x v="0"/>
    <x v="43"/>
    <x v="43"/>
    <x v="0"/>
    <x v="0"/>
    <x v="0"/>
    <x v="4"/>
    <x v="169"/>
    <x v="468"/>
    <x v="158"/>
    <x v="20"/>
    <x v="206"/>
    <x v="284"/>
    <x v="5"/>
  </r>
  <r>
    <x v="0"/>
    <x v="43"/>
    <x v="43"/>
    <x v="2"/>
    <x v="2"/>
    <x v="2"/>
    <x v="5"/>
    <x v="154"/>
    <x v="469"/>
    <x v="117"/>
    <x v="472"/>
    <x v="136"/>
    <x v="459"/>
    <x v="5"/>
  </r>
  <r>
    <x v="0"/>
    <x v="43"/>
    <x v="43"/>
    <x v="8"/>
    <x v="8"/>
    <x v="8"/>
    <x v="6"/>
    <x v="134"/>
    <x v="470"/>
    <x v="52"/>
    <x v="170"/>
    <x v="139"/>
    <x v="460"/>
    <x v="5"/>
  </r>
  <r>
    <x v="0"/>
    <x v="43"/>
    <x v="43"/>
    <x v="7"/>
    <x v="7"/>
    <x v="7"/>
    <x v="7"/>
    <x v="198"/>
    <x v="106"/>
    <x v="39"/>
    <x v="473"/>
    <x v="190"/>
    <x v="257"/>
    <x v="5"/>
  </r>
  <r>
    <x v="0"/>
    <x v="43"/>
    <x v="43"/>
    <x v="12"/>
    <x v="12"/>
    <x v="12"/>
    <x v="8"/>
    <x v="161"/>
    <x v="471"/>
    <x v="78"/>
    <x v="361"/>
    <x v="128"/>
    <x v="461"/>
    <x v="5"/>
  </r>
  <r>
    <x v="0"/>
    <x v="43"/>
    <x v="43"/>
    <x v="11"/>
    <x v="11"/>
    <x v="11"/>
    <x v="9"/>
    <x v="139"/>
    <x v="148"/>
    <x v="50"/>
    <x v="474"/>
    <x v="127"/>
    <x v="462"/>
    <x v="5"/>
  </r>
  <r>
    <x v="0"/>
    <x v="43"/>
    <x v="43"/>
    <x v="17"/>
    <x v="17"/>
    <x v="17"/>
    <x v="10"/>
    <x v="162"/>
    <x v="439"/>
    <x v="48"/>
    <x v="91"/>
    <x v="164"/>
    <x v="176"/>
    <x v="5"/>
  </r>
  <r>
    <x v="0"/>
    <x v="43"/>
    <x v="43"/>
    <x v="13"/>
    <x v="13"/>
    <x v="13"/>
    <x v="10"/>
    <x v="162"/>
    <x v="439"/>
    <x v="48"/>
    <x v="91"/>
    <x v="164"/>
    <x v="176"/>
    <x v="5"/>
  </r>
  <r>
    <x v="0"/>
    <x v="43"/>
    <x v="43"/>
    <x v="6"/>
    <x v="6"/>
    <x v="6"/>
    <x v="12"/>
    <x v="175"/>
    <x v="472"/>
    <x v="82"/>
    <x v="475"/>
    <x v="135"/>
    <x v="12"/>
    <x v="5"/>
  </r>
  <r>
    <x v="0"/>
    <x v="43"/>
    <x v="43"/>
    <x v="27"/>
    <x v="27"/>
    <x v="27"/>
    <x v="12"/>
    <x v="175"/>
    <x v="472"/>
    <x v="96"/>
    <x v="476"/>
    <x v="157"/>
    <x v="463"/>
    <x v="5"/>
  </r>
  <r>
    <x v="0"/>
    <x v="43"/>
    <x v="43"/>
    <x v="15"/>
    <x v="15"/>
    <x v="15"/>
    <x v="14"/>
    <x v="260"/>
    <x v="286"/>
    <x v="52"/>
    <x v="170"/>
    <x v="165"/>
    <x v="218"/>
    <x v="5"/>
  </r>
  <r>
    <x v="0"/>
    <x v="43"/>
    <x v="43"/>
    <x v="9"/>
    <x v="9"/>
    <x v="9"/>
    <x v="14"/>
    <x v="260"/>
    <x v="286"/>
    <x v="38"/>
    <x v="477"/>
    <x v="132"/>
    <x v="367"/>
    <x v="10"/>
  </r>
  <r>
    <x v="0"/>
    <x v="43"/>
    <x v="43"/>
    <x v="18"/>
    <x v="18"/>
    <x v="18"/>
    <x v="16"/>
    <x v="258"/>
    <x v="152"/>
    <x v="48"/>
    <x v="91"/>
    <x v="165"/>
    <x v="218"/>
    <x v="5"/>
  </r>
  <r>
    <x v="0"/>
    <x v="43"/>
    <x v="43"/>
    <x v="14"/>
    <x v="14"/>
    <x v="14"/>
    <x v="17"/>
    <x v="259"/>
    <x v="220"/>
    <x v="77"/>
    <x v="83"/>
    <x v="165"/>
    <x v="218"/>
    <x v="5"/>
  </r>
  <r>
    <x v="0"/>
    <x v="43"/>
    <x v="43"/>
    <x v="40"/>
    <x v="40"/>
    <x v="40"/>
    <x v="18"/>
    <x v="261"/>
    <x v="473"/>
    <x v="64"/>
    <x v="72"/>
    <x v="134"/>
    <x v="16"/>
    <x v="5"/>
  </r>
  <r>
    <x v="0"/>
    <x v="43"/>
    <x v="43"/>
    <x v="10"/>
    <x v="10"/>
    <x v="10"/>
    <x v="19"/>
    <x v="262"/>
    <x v="84"/>
    <x v="96"/>
    <x v="476"/>
    <x v="190"/>
    <x v="257"/>
    <x v="5"/>
  </r>
  <r>
    <x v="0"/>
    <x v="43"/>
    <x v="43"/>
    <x v="19"/>
    <x v="19"/>
    <x v="19"/>
    <x v="19"/>
    <x v="262"/>
    <x v="84"/>
    <x v="52"/>
    <x v="170"/>
    <x v="214"/>
    <x v="464"/>
    <x v="5"/>
  </r>
  <r>
    <x v="0"/>
    <x v="44"/>
    <x v="44"/>
    <x v="5"/>
    <x v="5"/>
    <x v="5"/>
    <x v="0"/>
    <x v="71"/>
    <x v="474"/>
    <x v="38"/>
    <x v="478"/>
    <x v="88"/>
    <x v="465"/>
    <x v="5"/>
  </r>
  <r>
    <x v="0"/>
    <x v="44"/>
    <x v="44"/>
    <x v="1"/>
    <x v="1"/>
    <x v="1"/>
    <x v="1"/>
    <x v="119"/>
    <x v="475"/>
    <x v="184"/>
    <x v="479"/>
    <x v="165"/>
    <x v="328"/>
    <x v="5"/>
  </r>
  <r>
    <x v="0"/>
    <x v="44"/>
    <x v="44"/>
    <x v="4"/>
    <x v="4"/>
    <x v="4"/>
    <x v="2"/>
    <x v="167"/>
    <x v="367"/>
    <x v="65"/>
    <x v="184"/>
    <x v="158"/>
    <x v="466"/>
    <x v="5"/>
  </r>
  <r>
    <x v="0"/>
    <x v="44"/>
    <x v="44"/>
    <x v="0"/>
    <x v="0"/>
    <x v="0"/>
    <x v="3"/>
    <x v="76"/>
    <x v="476"/>
    <x v="108"/>
    <x v="480"/>
    <x v="197"/>
    <x v="80"/>
    <x v="5"/>
  </r>
  <r>
    <x v="0"/>
    <x v="44"/>
    <x v="44"/>
    <x v="8"/>
    <x v="8"/>
    <x v="8"/>
    <x v="4"/>
    <x v="108"/>
    <x v="313"/>
    <x v="53"/>
    <x v="218"/>
    <x v="111"/>
    <x v="467"/>
    <x v="5"/>
  </r>
  <r>
    <x v="0"/>
    <x v="44"/>
    <x v="44"/>
    <x v="3"/>
    <x v="3"/>
    <x v="3"/>
    <x v="5"/>
    <x v="288"/>
    <x v="60"/>
    <x v="76"/>
    <x v="481"/>
    <x v="99"/>
    <x v="468"/>
    <x v="5"/>
  </r>
  <r>
    <x v="0"/>
    <x v="44"/>
    <x v="44"/>
    <x v="14"/>
    <x v="14"/>
    <x v="14"/>
    <x v="6"/>
    <x v="133"/>
    <x v="477"/>
    <x v="77"/>
    <x v="83"/>
    <x v="154"/>
    <x v="469"/>
    <x v="5"/>
  </r>
  <r>
    <x v="0"/>
    <x v="44"/>
    <x v="44"/>
    <x v="7"/>
    <x v="7"/>
    <x v="7"/>
    <x v="7"/>
    <x v="218"/>
    <x v="109"/>
    <x v="166"/>
    <x v="482"/>
    <x v="189"/>
    <x v="470"/>
    <x v="5"/>
  </r>
  <r>
    <x v="0"/>
    <x v="44"/>
    <x v="44"/>
    <x v="40"/>
    <x v="40"/>
    <x v="40"/>
    <x v="8"/>
    <x v="136"/>
    <x v="478"/>
    <x v="77"/>
    <x v="83"/>
    <x v="122"/>
    <x v="0"/>
    <x v="5"/>
  </r>
  <r>
    <x v="0"/>
    <x v="44"/>
    <x v="44"/>
    <x v="6"/>
    <x v="6"/>
    <x v="6"/>
    <x v="8"/>
    <x v="136"/>
    <x v="478"/>
    <x v="31"/>
    <x v="297"/>
    <x v="208"/>
    <x v="370"/>
    <x v="5"/>
  </r>
  <r>
    <x v="0"/>
    <x v="44"/>
    <x v="44"/>
    <x v="11"/>
    <x v="11"/>
    <x v="11"/>
    <x v="10"/>
    <x v="138"/>
    <x v="356"/>
    <x v="96"/>
    <x v="483"/>
    <x v="127"/>
    <x v="471"/>
    <x v="5"/>
  </r>
  <r>
    <x v="0"/>
    <x v="44"/>
    <x v="44"/>
    <x v="2"/>
    <x v="2"/>
    <x v="2"/>
    <x v="11"/>
    <x v="139"/>
    <x v="49"/>
    <x v="52"/>
    <x v="223"/>
    <x v="164"/>
    <x v="276"/>
    <x v="5"/>
  </r>
  <r>
    <x v="0"/>
    <x v="44"/>
    <x v="44"/>
    <x v="27"/>
    <x v="27"/>
    <x v="27"/>
    <x v="11"/>
    <x v="139"/>
    <x v="49"/>
    <x v="78"/>
    <x v="484"/>
    <x v="135"/>
    <x v="120"/>
    <x v="5"/>
  </r>
  <r>
    <x v="0"/>
    <x v="44"/>
    <x v="44"/>
    <x v="12"/>
    <x v="12"/>
    <x v="12"/>
    <x v="13"/>
    <x v="140"/>
    <x v="192"/>
    <x v="51"/>
    <x v="170"/>
    <x v="128"/>
    <x v="89"/>
    <x v="5"/>
  </r>
  <r>
    <x v="0"/>
    <x v="44"/>
    <x v="44"/>
    <x v="9"/>
    <x v="9"/>
    <x v="9"/>
    <x v="13"/>
    <x v="140"/>
    <x v="192"/>
    <x v="92"/>
    <x v="217"/>
    <x v="210"/>
    <x v="472"/>
    <x v="5"/>
  </r>
  <r>
    <x v="0"/>
    <x v="44"/>
    <x v="44"/>
    <x v="15"/>
    <x v="15"/>
    <x v="15"/>
    <x v="15"/>
    <x v="162"/>
    <x v="230"/>
    <x v="77"/>
    <x v="83"/>
    <x v="153"/>
    <x v="161"/>
    <x v="5"/>
  </r>
  <r>
    <x v="0"/>
    <x v="44"/>
    <x v="44"/>
    <x v="17"/>
    <x v="17"/>
    <x v="17"/>
    <x v="16"/>
    <x v="164"/>
    <x v="83"/>
    <x v="77"/>
    <x v="83"/>
    <x v="131"/>
    <x v="405"/>
    <x v="5"/>
  </r>
  <r>
    <x v="0"/>
    <x v="44"/>
    <x v="44"/>
    <x v="21"/>
    <x v="21"/>
    <x v="21"/>
    <x v="17"/>
    <x v="262"/>
    <x v="99"/>
    <x v="48"/>
    <x v="219"/>
    <x v="157"/>
    <x v="144"/>
    <x v="4"/>
  </r>
  <r>
    <x v="0"/>
    <x v="44"/>
    <x v="44"/>
    <x v="16"/>
    <x v="16"/>
    <x v="16"/>
    <x v="18"/>
    <x v="279"/>
    <x v="357"/>
    <x v="48"/>
    <x v="219"/>
    <x v="214"/>
    <x v="253"/>
    <x v="5"/>
  </r>
  <r>
    <x v="0"/>
    <x v="44"/>
    <x v="44"/>
    <x v="26"/>
    <x v="26"/>
    <x v="26"/>
    <x v="19"/>
    <x v="246"/>
    <x v="479"/>
    <x v="52"/>
    <x v="223"/>
    <x v="215"/>
    <x v="19"/>
    <x v="5"/>
  </r>
  <r>
    <x v="0"/>
    <x v="45"/>
    <x v="45"/>
    <x v="1"/>
    <x v="1"/>
    <x v="1"/>
    <x v="0"/>
    <x v="129"/>
    <x v="480"/>
    <x v="107"/>
    <x v="485"/>
    <x v="214"/>
    <x v="163"/>
    <x v="5"/>
  </r>
  <r>
    <x v="0"/>
    <x v="45"/>
    <x v="45"/>
    <x v="4"/>
    <x v="4"/>
    <x v="4"/>
    <x v="1"/>
    <x v="94"/>
    <x v="481"/>
    <x v="111"/>
    <x v="486"/>
    <x v="149"/>
    <x v="473"/>
    <x v="5"/>
  </r>
  <r>
    <x v="0"/>
    <x v="45"/>
    <x v="45"/>
    <x v="0"/>
    <x v="0"/>
    <x v="0"/>
    <x v="2"/>
    <x v="216"/>
    <x v="482"/>
    <x v="72"/>
    <x v="487"/>
    <x v="206"/>
    <x v="108"/>
    <x v="5"/>
  </r>
  <r>
    <x v="0"/>
    <x v="45"/>
    <x v="45"/>
    <x v="3"/>
    <x v="3"/>
    <x v="3"/>
    <x v="3"/>
    <x v="158"/>
    <x v="483"/>
    <x v="74"/>
    <x v="488"/>
    <x v="145"/>
    <x v="474"/>
    <x v="5"/>
  </r>
  <r>
    <x v="0"/>
    <x v="45"/>
    <x v="45"/>
    <x v="6"/>
    <x v="6"/>
    <x v="6"/>
    <x v="4"/>
    <x v="154"/>
    <x v="484"/>
    <x v="39"/>
    <x v="489"/>
    <x v="208"/>
    <x v="461"/>
    <x v="5"/>
  </r>
  <r>
    <x v="0"/>
    <x v="45"/>
    <x v="45"/>
    <x v="5"/>
    <x v="5"/>
    <x v="5"/>
    <x v="5"/>
    <x v="217"/>
    <x v="23"/>
    <x v="111"/>
    <x v="486"/>
    <x v="153"/>
    <x v="475"/>
    <x v="5"/>
  </r>
  <r>
    <x v="0"/>
    <x v="45"/>
    <x v="45"/>
    <x v="8"/>
    <x v="8"/>
    <x v="8"/>
    <x v="6"/>
    <x v="160"/>
    <x v="229"/>
    <x v="65"/>
    <x v="490"/>
    <x v="191"/>
    <x v="476"/>
    <x v="5"/>
  </r>
  <r>
    <x v="0"/>
    <x v="45"/>
    <x v="45"/>
    <x v="9"/>
    <x v="9"/>
    <x v="9"/>
    <x v="6"/>
    <x v="160"/>
    <x v="229"/>
    <x v="166"/>
    <x v="44"/>
    <x v="210"/>
    <x v="388"/>
    <x v="5"/>
  </r>
  <r>
    <x v="0"/>
    <x v="45"/>
    <x v="45"/>
    <x v="11"/>
    <x v="11"/>
    <x v="11"/>
    <x v="8"/>
    <x v="218"/>
    <x v="485"/>
    <x v="70"/>
    <x v="203"/>
    <x v="131"/>
    <x v="123"/>
    <x v="5"/>
  </r>
  <r>
    <x v="0"/>
    <x v="45"/>
    <x v="45"/>
    <x v="12"/>
    <x v="12"/>
    <x v="12"/>
    <x v="9"/>
    <x v="137"/>
    <x v="486"/>
    <x v="96"/>
    <x v="469"/>
    <x v="150"/>
    <x v="477"/>
    <x v="5"/>
  </r>
  <r>
    <x v="0"/>
    <x v="45"/>
    <x v="45"/>
    <x v="14"/>
    <x v="14"/>
    <x v="14"/>
    <x v="10"/>
    <x v="138"/>
    <x v="254"/>
    <x v="77"/>
    <x v="83"/>
    <x v="214"/>
    <x v="163"/>
    <x v="5"/>
  </r>
  <r>
    <x v="0"/>
    <x v="45"/>
    <x v="45"/>
    <x v="2"/>
    <x v="2"/>
    <x v="2"/>
    <x v="11"/>
    <x v="162"/>
    <x v="9"/>
    <x v="96"/>
    <x v="469"/>
    <x v="208"/>
    <x v="461"/>
    <x v="5"/>
  </r>
  <r>
    <x v="0"/>
    <x v="45"/>
    <x v="45"/>
    <x v="7"/>
    <x v="7"/>
    <x v="7"/>
    <x v="11"/>
    <x v="162"/>
    <x v="9"/>
    <x v="61"/>
    <x v="491"/>
    <x v="210"/>
    <x v="388"/>
    <x v="5"/>
  </r>
  <r>
    <x v="0"/>
    <x v="45"/>
    <x v="45"/>
    <x v="27"/>
    <x v="27"/>
    <x v="27"/>
    <x v="13"/>
    <x v="175"/>
    <x v="487"/>
    <x v="111"/>
    <x v="486"/>
    <x v="197"/>
    <x v="54"/>
    <x v="5"/>
  </r>
  <r>
    <x v="0"/>
    <x v="45"/>
    <x v="45"/>
    <x v="18"/>
    <x v="18"/>
    <x v="18"/>
    <x v="14"/>
    <x v="260"/>
    <x v="96"/>
    <x v="48"/>
    <x v="492"/>
    <x v="150"/>
    <x v="477"/>
    <x v="5"/>
  </r>
  <r>
    <x v="0"/>
    <x v="45"/>
    <x v="45"/>
    <x v="13"/>
    <x v="13"/>
    <x v="13"/>
    <x v="14"/>
    <x v="260"/>
    <x v="96"/>
    <x v="50"/>
    <x v="493"/>
    <x v="214"/>
    <x v="163"/>
    <x v="5"/>
  </r>
  <r>
    <x v="0"/>
    <x v="45"/>
    <x v="45"/>
    <x v="17"/>
    <x v="17"/>
    <x v="17"/>
    <x v="16"/>
    <x v="279"/>
    <x v="258"/>
    <x v="48"/>
    <x v="492"/>
    <x v="214"/>
    <x v="163"/>
    <x v="5"/>
  </r>
  <r>
    <x v="0"/>
    <x v="45"/>
    <x v="45"/>
    <x v="15"/>
    <x v="15"/>
    <x v="15"/>
    <x v="16"/>
    <x v="279"/>
    <x v="258"/>
    <x v="48"/>
    <x v="492"/>
    <x v="214"/>
    <x v="163"/>
    <x v="5"/>
  </r>
  <r>
    <x v="0"/>
    <x v="45"/>
    <x v="45"/>
    <x v="30"/>
    <x v="30"/>
    <x v="30"/>
    <x v="18"/>
    <x v="246"/>
    <x v="320"/>
    <x v="53"/>
    <x v="494"/>
    <x v="210"/>
    <x v="388"/>
    <x v="5"/>
  </r>
  <r>
    <x v="0"/>
    <x v="45"/>
    <x v="45"/>
    <x v="42"/>
    <x v="42"/>
    <x v="42"/>
    <x v="19"/>
    <x v="280"/>
    <x v="326"/>
    <x v="77"/>
    <x v="83"/>
    <x v="215"/>
    <x v="116"/>
    <x v="5"/>
  </r>
  <r>
    <x v="0"/>
    <x v="45"/>
    <x v="45"/>
    <x v="35"/>
    <x v="35"/>
    <x v="35"/>
    <x v="19"/>
    <x v="280"/>
    <x v="326"/>
    <x v="77"/>
    <x v="83"/>
    <x v="215"/>
    <x v="116"/>
    <x v="5"/>
  </r>
  <r>
    <x v="0"/>
    <x v="45"/>
    <x v="45"/>
    <x v="16"/>
    <x v="16"/>
    <x v="16"/>
    <x v="19"/>
    <x v="280"/>
    <x v="326"/>
    <x v="77"/>
    <x v="83"/>
    <x v="215"/>
    <x v="116"/>
    <x v="5"/>
  </r>
  <r>
    <x v="0"/>
    <x v="45"/>
    <x v="45"/>
    <x v="19"/>
    <x v="19"/>
    <x v="19"/>
    <x v="19"/>
    <x v="280"/>
    <x v="326"/>
    <x v="52"/>
    <x v="198"/>
    <x v="132"/>
    <x v="478"/>
    <x v="5"/>
  </r>
  <r>
    <x v="0"/>
    <x v="46"/>
    <x v="46"/>
    <x v="2"/>
    <x v="2"/>
    <x v="2"/>
    <x v="0"/>
    <x v="283"/>
    <x v="488"/>
    <x v="119"/>
    <x v="495"/>
    <x v="197"/>
    <x v="474"/>
    <x v="5"/>
  </r>
  <r>
    <x v="0"/>
    <x v="46"/>
    <x v="46"/>
    <x v="1"/>
    <x v="1"/>
    <x v="1"/>
    <x v="1"/>
    <x v="161"/>
    <x v="489"/>
    <x v="39"/>
    <x v="496"/>
    <x v="163"/>
    <x v="327"/>
    <x v="5"/>
  </r>
  <r>
    <x v="0"/>
    <x v="46"/>
    <x v="46"/>
    <x v="5"/>
    <x v="5"/>
    <x v="5"/>
    <x v="2"/>
    <x v="138"/>
    <x v="490"/>
    <x v="53"/>
    <x v="497"/>
    <x v="128"/>
    <x v="479"/>
    <x v="5"/>
  </r>
  <r>
    <x v="0"/>
    <x v="46"/>
    <x v="46"/>
    <x v="4"/>
    <x v="4"/>
    <x v="4"/>
    <x v="3"/>
    <x v="258"/>
    <x v="491"/>
    <x v="51"/>
    <x v="304"/>
    <x v="134"/>
    <x v="480"/>
    <x v="5"/>
  </r>
  <r>
    <x v="0"/>
    <x v="46"/>
    <x v="46"/>
    <x v="3"/>
    <x v="3"/>
    <x v="3"/>
    <x v="4"/>
    <x v="262"/>
    <x v="484"/>
    <x v="51"/>
    <x v="304"/>
    <x v="212"/>
    <x v="323"/>
    <x v="5"/>
  </r>
  <r>
    <x v="0"/>
    <x v="46"/>
    <x v="46"/>
    <x v="0"/>
    <x v="0"/>
    <x v="0"/>
    <x v="4"/>
    <x v="262"/>
    <x v="484"/>
    <x v="92"/>
    <x v="498"/>
    <x v="160"/>
    <x v="481"/>
    <x v="5"/>
  </r>
  <r>
    <x v="0"/>
    <x v="46"/>
    <x v="46"/>
    <x v="6"/>
    <x v="6"/>
    <x v="6"/>
    <x v="6"/>
    <x v="267"/>
    <x v="492"/>
    <x v="82"/>
    <x v="499"/>
    <x v="206"/>
    <x v="482"/>
    <x v="4"/>
  </r>
  <r>
    <x v="0"/>
    <x v="46"/>
    <x v="46"/>
    <x v="11"/>
    <x v="11"/>
    <x v="11"/>
    <x v="7"/>
    <x v="263"/>
    <x v="493"/>
    <x v="52"/>
    <x v="167"/>
    <x v="197"/>
    <x v="474"/>
    <x v="5"/>
  </r>
  <r>
    <x v="0"/>
    <x v="46"/>
    <x v="46"/>
    <x v="14"/>
    <x v="14"/>
    <x v="14"/>
    <x v="8"/>
    <x v="280"/>
    <x v="163"/>
    <x v="77"/>
    <x v="83"/>
    <x v="190"/>
    <x v="156"/>
    <x v="5"/>
  </r>
  <r>
    <x v="0"/>
    <x v="46"/>
    <x v="46"/>
    <x v="8"/>
    <x v="8"/>
    <x v="8"/>
    <x v="9"/>
    <x v="268"/>
    <x v="494"/>
    <x v="64"/>
    <x v="161"/>
    <x v="190"/>
    <x v="156"/>
    <x v="5"/>
  </r>
  <r>
    <x v="0"/>
    <x v="46"/>
    <x v="46"/>
    <x v="9"/>
    <x v="9"/>
    <x v="9"/>
    <x v="9"/>
    <x v="268"/>
    <x v="494"/>
    <x v="82"/>
    <x v="499"/>
    <x v="160"/>
    <x v="481"/>
    <x v="5"/>
  </r>
  <r>
    <x v="0"/>
    <x v="46"/>
    <x v="46"/>
    <x v="12"/>
    <x v="12"/>
    <x v="12"/>
    <x v="11"/>
    <x v="269"/>
    <x v="347"/>
    <x v="51"/>
    <x v="304"/>
    <x v="132"/>
    <x v="324"/>
    <x v="5"/>
  </r>
  <r>
    <x v="0"/>
    <x v="46"/>
    <x v="46"/>
    <x v="40"/>
    <x v="40"/>
    <x v="40"/>
    <x v="12"/>
    <x v="247"/>
    <x v="113"/>
    <x v="52"/>
    <x v="167"/>
    <x v="132"/>
    <x v="324"/>
    <x v="5"/>
  </r>
  <r>
    <x v="0"/>
    <x v="46"/>
    <x v="46"/>
    <x v="28"/>
    <x v="28"/>
    <x v="28"/>
    <x v="13"/>
    <x v="248"/>
    <x v="495"/>
    <x v="64"/>
    <x v="161"/>
    <x v="132"/>
    <x v="324"/>
    <x v="5"/>
  </r>
  <r>
    <x v="0"/>
    <x v="46"/>
    <x v="46"/>
    <x v="30"/>
    <x v="30"/>
    <x v="30"/>
    <x v="13"/>
    <x v="248"/>
    <x v="495"/>
    <x v="52"/>
    <x v="167"/>
    <x v="209"/>
    <x v="483"/>
    <x v="5"/>
  </r>
  <r>
    <x v="0"/>
    <x v="46"/>
    <x v="46"/>
    <x v="19"/>
    <x v="19"/>
    <x v="19"/>
    <x v="13"/>
    <x v="248"/>
    <x v="495"/>
    <x v="51"/>
    <x v="304"/>
    <x v="163"/>
    <x v="327"/>
    <x v="5"/>
  </r>
  <r>
    <x v="0"/>
    <x v="46"/>
    <x v="46"/>
    <x v="16"/>
    <x v="16"/>
    <x v="16"/>
    <x v="16"/>
    <x v="249"/>
    <x v="258"/>
    <x v="48"/>
    <x v="196"/>
    <x v="132"/>
    <x v="324"/>
    <x v="5"/>
  </r>
  <r>
    <x v="0"/>
    <x v="46"/>
    <x v="46"/>
    <x v="13"/>
    <x v="13"/>
    <x v="13"/>
    <x v="17"/>
    <x v="250"/>
    <x v="54"/>
    <x v="52"/>
    <x v="167"/>
    <x v="160"/>
    <x v="481"/>
    <x v="5"/>
  </r>
  <r>
    <x v="0"/>
    <x v="46"/>
    <x v="46"/>
    <x v="10"/>
    <x v="10"/>
    <x v="10"/>
    <x v="17"/>
    <x v="250"/>
    <x v="54"/>
    <x v="64"/>
    <x v="161"/>
    <x v="163"/>
    <x v="327"/>
    <x v="5"/>
  </r>
  <r>
    <x v="0"/>
    <x v="46"/>
    <x v="46"/>
    <x v="22"/>
    <x v="22"/>
    <x v="22"/>
    <x v="19"/>
    <x v="251"/>
    <x v="496"/>
    <x v="77"/>
    <x v="83"/>
    <x v="209"/>
    <x v="483"/>
    <x v="5"/>
  </r>
  <r>
    <x v="0"/>
    <x v="46"/>
    <x v="46"/>
    <x v="18"/>
    <x v="18"/>
    <x v="18"/>
    <x v="19"/>
    <x v="251"/>
    <x v="496"/>
    <x v="64"/>
    <x v="161"/>
    <x v="160"/>
    <x v="481"/>
    <x v="5"/>
  </r>
  <r>
    <x v="0"/>
    <x v="46"/>
    <x v="46"/>
    <x v="17"/>
    <x v="17"/>
    <x v="17"/>
    <x v="19"/>
    <x v="251"/>
    <x v="496"/>
    <x v="48"/>
    <x v="196"/>
    <x v="163"/>
    <x v="327"/>
    <x v="5"/>
  </r>
  <r>
    <x v="0"/>
    <x v="46"/>
    <x v="46"/>
    <x v="23"/>
    <x v="23"/>
    <x v="23"/>
    <x v="19"/>
    <x v="251"/>
    <x v="496"/>
    <x v="48"/>
    <x v="196"/>
    <x v="163"/>
    <x v="327"/>
    <x v="5"/>
  </r>
  <r>
    <x v="0"/>
    <x v="46"/>
    <x v="46"/>
    <x v="24"/>
    <x v="24"/>
    <x v="24"/>
    <x v="19"/>
    <x v="251"/>
    <x v="496"/>
    <x v="64"/>
    <x v="161"/>
    <x v="160"/>
    <x v="481"/>
    <x v="5"/>
  </r>
  <r>
    <x v="0"/>
    <x v="46"/>
    <x v="46"/>
    <x v="27"/>
    <x v="27"/>
    <x v="27"/>
    <x v="19"/>
    <x v="251"/>
    <x v="496"/>
    <x v="48"/>
    <x v="196"/>
    <x v="163"/>
    <x v="327"/>
    <x v="5"/>
  </r>
  <r>
    <x v="0"/>
    <x v="47"/>
    <x v="47"/>
    <x v="28"/>
    <x v="28"/>
    <x v="28"/>
    <x v="0"/>
    <x v="250"/>
    <x v="497"/>
    <x v="77"/>
    <x v="83"/>
    <x v="132"/>
    <x v="484"/>
    <x v="5"/>
  </r>
  <r>
    <x v="0"/>
    <x v="47"/>
    <x v="47"/>
    <x v="3"/>
    <x v="3"/>
    <x v="3"/>
    <x v="1"/>
    <x v="251"/>
    <x v="383"/>
    <x v="48"/>
    <x v="500"/>
    <x v="163"/>
    <x v="485"/>
    <x v="5"/>
  </r>
  <r>
    <x v="0"/>
    <x v="47"/>
    <x v="47"/>
    <x v="0"/>
    <x v="0"/>
    <x v="0"/>
    <x v="1"/>
    <x v="251"/>
    <x v="383"/>
    <x v="52"/>
    <x v="501"/>
    <x v="211"/>
    <x v="274"/>
    <x v="5"/>
  </r>
  <r>
    <x v="0"/>
    <x v="47"/>
    <x v="47"/>
    <x v="26"/>
    <x v="26"/>
    <x v="26"/>
    <x v="1"/>
    <x v="251"/>
    <x v="383"/>
    <x v="77"/>
    <x v="83"/>
    <x v="163"/>
    <x v="485"/>
    <x v="5"/>
  </r>
  <r>
    <x v="0"/>
    <x v="47"/>
    <x v="47"/>
    <x v="4"/>
    <x v="4"/>
    <x v="4"/>
    <x v="4"/>
    <x v="252"/>
    <x v="498"/>
    <x v="77"/>
    <x v="83"/>
    <x v="163"/>
    <x v="485"/>
    <x v="5"/>
  </r>
  <r>
    <x v="0"/>
    <x v="47"/>
    <x v="47"/>
    <x v="8"/>
    <x v="8"/>
    <x v="8"/>
    <x v="4"/>
    <x v="252"/>
    <x v="498"/>
    <x v="48"/>
    <x v="500"/>
    <x v="160"/>
    <x v="183"/>
    <x v="5"/>
  </r>
  <r>
    <x v="0"/>
    <x v="47"/>
    <x v="47"/>
    <x v="49"/>
    <x v="49"/>
    <x v="49"/>
    <x v="4"/>
    <x v="252"/>
    <x v="498"/>
    <x v="77"/>
    <x v="83"/>
    <x v="163"/>
    <x v="485"/>
    <x v="5"/>
  </r>
  <r>
    <x v="0"/>
    <x v="47"/>
    <x v="47"/>
    <x v="1"/>
    <x v="1"/>
    <x v="1"/>
    <x v="4"/>
    <x v="252"/>
    <x v="498"/>
    <x v="64"/>
    <x v="502"/>
    <x v="211"/>
    <x v="274"/>
    <x v="5"/>
  </r>
  <r>
    <x v="0"/>
    <x v="47"/>
    <x v="47"/>
    <x v="34"/>
    <x v="34"/>
    <x v="34"/>
    <x v="4"/>
    <x v="252"/>
    <x v="498"/>
    <x v="77"/>
    <x v="83"/>
    <x v="211"/>
    <x v="274"/>
    <x v="5"/>
  </r>
  <r>
    <x v="0"/>
    <x v="47"/>
    <x v="47"/>
    <x v="14"/>
    <x v="14"/>
    <x v="14"/>
    <x v="4"/>
    <x v="252"/>
    <x v="498"/>
    <x v="77"/>
    <x v="83"/>
    <x v="163"/>
    <x v="485"/>
    <x v="5"/>
  </r>
  <r>
    <x v="0"/>
    <x v="47"/>
    <x v="47"/>
    <x v="5"/>
    <x v="5"/>
    <x v="5"/>
    <x v="10"/>
    <x v="287"/>
    <x v="494"/>
    <x v="77"/>
    <x v="83"/>
    <x v="160"/>
    <x v="183"/>
    <x v="5"/>
  </r>
  <r>
    <x v="0"/>
    <x v="47"/>
    <x v="47"/>
    <x v="25"/>
    <x v="25"/>
    <x v="25"/>
    <x v="10"/>
    <x v="287"/>
    <x v="494"/>
    <x v="77"/>
    <x v="83"/>
    <x v="160"/>
    <x v="183"/>
    <x v="5"/>
  </r>
  <r>
    <x v="0"/>
    <x v="47"/>
    <x v="47"/>
    <x v="48"/>
    <x v="48"/>
    <x v="48"/>
    <x v="10"/>
    <x v="287"/>
    <x v="494"/>
    <x v="77"/>
    <x v="83"/>
    <x v="160"/>
    <x v="183"/>
    <x v="5"/>
  </r>
  <r>
    <x v="0"/>
    <x v="47"/>
    <x v="47"/>
    <x v="18"/>
    <x v="18"/>
    <x v="18"/>
    <x v="10"/>
    <x v="287"/>
    <x v="494"/>
    <x v="77"/>
    <x v="83"/>
    <x v="160"/>
    <x v="183"/>
    <x v="5"/>
  </r>
  <r>
    <x v="0"/>
    <x v="47"/>
    <x v="47"/>
    <x v="17"/>
    <x v="17"/>
    <x v="17"/>
    <x v="10"/>
    <x v="287"/>
    <x v="494"/>
    <x v="48"/>
    <x v="500"/>
    <x v="211"/>
    <x v="274"/>
    <x v="5"/>
  </r>
  <r>
    <x v="0"/>
    <x v="47"/>
    <x v="47"/>
    <x v="6"/>
    <x v="6"/>
    <x v="6"/>
    <x v="10"/>
    <x v="287"/>
    <x v="494"/>
    <x v="77"/>
    <x v="83"/>
    <x v="160"/>
    <x v="183"/>
    <x v="5"/>
  </r>
  <r>
    <x v="0"/>
    <x v="47"/>
    <x v="47"/>
    <x v="2"/>
    <x v="2"/>
    <x v="2"/>
    <x v="10"/>
    <x v="287"/>
    <x v="494"/>
    <x v="77"/>
    <x v="83"/>
    <x v="160"/>
    <x v="183"/>
    <x v="5"/>
  </r>
  <r>
    <x v="0"/>
    <x v="47"/>
    <x v="47"/>
    <x v="27"/>
    <x v="27"/>
    <x v="27"/>
    <x v="10"/>
    <x v="287"/>
    <x v="494"/>
    <x v="77"/>
    <x v="83"/>
    <x v="160"/>
    <x v="183"/>
    <x v="5"/>
  </r>
  <r>
    <x v="0"/>
    <x v="48"/>
    <x v="48"/>
    <x v="1"/>
    <x v="1"/>
    <x v="1"/>
    <x v="0"/>
    <x v="136"/>
    <x v="499"/>
    <x v="152"/>
    <x v="503"/>
    <x v="211"/>
    <x v="274"/>
    <x v="5"/>
  </r>
  <r>
    <x v="0"/>
    <x v="48"/>
    <x v="48"/>
    <x v="3"/>
    <x v="3"/>
    <x v="3"/>
    <x v="1"/>
    <x v="174"/>
    <x v="500"/>
    <x v="76"/>
    <x v="504"/>
    <x v="213"/>
    <x v="486"/>
    <x v="5"/>
  </r>
  <r>
    <x v="0"/>
    <x v="48"/>
    <x v="48"/>
    <x v="6"/>
    <x v="6"/>
    <x v="6"/>
    <x v="2"/>
    <x v="162"/>
    <x v="501"/>
    <x v="117"/>
    <x v="505"/>
    <x v="189"/>
    <x v="38"/>
    <x v="5"/>
  </r>
  <r>
    <x v="0"/>
    <x v="48"/>
    <x v="48"/>
    <x v="5"/>
    <x v="5"/>
    <x v="5"/>
    <x v="3"/>
    <x v="267"/>
    <x v="59"/>
    <x v="70"/>
    <x v="506"/>
    <x v="132"/>
    <x v="474"/>
    <x v="5"/>
  </r>
  <r>
    <x v="0"/>
    <x v="48"/>
    <x v="48"/>
    <x v="4"/>
    <x v="4"/>
    <x v="4"/>
    <x v="4"/>
    <x v="279"/>
    <x v="502"/>
    <x v="51"/>
    <x v="193"/>
    <x v="215"/>
    <x v="487"/>
    <x v="5"/>
  </r>
  <r>
    <x v="0"/>
    <x v="48"/>
    <x v="48"/>
    <x v="11"/>
    <x v="11"/>
    <x v="11"/>
    <x v="5"/>
    <x v="280"/>
    <x v="215"/>
    <x v="51"/>
    <x v="193"/>
    <x v="189"/>
    <x v="38"/>
    <x v="5"/>
  </r>
  <r>
    <x v="0"/>
    <x v="48"/>
    <x v="48"/>
    <x v="2"/>
    <x v="2"/>
    <x v="2"/>
    <x v="5"/>
    <x v="280"/>
    <x v="215"/>
    <x v="50"/>
    <x v="507"/>
    <x v="163"/>
    <x v="14"/>
    <x v="5"/>
  </r>
  <r>
    <x v="0"/>
    <x v="48"/>
    <x v="48"/>
    <x v="0"/>
    <x v="0"/>
    <x v="0"/>
    <x v="7"/>
    <x v="268"/>
    <x v="283"/>
    <x v="82"/>
    <x v="508"/>
    <x v="209"/>
    <x v="488"/>
    <x v="5"/>
  </r>
  <r>
    <x v="0"/>
    <x v="48"/>
    <x v="48"/>
    <x v="8"/>
    <x v="8"/>
    <x v="8"/>
    <x v="8"/>
    <x v="247"/>
    <x v="503"/>
    <x v="82"/>
    <x v="508"/>
    <x v="160"/>
    <x v="453"/>
    <x v="5"/>
  </r>
  <r>
    <x v="0"/>
    <x v="48"/>
    <x v="48"/>
    <x v="14"/>
    <x v="14"/>
    <x v="14"/>
    <x v="8"/>
    <x v="247"/>
    <x v="503"/>
    <x v="48"/>
    <x v="57"/>
    <x v="132"/>
    <x v="474"/>
    <x v="5"/>
  </r>
  <r>
    <x v="0"/>
    <x v="48"/>
    <x v="48"/>
    <x v="7"/>
    <x v="7"/>
    <x v="7"/>
    <x v="10"/>
    <x v="249"/>
    <x v="81"/>
    <x v="52"/>
    <x v="182"/>
    <x v="163"/>
    <x v="14"/>
    <x v="5"/>
  </r>
  <r>
    <x v="0"/>
    <x v="48"/>
    <x v="48"/>
    <x v="13"/>
    <x v="13"/>
    <x v="13"/>
    <x v="11"/>
    <x v="250"/>
    <x v="83"/>
    <x v="51"/>
    <x v="193"/>
    <x v="211"/>
    <x v="274"/>
    <x v="5"/>
  </r>
  <r>
    <x v="0"/>
    <x v="48"/>
    <x v="48"/>
    <x v="34"/>
    <x v="34"/>
    <x v="34"/>
    <x v="11"/>
    <x v="250"/>
    <x v="83"/>
    <x v="77"/>
    <x v="83"/>
    <x v="211"/>
    <x v="274"/>
    <x v="5"/>
  </r>
  <r>
    <x v="0"/>
    <x v="48"/>
    <x v="48"/>
    <x v="28"/>
    <x v="28"/>
    <x v="28"/>
    <x v="13"/>
    <x v="251"/>
    <x v="71"/>
    <x v="77"/>
    <x v="83"/>
    <x v="209"/>
    <x v="488"/>
    <x v="5"/>
  </r>
  <r>
    <x v="0"/>
    <x v="48"/>
    <x v="48"/>
    <x v="17"/>
    <x v="17"/>
    <x v="17"/>
    <x v="13"/>
    <x v="251"/>
    <x v="71"/>
    <x v="48"/>
    <x v="57"/>
    <x v="163"/>
    <x v="14"/>
    <x v="5"/>
  </r>
  <r>
    <x v="0"/>
    <x v="48"/>
    <x v="48"/>
    <x v="12"/>
    <x v="12"/>
    <x v="12"/>
    <x v="13"/>
    <x v="251"/>
    <x v="71"/>
    <x v="64"/>
    <x v="126"/>
    <x v="211"/>
    <x v="274"/>
    <x v="5"/>
  </r>
  <r>
    <x v="0"/>
    <x v="48"/>
    <x v="48"/>
    <x v="9"/>
    <x v="9"/>
    <x v="9"/>
    <x v="13"/>
    <x v="251"/>
    <x v="71"/>
    <x v="52"/>
    <x v="182"/>
    <x v="211"/>
    <x v="274"/>
    <x v="5"/>
  </r>
  <r>
    <x v="0"/>
    <x v="48"/>
    <x v="48"/>
    <x v="29"/>
    <x v="29"/>
    <x v="29"/>
    <x v="13"/>
    <x v="251"/>
    <x v="71"/>
    <x v="52"/>
    <x v="182"/>
    <x v="211"/>
    <x v="274"/>
    <x v="5"/>
  </r>
  <r>
    <x v="0"/>
    <x v="48"/>
    <x v="48"/>
    <x v="42"/>
    <x v="42"/>
    <x v="42"/>
    <x v="18"/>
    <x v="252"/>
    <x v="504"/>
    <x v="77"/>
    <x v="83"/>
    <x v="163"/>
    <x v="14"/>
    <x v="5"/>
  </r>
  <r>
    <x v="0"/>
    <x v="48"/>
    <x v="48"/>
    <x v="30"/>
    <x v="30"/>
    <x v="30"/>
    <x v="18"/>
    <x v="252"/>
    <x v="504"/>
    <x v="48"/>
    <x v="57"/>
    <x v="160"/>
    <x v="453"/>
    <x v="5"/>
  </r>
  <r>
    <x v="0"/>
    <x v="48"/>
    <x v="48"/>
    <x v="19"/>
    <x v="19"/>
    <x v="19"/>
    <x v="18"/>
    <x v="252"/>
    <x v="504"/>
    <x v="64"/>
    <x v="126"/>
    <x v="211"/>
    <x v="274"/>
    <x v="5"/>
  </r>
  <r>
    <x v="0"/>
    <x v="49"/>
    <x v="49"/>
    <x v="1"/>
    <x v="1"/>
    <x v="1"/>
    <x v="0"/>
    <x v="258"/>
    <x v="505"/>
    <x v="34"/>
    <x v="509"/>
    <x v="163"/>
    <x v="415"/>
    <x v="5"/>
  </r>
  <r>
    <x v="0"/>
    <x v="49"/>
    <x v="49"/>
    <x v="6"/>
    <x v="6"/>
    <x v="6"/>
    <x v="1"/>
    <x v="261"/>
    <x v="506"/>
    <x v="58"/>
    <x v="510"/>
    <x v="210"/>
    <x v="480"/>
    <x v="5"/>
  </r>
  <r>
    <x v="0"/>
    <x v="49"/>
    <x v="49"/>
    <x v="3"/>
    <x v="3"/>
    <x v="3"/>
    <x v="2"/>
    <x v="267"/>
    <x v="507"/>
    <x v="50"/>
    <x v="511"/>
    <x v="190"/>
    <x v="479"/>
    <x v="5"/>
  </r>
  <r>
    <x v="0"/>
    <x v="49"/>
    <x v="49"/>
    <x v="4"/>
    <x v="4"/>
    <x v="4"/>
    <x v="3"/>
    <x v="264"/>
    <x v="508"/>
    <x v="82"/>
    <x v="512"/>
    <x v="210"/>
    <x v="480"/>
    <x v="5"/>
  </r>
  <r>
    <x v="0"/>
    <x v="49"/>
    <x v="49"/>
    <x v="0"/>
    <x v="0"/>
    <x v="0"/>
    <x v="3"/>
    <x v="264"/>
    <x v="508"/>
    <x v="70"/>
    <x v="513"/>
    <x v="211"/>
    <x v="274"/>
    <x v="5"/>
  </r>
  <r>
    <x v="0"/>
    <x v="49"/>
    <x v="49"/>
    <x v="2"/>
    <x v="2"/>
    <x v="2"/>
    <x v="5"/>
    <x v="280"/>
    <x v="509"/>
    <x v="96"/>
    <x v="94"/>
    <x v="160"/>
    <x v="483"/>
    <x v="5"/>
  </r>
  <r>
    <x v="0"/>
    <x v="49"/>
    <x v="49"/>
    <x v="5"/>
    <x v="5"/>
    <x v="5"/>
    <x v="6"/>
    <x v="269"/>
    <x v="510"/>
    <x v="53"/>
    <x v="514"/>
    <x v="160"/>
    <x v="483"/>
    <x v="5"/>
  </r>
  <r>
    <x v="0"/>
    <x v="49"/>
    <x v="49"/>
    <x v="9"/>
    <x v="9"/>
    <x v="9"/>
    <x v="7"/>
    <x v="247"/>
    <x v="511"/>
    <x v="82"/>
    <x v="512"/>
    <x v="211"/>
    <x v="274"/>
    <x v="5"/>
  </r>
  <r>
    <x v="0"/>
    <x v="49"/>
    <x v="49"/>
    <x v="8"/>
    <x v="8"/>
    <x v="8"/>
    <x v="8"/>
    <x v="248"/>
    <x v="132"/>
    <x v="52"/>
    <x v="515"/>
    <x v="209"/>
    <x v="474"/>
    <x v="5"/>
  </r>
  <r>
    <x v="0"/>
    <x v="49"/>
    <x v="49"/>
    <x v="7"/>
    <x v="7"/>
    <x v="7"/>
    <x v="8"/>
    <x v="248"/>
    <x v="132"/>
    <x v="82"/>
    <x v="512"/>
    <x v="211"/>
    <x v="274"/>
    <x v="5"/>
  </r>
  <r>
    <x v="0"/>
    <x v="49"/>
    <x v="49"/>
    <x v="36"/>
    <x v="36"/>
    <x v="36"/>
    <x v="10"/>
    <x v="249"/>
    <x v="512"/>
    <x v="77"/>
    <x v="83"/>
    <x v="163"/>
    <x v="415"/>
    <x v="5"/>
  </r>
  <r>
    <x v="0"/>
    <x v="49"/>
    <x v="49"/>
    <x v="14"/>
    <x v="14"/>
    <x v="14"/>
    <x v="11"/>
    <x v="250"/>
    <x v="150"/>
    <x v="77"/>
    <x v="83"/>
    <x v="209"/>
    <x v="474"/>
    <x v="5"/>
  </r>
  <r>
    <x v="0"/>
    <x v="49"/>
    <x v="49"/>
    <x v="28"/>
    <x v="28"/>
    <x v="28"/>
    <x v="12"/>
    <x v="251"/>
    <x v="364"/>
    <x v="48"/>
    <x v="516"/>
    <x v="163"/>
    <x v="415"/>
    <x v="5"/>
  </r>
  <r>
    <x v="0"/>
    <x v="49"/>
    <x v="49"/>
    <x v="13"/>
    <x v="13"/>
    <x v="13"/>
    <x v="12"/>
    <x v="251"/>
    <x v="364"/>
    <x v="48"/>
    <x v="516"/>
    <x v="163"/>
    <x v="415"/>
    <x v="5"/>
  </r>
  <r>
    <x v="0"/>
    <x v="49"/>
    <x v="49"/>
    <x v="11"/>
    <x v="11"/>
    <x v="11"/>
    <x v="12"/>
    <x v="251"/>
    <x v="364"/>
    <x v="48"/>
    <x v="516"/>
    <x v="163"/>
    <x v="415"/>
    <x v="5"/>
  </r>
  <r>
    <x v="0"/>
    <x v="49"/>
    <x v="49"/>
    <x v="30"/>
    <x v="30"/>
    <x v="30"/>
    <x v="12"/>
    <x v="251"/>
    <x v="364"/>
    <x v="64"/>
    <x v="494"/>
    <x v="160"/>
    <x v="483"/>
    <x v="5"/>
  </r>
  <r>
    <x v="0"/>
    <x v="49"/>
    <x v="49"/>
    <x v="45"/>
    <x v="45"/>
    <x v="45"/>
    <x v="16"/>
    <x v="252"/>
    <x v="513"/>
    <x v="64"/>
    <x v="494"/>
    <x v="211"/>
    <x v="274"/>
    <x v="5"/>
  </r>
  <r>
    <x v="0"/>
    <x v="49"/>
    <x v="49"/>
    <x v="41"/>
    <x v="41"/>
    <x v="41"/>
    <x v="16"/>
    <x v="252"/>
    <x v="513"/>
    <x v="77"/>
    <x v="83"/>
    <x v="160"/>
    <x v="483"/>
    <x v="5"/>
  </r>
  <r>
    <x v="0"/>
    <x v="49"/>
    <x v="49"/>
    <x v="18"/>
    <x v="18"/>
    <x v="18"/>
    <x v="16"/>
    <x v="252"/>
    <x v="513"/>
    <x v="77"/>
    <x v="83"/>
    <x v="163"/>
    <x v="415"/>
    <x v="5"/>
  </r>
  <r>
    <x v="0"/>
    <x v="49"/>
    <x v="49"/>
    <x v="17"/>
    <x v="17"/>
    <x v="17"/>
    <x v="16"/>
    <x v="252"/>
    <x v="513"/>
    <x v="48"/>
    <x v="516"/>
    <x v="160"/>
    <x v="483"/>
    <x v="5"/>
  </r>
  <r>
    <x v="0"/>
    <x v="49"/>
    <x v="49"/>
    <x v="16"/>
    <x v="16"/>
    <x v="16"/>
    <x v="16"/>
    <x v="252"/>
    <x v="513"/>
    <x v="77"/>
    <x v="83"/>
    <x v="163"/>
    <x v="415"/>
    <x v="5"/>
  </r>
  <r>
    <x v="0"/>
    <x v="49"/>
    <x v="49"/>
    <x v="10"/>
    <x v="10"/>
    <x v="10"/>
    <x v="16"/>
    <x v="252"/>
    <x v="513"/>
    <x v="64"/>
    <x v="494"/>
    <x v="211"/>
    <x v="274"/>
    <x v="5"/>
  </r>
  <r>
    <x v="0"/>
    <x v="49"/>
    <x v="49"/>
    <x v="12"/>
    <x v="12"/>
    <x v="12"/>
    <x v="16"/>
    <x v="252"/>
    <x v="513"/>
    <x v="48"/>
    <x v="516"/>
    <x v="160"/>
    <x v="483"/>
    <x v="5"/>
  </r>
  <r>
    <x v="0"/>
    <x v="49"/>
    <x v="49"/>
    <x v="19"/>
    <x v="19"/>
    <x v="19"/>
    <x v="16"/>
    <x v="252"/>
    <x v="513"/>
    <x v="77"/>
    <x v="83"/>
    <x v="160"/>
    <x v="483"/>
    <x v="5"/>
  </r>
  <r>
    <x v="0"/>
    <x v="49"/>
    <x v="49"/>
    <x v="27"/>
    <x v="27"/>
    <x v="27"/>
    <x v="16"/>
    <x v="252"/>
    <x v="513"/>
    <x v="48"/>
    <x v="516"/>
    <x v="160"/>
    <x v="483"/>
    <x v="5"/>
  </r>
  <r>
    <x v="0"/>
    <x v="50"/>
    <x v="50"/>
    <x v="1"/>
    <x v="1"/>
    <x v="1"/>
    <x v="0"/>
    <x v="263"/>
    <x v="497"/>
    <x v="58"/>
    <x v="517"/>
    <x v="211"/>
    <x v="274"/>
    <x v="5"/>
  </r>
  <r>
    <x v="0"/>
    <x v="50"/>
    <x v="50"/>
    <x v="0"/>
    <x v="0"/>
    <x v="0"/>
    <x v="1"/>
    <x v="264"/>
    <x v="514"/>
    <x v="78"/>
    <x v="518"/>
    <x v="160"/>
    <x v="196"/>
    <x v="5"/>
  </r>
  <r>
    <x v="0"/>
    <x v="50"/>
    <x v="50"/>
    <x v="30"/>
    <x v="30"/>
    <x v="30"/>
    <x v="2"/>
    <x v="268"/>
    <x v="383"/>
    <x v="53"/>
    <x v="519"/>
    <x v="163"/>
    <x v="489"/>
    <x v="5"/>
  </r>
  <r>
    <x v="0"/>
    <x v="50"/>
    <x v="50"/>
    <x v="4"/>
    <x v="4"/>
    <x v="4"/>
    <x v="3"/>
    <x v="269"/>
    <x v="515"/>
    <x v="51"/>
    <x v="189"/>
    <x v="132"/>
    <x v="490"/>
    <x v="5"/>
  </r>
  <r>
    <x v="0"/>
    <x v="50"/>
    <x v="50"/>
    <x v="6"/>
    <x v="6"/>
    <x v="6"/>
    <x v="4"/>
    <x v="248"/>
    <x v="498"/>
    <x v="65"/>
    <x v="520"/>
    <x v="160"/>
    <x v="196"/>
    <x v="5"/>
  </r>
  <r>
    <x v="0"/>
    <x v="50"/>
    <x v="50"/>
    <x v="3"/>
    <x v="3"/>
    <x v="3"/>
    <x v="4"/>
    <x v="248"/>
    <x v="498"/>
    <x v="65"/>
    <x v="520"/>
    <x v="160"/>
    <x v="196"/>
    <x v="5"/>
  </r>
  <r>
    <x v="0"/>
    <x v="50"/>
    <x v="50"/>
    <x v="5"/>
    <x v="5"/>
    <x v="5"/>
    <x v="6"/>
    <x v="249"/>
    <x v="492"/>
    <x v="51"/>
    <x v="189"/>
    <x v="160"/>
    <x v="196"/>
    <x v="5"/>
  </r>
  <r>
    <x v="0"/>
    <x v="50"/>
    <x v="50"/>
    <x v="28"/>
    <x v="28"/>
    <x v="28"/>
    <x v="6"/>
    <x v="249"/>
    <x v="492"/>
    <x v="64"/>
    <x v="521"/>
    <x v="209"/>
    <x v="491"/>
    <x v="5"/>
  </r>
  <r>
    <x v="0"/>
    <x v="50"/>
    <x v="50"/>
    <x v="8"/>
    <x v="8"/>
    <x v="8"/>
    <x v="8"/>
    <x v="250"/>
    <x v="493"/>
    <x v="48"/>
    <x v="236"/>
    <x v="209"/>
    <x v="491"/>
    <x v="5"/>
  </r>
  <r>
    <x v="0"/>
    <x v="50"/>
    <x v="50"/>
    <x v="9"/>
    <x v="9"/>
    <x v="9"/>
    <x v="9"/>
    <x v="251"/>
    <x v="494"/>
    <x v="64"/>
    <x v="521"/>
    <x v="211"/>
    <x v="274"/>
    <x v="5"/>
  </r>
  <r>
    <x v="0"/>
    <x v="50"/>
    <x v="50"/>
    <x v="32"/>
    <x v="32"/>
    <x v="32"/>
    <x v="10"/>
    <x v="252"/>
    <x v="495"/>
    <x v="77"/>
    <x v="83"/>
    <x v="163"/>
    <x v="489"/>
    <x v="5"/>
  </r>
  <r>
    <x v="0"/>
    <x v="50"/>
    <x v="50"/>
    <x v="45"/>
    <x v="45"/>
    <x v="45"/>
    <x v="10"/>
    <x v="252"/>
    <x v="495"/>
    <x v="48"/>
    <x v="236"/>
    <x v="160"/>
    <x v="196"/>
    <x v="5"/>
  </r>
  <r>
    <x v="0"/>
    <x v="50"/>
    <x v="50"/>
    <x v="2"/>
    <x v="2"/>
    <x v="2"/>
    <x v="10"/>
    <x v="252"/>
    <x v="495"/>
    <x v="77"/>
    <x v="83"/>
    <x v="163"/>
    <x v="489"/>
    <x v="5"/>
  </r>
  <r>
    <x v="0"/>
    <x v="50"/>
    <x v="50"/>
    <x v="10"/>
    <x v="10"/>
    <x v="10"/>
    <x v="10"/>
    <x v="252"/>
    <x v="495"/>
    <x v="64"/>
    <x v="521"/>
    <x v="211"/>
    <x v="274"/>
    <x v="5"/>
  </r>
  <r>
    <x v="0"/>
    <x v="50"/>
    <x v="50"/>
    <x v="50"/>
    <x v="50"/>
    <x v="50"/>
    <x v="14"/>
    <x v="287"/>
    <x v="496"/>
    <x v="77"/>
    <x v="83"/>
    <x v="160"/>
    <x v="196"/>
    <x v="5"/>
  </r>
  <r>
    <x v="0"/>
    <x v="50"/>
    <x v="50"/>
    <x v="51"/>
    <x v="51"/>
    <x v="51"/>
    <x v="14"/>
    <x v="287"/>
    <x v="496"/>
    <x v="77"/>
    <x v="83"/>
    <x v="160"/>
    <x v="196"/>
    <x v="5"/>
  </r>
  <r>
    <x v="0"/>
    <x v="50"/>
    <x v="50"/>
    <x v="40"/>
    <x v="40"/>
    <x v="40"/>
    <x v="14"/>
    <x v="287"/>
    <x v="496"/>
    <x v="48"/>
    <x v="236"/>
    <x v="211"/>
    <x v="274"/>
    <x v="5"/>
  </r>
  <r>
    <x v="0"/>
    <x v="50"/>
    <x v="50"/>
    <x v="44"/>
    <x v="44"/>
    <x v="44"/>
    <x v="14"/>
    <x v="287"/>
    <x v="496"/>
    <x v="48"/>
    <x v="236"/>
    <x v="211"/>
    <x v="274"/>
    <x v="5"/>
  </r>
  <r>
    <x v="0"/>
    <x v="50"/>
    <x v="50"/>
    <x v="52"/>
    <x v="52"/>
    <x v="52"/>
    <x v="14"/>
    <x v="287"/>
    <x v="496"/>
    <x v="77"/>
    <x v="83"/>
    <x v="160"/>
    <x v="196"/>
    <x v="5"/>
  </r>
  <r>
    <x v="0"/>
    <x v="50"/>
    <x v="50"/>
    <x v="41"/>
    <x v="41"/>
    <x v="41"/>
    <x v="14"/>
    <x v="287"/>
    <x v="496"/>
    <x v="77"/>
    <x v="83"/>
    <x v="211"/>
    <x v="274"/>
    <x v="5"/>
  </r>
  <r>
    <x v="0"/>
    <x v="50"/>
    <x v="50"/>
    <x v="22"/>
    <x v="22"/>
    <x v="22"/>
    <x v="14"/>
    <x v="287"/>
    <x v="496"/>
    <x v="77"/>
    <x v="83"/>
    <x v="160"/>
    <x v="196"/>
    <x v="5"/>
  </r>
  <r>
    <x v="0"/>
    <x v="50"/>
    <x v="50"/>
    <x v="35"/>
    <x v="35"/>
    <x v="35"/>
    <x v="14"/>
    <x v="287"/>
    <x v="496"/>
    <x v="77"/>
    <x v="83"/>
    <x v="160"/>
    <x v="196"/>
    <x v="5"/>
  </r>
  <r>
    <x v="0"/>
    <x v="50"/>
    <x v="50"/>
    <x v="18"/>
    <x v="18"/>
    <x v="18"/>
    <x v="14"/>
    <x v="287"/>
    <x v="496"/>
    <x v="77"/>
    <x v="83"/>
    <x v="160"/>
    <x v="196"/>
    <x v="5"/>
  </r>
  <r>
    <x v="0"/>
    <x v="50"/>
    <x v="50"/>
    <x v="17"/>
    <x v="17"/>
    <x v="17"/>
    <x v="14"/>
    <x v="287"/>
    <x v="496"/>
    <x v="77"/>
    <x v="83"/>
    <x v="160"/>
    <x v="196"/>
    <x v="5"/>
  </r>
  <r>
    <x v="0"/>
    <x v="50"/>
    <x v="50"/>
    <x v="16"/>
    <x v="16"/>
    <x v="16"/>
    <x v="14"/>
    <x v="287"/>
    <x v="496"/>
    <x v="77"/>
    <x v="83"/>
    <x v="160"/>
    <x v="196"/>
    <x v="5"/>
  </r>
  <r>
    <x v="0"/>
    <x v="50"/>
    <x v="50"/>
    <x v="53"/>
    <x v="53"/>
    <x v="53"/>
    <x v="14"/>
    <x v="287"/>
    <x v="496"/>
    <x v="77"/>
    <x v="83"/>
    <x v="160"/>
    <x v="196"/>
    <x v="5"/>
  </r>
  <r>
    <x v="0"/>
    <x v="50"/>
    <x v="50"/>
    <x v="13"/>
    <x v="13"/>
    <x v="13"/>
    <x v="14"/>
    <x v="287"/>
    <x v="496"/>
    <x v="48"/>
    <x v="236"/>
    <x v="211"/>
    <x v="274"/>
    <x v="5"/>
  </r>
  <r>
    <x v="0"/>
    <x v="50"/>
    <x v="50"/>
    <x v="11"/>
    <x v="11"/>
    <x v="11"/>
    <x v="14"/>
    <x v="287"/>
    <x v="496"/>
    <x v="77"/>
    <x v="83"/>
    <x v="160"/>
    <x v="196"/>
    <x v="5"/>
  </r>
  <r>
    <x v="0"/>
    <x v="50"/>
    <x v="50"/>
    <x v="24"/>
    <x v="24"/>
    <x v="24"/>
    <x v="14"/>
    <x v="287"/>
    <x v="496"/>
    <x v="77"/>
    <x v="83"/>
    <x v="160"/>
    <x v="196"/>
    <x v="5"/>
  </r>
  <r>
    <x v="0"/>
    <x v="50"/>
    <x v="50"/>
    <x v="12"/>
    <x v="12"/>
    <x v="12"/>
    <x v="14"/>
    <x v="287"/>
    <x v="496"/>
    <x v="77"/>
    <x v="83"/>
    <x v="211"/>
    <x v="274"/>
    <x v="5"/>
  </r>
  <r>
    <x v="0"/>
    <x v="50"/>
    <x v="50"/>
    <x v="26"/>
    <x v="26"/>
    <x v="26"/>
    <x v="14"/>
    <x v="287"/>
    <x v="496"/>
    <x v="77"/>
    <x v="83"/>
    <x v="211"/>
    <x v="274"/>
    <x v="5"/>
  </r>
  <r>
    <x v="0"/>
    <x v="50"/>
    <x v="50"/>
    <x v="34"/>
    <x v="34"/>
    <x v="34"/>
    <x v="14"/>
    <x v="287"/>
    <x v="496"/>
    <x v="77"/>
    <x v="83"/>
    <x v="211"/>
    <x v="274"/>
    <x v="5"/>
  </r>
  <r>
    <x v="0"/>
    <x v="50"/>
    <x v="50"/>
    <x v="7"/>
    <x v="7"/>
    <x v="7"/>
    <x v="14"/>
    <x v="287"/>
    <x v="496"/>
    <x v="48"/>
    <x v="236"/>
    <x v="211"/>
    <x v="274"/>
    <x v="5"/>
  </r>
  <r>
    <x v="0"/>
    <x v="50"/>
    <x v="50"/>
    <x v="36"/>
    <x v="36"/>
    <x v="36"/>
    <x v="14"/>
    <x v="287"/>
    <x v="496"/>
    <x v="77"/>
    <x v="83"/>
    <x v="160"/>
    <x v="196"/>
    <x v="5"/>
  </r>
  <r>
    <x v="0"/>
    <x v="50"/>
    <x v="50"/>
    <x v="27"/>
    <x v="27"/>
    <x v="27"/>
    <x v="14"/>
    <x v="287"/>
    <x v="496"/>
    <x v="77"/>
    <x v="83"/>
    <x v="160"/>
    <x v="196"/>
    <x v="5"/>
  </r>
  <r>
    <x v="0"/>
    <x v="50"/>
    <x v="50"/>
    <x v="21"/>
    <x v="21"/>
    <x v="21"/>
    <x v="14"/>
    <x v="287"/>
    <x v="496"/>
    <x v="77"/>
    <x v="83"/>
    <x v="160"/>
    <x v="196"/>
    <x v="5"/>
  </r>
  <r>
    <x v="0"/>
    <x v="51"/>
    <x v="51"/>
    <x v="0"/>
    <x v="0"/>
    <x v="0"/>
    <x v="0"/>
    <x v="258"/>
    <x v="516"/>
    <x v="117"/>
    <x v="522"/>
    <x v="211"/>
    <x v="274"/>
    <x v="5"/>
  </r>
  <r>
    <x v="0"/>
    <x v="51"/>
    <x v="51"/>
    <x v="1"/>
    <x v="1"/>
    <x v="1"/>
    <x v="0"/>
    <x v="258"/>
    <x v="516"/>
    <x v="117"/>
    <x v="522"/>
    <x v="211"/>
    <x v="274"/>
    <x v="5"/>
  </r>
  <r>
    <x v="0"/>
    <x v="51"/>
    <x v="51"/>
    <x v="3"/>
    <x v="3"/>
    <x v="3"/>
    <x v="2"/>
    <x v="246"/>
    <x v="517"/>
    <x v="53"/>
    <x v="523"/>
    <x v="189"/>
    <x v="492"/>
    <x v="5"/>
  </r>
  <r>
    <x v="0"/>
    <x v="51"/>
    <x v="51"/>
    <x v="4"/>
    <x v="4"/>
    <x v="4"/>
    <x v="3"/>
    <x v="280"/>
    <x v="88"/>
    <x v="65"/>
    <x v="524"/>
    <x v="210"/>
    <x v="493"/>
    <x v="5"/>
  </r>
  <r>
    <x v="0"/>
    <x v="51"/>
    <x v="51"/>
    <x v="6"/>
    <x v="6"/>
    <x v="6"/>
    <x v="4"/>
    <x v="268"/>
    <x v="518"/>
    <x v="51"/>
    <x v="525"/>
    <x v="132"/>
    <x v="55"/>
    <x v="4"/>
  </r>
  <r>
    <x v="0"/>
    <x v="51"/>
    <x v="51"/>
    <x v="5"/>
    <x v="5"/>
    <x v="5"/>
    <x v="5"/>
    <x v="247"/>
    <x v="519"/>
    <x v="53"/>
    <x v="523"/>
    <x v="211"/>
    <x v="274"/>
    <x v="5"/>
  </r>
  <r>
    <x v="0"/>
    <x v="51"/>
    <x v="51"/>
    <x v="11"/>
    <x v="11"/>
    <x v="11"/>
    <x v="6"/>
    <x v="248"/>
    <x v="379"/>
    <x v="51"/>
    <x v="525"/>
    <x v="163"/>
    <x v="155"/>
    <x v="5"/>
  </r>
  <r>
    <x v="0"/>
    <x v="51"/>
    <x v="51"/>
    <x v="8"/>
    <x v="8"/>
    <x v="8"/>
    <x v="7"/>
    <x v="250"/>
    <x v="9"/>
    <x v="48"/>
    <x v="146"/>
    <x v="209"/>
    <x v="494"/>
    <x v="5"/>
  </r>
  <r>
    <x v="0"/>
    <x v="51"/>
    <x v="51"/>
    <x v="13"/>
    <x v="13"/>
    <x v="13"/>
    <x v="7"/>
    <x v="250"/>
    <x v="9"/>
    <x v="52"/>
    <x v="123"/>
    <x v="160"/>
    <x v="495"/>
    <x v="5"/>
  </r>
  <r>
    <x v="0"/>
    <x v="51"/>
    <x v="51"/>
    <x v="12"/>
    <x v="12"/>
    <x v="12"/>
    <x v="7"/>
    <x v="250"/>
    <x v="9"/>
    <x v="52"/>
    <x v="123"/>
    <x v="160"/>
    <x v="495"/>
    <x v="5"/>
  </r>
  <r>
    <x v="0"/>
    <x v="51"/>
    <x v="51"/>
    <x v="42"/>
    <x v="42"/>
    <x v="42"/>
    <x v="10"/>
    <x v="251"/>
    <x v="32"/>
    <x v="48"/>
    <x v="146"/>
    <x v="163"/>
    <x v="155"/>
    <x v="5"/>
  </r>
  <r>
    <x v="0"/>
    <x v="51"/>
    <x v="51"/>
    <x v="24"/>
    <x v="24"/>
    <x v="24"/>
    <x v="10"/>
    <x v="251"/>
    <x v="32"/>
    <x v="77"/>
    <x v="83"/>
    <x v="209"/>
    <x v="494"/>
    <x v="5"/>
  </r>
  <r>
    <x v="0"/>
    <x v="51"/>
    <x v="51"/>
    <x v="30"/>
    <x v="30"/>
    <x v="30"/>
    <x v="10"/>
    <x v="251"/>
    <x v="32"/>
    <x v="48"/>
    <x v="146"/>
    <x v="163"/>
    <x v="155"/>
    <x v="5"/>
  </r>
  <r>
    <x v="0"/>
    <x v="51"/>
    <x v="51"/>
    <x v="19"/>
    <x v="19"/>
    <x v="19"/>
    <x v="10"/>
    <x v="251"/>
    <x v="32"/>
    <x v="48"/>
    <x v="146"/>
    <x v="160"/>
    <x v="495"/>
    <x v="5"/>
  </r>
  <r>
    <x v="0"/>
    <x v="51"/>
    <x v="51"/>
    <x v="9"/>
    <x v="9"/>
    <x v="9"/>
    <x v="10"/>
    <x v="251"/>
    <x v="32"/>
    <x v="64"/>
    <x v="526"/>
    <x v="211"/>
    <x v="274"/>
    <x v="5"/>
  </r>
  <r>
    <x v="0"/>
    <x v="51"/>
    <x v="51"/>
    <x v="45"/>
    <x v="45"/>
    <x v="45"/>
    <x v="15"/>
    <x v="252"/>
    <x v="208"/>
    <x v="64"/>
    <x v="526"/>
    <x v="211"/>
    <x v="274"/>
    <x v="5"/>
  </r>
  <r>
    <x v="0"/>
    <x v="51"/>
    <x v="51"/>
    <x v="25"/>
    <x v="25"/>
    <x v="25"/>
    <x v="15"/>
    <x v="252"/>
    <x v="208"/>
    <x v="77"/>
    <x v="83"/>
    <x v="163"/>
    <x v="155"/>
    <x v="5"/>
  </r>
  <r>
    <x v="0"/>
    <x v="51"/>
    <x v="51"/>
    <x v="2"/>
    <x v="2"/>
    <x v="2"/>
    <x v="15"/>
    <x v="252"/>
    <x v="208"/>
    <x v="48"/>
    <x v="146"/>
    <x v="160"/>
    <x v="495"/>
    <x v="5"/>
  </r>
  <r>
    <x v="0"/>
    <x v="51"/>
    <x v="51"/>
    <x v="31"/>
    <x v="31"/>
    <x v="31"/>
    <x v="15"/>
    <x v="252"/>
    <x v="208"/>
    <x v="77"/>
    <x v="83"/>
    <x v="163"/>
    <x v="155"/>
    <x v="5"/>
  </r>
  <r>
    <x v="0"/>
    <x v="51"/>
    <x v="51"/>
    <x v="34"/>
    <x v="34"/>
    <x v="34"/>
    <x v="15"/>
    <x v="252"/>
    <x v="208"/>
    <x v="77"/>
    <x v="83"/>
    <x v="211"/>
    <x v="274"/>
    <x v="4"/>
  </r>
  <r>
    <x v="0"/>
    <x v="51"/>
    <x v="51"/>
    <x v="27"/>
    <x v="27"/>
    <x v="27"/>
    <x v="15"/>
    <x v="252"/>
    <x v="208"/>
    <x v="64"/>
    <x v="526"/>
    <x v="211"/>
    <x v="274"/>
    <x v="5"/>
  </r>
  <r>
    <x v="0"/>
    <x v="52"/>
    <x v="52"/>
    <x v="1"/>
    <x v="1"/>
    <x v="1"/>
    <x v="0"/>
    <x v="195"/>
    <x v="520"/>
    <x v="46"/>
    <x v="527"/>
    <x v="190"/>
    <x v="196"/>
    <x v="5"/>
  </r>
  <r>
    <x v="0"/>
    <x v="52"/>
    <x v="52"/>
    <x v="4"/>
    <x v="4"/>
    <x v="4"/>
    <x v="1"/>
    <x v="159"/>
    <x v="521"/>
    <x v="38"/>
    <x v="175"/>
    <x v="155"/>
    <x v="496"/>
    <x v="5"/>
  </r>
  <r>
    <x v="0"/>
    <x v="52"/>
    <x v="52"/>
    <x v="0"/>
    <x v="0"/>
    <x v="0"/>
    <x v="2"/>
    <x v="160"/>
    <x v="522"/>
    <x v="110"/>
    <x v="528"/>
    <x v="206"/>
    <x v="335"/>
    <x v="5"/>
  </r>
  <r>
    <x v="0"/>
    <x v="52"/>
    <x v="52"/>
    <x v="8"/>
    <x v="8"/>
    <x v="8"/>
    <x v="3"/>
    <x v="138"/>
    <x v="523"/>
    <x v="96"/>
    <x v="242"/>
    <x v="127"/>
    <x v="497"/>
    <x v="5"/>
  </r>
  <r>
    <x v="0"/>
    <x v="52"/>
    <x v="52"/>
    <x v="14"/>
    <x v="14"/>
    <x v="14"/>
    <x v="3"/>
    <x v="138"/>
    <x v="523"/>
    <x v="77"/>
    <x v="83"/>
    <x v="153"/>
    <x v="498"/>
    <x v="5"/>
  </r>
  <r>
    <x v="0"/>
    <x v="52"/>
    <x v="52"/>
    <x v="3"/>
    <x v="3"/>
    <x v="3"/>
    <x v="5"/>
    <x v="140"/>
    <x v="524"/>
    <x v="96"/>
    <x v="242"/>
    <x v="135"/>
    <x v="499"/>
    <x v="5"/>
  </r>
  <r>
    <x v="0"/>
    <x v="52"/>
    <x v="52"/>
    <x v="6"/>
    <x v="6"/>
    <x v="6"/>
    <x v="6"/>
    <x v="164"/>
    <x v="525"/>
    <x v="92"/>
    <x v="529"/>
    <x v="190"/>
    <x v="196"/>
    <x v="5"/>
  </r>
  <r>
    <x v="0"/>
    <x v="52"/>
    <x v="52"/>
    <x v="5"/>
    <x v="5"/>
    <x v="5"/>
    <x v="7"/>
    <x v="245"/>
    <x v="526"/>
    <x v="65"/>
    <x v="526"/>
    <x v="134"/>
    <x v="500"/>
    <x v="5"/>
  </r>
  <r>
    <x v="0"/>
    <x v="52"/>
    <x v="52"/>
    <x v="27"/>
    <x v="27"/>
    <x v="27"/>
    <x v="8"/>
    <x v="259"/>
    <x v="400"/>
    <x v="38"/>
    <x v="175"/>
    <x v="210"/>
    <x v="456"/>
    <x v="5"/>
  </r>
  <r>
    <x v="0"/>
    <x v="52"/>
    <x v="52"/>
    <x v="7"/>
    <x v="7"/>
    <x v="7"/>
    <x v="9"/>
    <x v="262"/>
    <x v="80"/>
    <x v="92"/>
    <x v="529"/>
    <x v="160"/>
    <x v="242"/>
    <x v="5"/>
  </r>
  <r>
    <x v="0"/>
    <x v="52"/>
    <x v="52"/>
    <x v="12"/>
    <x v="12"/>
    <x v="12"/>
    <x v="10"/>
    <x v="246"/>
    <x v="527"/>
    <x v="82"/>
    <x v="530"/>
    <x v="190"/>
    <x v="196"/>
    <x v="5"/>
  </r>
  <r>
    <x v="0"/>
    <x v="52"/>
    <x v="52"/>
    <x v="9"/>
    <x v="9"/>
    <x v="9"/>
    <x v="10"/>
    <x v="246"/>
    <x v="527"/>
    <x v="96"/>
    <x v="242"/>
    <x v="163"/>
    <x v="501"/>
    <x v="5"/>
  </r>
  <r>
    <x v="0"/>
    <x v="52"/>
    <x v="52"/>
    <x v="11"/>
    <x v="11"/>
    <x v="11"/>
    <x v="12"/>
    <x v="263"/>
    <x v="66"/>
    <x v="65"/>
    <x v="526"/>
    <x v="190"/>
    <x v="196"/>
    <x v="5"/>
  </r>
  <r>
    <x v="0"/>
    <x v="52"/>
    <x v="52"/>
    <x v="2"/>
    <x v="2"/>
    <x v="2"/>
    <x v="12"/>
    <x v="263"/>
    <x v="66"/>
    <x v="77"/>
    <x v="83"/>
    <x v="212"/>
    <x v="443"/>
    <x v="5"/>
  </r>
  <r>
    <x v="0"/>
    <x v="52"/>
    <x v="52"/>
    <x v="17"/>
    <x v="17"/>
    <x v="17"/>
    <x v="14"/>
    <x v="280"/>
    <x v="12"/>
    <x v="64"/>
    <x v="531"/>
    <x v="206"/>
    <x v="335"/>
    <x v="5"/>
  </r>
  <r>
    <x v="0"/>
    <x v="52"/>
    <x v="52"/>
    <x v="26"/>
    <x v="26"/>
    <x v="26"/>
    <x v="15"/>
    <x v="268"/>
    <x v="34"/>
    <x v="77"/>
    <x v="83"/>
    <x v="206"/>
    <x v="335"/>
    <x v="5"/>
  </r>
  <r>
    <x v="0"/>
    <x v="52"/>
    <x v="52"/>
    <x v="19"/>
    <x v="19"/>
    <x v="19"/>
    <x v="16"/>
    <x v="269"/>
    <x v="123"/>
    <x v="52"/>
    <x v="532"/>
    <x v="132"/>
    <x v="502"/>
    <x v="5"/>
  </r>
  <r>
    <x v="0"/>
    <x v="52"/>
    <x v="52"/>
    <x v="36"/>
    <x v="36"/>
    <x v="36"/>
    <x v="17"/>
    <x v="247"/>
    <x v="310"/>
    <x v="77"/>
    <x v="83"/>
    <x v="190"/>
    <x v="196"/>
    <x v="5"/>
  </r>
  <r>
    <x v="0"/>
    <x v="52"/>
    <x v="52"/>
    <x v="28"/>
    <x v="28"/>
    <x v="28"/>
    <x v="18"/>
    <x v="248"/>
    <x v="455"/>
    <x v="64"/>
    <x v="531"/>
    <x v="132"/>
    <x v="502"/>
    <x v="5"/>
  </r>
  <r>
    <x v="0"/>
    <x v="52"/>
    <x v="52"/>
    <x v="45"/>
    <x v="45"/>
    <x v="45"/>
    <x v="18"/>
    <x v="248"/>
    <x v="455"/>
    <x v="64"/>
    <x v="531"/>
    <x v="209"/>
    <x v="84"/>
    <x v="4"/>
  </r>
  <r>
    <x v="0"/>
    <x v="53"/>
    <x v="53"/>
    <x v="1"/>
    <x v="1"/>
    <x v="1"/>
    <x v="0"/>
    <x v="263"/>
    <x v="528"/>
    <x v="70"/>
    <x v="533"/>
    <x v="160"/>
    <x v="269"/>
    <x v="5"/>
  </r>
  <r>
    <x v="0"/>
    <x v="53"/>
    <x v="53"/>
    <x v="4"/>
    <x v="4"/>
    <x v="4"/>
    <x v="1"/>
    <x v="264"/>
    <x v="529"/>
    <x v="51"/>
    <x v="192"/>
    <x v="190"/>
    <x v="270"/>
    <x v="5"/>
  </r>
  <r>
    <x v="0"/>
    <x v="53"/>
    <x v="53"/>
    <x v="6"/>
    <x v="6"/>
    <x v="6"/>
    <x v="2"/>
    <x v="280"/>
    <x v="530"/>
    <x v="53"/>
    <x v="534"/>
    <x v="209"/>
    <x v="272"/>
    <x v="5"/>
  </r>
  <r>
    <x v="0"/>
    <x v="53"/>
    <x v="53"/>
    <x v="0"/>
    <x v="0"/>
    <x v="0"/>
    <x v="2"/>
    <x v="280"/>
    <x v="530"/>
    <x v="78"/>
    <x v="381"/>
    <x v="211"/>
    <x v="274"/>
    <x v="5"/>
  </r>
  <r>
    <x v="0"/>
    <x v="53"/>
    <x v="53"/>
    <x v="3"/>
    <x v="3"/>
    <x v="3"/>
    <x v="4"/>
    <x v="269"/>
    <x v="531"/>
    <x v="65"/>
    <x v="535"/>
    <x v="209"/>
    <x v="272"/>
    <x v="5"/>
  </r>
  <r>
    <x v="0"/>
    <x v="53"/>
    <x v="53"/>
    <x v="5"/>
    <x v="5"/>
    <x v="5"/>
    <x v="5"/>
    <x v="250"/>
    <x v="104"/>
    <x v="64"/>
    <x v="536"/>
    <x v="163"/>
    <x v="503"/>
    <x v="5"/>
  </r>
  <r>
    <x v="0"/>
    <x v="53"/>
    <x v="53"/>
    <x v="8"/>
    <x v="8"/>
    <x v="8"/>
    <x v="6"/>
    <x v="251"/>
    <x v="163"/>
    <x v="48"/>
    <x v="537"/>
    <x v="163"/>
    <x v="503"/>
    <x v="5"/>
  </r>
  <r>
    <x v="0"/>
    <x v="53"/>
    <x v="53"/>
    <x v="30"/>
    <x v="30"/>
    <x v="30"/>
    <x v="6"/>
    <x v="251"/>
    <x v="163"/>
    <x v="64"/>
    <x v="536"/>
    <x v="160"/>
    <x v="269"/>
    <x v="5"/>
  </r>
  <r>
    <x v="0"/>
    <x v="53"/>
    <x v="53"/>
    <x v="28"/>
    <x v="28"/>
    <x v="28"/>
    <x v="8"/>
    <x v="252"/>
    <x v="152"/>
    <x v="77"/>
    <x v="83"/>
    <x v="163"/>
    <x v="503"/>
    <x v="5"/>
  </r>
  <r>
    <x v="0"/>
    <x v="53"/>
    <x v="53"/>
    <x v="42"/>
    <x v="42"/>
    <x v="42"/>
    <x v="8"/>
    <x v="252"/>
    <x v="152"/>
    <x v="77"/>
    <x v="83"/>
    <x v="163"/>
    <x v="503"/>
    <x v="5"/>
  </r>
  <r>
    <x v="0"/>
    <x v="53"/>
    <x v="53"/>
    <x v="44"/>
    <x v="44"/>
    <x v="44"/>
    <x v="8"/>
    <x v="252"/>
    <x v="152"/>
    <x v="48"/>
    <x v="537"/>
    <x v="160"/>
    <x v="269"/>
    <x v="5"/>
  </r>
  <r>
    <x v="0"/>
    <x v="53"/>
    <x v="53"/>
    <x v="18"/>
    <x v="18"/>
    <x v="18"/>
    <x v="8"/>
    <x v="252"/>
    <x v="152"/>
    <x v="48"/>
    <x v="537"/>
    <x v="160"/>
    <x v="269"/>
    <x v="5"/>
  </r>
  <r>
    <x v="0"/>
    <x v="53"/>
    <x v="53"/>
    <x v="11"/>
    <x v="11"/>
    <x v="11"/>
    <x v="8"/>
    <x v="252"/>
    <x v="152"/>
    <x v="48"/>
    <x v="537"/>
    <x v="160"/>
    <x v="269"/>
    <x v="5"/>
  </r>
  <r>
    <x v="0"/>
    <x v="53"/>
    <x v="53"/>
    <x v="9"/>
    <x v="9"/>
    <x v="9"/>
    <x v="8"/>
    <x v="252"/>
    <x v="152"/>
    <x v="48"/>
    <x v="537"/>
    <x v="160"/>
    <x v="269"/>
    <x v="5"/>
  </r>
  <r>
    <x v="0"/>
    <x v="53"/>
    <x v="53"/>
    <x v="14"/>
    <x v="14"/>
    <x v="14"/>
    <x v="8"/>
    <x v="252"/>
    <x v="152"/>
    <x v="77"/>
    <x v="83"/>
    <x v="163"/>
    <x v="503"/>
    <x v="5"/>
  </r>
  <r>
    <x v="0"/>
    <x v="53"/>
    <x v="53"/>
    <x v="27"/>
    <x v="27"/>
    <x v="27"/>
    <x v="8"/>
    <x v="252"/>
    <x v="152"/>
    <x v="77"/>
    <x v="83"/>
    <x v="163"/>
    <x v="503"/>
    <x v="5"/>
  </r>
  <r>
    <x v="0"/>
    <x v="53"/>
    <x v="53"/>
    <x v="49"/>
    <x v="49"/>
    <x v="49"/>
    <x v="16"/>
    <x v="287"/>
    <x v="532"/>
    <x v="77"/>
    <x v="83"/>
    <x v="160"/>
    <x v="269"/>
    <x v="5"/>
  </r>
  <r>
    <x v="0"/>
    <x v="53"/>
    <x v="53"/>
    <x v="32"/>
    <x v="32"/>
    <x v="32"/>
    <x v="16"/>
    <x v="287"/>
    <x v="532"/>
    <x v="77"/>
    <x v="83"/>
    <x v="160"/>
    <x v="269"/>
    <x v="5"/>
  </r>
  <r>
    <x v="0"/>
    <x v="53"/>
    <x v="53"/>
    <x v="54"/>
    <x v="54"/>
    <x v="54"/>
    <x v="16"/>
    <x v="287"/>
    <x v="532"/>
    <x v="48"/>
    <x v="537"/>
    <x v="211"/>
    <x v="274"/>
    <x v="5"/>
  </r>
  <r>
    <x v="0"/>
    <x v="53"/>
    <x v="53"/>
    <x v="52"/>
    <x v="52"/>
    <x v="52"/>
    <x v="16"/>
    <x v="287"/>
    <x v="532"/>
    <x v="77"/>
    <x v="83"/>
    <x v="160"/>
    <x v="269"/>
    <x v="5"/>
  </r>
  <r>
    <x v="0"/>
    <x v="53"/>
    <x v="53"/>
    <x v="35"/>
    <x v="35"/>
    <x v="35"/>
    <x v="16"/>
    <x v="287"/>
    <x v="532"/>
    <x v="77"/>
    <x v="83"/>
    <x v="160"/>
    <x v="269"/>
    <x v="5"/>
  </r>
  <r>
    <x v="0"/>
    <x v="53"/>
    <x v="53"/>
    <x v="16"/>
    <x v="16"/>
    <x v="16"/>
    <x v="16"/>
    <x v="287"/>
    <x v="532"/>
    <x v="77"/>
    <x v="83"/>
    <x v="160"/>
    <x v="269"/>
    <x v="5"/>
  </r>
  <r>
    <x v="0"/>
    <x v="53"/>
    <x v="53"/>
    <x v="23"/>
    <x v="23"/>
    <x v="23"/>
    <x v="16"/>
    <x v="287"/>
    <x v="532"/>
    <x v="77"/>
    <x v="83"/>
    <x v="160"/>
    <x v="269"/>
    <x v="5"/>
  </r>
  <r>
    <x v="0"/>
    <x v="53"/>
    <x v="53"/>
    <x v="26"/>
    <x v="26"/>
    <x v="26"/>
    <x v="16"/>
    <x v="287"/>
    <x v="532"/>
    <x v="77"/>
    <x v="83"/>
    <x v="160"/>
    <x v="269"/>
    <x v="5"/>
  </r>
  <r>
    <x v="0"/>
    <x v="53"/>
    <x v="53"/>
    <x v="19"/>
    <x v="19"/>
    <x v="19"/>
    <x v="16"/>
    <x v="287"/>
    <x v="532"/>
    <x v="77"/>
    <x v="83"/>
    <x v="160"/>
    <x v="269"/>
    <x v="5"/>
  </r>
  <r>
    <x v="0"/>
    <x v="53"/>
    <x v="53"/>
    <x v="7"/>
    <x v="7"/>
    <x v="7"/>
    <x v="16"/>
    <x v="287"/>
    <x v="532"/>
    <x v="48"/>
    <x v="537"/>
    <x v="211"/>
    <x v="274"/>
    <x v="5"/>
  </r>
  <r>
    <x v="0"/>
    <x v="53"/>
    <x v="53"/>
    <x v="29"/>
    <x v="29"/>
    <x v="29"/>
    <x v="16"/>
    <x v="287"/>
    <x v="532"/>
    <x v="48"/>
    <x v="537"/>
    <x v="211"/>
    <x v="274"/>
    <x v="5"/>
  </r>
  <r>
    <x v="0"/>
    <x v="53"/>
    <x v="53"/>
    <x v="21"/>
    <x v="21"/>
    <x v="21"/>
    <x v="16"/>
    <x v="287"/>
    <x v="532"/>
    <x v="48"/>
    <x v="537"/>
    <x v="211"/>
    <x v="274"/>
    <x v="5"/>
  </r>
  <r>
    <x v="0"/>
    <x v="54"/>
    <x v="54"/>
    <x v="1"/>
    <x v="1"/>
    <x v="1"/>
    <x v="0"/>
    <x v="132"/>
    <x v="533"/>
    <x v="25"/>
    <x v="538"/>
    <x v="209"/>
    <x v="504"/>
    <x v="5"/>
  </r>
  <r>
    <x v="0"/>
    <x v="54"/>
    <x v="54"/>
    <x v="0"/>
    <x v="0"/>
    <x v="0"/>
    <x v="1"/>
    <x v="196"/>
    <x v="534"/>
    <x v="109"/>
    <x v="509"/>
    <x v="132"/>
    <x v="505"/>
    <x v="5"/>
  </r>
  <r>
    <x v="0"/>
    <x v="54"/>
    <x v="54"/>
    <x v="6"/>
    <x v="6"/>
    <x v="6"/>
    <x v="2"/>
    <x v="133"/>
    <x v="535"/>
    <x v="152"/>
    <x v="539"/>
    <x v="212"/>
    <x v="506"/>
    <x v="5"/>
  </r>
  <r>
    <x v="0"/>
    <x v="54"/>
    <x v="54"/>
    <x v="4"/>
    <x v="4"/>
    <x v="4"/>
    <x v="3"/>
    <x v="217"/>
    <x v="444"/>
    <x v="34"/>
    <x v="540"/>
    <x v="131"/>
    <x v="507"/>
    <x v="5"/>
  </r>
  <r>
    <x v="0"/>
    <x v="54"/>
    <x v="54"/>
    <x v="3"/>
    <x v="3"/>
    <x v="3"/>
    <x v="4"/>
    <x v="218"/>
    <x v="536"/>
    <x v="31"/>
    <x v="541"/>
    <x v="135"/>
    <x v="508"/>
    <x v="5"/>
  </r>
  <r>
    <x v="0"/>
    <x v="54"/>
    <x v="54"/>
    <x v="5"/>
    <x v="5"/>
    <x v="5"/>
    <x v="5"/>
    <x v="162"/>
    <x v="537"/>
    <x v="31"/>
    <x v="541"/>
    <x v="197"/>
    <x v="509"/>
    <x v="5"/>
  </r>
  <r>
    <x v="0"/>
    <x v="54"/>
    <x v="54"/>
    <x v="28"/>
    <x v="28"/>
    <x v="28"/>
    <x v="6"/>
    <x v="163"/>
    <x v="408"/>
    <x v="64"/>
    <x v="334"/>
    <x v="131"/>
    <x v="507"/>
    <x v="5"/>
  </r>
  <r>
    <x v="0"/>
    <x v="54"/>
    <x v="54"/>
    <x v="2"/>
    <x v="2"/>
    <x v="2"/>
    <x v="6"/>
    <x v="163"/>
    <x v="408"/>
    <x v="76"/>
    <x v="306"/>
    <x v="189"/>
    <x v="510"/>
    <x v="5"/>
  </r>
  <r>
    <x v="0"/>
    <x v="54"/>
    <x v="54"/>
    <x v="14"/>
    <x v="14"/>
    <x v="14"/>
    <x v="8"/>
    <x v="261"/>
    <x v="503"/>
    <x v="77"/>
    <x v="83"/>
    <x v="214"/>
    <x v="474"/>
    <x v="4"/>
  </r>
  <r>
    <x v="0"/>
    <x v="54"/>
    <x v="54"/>
    <x v="27"/>
    <x v="27"/>
    <x v="27"/>
    <x v="9"/>
    <x v="267"/>
    <x v="538"/>
    <x v="53"/>
    <x v="328"/>
    <x v="206"/>
    <x v="255"/>
    <x v="5"/>
  </r>
  <r>
    <x v="0"/>
    <x v="54"/>
    <x v="54"/>
    <x v="11"/>
    <x v="11"/>
    <x v="11"/>
    <x v="10"/>
    <x v="279"/>
    <x v="284"/>
    <x v="96"/>
    <x v="419"/>
    <x v="210"/>
    <x v="69"/>
    <x v="5"/>
  </r>
  <r>
    <x v="0"/>
    <x v="54"/>
    <x v="54"/>
    <x v="18"/>
    <x v="18"/>
    <x v="18"/>
    <x v="11"/>
    <x v="246"/>
    <x v="48"/>
    <x v="51"/>
    <x v="542"/>
    <x v="197"/>
    <x v="509"/>
    <x v="5"/>
  </r>
  <r>
    <x v="0"/>
    <x v="54"/>
    <x v="54"/>
    <x v="8"/>
    <x v="8"/>
    <x v="8"/>
    <x v="12"/>
    <x v="263"/>
    <x v="165"/>
    <x v="48"/>
    <x v="16"/>
    <x v="213"/>
    <x v="440"/>
    <x v="5"/>
  </r>
  <r>
    <x v="0"/>
    <x v="54"/>
    <x v="54"/>
    <x v="9"/>
    <x v="9"/>
    <x v="9"/>
    <x v="12"/>
    <x v="263"/>
    <x v="165"/>
    <x v="70"/>
    <x v="332"/>
    <x v="211"/>
    <x v="274"/>
    <x v="5"/>
  </r>
  <r>
    <x v="0"/>
    <x v="54"/>
    <x v="54"/>
    <x v="12"/>
    <x v="12"/>
    <x v="12"/>
    <x v="14"/>
    <x v="280"/>
    <x v="495"/>
    <x v="52"/>
    <x v="23"/>
    <x v="210"/>
    <x v="69"/>
    <x v="5"/>
  </r>
  <r>
    <x v="0"/>
    <x v="54"/>
    <x v="54"/>
    <x v="7"/>
    <x v="7"/>
    <x v="7"/>
    <x v="15"/>
    <x v="268"/>
    <x v="114"/>
    <x v="50"/>
    <x v="329"/>
    <x v="160"/>
    <x v="291"/>
    <x v="5"/>
  </r>
  <r>
    <x v="0"/>
    <x v="54"/>
    <x v="54"/>
    <x v="30"/>
    <x v="30"/>
    <x v="30"/>
    <x v="16"/>
    <x v="269"/>
    <x v="52"/>
    <x v="65"/>
    <x v="299"/>
    <x v="209"/>
    <x v="504"/>
    <x v="5"/>
  </r>
  <r>
    <x v="0"/>
    <x v="54"/>
    <x v="54"/>
    <x v="35"/>
    <x v="35"/>
    <x v="35"/>
    <x v="17"/>
    <x v="247"/>
    <x v="181"/>
    <x v="48"/>
    <x v="16"/>
    <x v="189"/>
    <x v="510"/>
    <x v="5"/>
  </r>
  <r>
    <x v="0"/>
    <x v="54"/>
    <x v="54"/>
    <x v="44"/>
    <x v="44"/>
    <x v="44"/>
    <x v="18"/>
    <x v="248"/>
    <x v="348"/>
    <x v="77"/>
    <x v="83"/>
    <x v="189"/>
    <x v="510"/>
    <x v="5"/>
  </r>
  <r>
    <x v="0"/>
    <x v="54"/>
    <x v="54"/>
    <x v="13"/>
    <x v="13"/>
    <x v="13"/>
    <x v="19"/>
    <x v="249"/>
    <x v="496"/>
    <x v="51"/>
    <x v="542"/>
    <x v="160"/>
    <x v="291"/>
    <x v="5"/>
  </r>
  <r>
    <x v="0"/>
    <x v="54"/>
    <x v="54"/>
    <x v="36"/>
    <x v="36"/>
    <x v="36"/>
    <x v="19"/>
    <x v="249"/>
    <x v="496"/>
    <x v="77"/>
    <x v="83"/>
    <x v="163"/>
    <x v="292"/>
    <x v="5"/>
  </r>
  <r>
    <x v="0"/>
    <x v="55"/>
    <x v="55"/>
    <x v="0"/>
    <x v="0"/>
    <x v="0"/>
    <x v="0"/>
    <x v="237"/>
    <x v="539"/>
    <x v="185"/>
    <x v="543"/>
    <x v="206"/>
    <x v="320"/>
    <x v="5"/>
  </r>
  <r>
    <x v="0"/>
    <x v="55"/>
    <x v="55"/>
    <x v="1"/>
    <x v="1"/>
    <x v="1"/>
    <x v="1"/>
    <x v="157"/>
    <x v="489"/>
    <x v="46"/>
    <x v="213"/>
    <x v="163"/>
    <x v="326"/>
    <x v="5"/>
  </r>
  <r>
    <x v="0"/>
    <x v="55"/>
    <x v="55"/>
    <x v="4"/>
    <x v="4"/>
    <x v="4"/>
    <x v="2"/>
    <x v="198"/>
    <x v="540"/>
    <x v="70"/>
    <x v="544"/>
    <x v="153"/>
    <x v="511"/>
    <x v="5"/>
  </r>
  <r>
    <x v="0"/>
    <x v="55"/>
    <x v="55"/>
    <x v="6"/>
    <x v="6"/>
    <x v="6"/>
    <x v="2"/>
    <x v="198"/>
    <x v="540"/>
    <x v="98"/>
    <x v="545"/>
    <x v="206"/>
    <x v="320"/>
    <x v="5"/>
  </r>
  <r>
    <x v="0"/>
    <x v="55"/>
    <x v="55"/>
    <x v="3"/>
    <x v="3"/>
    <x v="3"/>
    <x v="2"/>
    <x v="198"/>
    <x v="540"/>
    <x v="38"/>
    <x v="546"/>
    <x v="109"/>
    <x v="512"/>
    <x v="5"/>
  </r>
  <r>
    <x v="0"/>
    <x v="55"/>
    <x v="55"/>
    <x v="2"/>
    <x v="2"/>
    <x v="2"/>
    <x v="5"/>
    <x v="139"/>
    <x v="355"/>
    <x v="76"/>
    <x v="547"/>
    <x v="190"/>
    <x v="1"/>
    <x v="5"/>
  </r>
  <r>
    <x v="0"/>
    <x v="55"/>
    <x v="55"/>
    <x v="5"/>
    <x v="5"/>
    <x v="5"/>
    <x v="6"/>
    <x v="175"/>
    <x v="369"/>
    <x v="58"/>
    <x v="548"/>
    <x v="213"/>
    <x v="513"/>
    <x v="5"/>
  </r>
  <r>
    <x v="0"/>
    <x v="55"/>
    <x v="55"/>
    <x v="11"/>
    <x v="11"/>
    <x v="11"/>
    <x v="7"/>
    <x v="258"/>
    <x v="132"/>
    <x v="53"/>
    <x v="549"/>
    <x v="212"/>
    <x v="482"/>
    <x v="5"/>
  </r>
  <r>
    <x v="0"/>
    <x v="55"/>
    <x v="55"/>
    <x v="30"/>
    <x v="30"/>
    <x v="30"/>
    <x v="8"/>
    <x v="259"/>
    <x v="295"/>
    <x v="96"/>
    <x v="310"/>
    <x v="190"/>
    <x v="1"/>
    <x v="4"/>
  </r>
  <r>
    <x v="0"/>
    <x v="55"/>
    <x v="55"/>
    <x v="8"/>
    <x v="8"/>
    <x v="8"/>
    <x v="9"/>
    <x v="261"/>
    <x v="325"/>
    <x v="65"/>
    <x v="550"/>
    <x v="212"/>
    <x v="482"/>
    <x v="5"/>
  </r>
  <r>
    <x v="0"/>
    <x v="55"/>
    <x v="55"/>
    <x v="13"/>
    <x v="13"/>
    <x v="13"/>
    <x v="10"/>
    <x v="264"/>
    <x v="463"/>
    <x v="82"/>
    <x v="551"/>
    <x v="210"/>
    <x v="328"/>
    <x v="5"/>
  </r>
  <r>
    <x v="0"/>
    <x v="55"/>
    <x v="55"/>
    <x v="28"/>
    <x v="28"/>
    <x v="28"/>
    <x v="11"/>
    <x v="268"/>
    <x v="114"/>
    <x v="82"/>
    <x v="551"/>
    <x v="209"/>
    <x v="327"/>
    <x v="5"/>
  </r>
  <r>
    <x v="0"/>
    <x v="55"/>
    <x v="55"/>
    <x v="15"/>
    <x v="15"/>
    <x v="15"/>
    <x v="11"/>
    <x v="268"/>
    <x v="114"/>
    <x v="48"/>
    <x v="185"/>
    <x v="206"/>
    <x v="320"/>
    <x v="5"/>
  </r>
  <r>
    <x v="0"/>
    <x v="55"/>
    <x v="55"/>
    <x v="7"/>
    <x v="7"/>
    <x v="7"/>
    <x v="11"/>
    <x v="268"/>
    <x v="114"/>
    <x v="50"/>
    <x v="552"/>
    <x v="160"/>
    <x v="329"/>
    <x v="5"/>
  </r>
  <r>
    <x v="0"/>
    <x v="55"/>
    <x v="55"/>
    <x v="27"/>
    <x v="27"/>
    <x v="27"/>
    <x v="11"/>
    <x v="268"/>
    <x v="114"/>
    <x v="53"/>
    <x v="549"/>
    <x v="163"/>
    <x v="326"/>
    <x v="5"/>
  </r>
  <r>
    <x v="0"/>
    <x v="55"/>
    <x v="55"/>
    <x v="34"/>
    <x v="34"/>
    <x v="34"/>
    <x v="15"/>
    <x v="269"/>
    <x v="52"/>
    <x v="77"/>
    <x v="83"/>
    <x v="163"/>
    <x v="326"/>
    <x v="5"/>
  </r>
  <r>
    <x v="0"/>
    <x v="55"/>
    <x v="55"/>
    <x v="21"/>
    <x v="21"/>
    <x v="21"/>
    <x v="15"/>
    <x v="269"/>
    <x v="52"/>
    <x v="64"/>
    <x v="57"/>
    <x v="209"/>
    <x v="327"/>
    <x v="10"/>
  </r>
  <r>
    <x v="0"/>
    <x v="55"/>
    <x v="55"/>
    <x v="49"/>
    <x v="49"/>
    <x v="49"/>
    <x v="17"/>
    <x v="247"/>
    <x v="181"/>
    <x v="77"/>
    <x v="83"/>
    <x v="190"/>
    <x v="1"/>
    <x v="5"/>
  </r>
  <r>
    <x v="0"/>
    <x v="55"/>
    <x v="55"/>
    <x v="29"/>
    <x v="29"/>
    <x v="29"/>
    <x v="17"/>
    <x v="247"/>
    <x v="181"/>
    <x v="52"/>
    <x v="467"/>
    <x v="132"/>
    <x v="101"/>
    <x v="5"/>
  </r>
  <r>
    <x v="0"/>
    <x v="55"/>
    <x v="55"/>
    <x v="44"/>
    <x v="44"/>
    <x v="44"/>
    <x v="19"/>
    <x v="248"/>
    <x v="326"/>
    <x v="64"/>
    <x v="57"/>
    <x v="132"/>
    <x v="101"/>
    <x v="5"/>
  </r>
  <r>
    <x v="0"/>
    <x v="55"/>
    <x v="55"/>
    <x v="14"/>
    <x v="14"/>
    <x v="14"/>
    <x v="19"/>
    <x v="248"/>
    <x v="326"/>
    <x v="77"/>
    <x v="83"/>
    <x v="210"/>
    <x v="328"/>
    <x v="5"/>
  </r>
  <r>
    <x v="0"/>
    <x v="56"/>
    <x v="56"/>
    <x v="0"/>
    <x v="0"/>
    <x v="0"/>
    <x v="0"/>
    <x v="139"/>
    <x v="541"/>
    <x v="74"/>
    <x v="54"/>
    <x v="189"/>
    <x v="93"/>
    <x v="5"/>
  </r>
  <r>
    <x v="0"/>
    <x v="56"/>
    <x v="56"/>
    <x v="3"/>
    <x v="3"/>
    <x v="3"/>
    <x v="1"/>
    <x v="261"/>
    <x v="542"/>
    <x v="53"/>
    <x v="415"/>
    <x v="215"/>
    <x v="514"/>
    <x v="5"/>
  </r>
  <r>
    <x v="0"/>
    <x v="56"/>
    <x v="56"/>
    <x v="1"/>
    <x v="1"/>
    <x v="1"/>
    <x v="1"/>
    <x v="261"/>
    <x v="542"/>
    <x v="92"/>
    <x v="553"/>
    <x v="163"/>
    <x v="395"/>
    <x v="5"/>
  </r>
  <r>
    <x v="0"/>
    <x v="56"/>
    <x v="56"/>
    <x v="6"/>
    <x v="6"/>
    <x v="6"/>
    <x v="3"/>
    <x v="264"/>
    <x v="543"/>
    <x v="53"/>
    <x v="415"/>
    <x v="132"/>
    <x v="392"/>
    <x v="5"/>
  </r>
  <r>
    <x v="0"/>
    <x v="56"/>
    <x v="56"/>
    <x v="5"/>
    <x v="5"/>
    <x v="5"/>
    <x v="4"/>
    <x v="280"/>
    <x v="544"/>
    <x v="65"/>
    <x v="512"/>
    <x v="210"/>
    <x v="515"/>
    <x v="5"/>
  </r>
  <r>
    <x v="0"/>
    <x v="56"/>
    <x v="56"/>
    <x v="4"/>
    <x v="4"/>
    <x v="4"/>
    <x v="5"/>
    <x v="247"/>
    <x v="146"/>
    <x v="77"/>
    <x v="83"/>
    <x v="190"/>
    <x v="60"/>
    <x v="5"/>
  </r>
  <r>
    <x v="0"/>
    <x v="56"/>
    <x v="56"/>
    <x v="28"/>
    <x v="28"/>
    <x v="28"/>
    <x v="5"/>
    <x v="247"/>
    <x v="146"/>
    <x v="48"/>
    <x v="234"/>
    <x v="189"/>
    <x v="93"/>
    <x v="5"/>
  </r>
  <r>
    <x v="0"/>
    <x v="56"/>
    <x v="56"/>
    <x v="13"/>
    <x v="13"/>
    <x v="13"/>
    <x v="7"/>
    <x v="248"/>
    <x v="503"/>
    <x v="51"/>
    <x v="554"/>
    <x v="163"/>
    <x v="395"/>
    <x v="5"/>
  </r>
  <r>
    <x v="0"/>
    <x v="56"/>
    <x v="56"/>
    <x v="9"/>
    <x v="9"/>
    <x v="9"/>
    <x v="7"/>
    <x v="248"/>
    <x v="503"/>
    <x v="52"/>
    <x v="319"/>
    <x v="211"/>
    <x v="274"/>
    <x v="5"/>
  </r>
  <r>
    <x v="0"/>
    <x v="56"/>
    <x v="56"/>
    <x v="8"/>
    <x v="8"/>
    <x v="8"/>
    <x v="9"/>
    <x v="249"/>
    <x v="478"/>
    <x v="48"/>
    <x v="234"/>
    <x v="132"/>
    <x v="392"/>
    <x v="5"/>
  </r>
  <r>
    <x v="0"/>
    <x v="56"/>
    <x v="56"/>
    <x v="7"/>
    <x v="7"/>
    <x v="7"/>
    <x v="9"/>
    <x v="249"/>
    <x v="478"/>
    <x v="51"/>
    <x v="554"/>
    <x v="160"/>
    <x v="149"/>
    <x v="5"/>
  </r>
  <r>
    <x v="0"/>
    <x v="56"/>
    <x v="56"/>
    <x v="11"/>
    <x v="11"/>
    <x v="11"/>
    <x v="11"/>
    <x v="250"/>
    <x v="363"/>
    <x v="64"/>
    <x v="64"/>
    <x v="163"/>
    <x v="395"/>
    <x v="5"/>
  </r>
  <r>
    <x v="0"/>
    <x v="56"/>
    <x v="56"/>
    <x v="30"/>
    <x v="30"/>
    <x v="30"/>
    <x v="11"/>
    <x v="250"/>
    <x v="363"/>
    <x v="51"/>
    <x v="554"/>
    <x v="211"/>
    <x v="274"/>
    <x v="5"/>
  </r>
  <r>
    <x v="0"/>
    <x v="56"/>
    <x v="56"/>
    <x v="29"/>
    <x v="29"/>
    <x v="29"/>
    <x v="11"/>
    <x v="250"/>
    <x v="363"/>
    <x v="48"/>
    <x v="234"/>
    <x v="209"/>
    <x v="320"/>
    <x v="5"/>
  </r>
  <r>
    <x v="0"/>
    <x v="56"/>
    <x v="56"/>
    <x v="17"/>
    <x v="17"/>
    <x v="17"/>
    <x v="14"/>
    <x v="251"/>
    <x v="374"/>
    <x v="77"/>
    <x v="83"/>
    <x v="209"/>
    <x v="320"/>
    <x v="5"/>
  </r>
  <r>
    <x v="0"/>
    <x v="56"/>
    <x v="56"/>
    <x v="12"/>
    <x v="12"/>
    <x v="12"/>
    <x v="14"/>
    <x v="251"/>
    <x v="374"/>
    <x v="64"/>
    <x v="64"/>
    <x v="160"/>
    <x v="149"/>
    <x v="5"/>
  </r>
  <r>
    <x v="0"/>
    <x v="56"/>
    <x v="56"/>
    <x v="26"/>
    <x v="26"/>
    <x v="26"/>
    <x v="14"/>
    <x v="251"/>
    <x v="374"/>
    <x v="48"/>
    <x v="234"/>
    <x v="160"/>
    <x v="149"/>
    <x v="5"/>
  </r>
  <r>
    <x v="0"/>
    <x v="56"/>
    <x v="56"/>
    <x v="36"/>
    <x v="36"/>
    <x v="36"/>
    <x v="14"/>
    <x v="251"/>
    <x v="374"/>
    <x v="77"/>
    <x v="83"/>
    <x v="209"/>
    <x v="320"/>
    <x v="5"/>
  </r>
  <r>
    <x v="0"/>
    <x v="56"/>
    <x v="56"/>
    <x v="27"/>
    <x v="27"/>
    <x v="27"/>
    <x v="14"/>
    <x v="251"/>
    <x v="374"/>
    <x v="77"/>
    <x v="83"/>
    <x v="209"/>
    <x v="320"/>
    <x v="5"/>
  </r>
  <r>
    <x v="0"/>
    <x v="56"/>
    <x v="56"/>
    <x v="32"/>
    <x v="32"/>
    <x v="32"/>
    <x v="19"/>
    <x v="252"/>
    <x v="545"/>
    <x v="77"/>
    <x v="83"/>
    <x v="163"/>
    <x v="395"/>
    <x v="5"/>
  </r>
  <r>
    <x v="0"/>
    <x v="56"/>
    <x v="56"/>
    <x v="55"/>
    <x v="55"/>
    <x v="55"/>
    <x v="19"/>
    <x v="252"/>
    <x v="545"/>
    <x v="64"/>
    <x v="64"/>
    <x v="211"/>
    <x v="274"/>
    <x v="5"/>
  </r>
  <r>
    <x v="0"/>
    <x v="56"/>
    <x v="56"/>
    <x v="56"/>
    <x v="56"/>
    <x v="56"/>
    <x v="19"/>
    <x v="252"/>
    <x v="545"/>
    <x v="77"/>
    <x v="83"/>
    <x v="211"/>
    <x v="274"/>
    <x v="5"/>
  </r>
  <r>
    <x v="0"/>
    <x v="56"/>
    <x v="56"/>
    <x v="18"/>
    <x v="18"/>
    <x v="18"/>
    <x v="19"/>
    <x v="252"/>
    <x v="545"/>
    <x v="48"/>
    <x v="234"/>
    <x v="160"/>
    <x v="149"/>
    <x v="5"/>
  </r>
  <r>
    <x v="0"/>
    <x v="56"/>
    <x v="56"/>
    <x v="24"/>
    <x v="24"/>
    <x v="24"/>
    <x v="19"/>
    <x v="252"/>
    <x v="545"/>
    <x v="77"/>
    <x v="83"/>
    <x v="163"/>
    <x v="395"/>
    <x v="5"/>
  </r>
  <r>
    <x v="0"/>
    <x v="56"/>
    <x v="56"/>
    <x v="2"/>
    <x v="2"/>
    <x v="2"/>
    <x v="19"/>
    <x v="252"/>
    <x v="545"/>
    <x v="48"/>
    <x v="234"/>
    <x v="160"/>
    <x v="149"/>
    <x v="5"/>
  </r>
  <r>
    <x v="0"/>
    <x v="56"/>
    <x v="56"/>
    <x v="34"/>
    <x v="34"/>
    <x v="34"/>
    <x v="19"/>
    <x v="252"/>
    <x v="545"/>
    <x v="77"/>
    <x v="83"/>
    <x v="160"/>
    <x v="149"/>
    <x v="5"/>
  </r>
  <r>
    <x v="0"/>
    <x v="56"/>
    <x v="56"/>
    <x v="14"/>
    <x v="14"/>
    <x v="14"/>
    <x v="19"/>
    <x v="252"/>
    <x v="545"/>
    <x v="77"/>
    <x v="83"/>
    <x v="163"/>
    <x v="395"/>
    <x v="5"/>
  </r>
  <r>
    <x v="0"/>
    <x v="56"/>
    <x v="56"/>
    <x v="21"/>
    <x v="21"/>
    <x v="21"/>
    <x v="19"/>
    <x v="252"/>
    <x v="545"/>
    <x v="77"/>
    <x v="83"/>
    <x v="163"/>
    <x v="395"/>
    <x v="5"/>
  </r>
  <r>
    <x v="0"/>
    <x v="57"/>
    <x v="57"/>
    <x v="0"/>
    <x v="0"/>
    <x v="0"/>
    <x v="0"/>
    <x v="154"/>
    <x v="546"/>
    <x v="14"/>
    <x v="555"/>
    <x v="210"/>
    <x v="41"/>
    <x v="4"/>
  </r>
  <r>
    <x v="0"/>
    <x v="57"/>
    <x v="57"/>
    <x v="3"/>
    <x v="3"/>
    <x v="3"/>
    <x v="1"/>
    <x v="174"/>
    <x v="547"/>
    <x v="78"/>
    <x v="556"/>
    <x v="208"/>
    <x v="516"/>
    <x v="11"/>
  </r>
  <r>
    <x v="0"/>
    <x v="57"/>
    <x v="57"/>
    <x v="1"/>
    <x v="1"/>
    <x v="1"/>
    <x v="1"/>
    <x v="174"/>
    <x v="547"/>
    <x v="166"/>
    <x v="213"/>
    <x v="163"/>
    <x v="87"/>
    <x v="5"/>
  </r>
  <r>
    <x v="0"/>
    <x v="57"/>
    <x v="57"/>
    <x v="5"/>
    <x v="5"/>
    <x v="5"/>
    <x v="3"/>
    <x v="259"/>
    <x v="313"/>
    <x v="50"/>
    <x v="557"/>
    <x v="215"/>
    <x v="4"/>
    <x v="5"/>
  </r>
  <r>
    <x v="0"/>
    <x v="57"/>
    <x v="57"/>
    <x v="6"/>
    <x v="6"/>
    <x v="6"/>
    <x v="4"/>
    <x v="261"/>
    <x v="293"/>
    <x v="70"/>
    <x v="558"/>
    <x v="189"/>
    <x v="151"/>
    <x v="5"/>
  </r>
  <r>
    <x v="0"/>
    <x v="57"/>
    <x v="57"/>
    <x v="4"/>
    <x v="4"/>
    <x v="4"/>
    <x v="5"/>
    <x v="246"/>
    <x v="548"/>
    <x v="51"/>
    <x v="471"/>
    <x v="197"/>
    <x v="517"/>
    <x v="5"/>
  </r>
  <r>
    <x v="0"/>
    <x v="57"/>
    <x v="57"/>
    <x v="2"/>
    <x v="2"/>
    <x v="2"/>
    <x v="6"/>
    <x v="263"/>
    <x v="549"/>
    <x v="82"/>
    <x v="298"/>
    <x v="210"/>
    <x v="41"/>
    <x v="5"/>
  </r>
  <r>
    <x v="0"/>
    <x v="57"/>
    <x v="57"/>
    <x v="8"/>
    <x v="8"/>
    <x v="8"/>
    <x v="7"/>
    <x v="264"/>
    <x v="477"/>
    <x v="52"/>
    <x v="218"/>
    <x v="206"/>
    <x v="518"/>
    <x v="5"/>
  </r>
  <r>
    <x v="0"/>
    <x v="57"/>
    <x v="57"/>
    <x v="14"/>
    <x v="14"/>
    <x v="14"/>
    <x v="7"/>
    <x v="264"/>
    <x v="477"/>
    <x v="77"/>
    <x v="83"/>
    <x v="206"/>
    <x v="518"/>
    <x v="5"/>
  </r>
  <r>
    <x v="0"/>
    <x v="57"/>
    <x v="57"/>
    <x v="9"/>
    <x v="9"/>
    <x v="9"/>
    <x v="9"/>
    <x v="268"/>
    <x v="256"/>
    <x v="51"/>
    <x v="471"/>
    <x v="160"/>
    <x v="519"/>
    <x v="5"/>
  </r>
  <r>
    <x v="0"/>
    <x v="57"/>
    <x v="57"/>
    <x v="11"/>
    <x v="11"/>
    <x v="11"/>
    <x v="10"/>
    <x v="247"/>
    <x v="356"/>
    <x v="65"/>
    <x v="257"/>
    <x v="163"/>
    <x v="87"/>
    <x v="5"/>
  </r>
  <r>
    <x v="0"/>
    <x v="57"/>
    <x v="57"/>
    <x v="26"/>
    <x v="26"/>
    <x v="26"/>
    <x v="10"/>
    <x v="247"/>
    <x v="356"/>
    <x v="48"/>
    <x v="559"/>
    <x v="210"/>
    <x v="41"/>
    <x v="5"/>
  </r>
  <r>
    <x v="0"/>
    <x v="57"/>
    <x v="57"/>
    <x v="7"/>
    <x v="7"/>
    <x v="7"/>
    <x v="10"/>
    <x v="247"/>
    <x v="356"/>
    <x v="65"/>
    <x v="257"/>
    <x v="163"/>
    <x v="87"/>
    <x v="5"/>
  </r>
  <r>
    <x v="0"/>
    <x v="57"/>
    <x v="57"/>
    <x v="13"/>
    <x v="13"/>
    <x v="13"/>
    <x v="13"/>
    <x v="249"/>
    <x v="166"/>
    <x v="51"/>
    <x v="471"/>
    <x v="160"/>
    <x v="519"/>
    <x v="5"/>
  </r>
  <r>
    <x v="0"/>
    <x v="57"/>
    <x v="57"/>
    <x v="12"/>
    <x v="12"/>
    <x v="12"/>
    <x v="13"/>
    <x v="249"/>
    <x v="166"/>
    <x v="48"/>
    <x v="559"/>
    <x v="209"/>
    <x v="34"/>
    <x v="5"/>
  </r>
  <r>
    <x v="0"/>
    <x v="57"/>
    <x v="57"/>
    <x v="55"/>
    <x v="55"/>
    <x v="55"/>
    <x v="15"/>
    <x v="250"/>
    <x v="99"/>
    <x v="64"/>
    <x v="243"/>
    <x v="163"/>
    <x v="87"/>
    <x v="5"/>
  </r>
  <r>
    <x v="0"/>
    <x v="57"/>
    <x v="57"/>
    <x v="18"/>
    <x v="18"/>
    <x v="18"/>
    <x v="15"/>
    <x v="250"/>
    <x v="99"/>
    <x v="77"/>
    <x v="83"/>
    <x v="132"/>
    <x v="160"/>
    <x v="5"/>
  </r>
  <r>
    <x v="0"/>
    <x v="57"/>
    <x v="57"/>
    <x v="28"/>
    <x v="28"/>
    <x v="28"/>
    <x v="17"/>
    <x v="251"/>
    <x v="388"/>
    <x v="52"/>
    <x v="218"/>
    <x v="211"/>
    <x v="274"/>
    <x v="5"/>
  </r>
  <r>
    <x v="0"/>
    <x v="57"/>
    <x v="57"/>
    <x v="42"/>
    <x v="42"/>
    <x v="42"/>
    <x v="17"/>
    <x v="251"/>
    <x v="388"/>
    <x v="77"/>
    <x v="83"/>
    <x v="209"/>
    <x v="34"/>
    <x v="5"/>
  </r>
  <r>
    <x v="0"/>
    <x v="57"/>
    <x v="57"/>
    <x v="31"/>
    <x v="31"/>
    <x v="31"/>
    <x v="17"/>
    <x v="251"/>
    <x v="388"/>
    <x v="77"/>
    <x v="83"/>
    <x v="209"/>
    <x v="34"/>
    <x v="5"/>
  </r>
  <r>
    <x v="0"/>
    <x v="57"/>
    <x v="57"/>
    <x v="10"/>
    <x v="10"/>
    <x v="10"/>
    <x v="17"/>
    <x v="251"/>
    <x v="388"/>
    <x v="48"/>
    <x v="559"/>
    <x v="163"/>
    <x v="87"/>
    <x v="5"/>
  </r>
  <r>
    <x v="0"/>
    <x v="57"/>
    <x v="57"/>
    <x v="30"/>
    <x v="30"/>
    <x v="30"/>
    <x v="17"/>
    <x v="251"/>
    <x v="388"/>
    <x v="48"/>
    <x v="559"/>
    <x v="163"/>
    <x v="87"/>
    <x v="5"/>
  </r>
  <r>
    <x v="0"/>
    <x v="57"/>
    <x v="57"/>
    <x v="19"/>
    <x v="19"/>
    <x v="19"/>
    <x v="17"/>
    <x v="251"/>
    <x v="388"/>
    <x v="48"/>
    <x v="559"/>
    <x v="163"/>
    <x v="87"/>
    <x v="5"/>
  </r>
  <r>
    <x v="0"/>
    <x v="57"/>
    <x v="57"/>
    <x v="27"/>
    <x v="27"/>
    <x v="27"/>
    <x v="17"/>
    <x v="251"/>
    <x v="388"/>
    <x v="64"/>
    <x v="243"/>
    <x v="160"/>
    <x v="519"/>
    <x v="5"/>
  </r>
  <r>
    <x v="0"/>
    <x v="58"/>
    <x v="58"/>
    <x v="1"/>
    <x v="1"/>
    <x v="1"/>
    <x v="0"/>
    <x v="260"/>
    <x v="550"/>
    <x v="117"/>
    <x v="560"/>
    <x v="163"/>
    <x v="100"/>
    <x v="5"/>
  </r>
  <r>
    <x v="0"/>
    <x v="58"/>
    <x v="58"/>
    <x v="6"/>
    <x v="6"/>
    <x v="6"/>
    <x v="1"/>
    <x v="263"/>
    <x v="551"/>
    <x v="78"/>
    <x v="561"/>
    <x v="163"/>
    <x v="100"/>
    <x v="5"/>
  </r>
  <r>
    <x v="0"/>
    <x v="58"/>
    <x v="58"/>
    <x v="3"/>
    <x v="3"/>
    <x v="3"/>
    <x v="1"/>
    <x v="263"/>
    <x v="551"/>
    <x v="53"/>
    <x v="562"/>
    <x v="210"/>
    <x v="485"/>
    <x v="5"/>
  </r>
  <r>
    <x v="0"/>
    <x v="58"/>
    <x v="58"/>
    <x v="0"/>
    <x v="0"/>
    <x v="0"/>
    <x v="3"/>
    <x v="264"/>
    <x v="552"/>
    <x v="50"/>
    <x v="563"/>
    <x v="209"/>
    <x v="433"/>
    <x v="5"/>
  </r>
  <r>
    <x v="0"/>
    <x v="58"/>
    <x v="58"/>
    <x v="4"/>
    <x v="4"/>
    <x v="4"/>
    <x v="4"/>
    <x v="269"/>
    <x v="553"/>
    <x v="48"/>
    <x v="564"/>
    <x v="190"/>
    <x v="520"/>
    <x v="5"/>
  </r>
  <r>
    <x v="0"/>
    <x v="58"/>
    <x v="58"/>
    <x v="8"/>
    <x v="8"/>
    <x v="8"/>
    <x v="5"/>
    <x v="248"/>
    <x v="246"/>
    <x v="48"/>
    <x v="564"/>
    <x v="210"/>
    <x v="485"/>
    <x v="5"/>
  </r>
  <r>
    <x v="0"/>
    <x v="58"/>
    <x v="58"/>
    <x v="30"/>
    <x v="30"/>
    <x v="30"/>
    <x v="5"/>
    <x v="248"/>
    <x v="246"/>
    <x v="65"/>
    <x v="565"/>
    <x v="160"/>
    <x v="197"/>
    <x v="5"/>
  </r>
  <r>
    <x v="0"/>
    <x v="58"/>
    <x v="58"/>
    <x v="5"/>
    <x v="5"/>
    <x v="5"/>
    <x v="7"/>
    <x v="249"/>
    <x v="229"/>
    <x v="52"/>
    <x v="566"/>
    <x v="163"/>
    <x v="100"/>
    <x v="5"/>
  </r>
  <r>
    <x v="0"/>
    <x v="58"/>
    <x v="58"/>
    <x v="28"/>
    <x v="28"/>
    <x v="28"/>
    <x v="8"/>
    <x v="250"/>
    <x v="372"/>
    <x v="77"/>
    <x v="83"/>
    <x v="132"/>
    <x v="521"/>
    <x v="5"/>
  </r>
  <r>
    <x v="0"/>
    <x v="58"/>
    <x v="58"/>
    <x v="7"/>
    <x v="7"/>
    <x v="7"/>
    <x v="8"/>
    <x v="250"/>
    <x v="372"/>
    <x v="64"/>
    <x v="567"/>
    <x v="163"/>
    <x v="100"/>
    <x v="5"/>
  </r>
  <r>
    <x v="0"/>
    <x v="58"/>
    <x v="58"/>
    <x v="42"/>
    <x v="42"/>
    <x v="42"/>
    <x v="10"/>
    <x v="252"/>
    <x v="98"/>
    <x v="77"/>
    <x v="83"/>
    <x v="163"/>
    <x v="100"/>
    <x v="5"/>
  </r>
  <r>
    <x v="0"/>
    <x v="58"/>
    <x v="58"/>
    <x v="25"/>
    <x v="25"/>
    <x v="25"/>
    <x v="10"/>
    <x v="252"/>
    <x v="98"/>
    <x v="48"/>
    <x v="564"/>
    <x v="160"/>
    <x v="197"/>
    <x v="5"/>
  </r>
  <r>
    <x v="0"/>
    <x v="58"/>
    <x v="58"/>
    <x v="18"/>
    <x v="18"/>
    <x v="18"/>
    <x v="10"/>
    <x v="252"/>
    <x v="98"/>
    <x v="48"/>
    <x v="564"/>
    <x v="160"/>
    <x v="197"/>
    <x v="5"/>
  </r>
  <r>
    <x v="0"/>
    <x v="58"/>
    <x v="58"/>
    <x v="17"/>
    <x v="17"/>
    <x v="17"/>
    <x v="10"/>
    <x v="252"/>
    <x v="98"/>
    <x v="77"/>
    <x v="83"/>
    <x v="163"/>
    <x v="100"/>
    <x v="5"/>
  </r>
  <r>
    <x v="0"/>
    <x v="58"/>
    <x v="58"/>
    <x v="13"/>
    <x v="13"/>
    <x v="13"/>
    <x v="10"/>
    <x v="252"/>
    <x v="98"/>
    <x v="77"/>
    <x v="83"/>
    <x v="163"/>
    <x v="100"/>
    <x v="5"/>
  </r>
  <r>
    <x v="0"/>
    <x v="58"/>
    <x v="58"/>
    <x v="23"/>
    <x v="23"/>
    <x v="23"/>
    <x v="10"/>
    <x v="252"/>
    <x v="98"/>
    <x v="48"/>
    <x v="564"/>
    <x v="160"/>
    <x v="197"/>
    <x v="5"/>
  </r>
  <r>
    <x v="0"/>
    <x v="58"/>
    <x v="58"/>
    <x v="9"/>
    <x v="9"/>
    <x v="9"/>
    <x v="10"/>
    <x v="252"/>
    <x v="98"/>
    <x v="64"/>
    <x v="567"/>
    <x v="211"/>
    <x v="274"/>
    <x v="5"/>
  </r>
  <r>
    <x v="0"/>
    <x v="58"/>
    <x v="58"/>
    <x v="36"/>
    <x v="36"/>
    <x v="36"/>
    <x v="10"/>
    <x v="252"/>
    <x v="98"/>
    <x v="77"/>
    <x v="83"/>
    <x v="163"/>
    <x v="100"/>
    <x v="5"/>
  </r>
  <r>
    <x v="0"/>
    <x v="58"/>
    <x v="58"/>
    <x v="21"/>
    <x v="21"/>
    <x v="21"/>
    <x v="10"/>
    <x v="252"/>
    <x v="98"/>
    <x v="77"/>
    <x v="83"/>
    <x v="163"/>
    <x v="100"/>
    <x v="5"/>
  </r>
  <r>
    <x v="0"/>
    <x v="58"/>
    <x v="58"/>
    <x v="39"/>
    <x v="39"/>
    <x v="39"/>
    <x v="19"/>
    <x v="287"/>
    <x v="554"/>
    <x v="77"/>
    <x v="83"/>
    <x v="160"/>
    <x v="197"/>
    <x v="5"/>
  </r>
  <r>
    <x v="0"/>
    <x v="58"/>
    <x v="58"/>
    <x v="32"/>
    <x v="32"/>
    <x v="32"/>
    <x v="19"/>
    <x v="287"/>
    <x v="554"/>
    <x v="77"/>
    <x v="83"/>
    <x v="160"/>
    <x v="197"/>
    <x v="5"/>
  </r>
  <r>
    <x v="0"/>
    <x v="58"/>
    <x v="58"/>
    <x v="44"/>
    <x v="44"/>
    <x v="44"/>
    <x v="19"/>
    <x v="287"/>
    <x v="554"/>
    <x v="77"/>
    <x v="83"/>
    <x v="160"/>
    <x v="197"/>
    <x v="5"/>
  </r>
  <r>
    <x v="0"/>
    <x v="58"/>
    <x v="58"/>
    <x v="41"/>
    <x v="41"/>
    <x v="41"/>
    <x v="19"/>
    <x v="287"/>
    <x v="554"/>
    <x v="77"/>
    <x v="83"/>
    <x v="211"/>
    <x v="274"/>
    <x v="5"/>
  </r>
  <r>
    <x v="0"/>
    <x v="58"/>
    <x v="58"/>
    <x v="35"/>
    <x v="35"/>
    <x v="35"/>
    <x v="19"/>
    <x v="287"/>
    <x v="554"/>
    <x v="77"/>
    <x v="83"/>
    <x v="160"/>
    <x v="197"/>
    <x v="5"/>
  </r>
  <r>
    <x v="0"/>
    <x v="58"/>
    <x v="58"/>
    <x v="48"/>
    <x v="48"/>
    <x v="48"/>
    <x v="19"/>
    <x v="287"/>
    <x v="554"/>
    <x v="77"/>
    <x v="83"/>
    <x v="211"/>
    <x v="274"/>
    <x v="4"/>
  </r>
  <r>
    <x v="0"/>
    <x v="58"/>
    <x v="58"/>
    <x v="16"/>
    <x v="16"/>
    <x v="16"/>
    <x v="19"/>
    <x v="287"/>
    <x v="554"/>
    <x v="77"/>
    <x v="83"/>
    <x v="160"/>
    <x v="197"/>
    <x v="5"/>
  </r>
  <r>
    <x v="0"/>
    <x v="58"/>
    <x v="58"/>
    <x v="11"/>
    <x v="11"/>
    <x v="11"/>
    <x v="19"/>
    <x v="287"/>
    <x v="554"/>
    <x v="48"/>
    <x v="564"/>
    <x v="211"/>
    <x v="274"/>
    <x v="5"/>
  </r>
  <r>
    <x v="0"/>
    <x v="58"/>
    <x v="58"/>
    <x v="24"/>
    <x v="24"/>
    <x v="24"/>
    <x v="19"/>
    <x v="287"/>
    <x v="554"/>
    <x v="48"/>
    <x v="564"/>
    <x v="211"/>
    <x v="274"/>
    <x v="5"/>
  </r>
  <r>
    <x v="0"/>
    <x v="58"/>
    <x v="58"/>
    <x v="20"/>
    <x v="20"/>
    <x v="20"/>
    <x v="19"/>
    <x v="287"/>
    <x v="554"/>
    <x v="77"/>
    <x v="83"/>
    <x v="160"/>
    <x v="197"/>
    <x v="5"/>
  </r>
  <r>
    <x v="0"/>
    <x v="58"/>
    <x v="58"/>
    <x v="2"/>
    <x v="2"/>
    <x v="2"/>
    <x v="19"/>
    <x v="287"/>
    <x v="554"/>
    <x v="77"/>
    <x v="83"/>
    <x v="160"/>
    <x v="197"/>
    <x v="5"/>
  </r>
  <r>
    <x v="0"/>
    <x v="58"/>
    <x v="58"/>
    <x v="43"/>
    <x v="43"/>
    <x v="43"/>
    <x v="19"/>
    <x v="287"/>
    <x v="554"/>
    <x v="77"/>
    <x v="83"/>
    <x v="160"/>
    <x v="197"/>
    <x v="5"/>
  </r>
  <r>
    <x v="0"/>
    <x v="58"/>
    <x v="58"/>
    <x v="19"/>
    <x v="19"/>
    <x v="19"/>
    <x v="19"/>
    <x v="287"/>
    <x v="554"/>
    <x v="48"/>
    <x v="564"/>
    <x v="211"/>
    <x v="274"/>
    <x v="5"/>
  </r>
  <r>
    <x v="0"/>
    <x v="58"/>
    <x v="58"/>
    <x v="34"/>
    <x v="34"/>
    <x v="34"/>
    <x v="19"/>
    <x v="287"/>
    <x v="554"/>
    <x v="77"/>
    <x v="83"/>
    <x v="211"/>
    <x v="274"/>
    <x v="5"/>
  </r>
  <r>
    <x v="0"/>
    <x v="58"/>
    <x v="58"/>
    <x v="27"/>
    <x v="27"/>
    <x v="27"/>
    <x v="19"/>
    <x v="287"/>
    <x v="554"/>
    <x v="48"/>
    <x v="564"/>
    <x v="211"/>
    <x v="274"/>
    <x v="5"/>
  </r>
  <r>
    <x v="0"/>
    <x v="58"/>
    <x v="58"/>
    <x v="57"/>
    <x v="57"/>
    <x v="57"/>
    <x v="19"/>
    <x v="287"/>
    <x v="554"/>
    <x v="77"/>
    <x v="83"/>
    <x v="160"/>
    <x v="197"/>
    <x v="5"/>
  </r>
  <r>
    <x v="0"/>
    <x v="59"/>
    <x v="59"/>
    <x v="0"/>
    <x v="0"/>
    <x v="0"/>
    <x v="0"/>
    <x v="246"/>
    <x v="555"/>
    <x v="70"/>
    <x v="533"/>
    <x v="163"/>
    <x v="320"/>
    <x v="5"/>
  </r>
  <r>
    <x v="0"/>
    <x v="59"/>
    <x v="59"/>
    <x v="6"/>
    <x v="6"/>
    <x v="6"/>
    <x v="1"/>
    <x v="263"/>
    <x v="556"/>
    <x v="51"/>
    <x v="192"/>
    <x v="206"/>
    <x v="522"/>
    <x v="5"/>
  </r>
  <r>
    <x v="0"/>
    <x v="59"/>
    <x v="59"/>
    <x v="1"/>
    <x v="1"/>
    <x v="1"/>
    <x v="1"/>
    <x v="263"/>
    <x v="556"/>
    <x v="78"/>
    <x v="381"/>
    <x v="211"/>
    <x v="274"/>
    <x v="5"/>
  </r>
  <r>
    <x v="0"/>
    <x v="59"/>
    <x v="59"/>
    <x v="4"/>
    <x v="4"/>
    <x v="4"/>
    <x v="3"/>
    <x v="268"/>
    <x v="557"/>
    <x v="48"/>
    <x v="537"/>
    <x v="206"/>
    <x v="522"/>
    <x v="5"/>
  </r>
  <r>
    <x v="0"/>
    <x v="59"/>
    <x v="59"/>
    <x v="3"/>
    <x v="3"/>
    <x v="3"/>
    <x v="3"/>
    <x v="268"/>
    <x v="557"/>
    <x v="51"/>
    <x v="192"/>
    <x v="210"/>
    <x v="523"/>
    <x v="5"/>
  </r>
  <r>
    <x v="0"/>
    <x v="59"/>
    <x v="59"/>
    <x v="2"/>
    <x v="2"/>
    <x v="2"/>
    <x v="5"/>
    <x v="247"/>
    <x v="345"/>
    <x v="82"/>
    <x v="568"/>
    <x v="211"/>
    <x v="274"/>
    <x v="5"/>
  </r>
  <r>
    <x v="0"/>
    <x v="59"/>
    <x v="59"/>
    <x v="5"/>
    <x v="5"/>
    <x v="5"/>
    <x v="6"/>
    <x v="250"/>
    <x v="461"/>
    <x v="64"/>
    <x v="536"/>
    <x v="163"/>
    <x v="320"/>
    <x v="5"/>
  </r>
  <r>
    <x v="0"/>
    <x v="59"/>
    <x v="59"/>
    <x v="13"/>
    <x v="13"/>
    <x v="13"/>
    <x v="6"/>
    <x v="250"/>
    <x v="461"/>
    <x v="51"/>
    <x v="192"/>
    <x v="211"/>
    <x v="274"/>
    <x v="5"/>
  </r>
  <r>
    <x v="0"/>
    <x v="59"/>
    <x v="59"/>
    <x v="9"/>
    <x v="9"/>
    <x v="9"/>
    <x v="6"/>
    <x v="250"/>
    <x v="461"/>
    <x v="77"/>
    <x v="83"/>
    <x v="211"/>
    <x v="274"/>
    <x v="5"/>
  </r>
  <r>
    <x v="0"/>
    <x v="59"/>
    <x v="59"/>
    <x v="32"/>
    <x v="32"/>
    <x v="32"/>
    <x v="9"/>
    <x v="251"/>
    <x v="178"/>
    <x v="77"/>
    <x v="83"/>
    <x v="209"/>
    <x v="482"/>
    <x v="5"/>
  </r>
  <r>
    <x v="0"/>
    <x v="59"/>
    <x v="59"/>
    <x v="16"/>
    <x v="16"/>
    <x v="16"/>
    <x v="9"/>
    <x v="251"/>
    <x v="178"/>
    <x v="77"/>
    <x v="83"/>
    <x v="209"/>
    <x v="482"/>
    <x v="5"/>
  </r>
  <r>
    <x v="0"/>
    <x v="59"/>
    <x v="59"/>
    <x v="21"/>
    <x v="21"/>
    <x v="21"/>
    <x v="9"/>
    <x v="251"/>
    <x v="178"/>
    <x v="77"/>
    <x v="83"/>
    <x v="209"/>
    <x v="482"/>
    <x v="5"/>
  </r>
  <r>
    <x v="0"/>
    <x v="59"/>
    <x v="59"/>
    <x v="8"/>
    <x v="8"/>
    <x v="8"/>
    <x v="12"/>
    <x v="252"/>
    <x v="137"/>
    <x v="77"/>
    <x v="83"/>
    <x v="163"/>
    <x v="320"/>
    <x v="5"/>
  </r>
  <r>
    <x v="0"/>
    <x v="59"/>
    <x v="59"/>
    <x v="28"/>
    <x v="28"/>
    <x v="28"/>
    <x v="12"/>
    <x v="252"/>
    <x v="137"/>
    <x v="48"/>
    <x v="537"/>
    <x v="160"/>
    <x v="101"/>
    <x v="5"/>
  </r>
  <r>
    <x v="0"/>
    <x v="59"/>
    <x v="59"/>
    <x v="35"/>
    <x v="35"/>
    <x v="35"/>
    <x v="12"/>
    <x v="252"/>
    <x v="137"/>
    <x v="48"/>
    <x v="537"/>
    <x v="160"/>
    <x v="101"/>
    <x v="5"/>
  </r>
  <r>
    <x v="0"/>
    <x v="59"/>
    <x v="59"/>
    <x v="11"/>
    <x v="11"/>
    <x v="11"/>
    <x v="12"/>
    <x v="252"/>
    <x v="137"/>
    <x v="48"/>
    <x v="537"/>
    <x v="160"/>
    <x v="101"/>
    <x v="5"/>
  </r>
  <r>
    <x v="0"/>
    <x v="59"/>
    <x v="59"/>
    <x v="12"/>
    <x v="12"/>
    <x v="12"/>
    <x v="12"/>
    <x v="252"/>
    <x v="137"/>
    <x v="48"/>
    <x v="537"/>
    <x v="160"/>
    <x v="101"/>
    <x v="5"/>
  </r>
  <r>
    <x v="0"/>
    <x v="59"/>
    <x v="59"/>
    <x v="19"/>
    <x v="19"/>
    <x v="19"/>
    <x v="12"/>
    <x v="252"/>
    <x v="137"/>
    <x v="77"/>
    <x v="83"/>
    <x v="163"/>
    <x v="320"/>
    <x v="5"/>
  </r>
  <r>
    <x v="0"/>
    <x v="59"/>
    <x v="59"/>
    <x v="14"/>
    <x v="14"/>
    <x v="14"/>
    <x v="12"/>
    <x v="252"/>
    <x v="137"/>
    <x v="77"/>
    <x v="83"/>
    <x v="163"/>
    <x v="320"/>
    <x v="5"/>
  </r>
  <r>
    <x v="0"/>
    <x v="59"/>
    <x v="59"/>
    <x v="27"/>
    <x v="27"/>
    <x v="27"/>
    <x v="12"/>
    <x v="252"/>
    <x v="137"/>
    <x v="77"/>
    <x v="83"/>
    <x v="163"/>
    <x v="320"/>
    <x v="5"/>
  </r>
  <r>
    <x v="0"/>
    <x v="59"/>
    <x v="59"/>
    <x v="37"/>
    <x v="37"/>
    <x v="37"/>
    <x v="12"/>
    <x v="252"/>
    <x v="137"/>
    <x v="77"/>
    <x v="83"/>
    <x v="211"/>
    <x v="274"/>
    <x v="5"/>
  </r>
  <r>
    <x v="0"/>
    <x v="60"/>
    <x v="60"/>
    <x v="1"/>
    <x v="1"/>
    <x v="1"/>
    <x v="0"/>
    <x v="262"/>
    <x v="558"/>
    <x v="31"/>
    <x v="569"/>
    <x v="211"/>
    <x v="274"/>
    <x v="5"/>
  </r>
  <r>
    <x v="0"/>
    <x v="60"/>
    <x v="60"/>
    <x v="3"/>
    <x v="3"/>
    <x v="3"/>
    <x v="1"/>
    <x v="264"/>
    <x v="197"/>
    <x v="82"/>
    <x v="570"/>
    <x v="210"/>
    <x v="524"/>
    <x v="5"/>
  </r>
  <r>
    <x v="0"/>
    <x v="60"/>
    <x v="60"/>
    <x v="4"/>
    <x v="4"/>
    <x v="4"/>
    <x v="2"/>
    <x v="268"/>
    <x v="559"/>
    <x v="64"/>
    <x v="571"/>
    <x v="190"/>
    <x v="525"/>
    <x v="5"/>
  </r>
  <r>
    <x v="0"/>
    <x v="60"/>
    <x v="60"/>
    <x v="0"/>
    <x v="0"/>
    <x v="0"/>
    <x v="2"/>
    <x v="268"/>
    <x v="559"/>
    <x v="96"/>
    <x v="572"/>
    <x v="211"/>
    <x v="274"/>
    <x v="5"/>
  </r>
  <r>
    <x v="0"/>
    <x v="60"/>
    <x v="60"/>
    <x v="6"/>
    <x v="6"/>
    <x v="6"/>
    <x v="4"/>
    <x v="247"/>
    <x v="560"/>
    <x v="51"/>
    <x v="573"/>
    <x v="163"/>
    <x v="255"/>
    <x v="4"/>
  </r>
  <r>
    <x v="0"/>
    <x v="60"/>
    <x v="60"/>
    <x v="14"/>
    <x v="14"/>
    <x v="14"/>
    <x v="4"/>
    <x v="247"/>
    <x v="560"/>
    <x v="77"/>
    <x v="83"/>
    <x v="189"/>
    <x v="271"/>
    <x v="5"/>
  </r>
  <r>
    <x v="0"/>
    <x v="60"/>
    <x v="60"/>
    <x v="5"/>
    <x v="5"/>
    <x v="5"/>
    <x v="6"/>
    <x v="249"/>
    <x v="561"/>
    <x v="52"/>
    <x v="574"/>
    <x v="163"/>
    <x v="255"/>
    <x v="5"/>
  </r>
  <r>
    <x v="0"/>
    <x v="60"/>
    <x v="60"/>
    <x v="28"/>
    <x v="28"/>
    <x v="28"/>
    <x v="7"/>
    <x v="250"/>
    <x v="562"/>
    <x v="77"/>
    <x v="83"/>
    <x v="132"/>
    <x v="272"/>
    <x v="5"/>
  </r>
  <r>
    <x v="0"/>
    <x v="60"/>
    <x v="60"/>
    <x v="11"/>
    <x v="11"/>
    <x v="11"/>
    <x v="7"/>
    <x v="250"/>
    <x v="562"/>
    <x v="48"/>
    <x v="463"/>
    <x v="209"/>
    <x v="506"/>
    <x v="5"/>
  </r>
  <r>
    <x v="0"/>
    <x v="60"/>
    <x v="60"/>
    <x v="30"/>
    <x v="30"/>
    <x v="30"/>
    <x v="7"/>
    <x v="250"/>
    <x v="562"/>
    <x v="64"/>
    <x v="571"/>
    <x v="163"/>
    <x v="255"/>
    <x v="5"/>
  </r>
  <r>
    <x v="0"/>
    <x v="60"/>
    <x v="60"/>
    <x v="9"/>
    <x v="9"/>
    <x v="9"/>
    <x v="7"/>
    <x v="250"/>
    <x v="562"/>
    <x v="52"/>
    <x v="574"/>
    <x v="211"/>
    <x v="274"/>
    <x v="5"/>
  </r>
  <r>
    <x v="0"/>
    <x v="60"/>
    <x v="60"/>
    <x v="8"/>
    <x v="8"/>
    <x v="8"/>
    <x v="11"/>
    <x v="251"/>
    <x v="307"/>
    <x v="77"/>
    <x v="83"/>
    <x v="209"/>
    <x v="506"/>
    <x v="5"/>
  </r>
  <r>
    <x v="0"/>
    <x v="60"/>
    <x v="60"/>
    <x v="49"/>
    <x v="49"/>
    <x v="49"/>
    <x v="11"/>
    <x v="251"/>
    <x v="307"/>
    <x v="77"/>
    <x v="83"/>
    <x v="209"/>
    <x v="506"/>
    <x v="5"/>
  </r>
  <r>
    <x v="0"/>
    <x v="60"/>
    <x v="60"/>
    <x v="18"/>
    <x v="18"/>
    <x v="18"/>
    <x v="11"/>
    <x v="251"/>
    <x v="307"/>
    <x v="77"/>
    <x v="83"/>
    <x v="209"/>
    <x v="506"/>
    <x v="5"/>
  </r>
  <r>
    <x v="0"/>
    <x v="60"/>
    <x v="60"/>
    <x v="13"/>
    <x v="13"/>
    <x v="13"/>
    <x v="11"/>
    <x v="251"/>
    <x v="307"/>
    <x v="64"/>
    <x v="571"/>
    <x v="160"/>
    <x v="505"/>
    <x v="5"/>
  </r>
  <r>
    <x v="0"/>
    <x v="60"/>
    <x v="60"/>
    <x v="23"/>
    <x v="23"/>
    <x v="23"/>
    <x v="11"/>
    <x v="251"/>
    <x v="307"/>
    <x v="64"/>
    <x v="571"/>
    <x v="160"/>
    <x v="505"/>
    <x v="5"/>
  </r>
  <r>
    <x v="0"/>
    <x v="60"/>
    <x v="60"/>
    <x v="7"/>
    <x v="7"/>
    <x v="7"/>
    <x v="11"/>
    <x v="251"/>
    <x v="307"/>
    <x v="64"/>
    <x v="571"/>
    <x v="160"/>
    <x v="505"/>
    <x v="5"/>
  </r>
  <r>
    <x v="0"/>
    <x v="60"/>
    <x v="60"/>
    <x v="12"/>
    <x v="12"/>
    <x v="12"/>
    <x v="17"/>
    <x v="252"/>
    <x v="394"/>
    <x v="48"/>
    <x v="463"/>
    <x v="160"/>
    <x v="505"/>
    <x v="5"/>
  </r>
  <r>
    <x v="0"/>
    <x v="60"/>
    <x v="60"/>
    <x v="34"/>
    <x v="34"/>
    <x v="34"/>
    <x v="17"/>
    <x v="252"/>
    <x v="394"/>
    <x v="77"/>
    <x v="83"/>
    <x v="211"/>
    <x v="274"/>
    <x v="5"/>
  </r>
  <r>
    <x v="0"/>
    <x v="60"/>
    <x v="60"/>
    <x v="36"/>
    <x v="36"/>
    <x v="36"/>
    <x v="17"/>
    <x v="252"/>
    <x v="394"/>
    <x v="77"/>
    <x v="83"/>
    <x v="163"/>
    <x v="255"/>
    <x v="5"/>
  </r>
  <r>
    <x v="0"/>
    <x v="60"/>
    <x v="60"/>
    <x v="21"/>
    <x v="21"/>
    <x v="21"/>
    <x v="17"/>
    <x v="252"/>
    <x v="394"/>
    <x v="77"/>
    <x v="83"/>
    <x v="163"/>
    <x v="255"/>
    <x v="5"/>
  </r>
  <r>
    <x v="0"/>
    <x v="61"/>
    <x v="61"/>
    <x v="0"/>
    <x v="0"/>
    <x v="0"/>
    <x v="0"/>
    <x v="175"/>
    <x v="563"/>
    <x v="74"/>
    <x v="54"/>
    <x v="163"/>
    <x v="183"/>
    <x v="5"/>
  </r>
  <r>
    <x v="0"/>
    <x v="61"/>
    <x v="61"/>
    <x v="30"/>
    <x v="30"/>
    <x v="30"/>
    <x v="1"/>
    <x v="261"/>
    <x v="564"/>
    <x v="31"/>
    <x v="575"/>
    <x v="160"/>
    <x v="186"/>
    <x v="5"/>
  </r>
  <r>
    <x v="0"/>
    <x v="61"/>
    <x v="61"/>
    <x v="6"/>
    <x v="6"/>
    <x v="6"/>
    <x v="2"/>
    <x v="267"/>
    <x v="565"/>
    <x v="50"/>
    <x v="576"/>
    <x v="190"/>
    <x v="526"/>
    <x v="5"/>
  </r>
  <r>
    <x v="0"/>
    <x v="61"/>
    <x v="61"/>
    <x v="1"/>
    <x v="1"/>
    <x v="1"/>
    <x v="3"/>
    <x v="246"/>
    <x v="517"/>
    <x v="58"/>
    <x v="577"/>
    <x v="160"/>
    <x v="186"/>
    <x v="5"/>
  </r>
  <r>
    <x v="0"/>
    <x v="61"/>
    <x v="61"/>
    <x v="3"/>
    <x v="3"/>
    <x v="3"/>
    <x v="4"/>
    <x v="264"/>
    <x v="566"/>
    <x v="50"/>
    <x v="576"/>
    <x v="209"/>
    <x v="126"/>
    <x v="5"/>
  </r>
  <r>
    <x v="0"/>
    <x v="61"/>
    <x v="61"/>
    <x v="28"/>
    <x v="28"/>
    <x v="28"/>
    <x v="5"/>
    <x v="247"/>
    <x v="519"/>
    <x v="51"/>
    <x v="554"/>
    <x v="209"/>
    <x v="126"/>
    <x v="5"/>
  </r>
  <r>
    <x v="0"/>
    <x v="61"/>
    <x v="61"/>
    <x v="2"/>
    <x v="2"/>
    <x v="2"/>
    <x v="6"/>
    <x v="249"/>
    <x v="238"/>
    <x v="51"/>
    <x v="554"/>
    <x v="211"/>
    <x v="274"/>
    <x v="5"/>
  </r>
  <r>
    <x v="0"/>
    <x v="61"/>
    <x v="61"/>
    <x v="4"/>
    <x v="4"/>
    <x v="4"/>
    <x v="7"/>
    <x v="250"/>
    <x v="9"/>
    <x v="48"/>
    <x v="234"/>
    <x v="209"/>
    <x v="126"/>
    <x v="5"/>
  </r>
  <r>
    <x v="0"/>
    <x v="61"/>
    <x v="61"/>
    <x v="8"/>
    <x v="8"/>
    <x v="8"/>
    <x v="7"/>
    <x v="250"/>
    <x v="9"/>
    <x v="77"/>
    <x v="83"/>
    <x v="132"/>
    <x v="485"/>
    <x v="5"/>
  </r>
  <r>
    <x v="0"/>
    <x v="61"/>
    <x v="61"/>
    <x v="18"/>
    <x v="18"/>
    <x v="18"/>
    <x v="7"/>
    <x v="250"/>
    <x v="9"/>
    <x v="64"/>
    <x v="64"/>
    <x v="163"/>
    <x v="183"/>
    <x v="5"/>
  </r>
  <r>
    <x v="0"/>
    <x v="61"/>
    <x v="61"/>
    <x v="11"/>
    <x v="11"/>
    <x v="11"/>
    <x v="7"/>
    <x v="250"/>
    <x v="9"/>
    <x v="52"/>
    <x v="319"/>
    <x v="160"/>
    <x v="186"/>
    <x v="5"/>
  </r>
  <r>
    <x v="0"/>
    <x v="61"/>
    <x v="61"/>
    <x v="36"/>
    <x v="36"/>
    <x v="36"/>
    <x v="7"/>
    <x v="250"/>
    <x v="9"/>
    <x v="77"/>
    <x v="83"/>
    <x v="209"/>
    <x v="126"/>
    <x v="5"/>
  </r>
  <r>
    <x v="0"/>
    <x v="61"/>
    <x v="61"/>
    <x v="31"/>
    <x v="31"/>
    <x v="31"/>
    <x v="12"/>
    <x v="251"/>
    <x v="32"/>
    <x v="48"/>
    <x v="234"/>
    <x v="163"/>
    <x v="183"/>
    <x v="5"/>
  </r>
  <r>
    <x v="0"/>
    <x v="61"/>
    <x v="61"/>
    <x v="42"/>
    <x v="42"/>
    <x v="42"/>
    <x v="13"/>
    <x v="252"/>
    <x v="208"/>
    <x v="77"/>
    <x v="83"/>
    <x v="163"/>
    <x v="183"/>
    <x v="5"/>
  </r>
  <r>
    <x v="0"/>
    <x v="61"/>
    <x v="61"/>
    <x v="23"/>
    <x v="23"/>
    <x v="23"/>
    <x v="13"/>
    <x v="252"/>
    <x v="208"/>
    <x v="77"/>
    <x v="83"/>
    <x v="163"/>
    <x v="183"/>
    <x v="5"/>
  </r>
  <r>
    <x v="0"/>
    <x v="61"/>
    <x v="61"/>
    <x v="12"/>
    <x v="12"/>
    <x v="12"/>
    <x v="13"/>
    <x v="252"/>
    <x v="208"/>
    <x v="48"/>
    <x v="234"/>
    <x v="211"/>
    <x v="274"/>
    <x v="5"/>
  </r>
  <r>
    <x v="0"/>
    <x v="61"/>
    <x v="61"/>
    <x v="14"/>
    <x v="14"/>
    <x v="14"/>
    <x v="13"/>
    <x v="252"/>
    <x v="208"/>
    <x v="77"/>
    <x v="83"/>
    <x v="163"/>
    <x v="183"/>
    <x v="5"/>
  </r>
  <r>
    <x v="0"/>
    <x v="61"/>
    <x v="61"/>
    <x v="29"/>
    <x v="29"/>
    <x v="29"/>
    <x v="13"/>
    <x v="252"/>
    <x v="208"/>
    <x v="64"/>
    <x v="64"/>
    <x v="211"/>
    <x v="274"/>
    <x v="5"/>
  </r>
  <r>
    <x v="0"/>
    <x v="61"/>
    <x v="61"/>
    <x v="5"/>
    <x v="5"/>
    <x v="5"/>
    <x v="18"/>
    <x v="287"/>
    <x v="567"/>
    <x v="77"/>
    <x v="83"/>
    <x v="160"/>
    <x v="186"/>
    <x v="5"/>
  </r>
  <r>
    <x v="0"/>
    <x v="61"/>
    <x v="61"/>
    <x v="32"/>
    <x v="32"/>
    <x v="32"/>
    <x v="18"/>
    <x v="287"/>
    <x v="567"/>
    <x v="77"/>
    <x v="83"/>
    <x v="160"/>
    <x v="186"/>
    <x v="5"/>
  </r>
  <r>
    <x v="0"/>
    <x v="61"/>
    <x v="61"/>
    <x v="41"/>
    <x v="41"/>
    <x v="41"/>
    <x v="18"/>
    <x v="287"/>
    <x v="567"/>
    <x v="77"/>
    <x v="83"/>
    <x v="211"/>
    <x v="274"/>
    <x v="5"/>
  </r>
  <r>
    <x v="0"/>
    <x v="61"/>
    <x v="61"/>
    <x v="25"/>
    <x v="25"/>
    <x v="25"/>
    <x v="18"/>
    <x v="287"/>
    <x v="567"/>
    <x v="77"/>
    <x v="83"/>
    <x v="160"/>
    <x v="186"/>
    <x v="5"/>
  </r>
  <r>
    <x v="0"/>
    <x v="61"/>
    <x v="61"/>
    <x v="17"/>
    <x v="17"/>
    <x v="17"/>
    <x v="18"/>
    <x v="287"/>
    <x v="567"/>
    <x v="48"/>
    <x v="234"/>
    <x v="211"/>
    <x v="274"/>
    <x v="5"/>
  </r>
  <r>
    <x v="0"/>
    <x v="61"/>
    <x v="61"/>
    <x v="16"/>
    <x v="16"/>
    <x v="16"/>
    <x v="18"/>
    <x v="287"/>
    <x v="567"/>
    <x v="77"/>
    <x v="83"/>
    <x v="160"/>
    <x v="186"/>
    <x v="5"/>
  </r>
  <r>
    <x v="0"/>
    <x v="61"/>
    <x v="61"/>
    <x v="53"/>
    <x v="53"/>
    <x v="53"/>
    <x v="18"/>
    <x v="287"/>
    <x v="567"/>
    <x v="77"/>
    <x v="83"/>
    <x v="160"/>
    <x v="186"/>
    <x v="5"/>
  </r>
  <r>
    <x v="0"/>
    <x v="61"/>
    <x v="61"/>
    <x v="24"/>
    <x v="24"/>
    <x v="24"/>
    <x v="18"/>
    <x v="287"/>
    <x v="567"/>
    <x v="77"/>
    <x v="83"/>
    <x v="160"/>
    <x v="186"/>
    <x v="5"/>
  </r>
  <r>
    <x v="0"/>
    <x v="61"/>
    <x v="61"/>
    <x v="9"/>
    <x v="9"/>
    <x v="9"/>
    <x v="18"/>
    <x v="287"/>
    <x v="567"/>
    <x v="77"/>
    <x v="83"/>
    <x v="211"/>
    <x v="274"/>
    <x v="5"/>
  </r>
  <r>
    <x v="0"/>
    <x v="61"/>
    <x v="61"/>
    <x v="7"/>
    <x v="7"/>
    <x v="7"/>
    <x v="18"/>
    <x v="287"/>
    <x v="567"/>
    <x v="48"/>
    <x v="234"/>
    <x v="211"/>
    <x v="274"/>
    <x v="5"/>
  </r>
  <r>
    <x v="0"/>
    <x v="62"/>
    <x v="62"/>
    <x v="0"/>
    <x v="0"/>
    <x v="0"/>
    <x v="0"/>
    <x v="163"/>
    <x v="568"/>
    <x v="74"/>
    <x v="578"/>
    <x v="209"/>
    <x v="527"/>
    <x v="5"/>
  </r>
  <r>
    <x v="0"/>
    <x v="62"/>
    <x v="62"/>
    <x v="1"/>
    <x v="1"/>
    <x v="1"/>
    <x v="1"/>
    <x v="245"/>
    <x v="569"/>
    <x v="61"/>
    <x v="579"/>
    <x v="211"/>
    <x v="274"/>
    <x v="5"/>
  </r>
  <r>
    <x v="0"/>
    <x v="62"/>
    <x v="62"/>
    <x v="3"/>
    <x v="3"/>
    <x v="3"/>
    <x v="2"/>
    <x v="258"/>
    <x v="505"/>
    <x v="70"/>
    <x v="580"/>
    <x v="206"/>
    <x v="528"/>
    <x v="5"/>
  </r>
  <r>
    <x v="0"/>
    <x v="62"/>
    <x v="62"/>
    <x v="4"/>
    <x v="4"/>
    <x v="4"/>
    <x v="3"/>
    <x v="246"/>
    <x v="570"/>
    <x v="52"/>
    <x v="474"/>
    <x v="215"/>
    <x v="529"/>
    <x v="5"/>
  </r>
  <r>
    <x v="0"/>
    <x v="62"/>
    <x v="62"/>
    <x v="9"/>
    <x v="9"/>
    <x v="9"/>
    <x v="4"/>
    <x v="269"/>
    <x v="510"/>
    <x v="82"/>
    <x v="137"/>
    <x v="211"/>
    <x v="274"/>
    <x v="5"/>
  </r>
  <r>
    <x v="0"/>
    <x v="62"/>
    <x v="62"/>
    <x v="2"/>
    <x v="2"/>
    <x v="2"/>
    <x v="5"/>
    <x v="247"/>
    <x v="511"/>
    <x v="82"/>
    <x v="137"/>
    <x v="160"/>
    <x v="108"/>
    <x v="5"/>
  </r>
  <r>
    <x v="0"/>
    <x v="62"/>
    <x v="62"/>
    <x v="5"/>
    <x v="5"/>
    <x v="5"/>
    <x v="6"/>
    <x v="248"/>
    <x v="132"/>
    <x v="64"/>
    <x v="207"/>
    <x v="132"/>
    <x v="457"/>
    <x v="5"/>
  </r>
  <r>
    <x v="0"/>
    <x v="62"/>
    <x v="62"/>
    <x v="13"/>
    <x v="13"/>
    <x v="13"/>
    <x v="6"/>
    <x v="248"/>
    <x v="132"/>
    <x v="48"/>
    <x v="67"/>
    <x v="210"/>
    <x v="435"/>
    <x v="5"/>
  </r>
  <r>
    <x v="0"/>
    <x v="62"/>
    <x v="62"/>
    <x v="11"/>
    <x v="11"/>
    <x v="11"/>
    <x v="6"/>
    <x v="248"/>
    <x v="132"/>
    <x v="51"/>
    <x v="581"/>
    <x v="163"/>
    <x v="461"/>
    <x v="5"/>
  </r>
  <r>
    <x v="0"/>
    <x v="62"/>
    <x v="62"/>
    <x v="8"/>
    <x v="8"/>
    <x v="8"/>
    <x v="9"/>
    <x v="249"/>
    <x v="512"/>
    <x v="64"/>
    <x v="207"/>
    <x v="209"/>
    <x v="527"/>
    <x v="5"/>
  </r>
  <r>
    <x v="0"/>
    <x v="62"/>
    <x v="62"/>
    <x v="6"/>
    <x v="6"/>
    <x v="6"/>
    <x v="9"/>
    <x v="249"/>
    <x v="512"/>
    <x v="64"/>
    <x v="207"/>
    <x v="209"/>
    <x v="527"/>
    <x v="5"/>
  </r>
  <r>
    <x v="0"/>
    <x v="62"/>
    <x v="62"/>
    <x v="12"/>
    <x v="12"/>
    <x v="12"/>
    <x v="11"/>
    <x v="250"/>
    <x v="150"/>
    <x v="48"/>
    <x v="67"/>
    <x v="163"/>
    <x v="461"/>
    <x v="4"/>
  </r>
  <r>
    <x v="0"/>
    <x v="62"/>
    <x v="62"/>
    <x v="41"/>
    <x v="41"/>
    <x v="41"/>
    <x v="12"/>
    <x v="251"/>
    <x v="364"/>
    <x v="77"/>
    <x v="83"/>
    <x v="160"/>
    <x v="108"/>
    <x v="5"/>
  </r>
  <r>
    <x v="0"/>
    <x v="62"/>
    <x v="62"/>
    <x v="30"/>
    <x v="30"/>
    <x v="30"/>
    <x v="12"/>
    <x v="251"/>
    <x v="364"/>
    <x v="64"/>
    <x v="207"/>
    <x v="160"/>
    <x v="108"/>
    <x v="5"/>
  </r>
  <r>
    <x v="0"/>
    <x v="62"/>
    <x v="62"/>
    <x v="14"/>
    <x v="14"/>
    <x v="14"/>
    <x v="12"/>
    <x v="251"/>
    <x v="364"/>
    <x v="77"/>
    <x v="83"/>
    <x v="160"/>
    <x v="108"/>
    <x v="5"/>
  </r>
  <r>
    <x v="0"/>
    <x v="62"/>
    <x v="62"/>
    <x v="27"/>
    <x v="27"/>
    <x v="27"/>
    <x v="12"/>
    <x v="251"/>
    <x v="364"/>
    <x v="64"/>
    <x v="207"/>
    <x v="160"/>
    <x v="108"/>
    <x v="5"/>
  </r>
  <r>
    <x v="0"/>
    <x v="62"/>
    <x v="62"/>
    <x v="28"/>
    <x v="28"/>
    <x v="28"/>
    <x v="16"/>
    <x v="252"/>
    <x v="513"/>
    <x v="77"/>
    <x v="83"/>
    <x v="163"/>
    <x v="461"/>
    <x v="5"/>
  </r>
  <r>
    <x v="0"/>
    <x v="62"/>
    <x v="62"/>
    <x v="45"/>
    <x v="45"/>
    <x v="45"/>
    <x v="16"/>
    <x v="252"/>
    <x v="513"/>
    <x v="48"/>
    <x v="67"/>
    <x v="160"/>
    <x v="108"/>
    <x v="5"/>
  </r>
  <r>
    <x v="0"/>
    <x v="62"/>
    <x v="62"/>
    <x v="38"/>
    <x v="38"/>
    <x v="38"/>
    <x v="16"/>
    <x v="252"/>
    <x v="513"/>
    <x v="64"/>
    <x v="207"/>
    <x v="211"/>
    <x v="274"/>
    <x v="5"/>
  </r>
  <r>
    <x v="0"/>
    <x v="62"/>
    <x v="62"/>
    <x v="42"/>
    <x v="42"/>
    <x v="42"/>
    <x v="16"/>
    <x v="252"/>
    <x v="513"/>
    <x v="77"/>
    <x v="83"/>
    <x v="163"/>
    <x v="461"/>
    <x v="5"/>
  </r>
  <r>
    <x v="0"/>
    <x v="62"/>
    <x v="62"/>
    <x v="17"/>
    <x v="17"/>
    <x v="17"/>
    <x v="16"/>
    <x v="252"/>
    <x v="513"/>
    <x v="77"/>
    <x v="83"/>
    <x v="163"/>
    <x v="461"/>
    <x v="5"/>
  </r>
  <r>
    <x v="0"/>
    <x v="62"/>
    <x v="62"/>
    <x v="19"/>
    <x v="19"/>
    <x v="19"/>
    <x v="16"/>
    <x v="252"/>
    <x v="513"/>
    <x v="64"/>
    <x v="207"/>
    <x v="211"/>
    <x v="274"/>
    <x v="5"/>
  </r>
  <r>
    <x v="0"/>
    <x v="62"/>
    <x v="62"/>
    <x v="7"/>
    <x v="7"/>
    <x v="7"/>
    <x v="16"/>
    <x v="252"/>
    <x v="513"/>
    <x v="64"/>
    <x v="207"/>
    <x v="211"/>
    <x v="274"/>
    <x v="5"/>
  </r>
  <r>
    <x v="0"/>
    <x v="63"/>
    <x v="63"/>
    <x v="0"/>
    <x v="0"/>
    <x v="0"/>
    <x v="0"/>
    <x v="160"/>
    <x v="571"/>
    <x v="97"/>
    <x v="582"/>
    <x v="132"/>
    <x v="117"/>
    <x v="5"/>
  </r>
  <r>
    <x v="0"/>
    <x v="63"/>
    <x v="63"/>
    <x v="1"/>
    <x v="1"/>
    <x v="1"/>
    <x v="1"/>
    <x v="137"/>
    <x v="572"/>
    <x v="98"/>
    <x v="583"/>
    <x v="160"/>
    <x v="444"/>
    <x v="5"/>
  </r>
  <r>
    <x v="0"/>
    <x v="63"/>
    <x v="63"/>
    <x v="3"/>
    <x v="3"/>
    <x v="3"/>
    <x v="2"/>
    <x v="138"/>
    <x v="573"/>
    <x v="70"/>
    <x v="7"/>
    <x v="135"/>
    <x v="530"/>
    <x v="5"/>
  </r>
  <r>
    <x v="0"/>
    <x v="63"/>
    <x v="63"/>
    <x v="6"/>
    <x v="6"/>
    <x v="6"/>
    <x v="3"/>
    <x v="139"/>
    <x v="574"/>
    <x v="117"/>
    <x v="584"/>
    <x v="206"/>
    <x v="332"/>
    <x v="5"/>
  </r>
  <r>
    <x v="0"/>
    <x v="63"/>
    <x v="63"/>
    <x v="4"/>
    <x v="4"/>
    <x v="4"/>
    <x v="4"/>
    <x v="259"/>
    <x v="575"/>
    <x v="82"/>
    <x v="109"/>
    <x v="212"/>
    <x v="531"/>
    <x v="5"/>
  </r>
  <r>
    <x v="0"/>
    <x v="63"/>
    <x v="63"/>
    <x v="5"/>
    <x v="5"/>
    <x v="5"/>
    <x v="5"/>
    <x v="267"/>
    <x v="576"/>
    <x v="96"/>
    <x v="215"/>
    <x v="189"/>
    <x v="334"/>
    <x v="5"/>
  </r>
  <r>
    <x v="0"/>
    <x v="63"/>
    <x v="63"/>
    <x v="8"/>
    <x v="8"/>
    <x v="8"/>
    <x v="6"/>
    <x v="279"/>
    <x v="385"/>
    <x v="52"/>
    <x v="49"/>
    <x v="213"/>
    <x v="532"/>
    <x v="5"/>
  </r>
  <r>
    <x v="0"/>
    <x v="63"/>
    <x v="63"/>
    <x v="14"/>
    <x v="14"/>
    <x v="14"/>
    <x v="7"/>
    <x v="246"/>
    <x v="577"/>
    <x v="77"/>
    <x v="83"/>
    <x v="190"/>
    <x v="533"/>
    <x v="5"/>
  </r>
  <r>
    <x v="0"/>
    <x v="63"/>
    <x v="63"/>
    <x v="2"/>
    <x v="2"/>
    <x v="2"/>
    <x v="8"/>
    <x v="263"/>
    <x v="26"/>
    <x v="78"/>
    <x v="585"/>
    <x v="160"/>
    <x v="444"/>
    <x v="5"/>
  </r>
  <r>
    <x v="0"/>
    <x v="63"/>
    <x v="63"/>
    <x v="13"/>
    <x v="13"/>
    <x v="13"/>
    <x v="9"/>
    <x v="264"/>
    <x v="147"/>
    <x v="70"/>
    <x v="7"/>
    <x v="211"/>
    <x v="274"/>
    <x v="5"/>
  </r>
  <r>
    <x v="0"/>
    <x v="63"/>
    <x v="63"/>
    <x v="30"/>
    <x v="30"/>
    <x v="30"/>
    <x v="10"/>
    <x v="268"/>
    <x v="121"/>
    <x v="53"/>
    <x v="398"/>
    <x v="160"/>
    <x v="444"/>
    <x v="5"/>
  </r>
  <r>
    <x v="0"/>
    <x v="63"/>
    <x v="63"/>
    <x v="18"/>
    <x v="18"/>
    <x v="18"/>
    <x v="11"/>
    <x v="247"/>
    <x v="49"/>
    <x v="64"/>
    <x v="234"/>
    <x v="210"/>
    <x v="443"/>
    <x v="5"/>
  </r>
  <r>
    <x v="0"/>
    <x v="63"/>
    <x v="63"/>
    <x v="7"/>
    <x v="7"/>
    <x v="7"/>
    <x v="11"/>
    <x v="247"/>
    <x v="49"/>
    <x v="65"/>
    <x v="586"/>
    <x v="160"/>
    <x v="444"/>
    <x v="5"/>
  </r>
  <r>
    <x v="0"/>
    <x v="63"/>
    <x v="63"/>
    <x v="28"/>
    <x v="28"/>
    <x v="28"/>
    <x v="13"/>
    <x v="248"/>
    <x v="33"/>
    <x v="52"/>
    <x v="49"/>
    <x v="209"/>
    <x v="534"/>
    <x v="5"/>
  </r>
  <r>
    <x v="0"/>
    <x v="63"/>
    <x v="63"/>
    <x v="9"/>
    <x v="9"/>
    <x v="9"/>
    <x v="13"/>
    <x v="248"/>
    <x v="33"/>
    <x v="64"/>
    <x v="234"/>
    <x v="211"/>
    <x v="274"/>
    <x v="5"/>
  </r>
  <r>
    <x v="0"/>
    <x v="63"/>
    <x v="63"/>
    <x v="12"/>
    <x v="12"/>
    <x v="12"/>
    <x v="15"/>
    <x v="250"/>
    <x v="115"/>
    <x v="48"/>
    <x v="82"/>
    <x v="160"/>
    <x v="444"/>
    <x v="5"/>
  </r>
  <r>
    <x v="0"/>
    <x v="63"/>
    <x v="63"/>
    <x v="29"/>
    <x v="29"/>
    <x v="29"/>
    <x v="15"/>
    <x v="250"/>
    <x v="115"/>
    <x v="51"/>
    <x v="587"/>
    <x v="211"/>
    <x v="274"/>
    <x v="5"/>
  </r>
  <r>
    <x v="0"/>
    <x v="63"/>
    <x v="63"/>
    <x v="45"/>
    <x v="45"/>
    <x v="45"/>
    <x v="17"/>
    <x v="251"/>
    <x v="578"/>
    <x v="64"/>
    <x v="234"/>
    <x v="160"/>
    <x v="444"/>
    <x v="5"/>
  </r>
  <r>
    <x v="0"/>
    <x v="63"/>
    <x v="63"/>
    <x v="48"/>
    <x v="48"/>
    <x v="48"/>
    <x v="17"/>
    <x v="251"/>
    <x v="578"/>
    <x v="77"/>
    <x v="83"/>
    <x v="163"/>
    <x v="336"/>
    <x v="4"/>
  </r>
  <r>
    <x v="0"/>
    <x v="63"/>
    <x v="63"/>
    <x v="11"/>
    <x v="11"/>
    <x v="11"/>
    <x v="17"/>
    <x v="251"/>
    <x v="578"/>
    <x v="64"/>
    <x v="234"/>
    <x v="160"/>
    <x v="444"/>
    <x v="5"/>
  </r>
  <r>
    <x v="0"/>
    <x v="63"/>
    <x v="63"/>
    <x v="19"/>
    <x v="19"/>
    <x v="19"/>
    <x v="17"/>
    <x v="251"/>
    <x v="578"/>
    <x v="52"/>
    <x v="49"/>
    <x v="211"/>
    <x v="274"/>
    <x v="5"/>
  </r>
  <r>
    <x v="0"/>
    <x v="63"/>
    <x v="63"/>
    <x v="27"/>
    <x v="27"/>
    <x v="27"/>
    <x v="17"/>
    <x v="251"/>
    <x v="578"/>
    <x v="52"/>
    <x v="49"/>
    <x v="211"/>
    <x v="274"/>
    <x v="5"/>
  </r>
  <r>
    <x v="0"/>
    <x v="63"/>
    <x v="63"/>
    <x v="21"/>
    <x v="21"/>
    <x v="21"/>
    <x v="17"/>
    <x v="251"/>
    <x v="578"/>
    <x v="77"/>
    <x v="83"/>
    <x v="209"/>
    <x v="534"/>
    <x v="5"/>
  </r>
  <r>
    <x v="0"/>
    <x v="64"/>
    <x v="64"/>
    <x v="30"/>
    <x v="30"/>
    <x v="30"/>
    <x v="0"/>
    <x v="268"/>
    <x v="579"/>
    <x v="82"/>
    <x v="588"/>
    <x v="209"/>
    <x v="535"/>
    <x v="5"/>
  </r>
  <r>
    <x v="0"/>
    <x v="64"/>
    <x v="64"/>
    <x v="6"/>
    <x v="6"/>
    <x v="6"/>
    <x v="1"/>
    <x v="248"/>
    <x v="580"/>
    <x v="65"/>
    <x v="589"/>
    <x v="160"/>
    <x v="457"/>
    <x v="5"/>
  </r>
  <r>
    <x v="0"/>
    <x v="64"/>
    <x v="64"/>
    <x v="4"/>
    <x v="4"/>
    <x v="4"/>
    <x v="2"/>
    <x v="250"/>
    <x v="383"/>
    <x v="52"/>
    <x v="590"/>
    <x v="160"/>
    <x v="457"/>
    <x v="5"/>
  </r>
  <r>
    <x v="0"/>
    <x v="64"/>
    <x v="64"/>
    <x v="28"/>
    <x v="28"/>
    <x v="28"/>
    <x v="2"/>
    <x v="250"/>
    <x v="383"/>
    <x v="51"/>
    <x v="591"/>
    <x v="211"/>
    <x v="274"/>
    <x v="5"/>
  </r>
  <r>
    <x v="0"/>
    <x v="64"/>
    <x v="64"/>
    <x v="1"/>
    <x v="1"/>
    <x v="1"/>
    <x v="2"/>
    <x v="250"/>
    <x v="383"/>
    <x v="51"/>
    <x v="591"/>
    <x v="211"/>
    <x v="274"/>
    <x v="5"/>
  </r>
  <r>
    <x v="0"/>
    <x v="64"/>
    <x v="64"/>
    <x v="3"/>
    <x v="3"/>
    <x v="3"/>
    <x v="5"/>
    <x v="251"/>
    <x v="581"/>
    <x v="64"/>
    <x v="592"/>
    <x v="160"/>
    <x v="457"/>
    <x v="5"/>
  </r>
  <r>
    <x v="0"/>
    <x v="64"/>
    <x v="64"/>
    <x v="0"/>
    <x v="0"/>
    <x v="0"/>
    <x v="6"/>
    <x v="252"/>
    <x v="582"/>
    <x v="64"/>
    <x v="592"/>
    <x v="211"/>
    <x v="274"/>
    <x v="5"/>
  </r>
  <r>
    <x v="0"/>
    <x v="64"/>
    <x v="64"/>
    <x v="5"/>
    <x v="5"/>
    <x v="5"/>
    <x v="7"/>
    <x v="287"/>
    <x v="136"/>
    <x v="48"/>
    <x v="151"/>
    <x v="211"/>
    <x v="274"/>
    <x v="5"/>
  </r>
  <r>
    <x v="0"/>
    <x v="64"/>
    <x v="64"/>
    <x v="8"/>
    <x v="8"/>
    <x v="8"/>
    <x v="7"/>
    <x v="287"/>
    <x v="136"/>
    <x v="77"/>
    <x v="83"/>
    <x v="160"/>
    <x v="457"/>
    <x v="5"/>
  </r>
  <r>
    <x v="0"/>
    <x v="64"/>
    <x v="64"/>
    <x v="41"/>
    <x v="41"/>
    <x v="41"/>
    <x v="7"/>
    <x v="287"/>
    <x v="136"/>
    <x v="77"/>
    <x v="83"/>
    <x v="211"/>
    <x v="274"/>
    <x v="5"/>
  </r>
  <r>
    <x v="0"/>
    <x v="64"/>
    <x v="64"/>
    <x v="25"/>
    <x v="25"/>
    <x v="25"/>
    <x v="7"/>
    <x v="287"/>
    <x v="136"/>
    <x v="77"/>
    <x v="83"/>
    <x v="160"/>
    <x v="457"/>
    <x v="5"/>
  </r>
  <r>
    <x v="0"/>
    <x v="64"/>
    <x v="64"/>
    <x v="18"/>
    <x v="18"/>
    <x v="18"/>
    <x v="7"/>
    <x v="287"/>
    <x v="136"/>
    <x v="77"/>
    <x v="83"/>
    <x v="160"/>
    <x v="457"/>
    <x v="5"/>
  </r>
  <r>
    <x v="0"/>
    <x v="64"/>
    <x v="64"/>
    <x v="20"/>
    <x v="20"/>
    <x v="20"/>
    <x v="7"/>
    <x v="287"/>
    <x v="136"/>
    <x v="77"/>
    <x v="83"/>
    <x v="160"/>
    <x v="457"/>
    <x v="5"/>
  </r>
  <r>
    <x v="0"/>
    <x v="64"/>
    <x v="64"/>
    <x v="43"/>
    <x v="43"/>
    <x v="43"/>
    <x v="7"/>
    <x v="287"/>
    <x v="136"/>
    <x v="77"/>
    <x v="83"/>
    <x v="160"/>
    <x v="457"/>
    <x v="5"/>
  </r>
  <r>
    <x v="0"/>
    <x v="64"/>
    <x v="64"/>
    <x v="58"/>
    <x v="58"/>
    <x v="58"/>
    <x v="7"/>
    <x v="287"/>
    <x v="136"/>
    <x v="77"/>
    <x v="83"/>
    <x v="160"/>
    <x v="457"/>
    <x v="5"/>
  </r>
  <r>
    <x v="0"/>
    <x v="64"/>
    <x v="64"/>
    <x v="19"/>
    <x v="19"/>
    <x v="19"/>
    <x v="7"/>
    <x v="287"/>
    <x v="136"/>
    <x v="77"/>
    <x v="83"/>
    <x v="160"/>
    <x v="457"/>
    <x v="5"/>
  </r>
  <r>
    <x v="0"/>
    <x v="64"/>
    <x v="64"/>
    <x v="9"/>
    <x v="9"/>
    <x v="9"/>
    <x v="7"/>
    <x v="287"/>
    <x v="136"/>
    <x v="48"/>
    <x v="151"/>
    <x v="211"/>
    <x v="274"/>
    <x v="5"/>
  </r>
  <r>
    <x v="0"/>
    <x v="64"/>
    <x v="64"/>
    <x v="7"/>
    <x v="7"/>
    <x v="7"/>
    <x v="7"/>
    <x v="287"/>
    <x v="136"/>
    <x v="48"/>
    <x v="151"/>
    <x v="211"/>
    <x v="274"/>
    <x v="5"/>
  </r>
  <r>
    <x v="0"/>
    <x v="64"/>
    <x v="64"/>
    <x v="14"/>
    <x v="14"/>
    <x v="14"/>
    <x v="7"/>
    <x v="287"/>
    <x v="136"/>
    <x v="77"/>
    <x v="83"/>
    <x v="160"/>
    <x v="457"/>
    <x v="5"/>
  </r>
  <r>
    <x v="0"/>
    <x v="65"/>
    <x v="65"/>
    <x v="0"/>
    <x v="0"/>
    <x v="0"/>
    <x v="0"/>
    <x v="279"/>
    <x v="583"/>
    <x v="38"/>
    <x v="502"/>
    <x v="160"/>
    <x v="461"/>
    <x v="5"/>
  </r>
  <r>
    <x v="0"/>
    <x v="65"/>
    <x v="65"/>
    <x v="6"/>
    <x v="6"/>
    <x v="6"/>
    <x v="1"/>
    <x v="263"/>
    <x v="584"/>
    <x v="78"/>
    <x v="593"/>
    <x v="163"/>
    <x v="457"/>
    <x v="5"/>
  </r>
  <r>
    <x v="0"/>
    <x v="65"/>
    <x v="65"/>
    <x v="3"/>
    <x v="3"/>
    <x v="3"/>
    <x v="2"/>
    <x v="247"/>
    <x v="73"/>
    <x v="82"/>
    <x v="594"/>
    <x v="160"/>
    <x v="461"/>
    <x v="5"/>
  </r>
  <r>
    <x v="0"/>
    <x v="65"/>
    <x v="65"/>
    <x v="1"/>
    <x v="1"/>
    <x v="1"/>
    <x v="3"/>
    <x v="248"/>
    <x v="540"/>
    <x v="82"/>
    <x v="594"/>
    <x v="211"/>
    <x v="274"/>
    <x v="5"/>
  </r>
  <r>
    <x v="0"/>
    <x v="65"/>
    <x v="65"/>
    <x v="4"/>
    <x v="4"/>
    <x v="4"/>
    <x v="4"/>
    <x v="249"/>
    <x v="523"/>
    <x v="48"/>
    <x v="595"/>
    <x v="132"/>
    <x v="528"/>
    <x v="5"/>
  </r>
  <r>
    <x v="0"/>
    <x v="65"/>
    <x v="65"/>
    <x v="8"/>
    <x v="8"/>
    <x v="8"/>
    <x v="4"/>
    <x v="249"/>
    <x v="523"/>
    <x v="52"/>
    <x v="596"/>
    <x v="163"/>
    <x v="457"/>
    <x v="5"/>
  </r>
  <r>
    <x v="0"/>
    <x v="65"/>
    <x v="65"/>
    <x v="28"/>
    <x v="28"/>
    <x v="28"/>
    <x v="6"/>
    <x v="250"/>
    <x v="271"/>
    <x v="77"/>
    <x v="83"/>
    <x v="132"/>
    <x v="528"/>
    <x v="5"/>
  </r>
  <r>
    <x v="0"/>
    <x v="65"/>
    <x v="65"/>
    <x v="18"/>
    <x v="18"/>
    <x v="18"/>
    <x v="7"/>
    <x v="251"/>
    <x v="295"/>
    <x v="64"/>
    <x v="405"/>
    <x v="160"/>
    <x v="461"/>
    <x v="5"/>
  </r>
  <r>
    <x v="0"/>
    <x v="65"/>
    <x v="65"/>
    <x v="2"/>
    <x v="2"/>
    <x v="2"/>
    <x v="7"/>
    <x v="251"/>
    <x v="295"/>
    <x v="77"/>
    <x v="83"/>
    <x v="209"/>
    <x v="177"/>
    <x v="5"/>
  </r>
  <r>
    <x v="0"/>
    <x v="65"/>
    <x v="65"/>
    <x v="5"/>
    <x v="5"/>
    <x v="5"/>
    <x v="9"/>
    <x v="252"/>
    <x v="49"/>
    <x v="64"/>
    <x v="405"/>
    <x v="211"/>
    <x v="274"/>
    <x v="5"/>
  </r>
  <r>
    <x v="0"/>
    <x v="65"/>
    <x v="65"/>
    <x v="41"/>
    <x v="41"/>
    <x v="41"/>
    <x v="9"/>
    <x v="252"/>
    <x v="49"/>
    <x v="77"/>
    <x v="83"/>
    <x v="160"/>
    <x v="461"/>
    <x v="5"/>
  </r>
  <r>
    <x v="0"/>
    <x v="65"/>
    <x v="65"/>
    <x v="13"/>
    <x v="13"/>
    <x v="13"/>
    <x v="9"/>
    <x v="252"/>
    <x v="49"/>
    <x v="48"/>
    <x v="595"/>
    <x v="160"/>
    <x v="461"/>
    <x v="5"/>
  </r>
  <r>
    <x v="0"/>
    <x v="65"/>
    <x v="65"/>
    <x v="11"/>
    <x v="11"/>
    <x v="11"/>
    <x v="9"/>
    <x v="252"/>
    <x v="49"/>
    <x v="64"/>
    <x v="405"/>
    <x v="211"/>
    <x v="274"/>
    <x v="5"/>
  </r>
  <r>
    <x v="0"/>
    <x v="65"/>
    <x v="65"/>
    <x v="19"/>
    <x v="19"/>
    <x v="19"/>
    <x v="9"/>
    <x v="252"/>
    <x v="49"/>
    <x v="77"/>
    <x v="83"/>
    <x v="163"/>
    <x v="457"/>
    <x v="5"/>
  </r>
  <r>
    <x v="0"/>
    <x v="65"/>
    <x v="65"/>
    <x v="38"/>
    <x v="38"/>
    <x v="38"/>
    <x v="14"/>
    <x v="287"/>
    <x v="326"/>
    <x v="77"/>
    <x v="83"/>
    <x v="160"/>
    <x v="461"/>
    <x v="5"/>
  </r>
  <r>
    <x v="0"/>
    <x v="65"/>
    <x v="65"/>
    <x v="59"/>
    <x v="59"/>
    <x v="59"/>
    <x v="14"/>
    <x v="287"/>
    <x v="326"/>
    <x v="48"/>
    <x v="595"/>
    <x v="211"/>
    <x v="274"/>
    <x v="5"/>
  </r>
  <r>
    <x v="0"/>
    <x v="65"/>
    <x v="65"/>
    <x v="52"/>
    <x v="52"/>
    <x v="52"/>
    <x v="14"/>
    <x v="287"/>
    <x v="326"/>
    <x v="77"/>
    <x v="83"/>
    <x v="160"/>
    <x v="461"/>
    <x v="5"/>
  </r>
  <r>
    <x v="0"/>
    <x v="65"/>
    <x v="65"/>
    <x v="25"/>
    <x v="25"/>
    <x v="25"/>
    <x v="14"/>
    <x v="287"/>
    <x v="326"/>
    <x v="77"/>
    <x v="83"/>
    <x v="160"/>
    <x v="461"/>
    <x v="5"/>
  </r>
  <r>
    <x v="0"/>
    <x v="65"/>
    <x v="65"/>
    <x v="35"/>
    <x v="35"/>
    <x v="35"/>
    <x v="14"/>
    <x v="287"/>
    <x v="326"/>
    <x v="77"/>
    <x v="83"/>
    <x v="160"/>
    <x v="461"/>
    <x v="5"/>
  </r>
  <r>
    <x v="0"/>
    <x v="65"/>
    <x v="65"/>
    <x v="48"/>
    <x v="48"/>
    <x v="48"/>
    <x v="14"/>
    <x v="287"/>
    <x v="326"/>
    <x v="77"/>
    <x v="83"/>
    <x v="160"/>
    <x v="461"/>
    <x v="5"/>
  </r>
  <r>
    <x v="0"/>
    <x v="65"/>
    <x v="65"/>
    <x v="12"/>
    <x v="12"/>
    <x v="12"/>
    <x v="14"/>
    <x v="287"/>
    <x v="326"/>
    <x v="48"/>
    <x v="595"/>
    <x v="211"/>
    <x v="274"/>
    <x v="5"/>
  </r>
  <r>
    <x v="0"/>
    <x v="65"/>
    <x v="65"/>
    <x v="30"/>
    <x v="30"/>
    <x v="30"/>
    <x v="14"/>
    <x v="287"/>
    <x v="326"/>
    <x v="48"/>
    <x v="595"/>
    <x v="211"/>
    <x v="274"/>
    <x v="5"/>
  </r>
  <r>
    <x v="0"/>
    <x v="65"/>
    <x v="65"/>
    <x v="34"/>
    <x v="34"/>
    <x v="34"/>
    <x v="14"/>
    <x v="287"/>
    <x v="326"/>
    <x v="48"/>
    <x v="595"/>
    <x v="211"/>
    <x v="274"/>
    <x v="5"/>
  </r>
  <r>
    <x v="0"/>
    <x v="65"/>
    <x v="65"/>
    <x v="9"/>
    <x v="9"/>
    <x v="9"/>
    <x v="14"/>
    <x v="287"/>
    <x v="326"/>
    <x v="48"/>
    <x v="595"/>
    <x v="211"/>
    <x v="274"/>
    <x v="5"/>
  </r>
  <r>
    <x v="0"/>
    <x v="65"/>
    <x v="65"/>
    <x v="7"/>
    <x v="7"/>
    <x v="7"/>
    <x v="14"/>
    <x v="287"/>
    <x v="326"/>
    <x v="48"/>
    <x v="595"/>
    <x v="211"/>
    <x v="274"/>
    <x v="5"/>
  </r>
  <r>
    <x v="0"/>
    <x v="65"/>
    <x v="65"/>
    <x v="14"/>
    <x v="14"/>
    <x v="14"/>
    <x v="14"/>
    <x v="287"/>
    <x v="326"/>
    <x v="77"/>
    <x v="83"/>
    <x v="211"/>
    <x v="274"/>
    <x v="5"/>
  </r>
  <r>
    <x v="0"/>
    <x v="65"/>
    <x v="65"/>
    <x v="36"/>
    <x v="36"/>
    <x v="36"/>
    <x v="14"/>
    <x v="287"/>
    <x v="326"/>
    <x v="77"/>
    <x v="83"/>
    <x v="211"/>
    <x v="274"/>
    <x v="5"/>
  </r>
  <r>
    <x v="0"/>
    <x v="65"/>
    <x v="65"/>
    <x v="27"/>
    <x v="27"/>
    <x v="27"/>
    <x v="14"/>
    <x v="287"/>
    <x v="326"/>
    <x v="77"/>
    <x v="83"/>
    <x v="160"/>
    <x v="461"/>
    <x v="5"/>
  </r>
  <r>
    <x v="0"/>
    <x v="66"/>
    <x v="66"/>
    <x v="6"/>
    <x v="6"/>
    <x v="6"/>
    <x v="0"/>
    <x v="268"/>
    <x v="585"/>
    <x v="53"/>
    <x v="597"/>
    <x v="163"/>
    <x v="474"/>
    <x v="5"/>
  </r>
  <r>
    <x v="0"/>
    <x v="66"/>
    <x v="66"/>
    <x v="3"/>
    <x v="3"/>
    <x v="3"/>
    <x v="1"/>
    <x v="269"/>
    <x v="586"/>
    <x v="51"/>
    <x v="214"/>
    <x v="132"/>
    <x v="413"/>
    <x v="5"/>
  </r>
  <r>
    <x v="0"/>
    <x v="66"/>
    <x v="66"/>
    <x v="0"/>
    <x v="0"/>
    <x v="0"/>
    <x v="2"/>
    <x v="248"/>
    <x v="587"/>
    <x v="51"/>
    <x v="214"/>
    <x v="163"/>
    <x v="474"/>
    <x v="5"/>
  </r>
  <r>
    <x v="0"/>
    <x v="66"/>
    <x v="66"/>
    <x v="1"/>
    <x v="1"/>
    <x v="1"/>
    <x v="2"/>
    <x v="248"/>
    <x v="587"/>
    <x v="82"/>
    <x v="598"/>
    <x v="211"/>
    <x v="274"/>
    <x v="5"/>
  </r>
  <r>
    <x v="0"/>
    <x v="66"/>
    <x v="66"/>
    <x v="2"/>
    <x v="2"/>
    <x v="2"/>
    <x v="4"/>
    <x v="249"/>
    <x v="588"/>
    <x v="65"/>
    <x v="53"/>
    <x v="211"/>
    <x v="274"/>
    <x v="5"/>
  </r>
  <r>
    <x v="0"/>
    <x v="66"/>
    <x v="66"/>
    <x v="5"/>
    <x v="5"/>
    <x v="5"/>
    <x v="5"/>
    <x v="250"/>
    <x v="589"/>
    <x v="64"/>
    <x v="278"/>
    <x v="163"/>
    <x v="474"/>
    <x v="5"/>
  </r>
  <r>
    <x v="0"/>
    <x v="66"/>
    <x v="66"/>
    <x v="23"/>
    <x v="23"/>
    <x v="23"/>
    <x v="5"/>
    <x v="250"/>
    <x v="589"/>
    <x v="64"/>
    <x v="278"/>
    <x v="163"/>
    <x v="474"/>
    <x v="5"/>
  </r>
  <r>
    <x v="0"/>
    <x v="66"/>
    <x v="66"/>
    <x v="14"/>
    <x v="14"/>
    <x v="14"/>
    <x v="5"/>
    <x v="250"/>
    <x v="589"/>
    <x v="77"/>
    <x v="83"/>
    <x v="209"/>
    <x v="38"/>
    <x v="5"/>
  </r>
  <r>
    <x v="0"/>
    <x v="66"/>
    <x v="66"/>
    <x v="4"/>
    <x v="4"/>
    <x v="4"/>
    <x v="8"/>
    <x v="251"/>
    <x v="188"/>
    <x v="77"/>
    <x v="83"/>
    <x v="209"/>
    <x v="38"/>
    <x v="5"/>
  </r>
  <r>
    <x v="0"/>
    <x v="66"/>
    <x v="66"/>
    <x v="31"/>
    <x v="31"/>
    <x v="31"/>
    <x v="8"/>
    <x v="251"/>
    <x v="188"/>
    <x v="77"/>
    <x v="83"/>
    <x v="209"/>
    <x v="38"/>
    <x v="5"/>
  </r>
  <r>
    <x v="0"/>
    <x v="66"/>
    <x v="66"/>
    <x v="10"/>
    <x v="10"/>
    <x v="10"/>
    <x v="8"/>
    <x v="251"/>
    <x v="188"/>
    <x v="52"/>
    <x v="599"/>
    <x v="211"/>
    <x v="274"/>
    <x v="5"/>
  </r>
  <r>
    <x v="0"/>
    <x v="66"/>
    <x v="66"/>
    <x v="30"/>
    <x v="30"/>
    <x v="30"/>
    <x v="8"/>
    <x v="251"/>
    <x v="188"/>
    <x v="48"/>
    <x v="600"/>
    <x v="160"/>
    <x v="14"/>
    <x v="5"/>
  </r>
  <r>
    <x v="0"/>
    <x v="66"/>
    <x v="66"/>
    <x v="8"/>
    <x v="8"/>
    <x v="8"/>
    <x v="12"/>
    <x v="252"/>
    <x v="356"/>
    <x v="77"/>
    <x v="83"/>
    <x v="163"/>
    <x v="474"/>
    <x v="5"/>
  </r>
  <r>
    <x v="0"/>
    <x v="66"/>
    <x v="66"/>
    <x v="28"/>
    <x v="28"/>
    <x v="28"/>
    <x v="12"/>
    <x v="252"/>
    <x v="356"/>
    <x v="48"/>
    <x v="600"/>
    <x v="160"/>
    <x v="14"/>
    <x v="5"/>
  </r>
  <r>
    <x v="0"/>
    <x v="66"/>
    <x v="66"/>
    <x v="11"/>
    <x v="11"/>
    <x v="11"/>
    <x v="12"/>
    <x v="252"/>
    <x v="356"/>
    <x v="77"/>
    <x v="83"/>
    <x v="163"/>
    <x v="474"/>
    <x v="5"/>
  </r>
  <r>
    <x v="0"/>
    <x v="66"/>
    <x v="66"/>
    <x v="12"/>
    <x v="12"/>
    <x v="12"/>
    <x v="12"/>
    <x v="252"/>
    <x v="356"/>
    <x v="48"/>
    <x v="600"/>
    <x v="211"/>
    <x v="274"/>
    <x v="5"/>
  </r>
  <r>
    <x v="0"/>
    <x v="66"/>
    <x v="66"/>
    <x v="26"/>
    <x v="26"/>
    <x v="26"/>
    <x v="12"/>
    <x v="252"/>
    <x v="356"/>
    <x v="77"/>
    <x v="83"/>
    <x v="163"/>
    <x v="474"/>
    <x v="5"/>
  </r>
  <r>
    <x v="0"/>
    <x v="66"/>
    <x v="66"/>
    <x v="9"/>
    <x v="9"/>
    <x v="9"/>
    <x v="12"/>
    <x v="252"/>
    <x v="356"/>
    <x v="64"/>
    <x v="278"/>
    <x v="211"/>
    <x v="274"/>
    <x v="5"/>
  </r>
  <r>
    <x v="0"/>
    <x v="66"/>
    <x v="66"/>
    <x v="49"/>
    <x v="49"/>
    <x v="49"/>
    <x v="18"/>
    <x v="287"/>
    <x v="357"/>
    <x v="77"/>
    <x v="83"/>
    <x v="211"/>
    <x v="274"/>
    <x v="5"/>
  </r>
  <r>
    <x v="0"/>
    <x v="66"/>
    <x v="66"/>
    <x v="55"/>
    <x v="55"/>
    <x v="55"/>
    <x v="18"/>
    <x v="287"/>
    <x v="357"/>
    <x v="48"/>
    <x v="600"/>
    <x v="211"/>
    <x v="274"/>
    <x v="5"/>
  </r>
  <r>
    <x v="0"/>
    <x v="66"/>
    <x v="66"/>
    <x v="48"/>
    <x v="48"/>
    <x v="48"/>
    <x v="18"/>
    <x v="287"/>
    <x v="357"/>
    <x v="77"/>
    <x v="83"/>
    <x v="160"/>
    <x v="14"/>
    <x v="5"/>
  </r>
  <r>
    <x v="0"/>
    <x v="66"/>
    <x v="66"/>
    <x v="16"/>
    <x v="16"/>
    <x v="16"/>
    <x v="18"/>
    <x v="287"/>
    <x v="357"/>
    <x v="77"/>
    <x v="83"/>
    <x v="160"/>
    <x v="14"/>
    <x v="5"/>
  </r>
  <r>
    <x v="0"/>
    <x v="66"/>
    <x v="66"/>
    <x v="34"/>
    <x v="34"/>
    <x v="34"/>
    <x v="18"/>
    <x v="287"/>
    <x v="357"/>
    <x v="77"/>
    <x v="83"/>
    <x v="211"/>
    <x v="274"/>
    <x v="4"/>
  </r>
  <r>
    <x v="0"/>
    <x v="66"/>
    <x v="66"/>
    <x v="7"/>
    <x v="7"/>
    <x v="7"/>
    <x v="18"/>
    <x v="287"/>
    <x v="357"/>
    <x v="48"/>
    <x v="600"/>
    <x v="211"/>
    <x v="274"/>
    <x v="5"/>
  </r>
  <r>
    <x v="0"/>
    <x v="66"/>
    <x v="66"/>
    <x v="36"/>
    <x v="36"/>
    <x v="36"/>
    <x v="18"/>
    <x v="287"/>
    <x v="357"/>
    <x v="77"/>
    <x v="83"/>
    <x v="211"/>
    <x v="274"/>
    <x v="5"/>
  </r>
  <r>
    <x v="0"/>
    <x v="66"/>
    <x v="66"/>
    <x v="27"/>
    <x v="27"/>
    <x v="27"/>
    <x v="18"/>
    <x v="287"/>
    <x v="357"/>
    <x v="77"/>
    <x v="83"/>
    <x v="160"/>
    <x v="14"/>
    <x v="5"/>
  </r>
  <r>
    <x v="0"/>
    <x v="66"/>
    <x v="66"/>
    <x v="29"/>
    <x v="29"/>
    <x v="29"/>
    <x v="18"/>
    <x v="287"/>
    <x v="357"/>
    <x v="48"/>
    <x v="600"/>
    <x v="211"/>
    <x v="274"/>
    <x v="5"/>
  </r>
  <r>
    <x v="0"/>
    <x v="66"/>
    <x v="66"/>
    <x v="57"/>
    <x v="57"/>
    <x v="57"/>
    <x v="18"/>
    <x v="287"/>
    <x v="357"/>
    <x v="77"/>
    <x v="83"/>
    <x v="211"/>
    <x v="274"/>
    <x v="4"/>
  </r>
  <r>
    <x v="0"/>
    <x v="67"/>
    <x v="67"/>
    <x v="6"/>
    <x v="6"/>
    <x v="6"/>
    <x v="0"/>
    <x v="259"/>
    <x v="420"/>
    <x v="96"/>
    <x v="500"/>
    <x v="190"/>
    <x v="536"/>
    <x v="5"/>
  </r>
  <r>
    <x v="0"/>
    <x v="67"/>
    <x v="67"/>
    <x v="0"/>
    <x v="0"/>
    <x v="0"/>
    <x v="1"/>
    <x v="267"/>
    <x v="565"/>
    <x v="38"/>
    <x v="601"/>
    <x v="163"/>
    <x v="537"/>
    <x v="5"/>
  </r>
  <r>
    <x v="0"/>
    <x v="67"/>
    <x v="67"/>
    <x v="4"/>
    <x v="4"/>
    <x v="4"/>
    <x v="2"/>
    <x v="263"/>
    <x v="590"/>
    <x v="82"/>
    <x v="523"/>
    <x v="189"/>
    <x v="538"/>
    <x v="5"/>
  </r>
  <r>
    <x v="0"/>
    <x v="67"/>
    <x v="67"/>
    <x v="3"/>
    <x v="3"/>
    <x v="3"/>
    <x v="3"/>
    <x v="264"/>
    <x v="566"/>
    <x v="82"/>
    <x v="523"/>
    <x v="210"/>
    <x v="539"/>
    <x v="5"/>
  </r>
  <r>
    <x v="0"/>
    <x v="67"/>
    <x v="67"/>
    <x v="30"/>
    <x v="30"/>
    <x v="30"/>
    <x v="4"/>
    <x v="247"/>
    <x v="519"/>
    <x v="65"/>
    <x v="602"/>
    <x v="160"/>
    <x v="166"/>
    <x v="5"/>
  </r>
  <r>
    <x v="0"/>
    <x v="67"/>
    <x v="67"/>
    <x v="14"/>
    <x v="14"/>
    <x v="14"/>
    <x v="4"/>
    <x v="247"/>
    <x v="519"/>
    <x v="77"/>
    <x v="83"/>
    <x v="211"/>
    <x v="274"/>
    <x v="5"/>
  </r>
  <r>
    <x v="0"/>
    <x v="67"/>
    <x v="67"/>
    <x v="37"/>
    <x v="37"/>
    <x v="37"/>
    <x v="6"/>
    <x v="248"/>
    <x v="379"/>
    <x v="77"/>
    <x v="83"/>
    <x v="211"/>
    <x v="274"/>
    <x v="5"/>
  </r>
  <r>
    <x v="0"/>
    <x v="67"/>
    <x v="67"/>
    <x v="5"/>
    <x v="5"/>
    <x v="5"/>
    <x v="7"/>
    <x v="249"/>
    <x v="238"/>
    <x v="65"/>
    <x v="602"/>
    <x v="211"/>
    <x v="274"/>
    <x v="5"/>
  </r>
  <r>
    <x v="0"/>
    <x v="67"/>
    <x v="67"/>
    <x v="8"/>
    <x v="8"/>
    <x v="8"/>
    <x v="7"/>
    <x v="249"/>
    <x v="238"/>
    <x v="64"/>
    <x v="304"/>
    <x v="209"/>
    <x v="540"/>
    <x v="5"/>
  </r>
  <r>
    <x v="0"/>
    <x v="67"/>
    <x v="67"/>
    <x v="1"/>
    <x v="1"/>
    <x v="1"/>
    <x v="7"/>
    <x v="249"/>
    <x v="238"/>
    <x v="65"/>
    <x v="602"/>
    <x v="211"/>
    <x v="274"/>
    <x v="5"/>
  </r>
  <r>
    <x v="0"/>
    <x v="67"/>
    <x v="67"/>
    <x v="9"/>
    <x v="9"/>
    <x v="9"/>
    <x v="7"/>
    <x v="249"/>
    <x v="238"/>
    <x v="51"/>
    <x v="603"/>
    <x v="211"/>
    <x v="274"/>
    <x v="5"/>
  </r>
  <r>
    <x v="0"/>
    <x v="67"/>
    <x v="67"/>
    <x v="11"/>
    <x v="11"/>
    <x v="11"/>
    <x v="11"/>
    <x v="250"/>
    <x v="9"/>
    <x v="64"/>
    <x v="304"/>
    <x v="163"/>
    <x v="537"/>
    <x v="5"/>
  </r>
  <r>
    <x v="0"/>
    <x v="67"/>
    <x v="67"/>
    <x v="2"/>
    <x v="2"/>
    <x v="2"/>
    <x v="11"/>
    <x v="250"/>
    <x v="9"/>
    <x v="52"/>
    <x v="499"/>
    <x v="211"/>
    <x v="274"/>
    <x v="4"/>
  </r>
  <r>
    <x v="0"/>
    <x v="67"/>
    <x v="67"/>
    <x v="28"/>
    <x v="28"/>
    <x v="28"/>
    <x v="13"/>
    <x v="251"/>
    <x v="32"/>
    <x v="48"/>
    <x v="161"/>
    <x v="211"/>
    <x v="274"/>
    <x v="4"/>
  </r>
  <r>
    <x v="0"/>
    <x v="67"/>
    <x v="67"/>
    <x v="7"/>
    <x v="7"/>
    <x v="7"/>
    <x v="13"/>
    <x v="251"/>
    <x v="32"/>
    <x v="52"/>
    <x v="499"/>
    <x v="211"/>
    <x v="274"/>
    <x v="5"/>
  </r>
  <r>
    <x v="0"/>
    <x v="67"/>
    <x v="67"/>
    <x v="17"/>
    <x v="17"/>
    <x v="17"/>
    <x v="15"/>
    <x v="252"/>
    <x v="208"/>
    <x v="77"/>
    <x v="83"/>
    <x v="163"/>
    <x v="537"/>
    <x v="5"/>
  </r>
  <r>
    <x v="0"/>
    <x v="67"/>
    <x v="67"/>
    <x v="13"/>
    <x v="13"/>
    <x v="13"/>
    <x v="15"/>
    <x v="252"/>
    <x v="208"/>
    <x v="77"/>
    <x v="83"/>
    <x v="163"/>
    <x v="537"/>
    <x v="5"/>
  </r>
  <r>
    <x v="0"/>
    <x v="67"/>
    <x v="67"/>
    <x v="31"/>
    <x v="31"/>
    <x v="31"/>
    <x v="15"/>
    <x v="252"/>
    <x v="208"/>
    <x v="64"/>
    <x v="304"/>
    <x v="211"/>
    <x v="274"/>
    <x v="5"/>
  </r>
  <r>
    <x v="0"/>
    <x v="67"/>
    <x v="67"/>
    <x v="10"/>
    <x v="10"/>
    <x v="10"/>
    <x v="15"/>
    <x v="252"/>
    <x v="208"/>
    <x v="64"/>
    <x v="304"/>
    <x v="211"/>
    <x v="274"/>
    <x v="5"/>
  </r>
  <r>
    <x v="0"/>
    <x v="67"/>
    <x v="67"/>
    <x v="26"/>
    <x v="26"/>
    <x v="26"/>
    <x v="15"/>
    <x v="252"/>
    <x v="208"/>
    <x v="77"/>
    <x v="83"/>
    <x v="163"/>
    <x v="537"/>
    <x v="5"/>
  </r>
  <r>
    <x v="0"/>
    <x v="67"/>
    <x v="67"/>
    <x v="36"/>
    <x v="36"/>
    <x v="36"/>
    <x v="15"/>
    <x v="252"/>
    <x v="208"/>
    <x v="77"/>
    <x v="83"/>
    <x v="160"/>
    <x v="166"/>
    <x v="5"/>
  </r>
  <r>
    <x v="0"/>
    <x v="68"/>
    <x v="68"/>
    <x v="0"/>
    <x v="0"/>
    <x v="0"/>
    <x v="0"/>
    <x v="137"/>
    <x v="591"/>
    <x v="166"/>
    <x v="604"/>
    <x v="209"/>
    <x v="132"/>
    <x v="5"/>
  </r>
  <r>
    <x v="0"/>
    <x v="68"/>
    <x v="68"/>
    <x v="30"/>
    <x v="30"/>
    <x v="30"/>
    <x v="1"/>
    <x v="174"/>
    <x v="592"/>
    <x v="66"/>
    <x v="605"/>
    <x v="189"/>
    <x v="126"/>
    <x v="5"/>
  </r>
  <r>
    <x v="0"/>
    <x v="68"/>
    <x v="68"/>
    <x v="6"/>
    <x v="6"/>
    <x v="6"/>
    <x v="2"/>
    <x v="267"/>
    <x v="593"/>
    <x v="50"/>
    <x v="606"/>
    <x v="190"/>
    <x v="541"/>
    <x v="5"/>
  </r>
  <r>
    <x v="0"/>
    <x v="68"/>
    <x v="68"/>
    <x v="3"/>
    <x v="3"/>
    <x v="3"/>
    <x v="3"/>
    <x v="264"/>
    <x v="594"/>
    <x v="51"/>
    <x v="59"/>
    <x v="190"/>
    <x v="541"/>
    <x v="5"/>
  </r>
  <r>
    <x v="0"/>
    <x v="68"/>
    <x v="68"/>
    <x v="4"/>
    <x v="4"/>
    <x v="4"/>
    <x v="4"/>
    <x v="247"/>
    <x v="316"/>
    <x v="77"/>
    <x v="83"/>
    <x v="190"/>
    <x v="541"/>
    <x v="5"/>
  </r>
  <r>
    <x v="0"/>
    <x v="68"/>
    <x v="68"/>
    <x v="1"/>
    <x v="1"/>
    <x v="1"/>
    <x v="4"/>
    <x v="247"/>
    <x v="316"/>
    <x v="53"/>
    <x v="392"/>
    <x v="211"/>
    <x v="274"/>
    <x v="5"/>
  </r>
  <r>
    <x v="0"/>
    <x v="68"/>
    <x v="68"/>
    <x v="20"/>
    <x v="20"/>
    <x v="20"/>
    <x v="6"/>
    <x v="248"/>
    <x v="189"/>
    <x v="77"/>
    <x v="83"/>
    <x v="189"/>
    <x v="126"/>
    <x v="5"/>
  </r>
  <r>
    <x v="0"/>
    <x v="68"/>
    <x v="68"/>
    <x v="28"/>
    <x v="28"/>
    <x v="28"/>
    <x v="7"/>
    <x v="249"/>
    <x v="249"/>
    <x v="52"/>
    <x v="530"/>
    <x v="163"/>
    <x v="186"/>
    <x v="5"/>
  </r>
  <r>
    <x v="0"/>
    <x v="68"/>
    <x v="68"/>
    <x v="15"/>
    <x v="15"/>
    <x v="15"/>
    <x v="7"/>
    <x v="249"/>
    <x v="249"/>
    <x v="48"/>
    <x v="531"/>
    <x v="132"/>
    <x v="183"/>
    <x v="5"/>
  </r>
  <r>
    <x v="0"/>
    <x v="68"/>
    <x v="68"/>
    <x v="13"/>
    <x v="13"/>
    <x v="13"/>
    <x v="7"/>
    <x v="249"/>
    <x v="249"/>
    <x v="52"/>
    <x v="530"/>
    <x v="163"/>
    <x v="186"/>
    <x v="5"/>
  </r>
  <r>
    <x v="0"/>
    <x v="68"/>
    <x v="68"/>
    <x v="23"/>
    <x v="23"/>
    <x v="23"/>
    <x v="7"/>
    <x v="249"/>
    <x v="249"/>
    <x v="48"/>
    <x v="531"/>
    <x v="132"/>
    <x v="183"/>
    <x v="5"/>
  </r>
  <r>
    <x v="0"/>
    <x v="68"/>
    <x v="68"/>
    <x v="10"/>
    <x v="10"/>
    <x v="10"/>
    <x v="7"/>
    <x v="249"/>
    <x v="249"/>
    <x v="52"/>
    <x v="530"/>
    <x v="163"/>
    <x v="186"/>
    <x v="5"/>
  </r>
  <r>
    <x v="0"/>
    <x v="68"/>
    <x v="68"/>
    <x v="7"/>
    <x v="7"/>
    <x v="7"/>
    <x v="7"/>
    <x v="249"/>
    <x v="249"/>
    <x v="51"/>
    <x v="59"/>
    <x v="160"/>
    <x v="542"/>
    <x v="5"/>
  </r>
  <r>
    <x v="0"/>
    <x v="68"/>
    <x v="68"/>
    <x v="11"/>
    <x v="11"/>
    <x v="11"/>
    <x v="13"/>
    <x v="250"/>
    <x v="69"/>
    <x v="48"/>
    <x v="531"/>
    <x v="209"/>
    <x v="132"/>
    <x v="5"/>
  </r>
  <r>
    <x v="0"/>
    <x v="68"/>
    <x v="68"/>
    <x v="2"/>
    <x v="2"/>
    <x v="2"/>
    <x v="13"/>
    <x v="250"/>
    <x v="69"/>
    <x v="48"/>
    <x v="531"/>
    <x v="209"/>
    <x v="132"/>
    <x v="5"/>
  </r>
  <r>
    <x v="0"/>
    <x v="68"/>
    <x v="68"/>
    <x v="19"/>
    <x v="19"/>
    <x v="19"/>
    <x v="13"/>
    <x v="250"/>
    <x v="69"/>
    <x v="64"/>
    <x v="550"/>
    <x v="163"/>
    <x v="186"/>
    <x v="5"/>
  </r>
  <r>
    <x v="0"/>
    <x v="68"/>
    <x v="68"/>
    <x v="34"/>
    <x v="34"/>
    <x v="34"/>
    <x v="13"/>
    <x v="250"/>
    <x v="69"/>
    <x v="52"/>
    <x v="530"/>
    <x v="160"/>
    <x v="542"/>
    <x v="5"/>
  </r>
  <r>
    <x v="0"/>
    <x v="68"/>
    <x v="68"/>
    <x v="9"/>
    <x v="9"/>
    <x v="9"/>
    <x v="13"/>
    <x v="250"/>
    <x v="69"/>
    <x v="64"/>
    <x v="550"/>
    <x v="163"/>
    <x v="186"/>
    <x v="5"/>
  </r>
  <r>
    <x v="0"/>
    <x v="68"/>
    <x v="68"/>
    <x v="21"/>
    <x v="21"/>
    <x v="21"/>
    <x v="13"/>
    <x v="250"/>
    <x v="69"/>
    <x v="48"/>
    <x v="531"/>
    <x v="209"/>
    <x v="132"/>
    <x v="5"/>
  </r>
  <r>
    <x v="0"/>
    <x v="68"/>
    <x v="68"/>
    <x v="49"/>
    <x v="49"/>
    <x v="49"/>
    <x v="19"/>
    <x v="251"/>
    <x v="221"/>
    <x v="77"/>
    <x v="83"/>
    <x v="209"/>
    <x v="132"/>
    <x v="5"/>
  </r>
  <r>
    <x v="0"/>
    <x v="68"/>
    <x v="68"/>
    <x v="45"/>
    <x v="45"/>
    <x v="45"/>
    <x v="19"/>
    <x v="251"/>
    <x v="221"/>
    <x v="64"/>
    <x v="550"/>
    <x v="160"/>
    <x v="542"/>
    <x v="5"/>
  </r>
  <r>
    <x v="0"/>
    <x v="68"/>
    <x v="68"/>
    <x v="26"/>
    <x v="26"/>
    <x v="26"/>
    <x v="19"/>
    <x v="251"/>
    <x v="221"/>
    <x v="52"/>
    <x v="530"/>
    <x v="211"/>
    <x v="274"/>
    <x v="5"/>
  </r>
  <r>
    <x v="0"/>
    <x v="69"/>
    <x v="69"/>
    <x v="0"/>
    <x v="0"/>
    <x v="0"/>
    <x v="0"/>
    <x v="259"/>
    <x v="595"/>
    <x v="111"/>
    <x v="607"/>
    <x v="132"/>
    <x v="543"/>
    <x v="5"/>
  </r>
  <r>
    <x v="0"/>
    <x v="69"/>
    <x v="69"/>
    <x v="6"/>
    <x v="6"/>
    <x v="6"/>
    <x v="1"/>
    <x v="268"/>
    <x v="299"/>
    <x v="53"/>
    <x v="608"/>
    <x v="163"/>
    <x v="544"/>
    <x v="5"/>
  </r>
  <r>
    <x v="0"/>
    <x v="69"/>
    <x v="69"/>
    <x v="5"/>
    <x v="5"/>
    <x v="5"/>
    <x v="2"/>
    <x v="249"/>
    <x v="445"/>
    <x v="52"/>
    <x v="609"/>
    <x v="163"/>
    <x v="544"/>
    <x v="5"/>
  </r>
  <r>
    <x v="0"/>
    <x v="69"/>
    <x v="69"/>
    <x v="3"/>
    <x v="3"/>
    <x v="3"/>
    <x v="2"/>
    <x v="249"/>
    <x v="445"/>
    <x v="64"/>
    <x v="610"/>
    <x v="209"/>
    <x v="528"/>
    <x v="5"/>
  </r>
  <r>
    <x v="0"/>
    <x v="69"/>
    <x v="69"/>
    <x v="26"/>
    <x v="26"/>
    <x v="26"/>
    <x v="2"/>
    <x v="249"/>
    <x v="445"/>
    <x v="51"/>
    <x v="611"/>
    <x v="211"/>
    <x v="274"/>
    <x v="5"/>
  </r>
  <r>
    <x v="0"/>
    <x v="69"/>
    <x v="69"/>
    <x v="30"/>
    <x v="30"/>
    <x v="30"/>
    <x v="5"/>
    <x v="250"/>
    <x v="469"/>
    <x v="52"/>
    <x v="609"/>
    <x v="160"/>
    <x v="355"/>
    <x v="5"/>
  </r>
  <r>
    <x v="0"/>
    <x v="69"/>
    <x v="69"/>
    <x v="1"/>
    <x v="1"/>
    <x v="1"/>
    <x v="5"/>
    <x v="250"/>
    <x v="469"/>
    <x v="51"/>
    <x v="611"/>
    <x v="211"/>
    <x v="274"/>
    <x v="5"/>
  </r>
  <r>
    <x v="0"/>
    <x v="69"/>
    <x v="69"/>
    <x v="14"/>
    <x v="14"/>
    <x v="14"/>
    <x v="5"/>
    <x v="250"/>
    <x v="469"/>
    <x v="77"/>
    <x v="83"/>
    <x v="209"/>
    <x v="528"/>
    <x v="5"/>
  </r>
  <r>
    <x v="0"/>
    <x v="69"/>
    <x v="69"/>
    <x v="4"/>
    <x v="4"/>
    <x v="4"/>
    <x v="8"/>
    <x v="252"/>
    <x v="387"/>
    <x v="48"/>
    <x v="281"/>
    <x v="160"/>
    <x v="355"/>
    <x v="5"/>
  </r>
  <r>
    <x v="0"/>
    <x v="69"/>
    <x v="69"/>
    <x v="35"/>
    <x v="35"/>
    <x v="35"/>
    <x v="8"/>
    <x v="252"/>
    <x v="387"/>
    <x v="48"/>
    <x v="281"/>
    <x v="160"/>
    <x v="355"/>
    <x v="5"/>
  </r>
  <r>
    <x v="0"/>
    <x v="69"/>
    <x v="69"/>
    <x v="15"/>
    <x v="15"/>
    <x v="15"/>
    <x v="8"/>
    <x v="252"/>
    <x v="387"/>
    <x v="48"/>
    <x v="281"/>
    <x v="160"/>
    <x v="355"/>
    <x v="5"/>
  </r>
  <r>
    <x v="0"/>
    <x v="69"/>
    <x v="69"/>
    <x v="34"/>
    <x v="34"/>
    <x v="34"/>
    <x v="8"/>
    <x v="252"/>
    <x v="387"/>
    <x v="48"/>
    <x v="281"/>
    <x v="211"/>
    <x v="274"/>
    <x v="5"/>
  </r>
  <r>
    <x v="0"/>
    <x v="69"/>
    <x v="69"/>
    <x v="9"/>
    <x v="9"/>
    <x v="9"/>
    <x v="8"/>
    <x v="252"/>
    <x v="387"/>
    <x v="48"/>
    <x v="281"/>
    <x v="211"/>
    <x v="274"/>
    <x v="5"/>
  </r>
  <r>
    <x v="0"/>
    <x v="69"/>
    <x v="69"/>
    <x v="8"/>
    <x v="8"/>
    <x v="8"/>
    <x v="13"/>
    <x v="287"/>
    <x v="125"/>
    <x v="48"/>
    <x v="281"/>
    <x v="211"/>
    <x v="274"/>
    <x v="5"/>
  </r>
  <r>
    <x v="0"/>
    <x v="69"/>
    <x v="69"/>
    <x v="49"/>
    <x v="49"/>
    <x v="49"/>
    <x v="13"/>
    <x v="287"/>
    <x v="125"/>
    <x v="77"/>
    <x v="83"/>
    <x v="160"/>
    <x v="355"/>
    <x v="5"/>
  </r>
  <r>
    <x v="0"/>
    <x v="69"/>
    <x v="69"/>
    <x v="41"/>
    <x v="41"/>
    <x v="41"/>
    <x v="13"/>
    <x v="287"/>
    <x v="125"/>
    <x v="77"/>
    <x v="83"/>
    <x v="211"/>
    <x v="274"/>
    <x v="5"/>
  </r>
  <r>
    <x v="0"/>
    <x v="69"/>
    <x v="69"/>
    <x v="48"/>
    <x v="48"/>
    <x v="48"/>
    <x v="13"/>
    <x v="287"/>
    <x v="125"/>
    <x v="77"/>
    <x v="83"/>
    <x v="211"/>
    <x v="274"/>
    <x v="4"/>
  </r>
  <r>
    <x v="0"/>
    <x v="69"/>
    <x v="69"/>
    <x v="18"/>
    <x v="18"/>
    <x v="18"/>
    <x v="13"/>
    <x v="287"/>
    <x v="125"/>
    <x v="77"/>
    <x v="83"/>
    <x v="160"/>
    <x v="355"/>
    <x v="5"/>
  </r>
  <r>
    <x v="0"/>
    <x v="69"/>
    <x v="69"/>
    <x v="23"/>
    <x v="23"/>
    <x v="23"/>
    <x v="13"/>
    <x v="287"/>
    <x v="125"/>
    <x v="48"/>
    <x v="281"/>
    <x v="211"/>
    <x v="274"/>
    <x v="5"/>
  </r>
  <r>
    <x v="0"/>
    <x v="69"/>
    <x v="69"/>
    <x v="20"/>
    <x v="20"/>
    <x v="20"/>
    <x v="13"/>
    <x v="287"/>
    <x v="125"/>
    <x v="77"/>
    <x v="83"/>
    <x v="160"/>
    <x v="355"/>
    <x v="5"/>
  </r>
  <r>
    <x v="0"/>
    <x v="69"/>
    <x v="69"/>
    <x v="2"/>
    <x v="2"/>
    <x v="2"/>
    <x v="13"/>
    <x v="287"/>
    <x v="125"/>
    <x v="48"/>
    <x v="281"/>
    <x v="211"/>
    <x v="274"/>
    <x v="5"/>
  </r>
  <r>
    <x v="0"/>
    <x v="69"/>
    <x v="69"/>
    <x v="7"/>
    <x v="7"/>
    <x v="7"/>
    <x v="13"/>
    <x v="287"/>
    <x v="125"/>
    <x v="48"/>
    <x v="281"/>
    <x v="211"/>
    <x v="274"/>
    <x v="5"/>
  </r>
  <r>
    <x v="0"/>
    <x v="69"/>
    <x v="69"/>
    <x v="36"/>
    <x v="36"/>
    <x v="36"/>
    <x v="13"/>
    <x v="287"/>
    <x v="125"/>
    <x v="77"/>
    <x v="83"/>
    <x v="211"/>
    <x v="274"/>
    <x v="5"/>
  </r>
  <r>
    <x v="0"/>
    <x v="69"/>
    <x v="69"/>
    <x v="27"/>
    <x v="27"/>
    <x v="27"/>
    <x v="13"/>
    <x v="287"/>
    <x v="125"/>
    <x v="48"/>
    <x v="281"/>
    <x v="211"/>
    <x v="274"/>
    <x v="5"/>
  </r>
  <r>
    <x v="0"/>
    <x v="70"/>
    <x v="70"/>
    <x v="0"/>
    <x v="0"/>
    <x v="0"/>
    <x v="0"/>
    <x v="264"/>
    <x v="596"/>
    <x v="78"/>
    <x v="612"/>
    <x v="160"/>
    <x v="320"/>
    <x v="5"/>
  </r>
  <r>
    <x v="0"/>
    <x v="70"/>
    <x v="70"/>
    <x v="6"/>
    <x v="6"/>
    <x v="6"/>
    <x v="1"/>
    <x v="280"/>
    <x v="597"/>
    <x v="50"/>
    <x v="613"/>
    <x v="163"/>
    <x v="93"/>
    <x v="5"/>
  </r>
  <r>
    <x v="0"/>
    <x v="70"/>
    <x v="70"/>
    <x v="30"/>
    <x v="30"/>
    <x v="30"/>
    <x v="2"/>
    <x v="268"/>
    <x v="598"/>
    <x v="51"/>
    <x v="614"/>
    <x v="210"/>
    <x v="545"/>
    <x v="5"/>
  </r>
  <r>
    <x v="0"/>
    <x v="70"/>
    <x v="70"/>
    <x v="2"/>
    <x v="2"/>
    <x v="2"/>
    <x v="3"/>
    <x v="247"/>
    <x v="586"/>
    <x v="82"/>
    <x v="561"/>
    <x v="211"/>
    <x v="274"/>
    <x v="5"/>
  </r>
  <r>
    <x v="0"/>
    <x v="70"/>
    <x v="70"/>
    <x v="26"/>
    <x v="26"/>
    <x v="26"/>
    <x v="4"/>
    <x v="248"/>
    <x v="599"/>
    <x v="77"/>
    <x v="83"/>
    <x v="210"/>
    <x v="545"/>
    <x v="5"/>
  </r>
  <r>
    <x v="0"/>
    <x v="70"/>
    <x v="70"/>
    <x v="3"/>
    <x v="3"/>
    <x v="3"/>
    <x v="5"/>
    <x v="249"/>
    <x v="198"/>
    <x v="48"/>
    <x v="205"/>
    <x v="132"/>
    <x v="522"/>
    <x v="5"/>
  </r>
  <r>
    <x v="0"/>
    <x v="70"/>
    <x v="70"/>
    <x v="29"/>
    <x v="29"/>
    <x v="29"/>
    <x v="6"/>
    <x v="251"/>
    <x v="549"/>
    <x v="48"/>
    <x v="205"/>
    <x v="163"/>
    <x v="93"/>
    <x v="5"/>
  </r>
  <r>
    <x v="0"/>
    <x v="70"/>
    <x v="70"/>
    <x v="28"/>
    <x v="28"/>
    <x v="28"/>
    <x v="7"/>
    <x v="252"/>
    <x v="478"/>
    <x v="48"/>
    <x v="205"/>
    <x v="160"/>
    <x v="320"/>
    <x v="5"/>
  </r>
  <r>
    <x v="0"/>
    <x v="70"/>
    <x v="70"/>
    <x v="41"/>
    <x v="41"/>
    <x v="41"/>
    <x v="7"/>
    <x v="252"/>
    <x v="478"/>
    <x v="77"/>
    <x v="83"/>
    <x v="160"/>
    <x v="320"/>
    <x v="5"/>
  </r>
  <r>
    <x v="0"/>
    <x v="70"/>
    <x v="70"/>
    <x v="1"/>
    <x v="1"/>
    <x v="1"/>
    <x v="7"/>
    <x v="252"/>
    <x v="478"/>
    <x v="64"/>
    <x v="615"/>
    <x v="211"/>
    <x v="274"/>
    <x v="5"/>
  </r>
  <r>
    <x v="0"/>
    <x v="70"/>
    <x v="70"/>
    <x v="9"/>
    <x v="9"/>
    <x v="9"/>
    <x v="7"/>
    <x v="252"/>
    <x v="478"/>
    <x v="48"/>
    <x v="205"/>
    <x v="160"/>
    <x v="320"/>
    <x v="5"/>
  </r>
  <r>
    <x v="0"/>
    <x v="70"/>
    <x v="70"/>
    <x v="4"/>
    <x v="4"/>
    <x v="4"/>
    <x v="11"/>
    <x v="287"/>
    <x v="99"/>
    <x v="77"/>
    <x v="83"/>
    <x v="160"/>
    <x v="320"/>
    <x v="5"/>
  </r>
  <r>
    <x v="0"/>
    <x v="70"/>
    <x v="70"/>
    <x v="8"/>
    <x v="8"/>
    <x v="8"/>
    <x v="11"/>
    <x v="287"/>
    <x v="99"/>
    <x v="77"/>
    <x v="83"/>
    <x v="160"/>
    <x v="320"/>
    <x v="5"/>
  </r>
  <r>
    <x v="0"/>
    <x v="70"/>
    <x v="70"/>
    <x v="39"/>
    <x v="39"/>
    <x v="39"/>
    <x v="11"/>
    <x v="287"/>
    <x v="99"/>
    <x v="48"/>
    <x v="205"/>
    <x v="211"/>
    <x v="274"/>
    <x v="5"/>
  </r>
  <r>
    <x v="0"/>
    <x v="70"/>
    <x v="70"/>
    <x v="33"/>
    <x v="33"/>
    <x v="33"/>
    <x v="11"/>
    <x v="287"/>
    <x v="99"/>
    <x v="48"/>
    <x v="205"/>
    <x v="211"/>
    <x v="274"/>
    <x v="5"/>
  </r>
  <r>
    <x v="0"/>
    <x v="70"/>
    <x v="70"/>
    <x v="18"/>
    <x v="18"/>
    <x v="18"/>
    <x v="11"/>
    <x v="287"/>
    <x v="99"/>
    <x v="77"/>
    <x v="83"/>
    <x v="160"/>
    <x v="320"/>
    <x v="5"/>
  </r>
  <r>
    <x v="0"/>
    <x v="70"/>
    <x v="70"/>
    <x v="13"/>
    <x v="13"/>
    <x v="13"/>
    <x v="11"/>
    <x v="287"/>
    <x v="99"/>
    <x v="48"/>
    <x v="205"/>
    <x v="211"/>
    <x v="274"/>
    <x v="5"/>
  </r>
  <r>
    <x v="0"/>
    <x v="70"/>
    <x v="70"/>
    <x v="11"/>
    <x v="11"/>
    <x v="11"/>
    <x v="11"/>
    <x v="287"/>
    <x v="99"/>
    <x v="48"/>
    <x v="205"/>
    <x v="211"/>
    <x v="274"/>
    <x v="5"/>
  </r>
  <r>
    <x v="0"/>
    <x v="70"/>
    <x v="70"/>
    <x v="20"/>
    <x v="20"/>
    <x v="20"/>
    <x v="11"/>
    <x v="287"/>
    <x v="99"/>
    <x v="48"/>
    <x v="205"/>
    <x v="211"/>
    <x v="274"/>
    <x v="5"/>
  </r>
  <r>
    <x v="0"/>
    <x v="70"/>
    <x v="70"/>
    <x v="7"/>
    <x v="7"/>
    <x v="7"/>
    <x v="11"/>
    <x v="287"/>
    <x v="99"/>
    <x v="77"/>
    <x v="83"/>
    <x v="160"/>
    <x v="320"/>
    <x v="5"/>
  </r>
  <r>
    <x v="0"/>
    <x v="70"/>
    <x v="70"/>
    <x v="14"/>
    <x v="14"/>
    <x v="14"/>
    <x v="11"/>
    <x v="287"/>
    <x v="99"/>
    <x v="77"/>
    <x v="83"/>
    <x v="211"/>
    <x v="274"/>
    <x v="5"/>
  </r>
  <r>
    <x v="0"/>
    <x v="70"/>
    <x v="70"/>
    <x v="21"/>
    <x v="21"/>
    <x v="21"/>
    <x v="11"/>
    <x v="287"/>
    <x v="99"/>
    <x v="77"/>
    <x v="83"/>
    <x v="160"/>
    <x v="320"/>
    <x v="5"/>
  </r>
  <r>
    <x v="0"/>
    <x v="71"/>
    <x v="71"/>
    <x v="0"/>
    <x v="0"/>
    <x v="0"/>
    <x v="0"/>
    <x v="264"/>
    <x v="600"/>
    <x v="78"/>
    <x v="616"/>
    <x v="160"/>
    <x v="320"/>
    <x v="5"/>
  </r>
  <r>
    <x v="0"/>
    <x v="71"/>
    <x v="71"/>
    <x v="6"/>
    <x v="6"/>
    <x v="6"/>
    <x v="1"/>
    <x v="280"/>
    <x v="601"/>
    <x v="96"/>
    <x v="617"/>
    <x v="160"/>
    <x v="320"/>
    <x v="5"/>
  </r>
  <r>
    <x v="0"/>
    <x v="71"/>
    <x v="71"/>
    <x v="3"/>
    <x v="3"/>
    <x v="3"/>
    <x v="2"/>
    <x v="269"/>
    <x v="602"/>
    <x v="51"/>
    <x v="214"/>
    <x v="132"/>
    <x v="522"/>
    <x v="5"/>
  </r>
  <r>
    <x v="0"/>
    <x v="71"/>
    <x v="71"/>
    <x v="1"/>
    <x v="1"/>
    <x v="1"/>
    <x v="3"/>
    <x v="249"/>
    <x v="603"/>
    <x v="65"/>
    <x v="53"/>
    <x v="211"/>
    <x v="274"/>
    <x v="5"/>
  </r>
  <r>
    <x v="0"/>
    <x v="71"/>
    <x v="71"/>
    <x v="4"/>
    <x v="4"/>
    <x v="4"/>
    <x v="4"/>
    <x v="251"/>
    <x v="561"/>
    <x v="48"/>
    <x v="600"/>
    <x v="163"/>
    <x v="93"/>
    <x v="5"/>
  </r>
  <r>
    <x v="0"/>
    <x v="71"/>
    <x v="71"/>
    <x v="10"/>
    <x v="10"/>
    <x v="10"/>
    <x v="4"/>
    <x v="251"/>
    <x v="561"/>
    <x v="77"/>
    <x v="83"/>
    <x v="209"/>
    <x v="330"/>
    <x v="5"/>
  </r>
  <r>
    <x v="0"/>
    <x v="71"/>
    <x v="71"/>
    <x v="30"/>
    <x v="30"/>
    <x v="30"/>
    <x v="4"/>
    <x v="251"/>
    <x v="561"/>
    <x v="64"/>
    <x v="278"/>
    <x v="160"/>
    <x v="320"/>
    <x v="5"/>
  </r>
  <r>
    <x v="0"/>
    <x v="71"/>
    <x v="71"/>
    <x v="14"/>
    <x v="14"/>
    <x v="14"/>
    <x v="4"/>
    <x v="251"/>
    <x v="561"/>
    <x v="77"/>
    <x v="83"/>
    <x v="209"/>
    <x v="330"/>
    <x v="5"/>
  </r>
  <r>
    <x v="0"/>
    <x v="71"/>
    <x v="71"/>
    <x v="8"/>
    <x v="8"/>
    <x v="8"/>
    <x v="8"/>
    <x v="252"/>
    <x v="604"/>
    <x v="77"/>
    <x v="83"/>
    <x v="163"/>
    <x v="93"/>
    <x v="5"/>
  </r>
  <r>
    <x v="0"/>
    <x v="71"/>
    <x v="71"/>
    <x v="41"/>
    <x v="41"/>
    <x v="41"/>
    <x v="8"/>
    <x v="252"/>
    <x v="604"/>
    <x v="77"/>
    <x v="83"/>
    <x v="160"/>
    <x v="320"/>
    <x v="5"/>
  </r>
  <r>
    <x v="0"/>
    <x v="71"/>
    <x v="71"/>
    <x v="26"/>
    <x v="26"/>
    <x v="26"/>
    <x v="8"/>
    <x v="252"/>
    <x v="604"/>
    <x v="48"/>
    <x v="600"/>
    <x v="160"/>
    <x v="320"/>
    <x v="5"/>
  </r>
  <r>
    <x v="0"/>
    <x v="71"/>
    <x v="71"/>
    <x v="60"/>
    <x v="60"/>
    <x v="60"/>
    <x v="11"/>
    <x v="287"/>
    <x v="231"/>
    <x v="77"/>
    <x v="83"/>
    <x v="160"/>
    <x v="320"/>
    <x v="5"/>
  </r>
  <r>
    <x v="0"/>
    <x v="71"/>
    <x v="71"/>
    <x v="32"/>
    <x v="32"/>
    <x v="32"/>
    <x v="11"/>
    <x v="287"/>
    <x v="231"/>
    <x v="77"/>
    <x v="83"/>
    <x v="160"/>
    <x v="320"/>
    <x v="5"/>
  </r>
  <r>
    <x v="0"/>
    <x v="71"/>
    <x v="71"/>
    <x v="33"/>
    <x v="33"/>
    <x v="33"/>
    <x v="11"/>
    <x v="287"/>
    <x v="231"/>
    <x v="48"/>
    <x v="600"/>
    <x v="211"/>
    <x v="274"/>
    <x v="5"/>
  </r>
  <r>
    <x v="0"/>
    <x v="71"/>
    <x v="71"/>
    <x v="47"/>
    <x v="47"/>
    <x v="47"/>
    <x v="11"/>
    <x v="287"/>
    <x v="231"/>
    <x v="77"/>
    <x v="83"/>
    <x v="160"/>
    <x v="320"/>
    <x v="5"/>
  </r>
  <r>
    <x v="0"/>
    <x v="71"/>
    <x v="71"/>
    <x v="48"/>
    <x v="48"/>
    <x v="48"/>
    <x v="11"/>
    <x v="287"/>
    <x v="231"/>
    <x v="77"/>
    <x v="83"/>
    <x v="160"/>
    <x v="320"/>
    <x v="5"/>
  </r>
  <r>
    <x v="0"/>
    <x v="71"/>
    <x v="71"/>
    <x v="18"/>
    <x v="18"/>
    <x v="18"/>
    <x v="11"/>
    <x v="287"/>
    <x v="231"/>
    <x v="48"/>
    <x v="600"/>
    <x v="211"/>
    <x v="274"/>
    <x v="5"/>
  </r>
  <r>
    <x v="0"/>
    <x v="71"/>
    <x v="71"/>
    <x v="15"/>
    <x v="15"/>
    <x v="15"/>
    <x v="11"/>
    <x v="287"/>
    <x v="231"/>
    <x v="77"/>
    <x v="83"/>
    <x v="160"/>
    <x v="320"/>
    <x v="5"/>
  </r>
  <r>
    <x v="0"/>
    <x v="71"/>
    <x v="71"/>
    <x v="16"/>
    <x v="16"/>
    <x v="16"/>
    <x v="11"/>
    <x v="287"/>
    <x v="231"/>
    <x v="77"/>
    <x v="83"/>
    <x v="160"/>
    <x v="320"/>
    <x v="5"/>
  </r>
  <r>
    <x v="0"/>
    <x v="71"/>
    <x v="71"/>
    <x v="13"/>
    <x v="13"/>
    <x v="13"/>
    <x v="11"/>
    <x v="287"/>
    <x v="231"/>
    <x v="48"/>
    <x v="600"/>
    <x v="211"/>
    <x v="274"/>
    <x v="5"/>
  </r>
  <r>
    <x v="0"/>
    <x v="71"/>
    <x v="71"/>
    <x v="11"/>
    <x v="11"/>
    <x v="11"/>
    <x v="11"/>
    <x v="287"/>
    <x v="231"/>
    <x v="48"/>
    <x v="600"/>
    <x v="211"/>
    <x v="274"/>
    <x v="5"/>
  </r>
  <r>
    <x v="0"/>
    <x v="71"/>
    <x v="71"/>
    <x v="24"/>
    <x v="24"/>
    <x v="24"/>
    <x v="11"/>
    <x v="287"/>
    <x v="231"/>
    <x v="48"/>
    <x v="600"/>
    <x v="211"/>
    <x v="274"/>
    <x v="5"/>
  </r>
  <r>
    <x v="0"/>
    <x v="71"/>
    <x v="71"/>
    <x v="2"/>
    <x v="2"/>
    <x v="2"/>
    <x v="11"/>
    <x v="287"/>
    <x v="231"/>
    <x v="48"/>
    <x v="600"/>
    <x v="211"/>
    <x v="274"/>
    <x v="5"/>
  </r>
  <r>
    <x v="0"/>
    <x v="71"/>
    <x v="71"/>
    <x v="34"/>
    <x v="34"/>
    <x v="34"/>
    <x v="11"/>
    <x v="287"/>
    <x v="231"/>
    <x v="77"/>
    <x v="83"/>
    <x v="160"/>
    <x v="320"/>
    <x v="5"/>
  </r>
  <r>
    <x v="0"/>
    <x v="71"/>
    <x v="71"/>
    <x v="9"/>
    <x v="9"/>
    <x v="9"/>
    <x v="11"/>
    <x v="287"/>
    <x v="231"/>
    <x v="48"/>
    <x v="600"/>
    <x v="211"/>
    <x v="274"/>
    <x v="5"/>
  </r>
  <r>
    <x v="0"/>
    <x v="71"/>
    <x v="71"/>
    <x v="27"/>
    <x v="27"/>
    <x v="27"/>
    <x v="11"/>
    <x v="287"/>
    <x v="231"/>
    <x v="48"/>
    <x v="600"/>
    <x v="211"/>
    <x v="274"/>
    <x v="5"/>
  </r>
  <r>
    <x v="0"/>
    <x v="71"/>
    <x v="71"/>
    <x v="29"/>
    <x v="29"/>
    <x v="29"/>
    <x v="11"/>
    <x v="287"/>
    <x v="231"/>
    <x v="48"/>
    <x v="600"/>
    <x v="211"/>
    <x v="274"/>
    <x v="5"/>
  </r>
  <r>
    <x v="0"/>
    <x v="71"/>
    <x v="71"/>
    <x v="21"/>
    <x v="21"/>
    <x v="21"/>
    <x v="11"/>
    <x v="287"/>
    <x v="231"/>
    <x v="77"/>
    <x v="83"/>
    <x v="160"/>
    <x v="320"/>
    <x v="5"/>
  </r>
  <r>
    <x v="0"/>
    <x v="72"/>
    <x v="72"/>
    <x v="0"/>
    <x v="0"/>
    <x v="0"/>
    <x v="0"/>
    <x v="263"/>
    <x v="605"/>
    <x v="70"/>
    <x v="618"/>
    <x v="160"/>
    <x v="534"/>
    <x v="5"/>
  </r>
  <r>
    <x v="0"/>
    <x v="72"/>
    <x v="72"/>
    <x v="1"/>
    <x v="1"/>
    <x v="1"/>
    <x v="1"/>
    <x v="280"/>
    <x v="606"/>
    <x v="78"/>
    <x v="619"/>
    <x v="211"/>
    <x v="274"/>
    <x v="5"/>
  </r>
  <r>
    <x v="0"/>
    <x v="72"/>
    <x v="72"/>
    <x v="4"/>
    <x v="4"/>
    <x v="4"/>
    <x v="2"/>
    <x v="269"/>
    <x v="607"/>
    <x v="51"/>
    <x v="482"/>
    <x v="132"/>
    <x v="531"/>
    <x v="5"/>
  </r>
  <r>
    <x v="0"/>
    <x v="72"/>
    <x v="72"/>
    <x v="6"/>
    <x v="6"/>
    <x v="6"/>
    <x v="2"/>
    <x v="269"/>
    <x v="607"/>
    <x v="53"/>
    <x v="620"/>
    <x v="160"/>
    <x v="534"/>
    <x v="5"/>
  </r>
  <r>
    <x v="0"/>
    <x v="72"/>
    <x v="72"/>
    <x v="2"/>
    <x v="2"/>
    <x v="2"/>
    <x v="2"/>
    <x v="269"/>
    <x v="607"/>
    <x v="51"/>
    <x v="482"/>
    <x v="132"/>
    <x v="531"/>
    <x v="5"/>
  </r>
  <r>
    <x v="0"/>
    <x v="72"/>
    <x v="72"/>
    <x v="3"/>
    <x v="3"/>
    <x v="3"/>
    <x v="5"/>
    <x v="247"/>
    <x v="608"/>
    <x v="65"/>
    <x v="122"/>
    <x v="163"/>
    <x v="334"/>
    <x v="5"/>
  </r>
  <r>
    <x v="0"/>
    <x v="72"/>
    <x v="72"/>
    <x v="18"/>
    <x v="18"/>
    <x v="18"/>
    <x v="6"/>
    <x v="251"/>
    <x v="609"/>
    <x v="48"/>
    <x v="621"/>
    <x v="163"/>
    <x v="334"/>
    <x v="5"/>
  </r>
  <r>
    <x v="0"/>
    <x v="72"/>
    <x v="72"/>
    <x v="27"/>
    <x v="27"/>
    <x v="27"/>
    <x v="6"/>
    <x v="251"/>
    <x v="609"/>
    <x v="48"/>
    <x v="621"/>
    <x v="163"/>
    <x v="334"/>
    <x v="5"/>
  </r>
  <r>
    <x v="0"/>
    <x v="72"/>
    <x v="72"/>
    <x v="8"/>
    <x v="8"/>
    <x v="8"/>
    <x v="8"/>
    <x v="252"/>
    <x v="610"/>
    <x v="77"/>
    <x v="83"/>
    <x v="163"/>
    <x v="334"/>
    <x v="5"/>
  </r>
  <r>
    <x v="0"/>
    <x v="72"/>
    <x v="72"/>
    <x v="42"/>
    <x v="42"/>
    <x v="42"/>
    <x v="8"/>
    <x v="252"/>
    <x v="610"/>
    <x v="77"/>
    <x v="83"/>
    <x v="163"/>
    <x v="334"/>
    <x v="5"/>
  </r>
  <r>
    <x v="0"/>
    <x v="72"/>
    <x v="72"/>
    <x v="54"/>
    <x v="54"/>
    <x v="54"/>
    <x v="8"/>
    <x v="252"/>
    <x v="610"/>
    <x v="77"/>
    <x v="83"/>
    <x v="163"/>
    <x v="334"/>
    <x v="5"/>
  </r>
  <r>
    <x v="0"/>
    <x v="72"/>
    <x v="72"/>
    <x v="31"/>
    <x v="31"/>
    <x v="31"/>
    <x v="8"/>
    <x v="252"/>
    <x v="610"/>
    <x v="77"/>
    <x v="83"/>
    <x v="163"/>
    <x v="334"/>
    <x v="5"/>
  </r>
  <r>
    <x v="0"/>
    <x v="72"/>
    <x v="72"/>
    <x v="30"/>
    <x v="30"/>
    <x v="30"/>
    <x v="8"/>
    <x v="252"/>
    <x v="610"/>
    <x v="48"/>
    <x v="621"/>
    <x v="160"/>
    <x v="534"/>
    <x v="5"/>
  </r>
  <r>
    <x v="0"/>
    <x v="72"/>
    <x v="72"/>
    <x v="26"/>
    <x v="26"/>
    <x v="26"/>
    <x v="8"/>
    <x v="252"/>
    <x v="610"/>
    <x v="77"/>
    <x v="83"/>
    <x v="160"/>
    <x v="534"/>
    <x v="5"/>
  </r>
  <r>
    <x v="0"/>
    <x v="72"/>
    <x v="72"/>
    <x v="9"/>
    <x v="9"/>
    <x v="9"/>
    <x v="8"/>
    <x v="252"/>
    <x v="610"/>
    <x v="48"/>
    <x v="621"/>
    <x v="160"/>
    <x v="534"/>
    <x v="5"/>
  </r>
  <r>
    <x v="0"/>
    <x v="72"/>
    <x v="72"/>
    <x v="5"/>
    <x v="5"/>
    <x v="5"/>
    <x v="15"/>
    <x v="287"/>
    <x v="448"/>
    <x v="77"/>
    <x v="83"/>
    <x v="160"/>
    <x v="534"/>
    <x v="5"/>
  </r>
  <r>
    <x v="0"/>
    <x v="72"/>
    <x v="72"/>
    <x v="28"/>
    <x v="28"/>
    <x v="28"/>
    <x v="15"/>
    <x v="287"/>
    <x v="448"/>
    <x v="48"/>
    <x v="621"/>
    <x v="211"/>
    <x v="274"/>
    <x v="5"/>
  </r>
  <r>
    <x v="0"/>
    <x v="72"/>
    <x v="72"/>
    <x v="41"/>
    <x v="41"/>
    <x v="41"/>
    <x v="15"/>
    <x v="287"/>
    <x v="448"/>
    <x v="77"/>
    <x v="83"/>
    <x v="211"/>
    <x v="274"/>
    <x v="5"/>
  </r>
  <r>
    <x v="0"/>
    <x v="72"/>
    <x v="72"/>
    <x v="25"/>
    <x v="25"/>
    <x v="25"/>
    <x v="15"/>
    <x v="287"/>
    <x v="448"/>
    <x v="77"/>
    <x v="83"/>
    <x v="160"/>
    <x v="534"/>
    <x v="5"/>
  </r>
  <r>
    <x v="0"/>
    <x v="72"/>
    <x v="72"/>
    <x v="35"/>
    <x v="35"/>
    <x v="35"/>
    <x v="15"/>
    <x v="287"/>
    <x v="448"/>
    <x v="77"/>
    <x v="83"/>
    <x v="160"/>
    <x v="534"/>
    <x v="5"/>
  </r>
  <r>
    <x v="0"/>
    <x v="72"/>
    <x v="72"/>
    <x v="48"/>
    <x v="48"/>
    <x v="48"/>
    <x v="15"/>
    <x v="287"/>
    <x v="448"/>
    <x v="77"/>
    <x v="83"/>
    <x v="160"/>
    <x v="534"/>
    <x v="5"/>
  </r>
  <r>
    <x v="0"/>
    <x v="72"/>
    <x v="72"/>
    <x v="17"/>
    <x v="17"/>
    <x v="17"/>
    <x v="15"/>
    <x v="287"/>
    <x v="448"/>
    <x v="48"/>
    <x v="621"/>
    <x v="211"/>
    <x v="274"/>
    <x v="5"/>
  </r>
  <r>
    <x v="0"/>
    <x v="72"/>
    <x v="72"/>
    <x v="13"/>
    <x v="13"/>
    <x v="13"/>
    <x v="15"/>
    <x v="287"/>
    <x v="448"/>
    <x v="48"/>
    <x v="621"/>
    <x v="211"/>
    <x v="274"/>
    <x v="5"/>
  </r>
  <r>
    <x v="0"/>
    <x v="72"/>
    <x v="72"/>
    <x v="11"/>
    <x v="11"/>
    <x v="11"/>
    <x v="15"/>
    <x v="287"/>
    <x v="448"/>
    <x v="77"/>
    <x v="83"/>
    <x v="160"/>
    <x v="534"/>
    <x v="5"/>
  </r>
  <r>
    <x v="0"/>
    <x v="72"/>
    <x v="72"/>
    <x v="12"/>
    <x v="12"/>
    <x v="12"/>
    <x v="15"/>
    <x v="287"/>
    <x v="448"/>
    <x v="77"/>
    <x v="83"/>
    <x v="160"/>
    <x v="534"/>
    <x v="5"/>
  </r>
  <r>
    <x v="0"/>
    <x v="72"/>
    <x v="72"/>
    <x v="7"/>
    <x v="7"/>
    <x v="7"/>
    <x v="15"/>
    <x v="287"/>
    <x v="448"/>
    <x v="48"/>
    <x v="621"/>
    <x v="211"/>
    <x v="274"/>
    <x v="5"/>
  </r>
  <r>
    <x v="0"/>
    <x v="72"/>
    <x v="72"/>
    <x v="21"/>
    <x v="21"/>
    <x v="21"/>
    <x v="15"/>
    <x v="287"/>
    <x v="448"/>
    <x v="77"/>
    <x v="83"/>
    <x v="160"/>
    <x v="534"/>
    <x v="5"/>
  </r>
  <r>
    <x v="0"/>
    <x v="73"/>
    <x v="73"/>
    <x v="0"/>
    <x v="0"/>
    <x v="0"/>
    <x v="0"/>
    <x v="171"/>
    <x v="611"/>
    <x v="186"/>
    <x v="622"/>
    <x v="153"/>
    <x v="546"/>
    <x v="5"/>
  </r>
  <r>
    <x v="0"/>
    <x v="73"/>
    <x v="73"/>
    <x v="2"/>
    <x v="2"/>
    <x v="2"/>
    <x v="1"/>
    <x v="289"/>
    <x v="612"/>
    <x v="103"/>
    <x v="623"/>
    <x v="164"/>
    <x v="547"/>
    <x v="5"/>
  </r>
  <r>
    <x v="0"/>
    <x v="73"/>
    <x v="73"/>
    <x v="30"/>
    <x v="30"/>
    <x v="30"/>
    <x v="2"/>
    <x v="134"/>
    <x v="613"/>
    <x v="110"/>
    <x v="624"/>
    <x v="208"/>
    <x v="314"/>
    <x v="5"/>
  </r>
  <r>
    <x v="0"/>
    <x v="73"/>
    <x v="73"/>
    <x v="1"/>
    <x v="1"/>
    <x v="1"/>
    <x v="3"/>
    <x v="244"/>
    <x v="614"/>
    <x v="97"/>
    <x v="584"/>
    <x v="206"/>
    <x v="462"/>
    <x v="5"/>
  </r>
  <r>
    <x v="0"/>
    <x v="73"/>
    <x v="73"/>
    <x v="4"/>
    <x v="4"/>
    <x v="4"/>
    <x v="4"/>
    <x v="164"/>
    <x v="615"/>
    <x v="53"/>
    <x v="378"/>
    <x v="134"/>
    <x v="548"/>
    <x v="5"/>
  </r>
  <r>
    <x v="0"/>
    <x v="73"/>
    <x v="73"/>
    <x v="9"/>
    <x v="9"/>
    <x v="9"/>
    <x v="5"/>
    <x v="260"/>
    <x v="616"/>
    <x v="58"/>
    <x v="625"/>
    <x v="189"/>
    <x v="115"/>
    <x v="4"/>
  </r>
  <r>
    <x v="0"/>
    <x v="73"/>
    <x v="73"/>
    <x v="3"/>
    <x v="3"/>
    <x v="3"/>
    <x v="6"/>
    <x v="258"/>
    <x v="295"/>
    <x v="82"/>
    <x v="626"/>
    <x v="214"/>
    <x v="217"/>
    <x v="5"/>
  </r>
  <r>
    <x v="0"/>
    <x v="73"/>
    <x v="73"/>
    <x v="5"/>
    <x v="5"/>
    <x v="5"/>
    <x v="7"/>
    <x v="259"/>
    <x v="202"/>
    <x v="53"/>
    <x v="378"/>
    <x v="213"/>
    <x v="21"/>
    <x v="5"/>
  </r>
  <r>
    <x v="0"/>
    <x v="73"/>
    <x v="73"/>
    <x v="7"/>
    <x v="7"/>
    <x v="7"/>
    <x v="8"/>
    <x v="262"/>
    <x v="617"/>
    <x v="92"/>
    <x v="627"/>
    <x v="160"/>
    <x v="428"/>
    <x v="5"/>
  </r>
  <r>
    <x v="0"/>
    <x v="73"/>
    <x v="73"/>
    <x v="6"/>
    <x v="6"/>
    <x v="6"/>
    <x v="9"/>
    <x v="267"/>
    <x v="618"/>
    <x v="50"/>
    <x v="248"/>
    <x v="190"/>
    <x v="405"/>
    <x v="5"/>
  </r>
  <r>
    <x v="0"/>
    <x v="73"/>
    <x v="73"/>
    <x v="14"/>
    <x v="14"/>
    <x v="14"/>
    <x v="10"/>
    <x v="246"/>
    <x v="151"/>
    <x v="77"/>
    <x v="83"/>
    <x v="212"/>
    <x v="112"/>
    <x v="5"/>
  </r>
  <r>
    <x v="0"/>
    <x v="73"/>
    <x v="73"/>
    <x v="20"/>
    <x v="20"/>
    <x v="20"/>
    <x v="11"/>
    <x v="264"/>
    <x v="265"/>
    <x v="77"/>
    <x v="83"/>
    <x v="213"/>
    <x v="21"/>
    <x v="5"/>
  </r>
  <r>
    <x v="0"/>
    <x v="73"/>
    <x v="73"/>
    <x v="13"/>
    <x v="13"/>
    <x v="13"/>
    <x v="12"/>
    <x v="280"/>
    <x v="241"/>
    <x v="65"/>
    <x v="321"/>
    <x v="210"/>
    <x v="146"/>
    <x v="5"/>
  </r>
  <r>
    <x v="0"/>
    <x v="73"/>
    <x v="73"/>
    <x v="10"/>
    <x v="10"/>
    <x v="10"/>
    <x v="12"/>
    <x v="280"/>
    <x v="241"/>
    <x v="82"/>
    <x v="626"/>
    <x v="209"/>
    <x v="549"/>
    <x v="4"/>
  </r>
  <r>
    <x v="0"/>
    <x v="73"/>
    <x v="73"/>
    <x v="12"/>
    <x v="12"/>
    <x v="12"/>
    <x v="12"/>
    <x v="280"/>
    <x v="241"/>
    <x v="51"/>
    <x v="628"/>
    <x v="189"/>
    <x v="115"/>
    <x v="5"/>
  </r>
  <r>
    <x v="0"/>
    <x v="73"/>
    <x v="73"/>
    <x v="19"/>
    <x v="19"/>
    <x v="19"/>
    <x v="12"/>
    <x v="280"/>
    <x v="241"/>
    <x v="51"/>
    <x v="628"/>
    <x v="210"/>
    <x v="146"/>
    <x v="5"/>
  </r>
  <r>
    <x v="0"/>
    <x v="73"/>
    <x v="73"/>
    <x v="8"/>
    <x v="8"/>
    <x v="8"/>
    <x v="16"/>
    <x v="268"/>
    <x v="374"/>
    <x v="48"/>
    <x v="85"/>
    <x v="206"/>
    <x v="462"/>
    <x v="5"/>
  </r>
  <r>
    <x v="0"/>
    <x v="73"/>
    <x v="73"/>
    <x v="15"/>
    <x v="15"/>
    <x v="15"/>
    <x v="16"/>
    <x v="268"/>
    <x v="374"/>
    <x v="77"/>
    <x v="83"/>
    <x v="197"/>
    <x v="550"/>
    <x v="5"/>
  </r>
  <r>
    <x v="0"/>
    <x v="73"/>
    <x v="73"/>
    <x v="34"/>
    <x v="34"/>
    <x v="34"/>
    <x v="16"/>
    <x v="268"/>
    <x v="374"/>
    <x v="52"/>
    <x v="340"/>
    <x v="210"/>
    <x v="146"/>
    <x v="5"/>
  </r>
  <r>
    <x v="0"/>
    <x v="73"/>
    <x v="73"/>
    <x v="27"/>
    <x v="27"/>
    <x v="27"/>
    <x v="16"/>
    <x v="268"/>
    <x v="374"/>
    <x v="51"/>
    <x v="628"/>
    <x v="210"/>
    <x v="146"/>
    <x v="5"/>
  </r>
  <r>
    <x v="0"/>
    <x v="74"/>
    <x v="74"/>
    <x v="30"/>
    <x v="30"/>
    <x v="30"/>
    <x v="0"/>
    <x v="264"/>
    <x v="619"/>
    <x v="52"/>
    <x v="523"/>
    <x v="206"/>
    <x v="551"/>
    <x v="5"/>
  </r>
  <r>
    <x v="0"/>
    <x v="74"/>
    <x v="74"/>
    <x v="1"/>
    <x v="1"/>
    <x v="1"/>
    <x v="1"/>
    <x v="280"/>
    <x v="620"/>
    <x v="50"/>
    <x v="414"/>
    <x v="163"/>
    <x v="552"/>
    <x v="5"/>
  </r>
  <r>
    <x v="0"/>
    <x v="74"/>
    <x v="74"/>
    <x v="4"/>
    <x v="4"/>
    <x v="4"/>
    <x v="2"/>
    <x v="268"/>
    <x v="621"/>
    <x v="77"/>
    <x v="83"/>
    <x v="197"/>
    <x v="528"/>
    <x v="5"/>
  </r>
  <r>
    <x v="0"/>
    <x v="74"/>
    <x v="74"/>
    <x v="3"/>
    <x v="3"/>
    <x v="3"/>
    <x v="2"/>
    <x v="268"/>
    <x v="621"/>
    <x v="77"/>
    <x v="83"/>
    <x v="197"/>
    <x v="528"/>
    <x v="5"/>
  </r>
  <r>
    <x v="0"/>
    <x v="74"/>
    <x v="74"/>
    <x v="5"/>
    <x v="5"/>
    <x v="5"/>
    <x v="4"/>
    <x v="248"/>
    <x v="622"/>
    <x v="64"/>
    <x v="603"/>
    <x v="132"/>
    <x v="351"/>
    <x v="5"/>
  </r>
  <r>
    <x v="0"/>
    <x v="74"/>
    <x v="74"/>
    <x v="14"/>
    <x v="14"/>
    <x v="14"/>
    <x v="4"/>
    <x v="248"/>
    <x v="622"/>
    <x v="77"/>
    <x v="83"/>
    <x v="211"/>
    <x v="274"/>
    <x v="5"/>
  </r>
  <r>
    <x v="0"/>
    <x v="74"/>
    <x v="74"/>
    <x v="2"/>
    <x v="2"/>
    <x v="2"/>
    <x v="6"/>
    <x v="249"/>
    <x v="623"/>
    <x v="52"/>
    <x v="523"/>
    <x v="160"/>
    <x v="86"/>
    <x v="5"/>
  </r>
  <r>
    <x v="0"/>
    <x v="74"/>
    <x v="74"/>
    <x v="0"/>
    <x v="0"/>
    <x v="0"/>
    <x v="6"/>
    <x v="249"/>
    <x v="623"/>
    <x v="51"/>
    <x v="629"/>
    <x v="160"/>
    <x v="86"/>
    <x v="5"/>
  </r>
  <r>
    <x v="0"/>
    <x v="74"/>
    <x v="74"/>
    <x v="37"/>
    <x v="37"/>
    <x v="37"/>
    <x v="6"/>
    <x v="249"/>
    <x v="623"/>
    <x v="77"/>
    <x v="83"/>
    <x v="211"/>
    <x v="274"/>
    <x v="5"/>
  </r>
  <r>
    <x v="0"/>
    <x v="74"/>
    <x v="74"/>
    <x v="6"/>
    <x v="6"/>
    <x v="6"/>
    <x v="9"/>
    <x v="250"/>
    <x v="624"/>
    <x v="51"/>
    <x v="629"/>
    <x v="211"/>
    <x v="274"/>
    <x v="5"/>
  </r>
  <r>
    <x v="0"/>
    <x v="74"/>
    <x v="74"/>
    <x v="8"/>
    <x v="8"/>
    <x v="8"/>
    <x v="10"/>
    <x v="251"/>
    <x v="249"/>
    <x v="48"/>
    <x v="304"/>
    <x v="163"/>
    <x v="552"/>
    <x v="5"/>
  </r>
  <r>
    <x v="0"/>
    <x v="74"/>
    <x v="74"/>
    <x v="51"/>
    <x v="51"/>
    <x v="51"/>
    <x v="10"/>
    <x v="251"/>
    <x v="249"/>
    <x v="77"/>
    <x v="83"/>
    <x v="209"/>
    <x v="355"/>
    <x v="5"/>
  </r>
  <r>
    <x v="0"/>
    <x v="74"/>
    <x v="74"/>
    <x v="9"/>
    <x v="9"/>
    <x v="9"/>
    <x v="10"/>
    <x v="251"/>
    <x v="249"/>
    <x v="48"/>
    <x v="304"/>
    <x v="211"/>
    <x v="274"/>
    <x v="5"/>
  </r>
  <r>
    <x v="0"/>
    <x v="74"/>
    <x v="74"/>
    <x v="27"/>
    <x v="27"/>
    <x v="27"/>
    <x v="10"/>
    <x v="251"/>
    <x v="249"/>
    <x v="64"/>
    <x v="603"/>
    <x v="160"/>
    <x v="86"/>
    <x v="5"/>
  </r>
  <r>
    <x v="0"/>
    <x v="74"/>
    <x v="74"/>
    <x v="29"/>
    <x v="29"/>
    <x v="29"/>
    <x v="10"/>
    <x v="251"/>
    <x v="249"/>
    <x v="64"/>
    <x v="603"/>
    <x v="160"/>
    <x v="86"/>
    <x v="5"/>
  </r>
  <r>
    <x v="0"/>
    <x v="74"/>
    <x v="74"/>
    <x v="28"/>
    <x v="28"/>
    <x v="28"/>
    <x v="15"/>
    <x v="252"/>
    <x v="123"/>
    <x v="48"/>
    <x v="304"/>
    <x v="160"/>
    <x v="86"/>
    <x v="5"/>
  </r>
  <r>
    <x v="0"/>
    <x v="74"/>
    <x v="74"/>
    <x v="55"/>
    <x v="55"/>
    <x v="55"/>
    <x v="15"/>
    <x v="252"/>
    <x v="123"/>
    <x v="48"/>
    <x v="304"/>
    <x v="160"/>
    <x v="86"/>
    <x v="5"/>
  </r>
  <r>
    <x v="0"/>
    <x v="74"/>
    <x v="74"/>
    <x v="35"/>
    <x v="35"/>
    <x v="35"/>
    <x v="15"/>
    <x v="252"/>
    <x v="123"/>
    <x v="77"/>
    <x v="83"/>
    <x v="160"/>
    <x v="86"/>
    <x v="4"/>
  </r>
  <r>
    <x v="0"/>
    <x v="74"/>
    <x v="74"/>
    <x v="18"/>
    <x v="18"/>
    <x v="18"/>
    <x v="15"/>
    <x v="252"/>
    <x v="123"/>
    <x v="77"/>
    <x v="83"/>
    <x v="163"/>
    <x v="552"/>
    <x v="5"/>
  </r>
  <r>
    <x v="0"/>
    <x v="74"/>
    <x v="74"/>
    <x v="17"/>
    <x v="17"/>
    <x v="17"/>
    <x v="15"/>
    <x v="252"/>
    <x v="123"/>
    <x v="77"/>
    <x v="83"/>
    <x v="163"/>
    <x v="552"/>
    <x v="5"/>
  </r>
  <r>
    <x v="0"/>
    <x v="74"/>
    <x v="74"/>
    <x v="16"/>
    <x v="16"/>
    <x v="16"/>
    <x v="15"/>
    <x v="252"/>
    <x v="123"/>
    <x v="77"/>
    <x v="83"/>
    <x v="163"/>
    <x v="552"/>
    <x v="5"/>
  </r>
  <r>
    <x v="0"/>
    <x v="74"/>
    <x v="74"/>
    <x v="31"/>
    <x v="31"/>
    <x v="31"/>
    <x v="15"/>
    <x v="252"/>
    <x v="123"/>
    <x v="64"/>
    <x v="603"/>
    <x v="211"/>
    <x v="274"/>
    <x v="5"/>
  </r>
  <r>
    <x v="0"/>
    <x v="74"/>
    <x v="74"/>
    <x v="7"/>
    <x v="7"/>
    <x v="7"/>
    <x v="15"/>
    <x v="252"/>
    <x v="123"/>
    <x v="48"/>
    <x v="304"/>
    <x v="160"/>
    <x v="86"/>
    <x v="5"/>
  </r>
  <r>
    <x v="0"/>
    <x v="75"/>
    <x v="75"/>
    <x v="0"/>
    <x v="0"/>
    <x v="0"/>
    <x v="0"/>
    <x v="172"/>
    <x v="625"/>
    <x v="187"/>
    <x v="630"/>
    <x v="134"/>
    <x v="323"/>
    <x v="5"/>
  </r>
  <r>
    <x v="0"/>
    <x v="75"/>
    <x v="75"/>
    <x v="2"/>
    <x v="2"/>
    <x v="2"/>
    <x v="1"/>
    <x v="157"/>
    <x v="626"/>
    <x v="14"/>
    <x v="631"/>
    <x v="214"/>
    <x v="227"/>
    <x v="5"/>
  </r>
  <r>
    <x v="0"/>
    <x v="75"/>
    <x v="75"/>
    <x v="1"/>
    <x v="1"/>
    <x v="1"/>
    <x v="1"/>
    <x v="157"/>
    <x v="626"/>
    <x v="85"/>
    <x v="632"/>
    <x v="210"/>
    <x v="324"/>
    <x v="5"/>
  </r>
  <r>
    <x v="0"/>
    <x v="75"/>
    <x v="75"/>
    <x v="3"/>
    <x v="3"/>
    <x v="3"/>
    <x v="3"/>
    <x v="198"/>
    <x v="627"/>
    <x v="92"/>
    <x v="633"/>
    <x v="128"/>
    <x v="553"/>
    <x v="5"/>
  </r>
  <r>
    <x v="0"/>
    <x v="75"/>
    <x v="75"/>
    <x v="6"/>
    <x v="6"/>
    <x v="6"/>
    <x v="4"/>
    <x v="140"/>
    <x v="544"/>
    <x v="31"/>
    <x v="634"/>
    <x v="215"/>
    <x v="482"/>
    <x v="5"/>
  </r>
  <r>
    <x v="0"/>
    <x v="75"/>
    <x v="75"/>
    <x v="4"/>
    <x v="4"/>
    <x v="4"/>
    <x v="5"/>
    <x v="259"/>
    <x v="628"/>
    <x v="51"/>
    <x v="184"/>
    <x v="157"/>
    <x v="260"/>
    <x v="5"/>
  </r>
  <r>
    <x v="0"/>
    <x v="75"/>
    <x v="75"/>
    <x v="5"/>
    <x v="5"/>
    <x v="5"/>
    <x v="5"/>
    <x v="259"/>
    <x v="628"/>
    <x v="58"/>
    <x v="217"/>
    <x v="189"/>
    <x v="33"/>
    <x v="5"/>
  </r>
  <r>
    <x v="0"/>
    <x v="75"/>
    <x v="75"/>
    <x v="7"/>
    <x v="7"/>
    <x v="7"/>
    <x v="7"/>
    <x v="262"/>
    <x v="629"/>
    <x v="31"/>
    <x v="634"/>
    <x v="211"/>
    <x v="274"/>
    <x v="5"/>
  </r>
  <r>
    <x v="0"/>
    <x v="75"/>
    <x v="75"/>
    <x v="8"/>
    <x v="8"/>
    <x v="8"/>
    <x v="8"/>
    <x v="279"/>
    <x v="46"/>
    <x v="53"/>
    <x v="635"/>
    <x v="190"/>
    <x v="554"/>
    <x v="5"/>
  </r>
  <r>
    <x v="0"/>
    <x v="75"/>
    <x v="75"/>
    <x v="13"/>
    <x v="13"/>
    <x v="13"/>
    <x v="8"/>
    <x v="279"/>
    <x v="46"/>
    <x v="96"/>
    <x v="636"/>
    <x v="210"/>
    <x v="324"/>
    <x v="5"/>
  </r>
  <r>
    <x v="0"/>
    <x v="75"/>
    <x v="75"/>
    <x v="11"/>
    <x v="11"/>
    <x v="11"/>
    <x v="10"/>
    <x v="263"/>
    <x v="418"/>
    <x v="82"/>
    <x v="637"/>
    <x v="189"/>
    <x v="33"/>
    <x v="5"/>
  </r>
  <r>
    <x v="0"/>
    <x v="75"/>
    <x v="75"/>
    <x v="9"/>
    <x v="9"/>
    <x v="9"/>
    <x v="11"/>
    <x v="264"/>
    <x v="165"/>
    <x v="51"/>
    <x v="184"/>
    <x v="210"/>
    <x v="324"/>
    <x v="5"/>
  </r>
  <r>
    <x v="0"/>
    <x v="75"/>
    <x v="75"/>
    <x v="30"/>
    <x v="30"/>
    <x v="30"/>
    <x v="12"/>
    <x v="280"/>
    <x v="630"/>
    <x v="82"/>
    <x v="637"/>
    <x v="132"/>
    <x v="199"/>
    <x v="5"/>
  </r>
  <r>
    <x v="0"/>
    <x v="75"/>
    <x v="75"/>
    <x v="26"/>
    <x v="26"/>
    <x v="26"/>
    <x v="12"/>
    <x v="280"/>
    <x v="630"/>
    <x v="77"/>
    <x v="83"/>
    <x v="215"/>
    <x v="482"/>
    <x v="5"/>
  </r>
  <r>
    <x v="0"/>
    <x v="75"/>
    <x v="75"/>
    <x v="28"/>
    <x v="28"/>
    <x v="28"/>
    <x v="14"/>
    <x v="268"/>
    <x v="412"/>
    <x v="64"/>
    <x v="286"/>
    <x v="190"/>
    <x v="554"/>
    <x v="5"/>
  </r>
  <r>
    <x v="0"/>
    <x v="75"/>
    <x v="75"/>
    <x v="10"/>
    <x v="10"/>
    <x v="10"/>
    <x v="14"/>
    <x v="268"/>
    <x v="412"/>
    <x v="53"/>
    <x v="635"/>
    <x v="163"/>
    <x v="208"/>
    <x v="5"/>
  </r>
  <r>
    <x v="0"/>
    <x v="75"/>
    <x v="75"/>
    <x v="24"/>
    <x v="24"/>
    <x v="24"/>
    <x v="16"/>
    <x v="247"/>
    <x v="38"/>
    <x v="64"/>
    <x v="286"/>
    <x v="210"/>
    <x v="324"/>
    <x v="5"/>
  </r>
  <r>
    <x v="0"/>
    <x v="75"/>
    <x v="75"/>
    <x v="18"/>
    <x v="18"/>
    <x v="18"/>
    <x v="17"/>
    <x v="248"/>
    <x v="55"/>
    <x v="77"/>
    <x v="83"/>
    <x v="189"/>
    <x v="33"/>
    <x v="5"/>
  </r>
  <r>
    <x v="0"/>
    <x v="75"/>
    <x v="75"/>
    <x v="16"/>
    <x v="16"/>
    <x v="16"/>
    <x v="17"/>
    <x v="248"/>
    <x v="55"/>
    <x v="48"/>
    <x v="185"/>
    <x v="132"/>
    <x v="199"/>
    <x v="4"/>
  </r>
  <r>
    <x v="0"/>
    <x v="75"/>
    <x v="75"/>
    <x v="38"/>
    <x v="38"/>
    <x v="38"/>
    <x v="19"/>
    <x v="249"/>
    <x v="349"/>
    <x v="64"/>
    <x v="286"/>
    <x v="209"/>
    <x v="253"/>
    <x v="5"/>
  </r>
  <r>
    <x v="0"/>
    <x v="75"/>
    <x v="75"/>
    <x v="17"/>
    <x v="17"/>
    <x v="17"/>
    <x v="19"/>
    <x v="249"/>
    <x v="349"/>
    <x v="48"/>
    <x v="185"/>
    <x v="132"/>
    <x v="199"/>
    <x v="5"/>
  </r>
  <r>
    <x v="0"/>
    <x v="75"/>
    <x v="75"/>
    <x v="14"/>
    <x v="14"/>
    <x v="14"/>
    <x v="19"/>
    <x v="249"/>
    <x v="349"/>
    <x v="77"/>
    <x v="83"/>
    <x v="163"/>
    <x v="208"/>
    <x v="5"/>
  </r>
  <r>
    <x v="0"/>
    <x v="76"/>
    <x v="76"/>
    <x v="6"/>
    <x v="6"/>
    <x v="6"/>
    <x v="0"/>
    <x v="269"/>
    <x v="631"/>
    <x v="53"/>
    <x v="638"/>
    <x v="160"/>
    <x v="415"/>
    <x v="5"/>
  </r>
  <r>
    <x v="0"/>
    <x v="76"/>
    <x v="76"/>
    <x v="8"/>
    <x v="8"/>
    <x v="8"/>
    <x v="1"/>
    <x v="247"/>
    <x v="632"/>
    <x v="48"/>
    <x v="536"/>
    <x v="189"/>
    <x v="555"/>
    <x v="5"/>
  </r>
  <r>
    <x v="0"/>
    <x v="76"/>
    <x v="76"/>
    <x v="30"/>
    <x v="30"/>
    <x v="30"/>
    <x v="2"/>
    <x v="248"/>
    <x v="633"/>
    <x v="65"/>
    <x v="381"/>
    <x v="160"/>
    <x v="415"/>
    <x v="5"/>
  </r>
  <r>
    <x v="0"/>
    <x v="76"/>
    <x v="76"/>
    <x v="4"/>
    <x v="4"/>
    <x v="4"/>
    <x v="3"/>
    <x v="249"/>
    <x v="490"/>
    <x v="48"/>
    <x v="536"/>
    <x v="132"/>
    <x v="530"/>
    <x v="5"/>
  </r>
  <r>
    <x v="0"/>
    <x v="76"/>
    <x v="76"/>
    <x v="5"/>
    <x v="5"/>
    <x v="5"/>
    <x v="4"/>
    <x v="250"/>
    <x v="74"/>
    <x v="64"/>
    <x v="192"/>
    <x v="163"/>
    <x v="323"/>
    <x v="5"/>
  </r>
  <r>
    <x v="0"/>
    <x v="76"/>
    <x v="76"/>
    <x v="1"/>
    <x v="1"/>
    <x v="1"/>
    <x v="4"/>
    <x v="250"/>
    <x v="74"/>
    <x v="51"/>
    <x v="383"/>
    <x v="211"/>
    <x v="274"/>
    <x v="5"/>
  </r>
  <r>
    <x v="0"/>
    <x v="76"/>
    <x v="76"/>
    <x v="15"/>
    <x v="15"/>
    <x v="15"/>
    <x v="6"/>
    <x v="251"/>
    <x v="237"/>
    <x v="77"/>
    <x v="83"/>
    <x v="209"/>
    <x v="413"/>
    <x v="5"/>
  </r>
  <r>
    <x v="0"/>
    <x v="76"/>
    <x v="76"/>
    <x v="3"/>
    <x v="3"/>
    <x v="3"/>
    <x v="6"/>
    <x v="251"/>
    <x v="237"/>
    <x v="48"/>
    <x v="536"/>
    <x v="163"/>
    <x v="323"/>
    <x v="5"/>
  </r>
  <r>
    <x v="0"/>
    <x v="76"/>
    <x v="76"/>
    <x v="2"/>
    <x v="2"/>
    <x v="2"/>
    <x v="8"/>
    <x v="252"/>
    <x v="460"/>
    <x v="64"/>
    <x v="192"/>
    <x v="211"/>
    <x v="274"/>
    <x v="5"/>
  </r>
  <r>
    <x v="0"/>
    <x v="76"/>
    <x v="76"/>
    <x v="26"/>
    <x v="26"/>
    <x v="26"/>
    <x v="8"/>
    <x v="252"/>
    <x v="460"/>
    <x v="77"/>
    <x v="83"/>
    <x v="163"/>
    <x v="323"/>
    <x v="5"/>
  </r>
  <r>
    <x v="0"/>
    <x v="76"/>
    <x v="76"/>
    <x v="9"/>
    <x v="9"/>
    <x v="9"/>
    <x v="8"/>
    <x v="252"/>
    <x v="460"/>
    <x v="77"/>
    <x v="83"/>
    <x v="211"/>
    <x v="274"/>
    <x v="5"/>
  </r>
  <r>
    <x v="0"/>
    <x v="76"/>
    <x v="76"/>
    <x v="55"/>
    <x v="55"/>
    <x v="55"/>
    <x v="11"/>
    <x v="287"/>
    <x v="84"/>
    <x v="77"/>
    <x v="83"/>
    <x v="160"/>
    <x v="415"/>
    <x v="5"/>
  </r>
  <r>
    <x v="0"/>
    <x v="76"/>
    <x v="76"/>
    <x v="52"/>
    <x v="52"/>
    <x v="52"/>
    <x v="11"/>
    <x v="287"/>
    <x v="84"/>
    <x v="77"/>
    <x v="83"/>
    <x v="160"/>
    <x v="415"/>
    <x v="5"/>
  </r>
  <r>
    <x v="0"/>
    <x v="76"/>
    <x v="76"/>
    <x v="41"/>
    <x v="41"/>
    <x v="41"/>
    <x v="11"/>
    <x v="287"/>
    <x v="84"/>
    <x v="77"/>
    <x v="83"/>
    <x v="211"/>
    <x v="274"/>
    <x v="5"/>
  </r>
  <r>
    <x v="0"/>
    <x v="76"/>
    <x v="76"/>
    <x v="11"/>
    <x v="11"/>
    <x v="11"/>
    <x v="11"/>
    <x v="287"/>
    <x v="84"/>
    <x v="48"/>
    <x v="536"/>
    <x v="211"/>
    <x v="274"/>
    <x v="5"/>
  </r>
  <r>
    <x v="0"/>
    <x v="76"/>
    <x v="76"/>
    <x v="24"/>
    <x v="24"/>
    <x v="24"/>
    <x v="11"/>
    <x v="287"/>
    <x v="84"/>
    <x v="77"/>
    <x v="83"/>
    <x v="160"/>
    <x v="415"/>
    <x v="5"/>
  </r>
  <r>
    <x v="0"/>
    <x v="76"/>
    <x v="76"/>
    <x v="7"/>
    <x v="7"/>
    <x v="7"/>
    <x v="11"/>
    <x v="287"/>
    <x v="84"/>
    <x v="48"/>
    <x v="536"/>
    <x v="211"/>
    <x v="274"/>
    <x v="5"/>
  </r>
  <r>
    <x v="0"/>
    <x v="76"/>
    <x v="76"/>
    <x v="14"/>
    <x v="14"/>
    <x v="14"/>
    <x v="11"/>
    <x v="287"/>
    <x v="84"/>
    <x v="77"/>
    <x v="83"/>
    <x v="211"/>
    <x v="274"/>
    <x v="5"/>
  </r>
  <r>
    <x v="0"/>
    <x v="77"/>
    <x v="77"/>
    <x v="6"/>
    <x v="6"/>
    <x v="6"/>
    <x v="0"/>
    <x v="247"/>
    <x v="634"/>
    <x v="82"/>
    <x v="639"/>
    <x v="160"/>
    <x v="272"/>
    <x v="5"/>
  </r>
  <r>
    <x v="0"/>
    <x v="77"/>
    <x v="77"/>
    <x v="0"/>
    <x v="0"/>
    <x v="0"/>
    <x v="0"/>
    <x v="247"/>
    <x v="634"/>
    <x v="65"/>
    <x v="538"/>
    <x v="163"/>
    <x v="556"/>
    <x v="5"/>
  </r>
  <r>
    <x v="0"/>
    <x v="77"/>
    <x v="77"/>
    <x v="3"/>
    <x v="3"/>
    <x v="3"/>
    <x v="2"/>
    <x v="250"/>
    <x v="635"/>
    <x v="52"/>
    <x v="640"/>
    <x v="160"/>
    <x v="272"/>
    <x v="5"/>
  </r>
  <r>
    <x v="0"/>
    <x v="77"/>
    <x v="77"/>
    <x v="30"/>
    <x v="30"/>
    <x v="30"/>
    <x v="2"/>
    <x v="250"/>
    <x v="635"/>
    <x v="64"/>
    <x v="326"/>
    <x v="163"/>
    <x v="556"/>
    <x v="5"/>
  </r>
  <r>
    <x v="0"/>
    <x v="77"/>
    <x v="77"/>
    <x v="1"/>
    <x v="1"/>
    <x v="1"/>
    <x v="4"/>
    <x v="251"/>
    <x v="451"/>
    <x v="52"/>
    <x v="640"/>
    <x v="211"/>
    <x v="274"/>
    <x v="5"/>
  </r>
  <r>
    <x v="0"/>
    <x v="77"/>
    <x v="77"/>
    <x v="14"/>
    <x v="14"/>
    <x v="14"/>
    <x v="5"/>
    <x v="252"/>
    <x v="294"/>
    <x v="77"/>
    <x v="83"/>
    <x v="163"/>
    <x v="556"/>
    <x v="5"/>
  </r>
  <r>
    <x v="0"/>
    <x v="77"/>
    <x v="77"/>
    <x v="4"/>
    <x v="4"/>
    <x v="4"/>
    <x v="6"/>
    <x v="287"/>
    <x v="636"/>
    <x v="77"/>
    <x v="83"/>
    <x v="160"/>
    <x v="272"/>
    <x v="5"/>
  </r>
  <r>
    <x v="0"/>
    <x v="77"/>
    <x v="77"/>
    <x v="5"/>
    <x v="5"/>
    <x v="5"/>
    <x v="6"/>
    <x v="287"/>
    <x v="636"/>
    <x v="77"/>
    <x v="83"/>
    <x v="160"/>
    <x v="272"/>
    <x v="5"/>
  </r>
  <r>
    <x v="0"/>
    <x v="77"/>
    <x v="77"/>
    <x v="8"/>
    <x v="8"/>
    <x v="8"/>
    <x v="6"/>
    <x v="287"/>
    <x v="636"/>
    <x v="77"/>
    <x v="83"/>
    <x v="160"/>
    <x v="272"/>
    <x v="5"/>
  </r>
  <r>
    <x v="0"/>
    <x v="77"/>
    <x v="77"/>
    <x v="28"/>
    <x v="28"/>
    <x v="28"/>
    <x v="6"/>
    <x v="287"/>
    <x v="636"/>
    <x v="48"/>
    <x v="641"/>
    <x v="211"/>
    <x v="274"/>
    <x v="5"/>
  </r>
  <r>
    <x v="0"/>
    <x v="77"/>
    <x v="77"/>
    <x v="41"/>
    <x v="41"/>
    <x v="41"/>
    <x v="6"/>
    <x v="287"/>
    <x v="636"/>
    <x v="77"/>
    <x v="83"/>
    <x v="211"/>
    <x v="274"/>
    <x v="5"/>
  </r>
  <r>
    <x v="0"/>
    <x v="77"/>
    <x v="77"/>
    <x v="22"/>
    <x v="22"/>
    <x v="22"/>
    <x v="6"/>
    <x v="287"/>
    <x v="636"/>
    <x v="77"/>
    <x v="83"/>
    <x v="160"/>
    <x v="272"/>
    <x v="5"/>
  </r>
  <r>
    <x v="0"/>
    <x v="77"/>
    <x v="77"/>
    <x v="2"/>
    <x v="2"/>
    <x v="2"/>
    <x v="6"/>
    <x v="287"/>
    <x v="636"/>
    <x v="77"/>
    <x v="83"/>
    <x v="160"/>
    <x v="272"/>
    <x v="5"/>
  </r>
  <r>
    <x v="0"/>
    <x v="77"/>
    <x v="77"/>
    <x v="7"/>
    <x v="7"/>
    <x v="7"/>
    <x v="6"/>
    <x v="287"/>
    <x v="636"/>
    <x v="48"/>
    <x v="641"/>
    <x v="211"/>
    <x v="274"/>
    <x v="5"/>
  </r>
  <r>
    <x v="0"/>
    <x v="77"/>
    <x v="77"/>
    <x v="36"/>
    <x v="36"/>
    <x v="36"/>
    <x v="6"/>
    <x v="287"/>
    <x v="636"/>
    <x v="48"/>
    <x v="641"/>
    <x v="211"/>
    <x v="274"/>
    <x v="5"/>
  </r>
  <r>
    <x v="0"/>
    <x v="77"/>
    <x v="77"/>
    <x v="27"/>
    <x v="27"/>
    <x v="27"/>
    <x v="6"/>
    <x v="287"/>
    <x v="636"/>
    <x v="48"/>
    <x v="641"/>
    <x v="211"/>
    <x v="274"/>
    <x v="5"/>
  </r>
  <r>
    <x v="0"/>
    <x v="78"/>
    <x v="78"/>
    <x v="3"/>
    <x v="3"/>
    <x v="3"/>
    <x v="0"/>
    <x v="267"/>
    <x v="637"/>
    <x v="78"/>
    <x v="642"/>
    <x v="210"/>
    <x v="557"/>
    <x v="5"/>
  </r>
  <r>
    <x v="0"/>
    <x v="78"/>
    <x v="78"/>
    <x v="0"/>
    <x v="0"/>
    <x v="0"/>
    <x v="0"/>
    <x v="267"/>
    <x v="637"/>
    <x v="70"/>
    <x v="643"/>
    <x v="132"/>
    <x v="558"/>
    <x v="5"/>
  </r>
  <r>
    <x v="0"/>
    <x v="78"/>
    <x v="78"/>
    <x v="6"/>
    <x v="6"/>
    <x v="6"/>
    <x v="2"/>
    <x v="280"/>
    <x v="530"/>
    <x v="50"/>
    <x v="644"/>
    <x v="163"/>
    <x v="314"/>
    <x v="5"/>
  </r>
  <r>
    <x v="0"/>
    <x v="78"/>
    <x v="78"/>
    <x v="30"/>
    <x v="30"/>
    <x v="30"/>
    <x v="2"/>
    <x v="280"/>
    <x v="530"/>
    <x v="50"/>
    <x v="644"/>
    <x v="163"/>
    <x v="314"/>
    <x v="5"/>
  </r>
  <r>
    <x v="0"/>
    <x v="78"/>
    <x v="78"/>
    <x v="4"/>
    <x v="4"/>
    <x v="4"/>
    <x v="4"/>
    <x v="248"/>
    <x v="638"/>
    <x v="52"/>
    <x v="633"/>
    <x v="209"/>
    <x v="547"/>
    <x v="5"/>
  </r>
  <r>
    <x v="0"/>
    <x v="78"/>
    <x v="78"/>
    <x v="34"/>
    <x v="34"/>
    <x v="34"/>
    <x v="5"/>
    <x v="249"/>
    <x v="187"/>
    <x v="51"/>
    <x v="645"/>
    <x v="211"/>
    <x v="274"/>
    <x v="5"/>
  </r>
  <r>
    <x v="0"/>
    <x v="78"/>
    <x v="78"/>
    <x v="1"/>
    <x v="1"/>
    <x v="1"/>
    <x v="6"/>
    <x v="250"/>
    <x v="104"/>
    <x v="51"/>
    <x v="645"/>
    <x v="211"/>
    <x v="274"/>
    <x v="5"/>
  </r>
  <r>
    <x v="0"/>
    <x v="78"/>
    <x v="78"/>
    <x v="28"/>
    <x v="28"/>
    <x v="28"/>
    <x v="7"/>
    <x v="251"/>
    <x v="163"/>
    <x v="77"/>
    <x v="83"/>
    <x v="163"/>
    <x v="314"/>
    <x v="4"/>
  </r>
  <r>
    <x v="0"/>
    <x v="78"/>
    <x v="78"/>
    <x v="18"/>
    <x v="18"/>
    <x v="18"/>
    <x v="7"/>
    <x v="251"/>
    <x v="163"/>
    <x v="77"/>
    <x v="83"/>
    <x v="209"/>
    <x v="547"/>
    <x v="5"/>
  </r>
  <r>
    <x v="0"/>
    <x v="78"/>
    <x v="78"/>
    <x v="14"/>
    <x v="14"/>
    <x v="14"/>
    <x v="7"/>
    <x v="251"/>
    <x v="163"/>
    <x v="77"/>
    <x v="83"/>
    <x v="160"/>
    <x v="462"/>
    <x v="5"/>
  </r>
  <r>
    <x v="0"/>
    <x v="78"/>
    <x v="78"/>
    <x v="8"/>
    <x v="8"/>
    <x v="8"/>
    <x v="10"/>
    <x v="252"/>
    <x v="152"/>
    <x v="77"/>
    <x v="83"/>
    <x v="163"/>
    <x v="314"/>
    <x v="5"/>
  </r>
  <r>
    <x v="0"/>
    <x v="78"/>
    <x v="78"/>
    <x v="49"/>
    <x v="49"/>
    <x v="49"/>
    <x v="10"/>
    <x v="252"/>
    <x v="152"/>
    <x v="77"/>
    <x v="83"/>
    <x v="163"/>
    <x v="314"/>
    <x v="5"/>
  </r>
  <r>
    <x v="0"/>
    <x v="78"/>
    <x v="78"/>
    <x v="13"/>
    <x v="13"/>
    <x v="13"/>
    <x v="10"/>
    <x v="252"/>
    <x v="152"/>
    <x v="48"/>
    <x v="270"/>
    <x v="160"/>
    <x v="462"/>
    <x v="5"/>
  </r>
  <r>
    <x v="0"/>
    <x v="78"/>
    <x v="78"/>
    <x v="26"/>
    <x v="26"/>
    <x v="26"/>
    <x v="10"/>
    <x v="252"/>
    <x v="152"/>
    <x v="77"/>
    <x v="83"/>
    <x v="160"/>
    <x v="462"/>
    <x v="5"/>
  </r>
  <r>
    <x v="0"/>
    <x v="78"/>
    <x v="78"/>
    <x v="25"/>
    <x v="25"/>
    <x v="25"/>
    <x v="14"/>
    <x v="287"/>
    <x v="532"/>
    <x v="48"/>
    <x v="270"/>
    <x v="211"/>
    <x v="274"/>
    <x v="5"/>
  </r>
  <r>
    <x v="0"/>
    <x v="78"/>
    <x v="78"/>
    <x v="61"/>
    <x v="61"/>
    <x v="61"/>
    <x v="14"/>
    <x v="287"/>
    <x v="532"/>
    <x v="48"/>
    <x v="270"/>
    <x v="211"/>
    <x v="274"/>
    <x v="5"/>
  </r>
  <r>
    <x v="0"/>
    <x v="78"/>
    <x v="78"/>
    <x v="17"/>
    <x v="17"/>
    <x v="17"/>
    <x v="14"/>
    <x v="287"/>
    <x v="532"/>
    <x v="77"/>
    <x v="83"/>
    <x v="160"/>
    <x v="462"/>
    <x v="5"/>
  </r>
  <r>
    <x v="0"/>
    <x v="78"/>
    <x v="78"/>
    <x v="16"/>
    <x v="16"/>
    <x v="16"/>
    <x v="14"/>
    <x v="287"/>
    <x v="532"/>
    <x v="77"/>
    <x v="83"/>
    <x v="160"/>
    <x v="462"/>
    <x v="5"/>
  </r>
  <r>
    <x v="0"/>
    <x v="78"/>
    <x v="78"/>
    <x v="23"/>
    <x v="23"/>
    <x v="23"/>
    <x v="14"/>
    <x v="287"/>
    <x v="532"/>
    <x v="77"/>
    <x v="83"/>
    <x v="160"/>
    <x v="462"/>
    <x v="5"/>
  </r>
  <r>
    <x v="0"/>
    <x v="78"/>
    <x v="78"/>
    <x v="9"/>
    <x v="9"/>
    <x v="9"/>
    <x v="14"/>
    <x v="287"/>
    <x v="532"/>
    <x v="48"/>
    <x v="270"/>
    <x v="211"/>
    <x v="274"/>
    <x v="5"/>
  </r>
  <r>
    <x v="0"/>
    <x v="78"/>
    <x v="78"/>
    <x v="7"/>
    <x v="7"/>
    <x v="7"/>
    <x v="14"/>
    <x v="287"/>
    <x v="532"/>
    <x v="48"/>
    <x v="270"/>
    <x v="211"/>
    <x v="274"/>
    <x v="5"/>
  </r>
  <r>
    <x v="0"/>
    <x v="79"/>
    <x v="79"/>
    <x v="1"/>
    <x v="1"/>
    <x v="1"/>
    <x v="0"/>
    <x v="279"/>
    <x v="351"/>
    <x v="38"/>
    <x v="646"/>
    <x v="160"/>
    <x v="324"/>
    <x v="5"/>
  </r>
  <r>
    <x v="0"/>
    <x v="79"/>
    <x v="79"/>
    <x v="3"/>
    <x v="3"/>
    <x v="3"/>
    <x v="1"/>
    <x v="246"/>
    <x v="639"/>
    <x v="82"/>
    <x v="647"/>
    <x v="190"/>
    <x v="559"/>
    <x v="5"/>
  </r>
  <r>
    <x v="0"/>
    <x v="79"/>
    <x v="79"/>
    <x v="6"/>
    <x v="6"/>
    <x v="6"/>
    <x v="2"/>
    <x v="268"/>
    <x v="599"/>
    <x v="51"/>
    <x v="137"/>
    <x v="210"/>
    <x v="560"/>
    <x v="5"/>
  </r>
  <r>
    <x v="0"/>
    <x v="79"/>
    <x v="79"/>
    <x v="0"/>
    <x v="0"/>
    <x v="0"/>
    <x v="2"/>
    <x v="268"/>
    <x v="599"/>
    <x v="96"/>
    <x v="648"/>
    <x v="211"/>
    <x v="274"/>
    <x v="5"/>
  </r>
  <r>
    <x v="0"/>
    <x v="79"/>
    <x v="79"/>
    <x v="5"/>
    <x v="5"/>
    <x v="5"/>
    <x v="4"/>
    <x v="269"/>
    <x v="640"/>
    <x v="51"/>
    <x v="137"/>
    <x v="132"/>
    <x v="330"/>
    <x v="5"/>
  </r>
  <r>
    <x v="0"/>
    <x v="79"/>
    <x v="79"/>
    <x v="34"/>
    <x v="34"/>
    <x v="34"/>
    <x v="5"/>
    <x v="249"/>
    <x v="641"/>
    <x v="51"/>
    <x v="137"/>
    <x v="211"/>
    <x v="274"/>
    <x v="5"/>
  </r>
  <r>
    <x v="0"/>
    <x v="79"/>
    <x v="79"/>
    <x v="4"/>
    <x v="4"/>
    <x v="4"/>
    <x v="6"/>
    <x v="250"/>
    <x v="642"/>
    <x v="48"/>
    <x v="237"/>
    <x v="209"/>
    <x v="323"/>
    <x v="5"/>
  </r>
  <r>
    <x v="0"/>
    <x v="79"/>
    <x v="79"/>
    <x v="8"/>
    <x v="8"/>
    <x v="8"/>
    <x v="6"/>
    <x v="250"/>
    <x v="642"/>
    <x v="64"/>
    <x v="474"/>
    <x v="163"/>
    <x v="482"/>
    <x v="5"/>
  </r>
  <r>
    <x v="0"/>
    <x v="79"/>
    <x v="79"/>
    <x v="13"/>
    <x v="13"/>
    <x v="13"/>
    <x v="6"/>
    <x v="250"/>
    <x v="642"/>
    <x v="52"/>
    <x v="649"/>
    <x v="160"/>
    <x v="324"/>
    <x v="5"/>
  </r>
  <r>
    <x v="0"/>
    <x v="79"/>
    <x v="79"/>
    <x v="7"/>
    <x v="7"/>
    <x v="7"/>
    <x v="6"/>
    <x v="250"/>
    <x v="642"/>
    <x v="51"/>
    <x v="137"/>
    <x v="211"/>
    <x v="274"/>
    <x v="5"/>
  </r>
  <r>
    <x v="0"/>
    <x v="79"/>
    <x v="79"/>
    <x v="14"/>
    <x v="14"/>
    <x v="14"/>
    <x v="6"/>
    <x v="250"/>
    <x v="642"/>
    <x v="77"/>
    <x v="83"/>
    <x v="160"/>
    <x v="324"/>
    <x v="5"/>
  </r>
  <r>
    <x v="0"/>
    <x v="79"/>
    <x v="79"/>
    <x v="41"/>
    <x v="41"/>
    <x v="41"/>
    <x v="11"/>
    <x v="251"/>
    <x v="478"/>
    <x v="77"/>
    <x v="83"/>
    <x v="160"/>
    <x v="324"/>
    <x v="5"/>
  </r>
  <r>
    <x v="0"/>
    <x v="79"/>
    <x v="79"/>
    <x v="26"/>
    <x v="26"/>
    <x v="26"/>
    <x v="11"/>
    <x v="251"/>
    <x v="478"/>
    <x v="77"/>
    <x v="83"/>
    <x v="163"/>
    <x v="482"/>
    <x v="5"/>
  </r>
  <r>
    <x v="0"/>
    <x v="79"/>
    <x v="79"/>
    <x v="28"/>
    <x v="28"/>
    <x v="28"/>
    <x v="13"/>
    <x v="252"/>
    <x v="241"/>
    <x v="48"/>
    <x v="237"/>
    <x v="160"/>
    <x v="324"/>
    <x v="5"/>
  </r>
  <r>
    <x v="0"/>
    <x v="79"/>
    <x v="79"/>
    <x v="44"/>
    <x v="44"/>
    <x v="44"/>
    <x v="13"/>
    <x v="252"/>
    <x v="241"/>
    <x v="77"/>
    <x v="83"/>
    <x v="163"/>
    <x v="482"/>
    <x v="5"/>
  </r>
  <r>
    <x v="0"/>
    <x v="79"/>
    <x v="79"/>
    <x v="2"/>
    <x v="2"/>
    <x v="2"/>
    <x v="13"/>
    <x v="252"/>
    <x v="241"/>
    <x v="48"/>
    <x v="237"/>
    <x v="160"/>
    <x v="324"/>
    <x v="5"/>
  </r>
  <r>
    <x v="0"/>
    <x v="79"/>
    <x v="79"/>
    <x v="30"/>
    <x v="30"/>
    <x v="30"/>
    <x v="13"/>
    <x v="252"/>
    <x v="241"/>
    <x v="64"/>
    <x v="474"/>
    <x v="211"/>
    <x v="274"/>
    <x v="5"/>
  </r>
  <r>
    <x v="0"/>
    <x v="79"/>
    <x v="79"/>
    <x v="21"/>
    <x v="21"/>
    <x v="21"/>
    <x v="13"/>
    <x v="252"/>
    <x v="241"/>
    <x v="64"/>
    <x v="474"/>
    <x v="211"/>
    <x v="274"/>
    <x v="5"/>
  </r>
  <r>
    <x v="0"/>
    <x v="79"/>
    <x v="79"/>
    <x v="49"/>
    <x v="49"/>
    <x v="49"/>
    <x v="18"/>
    <x v="287"/>
    <x v="643"/>
    <x v="77"/>
    <x v="83"/>
    <x v="160"/>
    <x v="324"/>
    <x v="5"/>
  </r>
  <r>
    <x v="0"/>
    <x v="79"/>
    <x v="79"/>
    <x v="32"/>
    <x v="32"/>
    <x v="32"/>
    <x v="18"/>
    <x v="287"/>
    <x v="643"/>
    <x v="77"/>
    <x v="83"/>
    <x v="160"/>
    <x v="324"/>
    <x v="5"/>
  </r>
  <r>
    <x v="0"/>
    <x v="79"/>
    <x v="79"/>
    <x v="45"/>
    <x v="45"/>
    <x v="45"/>
    <x v="18"/>
    <x v="287"/>
    <x v="643"/>
    <x v="48"/>
    <x v="237"/>
    <x v="211"/>
    <x v="274"/>
    <x v="5"/>
  </r>
  <r>
    <x v="0"/>
    <x v="79"/>
    <x v="79"/>
    <x v="59"/>
    <x v="59"/>
    <x v="59"/>
    <x v="18"/>
    <x v="287"/>
    <x v="643"/>
    <x v="48"/>
    <x v="237"/>
    <x v="211"/>
    <x v="274"/>
    <x v="5"/>
  </r>
  <r>
    <x v="0"/>
    <x v="79"/>
    <x v="79"/>
    <x v="18"/>
    <x v="18"/>
    <x v="18"/>
    <x v="18"/>
    <x v="287"/>
    <x v="643"/>
    <x v="48"/>
    <x v="237"/>
    <x v="211"/>
    <x v="274"/>
    <x v="5"/>
  </r>
  <r>
    <x v="0"/>
    <x v="79"/>
    <x v="79"/>
    <x v="23"/>
    <x v="23"/>
    <x v="23"/>
    <x v="18"/>
    <x v="287"/>
    <x v="643"/>
    <x v="48"/>
    <x v="237"/>
    <x v="211"/>
    <x v="274"/>
    <x v="5"/>
  </r>
  <r>
    <x v="0"/>
    <x v="79"/>
    <x v="79"/>
    <x v="24"/>
    <x v="24"/>
    <x v="24"/>
    <x v="18"/>
    <x v="287"/>
    <x v="643"/>
    <x v="77"/>
    <x v="83"/>
    <x v="160"/>
    <x v="324"/>
    <x v="5"/>
  </r>
  <r>
    <x v="0"/>
    <x v="79"/>
    <x v="79"/>
    <x v="19"/>
    <x v="19"/>
    <x v="19"/>
    <x v="18"/>
    <x v="287"/>
    <x v="643"/>
    <x v="77"/>
    <x v="83"/>
    <x v="160"/>
    <x v="324"/>
    <x v="5"/>
  </r>
  <r>
    <x v="0"/>
    <x v="79"/>
    <x v="79"/>
    <x v="9"/>
    <x v="9"/>
    <x v="9"/>
    <x v="18"/>
    <x v="287"/>
    <x v="643"/>
    <x v="48"/>
    <x v="237"/>
    <x v="211"/>
    <x v="274"/>
    <x v="5"/>
  </r>
  <r>
    <x v="0"/>
    <x v="79"/>
    <x v="79"/>
    <x v="27"/>
    <x v="27"/>
    <x v="27"/>
    <x v="18"/>
    <x v="287"/>
    <x v="643"/>
    <x v="77"/>
    <x v="83"/>
    <x v="160"/>
    <x v="324"/>
    <x v="5"/>
  </r>
  <r>
    <x v="0"/>
    <x v="79"/>
    <x v="79"/>
    <x v="29"/>
    <x v="29"/>
    <x v="29"/>
    <x v="18"/>
    <x v="287"/>
    <x v="643"/>
    <x v="48"/>
    <x v="237"/>
    <x v="211"/>
    <x v="274"/>
    <x v="5"/>
  </r>
  <r>
    <x v="0"/>
    <x v="80"/>
    <x v="80"/>
    <x v="0"/>
    <x v="0"/>
    <x v="0"/>
    <x v="0"/>
    <x v="268"/>
    <x v="299"/>
    <x v="82"/>
    <x v="650"/>
    <x v="209"/>
    <x v="383"/>
    <x v="5"/>
  </r>
  <r>
    <x v="0"/>
    <x v="80"/>
    <x v="80"/>
    <x v="1"/>
    <x v="1"/>
    <x v="1"/>
    <x v="1"/>
    <x v="247"/>
    <x v="644"/>
    <x v="53"/>
    <x v="651"/>
    <x v="211"/>
    <x v="274"/>
    <x v="5"/>
  </r>
  <r>
    <x v="0"/>
    <x v="80"/>
    <x v="80"/>
    <x v="4"/>
    <x v="4"/>
    <x v="4"/>
    <x v="2"/>
    <x v="248"/>
    <x v="102"/>
    <x v="77"/>
    <x v="83"/>
    <x v="189"/>
    <x v="561"/>
    <x v="5"/>
  </r>
  <r>
    <x v="0"/>
    <x v="80"/>
    <x v="80"/>
    <x v="2"/>
    <x v="2"/>
    <x v="2"/>
    <x v="2"/>
    <x v="248"/>
    <x v="102"/>
    <x v="77"/>
    <x v="83"/>
    <x v="210"/>
    <x v="330"/>
    <x v="5"/>
  </r>
  <r>
    <x v="0"/>
    <x v="80"/>
    <x v="80"/>
    <x v="14"/>
    <x v="14"/>
    <x v="14"/>
    <x v="2"/>
    <x v="248"/>
    <x v="102"/>
    <x v="77"/>
    <x v="83"/>
    <x v="210"/>
    <x v="330"/>
    <x v="4"/>
  </r>
  <r>
    <x v="0"/>
    <x v="80"/>
    <x v="80"/>
    <x v="49"/>
    <x v="49"/>
    <x v="49"/>
    <x v="5"/>
    <x v="249"/>
    <x v="445"/>
    <x v="77"/>
    <x v="83"/>
    <x v="210"/>
    <x v="330"/>
    <x v="5"/>
  </r>
  <r>
    <x v="0"/>
    <x v="80"/>
    <x v="80"/>
    <x v="6"/>
    <x v="6"/>
    <x v="6"/>
    <x v="5"/>
    <x v="249"/>
    <x v="445"/>
    <x v="52"/>
    <x v="594"/>
    <x v="163"/>
    <x v="21"/>
    <x v="5"/>
  </r>
  <r>
    <x v="0"/>
    <x v="80"/>
    <x v="80"/>
    <x v="3"/>
    <x v="3"/>
    <x v="3"/>
    <x v="5"/>
    <x v="249"/>
    <x v="445"/>
    <x v="48"/>
    <x v="405"/>
    <x v="132"/>
    <x v="352"/>
    <x v="5"/>
  </r>
  <r>
    <x v="0"/>
    <x v="80"/>
    <x v="80"/>
    <x v="18"/>
    <x v="18"/>
    <x v="18"/>
    <x v="8"/>
    <x v="251"/>
    <x v="146"/>
    <x v="48"/>
    <x v="405"/>
    <x v="163"/>
    <x v="21"/>
    <x v="5"/>
  </r>
  <r>
    <x v="0"/>
    <x v="80"/>
    <x v="80"/>
    <x v="7"/>
    <x v="7"/>
    <x v="7"/>
    <x v="8"/>
    <x v="251"/>
    <x v="146"/>
    <x v="52"/>
    <x v="594"/>
    <x v="211"/>
    <x v="274"/>
    <x v="5"/>
  </r>
  <r>
    <x v="0"/>
    <x v="80"/>
    <x v="80"/>
    <x v="37"/>
    <x v="37"/>
    <x v="37"/>
    <x v="8"/>
    <x v="251"/>
    <x v="146"/>
    <x v="77"/>
    <x v="83"/>
    <x v="163"/>
    <x v="21"/>
    <x v="4"/>
  </r>
  <r>
    <x v="0"/>
    <x v="80"/>
    <x v="80"/>
    <x v="5"/>
    <x v="5"/>
    <x v="5"/>
    <x v="11"/>
    <x v="252"/>
    <x v="387"/>
    <x v="64"/>
    <x v="565"/>
    <x v="211"/>
    <x v="274"/>
    <x v="5"/>
  </r>
  <r>
    <x v="0"/>
    <x v="80"/>
    <x v="80"/>
    <x v="42"/>
    <x v="42"/>
    <x v="42"/>
    <x v="11"/>
    <x v="252"/>
    <x v="387"/>
    <x v="77"/>
    <x v="83"/>
    <x v="163"/>
    <x v="21"/>
    <x v="5"/>
  </r>
  <r>
    <x v="0"/>
    <x v="80"/>
    <x v="80"/>
    <x v="27"/>
    <x v="27"/>
    <x v="27"/>
    <x v="11"/>
    <x v="252"/>
    <x v="387"/>
    <x v="77"/>
    <x v="83"/>
    <x v="163"/>
    <x v="21"/>
    <x v="5"/>
  </r>
  <r>
    <x v="0"/>
    <x v="80"/>
    <x v="80"/>
    <x v="8"/>
    <x v="8"/>
    <x v="8"/>
    <x v="14"/>
    <x v="287"/>
    <x v="125"/>
    <x v="48"/>
    <x v="405"/>
    <x v="211"/>
    <x v="274"/>
    <x v="5"/>
  </r>
  <r>
    <x v="0"/>
    <x v="80"/>
    <x v="80"/>
    <x v="50"/>
    <x v="50"/>
    <x v="50"/>
    <x v="14"/>
    <x v="287"/>
    <x v="125"/>
    <x v="77"/>
    <x v="83"/>
    <x v="160"/>
    <x v="199"/>
    <x v="5"/>
  </r>
  <r>
    <x v="0"/>
    <x v="80"/>
    <x v="80"/>
    <x v="41"/>
    <x v="41"/>
    <x v="41"/>
    <x v="14"/>
    <x v="287"/>
    <x v="125"/>
    <x v="77"/>
    <x v="83"/>
    <x v="211"/>
    <x v="274"/>
    <x v="5"/>
  </r>
  <r>
    <x v="0"/>
    <x v="80"/>
    <x v="80"/>
    <x v="62"/>
    <x v="62"/>
    <x v="62"/>
    <x v="14"/>
    <x v="287"/>
    <x v="125"/>
    <x v="77"/>
    <x v="83"/>
    <x v="160"/>
    <x v="199"/>
    <x v="5"/>
  </r>
  <r>
    <x v="0"/>
    <x v="80"/>
    <x v="80"/>
    <x v="48"/>
    <x v="48"/>
    <x v="48"/>
    <x v="14"/>
    <x v="287"/>
    <x v="125"/>
    <x v="77"/>
    <x v="83"/>
    <x v="160"/>
    <x v="199"/>
    <x v="5"/>
  </r>
  <r>
    <x v="0"/>
    <x v="80"/>
    <x v="80"/>
    <x v="17"/>
    <x v="17"/>
    <x v="17"/>
    <x v="14"/>
    <x v="287"/>
    <x v="125"/>
    <x v="48"/>
    <x v="405"/>
    <x v="211"/>
    <x v="274"/>
    <x v="5"/>
  </r>
  <r>
    <x v="0"/>
    <x v="80"/>
    <x v="80"/>
    <x v="23"/>
    <x v="23"/>
    <x v="23"/>
    <x v="14"/>
    <x v="287"/>
    <x v="125"/>
    <x v="77"/>
    <x v="83"/>
    <x v="160"/>
    <x v="199"/>
    <x v="5"/>
  </r>
  <r>
    <x v="0"/>
    <x v="80"/>
    <x v="80"/>
    <x v="31"/>
    <x v="31"/>
    <x v="31"/>
    <x v="14"/>
    <x v="287"/>
    <x v="125"/>
    <x v="77"/>
    <x v="83"/>
    <x v="160"/>
    <x v="199"/>
    <x v="5"/>
  </r>
  <r>
    <x v="0"/>
    <x v="80"/>
    <x v="80"/>
    <x v="10"/>
    <x v="10"/>
    <x v="10"/>
    <x v="14"/>
    <x v="287"/>
    <x v="125"/>
    <x v="48"/>
    <x v="405"/>
    <x v="211"/>
    <x v="274"/>
    <x v="5"/>
  </r>
  <r>
    <x v="0"/>
    <x v="80"/>
    <x v="80"/>
    <x v="26"/>
    <x v="26"/>
    <x v="26"/>
    <x v="14"/>
    <x v="287"/>
    <x v="125"/>
    <x v="77"/>
    <x v="83"/>
    <x v="160"/>
    <x v="199"/>
    <x v="5"/>
  </r>
  <r>
    <x v="0"/>
    <x v="80"/>
    <x v="80"/>
    <x v="36"/>
    <x v="36"/>
    <x v="36"/>
    <x v="14"/>
    <x v="287"/>
    <x v="125"/>
    <x v="77"/>
    <x v="83"/>
    <x v="160"/>
    <x v="199"/>
    <x v="5"/>
  </r>
  <r>
    <x v="0"/>
    <x v="81"/>
    <x v="81"/>
    <x v="1"/>
    <x v="1"/>
    <x v="1"/>
    <x v="0"/>
    <x v="122"/>
    <x v="291"/>
    <x v="151"/>
    <x v="652"/>
    <x v="197"/>
    <x v="562"/>
    <x v="5"/>
  </r>
  <r>
    <x v="0"/>
    <x v="81"/>
    <x v="81"/>
    <x v="0"/>
    <x v="0"/>
    <x v="0"/>
    <x v="1"/>
    <x v="216"/>
    <x v="645"/>
    <x v="84"/>
    <x v="653"/>
    <x v="215"/>
    <x v="563"/>
    <x v="5"/>
  </r>
  <r>
    <x v="0"/>
    <x v="81"/>
    <x v="81"/>
    <x v="2"/>
    <x v="2"/>
    <x v="2"/>
    <x v="2"/>
    <x v="196"/>
    <x v="646"/>
    <x v="33"/>
    <x v="654"/>
    <x v="214"/>
    <x v="390"/>
    <x v="5"/>
  </r>
  <r>
    <x v="0"/>
    <x v="81"/>
    <x v="81"/>
    <x v="3"/>
    <x v="3"/>
    <x v="3"/>
    <x v="3"/>
    <x v="169"/>
    <x v="647"/>
    <x v="38"/>
    <x v="655"/>
    <x v="129"/>
    <x v="564"/>
    <x v="5"/>
  </r>
  <r>
    <x v="0"/>
    <x v="81"/>
    <x v="81"/>
    <x v="6"/>
    <x v="6"/>
    <x v="6"/>
    <x v="4"/>
    <x v="244"/>
    <x v="648"/>
    <x v="69"/>
    <x v="656"/>
    <x v="157"/>
    <x v="515"/>
    <x v="5"/>
  </r>
  <r>
    <x v="0"/>
    <x v="81"/>
    <x v="81"/>
    <x v="5"/>
    <x v="5"/>
    <x v="5"/>
    <x v="5"/>
    <x v="175"/>
    <x v="649"/>
    <x v="34"/>
    <x v="657"/>
    <x v="189"/>
    <x v="565"/>
    <x v="5"/>
  </r>
  <r>
    <x v="0"/>
    <x v="81"/>
    <x v="81"/>
    <x v="4"/>
    <x v="4"/>
    <x v="4"/>
    <x v="6"/>
    <x v="260"/>
    <x v="371"/>
    <x v="82"/>
    <x v="194"/>
    <x v="134"/>
    <x v="518"/>
    <x v="5"/>
  </r>
  <r>
    <x v="0"/>
    <x v="81"/>
    <x v="81"/>
    <x v="14"/>
    <x v="14"/>
    <x v="14"/>
    <x v="7"/>
    <x v="245"/>
    <x v="650"/>
    <x v="77"/>
    <x v="83"/>
    <x v="208"/>
    <x v="566"/>
    <x v="5"/>
  </r>
  <r>
    <x v="0"/>
    <x v="81"/>
    <x v="81"/>
    <x v="30"/>
    <x v="30"/>
    <x v="30"/>
    <x v="8"/>
    <x v="259"/>
    <x v="629"/>
    <x v="92"/>
    <x v="658"/>
    <x v="209"/>
    <x v="174"/>
    <x v="5"/>
  </r>
  <r>
    <x v="0"/>
    <x v="81"/>
    <x v="81"/>
    <x v="7"/>
    <x v="7"/>
    <x v="7"/>
    <x v="9"/>
    <x v="262"/>
    <x v="149"/>
    <x v="111"/>
    <x v="659"/>
    <x v="163"/>
    <x v="567"/>
    <x v="5"/>
  </r>
  <r>
    <x v="0"/>
    <x v="81"/>
    <x v="81"/>
    <x v="18"/>
    <x v="18"/>
    <x v="18"/>
    <x v="10"/>
    <x v="267"/>
    <x v="651"/>
    <x v="52"/>
    <x v="105"/>
    <x v="212"/>
    <x v="440"/>
    <x v="5"/>
  </r>
  <r>
    <x v="0"/>
    <x v="81"/>
    <x v="81"/>
    <x v="11"/>
    <x v="11"/>
    <x v="11"/>
    <x v="10"/>
    <x v="267"/>
    <x v="651"/>
    <x v="65"/>
    <x v="660"/>
    <x v="215"/>
    <x v="563"/>
    <x v="5"/>
  </r>
  <r>
    <x v="0"/>
    <x v="81"/>
    <x v="81"/>
    <x v="13"/>
    <x v="13"/>
    <x v="13"/>
    <x v="12"/>
    <x v="264"/>
    <x v="12"/>
    <x v="64"/>
    <x v="86"/>
    <x v="197"/>
    <x v="562"/>
    <x v="5"/>
  </r>
  <r>
    <x v="0"/>
    <x v="81"/>
    <x v="81"/>
    <x v="28"/>
    <x v="28"/>
    <x v="28"/>
    <x v="13"/>
    <x v="280"/>
    <x v="83"/>
    <x v="64"/>
    <x v="86"/>
    <x v="206"/>
    <x v="49"/>
    <x v="5"/>
  </r>
  <r>
    <x v="0"/>
    <x v="81"/>
    <x v="81"/>
    <x v="9"/>
    <x v="9"/>
    <x v="9"/>
    <x v="14"/>
    <x v="268"/>
    <x v="319"/>
    <x v="51"/>
    <x v="48"/>
    <x v="163"/>
    <x v="567"/>
    <x v="5"/>
  </r>
  <r>
    <x v="0"/>
    <x v="81"/>
    <x v="81"/>
    <x v="20"/>
    <x v="20"/>
    <x v="20"/>
    <x v="15"/>
    <x v="247"/>
    <x v="115"/>
    <x v="48"/>
    <x v="85"/>
    <x v="189"/>
    <x v="565"/>
    <x v="5"/>
  </r>
  <r>
    <x v="0"/>
    <x v="81"/>
    <x v="81"/>
    <x v="10"/>
    <x v="10"/>
    <x v="10"/>
    <x v="15"/>
    <x v="247"/>
    <x v="115"/>
    <x v="82"/>
    <x v="194"/>
    <x v="160"/>
    <x v="568"/>
    <x v="5"/>
  </r>
  <r>
    <x v="0"/>
    <x v="81"/>
    <x v="81"/>
    <x v="17"/>
    <x v="17"/>
    <x v="17"/>
    <x v="17"/>
    <x v="248"/>
    <x v="337"/>
    <x v="48"/>
    <x v="85"/>
    <x v="210"/>
    <x v="569"/>
    <x v="5"/>
  </r>
  <r>
    <x v="0"/>
    <x v="81"/>
    <x v="81"/>
    <x v="12"/>
    <x v="12"/>
    <x v="12"/>
    <x v="17"/>
    <x v="248"/>
    <x v="337"/>
    <x v="82"/>
    <x v="194"/>
    <x v="211"/>
    <x v="274"/>
    <x v="5"/>
  </r>
  <r>
    <x v="0"/>
    <x v="81"/>
    <x v="81"/>
    <x v="8"/>
    <x v="8"/>
    <x v="8"/>
    <x v="19"/>
    <x v="249"/>
    <x v="504"/>
    <x v="64"/>
    <x v="86"/>
    <x v="209"/>
    <x v="174"/>
    <x v="5"/>
  </r>
  <r>
    <x v="0"/>
    <x v="81"/>
    <x v="81"/>
    <x v="23"/>
    <x v="23"/>
    <x v="23"/>
    <x v="19"/>
    <x v="249"/>
    <x v="504"/>
    <x v="77"/>
    <x v="83"/>
    <x v="210"/>
    <x v="569"/>
    <x v="5"/>
  </r>
  <r>
    <x v="0"/>
    <x v="81"/>
    <x v="81"/>
    <x v="19"/>
    <x v="19"/>
    <x v="19"/>
    <x v="19"/>
    <x v="249"/>
    <x v="504"/>
    <x v="48"/>
    <x v="85"/>
    <x v="132"/>
    <x v="158"/>
    <x v="5"/>
  </r>
  <r>
    <x v="0"/>
    <x v="82"/>
    <x v="82"/>
    <x v="30"/>
    <x v="30"/>
    <x v="30"/>
    <x v="0"/>
    <x v="250"/>
    <x v="652"/>
    <x v="52"/>
    <x v="661"/>
    <x v="160"/>
    <x v="323"/>
    <x v="5"/>
  </r>
  <r>
    <x v="0"/>
    <x v="82"/>
    <x v="82"/>
    <x v="4"/>
    <x v="4"/>
    <x v="4"/>
    <x v="1"/>
    <x v="251"/>
    <x v="653"/>
    <x v="77"/>
    <x v="83"/>
    <x v="209"/>
    <x v="555"/>
    <x v="5"/>
  </r>
  <r>
    <x v="0"/>
    <x v="82"/>
    <x v="82"/>
    <x v="3"/>
    <x v="3"/>
    <x v="3"/>
    <x v="1"/>
    <x v="251"/>
    <x v="653"/>
    <x v="64"/>
    <x v="381"/>
    <x v="160"/>
    <x v="323"/>
    <x v="5"/>
  </r>
  <r>
    <x v="0"/>
    <x v="82"/>
    <x v="82"/>
    <x v="0"/>
    <x v="0"/>
    <x v="0"/>
    <x v="1"/>
    <x v="251"/>
    <x v="653"/>
    <x v="48"/>
    <x v="535"/>
    <x v="163"/>
    <x v="530"/>
    <x v="5"/>
  </r>
  <r>
    <x v="0"/>
    <x v="82"/>
    <x v="82"/>
    <x v="45"/>
    <x v="45"/>
    <x v="45"/>
    <x v="4"/>
    <x v="287"/>
    <x v="91"/>
    <x v="48"/>
    <x v="535"/>
    <x v="211"/>
    <x v="274"/>
    <x v="5"/>
  </r>
  <r>
    <x v="0"/>
    <x v="82"/>
    <x v="82"/>
    <x v="42"/>
    <x v="42"/>
    <x v="42"/>
    <x v="4"/>
    <x v="287"/>
    <x v="91"/>
    <x v="77"/>
    <x v="83"/>
    <x v="160"/>
    <x v="323"/>
    <x v="5"/>
  </r>
  <r>
    <x v="0"/>
    <x v="82"/>
    <x v="82"/>
    <x v="41"/>
    <x v="41"/>
    <x v="41"/>
    <x v="4"/>
    <x v="287"/>
    <x v="91"/>
    <x v="77"/>
    <x v="83"/>
    <x v="211"/>
    <x v="274"/>
    <x v="5"/>
  </r>
  <r>
    <x v="0"/>
    <x v="82"/>
    <x v="82"/>
    <x v="25"/>
    <x v="25"/>
    <x v="25"/>
    <x v="4"/>
    <x v="287"/>
    <x v="91"/>
    <x v="77"/>
    <x v="83"/>
    <x v="160"/>
    <x v="323"/>
    <x v="5"/>
  </r>
  <r>
    <x v="0"/>
    <x v="82"/>
    <x v="82"/>
    <x v="17"/>
    <x v="17"/>
    <x v="17"/>
    <x v="4"/>
    <x v="287"/>
    <x v="91"/>
    <x v="77"/>
    <x v="83"/>
    <x v="160"/>
    <x v="323"/>
    <x v="5"/>
  </r>
  <r>
    <x v="0"/>
    <x v="82"/>
    <x v="82"/>
    <x v="16"/>
    <x v="16"/>
    <x v="16"/>
    <x v="4"/>
    <x v="287"/>
    <x v="91"/>
    <x v="77"/>
    <x v="83"/>
    <x v="160"/>
    <x v="323"/>
    <x v="5"/>
  </r>
  <r>
    <x v="0"/>
    <x v="82"/>
    <x v="82"/>
    <x v="23"/>
    <x v="23"/>
    <x v="23"/>
    <x v="4"/>
    <x v="287"/>
    <x v="91"/>
    <x v="48"/>
    <x v="535"/>
    <x v="211"/>
    <x v="274"/>
    <x v="5"/>
  </r>
  <r>
    <x v="0"/>
    <x v="82"/>
    <x v="82"/>
    <x v="1"/>
    <x v="1"/>
    <x v="1"/>
    <x v="4"/>
    <x v="287"/>
    <x v="91"/>
    <x v="48"/>
    <x v="535"/>
    <x v="211"/>
    <x v="274"/>
    <x v="5"/>
  </r>
  <r>
    <x v="0"/>
    <x v="82"/>
    <x v="82"/>
    <x v="36"/>
    <x v="36"/>
    <x v="36"/>
    <x v="4"/>
    <x v="287"/>
    <x v="91"/>
    <x v="77"/>
    <x v="83"/>
    <x v="211"/>
    <x v="274"/>
    <x v="5"/>
  </r>
  <r>
    <x v="0"/>
    <x v="82"/>
    <x v="82"/>
    <x v="27"/>
    <x v="27"/>
    <x v="27"/>
    <x v="4"/>
    <x v="287"/>
    <x v="91"/>
    <x v="48"/>
    <x v="535"/>
    <x v="211"/>
    <x v="274"/>
    <x v="5"/>
  </r>
  <r>
    <x v="0"/>
    <x v="82"/>
    <x v="82"/>
    <x v="21"/>
    <x v="21"/>
    <x v="21"/>
    <x v="4"/>
    <x v="287"/>
    <x v="91"/>
    <x v="77"/>
    <x v="83"/>
    <x v="160"/>
    <x v="323"/>
    <x v="5"/>
  </r>
  <r>
    <x v="0"/>
    <x v="83"/>
    <x v="83"/>
    <x v="0"/>
    <x v="0"/>
    <x v="0"/>
    <x v="0"/>
    <x v="245"/>
    <x v="654"/>
    <x v="34"/>
    <x v="662"/>
    <x v="209"/>
    <x v="415"/>
    <x v="5"/>
  </r>
  <r>
    <x v="0"/>
    <x v="83"/>
    <x v="83"/>
    <x v="1"/>
    <x v="1"/>
    <x v="1"/>
    <x v="1"/>
    <x v="267"/>
    <x v="655"/>
    <x v="92"/>
    <x v="502"/>
    <x v="211"/>
    <x v="274"/>
    <x v="5"/>
  </r>
  <r>
    <x v="0"/>
    <x v="83"/>
    <x v="83"/>
    <x v="4"/>
    <x v="4"/>
    <x v="4"/>
    <x v="2"/>
    <x v="264"/>
    <x v="627"/>
    <x v="48"/>
    <x v="663"/>
    <x v="215"/>
    <x v="560"/>
    <x v="5"/>
  </r>
  <r>
    <x v="0"/>
    <x v="83"/>
    <x v="83"/>
    <x v="3"/>
    <x v="3"/>
    <x v="3"/>
    <x v="3"/>
    <x v="247"/>
    <x v="537"/>
    <x v="65"/>
    <x v="523"/>
    <x v="163"/>
    <x v="324"/>
    <x v="5"/>
  </r>
  <r>
    <x v="0"/>
    <x v="83"/>
    <x v="83"/>
    <x v="7"/>
    <x v="7"/>
    <x v="7"/>
    <x v="3"/>
    <x v="247"/>
    <x v="537"/>
    <x v="65"/>
    <x v="523"/>
    <x v="163"/>
    <x v="324"/>
    <x v="5"/>
  </r>
  <r>
    <x v="0"/>
    <x v="83"/>
    <x v="83"/>
    <x v="5"/>
    <x v="5"/>
    <x v="5"/>
    <x v="5"/>
    <x v="248"/>
    <x v="25"/>
    <x v="48"/>
    <x v="663"/>
    <x v="210"/>
    <x v="499"/>
    <x v="5"/>
  </r>
  <r>
    <x v="0"/>
    <x v="83"/>
    <x v="83"/>
    <x v="8"/>
    <x v="8"/>
    <x v="8"/>
    <x v="5"/>
    <x v="248"/>
    <x v="25"/>
    <x v="64"/>
    <x v="43"/>
    <x v="132"/>
    <x v="482"/>
    <x v="5"/>
  </r>
  <r>
    <x v="0"/>
    <x v="83"/>
    <x v="83"/>
    <x v="28"/>
    <x v="28"/>
    <x v="28"/>
    <x v="5"/>
    <x v="248"/>
    <x v="25"/>
    <x v="77"/>
    <x v="83"/>
    <x v="189"/>
    <x v="323"/>
    <x v="5"/>
  </r>
  <r>
    <x v="0"/>
    <x v="83"/>
    <x v="83"/>
    <x v="11"/>
    <x v="11"/>
    <x v="11"/>
    <x v="8"/>
    <x v="249"/>
    <x v="239"/>
    <x v="64"/>
    <x v="43"/>
    <x v="209"/>
    <x v="415"/>
    <x v="5"/>
  </r>
  <r>
    <x v="0"/>
    <x v="83"/>
    <x v="83"/>
    <x v="2"/>
    <x v="2"/>
    <x v="2"/>
    <x v="8"/>
    <x v="249"/>
    <x v="239"/>
    <x v="51"/>
    <x v="392"/>
    <x v="160"/>
    <x v="327"/>
    <x v="5"/>
  </r>
  <r>
    <x v="0"/>
    <x v="83"/>
    <x v="83"/>
    <x v="27"/>
    <x v="27"/>
    <x v="27"/>
    <x v="8"/>
    <x v="249"/>
    <x v="239"/>
    <x v="77"/>
    <x v="83"/>
    <x v="210"/>
    <x v="499"/>
    <x v="5"/>
  </r>
  <r>
    <x v="0"/>
    <x v="83"/>
    <x v="83"/>
    <x v="18"/>
    <x v="18"/>
    <x v="18"/>
    <x v="11"/>
    <x v="250"/>
    <x v="417"/>
    <x v="77"/>
    <x v="83"/>
    <x v="132"/>
    <x v="482"/>
    <x v="5"/>
  </r>
  <r>
    <x v="0"/>
    <x v="83"/>
    <x v="83"/>
    <x v="12"/>
    <x v="12"/>
    <x v="12"/>
    <x v="11"/>
    <x v="250"/>
    <x v="417"/>
    <x v="77"/>
    <x v="83"/>
    <x v="209"/>
    <x v="415"/>
    <x v="4"/>
  </r>
  <r>
    <x v="0"/>
    <x v="83"/>
    <x v="83"/>
    <x v="26"/>
    <x v="26"/>
    <x v="26"/>
    <x v="11"/>
    <x v="250"/>
    <x v="417"/>
    <x v="48"/>
    <x v="663"/>
    <x v="163"/>
    <x v="324"/>
    <x v="5"/>
  </r>
  <r>
    <x v="0"/>
    <x v="83"/>
    <x v="83"/>
    <x v="34"/>
    <x v="34"/>
    <x v="34"/>
    <x v="11"/>
    <x v="250"/>
    <x v="417"/>
    <x v="77"/>
    <x v="83"/>
    <x v="160"/>
    <x v="327"/>
    <x v="10"/>
  </r>
  <r>
    <x v="0"/>
    <x v="83"/>
    <x v="83"/>
    <x v="40"/>
    <x v="40"/>
    <x v="40"/>
    <x v="15"/>
    <x v="251"/>
    <x v="122"/>
    <x v="77"/>
    <x v="83"/>
    <x v="209"/>
    <x v="415"/>
    <x v="5"/>
  </r>
  <r>
    <x v="0"/>
    <x v="83"/>
    <x v="83"/>
    <x v="55"/>
    <x v="55"/>
    <x v="55"/>
    <x v="15"/>
    <x v="251"/>
    <x v="122"/>
    <x v="77"/>
    <x v="83"/>
    <x v="209"/>
    <x v="415"/>
    <x v="5"/>
  </r>
  <r>
    <x v="0"/>
    <x v="83"/>
    <x v="83"/>
    <x v="17"/>
    <x v="17"/>
    <x v="17"/>
    <x v="15"/>
    <x v="251"/>
    <x v="122"/>
    <x v="77"/>
    <x v="83"/>
    <x v="209"/>
    <x v="415"/>
    <x v="5"/>
  </r>
  <r>
    <x v="0"/>
    <x v="83"/>
    <x v="83"/>
    <x v="48"/>
    <x v="48"/>
    <x v="48"/>
    <x v="18"/>
    <x v="252"/>
    <x v="402"/>
    <x v="77"/>
    <x v="83"/>
    <x v="160"/>
    <x v="327"/>
    <x v="4"/>
  </r>
  <r>
    <x v="0"/>
    <x v="83"/>
    <x v="83"/>
    <x v="6"/>
    <x v="6"/>
    <x v="6"/>
    <x v="18"/>
    <x v="252"/>
    <x v="402"/>
    <x v="48"/>
    <x v="663"/>
    <x v="160"/>
    <x v="327"/>
    <x v="5"/>
  </r>
  <r>
    <x v="0"/>
    <x v="83"/>
    <x v="83"/>
    <x v="10"/>
    <x v="10"/>
    <x v="10"/>
    <x v="18"/>
    <x v="252"/>
    <x v="402"/>
    <x v="48"/>
    <x v="663"/>
    <x v="160"/>
    <x v="327"/>
    <x v="5"/>
  </r>
  <r>
    <x v="0"/>
    <x v="83"/>
    <x v="83"/>
    <x v="19"/>
    <x v="19"/>
    <x v="19"/>
    <x v="18"/>
    <x v="252"/>
    <x v="402"/>
    <x v="64"/>
    <x v="43"/>
    <x v="211"/>
    <x v="274"/>
    <x v="5"/>
  </r>
  <r>
    <x v="0"/>
    <x v="83"/>
    <x v="83"/>
    <x v="9"/>
    <x v="9"/>
    <x v="9"/>
    <x v="18"/>
    <x v="252"/>
    <x v="402"/>
    <x v="64"/>
    <x v="43"/>
    <x v="211"/>
    <x v="274"/>
    <x v="5"/>
  </r>
  <r>
    <x v="0"/>
    <x v="84"/>
    <x v="84"/>
    <x v="5"/>
    <x v="5"/>
    <x v="5"/>
    <x v="0"/>
    <x v="246"/>
    <x v="656"/>
    <x v="82"/>
    <x v="510"/>
    <x v="190"/>
    <x v="570"/>
    <x v="5"/>
  </r>
  <r>
    <x v="0"/>
    <x v="84"/>
    <x v="84"/>
    <x v="4"/>
    <x v="4"/>
    <x v="4"/>
    <x v="1"/>
    <x v="264"/>
    <x v="657"/>
    <x v="48"/>
    <x v="494"/>
    <x v="215"/>
    <x v="528"/>
    <x v="5"/>
  </r>
  <r>
    <x v="0"/>
    <x v="84"/>
    <x v="84"/>
    <x v="0"/>
    <x v="0"/>
    <x v="0"/>
    <x v="1"/>
    <x v="264"/>
    <x v="657"/>
    <x v="96"/>
    <x v="553"/>
    <x v="163"/>
    <x v="196"/>
    <x v="5"/>
  </r>
  <r>
    <x v="0"/>
    <x v="84"/>
    <x v="84"/>
    <x v="3"/>
    <x v="3"/>
    <x v="3"/>
    <x v="3"/>
    <x v="280"/>
    <x v="658"/>
    <x v="52"/>
    <x v="512"/>
    <x v="190"/>
    <x v="570"/>
    <x v="5"/>
  </r>
  <r>
    <x v="0"/>
    <x v="84"/>
    <x v="84"/>
    <x v="14"/>
    <x v="14"/>
    <x v="14"/>
    <x v="3"/>
    <x v="280"/>
    <x v="658"/>
    <x v="77"/>
    <x v="83"/>
    <x v="189"/>
    <x v="491"/>
    <x v="5"/>
  </r>
  <r>
    <x v="0"/>
    <x v="84"/>
    <x v="84"/>
    <x v="2"/>
    <x v="2"/>
    <x v="2"/>
    <x v="5"/>
    <x v="269"/>
    <x v="482"/>
    <x v="51"/>
    <x v="511"/>
    <x v="163"/>
    <x v="196"/>
    <x v="5"/>
  </r>
  <r>
    <x v="0"/>
    <x v="84"/>
    <x v="84"/>
    <x v="1"/>
    <x v="1"/>
    <x v="1"/>
    <x v="6"/>
    <x v="247"/>
    <x v="659"/>
    <x v="53"/>
    <x v="664"/>
    <x v="211"/>
    <x v="274"/>
    <x v="5"/>
  </r>
  <r>
    <x v="0"/>
    <x v="84"/>
    <x v="84"/>
    <x v="6"/>
    <x v="6"/>
    <x v="6"/>
    <x v="7"/>
    <x v="248"/>
    <x v="660"/>
    <x v="52"/>
    <x v="512"/>
    <x v="209"/>
    <x v="571"/>
    <x v="5"/>
  </r>
  <r>
    <x v="0"/>
    <x v="84"/>
    <x v="84"/>
    <x v="8"/>
    <x v="8"/>
    <x v="8"/>
    <x v="8"/>
    <x v="249"/>
    <x v="132"/>
    <x v="48"/>
    <x v="494"/>
    <x v="132"/>
    <x v="489"/>
    <x v="5"/>
  </r>
  <r>
    <x v="0"/>
    <x v="84"/>
    <x v="84"/>
    <x v="9"/>
    <x v="9"/>
    <x v="9"/>
    <x v="8"/>
    <x v="249"/>
    <x v="132"/>
    <x v="52"/>
    <x v="512"/>
    <x v="211"/>
    <x v="274"/>
    <x v="5"/>
  </r>
  <r>
    <x v="0"/>
    <x v="84"/>
    <x v="84"/>
    <x v="7"/>
    <x v="7"/>
    <x v="7"/>
    <x v="8"/>
    <x v="249"/>
    <x v="132"/>
    <x v="51"/>
    <x v="511"/>
    <x v="160"/>
    <x v="572"/>
    <x v="5"/>
  </r>
  <r>
    <x v="0"/>
    <x v="84"/>
    <x v="84"/>
    <x v="17"/>
    <x v="17"/>
    <x v="17"/>
    <x v="11"/>
    <x v="251"/>
    <x v="363"/>
    <x v="77"/>
    <x v="83"/>
    <x v="209"/>
    <x v="571"/>
    <x v="5"/>
  </r>
  <r>
    <x v="0"/>
    <x v="84"/>
    <x v="84"/>
    <x v="13"/>
    <x v="13"/>
    <x v="13"/>
    <x v="11"/>
    <x v="251"/>
    <x v="363"/>
    <x v="64"/>
    <x v="665"/>
    <x v="160"/>
    <x v="572"/>
    <x v="5"/>
  </r>
  <r>
    <x v="0"/>
    <x v="84"/>
    <x v="84"/>
    <x v="11"/>
    <x v="11"/>
    <x v="11"/>
    <x v="11"/>
    <x v="251"/>
    <x v="363"/>
    <x v="48"/>
    <x v="494"/>
    <x v="163"/>
    <x v="196"/>
    <x v="5"/>
  </r>
  <r>
    <x v="0"/>
    <x v="84"/>
    <x v="84"/>
    <x v="28"/>
    <x v="28"/>
    <x v="28"/>
    <x v="14"/>
    <x v="252"/>
    <x v="15"/>
    <x v="48"/>
    <x v="494"/>
    <x v="160"/>
    <x v="572"/>
    <x v="5"/>
  </r>
  <r>
    <x v="0"/>
    <x v="84"/>
    <x v="84"/>
    <x v="49"/>
    <x v="49"/>
    <x v="49"/>
    <x v="14"/>
    <x v="252"/>
    <x v="15"/>
    <x v="77"/>
    <x v="83"/>
    <x v="163"/>
    <x v="196"/>
    <x v="5"/>
  </r>
  <r>
    <x v="0"/>
    <x v="84"/>
    <x v="84"/>
    <x v="42"/>
    <x v="42"/>
    <x v="42"/>
    <x v="14"/>
    <x v="252"/>
    <x v="15"/>
    <x v="77"/>
    <x v="83"/>
    <x v="163"/>
    <x v="196"/>
    <x v="5"/>
  </r>
  <r>
    <x v="0"/>
    <x v="84"/>
    <x v="84"/>
    <x v="31"/>
    <x v="31"/>
    <x v="31"/>
    <x v="14"/>
    <x v="252"/>
    <x v="15"/>
    <x v="77"/>
    <x v="83"/>
    <x v="163"/>
    <x v="196"/>
    <x v="5"/>
  </r>
  <r>
    <x v="0"/>
    <x v="84"/>
    <x v="84"/>
    <x v="10"/>
    <x v="10"/>
    <x v="10"/>
    <x v="14"/>
    <x v="252"/>
    <x v="15"/>
    <x v="77"/>
    <x v="83"/>
    <x v="163"/>
    <x v="196"/>
    <x v="5"/>
  </r>
  <r>
    <x v="0"/>
    <x v="84"/>
    <x v="84"/>
    <x v="12"/>
    <x v="12"/>
    <x v="12"/>
    <x v="14"/>
    <x v="252"/>
    <x v="15"/>
    <x v="77"/>
    <x v="83"/>
    <x v="163"/>
    <x v="196"/>
    <x v="5"/>
  </r>
  <r>
    <x v="0"/>
    <x v="84"/>
    <x v="84"/>
    <x v="26"/>
    <x v="26"/>
    <x v="26"/>
    <x v="14"/>
    <x v="252"/>
    <x v="15"/>
    <x v="48"/>
    <x v="494"/>
    <x v="160"/>
    <x v="572"/>
    <x v="5"/>
  </r>
  <r>
    <x v="0"/>
    <x v="84"/>
    <x v="84"/>
    <x v="19"/>
    <x v="19"/>
    <x v="19"/>
    <x v="14"/>
    <x v="252"/>
    <x v="15"/>
    <x v="64"/>
    <x v="665"/>
    <x v="211"/>
    <x v="274"/>
    <x v="5"/>
  </r>
  <r>
    <x v="0"/>
    <x v="85"/>
    <x v="85"/>
    <x v="1"/>
    <x v="1"/>
    <x v="1"/>
    <x v="0"/>
    <x v="263"/>
    <x v="661"/>
    <x v="78"/>
    <x v="666"/>
    <x v="211"/>
    <x v="274"/>
    <x v="10"/>
  </r>
  <r>
    <x v="0"/>
    <x v="85"/>
    <x v="85"/>
    <x v="5"/>
    <x v="5"/>
    <x v="5"/>
    <x v="1"/>
    <x v="248"/>
    <x v="662"/>
    <x v="65"/>
    <x v="667"/>
    <x v="160"/>
    <x v="355"/>
    <x v="5"/>
  </r>
  <r>
    <x v="0"/>
    <x v="85"/>
    <x v="85"/>
    <x v="3"/>
    <x v="3"/>
    <x v="3"/>
    <x v="1"/>
    <x v="248"/>
    <x v="662"/>
    <x v="65"/>
    <x v="667"/>
    <x v="160"/>
    <x v="355"/>
    <x v="5"/>
  </r>
  <r>
    <x v="0"/>
    <x v="85"/>
    <x v="85"/>
    <x v="4"/>
    <x v="4"/>
    <x v="4"/>
    <x v="3"/>
    <x v="250"/>
    <x v="663"/>
    <x v="48"/>
    <x v="474"/>
    <x v="209"/>
    <x v="528"/>
    <x v="5"/>
  </r>
  <r>
    <x v="0"/>
    <x v="85"/>
    <x v="85"/>
    <x v="6"/>
    <x v="6"/>
    <x v="6"/>
    <x v="3"/>
    <x v="250"/>
    <x v="663"/>
    <x v="48"/>
    <x v="474"/>
    <x v="209"/>
    <x v="528"/>
    <x v="5"/>
  </r>
  <r>
    <x v="0"/>
    <x v="85"/>
    <x v="85"/>
    <x v="14"/>
    <x v="14"/>
    <x v="14"/>
    <x v="3"/>
    <x v="250"/>
    <x v="663"/>
    <x v="77"/>
    <x v="83"/>
    <x v="209"/>
    <x v="528"/>
    <x v="5"/>
  </r>
  <r>
    <x v="0"/>
    <x v="85"/>
    <x v="85"/>
    <x v="36"/>
    <x v="36"/>
    <x v="36"/>
    <x v="6"/>
    <x v="251"/>
    <x v="408"/>
    <x v="48"/>
    <x v="474"/>
    <x v="160"/>
    <x v="355"/>
    <x v="5"/>
  </r>
  <r>
    <x v="0"/>
    <x v="85"/>
    <x v="85"/>
    <x v="8"/>
    <x v="8"/>
    <x v="8"/>
    <x v="7"/>
    <x v="252"/>
    <x v="447"/>
    <x v="64"/>
    <x v="137"/>
    <x v="211"/>
    <x v="274"/>
    <x v="5"/>
  </r>
  <r>
    <x v="0"/>
    <x v="85"/>
    <x v="85"/>
    <x v="28"/>
    <x v="28"/>
    <x v="28"/>
    <x v="7"/>
    <x v="252"/>
    <x v="447"/>
    <x v="64"/>
    <x v="137"/>
    <x v="211"/>
    <x v="274"/>
    <x v="5"/>
  </r>
  <r>
    <x v="0"/>
    <x v="85"/>
    <x v="85"/>
    <x v="13"/>
    <x v="13"/>
    <x v="13"/>
    <x v="7"/>
    <x v="252"/>
    <x v="447"/>
    <x v="64"/>
    <x v="137"/>
    <x v="211"/>
    <x v="274"/>
    <x v="5"/>
  </r>
  <r>
    <x v="0"/>
    <x v="85"/>
    <x v="85"/>
    <x v="11"/>
    <x v="11"/>
    <x v="11"/>
    <x v="7"/>
    <x v="252"/>
    <x v="447"/>
    <x v="77"/>
    <x v="83"/>
    <x v="163"/>
    <x v="544"/>
    <x v="5"/>
  </r>
  <r>
    <x v="0"/>
    <x v="85"/>
    <x v="85"/>
    <x v="2"/>
    <x v="2"/>
    <x v="2"/>
    <x v="7"/>
    <x v="252"/>
    <x v="447"/>
    <x v="77"/>
    <x v="83"/>
    <x v="160"/>
    <x v="355"/>
    <x v="5"/>
  </r>
  <r>
    <x v="0"/>
    <x v="85"/>
    <x v="85"/>
    <x v="34"/>
    <x v="34"/>
    <x v="34"/>
    <x v="7"/>
    <x v="252"/>
    <x v="447"/>
    <x v="77"/>
    <x v="83"/>
    <x v="211"/>
    <x v="274"/>
    <x v="5"/>
  </r>
  <r>
    <x v="0"/>
    <x v="85"/>
    <x v="85"/>
    <x v="37"/>
    <x v="37"/>
    <x v="37"/>
    <x v="7"/>
    <x v="252"/>
    <x v="447"/>
    <x v="77"/>
    <x v="83"/>
    <x v="211"/>
    <x v="274"/>
    <x v="5"/>
  </r>
  <r>
    <x v="0"/>
    <x v="85"/>
    <x v="85"/>
    <x v="38"/>
    <x v="38"/>
    <x v="38"/>
    <x v="14"/>
    <x v="287"/>
    <x v="52"/>
    <x v="77"/>
    <x v="83"/>
    <x v="160"/>
    <x v="355"/>
    <x v="5"/>
  </r>
  <r>
    <x v="0"/>
    <x v="85"/>
    <x v="85"/>
    <x v="51"/>
    <x v="51"/>
    <x v="51"/>
    <x v="14"/>
    <x v="287"/>
    <x v="52"/>
    <x v="77"/>
    <x v="83"/>
    <x v="160"/>
    <x v="355"/>
    <x v="5"/>
  </r>
  <r>
    <x v="0"/>
    <x v="85"/>
    <x v="85"/>
    <x v="63"/>
    <x v="63"/>
    <x v="63"/>
    <x v="14"/>
    <x v="287"/>
    <x v="52"/>
    <x v="77"/>
    <x v="83"/>
    <x v="160"/>
    <x v="355"/>
    <x v="5"/>
  </r>
  <r>
    <x v="0"/>
    <x v="85"/>
    <x v="85"/>
    <x v="41"/>
    <x v="41"/>
    <x v="41"/>
    <x v="14"/>
    <x v="287"/>
    <x v="52"/>
    <x v="77"/>
    <x v="83"/>
    <x v="211"/>
    <x v="274"/>
    <x v="5"/>
  </r>
  <r>
    <x v="0"/>
    <x v="85"/>
    <x v="85"/>
    <x v="22"/>
    <x v="22"/>
    <x v="22"/>
    <x v="14"/>
    <x v="287"/>
    <x v="52"/>
    <x v="77"/>
    <x v="83"/>
    <x v="160"/>
    <x v="355"/>
    <x v="5"/>
  </r>
  <r>
    <x v="0"/>
    <x v="85"/>
    <x v="85"/>
    <x v="35"/>
    <x v="35"/>
    <x v="35"/>
    <x v="14"/>
    <x v="287"/>
    <x v="52"/>
    <x v="77"/>
    <x v="83"/>
    <x v="160"/>
    <x v="355"/>
    <x v="5"/>
  </r>
  <r>
    <x v="0"/>
    <x v="85"/>
    <x v="85"/>
    <x v="17"/>
    <x v="17"/>
    <x v="17"/>
    <x v="14"/>
    <x v="287"/>
    <x v="52"/>
    <x v="77"/>
    <x v="83"/>
    <x v="160"/>
    <x v="355"/>
    <x v="5"/>
  </r>
  <r>
    <x v="0"/>
    <x v="85"/>
    <x v="85"/>
    <x v="16"/>
    <x v="16"/>
    <x v="16"/>
    <x v="14"/>
    <x v="287"/>
    <x v="52"/>
    <x v="48"/>
    <x v="474"/>
    <x v="211"/>
    <x v="274"/>
    <x v="5"/>
  </r>
  <r>
    <x v="0"/>
    <x v="85"/>
    <x v="85"/>
    <x v="0"/>
    <x v="0"/>
    <x v="0"/>
    <x v="14"/>
    <x v="287"/>
    <x v="52"/>
    <x v="48"/>
    <x v="474"/>
    <x v="211"/>
    <x v="274"/>
    <x v="5"/>
  </r>
  <r>
    <x v="0"/>
    <x v="86"/>
    <x v="86"/>
    <x v="1"/>
    <x v="1"/>
    <x v="1"/>
    <x v="0"/>
    <x v="263"/>
    <x v="599"/>
    <x v="78"/>
    <x v="509"/>
    <x v="163"/>
    <x v="362"/>
    <x v="5"/>
  </r>
  <r>
    <x v="0"/>
    <x v="86"/>
    <x v="86"/>
    <x v="0"/>
    <x v="0"/>
    <x v="0"/>
    <x v="1"/>
    <x v="264"/>
    <x v="444"/>
    <x v="78"/>
    <x v="509"/>
    <x v="160"/>
    <x v="368"/>
    <x v="5"/>
  </r>
  <r>
    <x v="0"/>
    <x v="86"/>
    <x v="86"/>
    <x v="6"/>
    <x v="6"/>
    <x v="6"/>
    <x v="2"/>
    <x v="280"/>
    <x v="198"/>
    <x v="51"/>
    <x v="392"/>
    <x v="189"/>
    <x v="573"/>
    <x v="5"/>
  </r>
  <r>
    <x v="0"/>
    <x v="86"/>
    <x v="86"/>
    <x v="3"/>
    <x v="3"/>
    <x v="3"/>
    <x v="3"/>
    <x v="268"/>
    <x v="313"/>
    <x v="51"/>
    <x v="392"/>
    <x v="210"/>
    <x v="361"/>
    <x v="5"/>
  </r>
  <r>
    <x v="0"/>
    <x v="86"/>
    <x v="86"/>
    <x v="8"/>
    <x v="8"/>
    <x v="8"/>
    <x v="4"/>
    <x v="248"/>
    <x v="549"/>
    <x v="48"/>
    <x v="663"/>
    <x v="210"/>
    <x v="361"/>
    <x v="5"/>
  </r>
  <r>
    <x v="0"/>
    <x v="86"/>
    <x v="86"/>
    <x v="11"/>
    <x v="11"/>
    <x v="11"/>
    <x v="4"/>
    <x v="248"/>
    <x v="549"/>
    <x v="51"/>
    <x v="392"/>
    <x v="163"/>
    <x v="362"/>
    <x v="5"/>
  </r>
  <r>
    <x v="0"/>
    <x v="86"/>
    <x v="86"/>
    <x v="5"/>
    <x v="5"/>
    <x v="5"/>
    <x v="6"/>
    <x v="249"/>
    <x v="664"/>
    <x v="51"/>
    <x v="392"/>
    <x v="160"/>
    <x v="368"/>
    <x v="5"/>
  </r>
  <r>
    <x v="0"/>
    <x v="86"/>
    <x v="86"/>
    <x v="42"/>
    <x v="42"/>
    <x v="42"/>
    <x v="6"/>
    <x v="249"/>
    <x v="664"/>
    <x v="48"/>
    <x v="663"/>
    <x v="132"/>
    <x v="574"/>
    <x v="5"/>
  </r>
  <r>
    <x v="0"/>
    <x v="86"/>
    <x v="86"/>
    <x v="9"/>
    <x v="9"/>
    <x v="9"/>
    <x v="6"/>
    <x v="249"/>
    <x v="664"/>
    <x v="51"/>
    <x v="392"/>
    <x v="211"/>
    <x v="274"/>
    <x v="5"/>
  </r>
  <r>
    <x v="0"/>
    <x v="86"/>
    <x v="86"/>
    <x v="14"/>
    <x v="14"/>
    <x v="14"/>
    <x v="6"/>
    <x v="249"/>
    <x v="664"/>
    <x v="77"/>
    <x v="83"/>
    <x v="163"/>
    <x v="362"/>
    <x v="10"/>
  </r>
  <r>
    <x v="0"/>
    <x v="86"/>
    <x v="86"/>
    <x v="29"/>
    <x v="29"/>
    <x v="29"/>
    <x v="6"/>
    <x v="249"/>
    <x v="664"/>
    <x v="52"/>
    <x v="668"/>
    <x v="163"/>
    <x v="362"/>
    <x v="5"/>
  </r>
  <r>
    <x v="0"/>
    <x v="86"/>
    <x v="86"/>
    <x v="4"/>
    <x v="4"/>
    <x v="4"/>
    <x v="11"/>
    <x v="250"/>
    <x v="478"/>
    <x v="48"/>
    <x v="663"/>
    <x v="209"/>
    <x v="0"/>
    <x v="5"/>
  </r>
  <r>
    <x v="0"/>
    <x v="86"/>
    <x v="86"/>
    <x v="2"/>
    <x v="2"/>
    <x v="2"/>
    <x v="11"/>
    <x v="250"/>
    <x v="478"/>
    <x v="48"/>
    <x v="663"/>
    <x v="209"/>
    <x v="0"/>
    <x v="5"/>
  </r>
  <r>
    <x v="0"/>
    <x v="86"/>
    <x v="86"/>
    <x v="26"/>
    <x v="26"/>
    <x v="26"/>
    <x v="11"/>
    <x v="250"/>
    <x v="478"/>
    <x v="77"/>
    <x v="83"/>
    <x v="209"/>
    <x v="0"/>
    <x v="5"/>
  </r>
  <r>
    <x v="0"/>
    <x v="86"/>
    <x v="86"/>
    <x v="28"/>
    <x v="28"/>
    <x v="28"/>
    <x v="14"/>
    <x v="251"/>
    <x v="665"/>
    <x v="77"/>
    <x v="83"/>
    <x v="209"/>
    <x v="0"/>
    <x v="5"/>
  </r>
  <r>
    <x v="0"/>
    <x v="86"/>
    <x v="86"/>
    <x v="38"/>
    <x v="38"/>
    <x v="38"/>
    <x v="14"/>
    <x v="251"/>
    <x v="665"/>
    <x v="77"/>
    <x v="83"/>
    <x v="209"/>
    <x v="0"/>
    <x v="5"/>
  </r>
  <r>
    <x v="0"/>
    <x v="86"/>
    <x v="86"/>
    <x v="15"/>
    <x v="15"/>
    <x v="15"/>
    <x v="14"/>
    <x v="251"/>
    <x v="665"/>
    <x v="77"/>
    <x v="83"/>
    <x v="209"/>
    <x v="0"/>
    <x v="5"/>
  </r>
  <r>
    <x v="0"/>
    <x v="86"/>
    <x v="86"/>
    <x v="12"/>
    <x v="12"/>
    <x v="12"/>
    <x v="14"/>
    <x v="251"/>
    <x v="665"/>
    <x v="77"/>
    <x v="83"/>
    <x v="209"/>
    <x v="0"/>
    <x v="5"/>
  </r>
  <r>
    <x v="0"/>
    <x v="86"/>
    <x v="86"/>
    <x v="30"/>
    <x v="30"/>
    <x v="30"/>
    <x v="14"/>
    <x v="251"/>
    <x v="665"/>
    <x v="64"/>
    <x v="43"/>
    <x v="160"/>
    <x v="368"/>
    <x v="5"/>
  </r>
  <r>
    <x v="0"/>
    <x v="86"/>
    <x v="86"/>
    <x v="7"/>
    <x v="7"/>
    <x v="7"/>
    <x v="14"/>
    <x v="251"/>
    <x v="665"/>
    <x v="52"/>
    <x v="668"/>
    <x v="211"/>
    <x v="274"/>
    <x v="5"/>
  </r>
  <r>
    <x v="0"/>
    <x v="86"/>
    <x v="86"/>
    <x v="21"/>
    <x v="21"/>
    <x v="21"/>
    <x v="14"/>
    <x v="251"/>
    <x v="665"/>
    <x v="77"/>
    <x v="83"/>
    <x v="209"/>
    <x v="0"/>
    <x v="5"/>
  </r>
  <r>
    <x v="0"/>
    <x v="87"/>
    <x v="87"/>
    <x v="0"/>
    <x v="0"/>
    <x v="0"/>
    <x v="0"/>
    <x v="168"/>
    <x v="666"/>
    <x v="148"/>
    <x v="669"/>
    <x v="189"/>
    <x v="21"/>
    <x v="5"/>
  </r>
  <r>
    <x v="0"/>
    <x v="87"/>
    <x v="87"/>
    <x v="3"/>
    <x v="3"/>
    <x v="3"/>
    <x v="1"/>
    <x v="175"/>
    <x v="353"/>
    <x v="96"/>
    <x v="529"/>
    <x v="157"/>
    <x v="575"/>
    <x v="5"/>
  </r>
  <r>
    <x v="0"/>
    <x v="87"/>
    <x v="87"/>
    <x v="1"/>
    <x v="1"/>
    <x v="1"/>
    <x v="2"/>
    <x v="164"/>
    <x v="87"/>
    <x v="61"/>
    <x v="670"/>
    <x v="160"/>
    <x v="576"/>
    <x v="4"/>
  </r>
  <r>
    <x v="0"/>
    <x v="87"/>
    <x v="87"/>
    <x v="2"/>
    <x v="2"/>
    <x v="2"/>
    <x v="3"/>
    <x v="245"/>
    <x v="603"/>
    <x v="96"/>
    <x v="529"/>
    <x v="215"/>
    <x v="93"/>
    <x v="5"/>
  </r>
  <r>
    <x v="0"/>
    <x v="87"/>
    <x v="87"/>
    <x v="5"/>
    <x v="5"/>
    <x v="5"/>
    <x v="4"/>
    <x v="259"/>
    <x v="667"/>
    <x v="53"/>
    <x v="603"/>
    <x v="213"/>
    <x v="577"/>
    <x v="5"/>
  </r>
  <r>
    <x v="0"/>
    <x v="87"/>
    <x v="87"/>
    <x v="6"/>
    <x v="6"/>
    <x v="6"/>
    <x v="5"/>
    <x v="261"/>
    <x v="60"/>
    <x v="50"/>
    <x v="671"/>
    <x v="206"/>
    <x v="426"/>
    <x v="4"/>
  </r>
  <r>
    <x v="0"/>
    <x v="87"/>
    <x v="87"/>
    <x v="4"/>
    <x v="4"/>
    <x v="4"/>
    <x v="6"/>
    <x v="264"/>
    <x v="616"/>
    <x v="77"/>
    <x v="83"/>
    <x v="213"/>
    <x v="577"/>
    <x v="5"/>
  </r>
  <r>
    <x v="0"/>
    <x v="87"/>
    <x v="87"/>
    <x v="14"/>
    <x v="14"/>
    <x v="14"/>
    <x v="6"/>
    <x v="264"/>
    <x v="616"/>
    <x v="77"/>
    <x v="83"/>
    <x v="189"/>
    <x v="21"/>
    <x v="5"/>
  </r>
  <r>
    <x v="0"/>
    <x v="87"/>
    <x v="87"/>
    <x v="11"/>
    <x v="11"/>
    <x v="11"/>
    <x v="8"/>
    <x v="269"/>
    <x v="604"/>
    <x v="64"/>
    <x v="56"/>
    <x v="189"/>
    <x v="21"/>
    <x v="5"/>
  </r>
  <r>
    <x v="0"/>
    <x v="87"/>
    <x v="87"/>
    <x v="13"/>
    <x v="13"/>
    <x v="13"/>
    <x v="9"/>
    <x v="247"/>
    <x v="668"/>
    <x v="65"/>
    <x v="132"/>
    <x v="163"/>
    <x v="71"/>
    <x v="5"/>
  </r>
  <r>
    <x v="0"/>
    <x v="87"/>
    <x v="87"/>
    <x v="10"/>
    <x v="10"/>
    <x v="10"/>
    <x v="9"/>
    <x v="247"/>
    <x v="668"/>
    <x v="65"/>
    <x v="132"/>
    <x v="163"/>
    <x v="71"/>
    <x v="5"/>
  </r>
  <r>
    <x v="0"/>
    <x v="87"/>
    <x v="87"/>
    <x v="15"/>
    <x v="15"/>
    <x v="15"/>
    <x v="11"/>
    <x v="248"/>
    <x v="82"/>
    <x v="48"/>
    <x v="672"/>
    <x v="210"/>
    <x v="320"/>
    <x v="5"/>
  </r>
  <r>
    <x v="0"/>
    <x v="87"/>
    <x v="87"/>
    <x v="8"/>
    <x v="8"/>
    <x v="8"/>
    <x v="12"/>
    <x v="249"/>
    <x v="114"/>
    <x v="64"/>
    <x v="56"/>
    <x v="209"/>
    <x v="199"/>
    <x v="5"/>
  </r>
  <r>
    <x v="0"/>
    <x v="87"/>
    <x v="87"/>
    <x v="42"/>
    <x v="42"/>
    <x v="42"/>
    <x v="12"/>
    <x v="249"/>
    <x v="114"/>
    <x v="64"/>
    <x v="56"/>
    <x v="209"/>
    <x v="199"/>
    <x v="5"/>
  </r>
  <r>
    <x v="0"/>
    <x v="87"/>
    <x v="87"/>
    <x v="7"/>
    <x v="7"/>
    <x v="7"/>
    <x v="12"/>
    <x v="249"/>
    <x v="114"/>
    <x v="52"/>
    <x v="526"/>
    <x v="163"/>
    <x v="71"/>
    <x v="5"/>
  </r>
  <r>
    <x v="0"/>
    <x v="87"/>
    <x v="87"/>
    <x v="27"/>
    <x v="27"/>
    <x v="27"/>
    <x v="12"/>
    <x v="249"/>
    <x v="114"/>
    <x v="48"/>
    <x v="672"/>
    <x v="132"/>
    <x v="578"/>
    <x v="5"/>
  </r>
  <r>
    <x v="0"/>
    <x v="87"/>
    <x v="87"/>
    <x v="40"/>
    <x v="40"/>
    <x v="40"/>
    <x v="16"/>
    <x v="250"/>
    <x v="231"/>
    <x v="77"/>
    <x v="83"/>
    <x v="132"/>
    <x v="578"/>
    <x v="5"/>
  </r>
  <r>
    <x v="0"/>
    <x v="87"/>
    <x v="87"/>
    <x v="17"/>
    <x v="17"/>
    <x v="17"/>
    <x v="16"/>
    <x v="250"/>
    <x v="231"/>
    <x v="77"/>
    <x v="83"/>
    <x v="132"/>
    <x v="578"/>
    <x v="5"/>
  </r>
  <r>
    <x v="0"/>
    <x v="87"/>
    <x v="87"/>
    <x v="12"/>
    <x v="12"/>
    <x v="12"/>
    <x v="16"/>
    <x v="250"/>
    <x v="231"/>
    <x v="48"/>
    <x v="672"/>
    <x v="163"/>
    <x v="71"/>
    <x v="5"/>
  </r>
  <r>
    <x v="0"/>
    <x v="87"/>
    <x v="87"/>
    <x v="19"/>
    <x v="19"/>
    <x v="19"/>
    <x v="16"/>
    <x v="250"/>
    <x v="231"/>
    <x v="48"/>
    <x v="672"/>
    <x v="209"/>
    <x v="199"/>
    <x v="5"/>
  </r>
  <r>
    <x v="0"/>
    <x v="87"/>
    <x v="87"/>
    <x v="36"/>
    <x v="36"/>
    <x v="36"/>
    <x v="16"/>
    <x v="250"/>
    <x v="231"/>
    <x v="77"/>
    <x v="83"/>
    <x v="132"/>
    <x v="578"/>
    <x v="5"/>
  </r>
  <r>
    <x v="0"/>
    <x v="88"/>
    <x v="88"/>
    <x v="0"/>
    <x v="0"/>
    <x v="0"/>
    <x v="0"/>
    <x v="197"/>
    <x v="669"/>
    <x v="152"/>
    <x v="673"/>
    <x v="197"/>
    <x v="579"/>
    <x v="5"/>
  </r>
  <r>
    <x v="0"/>
    <x v="88"/>
    <x v="88"/>
    <x v="1"/>
    <x v="1"/>
    <x v="1"/>
    <x v="1"/>
    <x v="135"/>
    <x v="670"/>
    <x v="152"/>
    <x v="673"/>
    <x v="209"/>
    <x v="18"/>
    <x v="5"/>
  </r>
  <r>
    <x v="0"/>
    <x v="88"/>
    <x v="88"/>
    <x v="3"/>
    <x v="3"/>
    <x v="3"/>
    <x v="2"/>
    <x v="137"/>
    <x v="671"/>
    <x v="70"/>
    <x v="674"/>
    <x v="127"/>
    <x v="580"/>
    <x v="5"/>
  </r>
  <r>
    <x v="0"/>
    <x v="88"/>
    <x v="88"/>
    <x v="2"/>
    <x v="2"/>
    <x v="2"/>
    <x v="3"/>
    <x v="163"/>
    <x v="587"/>
    <x v="61"/>
    <x v="675"/>
    <x v="209"/>
    <x v="18"/>
    <x v="5"/>
  </r>
  <r>
    <x v="0"/>
    <x v="88"/>
    <x v="88"/>
    <x v="4"/>
    <x v="4"/>
    <x v="4"/>
    <x v="4"/>
    <x v="258"/>
    <x v="672"/>
    <x v="82"/>
    <x v="117"/>
    <x v="214"/>
    <x v="581"/>
    <x v="5"/>
  </r>
  <r>
    <x v="0"/>
    <x v="88"/>
    <x v="88"/>
    <x v="11"/>
    <x v="11"/>
    <x v="11"/>
    <x v="5"/>
    <x v="262"/>
    <x v="589"/>
    <x v="96"/>
    <x v="300"/>
    <x v="190"/>
    <x v="446"/>
    <x v="5"/>
  </r>
  <r>
    <x v="0"/>
    <x v="88"/>
    <x v="88"/>
    <x v="5"/>
    <x v="5"/>
    <x v="5"/>
    <x v="6"/>
    <x v="267"/>
    <x v="673"/>
    <x v="82"/>
    <x v="117"/>
    <x v="197"/>
    <x v="579"/>
    <x v="5"/>
  </r>
  <r>
    <x v="0"/>
    <x v="88"/>
    <x v="88"/>
    <x v="6"/>
    <x v="6"/>
    <x v="6"/>
    <x v="7"/>
    <x v="263"/>
    <x v="188"/>
    <x v="53"/>
    <x v="536"/>
    <x v="132"/>
    <x v="196"/>
    <x v="4"/>
  </r>
  <r>
    <x v="0"/>
    <x v="88"/>
    <x v="88"/>
    <x v="27"/>
    <x v="27"/>
    <x v="27"/>
    <x v="8"/>
    <x v="280"/>
    <x v="149"/>
    <x v="65"/>
    <x v="530"/>
    <x v="210"/>
    <x v="461"/>
    <x v="5"/>
  </r>
  <r>
    <x v="0"/>
    <x v="88"/>
    <x v="88"/>
    <x v="8"/>
    <x v="8"/>
    <x v="8"/>
    <x v="9"/>
    <x v="268"/>
    <x v="203"/>
    <x v="52"/>
    <x v="220"/>
    <x v="189"/>
    <x v="571"/>
    <x v="5"/>
  </r>
  <r>
    <x v="0"/>
    <x v="88"/>
    <x v="88"/>
    <x v="7"/>
    <x v="7"/>
    <x v="7"/>
    <x v="9"/>
    <x v="268"/>
    <x v="203"/>
    <x v="50"/>
    <x v="676"/>
    <x v="160"/>
    <x v="582"/>
    <x v="5"/>
  </r>
  <r>
    <x v="0"/>
    <x v="88"/>
    <x v="88"/>
    <x v="9"/>
    <x v="9"/>
    <x v="9"/>
    <x v="11"/>
    <x v="247"/>
    <x v="11"/>
    <x v="65"/>
    <x v="530"/>
    <x v="160"/>
    <x v="582"/>
    <x v="5"/>
  </r>
  <r>
    <x v="0"/>
    <x v="88"/>
    <x v="88"/>
    <x v="13"/>
    <x v="13"/>
    <x v="13"/>
    <x v="12"/>
    <x v="248"/>
    <x v="97"/>
    <x v="65"/>
    <x v="530"/>
    <x v="160"/>
    <x v="582"/>
    <x v="5"/>
  </r>
  <r>
    <x v="0"/>
    <x v="88"/>
    <x v="88"/>
    <x v="14"/>
    <x v="14"/>
    <x v="14"/>
    <x v="12"/>
    <x v="248"/>
    <x v="97"/>
    <x v="77"/>
    <x v="83"/>
    <x v="189"/>
    <x v="571"/>
    <x v="5"/>
  </r>
  <r>
    <x v="0"/>
    <x v="88"/>
    <x v="88"/>
    <x v="18"/>
    <x v="18"/>
    <x v="18"/>
    <x v="14"/>
    <x v="249"/>
    <x v="320"/>
    <x v="48"/>
    <x v="420"/>
    <x v="132"/>
    <x v="196"/>
    <x v="5"/>
  </r>
  <r>
    <x v="0"/>
    <x v="88"/>
    <x v="88"/>
    <x v="17"/>
    <x v="17"/>
    <x v="17"/>
    <x v="14"/>
    <x v="249"/>
    <x v="320"/>
    <x v="48"/>
    <x v="420"/>
    <x v="132"/>
    <x v="196"/>
    <x v="5"/>
  </r>
  <r>
    <x v="0"/>
    <x v="88"/>
    <x v="88"/>
    <x v="15"/>
    <x v="15"/>
    <x v="15"/>
    <x v="14"/>
    <x v="249"/>
    <x v="320"/>
    <x v="64"/>
    <x v="467"/>
    <x v="209"/>
    <x v="18"/>
    <x v="5"/>
  </r>
  <r>
    <x v="0"/>
    <x v="88"/>
    <x v="88"/>
    <x v="10"/>
    <x v="10"/>
    <x v="10"/>
    <x v="14"/>
    <x v="249"/>
    <x v="320"/>
    <x v="65"/>
    <x v="530"/>
    <x v="211"/>
    <x v="274"/>
    <x v="5"/>
  </r>
  <r>
    <x v="0"/>
    <x v="88"/>
    <x v="88"/>
    <x v="28"/>
    <x v="28"/>
    <x v="28"/>
    <x v="18"/>
    <x v="250"/>
    <x v="357"/>
    <x v="48"/>
    <x v="420"/>
    <x v="209"/>
    <x v="18"/>
    <x v="5"/>
  </r>
  <r>
    <x v="0"/>
    <x v="88"/>
    <x v="88"/>
    <x v="12"/>
    <x v="12"/>
    <x v="12"/>
    <x v="18"/>
    <x v="250"/>
    <x v="357"/>
    <x v="48"/>
    <x v="420"/>
    <x v="209"/>
    <x v="18"/>
    <x v="5"/>
  </r>
  <r>
    <x v="0"/>
    <x v="88"/>
    <x v="88"/>
    <x v="26"/>
    <x v="26"/>
    <x v="26"/>
    <x v="18"/>
    <x v="250"/>
    <x v="357"/>
    <x v="48"/>
    <x v="420"/>
    <x v="163"/>
    <x v="572"/>
    <x v="5"/>
  </r>
  <r>
    <x v="0"/>
    <x v="88"/>
    <x v="88"/>
    <x v="19"/>
    <x v="19"/>
    <x v="19"/>
    <x v="18"/>
    <x v="250"/>
    <x v="357"/>
    <x v="77"/>
    <x v="83"/>
    <x v="132"/>
    <x v="196"/>
    <x v="5"/>
  </r>
  <r>
    <x v="0"/>
    <x v="88"/>
    <x v="88"/>
    <x v="21"/>
    <x v="21"/>
    <x v="21"/>
    <x v="18"/>
    <x v="250"/>
    <x v="357"/>
    <x v="48"/>
    <x v="420"/>
    <x v="209"/>
    <x v="18"/>
    <x v="5"/>
  </r>
  <r>
    <x v="0"/>
    <x v="89"/>
    <x v="89"/>
    <x v="3"/>
    <x v="3"/>
    <x v="3"/>
    <x v="0"/>
    <x v="269"/>
    <x v="626"/>
    <x v="51"/>
    <x v="677"/>
    <x v="132"/>
    <x v="330"/>
    <x v="5"/>
  </r>
  <r>
    <x v="0"/>
    <x v="89"/>
    <x v="89"/>
    <x v="0"/>
    <x v="0"/>
    <x v="0"/>
    <x v="0"/>
    <x v="269"/>
    <x v="626"/>
    <x v="53"/>
    <x v="426"/>
    <x v="160"/>
    <x v="324"/>
    <x v="5"/>
  </r>
  <r>
    <x v="0"/>
    <x v="89"/>
    <x v="89"/>
    <x v="6"/>
    <x v="6"/>
    <x v="6"/>
    <x v="2"/>
    <x v="247"/>
    <x v="586"/>
    <x v="51"/>
    <x v="677"/>
    <x v="209"/>
    <x v="323"/>
    <x v="5"/>
  </r>
  <r>
    <x v="0"/>
    <x v="89"/>
    <x v="89"/>
    <x v="4"/>
    <x v="4"/>
    <x v="4"/>
    <x v="3"/>
    <x v="248"/>
    <x v="599"/>
    <x v="48"/>
    <x v="428"/>
    <x v="210"/>
    <x v="560"/>
    <x v="5"/>
  </r>
  <r>
    <x v="0"/>
    <x v="89"/>
    <x v="89"/>
    <x v="5"/>
    <x v="5"/>
    <x v="5"/>
    <x v="4"/>
    <x v="249"/>
    <x v="198"/>
    <x v="51"/>
    <x v="677"/>
    <x v="160"/>
    <x v="324"/>
    <x v="5"/>
  </r>
  <r>
    <x v="0"/>
    <x v="89"/>
    <x v="89"/>
    <x v="14"/>
    <x v="14"/>
    <x v="14"/>
    <x v="5"/>
    <x v="250"/>
    <x v="544"/>
    <x v="77"/>
    <x v="83"/>
    <x v="132"/>
    <x v="330"/>
    <x v="5"/>
  </r>
  <r>
    <x v="0"/>
    <x v="89"/>
    <x v="89"/>
    <x v="2"/>
    <x v="2"/>
    <x v="2"/>
    <x v="6"/>
    <x v="251"/>
    <x v="549"/>
    <x v="52"/>
    <x v="429"/>
    <x v="211"/>
    <x v="274"/>
    <x v="5"/>
  </r>
  <r>
    <x v="0"/>
    <x v="89"/>
    <x v="89"/>
    <x v="26"/>
    <x v="26"/>
    <x v="26"/>
    <x v="6"/>
    <x v="251"/>
    <x v="549"/>
    <x v="77"/>
    <x v="83"/>
    <x v="209"/>
    <x v="323"/>
    <x v="5"/>
  </r>
  <r>
    <x v="0"/>
    <x v="89"/>
    <x v="89"/>
    <x v="1"/>
    <x v="1"/>
    <x v="1"/>
    <x v="6"/>
    <x v="251"/>
    <x v="549"/>
    <x v="52"/>
    <x v="429"/>
    <x v="211"/>
    <x v="274"/>
    <x v="5"/>
  </r>
  <r>
    <x v="0"/>
    <x v="89"/>
    <x v="89"/>
    <x v="9"/>
    <x v="9"/>
    <x v="9"/>
    <x v="6"/>
    <x v="251"/>
    <x v="549"/>
    <x v="64"/>
    <x v="427"/>
    <x v="211"/>
    <x v="274"/>
    <x v="5"/>
  </r>
  <r>
    <x v="0"/>
    <x v="89"/>
    <x v="89"/>
    <x v="8"/>
    <x v="8"/>
    <x v="8"/>
    <x v="10"/>
    <x v="252"/>
    <x v="478"/>
    <x v="77"/>
    <x v="83"/>
    <x v="163"/>
    <x v="482"/>
    <x v="5"/>
  </r>
  <r>
    <x v="0"/>
    <x v="89"/>
    <x v="89"/>
    <x v="49"/>
    <x v="49"/>
    <x v="49"/>
    <x v="10"/>
    <x v="252"/>
    <x v="478"/>
    <x v="77"/>
    <x v="83"/>
    <x v="163"/>
    <x v="482"/>
    <x v="5"/>
  </r>
  <r>
    <x v="0"/>
    <x v="89"/>
    <x v="89"/>
    <x v="19"/>
    <x v="19"/>
    <x v="19"/>
    <x v="10"/>
    <x v="252"/>
    <x v="478"/>
    <x v="64"/>
    <x v="427"/>
    <x v="211"/>
    <x v="274"/>
    <x v="5"/>
  </r>
  <r>
    <x v="0"/>
    <x v="89"/>
    <x v="89"/>
    <x v="28"/>
    <x v="28"/>
    <x v="28"/>
    <x v="13"/>
    <x v="287"/>
    <x v="99"/>
    <x v="77"/>
    <x v="83"/>
    <x v="160"/>
    <x v="324"/>
    <x v="5"/>
  </r>
  <r>
    <x v="0"/>
    <x v="89"/>
    <x v="89"/>
    <x v="32"/>
    <x v="32"/>
    <x v="32"/>
    <x v="13"/>
    <x v="287"/>
    <x v="99"/>
    <x v="77"/>
    <x v="83"/>
    <x v="160"/>
    <x v="324"/>
    <x v="5"/>
  </r>
  <r>
    <x v="0"/>
    <x v="89"/>
    <x v="89"/>
    <x v="45"/>
    <x v="45"/>
    <x v="45"/>
    <x v="13"/>
    <x v="287"/>
    <x v="99"/>
    <x v="48"/>
    <x v="428"/>
    <x v="211"/>
    <x v="274"/>
    <x v="5"/>
  </r>
  <r>
    <x v="0"/>
    <x v="89"/>
    <x v="89"/>
    <x v="42"/>
    <x v="42"/>
    <x v="42"/>
    <x v="13"/>
    <x v="287"/>
    <x v="99"/>
    <x v="77"/>
    <x v="83"/>
    <x v="160"/>
    <x v="324"/>
    <x v="5"/>
  </r>
  <r>
    <x v="0"/>
    <x v="89"/>
    <x v="89"/>
    <x v="40"/>
    <x v="40"/>
    <x v="40"/>
    <x v="13"/>
    <x v="287"/>
    <x v="99"/>
    <x v="48"/>
    <x v="428"/>
    <x v="211"/>
    <x v="274"/>
    <x v="5"/>
  </r>
  <r>
    <x v="0"/>
    <x v="89"/>
    <x v="89"/>
    <x v="55"/>
    <x v="55"/>
    <x v="55"/>
    <x v="13"/>
    <x v="287"/>
    <x v="99"/>
    <x v="77"/>
    <x v="83"/>
    <x v="160"/>
    <x v="324"/>
    <x v="5"/>
  </r>
  <r>
    <x v="0"/>
    <x v="89"/>
    <x v="89"/>
    <x v="48"/>
    <x v="48"/>
    <x v="48"/>
    <x v="13"/>
    <x v="287"/>
    <x v="99"/>
    <x v="77"/>
    <x v="83"/>
    <x v="160"/>
    <x v="324"/>
    <x v="5"/>
  </r>
  <r>
    <x v="0"/>
    <x v="89"/>
    <x v="89"/>
    <x v="53"/>
    <x v="53"/>
    <x v="53"/>
    <x v="13"/>
    <x v="287"/>
    <x v="99"/>
    <x v="77"/>
    <x v="83"/>
    <x v="160"/>
    <x v="324"/>
    <x v="5"/>
  </r>
  <r>
    <x v="0"/>
    <x v="89"/>
    <x v="89"/>
    <x v="13"/>
    <x v="13"/>
    <x v="13"/>
    <x v="13"/>
    <x v="287"/>
    <x v="99"/>
    <x v="48"/>
    <x v="428"/>
    <x v="211"/>
    <x v="274"/>
    <x v="5"/>
  </r>
  <r>
    <x v="0"/>
    <x v="89"/>
    <x v="89"/>
    <x v="34"/>
    <x v="34"/>
    <x v="34"/>
    <x v="13"/>
    <x v="287"/>
    <x v="99"/>
    <x v="77"/>
    <x v="83"/>
    <x v="160"/>
    <x v="324"/>
    <x v="5"/>
  </r>
  <r>
    <x v="0"/>
    <x v="89"/>
    <x v="89"/>
    <x v="36"/>
    <x v="36"/>
    <x v="36"/>
    <x v="13"/>
    <x v="287"/>
    <x v="99"/>
    <x v="77"/>
    <x v="83"/>
    <x v="160"/>
    <x v="324"/>
    <x v="5"/>
  </r>
  <r>
    <x v="0"/>
    <x v="89"/>
    <x v="89"/>
    <x v="27"/>
    <x v="27"/>
    <x v="27"/>
    <x v="13"/>
    <x v="287"/>
    <x v="99"/>
    <x v="77"/>
    <x v="83"/>
    <x v="160"/>
    <x v="324"/>
    <x v="5"/>
  </r>
  <r>
    <x v="0"/>
    <x v="89"/>
    <x v="89"/>
    <x v="57"/>
    <x v="57"/>
    <x v="57"/>
    <x v="13"/>
    <x v="287"/>
    <x v="99"/>
    <x v="77"/>
    <x v="83"/>
    <x v="160"/>
    <x v="324"/>
    <x v="5"/>
  </r>
  <r>
    <x v="0"/>
    <x v="89"/>
    <x v="89"/>
    <x v="21"/>
    <x v="21"/>
    <x v="21"/>
    <x v="13"/>
    <x v="287"/>
    <x v="99"/>
    <x v="77"/>
    <x v="83"/>
    <x v="160"/>
    <x v="324"/>
    <x v="5"/>
  </r>
  <r>
    <x v="0"/>
    <x v="90"/>
    <x v="90"/>
    <x v="3"/>
    <x v="3"/>
    <x v="3"/>
    <x v="0"/>
    <x v="249"/>
    <x v="339"/>
    <x v="64"/>
    <x v="500"/>
    <x v="209"/>
    <x v="583"/>
    <x v="5"/>
  </r>
  <r>
    <x v="0"/>
    <x v="90"/>
    <x v="90"/>
    <x v="0"/>
    <x v="0"/>
    <x v="0"/>
    <x v="0"/>
    <x v="249"/>
    <x v="339"/>
    <x v="48"/>
    <x v="678"/>
    <x v="132"/>
    <x v="584"/>
    <x v="5"/>
  </r>
  <r>
    <x v="0"/>
    <x v="90"/>
    <x v="90"/>
    <x v="6"/>
    <x v="6"/>
    <x v="6"/>
    <x v="2"/>
    <x v="250"/>
    <x v="674"/>
    <x v="77"/>
    <x v="83"/>
    <x v="132"/>
    <x v="584"/>
    <x v="5"/>
  </r>
  <r>
    <x v="0"/>
    <x v="90"/>
    <x v="90"/>
    <x v="4"/>
    <x v="4"/>
    <x v="4"/>
    <x v="3"/>
    <x v="251"/>
    <x v="675"/>
    <x v="77"/>
    <x v="83"/>
    <x v="209"/>
    <x v="583"/>
    <x v="5"/>
  </r>
  <r>
    <x v="0"/>
    <x v="90"/>
    <x v="90"/>
    <x v="1"/>
    <x v="1"/>
    <x v="1"/>
    <x v="3"/>
    <x v="251"/>
    <x v="675"/>
    <x v="52"/>
    <x v="679"/>
    <x v="211"/>
    <x v="274"/>
    <x v="5"/>
  </r>
  <r>
    <x v="0"/>
    <x v="90"/>
    <x v="90"/>
    <x v="9"/>
    <x v="9"/>
    <x v="9"/>
    <x v="3"/>
    <x v="251"/>
    <x v="675"/>
    <x v="64"/>
    <x v="500"/>
    <x v="211"/>
    <x v="274"/>
    <x v="5"/>
  </r>
  <r>
    <x v="0"/>
    <x v="90"/>
    <x v="90"/>
    <x v="5"/>
    <x v="5"/>
    <x v="5"/>
    <x v="6"/>
    <x v="252"/>
    <x v="175"/>
    <x v="48"/>
    <x v="678"/>
    <x v="160"/>
    <x v="139"/>
    <x v="5"/>
  </r>
  <r>
    <x v="0"/>
    <x v="90"/>
    <x v="90"/>
    <x v="15"/>
    <x v="15"/>
    <x v="15"/>
    <x v="6"/>
    <x v="252"/>
    <x v="175"/>
    <x v="48"/>
    <x v="678"/>
    <x v="160"/>
    <x v="139"/>
    <x v="5"/>
  </r>
  <r>
    <x v="0"/>
    <x v="90"/>
    <x v="90"/>
    <x v="27"/>
    <x v="27"/>
    <x v="27"/>
    <x v="6"/>
    <x v="252"/>
    <x v="175"/>
    <x v="77"/>
    <x v="83"/>
    <x v="163"/>
    <x v="585"/>
    <x v="5"/>
  </r>
  <r>
    <x v="0"/>
    <x v="90"/>
    <x v="90"/>
    <x v="8"/>
    <x v="8"/>
    <x v="8"/>
    <x v="9"/>
    <x v="287"/>
    <x v="68"/>
    <x v="77"/>
    <x v="83"/>
    <x v="160"/>
    <x v="139"/>
    <x v="5"/>
  </r>
  <r>
    <x v="0"/>
    <x v="90"/>
    <x v="90"/>
    <x v="28"/>
    <x v="28"/>
    <x v="28"/>
    <x v="9"/>
    <x v="287"/>
    <x v="68"/>
    <x v="77"/>
    <x v="83"/>
    <x v="160"/>
    <x v="139"/>
    <x v="5"/>
  </r>
  <r>
    <x v="0"/>
    <x v="90"/>
    <x v="90"/>
    <x v="49"/>
    <x v="49"/>
    <x v="49"/>
    <x v="9"/>
    <x v="287"/>
    <x v="68"/>
    <x v="77"/>
    <x v="83"/>
    <x v="160"/>
    <x v="139"/>
    <x v="5"/>
  </r>
  <r>
    <x v="0"/>
    <x v="90"/>
    <x v="90"/>
    <x v="32"/>
    <x v="32"/>
    <x v="32"/>
    <x v="9"/>
    <x v="287"/>
    <x v="68"/>
    <x v="48"/>
    <x v="678"/>
    <x v="211"/>
    <x v="274"/>
    <x v="5"/>
  </r>
  <r>
    <x v="0"/>
    <x v="90"/>
    <x v="90"/>
    <x v="46"/>
    <x v="46"/>
    <x v="46"/>
    <x v="9"/>
    <x v="287"/>
    <x v="68"/>
    <x v="77"/>
    <x v="83"/>
    <x v="160"/>
    <x v="139"/>
    <x v="5"/>
  </r>
  <r>
    <x v="0"/>
    <x v="90"/>
    <x v="90"/>
    <x v="40"/>
    <x v="40"/>
    <x v="40"/>
    <x v="9"/>
    <x v="287"/>
    <x v="68"/>
    <x v="48"/>
    <x v="678"/>
    <x v="211"/>
    <x v="274"/>
    <x v="5"/>
  </r>
  <r>
    <x v="0"/>
    <x v="90"/>
    <x v="90"/>
    <x v="63"/>
    <x v="63"/>
    <x v="63"/>
    <x v="9"/>
    <x v="287"/>
    <x v="68"/>
    <x v="77"/>
    <x v="83"/>
    <x v="160"/>
    <x v="139"/>
    <x v="5"/>
  </r>
  <r>
    <x v="0"/>
    <x v="90"/>
    <x v="90"/>
    <x v="25"/>
    <x v="25"/>
    <x v="25"/>
    <x v="9"/>
    <x v="287"/>
    <x v="68"/>
    <x v="77"/>
    <x v="83"/>
    <x v="160"/>
    <x v="139"/>
    <x v="5"/>
  </r>
  <r>
    <x v="0"/>
    <x v="90"/>
    <x v="90"/>
    <x v="13"/>
    <x v="13"/>
    <x v="13"/>
    <x v="9"/>
    <x v="287"/>
    <x v="68"/>
    <x v="48"/>
    <x v="678"/>
    <x v="211"/>
    <x v="274"/>
    <x v="5"/>
  </r>
  <r>
    <x v="0"/>
    <x v="90"/>
    <x v="90"/>
    <x v="10"/>
    <x v="10"/>
    <x v="10"/>
    <x v="9"/>
    <x v="287"/>
    <x v="68"/>
    <x v="48"/>
    <x v="678"/>
    <x v="211"/>
    <x v="274"/>
    <x v="5"/>
  </r>
  <r>
    <x v="0"/>
    <x v="90"/>
    <x v="90"/>
    <x v="34"/>
    <x v="34"/>
    <x v="34"/>
    <x v="9"/>
    <x v="287"/>
    <x v="68"/>
    <x v="77"/>
    <x v="83"/>
    <x v="211"/>
    <x v="274"/>
    <x v="5"/>
  </r>
  <r>
    <x v="0"/>
    <x v="90"/>
    <x v="90"/>
    <x v="7"/>
    <x v="7"/>
    <x v="7"/>
    <x v="9"/>
    <x v="287"/>
    <x v="68"/>
    <x v="48"/>
    <x v="678"/>
    <x v="211"/>
    <x v="274"/>
    <x v="5"/>
  </r>
  <r>
    <x v="0"/>
    <x v="90"/>
    <x v="90"/>
    <x v="36"/>
    <x v="36"/>
    <x v="36"/>
    <x v="9"/>
    <x v="287"/>
    <x v="68"/>
    <x v="77"/>
    <x v="83"/>
    <x v="160"/>
    <x v="139"/>
    <x v="5"/>
  </r>
  <r>
    <x v="0"/>
    <x v="90"/>
    <x v="90"/>
    <x v="29"/>
    <x v="29"/>
    <x v="29"/>
    <x v="9"/>
    <x v="287"/>
    <x v="68"/>
    <x v="48"/>
    <x v="678"/>
    <x v="211"/>
    <x v="274"/>
    <x v="5"/>
  </r>
  <r>
    <x v="0"/>
    <x v="91"/>
    <x v="91"/>
    <x v="4"/>
    <x v="4"/>
    <x v="4"/>
    <x v="0"/>
    <x v="264"/>
    <x v="676"/>
    <x v="48"/>
    <x v="680"/>
    <x v="215"/>
    <x v="586"/>
    <x v="5"/>
  </r>
  <r>
    <x v="0"/>
    <x v="91"/>
    <x v="91"/>
    <x v="5"/>
    <x v="5"/>
    <x v="5"/>
    <x v="0"/>
    <x v="264"/>
    <x v="676"/>
    <x v="51"/>
    <x v="535"/>
    <x v="190"/>
    <x v="526"/>
    <x v="5"/>
  </r>
  <r>
    <x v="0"/>
    <x v="91"/>
    <x v="91"/>
    <x v="1"/>
    <x v="1"/>
    <x v="1"/>
    <x v="2"/>
    <x v="268"/>
    <x v="677"/>
    <x v="50"/>
    <x v="381"/>
    <x v="160"/>
    <x v="186"/>
    <x v="5"/>
  </r>
  <r>
    <x v="0"/>
    <x v="91"/>
    <x v="91"/>
    <x v="3"/>
    <x v="3"/>
    <x v="3"/>
    <x v="3"/>
    <x v="247"/>
    <x v="608"/>
    <x v="65"/>
    <x v="500"/>
    <x v="163"/>
    <x v="183"/>
    <x v="5"/>
  </r>
  <r>
    <x v="0"/>
    <x v="91"/>
    <x v="91"/>
    <x v="0"/>
    <x v="0"/>
    <x v="0"/>
    <x v="3"/>
    <x v="247"/>
    <x v="608"/>
    <x v="82"/>
    <x v="681"/>
    <x v="160"/>
    <x v="186"/>
    <x v="5"/>
  </r>
  <r>
    <x v="0"/>
    <x v="91"/>
    <x v="91"/>
    <x v="2"/>
    <x v="2"/>
    <x v="2"/>
    <x v="5"/>
    <x v="248"/>
    <x v="678"/>
    <x v="65"/>
    <x v="500"/>
    <x v="160"/>
    <x v="186"/>
    <x v="5"/>
  </r>
  <r>
    <x v="0"/>
    <x v="91"/>
    <x v="91"/>
    <x v="6"/>
    <x v="6"/>
    <x v="6"/>
    <x v="6"/>
    <x v="250"/>
    <x v="679"/>
    <x v="52"/>
    <x v="682"/>
    <x v="160"/>
    <x v="186"/>
    <x v="5"/>
  </r>
  <r>
    <x v="0"/>
    <x v="91"/>
    <x v="91"/>
    <x v="21"/>
    <x v="21"/>
    <x v="21"/>
    <x v="7"/>
    <x v="251"/>
    <x v="609"/>
    <x v="48"/>
    <x v="680"/>
    <x v="163"/>
    <x v="183"/>
    <x v="5"/>
  </r>
  <r>
    <x v="0"/>
    <x v="91"/>
    <x v="91"/>
    <x v="8"/>
    <x v="8"/>
    <x v="8"/>
    <x v="8"/>
    <x v="252"/>
    <x v="610"/>
    <x v="77"/>
    <x v="83"/>
    <x v="163"/>
    <x v="183"/>
    <x v="5"/>
  </r>
  <r>
    <x v="0"/>
    <x v="91"/>
    <x v="91"/>
    <x v="17"/>
    <x v="17"/>
    <x v="17"/>
    <x v="8"/>
    <x v="252"/>
    <x v="610"/>
    <x v="77"/>
    <x v="83"/>
    <x v="163"/>
    <x v="183"/>
    <x v="5"/>
  </r>
  <r>
    <x v="0"/>
    <x v="91"/>
    <x v="91"/>
    <x v="11"/>
    <x v="11"/>
    <x v="11"/>
    <x v="8"/>
    <x v="252"/>
    <x v="610"/>
    <x v="77"/>
    <x v="83"/>
    <x v="163"/>
    <x v="183"/>
    <x v="5"/>
  </r>
  <r>
    <x v="0"/>
    <x v="91"/>
    <x v="91"/>
    <x v="9"/>
    <x v="9"/>
    <x v="9"/>
    <x v="8"/>
    <x v="252"/>
    <x v="610"/>
    <x v="64"/>
    <x v="668"/>
    <x v="211"/>
    <x v="274"/>
    <x v="5"/>
  </r>
  <r>
    <x v="0"/>
    <x v="91"/>
    <x v="91"/>
    <x v="7"/>
    <x v="7"/>
    <x v="7"/>
    <x v="8"/>
    <x v="252"/>
    <x v="610"/>
    <x v="48"/>
    <x v="680"/>
    <x v="160"/>
    <x v="186"/>
    <x v="5"/>
  </r>
  <r>
    <x v="0"/>
    <x v="91"/>
    <x v="91"/>
    <x v="27"/>
    <x v="27"/>
    <x v="27"/>
    <x v="8"/>
    <x v="252"/>
    <x v="610"/>
    <x v="77"/>
    <x v="83"/>
    <x v="163"/>
    <x v="183"/>
    <x v="5"/>
  </r>
  <r>
    <x v="0"/>
    <x v="91"/>
    <x v="91"/>
    <x v="28"/>
    <x v="28"/>
    <x v="28"/>
    <x v="14"/>
    <x v="287"/>
    <x v="448"/>
    <x v="77"/>
    <x v="83"/>
    <x v="160"/>
    <x v="186"/>
    <x v="5"/>
  </r>
  <r>
    <x v="0"/>
    <x v="91"/>
    <x v="91"/>
    <x v="49"/>
    <x v="49"/>
    <x v="49"/>
    <x v="14"/>
    <x v="287"/>
    <x v="448"/>
    <x v="77"/>
    <x v="83"/>
    <x v="160"/>
    <x v="186"/>
    <x v="5"/>
  </r>
  <r>
    <x v="0"/>
    <x v="91"/>
    <x v="91"/>
    <x v="51"/>
    <x v="51"/>
    <x v="51"/>
    <x v="14"/>
    <x v="287"/>
    <x v="448"/>
    <x v="77"/>
    <x v="83"/>
    <x v="160"/>
    <x v="186"/>
    <x v="5"/>
  </r>
  <r>
    <x v="0"/>
    <x v="91"/>
    <x v="91"/>
    <x v="42"/>
    <x v="42"/>
    <x v="42"/>
    <x v="14"/>
    <x v="287"/>
    <x v="448"/>
    <x v="48"/>
    <x v="680"/>
    <x v="211"/>
    <x v="274"/>
    <x v="5"/>
  </r>
  <r>
    <x v="0"/>
    <x v="91"/>
    <x v="91"/>
    <x v="59"/>
    <x v="59"/>
    <x v="59"/>
    <x v="14"/>
    <x v="287"/>
    <x v="448"/>
    <x v="48"/>
    <x v="680"/>
    <x v="211"/>
    <x v="274"/>
    <x v="5"/>
  </r>
  <r>
    <x v="0"/>
    <x v="91"/>
    <x v="91"/>
    <x v="40"/>
    <x v="40"/>
    <x v="40"/>
    <x v="14"/>
    <x v="287"/>
    <x v="448"/>
    <x v="77"/>
    <x v="83"/>
    <x v="160"/>
    <x v="186"/>
    <x v="5"/>
  </r>
  <r>
    <x v="0"/>
    <x v="91"/>
    <x v="91"/>
    <x v="55"/>
    <x v="55"/>
    <x v="55"/>
    <x v="14"/>
    <x v="287"/>
    <x v="448"/>
    <x v="77"/>
    <x v="83"/>
    <x v="160"/>
    <x v="186"/>
    <x v="5"/>
  </r>
  <r>
    <x v="0"/>
    <x v="91"/>
    <x v="91"/>
    <x v="25"/>
    <x v="25"/>
    <x v="25"/>
    <x v="14"/>
    <x v="287"/>
    <x v="448"/>
    <x v="77"/>
    <x v="83"/>
    <x v="160"/>
    <x v="186"/>
    <x v="5"/>
  </r>
  <r>
    <x v="0"/>
    <x v="91"/>
    <x v="91"/>
    <x v="18"/>
    <x v="18"/>
    <x v="18"/>
    <x v="14"/>
    <x v="287"/>
    <x v="448"/>
    <x v="77"/>
    <x v="83"/>
    <x v="160"/>
    <x v="186"/>
    <x v="5"/>
  </r>
  <r>
    <x v="0"/>
    <x v="91"/>
    <x v="91"/>
    <x v="15"/>
    <x v="15"/>
    <x v="15"/>
    <x v="14"/>
    <x v="287"/>
    <x v="448"/>
    <x v="77"/>
    <x v="83"/>
    <x v="160"/>
    <x v="186"/>
    <x v="5"/>
  </r>
  <r>
    <x v="0"/>
    <x v="91"/>
    <x v="91"/>
    <x v="13"/>
    <x v="13"/>
    <x v="13"/>
    <x v="14"/>
    <x v="287"/>
    <x v="448"/>
    <x v="77"/>
    <x v="83"/>
    <x v="160"/>
    <x v="186"/>
    <x v="5"/>
  </r>
  <r>
    <x v="0"/>
    <x v="91"/>
    <x v="91"/>
    <x v="31"/>
    <x v="31"/>
    <x v="31"/>
    <x v="14"/>
    <x v="287"/>
    <x v="448"/>
    <x v="77"/>
    <x v="83"/>
    <x v="160"/>
    <x v="186"/>
    <x v="5"/>
  </r>
  <r>
    <x v="0"/>
    <x v="91"/>
    <x v="91"/>
    <x v="26"/>
    <x v="26"/>
    <x v="26"/>
    <x v="14"/>
    <x v="287"/>
    <x v="448"/>
    <x v="77"/>
    <x v="83"/>
    <x v="211"/>
    <x v="274"/>
    <x v="5"/>
  </r>
  <r>
    <x v="0"/>
    <x v="91"/>
    <x v="91"/>
    <x v="19"/>
    <x v="19"/>
    <x v="19"/>
    <x v="14"/>
    <x v="287"/>
    <x v="448"/>
    <x v="48"/>
    <x v="680"/>
    <x v="211"/>
    <x v="274"/>
    <x v="5"/>
  </r>
  <r>
    <x v="0"/>
    <x v="91"/>
    <x v="91"/>
    <x v="29"/>
    <x v="29"/>
    <x v="29"/>
    <x v="14"/>
    <x v="287"/>
    <x v="448"/>
    <x v="48"/>
    <x v="680"/>
    <x v="211"/>
    <x v="274"/>
    <x v="5"/>
  </r>
  <r>
    <x v="0"/>
    <x v="92"/>
    <x v="92"/>
    <x v="3"/>
    <x v="3"/>
    <x v="3"/>
    <x v="0"/>
    <x v="268"/>
    <x v="514"/>
    <x v="65"/>
    <x v="629"/>
    <x v="132"/>
    <x v="561"/>
    <x v="5"/>
  </r>
  <r>
    <x v="0"/>
    <x v="92"/>
    <x v="92"/>
    <x v="0"/>
    <x v="0"/>
    <x v="0"/>
    <x v="0"/>
    <x v="268"/>
    <x v="514"/>
    <x v="96"/>
    <x v="381"/>
    <x v="211"/>
    <x v="274"/>
    <x v="5"/>
  </r>
  <r>
    <x v="0"/>
    <x v="92"/>
    <x v="92"/>
    <x v="1"/>
    <x v="1"/>
    <x v="1"/>
    <x v="0"/>
    <x v="268"/>
    <x v="514"/>
    <x v="50"/>
    <x v="683"/>
    <x v="160"/>
    <x v="33"/>
    <x v="5"/>
  </r>
  <r>
    <x v="0"/>
    <x v="92"/>
    <x v="92"/>
    <x v="4"/>
    <x v="4"/>
    <x v="4"/>
    <x v="3"/>
    <x v="248"/>
    <x v="680"/>
    <x v="48"/>
    <x v="263"/>
    <x v="210"/>
    <x v="530"/>
    <x v="5"/>
  </r>
  <r>
    <x v="0"/>
    <x v="92"/>
    <x v="92"/>
    <x v="5"/>
    <x v="5"/>
    <x v="5"/>
    <x v="3"/>
    <x v="248"/>
    <x v="680"/>
    <x v="52"/>
    <x v="392"/>
    <x v="209"/>
    <x v="570"/>
    <x v="5"/>
  </r>
  <r>
    <x v="0"/>
    <x v="92"/>
    <x v="92"/>
    <x v="9"/>
    <x v="9"/>
    <x v="9"/>
    <x v="3"/>
    <x v="248"/>
    <x v="680"/>
    <x v="65"/>
    <x v="629"/>
    <x v="211"/>
    <x v="274"/>
    <x v="5"/>
  </r>
  <r>
    <x v="0"/>
    <x v="92"/>
    <x v="92"/>
    <x v="13"/>
    <x v="13"/>
    <x v="13"/>
    <x v="6"/>
    <x v="249"/>
    <x v="681"/>
    <x v="52"/>
    <x v="392"/>
    <x v="163"/>
    <x v="383"/>
    <x v="5"/>
  </r>
  <r>
    <x v="0"/>
    <x v="92"/>
    <x v="92"/>
    <x v="11"/>
    <x v="11"/>
    <x v="11"/>
    <x v="6"/>
    <x v="249"/>
    <x v="681"/>
    <x v="51"/>
    <x v="684"/>
    <x v="160"/>
    <x v="33"/>
    <x v="5"/>
  </r>
  <r>
    <x v="0"/>
    <x v="92"/>
    <x v="92"/>
    <x v="8"/>
    <x v="8"/>
    <x v="8"/>
    <x v="8"/>
    <x v="251"/>
    <x v="79"/>
    <x v="77"/>
    <x v="83"/>
    <x v="209"/>
    <x v="570"/>
    <x v="5"/>
  </r>
  <r>
    <x v="0"/>
    <x v="92"/>
    <x v="92"/>
    <x v="6"/>
    <x v="6"/>
    <x v="6"/>
    <x v="8"/>
    <x v="251"/>
    <x v="79"/>
    <x v="48"/>
    <x v="263"/>
    <x v="163"/>
    <x v="383"/>
    <x v="5"/>
  </r>
  <r>
    <x v="0"/>
    <x v="92"/>
    <x v="92"/>
    <x v="14"/>
    <x v="14"/>
    <x v="14"/>
    <x v="8"/>
    <x v="251"/>
    <x v="79"/>
    <x v="77"/>
    <x v="83"/>
    <x v="160"/>
    <x v="33"/>
    <x v="5"/>
  </r>
  <r>
    <x v="0"/>
    <x v="92"/>
    <x v="92"/>
    <x v="28"/>
    <x v="28"/>
    <x v="28"/>
    <x v="11"/>
    <x v="252"/>
    <x v="151"/>
    <x v="48"/>
    <x v="263"/>
    <x v="211"/>
    <x v="274"/>
    <x v="5"/>
  </r>
  <r>
    <x v="0"/>
    <x v="92"/>
    <x v="92"/>
    <x v="12"/>
    <x v="12"/>
    <x v="12"/>
    <x v="11"/>
    <x v="252"/>
    <x v="151"/>
    <x v="48"/>
    <x v="263"/>
    <x v="160"/>
    <x v="33"/>
    <x v="5"/>
  </r>
  <r>
    <x v="0"/>
    <x v="92"/>
    <x v="92"/>
    <x v="7"/>
    <x v="7"/>
    <x v="7"/>
    <x v="11"/>
    <x v="252"/>
    <x v="151"/>
    <x v="48"/>
    <x v="263"/>
    <x v="160"/>
    <x v="33"/>
    <x v="5"/>
  </r>
  <r>
    <x v="0"/>
    <x v="92"/>
    <x v="92"/>
    <x v="36"/>
    <x v="36"/>
    <x v="36"/>
    <x v="11"/>
    <x v="252"/>
    <x v="151"/>
    <x v="77"/>
    <x v="83"/>
    <x v="160"/>
    <x v="33"/>
    <x v="5"/>
  </r>
  <r>
    <x v="0"/>
    <x v="92"/>
    <x v="92"/>
    <x v="39"/>
    <x v="39"/>
    <x v="39"/>
    <x v="15"/>
    <x v="287"/>
    <x v="140"/>
    <x v="77"/>
    <x v="83"/>
    <x v="160"/>
    <x v="33"/>
    <x v="5"/>
  </r>
  <r>
    <x v="0"/>
    <x v="92"/>
    <x v="92"/>
    <x v="38"/>
    <x v="38"/>
    <x v="38"/>
    <x v="15"/>
    <x v="287"/>
    <x v="140"/>
    <x v="48"/>
    <x v="263"/>
    <x v="211"/>
    <x v="274"/>
    <x v="5"/>
  </r>
  <r>
    <x v="0"/>
    <x v="92"/>
    <x v="92"/>
    <x v="40"/>
    <x v="40"/>
    <x v="40"/>
    <x v="15"/>
    <x v="287"/>
    <x v="140"/>
    <x v="77"/>
    <x v="83"/>
    <x v="160"/>
    <x v="33"/>
    <x v="5"/>
  </r>
  <r>
    <x v="0"/>
    <x v="92"/>
    <x v="92"/>
    <x v="33"/>
    <x v="33"/>
    <x v="33"/>
    <x v="15"/>
    <x v="287"/>
    <x v="140"/>
    <x v="77"/>
    <x v="83"/>
    <x v="160"/>
    <x v="33"/>
    <x v="5"/>
  </r>
  <r>
    <x v="0"/>
    <x v="92"/>
    <x v="92"/>
    <x v="41"/>
    <x v="41"/>
    <x v="41"/>
    <x v="15"/>
    <x v="287"/>
    <x v="140"/>
    <x v="77"/>
    <x v="83"/>
    <x v="211"/>
    <x v="274"/>
    <x v="5"/>
  </r>
  <r>
    <x v="0"/>
    <x v="92"/>
    <x v="92"/>
    <x v="47"/>
    <x v="47"/>
    <x v="47"/>
    <x v="15"/>
    <x v="287"/>
    <x v="140"/>
    <x v="77"/>
    <x v="83"/>
    <x v="160"/>
    <x v="33"/>
    <x v="5"/>
  </r>
  <r>
    <x v="0"/>
    <x v="92"/>
    <x v="92"/>
    <x v="16"/>
    <x v="16"/>
    <x v="16"/>
    <x v="15"/>
    <x v="287"/>
    <x v="140"/>
    <x v="77"/>
    <x v="83"/>
    <x v="160"/>
    <x v="33"/>
    <x v="5"/>
  </r>
  <r>
    <x v="0"/>
    <x v="92"/>
    <x v="92"/>
    <x v="30"/>
    <x v="30"/>
    <x v="30"/>
    <x v="15"/>
    <x v="287"/>
    <x v="140"/>
    <x v="48"/>
    <x v="263"/>
    <x v="211"/>
    <x v="274"/>
    <x v="5"/>
  </r>
  <r>
    <x v="0"/>
    <x v="92"/>
    <x v="92"/>
    <x v="34"/>
    <x v="34"/>
    <x v="34"/>
    <x v="15"/>
    <x v="287"/>
    <x v="140"/>
    <x v="48"/>
    <x v="263"/>
    <x v="211"/>
    <x v="274"/>
    <x v="5"/>
  </r>
  <r>
    <x v="0"/>
    <x v="93"/>
    <x v="93"/>
    <x v="0"/>
    <x v="0"/>
    <x v="0"/>
    <x v="0"/>
    <x v="264"/>
    <x v="359"/>
    <x v="70"/>
    <x v="685"/>
    <x v="211"/>
    <x v="274"/>
    <x v="5"/>
  </r>
  <r>
    <x v="0"/>
    <x v="93"/>
    <x v="93"/>
    <x v="1"/>
    <x v="1"/>
    <x v="1"/>
    <x v="1"/>
    <x v="280"/>
    <x v="682"/>
    <x v="96"/>
    <x v="686"/>
    <x v="160"/>
    <x v="446"/>
    <x v="5"/>
  </r>
  <r>
    <x v="0"/>
    <x v="93"/>
    <x v="93"/>
    <x v="11"/>
    <x v="11"/>
    <x v="11"/>
    <x v="2"/>
    <x v="249"/>
    <x v="683"/>
    <x v="65"/>
    <x v="687"/>
    <x v="211"/>
    <x v="274"/>
    <x v="5"/>
  </r>
  <r>
    <x v="0"/>
    <x v="93"/>
    <x v="93"/>
    <x v="3"/>
    <x v="3"/>
    <x v="3"/>
    <x v="3"/>
    <x v="250"/>
    <x v="467"/>
    <x v="64"/>
    <x v="525"/>
    <x v="163"/>
    <x v="570"/>
    <x v="5"/>
  </r>
  <r>
    <x v="0"/>
    <x v="93"/>
    <x v="93"/>
    <x v="7"/>
    <x v="7"/>
    <x v="7"/>
    <x v="3"/>
    <x v="250"/>
    <x v="467"/>
    <x v="52"/>
    <x v="529"/>
    <x v="211"/>
    <x v="274"/>
    <x v="5"/>
  </r>
  <r>
    <x v="0"/>
    <x v="93"/>
    <x v="93"/>
    <x v="6"/>
    <x v="6"/>
    <x v="6"/>
    <x v="5"/>
    <x v="251"/>
    <x v="369"/>
    <x v="52"/>
    <x v="529"/>
    <x v="211"/>
    <x v="274"/>
    <x v="5"/>
  </r>
  <r>
    <x v="0"/>
    <x v="93"/>
    <x v="93"/>
    <x v="14"/>
    <x v="14"/>
    <x v="14"/>
    <x v="5"/>
    <x v="251"/>
    <x v="369"/>
    <x v="77"/>
    <x v="83"/>
    <x v="209"/>
    <x v="587"/>
    <x v="5"/>
  </r>
  <r>
    <x v="0"/>
    <x v="93"/>
    <x v="93"/>
    <x v="4"/>
    <x v="4"/>
    <x v="4"/>
    <x v="7"/>
    <x v="252"/>
    <x v="46"/>
    <x v="77"/>
    <x v="83"/>
    <x v="163"/>
    <x v="570"/>
    <x v="5"/>
  </r>
  <r>
    <x v="0"/>
    <x v="93"/>
    <x v="93"/>
    <x v="5"/>
    <x v="5"/>
    <x v="5"/>
    <x v="7"/>
    <x v="252"/>
    <x v="46"/>
    <x v="64"/>
    <x v="525"/>
    <x v="211"/>
    <x v="274"/>
    <x v="5"/>
  </r>
  <r>
    <x v="0"/>
    <x v="93"/>
    <x v="93"/>
    <x v="40"/>
    <x v="40"/>
    <x v="40"/>
    <x v="7"/>
    <x v="252"/>
    <x v="46"/>
    <x v="48"/>
    <x v="526"/>
    <x v="160"/>
    <x v="446"/>
    <x v="5"/>
  </r>
  <r>
    <x v="0"/>
    <x v="93"/>
    <x v="93"/>
    <x v="23"/>
    <x v="23"/>
    <x v="23"/>
    <x v="7"/>
    <x v="252"/>
    <x v="46"/>
    <x v="64"/>
    <x v="525"/>
    <x v="211"/>
    <x v="274"/>
    <x v="5"/>
  </r>
  <r>
    <x v="0"/>
    <x v="93"/>
    <x v="93"/>
    <x v="2"/>
    <x v="2"/>
    <x v="2"/>
    <x v="7"/>
    <x v="252"/>
    <x v="46"/>
    <x v="48"/>
    <x v="526"/>
    <x v="160"/>
    <x v="446"/>
    <x v="5"/>
  </r>
  <r>
    <x v="0"/>
    <x v="93"/>
    <x v="93"/>
    <x v="12"/>
    <x v="12"/>
    <x v="12"/>
    <x v="7"/>
    <x v="252"/>
    <x v="46"/>
    <x v="48"/>
    <x v="526"/>
    <x v="160"/>
    <x v="446"/>
    <x v="5"/>
  </r>
  <r>
    <x v="0"/>
    <x v="93"/>
    <x v="93"/>
    <x v="8"/>
    <x v="8"/>
    <x v="8"/>
    <x v="13"/>
    <x v="287"/>
    <x v="38"/>
    <x v="77"/>
    <x v="83"/>
    <x v="160"/>
    <x v="446"/>
    <x v="5"/>
  </r>
  <r>
    <x v="0"/>
    <x v="93"/>
    <x v="93"/>
    <x v="28"/>
    <x v="28"/>
    <x v="28"/>
    <x v="13"/>
    <x v="287"/>
    <x v="38"/>
    <x v="77"/>
    <x v="83"/>
    <x v="211"/>
    <x v="274"/>
    <x v="4"/>
  </r>
  <r>
    <x v="0"/>
    <x v="93"/>
    <x v="93"/>
    <x v="32"/>
    <x v="32"/>
    <x v="32"/>
    <x v="13"/>
    <x v="287"/>
    <x v="38"/>
    <x v="77"/>
    <x v="83"/>
    <x v="160"/>
    <x v="446"/>
    <x v="5"/>
  </r>
  <r>
    <x v="0"/>
    <x v="93"/>
    <x v="93"/>
    <x v="41"/>
    <x v="41"/>
    <x v="41"/>
    <x v="13"/>
    <x v="287"/>
    <x v="38"/>
    <x v="77"/>
    <x v="83"/>
    <x v="211"/>
    <x v="274"/>
    <x v="5"/>
  </r>
  <r>
    <x v="0"/>
    <x v="93"/>
    <x v="93"/>
    <x v="64"/>
    <x v="64"/>
    <x v="64"/>
    <x v="13"/>
    <x v="287"/>
    <x v="38"/>
    <x v="77"/>
    <x v="83"/>
    <x v="160"/>
    <x v="446"/>
    <x v="5"/>
  </r>
  <r>
    <x v="0"/>
    <x v="93"/>
    <x v="93"/>
    <x v="35"/>
    <x v="35"/>
    <x v="35"/>
    <x v="13"/>
    <x v="287"/>
    <x v="38"/>
    <x v="48"/>
    <x v="526"/>
    <x v="211"/>
    <x v="274"/>
    <x v="5"/>
  </r>
  <r>
    <x v="0"/>
    <x v="93"/>
    <x v="93"/>
    <x v="18"/>
    <x v="18"/>
    <x v="18"/>
    <x v="13"/>
    <x v="287"/>
    <x v="38"/>
    <x v="77"/>
    <x v="83"/>
    <x v="160"/>
    <x v="446"/>
    <x v="5"/>
  </r>
  <r>
    <x v="0"/>
    <x v="93"/>
    <x v="93"/>
    <x v="17"/>
    <x v="17"/>
    <x v="17"/>
    <x v="13"/>
    <x v="287"/>
    <x v="38"/>
    <x v="48"/>
    <x v="526"/>
    <x v="211"/>
    <x v="274"/>
    <x v="5"/>
  </r>
  <r>
    <x v="0"/>
    <x v="93"/>
    <x v="93"/>
    <x v="15"/>
    <x v="15"/>
    <x v="15"/>
    <x v="13"/>
    <x v="287"/>
    <x v="38"/>
    <x v="77"/>
    <x v="83"/>
    <x v="160"/>
    <x v="446"/>
    <x v="5"/>
  </r>
  <r>
    <x v="0"/>
    <x v="93"/>
    <x v="93"/>
    <x v="31"/>
    <x v="31"/>
    <x v="31"/>
    <x v="13"/>
    <x v="287"/>
    <x v="38"/>
    <x v="77"/>
    <x v="83"/>
    <x v="160"/>
    <x v="446"/>
    <x v="5"/>
  </r>
  <r>
    <x v="0"/>
    <x v="93"/>
    <x v="93"/>
    <x v="34"/>
    <x v="34"/>
    <x v="34"/>
    <x v="13"/>
    <x v="287"/>
    <x v="38"/>
    <x v="77"/>
    <x v="83"/>
    <x v="160"/>
    <x v="446"/>
    <x v="5"/>
  </r>
  <r>
    <x v="0"/>
    <x v="93"/>
    <x v="93"/>
    <x v="9"/>
    <x v="9"/>
    <x v="9"/>
    <x v="13"/>
    <x v="287"/>
    <x v="38"/>
    <x v="77"/>
    <x v="83"/>
    <x v="160"/>
    <x v="446"/>
    <x v="5"/>
  </r>
  <r>
    <x v="0"/>
    <x v="93"/>
    <x v="93"/>
    <x v="36"/>
    <x v="36"/>
    <x v="36"/>
    <x v="13"/>
    <x v="287"/>
    <x v="38"/>
    <x v="77"/>
    <x v="83"/>
    <x v="160"/>
    <x v="446"/>
    <x v="5"/>
  </r>
  <r>
    <x v="0"/>
    <x v="94"/>
    <x v="94"/>
    <x v="1"/>
    <x v="1"/>
    <x v="1"/>
    <x v="0"/>
    <x v="269"/>
    <x v="499"/>
    <x v="53"/>
    <x v="502"/>
    <x v="160"/>
    <x v="429"/>
    <x v="5"/>
  </r>
  <r>
    <x v="0"/>
    <x v="94"/>
    <x v="94"/>
    <x v="4"/>
    <x v="4"/>
    <x v="4"/>
    <x v="1"/>
    <x v="248"/>
    <x v="606"/>
    <x v="48"/>
    <x v="123"/>
    <x v="210"/>
    <x v="588"/>
    <x v="5"/>
  </r>
  <r>
    <x v="0"/>
    <x v="94"/>
    <x v="94"/>
    <x v="3"/>
    <x v="3"/>
    <x v="3"/>
    <x v="2"/>
    <x v="249"/>
    <x v="684"/>
    <x v="48"/>
    <x v="123"/>
    <x v="132"/>
    <x v="589"/>
    <x v="5"/>
  </r>
  <r>
    <x v="0"/>
    <x v="94"/>
    <x v="94"/>
    <x v="0"/>
    <x v="0"/>
    <x v="0"/>
    <x v="3"/>
    <x v="250"/>
    <x v="685"/>
    <x v="52"/>
    <x v="688"/>
    <x v="160"/>
    <x v="429"/>
    <x v="5"/>
  </r>
  <r>
    <x v="0"/>
    <x v="94"/>
    <x v="94"/>
    <x v="5"/>
    <x v="5"/>
    <x v="5"/>
    <x v="4"/>
    <x v="251"/>
    <x v="686"/>
    <x v="48"/>
    <x v="123"/>
    <x v="163"/>
    <x v="59"/>
    <x v="5"/>
  </r>
  <r>
    <x v="0"/>
    <x v="94"/>
    <x v="94"/>
    <x v="11"/>
    <x v="11"/>
    <x v="11"/>
    <x v="4"/>
    <x v="251"/>
    <x v="686"/>
    <x v="64"/>
    <x v="529"/>
    <x v="160"/>
    <x v="429"/>
    <x v="5"/>
  </r>
  <r>
    <x v="0"/>
    <x v="94"/>
    <x v="94"/>
    <x v="7"/>
    <x v="7"/>
    <x v="7"/>
    <x v="4"/>
    <x v="251"/>
    <x v="686"/>
    <x v="52"/>
    <x v="688"/>
    <x v="211"/>
    <x v="274"/>
    <x v="5"/>
  </r>
  <r>
    <x v="0"/>
    <x v="94"/>
    <x v="94"/>
    <x v="27"/>
    <x v="27"/>
    <x v="27"/>
    <x v="4"/>
    <x v="251"/>
    <x v="686"/>
    <x v="48"/>
    <x v="123"/>
    <x v="163"/>
    <x v="59"/>
    <x v="5"/>
  </r>
  <r>
    <x v="0"/>
    <x v="94"/>
    <x v="94"/>
    <x v="18"/>
    <x v="18"/>
    <x v="18"/>
    <x v="8"/>
    <x v="252"/>
    <x v="92"/>
    <x v="77"/>
    <x v="83"/>
    <x v="163"/>
    <x v="59"/>
    <x v="5"/>
  </r>
  <r>
    <x v="0"/>
    <x v="94"/>
    <x v="94"/>
    <x v="16"/>
    <x v="16"/>
    <x v="16"/>
    <x v="8"/>
    <x v="252"/>
    <x v="92"/>
    <x v="77"/>
    <x v="83"/>
    <x v="163"/>
    <x v="59"/>
    <x v="5"/>
  </r>
  <r>
    <x v="0"/>
    <x v="94"/>
    <x v="94"/>
    <x v="30"/>
    <x v="30"/>
    <x v="30"/>
    <x v="8"/>
    <x v="252"/>
    <x v="92"/>
    <x v="64"/>
    <x v="529"/>
    <x v="211"/>
    <x v="274"/>
    <x v="5"/>
  </r>
  <r>
    <x v="0"/>
    <x v="94"/>
    <x v="94"/>
    <x v="8"/>
    <x v="8"/>
    <x v="8"/>
    <x v="11"/>
    <x v="287"/>
    <x v="83"/>
    <x v="48"/>
    <x v="123"/>
    <x v="211"/>
    <x v="274"/>
    <x v="5"/>
  </r>
  <r>
    <x v="0"/>
    <x v="94"/>
    <x v="94"/>
    <x v="28"/>
    <x v="28"/>
    <x v="28"/>
    <x v="11"/>
    <x v="287"/>
    <x v="83"/>
    <x v="48"/>
    <x v="123"/>
    <x v="211"/>
    <x v="274"/>
    <x v="5"/>
  </r>
  <r>
    <x v="0"/>
    <x v="94"/>
    <x v="94"/>
    <x v="41"/>
    <x v="41"/>
    <x v="41"/>
    <x v="11"/>
    <x v="287"/>
    <x v="83"/>
    <x v="77"/>
    <x v="83"/>
    <x v="160"/>
    <x v="429"/>
    <x v="5"/>
  </r>
  <r>
    <x v="0"/>
    <x v="94"/>
    <x v="94"/>
    <x v="25"/>
    <x v="25"/>
    <x v="25"/>
    <x v="11"/>
    <x v="287"/>
    <x v="83"/>
    <x v="77"/>
    <x v="83"/>
    <x v="160"/>
    <x v="429"/>
    <x v="5"/>
  </r>
  <r>
    <x v="0"/>
    <x v="94"/>
    <x v="94"/>
    <x v="35"/>
    <x v="35"/>
    <x v="35"/>
    <x v="11"/>
    <x v="287"/>
    <x v="83"/>
    <x v="77"/>
    <x v="83"/>
    <x v="160"/>
    <x v="429"/>
    <x v="5"/>
  </r>
  <r>
    <x v="0"/>
    <x v="94"/>
    <x v="94"/>
    <x v="13"/>
    <x v="13"/>
    <x v="13"/>
    <x v="11"/>
    <x v="287"/>
    <x v="83"/>
    <x v="48"/>
    <x v="123"/>
    <x v="211"/>
    <x v="274"/>
    <x v="5"/>
  </r>
  <r>
    <x v="0"/>
    <x v="94"/>
    <x v="94"/>
    <x v="6"/>
    <x v="6"/>
    <x v="6"/>
    <x v="11"/>
    <x v="287"/>
    <x v="83"/>
    <x v="48"/>
    <x v="123"/>
    <x v="211"/>
    <x v="274"/>
    <x v="5"/>
  </r>
  <r>
    <x v="0"/>
    <x v="94"/>
    <x v="94"/>
    <x v="10"/>
    <x v="10"/>
    <x v="10"/>
    <x v="11"/>
    <x v="287"/>
    <x v="83"/>
    <x v="48"/>
    <x v="123"/>
    <x v="211"/>
    <x v="274"/>
    <x v="5"/>
  </r>
  <r>
    <x v="0"/>
    <x v="94"/>
    <x v="94"/>
    <x v="12"/>
    <x v="12"/>
    <x v="12"/>
    <x v="11"/>
    <x v="287"/>
    <x v="83"/>
    <x v="48"/>
    <x v="123"/>
    <x v="211"/>
    <x v="274"/>
    <x v="5"/>
  </r>
  <r>
    <x v="0"/>
    <x v="94"/>
    <x v="94"/>
    <x v="34"/>
    <x v="34"/>
    <x v="34"/>
    <x v="11"/>
    <x v="287"/>
    <x v="83"/>
    <x v="48"/>
    <x v="123"/>
    <x v="211"/>
    <x v="274"/>
    <x v="5"/>
  </r>
  <r>
    <x v="0"/>
    <x v="95"/>
    <x v="95"/>
    <x v="3"/>
    <x v="3"/>
    <x v="3"/>
    <x v="0"/>
    <x v="269"/>
    <x v="687"/>
    <x v="65"/>
    <x v="689"/>
    <x v="209"/>
    <x v="590"/>
    <x v="5"/>
  </r>
  <r>
    <x v="0"/>
    <x v="95"/>
    <x v="95"/>
    <x v="0"/>
    <x v="0"/>
    <x v="0"/>
    <x v="1"/>
    <x v="248"/>
    <x v="350"/>
    <x v="82"/>
    <x v="502"/>
    <x v="211"/>
    <x v="274"/>
    <x v="5"/>
  </r>
  <r>
    <x v="0"/>
    <x v="95"/>
    <x v="95"/>
    <x v="4"/>
    <x v="4"/>
    <x v="4"/>
    <x v="2"/>
    <x v="249"/>
    <x v="653"/>
    <x v="48"/>
    <x v="499"/>
    <x v="132"/>
    <x v="591"/>
    <x v="5"/>
  </r>
  <r>
    <x v="0"/>
    <x v="95"/>
    <x v="95"/>
    <x v="1"/>
    <x v="1"/>
    <x v="1"/>
    <x v="2"/>
    <x v="249"/>
    <x v="653"/>
    <x v="65"/>
    <x v="689"/>
    <x v="211"/>
    <x v="274"/>
    <x v="5"/>
  </r>
  <r>
    <x v="0"/>
    <x v="95"/>
    <x v="95"/>
    <x v="7"/>
    <x v="7"/>
    <x v="7"/>
    <x v="4"/>
    <x v="251"/>
    <x v="587"/>
    <x v="52"/>
    <x v="500"/>
    <x v="211"/>
    <x v="274"/>
    <x v="5"/>
  </r>
  <r>
    <x v="0"/>
    <x v="95"/>
    <x v="95"/>
    <x v="6"/>
    <x v="6"/>
    <x v="6"/>
    <x v="5"/>
    <x v="252"/>
    <x v="589"/>
    <x v="48"/>
    <x v="499"/>
    <x v="160"/>
    <x v="272"/>
    <x v="5"/>
  </r>
  <r>
    <x v="0"/>
    <x v="95"/>
    <x v="95"/>
    <x v="29"/>
    <x v="29"/>
    <x v="29"/>
    <x v="5"/>
    <x v="252"/>
    <x v="589"/>
    <x v="48"/>
    <x v="499"/>
    <x v="160"/>
    <x v="272"/>
    <x v="5"/>
  </r>
  <r>
    <x v="0"/>
    <x v="95"/>
    <x v="95"/>
    <x v="60"/>
    <x v="60"/>
    <x v="60"/>
    <x v="7"/>
    <x v="287"/>
    <x v="356"/>
    <x v="48"/>
    <x v="499"/>
    <x v="211"/>
    <x v="274"/>
    <x v="5"/>
  </r>
  <r>
    <x v="0"/>
    <x v="95"/>
    <x v="95"/>
    <x v="5"/>
    <x v="5"/>
    <x v="5"/>
    <x v="7"/>
    <x v="287"/>
    <x v="356"/>
    <x v="48"/>
    <x v="499"/>
    <x v="211"/>
    <x v="274"/>
    <x v="5"/>
  </r>
  <r>
    <x v="0"/>
    <x v="95"/>
    <x v="95"/>
    <x v="41"/>
    <x v="41"/>
    <x v="41"/>
    <x v="7"/>
    <x v="287"/>
    <x v="356"/>
    <x v="77"/>
    <x v="83"/>
    <x v="211"/>
    <x v="274"/>
    <x v="5"/>
  </r>
  <r>
    <x v="0"/>
    <x v="95"/>
    <x v="95"/>
    <x v="25"/>
    <x v="25"/>
    <x v="25"/>
    <x v="7"/>
    <x v="287"/>
    <x v="356"/>
    <x v="77"/>
    <x v="83"/>
    <x v="160"/>
    <x v="272"/>
    <x v="5"/>
  </r>
  <r>
    <x v="0"/>
    <x v="95"/>
    <x v="95"/>
    <x v="11"/>
    <x v="11"/>
    <x v="11"/>
    <x v="7"/>
    <x v="287"/>
    <x v="356"/>
    <x v="77"/>
    <x v="83"/>
    <x v="160"/>
    <x v="272"/>
    <x v="5"/>
  </r>
  <r>
    <x v="0"/>
    <x v="95"/>
    <x v="95"/>
    <x v="2"/>
    <x v="2"/>
    <x v="2"/>
    <x v="7"/>
    <x v="287"/>
    <x v="356"/>
    <x v="77"/>
    <x v="83"/>
    <x v="160"/>
    <x v="272"/>
    <x v="5"/>
  </r>
  <r>
    <x v="0"/>
    <x v="95"/>
    <x v="95"/>
    <x v="31"/>
    <x v="31"/>
    <x v="31"/>
    <x v="7"/>
    <x v="287"/>
    <x v="356"/>
    <x v="77"/>
    <x v="83"/>
    <x v="160"/>
    <x v="272"/>
    <x v="5"/>
  </r>
  <r>
    <x v="0"/>
    <x v="95"/>
    <x v="95"/>
    <x v="14"/>
    <x v="14"/>
    <x v="14"/>
    <x v="7"/>
    <x v="287"/>
    <x v="356"/>
    <x v="77"/>
    <x v="83"/>
    <x v="211"/>
    <x v="274"/>
    <x v="5"/>
  </r>
  <r>
    <x v="0"/>
    <x v="95"/>
    <x v="95"/>
    <x v="37"/>
    <x v="37"/>
    <x v="37"/>
    <x v="7"/>
    <x v="287"/>
    <x v="356"/>
    <x v="77"/>
    <x v="83"/>
    <x v="211"/>
    <x v="274"/>
    <x v="5"/>
  </r>
  <r>
    <x v="0"/>
    <x v="96"/>
    <x v="96"/>
    <x v="0"/>
    <x v="0"/>
    <x v="0"/>
    <x v="0"/>
    <x v="259"/>
    <x v="688"/>
    <x v="76"/>
    <x v="661"/>
    <x v="211"/>
    <x v="274"/>
    <x v="5"/>
  </r>
  <r>
    <x v="0"/>
    <x v="96"/>
    <x v="96"/>
    <x v="3"/>
    <x v="3"/>
    <x v="3"/>
    <x v="1"/>
    <x v="280"/>
    <x v="542"/>
    <x v="53"/>
    <x v="690"/>
    <x v="209"/>
    <x v="485"/>
    <x v="5"/>
  </r>
  <r>
    <x v="0"/>
    <x v="96"/>
    <x v="96"/>
    <x v="1"/>
    <x v="1"/>
    <x v="1"/>
    <x v="1"/>
    <x v="280"/>
    <x v="542"/>
    <x v="78"/>
    <x v="509"/>
    <x v="211"/>
    <x v="274"/>
    <x v="5"/>
  </r>
  <r>
    <x v="0"/>
    <x v="96"/>
    <x v="96"/>
    <x v="5"/>
    <x v="5"/>
    <x v="5"/>
    <x v="3"/>
    <x v="269"/>
    <x v="593"/>
    <x v="65"/>
    <x v="523"/>
    <x v="209"/>
    <x v="485"/>
    <x v="5"/>
  </r>
  <r>
    <x v="0"/>
    <x v="96"/>
    <x v="96"/>
    <x v="6"/>
    <x v="6"/>
    <x v="6"/>
    <x v="4"/>
    <x v="247"/>
    <x v="689"/>
    <x v="51"/>
    <x v="392"/>
    <x v="209"/>
    <x v="485"/>
    <x v="5"/>
  </r>
  <r>
    <x v="0"/>
    <x v="96"/>
    <x v="96"/>
    <x v="9"/>
    <x v="9"/>
    <x v="9"/>
    <x v="4"/>
    <x v="247"/>
    <x v="689"/>
    <x v="52"/>
    <x v="668"/>
    <x v="211"/>
    <x v="274"/>
    <x v="5"/>
  </r>
  <r>
    <x v="0"/>
    <x v="96"/>
    <x v="96"/>
    <x v="21"/>
    <x v="21"/>
    <x v="21"/>
    <x v="6"/>
    <x v="249"/>
    <x v="690"/>
    <x v="77"/>
    <x v="83"/>
    <x v="210"/>
    <x v="592"/>
    <x v="5"/>
  </r>
  <r>
    <x v="0"/>
    <x v="96"/>
    <x v="96"/>
    <x v="4"/>
    <x v="4"/>
    <x v="4"/>
    <x v="7"/>
    <x v="250"/>
    <x v="446"/>
    <x v="77"/>
    <x v="83"/>
    <x v="132"/>
    <x v="593"/>
    <x v="5"/>
  </r>
  <r>
    <x v="0"/>
    <x v="96"/>
    <x v="96"/>
    <x v="8"/>
    <x v="8"/>
    <x v="8"/>
    <x v="8"/>
    <x v="252"/>
    <x v="34"/>
    <x v="77"/>
    <x v="83"/>
    <x v="163"/>
    <x v="594"/>
    <x v="5"/>
  </r>
  <r>
    <x v="0"/>
    <x v="96"/>
    <x v="96"/>
    <x v="45"/>
    <x v="45"/>
    <x v="45"/>
    <x v="8"/>
    <x v="252"/>
    <x v="34"/>
    <x v="64"/>
    <x v="43"/>
    <x v="211"/>
    <x v="274"/>
    <x v="5"/>
  </r>
  <r>
    <x v="0"/>
    <x v="96"/>
    <x v="96"/>
    <x v="47"/>
    <x v="47"/>
    <x v="47"/>
    <x v="8"/>
    <x v="252"/>
    <x v="34"/>
    <x v="77"/>
    <x v="83"/>
    <x v="163"/>
    <x v="594"/>
    <x v="5"/>
  </r>
  <r>
    <x v="0"/>
    <x v="96"/>
    <x v="96"/>
    <x v="17"/>
    <x v="17"/>
    <x v="17"/>
    <x v="8"/>
    <x v="252"/>
    <x v="34"/>
    <x v="48"/>
    <x v="663"/>
    <x v="160"/>
    <x v="15"/>
    <x v="5"/>
  </r>
  <r>
    <x v="0"/>
    <x v="96"/>
    <x v="96"/>
    <x v="13"/>
    <x v="13"/>
    <x v="13"/>
    <x v="8"/>
    <x v="252"/>
    <x v="34"/>
    <x v="48"/>
    <x v="663"/>
    <x v="160"/>
    <x v="15"/>
    <x v="5"/>
  </r>
  <r>
    <x v="0"/>
    <x v="96"/>
    <x v="96"/>
    <x v="11"/>
    <x v="11"/>
    <x v="11"/>
    <x v="8"/>
    <x v="252"/>
    <x v="34"/>
    <x v="64"/>
    <x v="43"/>
    <x v="211"/>
    <x v="274"/>
    <x v="5"/>
  </r>
  <r>
    <x v="0"/>
    <x v="96"/>
    <x v="96"/>
    <x v="34"/>
    <x v="34"/>
    <x v="34"/>
    <x v="8"/>
    <x v="252"/>
    <x v="34"/>
    <x v="77"/>
    <x v="83"/>
    <x v="211"/>
    <x v="274"/>
    <x v="5"/>
  </r>
  <r>
    <x v="0"/>
    <x v="96"/>
    <x v="96"/>
    <x v="7"/>
    <x v="7"/>
    <x v="7"/>
    <x v="8"/>
    <x v="252"/>
    <x v="34"/>
    <x v="64"/>
    <x v="43"/>
    <x v="211"/>
    <x v="274"/>
    <x v="5"/>
  </r>
  <r>
    <x v="0"/>
    <x v="96"/>
    <x v="96"/>
    <x v="60"/>
    <x v="60"/>
    <x v="60"/>
    <x v="16"/>
    <x v="287"/>
    <x v="691"/>
    <x v="77"/>
    <x v="83"/>
    <x v="160"/>
    <x v="15"/>
    <x v="5"/>
  </r>
  <r>
    <x v="0"/>
    <x v="96"/>
    <x v="96"/>
    <x v="38"/>
    <x v="38"/>
    <x v="38"/>
    <x v="16"/>
    <x v="287"/>
    <x v="691"/>
    <x v="77"/>
    <x v="83"/>
    <x v="160"/>
    <x v="15"/>
    <x v="5"/>
  </r>
  <r>
    <x v="0"/>
    <x v="96"/>
    <x v="96"/>
    <x v="40"/>
    <x v="40"/>
    <x v="40"/>
    <x v="16"/>
    <x v="287"/>
    <x v="691"/>
    <x v="48"/>
    <x v="663"/>
    <x v="211"/>
    <x v="274"/>
    <x v="5"/>
  </r>
  <r>
    <x v="0"/>
    <x v="96"/>
    <x v="96"/>
    <x v="65"/>
    <x v="65"/>
    <x v="65"/>
    <x v="16"/>
    <x v="287"/>
    <x v="691"/>
    <x v="77"/>
    <x v="83"/>
    <x v="160"/>
    <x v="15"/>
    <x v="5"/>
  </r>
  <r>
    <x v="0"/>
    <x v="96"/>
    <x v="96"/>
    <x v="41"/>
    <x v="41"/>
    <x v="41"/>
    <x v="16"/>
    <x v="287"/>
    <x v="691"/>
    <x v="77"/>
    <x v="83"/>
    <x v="211"/>
    <x v="274"/>
    <x v="5"/>
  </r>
  <r>
    <x v="0"/>
    <x v="96"/>
    <x v="96"/>
    <x v="22"/>
    <x v="22"/>
    <x v="22"/>
    <x v="16"/>
    <x v="287"/>
    <x v="691"/>
    <x v="77"/>
    <x v="83"/>
    <x v="160"/>
    <x v="15"/>
    <x v="5"/>
  </r>
  <r>
    <x v="0"/>
    <x v="96"/>
    <x v="96"/>
    <x v="25"/>
    <x v="25"/>
    <x v="25"/>
    <x v="16"/>
    <x v="287"/>
    <x v="691"/>
    <x v="77"/>
    <x v="83"/>
    <x v="211"/>
    <x v="274"/>
    <x v="5"/>
  </r>
  <r>
    <x v="0"/>
    <x v="96"/>
    <x v="96"/>
    <x v="35"/>
    <x v="35"/>
    <x v="35"/>
    <x v="16"/>
    <x v="287"/>
    <x v="691"/>
    <x v="77"/>
    <x v="83"/>
    <x v="160"/>
    <x v="15"/>
    <x v="5"/>
  </r>
  <r>
    <x v="0"/>
    <x v="96"/>
    <x v="96"/>
    <x v="16"/>
    <x v="16"/>
    <x v="16"/>
    <x v="16"/>
    <x v="287"/>
    <x v="691"/>
    <x v="77"/>
    <x v="83"/>
    <x v="160"/>
    <x v="15"/>
    <x v="5"/>
  </r>
  <r>
    <x v="0"/>
    <x v="96"/>
    <x v="96"/>
    <x v="23"/>
    <x v="23"/>
    <x v="23"/>
    <x v="16"/>
    <x v="287"/>
    <x v="691"/>
    <x v="48"/>
    <x v="663"/>
    <x v="211"/>
    <x v="274"/>
    <x v="5"/>
  </r>
  <r>
    <x v="0"/>
    <x v="96"/>
    <x v="96"/>
    <x v="24"/>
    <x v="24"/>
    <x v="24"/>
    <x v="16"/>
    <x v="287"/>
    <x v="691"/>
    <x v="48"/>
    <x v="663"/>
    <x v="211"/>
    <x v="274"/>
    <x v="5"/>
  </r>
  <r>
    <x v="0"/>
    <x v="96"/>
    <x v="96"/>
    <x v="2"/>
    <x v="2"/>
    <x v="2"/>
    <x v="16"/>
    <x v="287"/>
    <x v="691"/>
    <x v="77"/>
    <x v="83"/>
    <x v="211"/>
    <x v="274"/>
    <x v="5"/>
  </r>
  <r>
    <x v="0"/>
    <x v="96"/>
    <x v="96"/>
    <x v="31"/>
    <x v="31"/>
    <x v="31"/>
    <x v="16"/>
    <x v="287"/>
    <x v="691"/>
    <x v="77"/>
    <x v="83"/>
    <x v="160"/>
    <x v="15"/>
    <x v="5"/>
  </r>
  <r>
    <x v="0"/>
    <x v="96"/>
    <x v="96"/>
    <x v="12"/>
    <x v="12"/>
    <x v="12"/>
    <x v="16"/>
    <x v="287"/>
    <x v="691"/>
    <x v="48"/>
    <x v="663"/>
    <x v="211"/>
    <x v="274"/>
    <x v="5"/>
  </r>
  <r>
    <x v="0"/>
    <x v="96"/>
    <x v="96"/>
    <x v="26"/>
    <x v="26"/>
    <x v="26"/>
    <x v="16"/>
    <x v="287"/>
    <x v="691"/>
    <x v="77"/>
    <x v="83"/>
    <x v="160"/>
    <x v="15"/>
    <x v="5"/>
  </r>
  <r>
    <x v="0"/>
    <x v="96"/>
    <x v="96"/>
    <x v="19"/>
    <x v="19"/>
    <x v="19"/>
    <x v="16"/>
    <x v="287"/>
    <x v="691"/>
    <x v="48"/>
    <x v="663"/>
    <x v="211"/>
    <x v="274"/>
    <x v="5"/>
  </r>
  <r>
    <x v="0"/>
    <x v="96"/>
    <x v="96"/>
    <x v="14"/>
    <x v="14"/>
    <x v="14"/>
    <x v="16"/>
    <x v="287"/>
    <x v="691"/>
    <x v="77"/>
    <x v="83"/>
    <x v="211"/>
    <x v="274"/>
    <x v="5"/>
  </r>
  <r>
    <x v="0"/>
    <x v="96"/>
    <x v="96"/>
    <x v="36"/>
    <x v="36"/>
    <x v="36"/>
    <x v="16"/>
    <x v="287"/>
    <x v="691"/>
    <x v="77"/>
    <x v="83"/>
    <x v="160"/>
    <x v="15"/>
    <x v="5"/>
  </r>
  <r>
    <x v="0"/>
    <x v="97"/>
    <x v="97"/>
    <x v="5"/>
    <x v="5"/>
    <x v="5"/>
    <x v="0"/>
    <x v="279"/>
    <x v="692"/>
    <x v="53"/>
    <x v="691"/>
    <x v="190"/>
    <x v="570"/>
    <x v="5"/>
  </r>
  <r>
    <x v="0"/>
    <x v="97"/>
    <x v="97"/>
    <x v="4"/>
    <x v="4"/>
    <x v="4"/>
    <x v="1"/>
    <x v="246"/>
    <x v="383"/>
    <x v="64"/>
    <x v="329"/>
    <x v="213"/>
    <x v="595"/>
    <x v="5"/>
  </r>
  <r>
    <x v="0"/>
    <x v="97"/>
    <x v="97"/>
    <x v="0"/>
    <x v="0"/>
    <x v="0"/>
    <x v="2"/>
    <x v="263"/>
    <x v="367"/>
    <x v="78"/>
    <x v="692"/>
    <x v="163"/>
    <x v="196"/>
    <x v="5"/>
  </r>
  <r>
    <x v="0"/>
    <x v="97"/>
    <x v="97"/>
    <x v="3"/>
    <x v="3"/>
    <x v="3"/>
    <x v="3"/>
    <x v="280"/>
    <x v="693"/>
    <x v="65"/>
    <x v="327"/>
    <x v="210"/>
    <x v="457"/>
    <x v="5"/>
  </r>
  <r>
    <x v="0"/>
    <x v="97"/>
    <x v="97"/>
    <x v="1"/>
    <x v="1"/>
    <x v="1"/>
    <x v="4"/>
    <x v="269"/>
    <x v="524"/>
    <x v="50"/>
    <x v="539"/>
    <x v="211"/>
    <x v="274"/>
    <x v="5"/>
  </r>
  <r>
    <x v="0"/>
    <x v="97"/>
    <x v="97"/>
    <x v="8"/>
    <x v="8"/>
    <x v="8"/>
    <x v="5"/>
    <x v="247"/>
    <x v="215"/>
    <x v="51"/>
    <x v="541"/>
    <x v="209"/>
    <x v="571"/>
    <x v="5"/>
  </r>
  <r>
    <x v="0"/>
    <x v="97"/>
    <x v="97"/>
    <x v="6"/>
    <x v="6"/>
    <x v="6"/>
    <x v="6"/>
    <x v="249"/>
    <x v="7"/>
    <x v="51"/>
    <x v="541"/>
    <x v="160"/>
    <x v="572"/>
    <x v="5"/>
  </r>
  <r>
    <x v="0"/>
    <x v="97"/>
    <x v="97"/>
    <x v="23"/>
    <x v="23"/>
    <x v="23"/>
    <x v="6"/>
    <x v="249"/>
    <x v="7"/>
    <x v="52"/>
    <x v="641"/>
    <x v="163"/>
    <x v="196"/>
    <x v="5"/>
  </r>
  <r>
    <x v="0"/>
    <x v="97"/>
    <x v="97"/>
    <x v="7"/>
    <x v="7"/>
    <x v="7"/>
    <x v="6"/>
    <x v="249"/>
    <x v="7"/>
    <x v="51"/>
    <x v="541"/>
    <x v="160"/>
    <x v="572"/>
    <x v="5"/>
  </r>
  <r>
    <x v="0"/>
    <x v="97"/>
    <x v="97"/>
    <x v="14"/>
    <x v="14"/>
    <x v="14"/>
    <x v="6"/>
    <x v="249"/>
    <x v="7"/>
    <x v="77"/>
    <x v="83"/>
    <x v="210"/>
    <x v="457"/>
    <x v="5"/>
  </r>
  <r>
    <x v="0"/>
    <x v="97"/>
    <x v="97"/>
    <x v="28"/>
    <x v="28"/>
    <x v="28"/>
    <x v="10"/>
    <x v="250"/>
    <x v="527"/>
    <x v="48"/>
    <x v="542"/>
    <x v="209"/>
    <x v="571"/>
    <x v="5"/>
  </r>
  <r>
    <x v="0"/>
    <x v="97"/>
    <x v="97"/>
    <x v="19"/>
    <x v="19"/>
    <x v="19"/>
    <x v="10"/>
    <x v="250"/>
    <x v="527"/>
    <x v="48"/>
    <x v="542"/>
    <x v="163"/>
    <x v="196"/>
    <x v="5"/>
  </r>
  <r>
    <x v="0"/>
    <x v="97"/>
    <x v="97"/>
    <x v="29"/>
    <x v="29"/>
    <x v="29"/>
    <x v="10"/>
    <x v="250"/>
    <x v="527"/>
    <x v="64"/>
    <x v="329"/>
    <x v="163"/>
    <x v="196"/>
    <x v="5"/>
  </r>
  <r>
    <x v="0"/>
    <x v="97"/>
    <x v="97"/>
    <x v="42"/>
    <x v="42"/>
    <x v="42"/>
    <x v="13"/>
    <x v="251"/>
    <x v="13"/>
    <x v="77"/>
    <x v="83"/>
    <x v="209"/>
    <x v="571"/>
    <x v="5"/>
  </r>
  <r>
    <x v="0"/>
    <x v="97"/>
    <x v="97"/>
    <x v="18"/>
    <x v="18"/>
    <x v="18"/>
    <x v="13"/>
    <x v="251"/>
    <x v="13"/>
    <x v="48"/>
    <x v="542"/>
    <x v="163"/>
    <x v="196"/>
    <x v="5"/>
  </r>
  <r>
    <x v="0"/>
    <x v="97"/>
    <x v="97"/>
    <x v="17"/>
    <x v="17"/>
    <x v="17"/>
    <x v="13"/>
    <x v="251"/>
    <x v="13"/>
    <x v="52"/>
    <x v="641"/>
    <x v="211"/>
    <x v="274"/>
    <x v="5"/>
  </r>
  <r>
    <x v="0"/>
    <x v="97"/>
    <x v="97"/>
    <x v="15"/>
    <x v="15"/>
    <x v="15"/>
    <x v="13"/>
    <x v="251"/>
    <x v="13"/>
    <x v="77"/>
    <x v="83"/>
    <x v="209"/>
    <x v="571"/>
    <x v="5"/>
  </r>
  <r>
    <x v="0"/>
    <x v="97"/>
    <x v="97"/>
    <x v="11"/>
    <x v="11"/>
    <x v="11"/>
    <x v="13"/>
    <x v="251"/>
    <x v="13"/>
    <x v="64"/>
    <x v="329"/>
    <x v="160"/>
    <x v="572"/>
    <x v="5"/>
  </r>
  <r>
    <x v="0"/>
    <x v="97"/>
    <x v="97"/>
    <x v="2"/>
    <x v="2"/>
    <x v="2"/>
    <x v="13"/>
    <x v="251"/>
    <x v="13"/>
    <x v="48"/>
    <x v="542"/>
    <x v="163"/>
    <x v="196"/>
    <x v="5"/>
  </r>
  <r>
    <x v="0"/>
    <x v="97"/>
    <x v="97"/>
    <x v="12"/>
    <x v="12"/>
    <x v="12"/>
    <x v="13"/>
    <x v="251"/>
    <x v="13"/>
    <x v="52"/>
    <x v="641"/>
    <x v="211"/>
    <x v="274"/>
    <x v="5"/>
  </r>
  <r>
    <x v="0"/>
    <x v="98"/>
    <x v="98"/>
    <x v="0"/>
    <x v="0"/>
    <x v="0"/>
    <x v="0"/>
    <x v="258"/>
    <x v="433"/>
    <x v="58"/>
    <x v="693"/>
    <x v="190"/>
    <x v="333"/>
    <x v="5"/>
  </r>
  <r>
    <x v="0"/>
    <x v="98"/>
    <x v="98"/>
    <x v="1"/>
    <x v="1"/>
    <x v="1"/>
    <x v="0"/>
    <x v="258"/>
    <x v="433"/>
    <x v="111"/>
    <x v="694"/>
    <x v="210"/>
    <x v="344"/>
    <x v="5"/>
  </r>
  <r>
    <x v="0"/>
    <x v="98"/>
    <x v="98"/>
    <x v="5"/>
    <x v="5"/>
    <x v="5"/>
    <x v="2"/>
    <x v="279"/>
    <x v="694"/>
    <x v="51"/>
    <x v="695"/>
    <x v="215"/>
    <x v="596"/>
    <x v="5"/>
  </r>
  <r>
    <x v="0"/>
    <x v="98"/>
    <x v="98"/>
    <x v="3"/>
    <x v="3"/>
    <x v="3"/>
    <x v="3"/>
    <x v="246"/>
    <x v="695"/>
    <x v="65"/>
    <x v="565"/>
    <x v="206"/>
    <x v="597"/>
    <x v="5"/>
  </r>
  <r>
    <x v="0"/>
    <x v="98"/>
    <x v="98"/>
    <x v="4"/>
    <x v="4"/>
    <x v="4"/>
    <x v="4"/>
    <x v="264"/>
    <x v="467"/>
    <x v="48"/>
    <x v="564"/>
    <x v="215"/>
    <x v="596"/>
    <x v="5"/>
  </r>
  <r>
    <x v="0"/>
    <x v="98"/>
    <x v="98"/>
    <x v="9"/>
    <x v="9"/>
    <x v="9"/>
    <x v="5"/>
    <x v="280"/>
    <x v="524"/>
    <x v="51"/>
    <x v="695"/>
    <x v="132"/>
    <x v="138"/>
    <x v="5"/>
  </r>
  <r>
    <x v="0"/>
    <x v="98"/>
    <x v="98"/>
    <x v="6"/>
    <x v="6"/>
    <x v="6"/>
    <x v="6"/>
    <x v="269"/>
    <x v="577"/>
    <x v="64"/>
    <x v="567"/>
    <x v="189"/>
    <x v="598"/>
    <x v="5"/>
  </r>
  <r>
    <x v="0"/>
    <x v="98"/>
    <x v="98"/>
    <x v="14"/>
    <x v="14"/>
    <x v="14"/>
    <x v="6"/>
    <x v="269"/>
    <x v="577"/>
    <x v="48"/>
    <x v="564"/>
    <x v="210"/>
    <x v="344"/>
    <x v="5"/>
  </r>
  <r>
    <x v="0"/>
    <x v="98"/>
    <x v="98"/>
    <x v="8"/>
    <x v="8"/>
    <x v="8"/>
    <x v="8"/>
    <x v="247"/>
    <x v="650"/>
    <x v="64"/>
    <x v="567"/>
    <x v="210"/>
    <x v="344"/>
    <x v="5"/>
  </r>
  <r>
    <x v="0"/>
    <x v="98"/>
    <x v="98"/>
    <x v="45"/>
    <x v="45"/>
    <x v="45"/>
    <x v="8"/>
    <x v="247"/>
    <x v="650"/>
    <x v="64"/>
    <x v="567"/>
    <x v="210"/>
    <x v="344"/>
    <x v="5"/>
  </r>
  <r>
    <x v="0"/>
    <x v="98"/>
    <x v="98"/>
    <x v="7"/>
    <x v="7"/>
    <x v="7"/>
    <x v="10"/>
    <x v="248"/>
    <x v="254"/>
    <x v="65"/>
    <x v="565"/>
    <x v="160"/>
    <x v="326"/>
    <x v="5"/>
  </r>
  <r>
    <x v="0"/>
    <x v="98"/>
    <x v="98"/>
    <x v="2"/>
    <x v="2"/>
    <x v="2"/>
    <x v="11"/>
    <x v="249"/>
    <x v="29"/>
    <x v="64"/>
    <x v="567"/>
    <x v="209"/>
    <x v="47"/>
    <x v="5"/>
  </r>
  <r>
    <x v="0"/>
    <x v="98"/>
    <x v="98"/>
    <x v="31"/>
    <x v="31"/>
    <x v="31"/>
    <x v="11"/>
    <x v="249"/>
    <x v="29"/>
    <x v="48"/>
    <x v="564"/>
    <x v="132"/>
    <x v="138"/>
    <x v="5"/>
  </r>
  <r>
    <x v="0"/>
    <x v="98"/>
    <x v="98"/>
    <x v="19"/>
    <x v="19"/>
    <x v="19"/>
    <x v="11"/>
    <x v="249"/>
    <x v="29"/>
    <x v="64"/>
    <x v="567"/>
    <x v="163"/>
    <x v="599"/>
    <x v="5"/>
  </r>
  <r>
    <x v="0"/>
    <x v="98"/>
    <x v="98"/>
    <x v="13"/>
    <x v="13"/>
    <x v="13"/>
    <x v="14"/>
    <x v="250"/>
    <x v="230"/>
    <x v="77"/>
    <x v="83"/>
    <x v="132"/>
    <x v="138"/>
    <x v="5"/>
  </r>
  <r>
    <x v="0"/>
    <x v="98"/>
    <x v="98"/>
    <x v="40"/>
    <x v="40"/>
    <x v="40"/>
    <x v="15"/>
    <x v="251"/>
    <x v="258"/>
    <x v="77"/>
    <x v="83"/>
    <x v="209"/>
    <x v="47"/>
    <x v="5"/>
  </r>
  <r>
    <x v="0"/>
    <x v="98"/>
    <x v="98"/>
    <x v="20"/>
    <x v="20"/>
    <x v="20"/>
    <x v="15"/>
    <x v="251"/>
    <x v="258"/>
    <x v="77"/>
    <x v="83"/>
    <x v="209"/>
    <x v="47"/>
    <x v="5"/>
  </r>
  <r>
    <x v="0"/>
    <x v="98"/>
    <x v="98"/>
    <x v="12"/>
    <x v="12"/>
    <x v="12"/>
    <x v="15"/>
    <x v="251"/>
    <x v="258"/>
    <x v="48"/>
    <x v="564"/>
    <x v="163"/>
    <x v="599"/>
    <x v="5"/>
  </r>
  <r>
    <x v="0"/>
    <x v="98"/>
    <x v="98"/>
    <x v="27"/>
    <x v="27"/>
    <x v="27"/>
    <x v="15"/>
    <x v="251"/>
    <x v="258"/>
    <x v="48"/>
    <x v="564"/>
    <x v="163"/>
    <x v="599"/>
    <x v="5"/>
  </r>
  <r>
    <x v="0"/>
    <x v="98"/>
    <x v="98"/>
    <x v="28"/>
    <x v="28"/>
    <x v="28"/>
    <x v="19"/>
    <x v="252"/>
    <x v="532"/>
    <x v="48"/>
    <x v="564"/>
    <x v="160"/>
    <x v="326"/>
    <x v="5"/>
  </r>
  <r>
    <x v="0"/>
    <x v="98"/>
    <x v="98"/>
    <x v="22"/>
    <x v="22"/>
    <x v="22"/>
    <x v="19"/>
    <x v="252"/>
    <x v="532"/>
    <x v="48"/>
    <x v="564"/>
    <x v="160"/>
    <x v="326"/>
    <x v="5"/>
  </r>
  <r>
    <x v="0"/>
    <x v="98"/>
    <x v="98"/>
    <x v="15"/>
    <x v="15"/>
    <x v="15"/>
    <x v="19"/>
    <x v="252"/>
    <x v="532"/>
    <x v="77"/>
    <x v="83"/>
    <x v="163"/>
    <x v="599"/>
    <x v="5"/>
  </r>
  <r>
    <x v="0"/>
    <x v="98"/>
    <x v="98"/>
    <x v="11"/>
    <x v="11"/>
    <x v="11"/>
    <x v="19"/>
    <x v="252"/>
    <x v="532"/>
    <x v="48"/>
    <x v="564"/>
    <x v="160"/>
    <x v="326"/>
    <x v="5"/>
  </r>
  <r>
    <x v="0"/>
    <x v="98"/>
    <x v="98"/>
    <x v="23"/>
    <x v="23"/>
    <x v="23"/>
    <x v="19"/>
    <x v="252"/>
    <x v="532"/>
    <x v="77"/>
    <x v="83"/>
    <x v="163"/>
    <x v="599"/>
    <x v="5"/>
  </r>
  <r>
    <x v="0"/>
    <x v="98"/>
    <x v="98"/>
    <x v="24"/>
    <x v="24"/>
    <x v="24"/>
    <x v="19"/>
    <x v="252"/>
    <x v="532"/>
    <x v="77"/>
    <x v="83"/>
    <x v="163"/>
    <x v="599"/>
    <x v="5"/>
  </r>
  <r>
    <x v="0"/>
    <x v="98"/>
    <x v="98"/>
    <x v="10"/>
    <x v="10"/>
    <x v="10"/>
    <x v="19"/>
    <x v="252"/>
    <x v="532"/>
    <x v="48"/>
    <x v="564"/>
    <x v="160"/>
    <x v="326"/>
    <x v="5"/>
  </r>
  <r>
    <x v="0"/>
    <x v="98"/>
    <x v="98"/>
    <x v="29"/>
    <x v="29"/>
    <x v="29"/>
    <x v="19"/>
    <x v="252"/>
    <x v="532"/>
    <x v="48"/>
    <x v="564"/>
    <x v="160"/>
    <x v="326"/>
    <x v="5"/>
  </r>
  <r>
    <x v="0"/>
    <x v="98"/>
    <x v="98"/>
    <x v="37"/>
    <x v="37"/>
    <x v="37"/>
    <x v="19"/>
    <x v="252"/>
    <x v="532"/>
    <x v="77"/>
    <x v="83"/>
    <x v="211"/>
    <x v="274"/>
    <x v="5"/>
  </r>
  <r>
    <x v="0"/>
    <x v="99"/>
    <x v="99"/>
    <x v="3"/>
    <x v="3"/>
    <x v="3"/>
    <x v="0"/>
    <x v="279"/>
    <x v="696"/>
    <x v="96"/>
    <x v="696"/>
    <x v="210"/>
    <x v="457"/>
    <x v="5"/>
  </r>
  <r>
    <x v="0"/>
    <x v="99"/>
    <x v="99"/>
    <x v="6"/>
    <x v="6"/>
    <x v="6"/>
    <x v="1"/>
    <x v="264"/>
    <x v="426"/>
    <x v="82"/>
    <x v="697"/>
    <x v="210"/>
    <x v="457"/>
    <x v="5"/>
  </r>
  <r>
    <x v="0"/>
    <x v="99"/>
    <x v="99"/>
    <x v="2"/>
    <x v="2"/>
    <x v="2"/>
    <x v="1"/>
    <x v="264"/>
    <x v="426"/>
    <x v="78"/>
    <x v="698"/>
    <x v="160"/>
    <x v="572"/>
    <x v="5"/>
  </r>
  <r>
    <x v="0"/>
    <x v="99"/>
    <x v="99"/>
    <x v="0"/>
    <x v="0"/>
    <x v="0"/>
    <x v="1"/>
    <x v="264"/>
    <x v="426"/>
    <x v="78"/>
    <x v="698"/>
    <x v="160"/>
    <x v="572"/>
    <x v="5"/>
  </r>
  <r>
    <x v="0"/>
    <x v="99"/>
    <x v="99"/>
    <x v="1"/>
    <x v="1"/>
    <x v="1"/>
    <x v="4"/>
    <x v="280"/>
    <x v="697"/>
    <x v="96"/>
    <x v="696"/>
    <x v="160"/>
    <x v="572"/>
    <x v="5"/>
  </r>
  <r>
    <x v="0"/>
    <x v="99"/>
    <x v="99"/>
    <x v="4"/>
    <x v="4"/>
    <x v="4"/>
    <x v="5"/>
    <x v="268"/>
    <x v="698"/>
    <x v="48"/>
    <x v="30"/>
    <x v="206"/>
    <x v="490"/>
    <x v="5"/>
  </r>
  <r>
    <x v="0"/>
    <x v="99"/>
    <x v="99"/>
    <x v="5"/>
    <x v="5"/>
    <x v="5"/>
    <x v="6"/>
    <x v="269"/>
    <x v="699"/>
    <x v="52"/>
    <x v="454"/>
    <x v="210"/>
    <x v="457"/>
    <x v="5"/>
  </r>
  <r>
    <x v="0"/>
    <x v="99"/>
    <x v="99"/>
    <x v="23"/>
    <x v="23"/>
    <x v="23"/>
    <x v="7"/>
    <x v="248"/>
    <x v="485"/>
    <x v="52"/>
    <x v="454"/>
    <x v="209"/>
    <x v="571"/>
    <x v="5"/>
  </r>
  <r>
    <x v="0"/>
    <x v="99"/>
    <x v="99"/>
    <x v="9"/>
    <x v="9"/>
    <x v="9"/>
    <x v="7"/>
    <x v="248"/>
    <x v="485"/>
    <x v="64"/>
    <x v="102"/>
    <x v="209"/>
    <x v="571"/>
    <x v="5"/>
  </r>
  <r>
    <x v="0"/>
    <x v="99"/>
    <x v="99"/>
    <x v="14"/>
    <x v="14"/>
    <x v="14"/>
    <x v="7"/>
    <x v="248"/>
    <x v="485"/>
    <x v="77"/>
    <x v="83"/>
    <x v="209"/>
    <x v="571"/>
    <x v="5"/>
  </r>
  <r>
    <x v="0"/>
    <x v="99"/>
    <x v="99"/>
    <x v="17"/>
    <x v="17"/>
    <x v="17"/>
    <x v="10"/>
    <x v="249"/>
    <x v="700"/>
    <x v="64"/>
    <x v="102"/>
    <x v="209"/>
    <x v="571"/>
    <x v="5"/>
  </r>
  <r>
    <x v="0"/>
    <x v="99"/>
    <x v="99"/>
    <x v="12"/>
    <x v="12"/>
    <x v="12"/>
    <x v="10"/>
    <x v="249"/>
    <x v="700"/>
    <x v="51"/>
    <x v="699"/>
    <x v="211"/>
    <x v="274"/>
    <x v="5"/>
  </r>
  <r>
    <x v="0"/>
    <x v="99"/>
    <x v="99"/>
    <x v="34"/>
    <x v="34"/>
    <x v="34"/>
    <x v="10"/>
    <x v="249"/>
    <x v="700"/>
    <x v="77"/>
    <x v="83"/>
    <x v="209"/>
    <x v="571"/>
    <x v="5"/>
  </r>
  <r>
    <x v="0"/>
    <x v="99"/>
    <x v="99"/>
    <x v="51"/>
    <x v="51"/>
    <x v="51"/>
    <x v="13"/>
    <x v="250"/>
    <x v="178"/>
    <x v="77"/>
    <x v="83"/>
    <x v="132"/>
    <x v="489"/>
    <x v="5"/>
  </r>
  <r>
    <x v="0"/>
    <x v="99"/>
    <x v="99"/>
    <x v="42"/>
    <x v="42"/>
    <x v="42"/>
    <x v="13"/>
    <x v="250"/>
    <x v="178"/>
    <x v="77"/>
    <x v="83"/>
    <x v="132"/>
    <x v="489"/>
    <x v="5"/>
  </r>
  <r>
    <x v="0"/>
    <x v="99"/>
    <x v="99"/>
    <x v="11"/>
    <x v="11"/>
    <x v="11"/>
    <x v="13"/>
    <x v="250"/>
    <x v="178"/>
    <x v="52"/>
    <x v="454"/>
    <x v="160"/>
    <x v="572"/>
    <x v="5"/>
  </r>
  <r>
    <x v="0"/>
    <x v="99"/>
    <x v="99"/>
    <x v="31"/>
    <x v="31"/>
    <x v="31"/>
    <x v="13"/>
    <x v="250"/>
    <x v="178"/>
    <x v="77"/>
    <x v="83"/>
    <x v="132"/>
    <x v="489"/>
    <x v="5"/>
  </r>
  <r>
    <x v="0"/>
    <x v="99"/>
    <x v="99"/>
    <x v="30"/>
    <x v="30"/>
    <x v="30"/>
    <x v="13"/>
    <x v="250"/>
    <x v="178"/>
    <x v="52"/>
    <x v="454"/>
    <x v="160"/>
    <x v="572"/>
    <x v="5"/>
  </r>
  <r>
    <x v="0"/>
    <x v="99"/>
    <x v="99"/>
    <x v="8"/>
    <x v="8"/>
    <x v="8"/>
    <x v="18"/>
    <x v="251"/>
    <x v="297"/>
    <x v="48"/>
    <x v="30"/>
    <x v="163"/>
    <x v="196"/>
    <x v="5"/>
  </r>
  <r>
    <x v="0"/>
    <x v="99"/>
    <x v="99"/>
    <x v="7"/>
    <x v="7"/>
    <x v="7"/>
    <x v="18"/>
    <x v="251"/>
    <x v="297"/>
    <x v="52"/>
    <x v="454"/>
    <x v="211"/>
    <x v="274"/>
    <x v="5"/>
  </r>
  <r>
    <x v="0"/>
    <x v="100"/>
    <x v="100"/>
    <x v="3"/>
    <x v="3"/>
    <x v="3"/>
    <x v="0"/>
    <x v="280"/>
    <x v="118"/>
    <x v="51"/>
    <x v="535"/>
    <x v="189"/>
    <x v="600"/>
    <x v="5"/>
  </r>
  <r>
    <x v="0"/>
    <x v="100"/>
    <x v="100"/>
    <x v="4"/>
    <x v="4"/>
    <x v="4"/>
    <x v="1"/>
    <x v="268"/>
    <x v="662"/>
    <x v="48"/>
    <x v="680"/>
    <x v="206"/>
    <x v="589"/>
    <x v="5"/>
  </r>
  <r>
    <x v="0"/>
    <x v="100"/>
    <x v="100"/>
    <x v="5"/>
    <x v="5"/>
    <x v="5"/>
    <x v="2"/>
    <x v="269"/>
    <x v="701"/>
    <x v="51"/>
    <x v="535"/>
    <x v="132"/>
    <x v="59"/>
    <x v="5"/>
  </r>
  <r>
    <x v="0"/>
    <x v="100"/>
    <x v="100"/>
    <x v="1"/>
    <x v="1"/>
    <x v="1"/>
    <x v="3"/>
    <x v="247"/>
    <x v="702"/>
    <x v="53"/>
    <x v="158"/>
    <x v="211"/>
    <x v="274"/>
    <x v="5"/>
  </r>
  <r>
    <x v="0"/>
    <x v="100"/>
    <x v="100"/>
    <x v="8"/>
    <x v="8"/>
    <x v="8"/>
    <x v="4"/>
    <x v="249"/>
    <x v="427"/>
    <x v="52"/>
    <x v="682"/>
    <x v="163"/>
    <x v="429"/>
    <x v="5"/>
  </r>
  <r>
    <x v="0"/>
    <x v="100"/>
    <x v="100"/>
    <x v="0"/>
    <x v="0"/>
    <x v="0"/>
    <x v="4"/>
    <x v="249"/>
    <x v="427"/>
    <x v="64"/>
    <x v="668"/>
    <x v="209"/>
    <x v="601"/>
    <x v="5"/>
  </r>
  <r>
    <x v="0"/>
    <x v="100"/>
    <x v="100"/>
    <x v="7"/>
    <x v="7"/>
    <x v="7"/>
    <x v="4"/>
    <x v="249"/>
    <x v="427"/>
    <x v="65"/>
    <x v="500"/>
    <x v="211"/>
    <x v="274"/>
    <x v="5"/>
  </r>
  <r>
    <x v="0"/>
    <x v="100"/>
    <x v="100"/>
    <x v="6"/>
    <x v="6"/>
    <x v="6"/>
    <x v="7"/>
    <x v="250"/>
    <x v="526"/>
    <x v="64"/>
    <x v="668"/>
    <x v="163"/>
    <x v="429"/>
    <x v="5"/>
  </r>
  <r>
    <x v="0"/>
    <x v="100"/>
    <x v="100"/>
    <x v="23"/>
    <x v="23"/>
    <x v="23"/>
    <x v="7"/>
    <x v="250"/>
    <x v="526"/>
    <x v="48"/>
    <x v="680"/>
    <x v="209"/>
    <x v="601"/>
    <x v="5"/>
  </r>
  <r>
    <x v="0"/>
    <x v="100"/>
    <x v="100"/>
    <x v="11"/>
    <x v="11"/>
    <x v="11"/>
    <x v="9"/>
    <x v="251"/>
    <x v="447"/>
    <x v="48"/>
    <x v="680"/>
    <x v="163"/>
    <x v="429"/>
    <x v="5"/>
  </r>
  <r>
    <x v="0"/>
    <x v="100"/>
    <x v="100"/>
    <x v="32"/>
    <x v="32"/>
    <x v="32"/>
    <x v="10"/>
    <x v="252"/>
    <x v="12"/>
    <x v="77"/>
    <x v="83"/>
    <x v="163"/>
    <x v="429"/>
    <x v="5"/>
  </r>
  <r>
    <x v="0"/>
    <x v="100"/>
    <x v="100"/>
    <x v="42"/>
    <x v="42"/>
    <x v="42"/>
    <x v="10"/>
    <x v="252"/>
    <x v="12"/>
    <x v="77"/>
    <x v="83"/>
    <x v="163"/>
    <x v="429"/>
    <x v="5"/>
  </r>
  <r>
    <x v="0"/>
    <x v="100"/>
    <x v="100"/>
    <x v="17"/>
    <x v="17"/>
    <x v="17"/>
    <x v="10"/>
    <x v="252"/>
    <x v="12"/>
    <x v="77"/>
    <x v="83"/>
    <x v="163"/>
    <x v="429"/>
    <x v="5"/>
  </r>
  <r>
    <x v="0"/>
    <x v="100"/>
    <x v="100"/>
    <x v="2"/>
    <x v="2"/>
    <x v="2"/>
    <x v="10"/>
    <x v="252"/>
    <x v="12"/>
    <x v="77"/>
    <x v="83"/>
    <x v="160"/>
    <x v="159"/>
    <x v="5"/>
  </r>
  <r>
    <x v="0"/>
    <x v="100"/>
    <x v="100"/>
    <x v="12"/>
    <x v="12"/>
    <x v="12"/>
    <x v="10"/>
    <x v="252"/>
    <x v="12"/>
    <x v="48"/>
    <x v="680"/>
    <x v="211"/>
    <x v="274"/>
    <x v="5"/>
  </r>
  <r>
    <x v="0"/>
    <x v="100"/>
    <x v="100"/>
    <x v="19"/>
    <x v="19"/>
    <x v="19"/>
    <x v="10"/>
    <x v="252"/>
    <x v="12"/>
    <x v="64"/>
    <x v="668"/>
    <x v="211"/>
    <x v="274"/>
    <x v="5"/>
  </r>
  <r>
    <x v="0"/>
    <x v="100"/>
    <x v="100"/>
    <x v="34"/>
    <x v="34"/>
    <x v="34"/>
    <x v="10"/>
    <x v="252"/>
    <x v="12"/>
    <x v="77"/>
    <x v="83"/>
    <x v="211"/>
    <x v="274"/>
    <x v="5"/>
  </r>
  <r>
    <x v="0"/>
    <x v="100"/>
    <x v="100"/>
    <x v="9"/>
    <x v="9"/>
    <x v="9"/>
    <x v="10"/>
    <x v="252"/>
    <x v="12"/>
    <x v="48"/>
    <x v="680"/>
    <x v="211"/>
    <x v="274"/>
    <x v="5"/>
  </r>
  <r>
    <x v="0"/>
    <x v="100"/>
    <x v="100"/>
    <x v="28"/>
    <x v="28"/>
    <x v="28"/>
    <x v="18"/>
    <x v="287"/>
    <x v="277"/>
    <x v="77"/>
    <x v="83"/>
    <x v="160"/>
    <x v="159"/>
    <x v="5"/>
  </r>
  <r>
    <x v="0"/>
    <x v="100"/>
    <x v="100"/>
    <x v="45"/>
    <x v="45"/>
    <x v="45"/>
    <x v="18"/>
    <x v="287"/>
    <x v="277"/>
    <x v="48"/>
    <x v="680"/>
    <x v="211"/>
    <x v="274"/>
    <x v="5"/>
  </r>
  <r>
    <x v="0"/>
    <x v="100"/>
    <x v="100"/>
    <x v="59"/>
    <x v="59"/>
    <x v="59"/>
    <x v="18"/>
    <x v="287"/>
    <x v="277"/>
    <x v="77"/>
    <x v="83"/>
    <x v="160"/>
    <x v="159"/>
    <x v="5"/>
  </r>
  <r>
    <x v="0"/>
    <x v="100"/>
    <x v="100"/>
    <x v="40"/>
    <x v="40"/>
    <x v="40"/>
    <x v="18"/>
    <x v="287"/>
    <x v="277"/>
    <x v="77"/>
    <x v="83"/>
    <x v="160"/>
    <x v="159"/>
    <x v="5"/>
  </r>
  <r>
    <x v="0"/>
    <x v="100"/>
    <x v="100"/>
    <x v="41"/>
    <x v="41"/>
    <x v="41"/>
    <x v="18"/>
    <x v="287"/>
    <x v="277"/>
    <x v="77"/>
    <x v="83"/>
    <x v="211"/>
    <x v="274"/>
    <x v="5"/>
  </r>
  <r>
    <x v="0"/>
    <x v="100"/>
    <x v="100"/>
    <x v="64"/>
    <x v="64"/>
    <x v="64"/>
    <x v="18"/>
    <x v="287"/>
    <x v="277"/>
    <x v="48"/>
    <x v="680"/>
    <x v="211"/>
    <x v="274"/>
    <x v="5"/>
  </r>
  <r>
    <x v="0"/>
    <x v="100"/>
    <x v="100"/>
    <x v="35"/>
    <x v="35"/>
    <x v="35"/>
    <x v="18"/>
    <x v="287"/>
    <x v="277"/>
    <x v="48"/>
    <x v="680"/>
    <x v="211"/>
    <x v="274"/>
    <x v="5"/>
  </r>
  <r>
    <x v="0"/>
    <x v="100"/>
    <x v="100"/>
    <x v="18"/>
    <x v="18"/>
    <x v="18"/>
    <x v="18"/>
    <x v="287"/>
    <x v="277"/>
    <x v="77"/>
    <x v="83"/>
    <x v="160"/>
    <x v="159"/>
    <x v="5"/>
  </r>
  <r>
    <x v="0"/>
    <x v="100"/>
    <x v="100"/>
    <x v="15"/>
    <x v="15"/>
    <x v="15"/>
    <x v="18"/>
    <x v="287"/>
    <x v="277"/>
    <x v="77"/>
    <x v="83"/>
    <x v="160"/>
    <x v="159"/>
    <x v="5"/>
  </r>
  <r>
    <x v="0"/>
    <x v="100"/>
    <x v="100"/>
    <x v="16"/>
    <x v="16"/>
    <x v="16"/>
    <x v="18"/>
    <x v="287"/>
    <x v="277"/>
    <x v="77"/>
    <x v="83"/>
    <x v="160"/>
    <x v="159"/>
    <x v="5"/>
  </r>
  <r>
    <x v="0"/>
    <x v="100"/>
    <x v="100"/>
    <x v="13"/>
    <x v="13"/>
    <x v="13"/>
    <x v="18"/>
    <x v="287"/>
    <x v="277"/>
    <x v="48"/>
    <x v="680"/>
    <x v="211"/>
    <x v="274"/>
    <x v="5"/>
  </r>
  <r>
    <x v="0"/>
    <x v="100"/>
    <x v="100"/>
    <x v="31"/>
    <x v="31"/>
    <x v="31"/>
    <x v="18"/>
    <x v="287"/>
    <x v="277"/>
    <x v="48"/>
    <x v="680"/>
    <x v="211"/>
    <x v="274"/>
    <x v="5"/>
  </r>
  <r>
    <x v="0"/>
    <x v="100"/>
    <x v="100"/>
    <x v="10"/>
    <x v="10"/>
    <x v="10"/>
    <x v="18"/>
    <x v="287"/>
    <x v="277"/>
    <x v="48"/>
    <x v="680"/>
    <x v="211"/>
    <x v="274"/>
    <x v="5"/>
  </r>
  <r>
    <x v="0"/>
    <x v="100"/>
    <x v="100"/>
    <x v="26"/>
    <x v="26"/>
    <x v="26"/>
    <x v="18"/>
    <x v="287"/>
    <x v="277"/>
    <x v="77"/>
    <x v="83"/>
    <x v="160"/>
    <x v="159"/>
    <x v="5"/>
  </r>
  <r>
    <x v="0"/>
    <x v="100"/>
    <x v="100"/>
    <x v="14"/>
    <x v="14"/>
    <x v="14"/>
    <x v="18"/>
    <x v="287"/>
    <x v="277"/>
    <x v="77"/>
    <x v="83"/>
    <x v="160"/>
    <x v="159"/>
    <x v="5"/>
  </r>
  <r>
    <x v="0"/>
    <x v="100"/>
    <x v="100"/>
    <x v="27"/>
    <x v="27"/>
    <x v="27"/>
    <x v="18"/>
    <x v="287"/>
    <x v="277"/>
    <x v="77"/>
    <x v="83"/>
    <x v="160"/>
    <x v="159"/>
    <x v="5"/>
  </r>
  <r>
    <x v="0"/>
    <x v="100"/>
    <x v="100"/>
    <x v="57"/>
    <x v="57"/>
    <x v="57"/>
    <x v="18"/>
    <x v="287"/>
    <x v="277"/>
    <x v="77"/>
    <x v="83"/>
    <x v="211"/>
    <x v="274"/>
    <x v="4"/>
  </r>
  <r>
    <x v="0"/>
    <x v="101"/>
    <x v="101"/>
    <x v="0"/>
    <x v="0"/>
    <x v="0"/>
    <x v="0"/>
    <x v="268"/>
    <x v="653"/>
    <x v="50"/>
    <x v="700"/>
    <x v="160"/>
    <x v="534"/>
    <x v="5"/>
  </r>
  <r>
    <x v="0"/>
    <x v="101"/>
    <x v="101"/>
    <x v="1"/>
    <x v="1"/>
    <x v="1"/>
    <x v="1"/>
    <x v="248"/>
    <x v="353"/>
    <x v="82"/>
    <x v="701"/>
    <x v="211"/>
    <x v="274"/>
    <x v="5"/>
  </r>
  <r>
    <x v="0"/>
    <x v="101"/>
    <x v="101"/>
    <x v="4"/>
    <x v="4"/>
    <x v="4"/>
    <x v="2"/>
    <x v="249"/>
    <x v="185"/>
    <x v="77"/>
    <x v="83"/>
    <x v="210"/>
    <x v="105"/>
    <x v="5"/>
  </r>
  <r>
    <x v="0"/>
    <x v="101"/>
    <x v="101"/>
    <x v="5"/>
    <x v="5"/>
    <x v="5"/>
    <x v="2"/>
    <x v="249"/>
    <x v="185"/>
    <x v="64"/>
    <x v="702"/>
    <x v="209"/>
    <x v="602"/>
    <x v="5"/>
  </r>
  <r>
    <x v="0"/>
    <x v="101"/>
    <x v="101"/>
    <x v="3"/>
    <x v="3"/>
    <x v="3"/>
    <x v="2"/>
    <x v="249"/>
    <x v="185"/>
    <x v="77"/>
    <x v="83"/>
    <x v="210"/>
    <x v="105"/>
    <x v="5"/>
  </r>
  <r>
    <x v="0"/>
    <x v="101"/>
    <x v="101"/>
    <x v="6"/>
    <x v="6"/>
    <x v="6"/>
    <x v="5"/>
    <x v="251"/>
    <x v="91"/>
    <x v="64"/>
    <x v="702"/>
    <x v="160"/>
    <x v="534"/>
    <x v="5"/>
  </r>
  <r>
    <x v="0"/>
    <x v="101"/>
    <x v="101"/>
    <x v="23"/>
    <x v="23"/>
    <x v="23"/>
    <x v="5"/>
    <x v="251"/>
    <x v="91"/>
    <x v="52"/>
    <x v="703"/>
    <x v="211"/>
    <x v="274"/>
    <x v="5"/>
  </r>
  <r>
    <x v="0"/>
    <x v="101"/>
    <x v="101"/>
    <x v="7"/>
    <x v="7"/>
    <x v="7"/>
    <x v="5"/>
    <x v="251"/>
    <x v="91"/>
    <x v="52"/>
    <x v="703"/>
    <x v="211"/>
    <x v="274"/>
    <x v="5"/>
  </r>
  <r>
    <x v="0"/>
    <x v="101"/>
    <x v="101"/>
    <x v="8"/>
    <x v="8"/>
    <x v="8"/>
    <x v="8"/>
    <x v="252"/>
    <x v="94"/>
    <x v="48"/>
    <x v="530"/>
    <x v="160"/>
    <x v="534"/>
    <x v="5"/>
  </r>
  <r>
    <x v="0"/>
    <x v="101"/>
    <x v="101"/>
    <x v="28"/>
    <x v="28"/>
    <x v="28"/>
    <x v="8"/>
    <x v="252"/>
    <x v="94"/>
    <x v="64"/>
    <x v="702"/>
    <x v="211"/>
    <x v="274"/>
    <x v="5"/>
  </r>
  <r>
    <x v="0"/>
    <x v="101"/>
    <x v="101"/>
    <x v="42"/>
    <x v="42"/>
    <x v="42"/>
    <x v="8"/>
    <x v="252"/>
    <x v="94"/>
    <x v="77"/>
    <x v="83"/>
    <x v="163"/>
    <x v="334"/>
    <x v="5"/>
  </r>
  <r>
    <x v="0"/>
    <x v="101"/>
    <x v="101"/>
    <x v="55"/>
    <x v="55"/>
    <x v="55"/>
    <x v="8"/>
    <x v="252"/>
    <x v="94"/>
    <x v="77"/>
    <x v="83"/>
    <x v="163"/>
    <x v="334"/>
    <x v="5"/>
  </r>
  <r>
    <x v="0"/>
    <x v="101"/>
    <x v="101"/>
    <x v="41"/>
    <x v="41"/>
    <x v="41"/>
    <x v="8"/>
    <x v="252"/>
    <x v="94"/>
    <x v="77"/>
    <x v="83"/>
    <x v="160"/>
    <x v="534"/>
    <x v="5"/>
  </r>
  <r>
    <x v="0"/>
    <x v="101"/>
    <x v="101"/>
    <x v="17"/>
    <x v="17"/>
    <x v="17"/>
    <x v="8"/>
    <x v="252"/>
    <x v="94"/>
    <x v="48"/>
    <x v="530"/>
    <x v="160"/>
    <x v="534"/>
    <x v="5"/>
  </r>
  <r>
    <x v="0"/>
    <x v="101"/>
    <x v="101"/>
    <x v="13"/>
    <x v="13"/>
    <x v="13"/>
    <x v="8"/>
    <x v="252"/>
    <x v="94"/>
    <x v="64"/>
    <x v="702"/>
    <x v="211"/>
    <x v="274"/>
    <x v="5"/>
  </r>
  <r>
    <x v="0"/>
    <x v="101"/>
    <x v="101"/>
    <x v="12"/>
    <x v="12"/>
    <x v="12"/>
    <x v="8"/>
    <x v="252"/>
    <x v="94"/>
    <x v="48"/>
    <x v="530"/>
    <x v="160"/>
    <x v="534"/>
    <x v="5"/>
  </r>
  <r>
    <x v="0"/>
    <x v="101"/>
    <x v="101"/>
    <x v="19"/>
    <x v="19"/>
    <x v="19"/>
    <x v="8"/>
    <x v="252"/>
    <x v="94"/>
    <x v="77"/>
    <x v="83"/>
    <x v="163"/>
    <x v="334"/>
    <x v="5"/>
  </r>
  <r>
    <x v="0"/>
    <x v="101"/>
    <x v="101"/>
    <x v="27"/>
    <x v="27"/>
    <x v="27"/>
    <x v="8"/>
    <x v="252"/>
    <x v="94"/>
    <x v="77"/>
    <x v="83"/>
    <x v="163"/>
    <x v="334"/>
    <x v="5"/>
  </r>
  <r>
    <x v="0"/>
    <x v="101"/>
    <x v="101"/>
    <x v="32"/>
    <x v="32"/>
    <x v="32"/>
    <x v="18"/>
    <x v="287"/>
    <x v="209"/>
    <x v="77"/>
    <x v="83"/>
    <x v="160"/>
    <x v="534"/>
    <x v="5"/>
  </r>
  <r>
    <x v="0"/>
    <x v="101"/>
    <x v="101"/>
    <x v="59"/>
    <x v="59"/>
    <x v="59"/>
    <x v="18"/>
    <x v="287"/>
    <x v="209"/>
    <x v="48"/>
    <x v="530"/>
    <x v="211"/>
    <x v="274"/>
    <x v="5"/>
  </r>
  <r>
    <x v="0"/>
    <x v="101"/>
    <x v="101"/>
    <x v="25"/>
    <x v="25"/>
    <x v="25"/>
    <x v="18"/>
    <x v="287"/>
    <x v="209"/>
    <x v="77"/>
    <x v="83"/>
    <x v="160"/>
    <x v="534"/>
    <x v="5"/>
  </r>
  <r>
    <x v="0"/>
    <x v="101"/>
    <x v="101"/>
    <x v="35"/>
    <x v="35"/>
    <x v="35"/>
    <x v="18"/>
    <x v="287"/>
    <x v="209"/>
    <x v="77"/>
    <x v="83"/>
    <x v="160"/>
    <x v="534"/>
    <x v="5"/>
  </r>
  <r>
    <x v="0"/>
    <x v="101"/>
    <x v="101"/>
    <x v="18"/>
    <x v="18"/>
    <x v="18"/>
    <x v="18"/>
    <x v="287"/>
    <x v="209"/>
    <x v="77"/>
    <x v="83"/>
    <x v="160"/>
    <x v="534"/>
    <x v="5"/>
  </r>
  <r>
    <x v="0"/>
    <x v="101"/>
    <x v="101"/>
    <x v="11"/>
    <x v="11"/>
    <x v="11"/>
    <x v="18"/>
    <x v="287"/>
    <x v="209"/>
    <x v="48"/>
    <x v="530"/>
    <x v="211"/>
    <x v="274"/>
    <x v="5"/>
  </r>
  <r>
    <x v="0"/>
    <x v="101"/>
    <x v="101"/>
    <x v="10"/>
    <x v="10"/>
    <x v="10"/>
    <x v="18"/>
    <x v="287"/>
    <x v="209"/>
    <x v="48"/>
    <x v="530"/>
    <x v="211"/>
    <x v="274"/>
    <x v="5"/>
  </r>
  <r>
    <x v="0"/>
    <x v="101"/>
    <x v="101"/>
    <x v="34"/>
    <x v="34"/>
    <x v="34"/>
    <x v="18"/>
    <x v="287"/>
    <x v="209"/>
    <x v="77"/>
    <x v="83"/>
    <x v="211"/>
    <x v="274"/>
    <x v="4"/>
  </r>
  <r>
    <x v="0"/>
    <x v="101"/>
    <x v="101"/>
    <x v="9"/>
    <x v="9"/>
    <x v="9"/>
    <x v="18"/>
    <x v="287"/>
    <x v="209"/>
    <x v="48"/>
    <x v="530"/>
    <x v="211"/>
    <x v="274"/>
    <x v="5"/>
  </r>
  <r>
    <x v="0"/>
    <x v="101"/>
    <x v="101"/>
    <x v="14"/>
    <x v="14"/>
    <x v="14"/>
    <x v="18"/>
    <x v="287"/>
    <x v="209"/>
    <x v="77"/>
    <x v="83"/>
    <x v="211"/>
    <x v="274"/>
    <x v="5"/>
  </r>
  <r>
    <x v="0"/>
    <x v="101"/>
    <x v="101"/>
    <x v="36"/>
    <x v="36"/>
    <x v="36"/>
    <x v="18"/>
    <x v="287"/>
    <x v="209"/>
    <x v="77"/>
    <x v="83"/>
    <x v="160"/>
    <x v="534"/>
    <x v="5"/>
  </r>
  <r>
    <x v="0"/>
    <x v="101"/>
    <x v="101"/>
    <x v="29"/>
    <x v="29"/>
    <x v="29"/>
    <x v="18"/>
    <x v="287"/>
    <x v="209"/>
    <x v="77"/>
    <x v="83"/>
    <x v="160"/>
    <x v="534"/>
    <x v="5"/>
  </r>
  <r>
    <x v="0"/>
    <x v="101"/>
    <x v="101"/>
    <x v="21"/>
    <x v="21"/>
    <x v="21"/>
    <x v="18"/>
    <x v="287"/>
    <x v="209"/>
    <x v="77"/>
    <x v="83"/>
    <x v="160"/>
    <x v="534"/>
    <x v="5"/>
  </r>
  <r>
    <x v="0"/>
    <x v="102"/>
    <x v="102"/>
    <x v="0"/>
    <x v="0"/>
    <x v="0"/>
    <x v="0"/>
    <x v="258"/>
    <x v="703"/>
    <x v="31"/>
    <x v="704"/>
    <x v="209"/>
    <x v="500"/>
    <x v="5"/>
  </r>
  <r>
    <x v="0"/>
    <x v="102"/>
    <x v="102"/>
    <x v="3"/>
    <x v="3"/>
    <x v="3"/>
    <x v="1"/>
    <x v="246"/>
    <x v="382"/>
    <x v="82"/>
    <x v="697"/>
    <x v="190"/>
    <x v="528"/>
    <x v="5"/>
  </r>
  <r>
    <x v="0"/>
    <x v="102"/>
    <x v="102"/>
    <x v="1"/>
    <x v="1"/>
    <x v="1"/>
    <x v="2"/>
    <x v="263"/>
    <x v="671"/>
    <x v="70"/>
    <x v="343"/>
    <x v="160"/>
    <x v="456"/>
    <x v="5"/>
  </r>
  <r>
    <x v="0"/>
    <x v="102"/>
    <x v="102"/>
    <x v="6"/>
    <x v="6"/>
    <x v="6"/>
    <x v="3"/>
    <x v="268"/>
    <x v="704"/>
    <x v="53"/>
    <x v="371"/>
    <x v="160"/>
    <x v="456"/>
    <x v="4"/>
  </r>
  <r>
    <x v="0"/>
    <x v="102"/>
    <x v="102"/>
    <x v="30"/>
    <x v="30"/>
    <x v="30"/>
    <x v="3"/>
    <x v="268"/>
    <x v="704"/>
    <x v="82"/>
    <x v="697"/>
    <x v="209"/>
    <x v="500"/>
    <x v="5"/>
  </r>
  <r>
    <x v="0"/>
    <x v="102"/>
    <x v="102"/>
    <x v="14"/>
    <x v="14"/>
    <x v="14"/>
    <x v="5"/>
    <x v="249"/>
    <x v="650"/>
    <x v="77"/>
    <x v="83"/>
    <x v="132"/>
    <x v="603"/>
    <x v="5"/>
  </r>
  <r>
    <x v="0"/>
    <x v="102"/>
    <x v="102"/>
    <x v="4"/>
    <x v="4"/>
    <x v="4"/>
    <x v="6"/>
    <x v="250"/>
    <x v="149"/>
    <x v="77"/>
    <x v="83"/>
    <x v="132"/>
    <x v="603"/>
    <x v="5"/>
  </r>
  <r>
    <x v="0"/>
    <x v="102"/>
    <x v="102"/>
    <x v="5"/>
    <x v="5"/>
    <x v="5"/>
    <x v="6"/>
    <x v="250"/>
    <x v="149"/>
    <x v="52"/>
    <x v="454"/>
    <x v="160"/>
    <x v="456"/>
    <x v="5"/>
  </r>
  <r>
    <x v="0"/>
    <x v="102"/>
    <x v="102"/>
    <x v="28"/>
    <x v="28"/>
    <x v="28"/>
    <x v="6"/>
    <x v="250"/>
    <x v="149"/>
    <x v="48"/>
    <x v="30"/>
    <x v="209"/>
    <x v="500"/>
    <x v="5"/>
  </r>
  <r>
    <x v="0"/>
    <x v="102"/>
    <x v="102"/>
    <x v="11"/>
    <x v="11"/>
    <x v="11"/>
    <x v="6"/>
    <x v="250"/>
    <x v="149"/>
    <x v="64"/>
    <x v="102"/>
    <x v="163"/>
    <x v="176"/>
    <x v="5"/>
  </r>
  <r>
    <x v="0"/>
    <x v="102"/>
    <x v="102"/>
    <x v="9"/>
    <x v="9"/>
    <x v="9"/>
    <x v="6"/>
    <x v="250"/>
    <x v="149"/>
    <x v="64"/>
    <x v="102"/>
    <x v="211"/>
    <x v="274"/>
    <x v="5"/>
  </r>
  <r>
    <x v="0"/>
    <x v="102"/>
    <x v="102"/>
    <x v="7"/>
    <x v="7"/>
    <x v="7"/>
    <x v="6"/>
    <x v="250"/>
    <x v="149"/>
    <x v="51"/>
    <x v="699"/>
    <x v="211"/>
    <x v="274"/>
    <x v="5"/>
  </r>
  <r>
    <x v="0"/>
    <x v="102"/>
    <x v="102"/>
    <x v="42"/>
    <x v="42"/>
    <x v="42"/>
    <x v="12"/>
    <x v="251"/>
    <x v="50"/>
    <x v="77"/>
    <x v="83"/>
    <x v="209"/>
    <x v="500"/>
    <x v="5"/>
  </r>
  <r>
    <x v="0"/>
    <x v="102"/>
    <x v="102"/>
    <x v="21"/>
    <x v="21"/>
    <x v="21"/>
    <x v="12"/>
    <x v="251"/>
    <x v="50"/>
    <x v="77"/>
    <x v="83"/>
    <x v="209"/>
    <x v="500"/>
    <x v="5"/>
  </r>
  <r>
    <x v="0"/>
    <x v="102"/>
    <x v="102"/>
    <x v="8"/>
    <x v="8"/>
    <x v="8"/>
    <x v="14"/>
    <x v="252"/>
    <x v="320"/>
    <x v="48"/>
    <x v="30"/>
    <x v="160"/>
    <x v="456"/>
    <x v="5"/>
  </r>
  <r>
    <x v="0"/>
    <x v="102"/>
    <x v="102"/>
    <x v="49"/>
    <x v="49"/>
    <x v="49"/>
    <x v="14"/>
    <x v="252"/>
    <x v="320"/>
    <x v="77"/>
    <x v="83"/>
    <x v="163"/>
    <x v="176"/>
    <x v="5"/>
  </r>
  <r>
    <x v="0"/>
    <x v="102"/>
    <x v="102"/>
    <x v="32"/>
    <x v="32"/>
    <x v="32"/>
    <x v="14"/>
    <x v="252"/>
    <x v="320"/>
    <x v="77"/>
    <x v="83"/>
    <x v="163"/>
    <x v="176"/>
    <x v="5"/>
  </r>
  <r>
    <x v="0"/>
    <x v="102"/>
    <x v="102"/>
    <x v="45"/>
    <x v="45"/>
    <x v="45"/>
    <x v="14"/>
    <x v="252"/>
    <x v="320"/>
    <x v="64"/>
    <x v="102"/>
    <x v="211"/>
    <x v="274"/>
    <x v="5"/>
  </r>
  <r>
    <x v="0"/>
    <x v="102"/>
    <x v="102"/>
    <x v="16"/>
    <x v="16"/>
    <x v="16"/>
    <x v="14"/>
    <x v="252"/>
    <x v="320"/>
    <x v="48"/>
    <x v="30"/>
    <x v="160"/>
    <x v="456"/>
    <x v="5"/>
  </r>
  <r>
    <x v="0"/>
    <x v="102"/>
    <x v="102"/>
    <x v="13"/>
    <x v="13"/>
    <x v="13"/>
    <x v="14"/>
    <x v="252"/>
    <x v="320"/>
    <x v="64"/>
    <x v="102"/>
    <x v="211"/>
    <x v="274"/>
    <x v="5"/>
  </r>
  <r>
    <x v="0"/>
    <x v="102"/>
    <x v="102"/>
    <x v="2"/>
    <x v="2"/>
    <x v="2"/>
    <x v="14"/>
    <x v="252"/>
    <x v="320"/>
    <x v="64"/>
    <x v="102"/>
    <x v="211"/>
    <x v="274"/>
    <x v="5"/>
  </r>
  <r>
    <x v="0"/>
    <x v="102"/>
    <x v="102"/>
    <x v="31"/>
    <x v="31"/>
    <x v="31"/>
    <x v="14"/>
    <x v="252"/>
    <x v="320"/>
    <x v="48"/>
    <x v="30"/>
    <x v="160"/>
    <x v="456"/>
    <x v="5"/>
  </r>
  <r>
    <x v="0"/>
    <x v="102"/>
    <x v="102"/>
    <x v="10"/>
    <x v="10"/>
    <x v="10"/>
    <x v="14"/>
    <x v="252"/>
    <x v="320"/>
    <x v="48"/>
    <x v="30"/>
    <x v="211"/>
    <x v="274"/>
    <x v="4"/>
  </r>
  <r>
    <x v="0"/>
    <x v="102"/>
    <x v="102"/>
    <x v="12"/>
    <x v="12"/>
    <x v="12"/>
    <x v="14"/>
    <x v="252"/>
    <x v="320"/>
    <x v="48"/>
    <x v="30"/>
    <x v="160"/>
    <x v="456"/>
    <x v="5"/>
  </r>
  <r>
    <x v="0"/>
    <x v="102"/>
    <x v="102"/>
    <x v="36"/>
    <x v="36"/>
    <x v="36"/>
    <x v="14"/>
    <x v="252"/>
    <x v="320"/>
    <x v="77"/>
    <x v="83"/>
    <x v="163"/>
    <x v="176"/>
    <x v="5"/>
  </r>
  <r>
    <x v="0"/>
    <x v="103"/>
    <x v="103"/>
    <x v="45"/>
    <x v="45"/>
    <x v="45"/>
    <x v="0"/>
    <x v="262"/>
    <x v="705"/>
    <x v="50"/>
    <x v="214"/>
    <x v="206"/>
    <x v="531"/>
    <x v="5"/>
  </r>
  <r>
    <x v="0"/>
    <x v="103"/>
    <x v="103"/>
    <x v="0"/>
    <x v="0"/>
    <x v="0"/>
    <x v="1"/>
    <x v="279"/>
    <x v="706"/>
    <x v="70"/>
    <x v="705"/>
    <x v="209"/>
    <x v="563"/>
    <x v="5"/>
  </r>
  <r>
    <x v="0"/>
    <x v="103"/>
    <x v="103"/>
    <x v="6"/>
    <x v="6"/>
    <x v="6"/>
    <x v="2"/>
    <x v="264"/>
    <x v="707"/>
    <x v="50"/>
    <x v="214"/>
    <x v="209"/>
    <x v="563"/>
    <x v="5"/>
  </r>
  <r>
    <x v="0"/>
    <x v="103"/>
    <x v="103"/>
    <x v="3"/>
    <x v="3"/>
    <x v="3"/>
    <x v="2"/>
    <x v="264"/>
    <x v="707"/>
    <x v="96"/>
    <x v="706"/>
    <x v="163"/>
    <x v="534"/>
    <x v="5"/>
  </r>
  <r>
    <x v="0"/>
    <x v="103"/>
    <x v="103"/>
    <x v="1"/>
    <x v="1"/>
    <x v="1"/>
    <x v="4"/>
    <x v="268"/>
    <x v="708"/>
    <x v="96"/>
    <x v="706"/>
    <x v="211"/>
    <x v="274"/>
    <x v="5"/>
  </r>
  <r>
    <x v="0"/>
    <x v="103"/>
    <x v="103"/>
    <x v="4"/>
    <x v="4"/>
    <x v="4"/>
    <x v="5"/>
    <x v="269"/>
    <x v="160"/>
    <x v="77"/>
    <x v="83"/>
    <x v="206"/>
    <x v="531"/>
    <x v="5"/>
  </r>
  <r>
    <x v="0"/>
    <x v="103"/>
    <x v="103"/>
    <x v="13"/>
    <x v="13"/>
    <x v="13"/>
    <x v="6"/>
    <x v="248"/>
    <x v="400"/>
    <x v="65"/>
    <x v="141"/>
    <x v="160"/>
    <x v="604"/>
    <x v="5"/>
  </r>
  <r>
    <x v="0"/>
    <x v="103"/>
    <x v="103"/>
    <x v="32"/>
    <x v="32"/>
    <x v="32"/>
    <x v="7"/>
    <x v="249"/>
    <x v="447"/>
    <x v="64"/>
    <x v="600"/>
    <x v="209"/>
    <x v="563"/>
    <x v="5"/>
  </r>
  <r>
    <x v="0"/>
    <x v="103"/>
    <x v="103"/>
    <x v="23"/>
    <x v="23"/>
    <x v="23"/>
    <x v="7"/>
    <x v="249"/>
    <x v="447"/>
    <x v="64"/>
    <x v="600"/>
    <x v="209"/>
    <x v="563"/>
    <x v="5"/>
  </r>
  <r>
    <x v="0"/>
    <x v="103"/>
    <x v="103"/>
    <x v="8"/>
    <x v="8"/>
    <x v="8"/>
    <x v="9"/>
    <x v="250"/>
    <x v="66"/>
    <x v="77"/>
    <x v="83"/>
    <x v="132"/>
    <x v="334"/>
    <x v="5"/>
  </r>
  <r>
    <x v="0"/>
    <x v="103"/>
    <x v="103"/>
    <x v="28"/>
    <x v="28"/>
    <x v="28"/>
    <x v="9"/>
    <x v="250"/>
    <x v="66"/>
    <x v="51"/>
    <x v="278"/>
    <x v="211"/>
    <x v="274"/>
    <x v="5"/>
  </r>
  <r>
    <x v="0"/>
    <x v="103"/>
    <x v="103"/>
    <x v="40"/>
    <x v="40"/>
    <x v="40"/>
    <x v="9"/>
    <x v="250"/>
    <x v="66"/>
    <x v="64"/>
    <x v="600"/>
    <x v="163"/>
    <x v="534"/>
    <x v="5"/>
  </r>
  <r>
    <x v="0"/>
    <x v="103"/>
    <x v="103"/>
    <x v="10"/>
    <x v="10"/>
    <x v="10"/>
    <x v="9"/>
    <x v="250"/>
    <x v="66"/>
    <x v="52"/>
    <x v="707"/>
    <x v="160"/>
    <x v="604"/>
    <x v="5"/>
  </r>
  <r>
    <x v="0"/>
    <x v="103"/>
    <x v="103"/>
    <x v="30"/>
    <x v="30"/>
    <x v="30"/>
    <x v="9"/>
    <x v="250"/>
    <x v="66"/>
    <x v="64"/>
    <x v="600"/>
    <x v="163"/>
    <x v="534"/>
    <x v="5"/>
  </r>
  <r>
    <x v="0"/>
    <x v="103"/>
    <x v="103"/>
    <x v="5"/>
    <x v="5"/>
    <x v="5"/>
    <x v="14"/>
    <x v="251"/>
    <x v="34"/>
    <x v="48"/>
    <x v="118"/>
    <x v="163"/>
    <x v="534"/>
    <x v="5"/>
  </r>
  <r>
    <x v="0"/>
    <x v="103"/>
    <x v="103"/>
    <x v="15"/>
    <x v="15"/>
    <x v="15"/>
    <x v="14"/>
    <x v="251"/>
    <x v="34"/>
    <x v="77"/>
    <x v="83"/>
    <x v="209"/>
    <x v="563"/>
    <x v="5"/>
  </r>
  <r>
    <x v="0"/>
    <x v="103"/>
    <x v="103"/>
    <x v="16"/>
    <x v="16"/>
    <x v="16"/>
    <x v="14"/>
    <x v="251"/>
    <x v="34"/>
    <x v="77"/>
    <x v="83"/>
    <x v="209"/>
    <x v="563"/>
    <x v="5"/>
  </r>
  <r>
    <x v="0"/>
    <x v="103"/>
    <x v="103"/>
    <x v="11"/>
    <x v="11"/>
    <x v="11"/>
    <x v="14"/>
    <x v="251"/>
    <x v="34"/>
    <x v="48"/>
    <x v="118"/>
    <x v="163"/>
    <x v="534"/>
    <x v="5"/>
  </r>
  <r>
    <x v="0"/>
    <x v="103"/>
    <x v="103"/>
    <x v="9"/>
    <x v="9"/>
    <x v="9"/>
    <x v="14"/>
    <x v="251"/>
    <x v="34"/>
    <x v="52"/>
    <x v="707"/>
    <x v="211"/>
    <x v="274"/>
    <x v="5"/>
  </r>
  <r>
    <x v="0"/>
    <x v="103"/>
    <x v="103"/>
    <x v="7"/>
    <x v="7"/>
    <x v="7"/>
    <x v="14"/>
    <x v="251"/>
    <x v="34"/>
    <x v="52"/>
    <x v="707"/>
    <x v="211"/>
    <x v="274"/>
    <x v="5"/>
  </r>
  <r>
    <x v="0"/>
    <x v="103"/>
    <x v="103"/>
    <x v="14"/>
    <x v="14"/>
    <x v="14"/>
    <x v="14"/>
    <x v="251"/>
    <x v="34"/>
    <x v="77"/>
    <x v="83"/>
    <x v="209"/>
    <x v="563"/>
    <x v="5"/>
  </r>
  <r>
    <x v="0"/>
    <x v="104"/>
    <x v="104"/>
    <x v="30"/>
    <x v="30"/>
    <x v="30"/>
    <x v="0"/>
    <x v="198"/>
    <x v="597"/>
    <x v="97"/>
    <x v="708"/>
    <x v="189"/>
    <x v="457"/>
    <x v="5"/>
  </r>
  <r>
    <x v="0"/>
    <x v="104"/>
    <x v="104"/>
    <x v="0"/>
    <x v="0"/>
    <x v="0"/>
    <x v="0"/>
    <x v="198"/>
    <x v="597"/>
    <x v="152"/>
    <x v="709"/>
    <x v="132"/>
    <x v="355"/>
    <x v="5"/>
  </r>
  <r>
    <x v="0"/>
    <x v="104"/>
    <x v="104"/>
    <x v="1"/>
    <x v="1"/>
    <x v="1"/>
    <x v="2"/>
    <x v="175"/>
    <x v="709"/>
    <x v="117"/>
    <x v="710"/>
    <x v="209"/>
    <x v="461"/>
    <x v="5"/>
  </r>
  <r>
    <x v="0"/>
    <x v="104"/>
    <x v="104"/>
    <x v="6"/>
    <x v="6"/>
    <x v="6"/>
    <x v="3"/>
    <x v="260"/>
    <x v="353"/>
    <x v="34"/>
    <x v="711"/>
    <x v="132"/>
    <x v="355"/>
    <x v="5"/>
  </r>
  <r>
    <x v="0"/>
    <x v="104"/>
    <x v="104"/>
    <x v="3"/>
    <x v="3"/>
    <x v="3"/>
    <x v="4"/>
    <x v="258"/>
    <x v="42"/>
    <x v="111"/>
    <x v="326"/>
    <x v="210"/>
    <x v="605"/>
    <x v="5"/>
  </r>
  <r>
    <x v="0"/>
    <x v="104"/>
    <x v="104"/>
    <x v="9"/>
    <x v="9"/>
    <x v="9"/>
    <x v="5"/>
    <x v="268"/>
    <x v="664"/>
    <x v="82"/>
    <x v="712"/>
    <x v="211"/>
    <x v="274"/>
    <x v="5"/>
  </r>
  <r>
    <x v="0"/>
    <x v="104"/>
    <x v="104"/>
    <x v="4"/>
    <x v="4"/>
    <x v="4"/>
    <x v="6"/>
    <x v="269"/>
    <x v="217"/>
    <x v="48"/>
    <x v="320"/>
    <x v="190"/>
    <x v="323"/>
    <x v="5"/>
  </r>
  <r>
    <x v="0"/>
    <x v="104"/>
    <x v="104"/>
    <x v="11"/>
    <x v="11"/>
    <x v="11"/>
    <x v="6"/>
    <x v="269"/>
    <x v="217"/>
    <x v="51"/>
    <x v="65"/>
    <x v="132"/>
    <x v="355"/>
    <x v="5"/>
  </r>
  <r>
    <x v="0"/>
    <x v="104"/>
    <x v="104"/>
    <x v="8"/>
    <x v="8"/>
    <x v="8"/>
    <x v="8"/>
    <x v="247"/>
    <x v="94"/>
    <x v="48"/>
    <x v="320"/>
    <x v="189"/>
    <x v="457"/>
    <x v="5"/>
  </r>
  <r>
    <x v="0"/>
    <x v="104"/>
    <x v="104"/>
    <x v="2"/>
    <x v="2"/>
    <x v="2"/>
    <x v="8"/>
    <x v="247"/>
    <x v="94"/>
    <x v="65"/>
    <x v="713"/>
    <x v="163"/>
    <x v="463"/>
    <x v="5"/>
  </r>
  <r>
    <x v="0"/>
    <x v="104"/>
    <x v="104"/>
    <x v="5"/>
    <x v="5"/>
    <x v="5"/>
    <x v="10"/>
    <x v="248"/>
    <x v="710"/>
    <x v="52"/>
    <x v="714"/>
    <x v="209"/>
    <x v="461"/>
    <x v="5"/>
  </r>
  <r>
    <x v="0"/>
    <x v="104"/>
    <x v="104"/>
    <x v="12"/>
    <x v="12"/>
    <x v="12"/>
    <x v="10"/>
    <x v="248"/>
    <x v="710"/>
    <x v="51"/>
    <x v="65"/>
    <x v="163"/>
    <x v="463"/>
    <x v="5"/>
  </r>
  <r>
    <x v="0"/>
    <x v="104"/>
    <x v="104"/>
    <x v="15"/>
    <x v="15"/>
    <x v="15"/>
    <x v="12"/>
    <x v="249"/>
    <x v="412"/>
    <x v="77"/>
    <x v="83"/>
    <x v="210"/>
    <x v="605"/>
    <x v="5"/>
  </r>
  <r>
    <x v="0"/>
    <x v="104"/>
    <x v="104"/>
    <x v="19"/>
    <x v="19"/>
    <x v="19"/>
    <x v="12"/>
    <x v="249"/>
    <x v="412"/>
    <x v="65"/>
    <x v="713"/>
    <x v="211"/>
    <x v="274"/>
    <x v="5"/>
  </r>
  <r>
    <x v="0"/>
    <x v="104"/>
    <x v="104"/>
    <x v="7"/>
    <x v="7"/>
    <x v="7"/>
    <x v="12"/>
    <x v="249"/>
    <x v="412"/>
    <x v="65"/>
    <x v="713"/>
    <x v="211"/>
    <x v="274"/>
    <x v="5"/>
  </r>
  <r>
    <x v="0"/>
    <x v="104"/>
    <x v="104"/>
    <x v="14"/>
    <x v="14"/>
    <x v="14"/>
    <x v="15"/>
    <x v="250"/>
    <x v="180"/>
    <x v="77"/>
    <x v="83"/>
    <x v="132"/>
    <x v="355"/>
    <x v="5"/>
  </r>
  <r>
    <x v="0"/>
    <x v="104"/>
    <x v="104"/>
    <x v="27"/>
    <x v="27"/>
    <x v="27"/>
    <x v="15"/>
    <x v="250"/>
    <x v="180"/>
    <x v="48"/>
    <x v="320"/>
    <x v="209"/>
    <x v="461"/>
    <x v="5"/>
  </r>
  <r>
    <x v="0"/>
    <x v="104"/>
    <x v="104"/>
    <x v="45"/>
    <x v="45"/>
    <x v="45"/>
    <x v="17"/>
    <x v="251"/>
    <x v="456"/>
    <x v="64"/>
    <x v="139"/>
    <x v="160"/>
    <x v="257"/>
    <x v="5"/>
  </r>
  <r>
    <x v="0"/>
    <x v="104"/>
    <x v="104"/>
    <x v="33"/>
    <x v="33"/>
    <x v="33"/>
    <x v="17"/>
    <x v="251"/>
    <x v="456"/>
    <x v="77"/>
    <x v="83"/>
    <x v="209"/>
    <x v="461"/>
    <x v="5"/>
  </r>
  <r>
    <x v="0"/>
    <x v="104"/>
    <x v="104"/>
    <x v="16"/>
    <x v="16"/>
    <x v="16"/>
    <x v="17"/>
    <x v="251"/>
    <x v="456"/>
    <x v="77"/>
    <x v="83"/>
    <x v="209"/>
    <x v="461"/>
    <x v="5"/>
  </r>
  <r>
    <x v="0"/>
    <x v="104"/>
    <x v="104"/>
    <x v="23"/>
    <x v="23"/>
    <x v="23"/>
    <x v="17"/>
    <x v="251"/>
    <x v="456"/>
    <x v="77"/>
    <x v="83"/>
    <x v="209"/>
    <x v="461"/>
    <x v="5"/>
  </r>
  <r>
    <x v="0"/>
    <x v="104"/>
    <x v="104"/>
    <x v="31"/>
    <x v="31"/>
    <x v="31"/>
    <x v="17"/>
    <x v="251"/>
    <x v="456"/>
    <x v="48"/>
    <x v="320"/>
    <x v="163"/>
    <x v="463"/>
    <x v="5"/>
  </r>
  <r>
    <x v="0"/>
    <x v="105"/>
    <x v="105"/>
    <x v="0"/>
    <x v="0"/>
    <x v="0"/>
    <x v="0"/>
    <x v="195"/>
    <x v="711"/>
    <x v="106"/>
    <x v="715"/>
    <x v="210"/>
    <x v="515"/>
    <x v="5"/>
  </r>
  <r>
    <x v="0"/>
    <x v="105"/>
    <x v="105"/>
    <x v="2"/>
    <x v="2"/>
    <x v="2"/>
    <x v="1"/>
    <x v="244"/>
    <x v="72"/>
    <x v="33"/>
    <x v="693"/>
    <x v="163"/>
    <x v="395"/>
    <x v="5"/>
  </r>
  <r>
    <x v="0"/>
    <x v="105"/>
    <x v="105"/>
    <x v="1"/>
    <x v="1"/>
    <x v="1"/>
    <x v="2"/>
    <x v="138"/>
    <x v="712"/>
    <x v="110"/>
    <x v="716"/>
    <x v="163"/>
    <x v="395"/>
    <x v="5"/>
  </r>
  <r>
    <x v="0"/>
    <x v="105"/>
    <x v="105"/>
    <x v="3"/>
    <x v="3"/>
    <x v="3"/>
    <x v="3"/>
    <x v="164"/>
    <x v="559"/>
    <x v="70"/>
    <x v="717"/>
    <x v="213"/>
    <x v="606"/>
    <x v="5"/>
  </r>
  <r>
    <x v="0"/>
    <x v="105"/>
    <x v="105"/>
    <x v="30"/>
    <x v="30"/>
    <x v="30"/>
    <x v="4"/>
    <x v="267"/>
    <x v="659"/>
    <x v="58"/>
    <x v="695"/>
    <x v="209"/>
    <x v="320"/>
    <x v="5"/>
  </r>
  <r>
    <x v="0"/>
    <x v="105"/>
    <x v="105"/>
    <x v="6"/>
    <x v="6"/>
    <x v="6"/>
    <x v="5"/>
    <x v="264"/>
    <x v="650"/>
    <x v="53"/>
    <x v="718"/>
    <x v="132"/>
    <x v="392"/>
    <x v="5"/>
  </r>
  <r>
    <x v="0"/>
    <x v="105"/>
    <x v="105"/>
    <x v="11"/>
    <x v="11"/>
    <x v="11"/>
    <x v="5"/>
    <x v="264"/>
    <x v="650"/>
    <x v="65"/>
    <x v="205"/>
    <x v="189"/>
    <x v="93"/>
    <x v="5"/>
  </r>
  <r>
    <x v="0"/>
    <x v="105"/>
    <x v="105"/>
    <x v="7"/>
    <x v="7"/>
    <x v="7"/>
    <x v="7"/>
    <x v="280"/>
    <x v="44"/>
    <x v="96"/>
    <x v="566"/>
    <x v="160"/>
    <x v="149"/>
    <x v="5"/>
  </r>
  <r>
    <x v="0"/>
    <x v="105"/>
    <x v="105"/>
    <x v="13"/>
    <x v="13"/>
    <x v="13"/>
    <x v="8"/>
    <x v="268"/>
    <x v="148"/>
    <x v="65"/>
    <x v="205"/>
    <x v="132"/>
    <x v="392"/>
    <x v="5"/>
  </r>
  <r>
    <x v="0"/>
    <x v="105"/>
    <x v="105"/>
    <x v="4"/>
    <x v="4"/>
    <x v="4"/>
    <x v="9"/>
    <x v="269"/>
    <x v="618"/>
    <x v="48"/>
    <x v="58"/>
    <x v="190"/>
    <x v="60"/>
    <x v="5"/>
  </r>
  <r>
    <x v="0"/>
    <x v="105"/>
    <x v="105"/>
    <x v="23"/>
    <x v="23"/>
    <x v="23"/>
    <x v="10"/>
    <x v="247"/>
    <x v="286"/>
    <x v="51"/>
    <x v="719"/>
    <x v="209"/>
    <x v="320"/>
    <x v="5"/>
  </r>
  <r>
    <x v="0"/>
    <x v="105"/>
    <x v="105"/>
    <x v="9"/>
    <x v="9"/>
    <x v="9"/>
    <x v="11"/>
    <x v="248"/>
    <x v="665"/>
    <x v="52"/>
    <x v="564"/>
    <x v="160"/>
    <x v="149"/>
    <x v="5"/>
  </r>
  <r>
    <x v="0"/>
    <x v="105"/>
    <x v="105"/>
    <x v="5"/>
    <x v="5"/>
    <x v="5"/>
    <x v="12"/>
    <x v="249"/>
    <x v="713"/>
    <x v="52"/>
    <x v="564"/>
    <x v="163"/>
    <x v="395"/>
    <x v="5"/>
  </r>
  <r>
    <x v="0"/>
    <x v="105"/>
    <x v="105"/>
    <x v="14"/>
    <x v="14"/>
    <x v="14"/>
    <x v="12"/>
    <x v="249"/>
    <x v="713"/>
    <x v="77"/>
    <x v="83"/>
    <x v="209"/>
    <x v="320"/>
    <x v="5"/>
  </r>
  <r>
    <x v="0"/>
    <x v="105"/>
    <x v="105"/>
    <x v="10"/>
    <x v="10"/>
    <x v="10"/>
    <x v="14"/>
    <x v="250"/>
    <x v="167"/>
    <x v="52"/>
    <x v="564"/>
    <x v="160"/>
    <x v="149"/>
    <x v="5"/>
  </r>
  <r>
    <x v="0"/>
    <x v="105"/>
    <x v="105"/>
    <x v="12"/>
    <x v="12"/>
    <x v="12"/>
    <x v="14"/>
    <x v="250"/>
    <x v="167"/>
    <x v="52"/>
    <x v="564"/>
    <x v="160"/>
    <x v="149"/>
    <x v="5"/>
  </r>
  <r>
    <x v="0"/>
    <x v="105"/>
    <x v="105"/>
    <x v="8"/>
    <x v="8"/>
    <x v="8"/>
    <x v="16"/>
    <x v="251"/>
    <x v="388"/>
    <x v="77"/>
    <x v="83"/>
    <x v="209"/>
    <x v="320"/>
    <x v="5"/>
  </r>
  <r>
    <x v="0"/>
    <x v="105"/>
    <x v="105"/>
    <x v="28"/>
    <x v="28"/>
    <x v="28"/>
    <x v="16"/>
    <x v="251"/>
    <x v="388"/>
    <x v="48"/>
    <x v="58"/>
    <x v="163"/>
    <x v="395"/>
    <x v="5"/>
  </r>
  <r>
    <x v="0"/>
    <x v="105"/>
    <x v="105"/>
    <x v="35"/>
    <x v="35"/>
    <x v="35"/>
    <x v="16"/>
    <x v="251"/>
    <x v="388"/>
    <x v="64"/>
    <x v="459"/>
    <x v="160"/>
    <x v="149"/>
    <x v="5"/>
  </r>
  <r>
    <x v="0"/>
    <x v="105"/>
    <x v="105"/>
    <x v="18"/>
    <x v="18"/>
    <x v="18"/>
    <x v="16"/>
    <x v="251"/>
    <x v="388"/>
    <x v="48"/>
    <x v="58"/>
    <x v="163"/>
    <x v="395"/>
    <x v="5"/>
  </r>
  <r>
    <x v="0"/>
    <x v="105"/>
    <x v="105"/>
    <x v="29"/>
    <x v="29"/>
    <x v="29"/>
    <x v="16"/>
    <x v="251"/>
    <x v="388"/>
    <x v="64"/>
    <x v="459"/>
    <x v="160"/>
    <x v="149"/>
    <x v="5"/>
  </r>
  <r>
    <x v="0"/>
    <x v="106"/>
    <x v="106"/>
    <x v="0"/>
    <x v="0"/>
    <x v="0"/>
    <x v="0"/>
    <x v="245"/>
    <x v="714"/>
    <x v="76"/>
    <x v="720"/>
    <x v="163"/>
    <x v="383"/>
    <x v="5"/>
  </r>
  <r>
    <x v="0"/>
    <x v="106"/>
    <x v="106"/>
    <x v="30"/>
    <x v="30"/>
    <x v="30"/>
    <x v="1"/>
    <x v="258"/>
    <x v="715"/>
    <x v="31"/>
    <x v="704"/>
    <x v="209"/>
    <x v="570"/>
    <x v="5"/>
  </r>
  <r>
    <x v="0"/>
    <x v="106"/>
    <x v="106"/>
    <x v="6"/>
    <x v="6"/>
    <x v="6"/>
    <x v="2"/>
    <x v="268"/>
    <x v="716"/>
    <x v="50"/>
    <x v="721"/>
    <x v="160"/>
    <x v="33"/>
    <x v="5"/>
  </r>
  <r>
    <x v="0"/>
    <x v="106"/>
    <x v="106"/>
    <x v="1"/>
    <x v="1"/>
    <x v="1"/>
    <x v="2"/>
    <x v="268"/>
    <x v="716"/>
    <x v="96"/>
    <x v="696"/>
    <x v="211"/>
    <x v="274"/>
    <x v="5"/>
  </r>
  <r>
    <x v="0"/>
    <x v="106"/>
    <x v="106"/>
    <x v="3"/>
    <x v="3"/>
    <x v="3"/>
    <x v="4"/>
    <x v="248"/>
    <x v="237"/>
    <x v="65"/>
    <x v="722"/>
    <x v="160"/>
    <x v="33"/>
    <x v="5"/>
  </r>
  <r>
    <x v="0"/>
    <x v="106"/>
    <x v="106"/>
    <x v="9"/>
    <x v="9"/>
    <x v="9"/>
    <x v="5"/>
    <x v="249"/>
    <x v="5"/>
    <x v="52"/>
    <x v="454"/>
    <x v="160"/>
    <x v="33"/>
    <x v="5"/>
  </r>
  <r>
    <x v="0"/>
    <x v="106"/>
    <x v="106"/>
    <x v="16"/>
    <x v="16"/>
    <x v="16"/>
    <x v="6"/>
    <x v="250"/>
    <x v="460"/>
    <x v="77"/>
    <x v="83"/>
    <x v="132"/>
    <x v="561"/>
    <x v="5"/>
  </r>
  <r>
    <x v="0"/>
    <x v="106"/>
    <x v="106"/>
    <x v="4"/>
    <x v="4"/>
    <x v="4"/>
    <x v="7"/>
    <x v="251"/>
    <x v="110"/>
    <x v="48"/>
    <x v="30"/>
    <x v="163"/>
    <x v="383"/>
    <x v="5"/>
  </r>
  <r>
    <x v="0"/>
    <x v="106"/>
    <x v="106"/>
    <x v="5"/>
    <x v="5"/>
    <x v="5"/>
    <x v="7"/>
    <x v="251"/>
    <x v="110"/>
    <x v="64"/>
    <x v="102"/>
    <x v="160"/>
    <x v="33"/>
    <x v="5"/>
  </r>
  <r>
    <x v="0"/>
    <x v="106"/>
    <x v="106"/>
    <x v="8"/>
    <x v="8"/>
    <x v="8"/>
    <x v="7"/>
    <x v="251"/>
    <x v="110"/>
    <x v="77"/>
    <x v="83"/>
    <x v="209"/>
    <x v="570"/>
    <x v="5"/>
  </r>
  <r>
    <x v="0"/>
    <x v="106"/>
    <x v="106"/>
    <x v="26"/>
    <x v="26"/>
    <x v="26"/>
    <x v="7"/>
    <x v="251"/>
    <x v="110"/>
    <x v="77"/>
    <x v="83"/>
    <x v="209"/>
    <x v="570"/>
    <x v="5"/>
  </r>
  <r>
    <x v="0"/>
    <x v="106"/>
    <x v="106"/>
    <x v="27"/>
    <x v="27"/>
    <x v="27"/>
    <x v="7"/>
    <x v="251"/>
    <x v="110"/>
    <x v="64"/>
    <x v="102"/>
    <x v="160"/>
    <x v="33"/>
    <x v="5"/>
  </r>
  <r>
    <x v="0"/>
    <x v="106"/>
    <x v="106"/>
    <x v="11"/>
    <x v="11"/>
    <x v="11"/>
    <x v="12"/>
    <x v="252"/>
    <x v="84"/>
    <x v="64"/>
    <x v="102"/>
    <x v="211"/>
    <x v="274"/>
    <x v="5"/>
  </r>
  <r>
    <x v="0"/>
    <x v="106"/>
    <x v="106"/>
    <x v="20"/>
    <x v="20"/>
    <x v="20"/>
    <x v="12"/>
    <x v="252"/>
    <x v="84"/>
    <x v="77"/>
    <x v="83"/>
    <x v="163"/>
    <x v="383"/>
    <x v="5"/>
  </r>
  <r>
    <x v="0"/>
    <x v="106"/>
    <x v="106"/>
    <x v="2"/>
    <x v="2"/>
    <x v="2"/>
    <x v="12"/>
    <x v="252"/>
    <x v="84"/>
    <x v="64"/>
    <x v="102"/>
    <x v="211"/>
    <x v="274"/>
    <x v="5"/>
  </r>
  <r>
    <x v="0"/>
    <x v="106"/>
    <x v="106"/>
    <x v="7"/>
    <x v="7"/>
    <x v="7"/>
    <x v="12"/>
    <x v="252"/>
    <x v="84"/>
    <x v="64"/>
    <x v="102"/>
    <x v="211"/>
    <x v="274"/>
    <x v="5"/>
  </r>
  <r>
    <x v="0"/>
    <x v="106"/>
    <x v="106"/>
    <x v="28"/>
    <x v="28"/>
    <x v="28"/>
    <x v="16"/>
    <x v="287"/>
    <x v="717"/>
    <x v="48"/>
    <x v="30"/>
    <x v="211"/>
    <x v="274"/>
    <x v="5"/>
  </r>
  <r>
    <x v="0"/>
    <x v="106"/>
    <x v="106"/>
    <x v="49"/>
    <x v="49"/>
    <x v="49"/>
    <x v="16"/>
    <x v="287"/>
    <x v="717"/>
    <x v="77"/>
    <x v="83"/>
    <x v="160"/>
    <x v="33"/>
    <x v="5"/>
  </r>
  <r>
    <x v="0"/>
    <x v="106"/>
    <x v="106"/>
    <x v="32"/>
    <x v="32"/>
    <x v="32"/>
    <x v="16"/>
    <x v="287"/>
    <x v="717"/>
    <x v="77"/>
    <x v="83"/>
    <x v="160"/>
    <x v="33"/>
    <x v="5"/>
  </r>
  <r>
    <x v="0"/>
    <x v="106"/>
    <x v="106"/>
    <x v="55"/>
    <x v="55"/>
    <x v="55"/>
    <x v="16"/>
    <x v="287"/>
    <x v="717"/>
    <x v="48"/>
    <x v="30"/>
    <x v="211"/>
    <x v="274"/>
    <x v="5"/>
  </r>
  <r>
    <x v="0"/>
    <x v="106"/>
    <x v="106"/>
    <x v="41"/>
    <x v="41"/>
    <x v="41"/>
    <x v="16"/>
    <x v="287"/>
    <x v="717"/>
    <x v="77"/>
    <x v="83"/>
    <x v="211"/>
    <x v="274"/>
    <x v="5"/>
  </r>
  <r>
    <x v="0"/>
    <x v="106"/>
    <x v="106"/>
    <x v="22"/>
    <x v="22"/>
    <x v="22"/>
    <x v="16"/>
    <x v="287"/>
    <x v="717"/>
    <x v="77"/>
    <x v="83"/>
    <x v="160"/>
    <x v="33"/>
    <x v="5"/>
  </r>
  <r>
    <x v="0"/>
    <x v="106"/>
    <x v="106"/>
    <x v="17"/>
    <x v="17"/>
    <x v="17"/>
    <x v="16"/>
    <x v="287"/>
    <x v="717"/>
    <x v="77"/>
    <x v="83"/>
    <x v="160"/>
    <x v="33"/>
    <x v="5"/>
  </r>
  <r>
    <x v="0"/>
    <x v="106"/>
    <x v="106"/>
    <x v="13"/>
    <x v="13"/>
    <x v="13"/>
    <x v="16"/>
    <x v="287"/>
    <x v="717"/>
    <x v="48"/>
    <x v="30"/>
    <x v="211"/>
    <x v="274"/>
    <x v="5"/>
  </r>
  <r>
    <x v="0"/>
    <x v="106"/>
    <x v="106"/>
    <x v="23"/>
    <x v="23"/>
    <x v="23"/>
    <x v="16"/>
    <x v="287"/>
    <x v="717"/>
    <x v="77"/>
    <x v="83"/>
    <x v="160"/>
    <x v="33"/>
    <x v="5"/>
  </r>
  <r>
    <x v="0"/>
    <x v="106"/>
    <x v="106"/>
    <x v="34"/>
    <x v="34"/>
    <x v="34"/>
    <x v="16"/>
    <x v="287"/>
    <x v="717"/>
    <x v="77"/>
    <x v="83"/>
    <x v="211"/>
    <x v="274"/>
    <x v="5"/>
  </r>
  <r>
    <x v="0"/>
    <x v="106"/>
    <x v="106"/>
    <x v="29"/>
    <x v="29"/>
    <x v="29"/>
    <x v="16"/>
    <x v="287"/>
    <x v="717"/>
    <x v="77"/>
    <x v="83"/>
    <x v="160"/>
    <x v="33"/>
    <x v="5"/>
  </r>
  <r>
    <x v="0"/>
    <x v="107"/>
    <x v="107"/>
    <x v="0"/>
    <x v="0"/>
    <x v="0"/>
    <x v="0"/>
    <x v="259"/>
    <x v="718"/>
    <x v="31"/>
    <x v="723"/>
    <x v="160"/>
    <x v="33"/>
    <x v="4"/>
  </r>
  <r>
    <x v="0"/>
    <x v="107"/>
    <x v="107"/>
    <x v="3"/>
    <x v="3"/>
    <x v="3"/>
    <x v="1"/>
    <x v="248"/>
    <x v="323"/>
    <x v="52"/>
    <x v="724"/>
    <x v="209"/>
    <x v="570"/>
    <x v="5"/>
  </r>
  <r>
    <x v="0"/>
    <x v="107"/>
    <x v="107"/>
    <x v="1"/>
    <x v="1"/>
    <x v="1"/>
    <x v="2"/>
    <x v="249"/>
    <x v="172"/>
    <x v="65"/>
    <x v="725"/>
    <x v="211"/>
    <x v="274"/>
    <x v="5"/>
  </r>
  <r>
    <x v="0"/>
    <x v="107"/>
    <x v="107"/>
    <x v="4"/>
    <x v="4"/>
    <x v="4"/>
    <x v="3"/>
    <x v="250"/>
    <x v="719"/>
    <x v="77"/>
    <x v="83"/>
    <x v="132"/>
    <x v="561"/>
    <x v="5"/>
  </r>
  <r>
    <x v="0"/>
    <x v="107"/>
    <x v="107"/>
    <x v="6"/>
    <x v="6"/>
    <x v="6"/>
    <x v="3"/>
    <x v="250"/>
    <x v="719"/>
    <x v="64"/>
    <x v="357"/>
    <x v="163"/>
    <x v="383"/>
    <x v="5"/>
  </r>
  <r>
    <x v="0"/>
    <x v="107"/>
    <x v="107"/>
    <x v="5"/>
    <x v="5"/>
    <x v="5"/>
    <x v="5"/>
    <x v="251"/>
    <x v="371"/>
    <x v="64"/>
    <x v="357"/>
    <x v="160"/>
    <x v="33"/>
    <x v="5"/>
  </r>
  <r>
    <x v="0"/>
    <x v="107"/>
    <x v="107"/>
    <x v="28"/>
    <x v="28"/>
    <x v="28"/>
    <x v="5"/>
    <x v="251"/>
    <x v="371"/>
    <x v="48"/>
    <x v="356"/>
    <x v="163"/>
    <x v="383"/>
    <x v="5"/>
  </r>
  <r>
    <x v="0"/>
    <x v="107"/>
    <x v="107"/>
    <x v="41"/>
    <x v="41"/>
    <x v="41"/>
    <x v="5"/>
    <x v="251"/>
    <x v="371"/>
    <x v="77"/>
    <x v="83"/>
    <x v="160"/>
    <x v="33"/>
    <x v="5"/>
  </r>
  <r>
    <x v="0"/>
    <x v="107"/>
    <x v="107"/>
    <x v="8"/>
    <x v="8"/>
    <x v="8"/>
    <x v="8"/>
    <x v="252"/>
    <x v="164"/>
    <x v="77"/>
    <x v="83"/>
    <x v="163"/>
    <x v="383"/>
    <x v="5"/>
  </r>
  <r>
    <x v="0"/>
    <x v="107"/>
    <x v="107"/>
    <x v="48"/>
    <x v="48"/>
    <x v="48"/>
    <x v="8"/>
    <x v="252"/>
    <x v="164"/>
    <x v="77"/>
    <x v="83"/>
    <x v="163"/>
    <x v="383"/>
    <x v="5"/>
  </r>
  <r>
    <x v="0"/>
    <x v="107"/>
    <x v="107"/>
    <x v="20"/>
    <x v="20"/>
    <x v="20"/>
    <x v="8"/>
    <x v="252"/>
    <x v="164"/>
    <x v="77"/>
    <x v="83"/>
    <x v="163"/>
    <x v="383"/>
    <x v="5"/>
  </r>
  <r>
    <x v="0"/>
    <x v="107"/>
    <x v="107"/>
    <x v="26"/>
    <x v="26"/>
    <x v="26"/>
    <x v="8"/>
    <x v="252"/>
    <x v="164"/>
    <x v="77"/>
    <x v="83"/>
    <x v="163"/>
    <x v="383"/>
    <x v="5"/>
  </r>
  <r>
    <x v="0"/>
    <x v="107"/>
    <x v="107"/>
    <x v="19"/>
    <x v="19"/>
    <x v="19"/>
    <x v="8"/>
    <x v="252"/>
    <x v="164"/>
    <x v="77"/>
    <x v="83"/>
    <x v="211"/>
    <x v="274"/>
    <x v="5"/>
  </r>
  <r>
    <x v="0"/>
    <x v="107"/>
    <x v="107"/>
    <x v="34"/>
    <x v="34"/>
    <x v="34"/>
    <x v="8"/>
    <x v="252"/>
    <x v="164"/>
    <x v="48"/>
    <x v="356"/>
    <x v="160"/>
    <x v="33"/>
    <x v="5"/>
  </r>
  <r>
    <x v="0"/>
    <x v="107"/>
    <x v="107"/>
    <x v="7"/>
    <x v="7"/>
    <x v="7"/>
    <x v="8"/>
    <x v="252"/>
    <x v="164"/>
    <x v="64"/>
    <x v="357"/>
    <x v="211"/>
    <x v="274"/>
    <x v="5"/>
  </r>
  <r>
    <x v="0"/>
    <x v="107"/>
    <x v="107"/>
    <x v="21"/>
    <x v="21"/>
    <x v="21"/>
    <x v="8"/>
    <x v="252"/>
    <x v="164"/>
    <x v="77"/>
    <x v="83"/>
    <x v="163"/>
    <x v="383"/>
    <x v="5"/>
  </r>
  <r>
    <x v="0"/>
    <x v="107"/>
    <x v="107"/>
    <x v="60"/>
    <x v="60"/>
    <x v="60"/>
    <x v="16"/>
    <x v="287"/>
    <x v="115"/>
    <x v="77"/>
    <x v="83"/>
    <x v="160"/>
    <x v="33"/>
    <x v="5"/>
  </r>
  <r>
    <x v="0"/>
    <x v="107"/>
    <x v="107"/>
    <x v="66"/>
    <x v="66"/>
    <x v="66"/>
    <x v="16"/>
    <x v="287"/>
    <x v="115"/>
    <x v="48"/>
    <x v="356"/>
    <x v="211"/>
    <x v="274"/>
    <x v="5"/>
  </r>
  <r>
    <x v="0"/>
    <x v="107"/>
    <x v="107"/>
    <x v="42"/>
    <x v="42"/>
    <x v="42"/>
    <x v="16"/>
    <x v="287"/>
    <x v="115"/>
    <x v="77"/>
    <x v="83"/>
    <x v="160"/>
    <x v="33"/>
    <x v="5"/>
  </r>
  <r>
    <x v="0"/>
    <x v="107"/>
    <x v="107"/>
    <x v="55"/>
    <x v="55"/>
    <x v="55"/>
    <x v="16"/>
    <x v="287"/>
    <x v="115"/>
    <x v="48"/>
    <x v="356"/>
    <x v="211"/>
    <x v="274"/>
    <x v="5"/>
  </r>
  <r>
    <x v="0"/>
    <x v="107"/>
    <x v="107"/>
    <x v="35"/>
    <x v="35"/>
    <x v="35"/>
    <x v="16"/>
    <x v="287"/>
    <x v="115"/>
    <x v="48"/>
    <x v="356"/>
    <x v="211"/>
    <x v="274"/>
    <x v="5"/>
  </r>
  <r>
    <x v="0"/>
    <x v="107"/>
    <x v="107"/>
    <x v="61"/>
    <x v="61"/>
    <x v="61"/>
    <x v="16"/>
    <x v="287"/>
    <x v="115"/>
    <x v="48"/>
    <x v="356"/>
    <x v="211"/>
    <x v="274"/>
    <x v="5"/>
  </r>
  <r>
    <x v="0"/>
    <x v="107"/>
    <x v="107"/>
    <x v="16"/>
    <x v="16"/>
    <x v="16"/>
    <x v="16"/>
    <x v="287"/>
    <x v="115"/>
    <x v="77"/>
    <x v="83"/>
    <x v="160"/>
    <x v="33"/>
    <x v="5"/>
  </r>
  <r>
    <x v="0"/>
    <x v="107"/>
    <x v="107"/>
    <x v="12"/>
    <x v="12"/>
    <x v="12"/>
    <x v="16"/>
    <x v="287"/>
    <x v="115"/>
    <x v="48"/>
    <x v="356"/>
    <x v="211"/>
    <x v="274"/>
    <x v="5"/>
  </r>
  <r>
    <x v="0"/>
    <x v="107"/>
    <x v="107"/>
    <x v="14"/>
    <x v="14"/>
    <x v="14"/>
    <x v="16"/>
    <x v="287"/>
    <x v="115"/>
    <x v="77"/>
    <x v="83"/>
    <x v="160"/>
    <x v="33"/>
    <x v="5"/>
  </r>
  <r>
    <x v="0"/>
    <x v="107"/>
    <x v="107"/>
    <x v="29"/>
    <x v="29"/>
    <x v="29"/>
    <x v="16"/>
    <x v="287"/>
    <x v="115"/>
    <x v="77"/>
    <x v="83"/>
    <x v="160"/>
    <x v="33"/>
    <x v="5"/>
  </r>
  <r>
    <x v="0"/>
    <x v="107"/>
    <x v="107"/>
    <x v="57"/>
    <x v="57"/>
    <x v="57"/>
    <x v="16"/>
    <x v="287"/>
    <x v="115"/>
    <x v="77"/>
    <x v="83"/>
    <x v="211"/>
    <x v="274"/>
    <x v="4"/>
  </r>
  <r>
    <x v="0"/>
    <x v="108"/>
    <x v="108"/>
    <x v="0"/>
    <x v="0"/>
    <x v="0"/>
    <x v="0"/>
    <x v="280"/>
    <x v="720"/>
    <x v="65"/>
    <x v="538"/>
    <x v="210"/>
    <x v="586"/>
    <x v="5"/>
  </r>
  <r>
    <x v="0"/>
    <x v="108"/>
    <x v="108"/>
    <x v="30"/>
    <x v="30"/>
    <x v="30"/>
    <x v="1"/>
    <x v="249"/>
    <x v="383"/>
    <x v="48"/>
    <x v="641"/>
    <x v="132"/>
    <x v="484"/>
    <x v="5"/>
  </r>
  <r>
    <x v="0"/>
    <x v="108"/>
    <x v="108"/>
    <x v="3"/>
    <x v="3"/>
    <x v="3"/>
    <x v="2"/>
    <x v="250"/>
    <x v="721"/>
    <x v="64"/>
    <x v="326"/>
    <x v="163"/>
    <x v="485"/>
    <x v="5"/>
  </r>
  <r>
    <x v="0"/>
    <x v="108"/>
    <x v="108"/>
    <x v="1"/>
    <x v="1"/>
    <x v="1"/>
    <x v="2"/>
    <x v="250"/>
    <x v="721"/>
    <x v="51"/>
    <x v="726"/>
    <x v="211"/>
    <x v="274"/>
    <x v="5"/>
  </r>
  <r>
    <x v="0"/>
    <x v="108"/>
    <x v="108"/>
    <x v="14"/>
    <x v="14"/>
    <x v="14"/>
    <x v="2"/>
    <x v="250"/>
    <x v="721"/>
    <x v="77"/>
    <x v="83"/>
    <x v="211"/>
    <x v="274"/>
    <x v="5"/>
  </r>
  <r>
    <x v="0"/>
    <x v="108"/>
    <x v="108"/>
    <x v="27"/>
    <x v="27"/>
    <x v="27"/>
    <x v="5"/>
    <x v="251"/>
    <x v="119"/>
    <x v="64"/>
    <x v="326"/>
    <x v="160"/>
    <x v="183"/>
    <x v="5"/>
  </r>
  <r>
    <x v="0"/>
    <x v="108"/>
    <x v="108"/>
    <x v="41"/>
    <x v="41"/>
    <x v="41"/>
    <x v="6"/>
    <x v="252"/>
    <x v="722"/>
    <x v="77"/>
    <x v="83"/>
    <x v="211"/>
    <x v="274"/>
    <x v="5"/>
  </r>
  <r>
    <x v="0"/>
    <x v="108"/>
    <x v="108"/>
    <x v="18"/>
    <x v="18"/>
    <x v="18"/>
    <x v="6"/>
    <x v="252"/>
    <x v="722"/>
    <x v="48"/>
    <x v="641"/>
    <x v="160"/>
    <x v="183"/>
    <x v="5"/>
  </r>
  <r>
    <x v="0"/>
    <x v="108"/>
    <x v="108"/>
    <x v="6"/>
    <x v="6"/>
    <x v="6"/>
    <x v="6"/>
    <x v="252"/>
    <x v="722"/>
    <x v="48"/>
    <x v="641"/>
    <x v="160"/>
    <x v="183"/>
    <x v="5"/>
  </r>
  <r>
    <x v="0"/>
    <x v="108"/>
    <x v="108"/>
    <x v="10"/>
    <x v="10"/>
    <x v="10"/>
    <x v="6"/>
    <x v="252"/>
    <x v="722"/>
    <x v="48"/>
    <x v="641"/>
    <x v="160"/>
    <x v="183"/>
    <x v="5"/>
  </r>
  <r>
    <x v="0"/>
    <x v="108"/>
    <x v="108"/>
    <x v="9"/>
    <x v="9"/>
    <x v="9"/>
    <x v="6"/>
    <x v="252"/>
    <x v="722"/>
    <x v="77"/>
    <x v="83"/>
    <x v="211"/>
    <x v="274"/>
    <x v="5"/>
  </r>
  <r>
    <x v="0"/>
    <x v="108"/>
    <x v="108"/>
    <x v="7"/>
    <x v="7"/>
    <x v="7"/>
    <x v="6"/>
    <x v="252"/>
    <x v="722"/>
    <x v="48"/>
    <x v="641"/>
    <x v="211"/>
    <x v="274"/>
    <x v="5"/>
  </r>
  <r>
    <x v="0"/>
    <x v="108"/>
    <x v="108"/>
    <x v="5"/>
    <x v="5"/>
    <x v="5"/>
    <x v="12"/>
    <x v="287"/>
    <x v="35"/>
    <x v="77"/>
    <x v="83"/>
    <x v="160"/>
    <x v="183"/>
    <x v="5"/>
  </r>
  <r>
    <x v="0"/>
    <x v="108"/>
    <x v="108"/>
    <x v="8"/>
    <x v="8"/>
    <x v="8"/>
    <x v="12"/>
    <x v="287"/>
    <x v="35"/>
    <x v="48"/>
    <x v="641"/>
    <x v="211"/>
    <x v="274"/>
    <x v="5"/>
  </r>
  <r>
    <x v="0"/>
    <x v="108"/>
    <x v="108"/>
    <x v="28"/>
    <x v="28"/>
    <x v="28"/>
    <x v="12"/>
    <x v="287"/>
    <x v="35"/>
    <x v="77"/>
    <x v="83"/>
    <x v="160"/>
    <x v="183"/>
    <x v="5"/>
  </r>
  <r>
    <x v="0"/>
    <x v="108"/>
    <x v="108"/>
    <x v="32"/>
    <x v="32"/>
    <x v="32"/>
    <x v="12"/>
    <x v="287"/>
    <x v="35"/>
    <x v="77"/>
    <x v="83"/>
    <x v="160"/>
    <x v="183"/>
    <x v="5"/>
  </r>
  <r>
    <x v="0"/>
    <x v="108"/>
    <x v="108"/>
    <x v="38"/>
    <x v="38"/>
    <x v="38"/>
    <x v="12"/>
    <x v="287"/>
    <x v="35"/>
    <x v="77"/>
    <x v="83"/>
    <x v="160"/>
    <x v="183"/>
    <x v="5"/>
  </r>
  <r>
    <x v="0"/>
    <x v="108"/>
    <x v="108"/>
    <x v="55"/>
    <x v="55"/>
    <x v="55"/>
    <x v="12"/>
    <x v="287"/>
    <x v="35"/>
    <x v="48"/>
    <x v="641"/>
    <x v="211"/>
    <x v="274"/>
    <x v="5"/>
  </r>
  <r>
    <x v="0"/>
    <x v="108"/>
    <x v="108"/>
    <x v="61"/>
    <x v="61"/>
    <x v="61"/>
    <x v="12"/>
    <x v="287"/>
    <x v="35"/>
    <x v="48"/>
    <x v="641"/>
    <x v="211"/>
    <x v="274"/>
    <x v="5"/>
  </r>
  <r>
    <x v="0"/>
    <x v="108"/>
    <x v="108"/>
    <x v="24"/>
    <x v="24"/>
    <x v="24"/>
    <x v="12"/>
    <x v="287"/>
    <x v="35"/>
    <x v="77"/>
    <x v="83"/>
    <x v="160"/>
    <x v="183"/>
    <x v="5"/>
  </r>
  <r>
    <x v="0"/>
    <x v="108"/>
    <x v="108"/>
    <x v="2"/>
    <x v="2"/>
    <x v="2"/>
    <x v="12"/>
    <x v="287"/>
    <x v="35"/>
    <x v="77"/>
    <x v="83"/>
    <x v="211"/>
    <x v="274"/>
    <x v="5"/>
  </r>
  <r>
    <x v="0"/>
    <x v="108"/>
    <x v="108"/>
    <x v="31"/>
    <x v="31"/>
    <x v="31"/>
    <x v="12"/>
    <x v="287"/>
    <x v="35"/>
    <x v="77"/>
    <x v="83"/>
    <x v="160"/>
    <x v="183"/>
    <x v="5"/>
  </r>
  <r>
    <x v="0"/>
    <x v="108"/>
    <x v="108"/>
    <x v="26"/>
    <x v="26"/>
    <x v="26"/>
    <x v="12"/>
    <x v="287"/>
    <x v="35"/>
    <x v="48"/>
    <x v="641"/>
    <x v="211"/>
    <x v="274"/>
    <x v="5"/>
  </r>
  <r>
    <x v="0"/>
    <x v="108"/>
    <x v="108"/>
    <x v="34"/>
    <x v="34"/>
    <x v="34"/>
    <x v="12"/>
    <x v="287"/>
    <x v="35"/>
    <x v="48"/>
    <x v="641"/>
    <x v="211"/>
    <x v="274"/>
    <x v="5"/>
  </r>
  <r>
    <x v="0"/>
    <x v="108"/>
    <x v="108"/>
    <x v="36"/>
    <x v="36"/>
    <x v="36"/>
    <x v="12"/>
    <x v="287"/>
    <x v="35"/>
    <x v="77"/>
    <x v="83"/>
    <x v="160"/>
    <x v="183"/>
    <x v="5"/>
  </r>
  <r>
    <x v="0"/>
    <x v="109"/>
    <x v="109"/>
    <x v="0"/>
    <x v="0"/>
    <x v="0"/>
    <x v="0"/>
    <x v="279"/>
    <x v="290"/>
    <x v="78"/>
    <x v="589"/>
    <x v="132"/>
    <x v="593"/>
    <x v="5"/>
  </r>
  <r>
    <x v="0"/>
    <x v="109"/>
    <x v="109"/>
    <x v="6"/>
    <x v="6"/>
    <x v="6"/>
    <x v="1"/>
    <x v="263"/>
    <x v="723"/>
    <x v="53"/>
    <x v="727"/>
    <x v="210"/>
    <x v="592"/>
    <x v="5"/>
  </r>
  <r>
    <x v="0"/>
    <x v="109"/>
    <x v="109"/>
    <x v="1"/>
    <x v="1"/>
    <x v="1"/>
    <x v="2"/>
    <x v="264"/>
    <x v="724"/>
    <x v="70"/>
    <x v="728"/>
    <x v="211"/>
    <x v="274"/>
    <x v="5"/>
  </r>
  <r>
    <x v="0"/>
    <x v="109"/>
    <x v="109"/>
    <x v="3"/>
    <x v="3"/>
    <x v="3"/>
    <x v="3"/>
    <x v="280"/>
    <x v="572"/>
    <x v="82"/>
    <x v="590"/>
    <x v="132"/>
    <x v="593"/>
    <x v="5"/>
  </r>
  <r>
    <x v="0"/>
    <x v="109"/>
    <x v="109"/>
    <x v="11"/>
    <x v="11"/>
    <x v="11"/>
    <x v="4"/>
    <x v="248"/>
    <x v="575"/>
    <x v="65"/>
    <x v="729"/>
    <x v="160"/>
    <x v="15"/>
    <x v="5"/>
  </r>
  <r>
    <x v="0"/>
    <x v="109"/>
    <x v="109"/>
    <x v="9"/>
    <x v="9"/>
    <x v="9"/>
    <x v="5"/>
    <x v="250"/>
    <x v="26"/>
    <x v="64"/>
    <x v="151"/>
    <x v="211"/>
    <x v="274"/>
    <x v="5"/>
  </r>
  <r>
    <x v="0"/>
    <x v="109"/>
    <x v="109"/>
    <x v="7"/>
    <x v="7"/>
    <x v="7"/>
    <x v="5"/>
    <x v="250"/>
    <x v="26"/>
    <x v="51"/>
    <x v="592"/>
    <x v="211"/>
    <x v="274"/>
    <x v="5"/>
  </r>
  <r>
    <x v="0"/>
    <x v="109"/>
    <x v="109"/>
    <x v="13"/>
    <x v="13"/>
    <x v="13"/>
    <x v="7"/>
    <x v="251"/>
    <x v="121"/>
    <x v="48"/>
    <x v="144"/>
    <x v="163"/>
    <x v="594"/>
    <x v="5"/>
  </r>
  <r>
    <x v="0"/>
    <x v="109"/>
    <x v="109"/>
    <x v="21"/>
    <x v="21"/>
    <x v="21"/>
    <x v="7"/>
    <x v="251"/>
    <x v="121"/>
    <x v="48"/>
    <x v="144"/>
    <x v="163"/>
    <x v="594"/>
    <x v="5"/>
  </r>
  <r>
    <x v="0"/>
    <x v="109"/>
    <x v="109"/>
    <x v="4"/>
    <x v="4"/>
    <x v="4"/>
    <x v="9"/>
    <x v="252"/>
    <x v="33"/>
    <x v="48"/>
    <x v="144"/>
    <x v="160"/>
    <x v="15"/>
    <x v="5"/>
  </r>
  <r>
    <x v="0"/>
    <x v="109"/>
    <x v="109"/>
    <x v="5"/>
    <x v="5"/>
    <x v="5"/>
    <x v="9"/>
    <x v="252"/>
    <x v="33"/>
    <x v="48"/>
    <x v="144"/>
    <x v="160"/>
    <x v="15"/>
    <x v="5"/>
  </r>
  <r>
    <x v="0"/>
    <x v="109"/>
    <x v="109"/>
    <x v="32"/>
    <x v="32"/>
    <x v="32"/>
    <x v="9"/>
    <x v="252"/>
    <x v="33"/>
    <x v="77"/>
    <x v="83"/>
    <x v="163"/>
    <x v="594"/>
    <x v="5"/>
  </r>
  <r>
    <x v="0"/>
    <x v="109"/>
    <x v="109"/>
    <x v="64"/>
    <x v="64"/>
    <x v="64"/>
    <x v="9"/>
    <x v="252"/>
    <x v="33"/>
    <x v="48"/>
    <x v="144"/>
    <x v="160"/>
    <x v="15"/>
    <x v="5"/>
  </r>
  <r>
    <x v="0"/>
    <x v="109"/>
    <x v="109"/>
    <x v="35"/>
    <x v="35"/>
    <x v="35"/>
    <x v="9"/>
    <x v="252"/>
    <x v="33"/>
    <x v="48"/>
    <x v="144"/>
    <x v="160"/>
    <x v="15"/>
    <x v="5"/>
  </r>
  <r>
    <x v="0"/>
    <x v="109"/>
    <x v="109"/>
    <x v="43"/>
    <x v="43"/>
    <x v="43"/>
    <x v="9"/>
    <x v="252"/>
    <x v="33"/>
    <x v="77"/>
    <x v="83"/>
    <x v="160"/>
    <x v="15"/>
    <x v="5"/>
  </r>
  <r>
    <x v="0"/>
    <x v="109"/>
    <x v="109"/>
    <x v="12"/>
    <x v="12"/>
    <x v="12"/>
    <x v="9"/>
    <x v="252"/>
    <x v="33"/>
    <x v="64"/>
    <x v="151"/>
    <x v="211"/>
    <x v="274"/>
    <x v="5"/>
  </r>
  <r>
    <x v="0"/>
    <x v="109"/>
    <x v="109"/>
    <x v="19"/>
    <x v="19"/>
    <x v="19"/>
    <x v="9"/>
    <x v="252"/>
    <x v="33"/>
    <x v="48"/>
    <x v="144"/>
    <x v="160"/>
    <x v="15"/>
    <x v="5"/>
  </r>
  <r>
    <x v="0"/>
    <x v="109"/>
    <x v="109"/>
    <x v="8"/>
    <x v="8"/>
    <x v="8"/>
    <x v="17"/>
    <x v="287"/>
    <x v="578"/>
    <x v="77"/>
    <x v="83"/>
    <x v="160"/>
    <x v="15"/>
    <x v="5"/>
  </r>
  <r>
    <x v="0"/>
    <x v="109"/>
    <x v="109"/>
    <x v="28"/>
    <x v="28"/>
    <x v="28"/>
    <x v="17"/>
    <x v="287"/>
    <x v="578"/>
    <x v="77"/>
    <x v="83"/>
    <x v="160"/>
    <x v="15"/>
    <x v="5"/>
  </r>
  <r>
    <x v="0"/>
    <x v="109"/>
    <x v="109"/>
    <x v="45"/>
    <x v="45"/>
    <x v="45"/>
    <x v="17"/>
    <x v="287"/>
    <x v="578"/>
    <x v="48"/>
    <x v="144"/>
    <x v="211"/>
    <x v="274"/>
    <x v="5"/>
  </r>
  <r>
    <x v="0"/>
    <x v="109"/>
    <x v="109"/>
    <x v="40"/>
    <x v="40"/>
    <x v="40"/>
    <x v="17"/>
    <x v="287"/>
    <x v="578"/>
    <x v="77"/>
    <x v="83"/>
    <x v="160"/>
    <x v="15"/>
    <x v="5"/>
  </r>
  <r>
    <x v="0"/>
    <x v="109"/>
    <x v="109"/>
    <x v="55"/>
    <x v="55"/>
    <x v="55"/>
    <x v="17"/>
    <x v="287"/>
    <x v="578"/>
    <x v="48"/>
    <x v="144"/>
    <x v="211"/>
    <x v="274"/>
    <x v="5"/>
  </r>
  <r>
    <x v="0"/>
    <x v="109"/>
    <x v="109"/>
    <x v="41"/>
    <x v="41"/>
    <x v="41"/>
    <x v="17"/>
    <x v="287"/>
    <x v="578"/>
    <x v="77"/>
    <x v="83"/>
    <x v="211"/>
    <x v="274"/>
    <x v="5"/>
  </r>
  <r>
    <x v="0"/>
    <x v="109"/>
    <x v="109"/>
    <x v="25"/>
    <x v="25"/>
    <x v="25"/>
    <x v="17"/>
    <x v="287"/>
    <x v="578"/>
    <x v="77"/>
    <x v="83"/>
    <x v="211"/>
    <x v="274"/>
    <x v="5"/>
  </r>
  <r>
    <x v="0"/>
    <x v="109"/>
    <x v="109"/>
    <x v="17"/>
    <x v="17"/>
    <x v="17"/>
    <x v="17"/>
    <x v="287"/>
    <x v="578"/>
    <x v="77"/>
    <x v="83"/>
    <x v="160"/>
    <x v="15"/>
    <x v="5"/>
  </r>
  <r>
    <x v="0"/>
    <x v="109"/>
    <x v="109"/>
    <x v="15"/>
    <x v="15"/>
    <x v="15"/>
    <x v="17"/>
    <x v="287"/>
    <x v="578"/>
    <x v="77"/>
    <x v="83"/>
    <x v="160"/>
    <x v="15"/>
    <x v="5"/>
  </r>
  <r>
    <x v="0"/>
    <x v="109"/>
    <x v="109"/>
    <x v="30"/>
    <x v="30"/>
    <x v="30"/>
    <x v="17"/>
    <x v="287"/>
    <x v="578"/>
    <x v="48"/>
    <x v="144"/>
    <x v="211"/>
    <x v="274"/>
    <x v="5"/>
  </r>
  <r>
    <x v="0"/>
    <x v="109"/>
    <x v="109"/>
    <x v="14"/>
    <x v="14"/>
    <x v="14"/>
    <x v="17"/>
    <x v="287"/>
    <x v="578"/>
    <x v="77"/>
    <x v="83"/>
    <x v="211"/>
    <x v="274"/>
    <x v="5"/>
  </r>
  <r>
    <x v="0"/>
    <x v="109"/>
    <x v="109"/>
    <x v="36"/>
    <x v="36"/>
    <x v="36"/>
    <x v="17"/>
    <x v="287"/>
    <x v="578"/>
    <x v="77"/>
    <x v="83"/>
    <x v="160"/>
    <x v="15"/>
    <x v="5"/>
  </r>
  <r>
    <x v="0"/>
    <x v="109"/>
    <x v="109"/>
    <x v="27"/>
    <x v="27"/>
    <x v="27"/>
    <x v="17"/>
    <x v="287"/>
    <x v="578"/>
    <x v="77"/>
    <x v="83"/>
    <x v="160"/>
    <x v="15"/>
    <x v="5"/>
  </r>
  <r>
    <x v="0"/>
    <x v="109"/>
    <x v="109"/>
    <x v="29"/>
    <x v="29"/>
    <x v="29"/>
    <x v="17"/>
    <x v="287"/>
    <x v="578"/>
    <x v="48"/>
    <x v="144"/>
    <x v="211"/>
    <x v="274"/>
    <x v="5"/>
  </r>
  <r>
    <x v="0"/>
    <x v="110"/>
    <x v="110"/>
    <x v="3"/>
    <x v="3"/>
    <x v="3"/>
    <x v="0"/>
    <x v="264"/>
    <x v="725"/>
    <x v="65"/>
    <x v="730"/>
    <x v="189"/>
    <x v="607"/>
    <x v="5"/>
  </r>
  <r>
    <x v="0"/>
    <x v="110"/>
    <x v="110"/>
    <x v="0"/>
    <x v="0"/>
    <x v="0"/>
    <x v="0"/>
    <x v="264"/>
    <x v="725"/>
    <x v="78"/>
    <x v="731"/>
    <x v="160"/>
    <x v="183"/>
    <x v="5"/>
  </r>
  <r>
    <x v="0"/>
    <x v="110"/>
    <x v="110"/>
    <x v="4"/>
    <x v="4"/>
    <x v="4"/>
    <x v="2"/>
    <x v="248"/>
    <x v="726"/>
    <x v="52"/>
    <x v="609"/>
    <x v="209"/>
    <x v="608"/>
    <x v="5"/>
  </r>
  <r>
    <x v="0"/>
    <x v="110"/>
    <x v="110"/>
    <x v="6"/>
    <x v="6"/>
    <x v="6"/>
    <x v="2"/>
    <x v="248"/>
    <x v="726"/>
    <x v="82"/>
    <x v="732"/>
    <x v="211"/>
    <x v="274"/>
    <x v="5"/>
  </r>
  <r>
    <x v="0"/>
    <x v="110"/>
    <x v="110"/>
    <x v="11"/>
    <x v="11"/>
    <x v="11"/>
    <x v="4"/>
    <x v="250"/>
    <x v="90"/>
    <x v="64"/>
    <x v="610"/>
    <x v="163"/>
    <x v="485"/>
    <x v="5"/>
  </r>
  <r>
    <x v="0"/>
    <x v="110"/>
    <x v="110"/>
    <x v="1"/>
    <x v="1"/>
    <x v="1"/>
    <x v="4"/>
    <x v="250"/>
    <x v="90"/>
    <x v="51"/>
    <x v="611"/>
    <x v="211"/>
    <x v="274"/>
    <x v="5"/>
  </r>
  <r>
    <x v="0"/>
    <x v="110"/>
    <x v="110"/>
    <x v="7"/>
    <x v="7"/>
    <x v="7"/>
    <x v="4"/>
    <x v="250"/>
    <x v="90"/>
    <x v="52"/>
    <x v="609"/>
    <x v="160"/>
    <x v="183"/>
    <x v="5"/>
  </r>
  <r>
    <x v="0"/>
    <x v="110"/>
    <x v="110"/>
    <x v="41"/>
    <x v="41"/>
    <x v="41"/>
    <x v="7"/>
    <x v="251"/>
    <x v="727"/>
    <x v="77"/>
    <x v="83"/>
    <x v="211"/>
    <x v="274"/>
    <x v="5"/>
  </r>
  <r>
    <x v="0"/>
    <x v="110"/>
    <x v="110"/>
    <x v="9"/>
    <x v="9"/>
    <x v="9"/>
    <x v="7"/>
    <x v="251"/>
    <x v="727"/>
    <x v="52"/>
    <x v="609"/>
    <x v="211"/>
    <x v="274"/>
    <x v="5"/>
  </r>
  <r>
    <x v="0"/>
    <x v="110"/>
    <x v="110"/>
    <x v="5"/>
    <x v="5"/>
    <x v="5"/>
    <x v="9"/>
    <x v="252"/>
    <x v="95"/>
    <x v="48"/>
    <x v="281"/>
    <x v="160"/>
    <x v="183"/>
    <x v="5"/>
  </r>
  <r>
    <x v="0"/>
    <x v="110"/>
    <x v="110"/>
    <x v="8"/>
    <x v="8"/>
    <x v="8"/>
    <x v="9"/>
    <x v="252"/>
    <x v="95"/>
    <x v="77"/>
    <x v="83"/>
    <x v="163"/>
    <x v="485"/>
    <x v="5"/>
  </r>
  <r>
    <x v="0"/>
    <x v="110"/>
    <x v="110"/>
    <x v="48"/>
    <x v="48"/>
    <x v="48"/>
    <x v="9"/>
    <x v="252"/>
    <x v="95"/>
    <x v="77"/>
    <x v="83"/>
    <x v="160"/>
    <x v="183"/>
    <x v="4"/>
  </r>
  <r>
    <x v="0"/>
    <x v="110"/>
    <x v="110"/>
    <x v="13"/>
    <x v="13"/>
    <x v="13"/>
    <x v="9"/>
    <x v="252"/>
    <x v="95"/>
    <x v="48"/>
    <x v="281"/>
    <x v="160"/>
    <x v="183"/>
    <x v="5"/>
  </r>
  <r>
    <x v="0"/>
    <x v="110"/>
    <x v="110"/>
    <x v="12"/>
    <x v="12"/>
    <x v="12"/>
    <x v="9"/>
    <x v="252"/>
    <x v="95"/>
    <x v="48"/>
    <x v="281"/>
    <x v="211"/>
    <x v="274"/>
    <x v="5"/>
  </r>
  <r>
    <x v="0"/>
    <x v="110"/>
    <x v="110"/>
    <x v="28"/>
    <x v="28"/>
    <x v="28"/>
    <x v="14"/>
    <x v="287"/>
    <x v="513"/>
    <x v="48"/>
    <x v="281"/>
    <x v="211"/>
    <x v="274"/>
    <x v="5"/>
  </r>
  <r>
    <x v="0"/>
    <x v="110"/>
    <x v="110"/>
    <x v="49"/>
    <x v="49"/>
    <x v="49"/>
    <x v="14"/>
    <x v="287"/>
    <x v="513"/>
    <x v="77"/>
    <x v="83"/>
    <x v="211"/>
    <x v="274"/>
    <x v="4"/>
  </r>
  <r>
    <x v="0"/>
    <x v="110"/>
    <x v="110"/>
    <x v="39"/>
    <x v="39"/>
    <x v="39"/>
    <x v="14"/>
    <x v="287"/>
    <x v="513"/>
    <x v="77"/>
    <x v="83"/>
    <x v="160"/>
    <x v="183"/>
    <x v="5"/>
  </r>
  <r>
    <x v="0"/>
    <x v="110"/>
    <x v="110"/>
    <x v="45"/>
    <x v="45"/>
    <x v="45"/>
    <x v="14"/>
    <x v="287"/>
    <x v="513"/>
    <x v="48"/>
    <x v="281"/>
    <x v="211"/>
    <x v="274"/>
    <x v="5"/>
  </r>
  <r>
    <x v="0"/>
    <x v="110"/>
    <x v="110"/>
    <x v="40"/>
    <x v="40"/>
    <x v="40"/>
    <x v="14"/>
    <x v="287"/>
    <x v="513"/>
    <x v="48"/>
    <x v="281"/>
    <x v="211"/>
    <x v="274"/>
    <x v="5"/>
  </r>
  <r>
    <x v="0"/>
    <x v="110"/>
    <x v="110"/>
    <x v="22"/>
    <x v="22"/>
    <x v="22"/>
    <x v="14"/>
    <x v="287"/>
    <x v="513"/>
    <x v="48"/>
    <x v="281"/>
    <x v="211"/>
    <x v="274"/>
    <x v="5"/>
  </r>
  <r>
    <x v="0"/>
    <x v="110"/>
    <x v="110"/>
    <x v="18"/>
    <x v="18"/>
    <x v="18"/>
    <x v="14"/>
    <x v="287"/>
    <x v="513"/>
    <x v="77"/>
    <x v="83"/>
    <x v="160"/>
    <x v="183"/>
    <x v="5"/>
  </r>
  <r>
    <x v="0"/>
    <x v="110"/>
    <x v="110"/>
    <x v="16"/>
    <x v="16"/>
    <x v="16"/>
    <x v="14"/>
    <x v="287"/>
    <x v="513"/>
    <x v="77"/>
    <x v="83"/>
    <x v="160"/>
    <x v="183"/>
    <x v="5"/>
  </r>
  <r>
    <x v="0"/>
    <x v="110"/>
    <x v="110"/>
    <x v="23"/>
    <x v="23"/>
    <x v="23"/>
    <x v="14"/>
    <x v="287"/>
    <x v="513"/>
    <x v="48"/>
    <x v="281"/>
    <x v="211"/>
    <x v="274"/>
    <x v="5"/>
  </r>
  <r>
    <x v="0"/>
    <x v="110"/>
    <x v="110"/>
    <x v="2"/>
    <x v="2"/>
    <x v="2"/>
    <x v="14"/>
    <x v="287"/>
    <x v="513"/>
    <x v="48"/>
    <x v="281"/>
    <x v="211"/>
    <x v="274"/>
    <x v="5"/>
  </r>
  <r>
    <x v="0"/>
    <x v="110"/>
    <x v="110"/>
    <x v="31"/>
    <x v="31"/>
    <x v="31"/>
    <x v="14"/>
    <x v="287"/>
    <x v="513"/>
    <x v="48"/>
    <x v="281"/>
    <x v="211"/>
    <x v="274"/>
    <x v="5"/>
  </r>
  <r>
    <x v="0"/>
    <x v="110"/>
    <x v="110"/>
    <x v="30"/>
    <x v="30"/>
    <x v="30"/>
    <x v="14"/>
    <x v="287"/>
    <x v="513"/>
    <x v="77"/>
    <x v="83"/>
    <x v="211"/>
    <x v="274"/>
    <x v="5"/>
  </r>
  <r>
    <x v="0"/>
    <x v="110"/>
    <x v="110"/>
    <x v="34"/>
    <x v="34"/>
    <x v="34"/>
    <x v="14"/>
    <x v="287"/>
    <x v="513"/>
    <x v="77"/>
    <x v="83"/>
    <x v="160"/>
    <x v="183"/>
    <x v="5"/>
  </r>
  <r>
    <x v="0"/>
    <x v="110"/>
    <x v="110"/>
    <x v="14"/>
    <x v="14"/>
    <x v="14"/>
    <x v="14"/>
    <x v="287"/>
    <x v="513"/>
    <x v="77"/>
    <x v="83"/>
    <x v="211"/>
    <x v="274"/>
    <x v="5"/>
  </r>
  <r>
    <x v="0"/>
    <x v="110"/>
    <x v="110"/>
    <x v="36"/>
    <x v="36"/>
    <x v="36"/>
    <x v="14"/>
    <x v="287"/>
    <x v="513"/>
    <x v="77"/>
    <x v="83"/>
    <x v="211"/>
    <x v="274"/>
    <x v="5"/>
  </r>
  <r>
    <x v="0"/>
    <x v="110"/>
    <x v="110"/>
    <x v="27"/>
    <x v="27"/>
    <x v="27"/>
    <x v="14"/>
    <x v="287"/>
    <x v="513"/>
    <x v="48"/>
    <x v="281"/>
    <x v="211"/>
    <x v="274"/>
    <x v="5"/>
  </r>
  <r>
    <x v="0"/>
    <x v="110"/>
    <x v="110"/>
    <x v="57"/>
    <x v="57"/>
    <x v="57"/>
    <x v="14"/>
    <x v="287"/>
    <x v="513"/>
    <x v="77"/>
    <x v="83"/>
    <x v="211"/>
    <x v="274"/>
    <x v="4"/>
  </r>
  <r>
    <x v="0"/>
    <x v="111"/>
    <x v="111"/>
    <x v="0"/>
    <x v="0"/>
    <x v="0"/>
    <x v="0"/>
    <x v="259"/>
    <x v="728"/>
    <x v="76"/>
    <x v="733"/>
    <x v="211"/>
    <x v="274"/>
    <x v="5"/>
  </r>
  <r>
    <x v="0"/>
    <x v="111"/>
    <x v="111"/>
    <x v="4"/>
    <x v="4"/>
    <x v="4"/>
    <x v="1"/>
    <x v="263"/>
    <x v="674"/>
    <x v="64"/>
    <x v="567"/>
    <x v="215"/>
    <x v="609"/>
    <x v="5"/>
  </r>
  <r>
    <x v="0"/>
    <x v="111"/>
    <x v="111"/>
    <x v="1"/>
    <x v="1"/>
    <x v="1"/>
    <x v="2"/>
    <x v="264"/>
    <x v="729"/>
    <x v="78"/>
    <x v="561"/>
    <x v="160"/>
    <x v="131"/>
    <x v="5"/>
  </r>
  <r>
    <x v="0"/>
    <x v="111"/>
    <x v="111"/>
    <x v="3"/>
    <x v="3"/>
    <x v="3"/>
    <x v="3"/>
    <x v="280"/>
    <x v="730"/>
    <x v="82"/>
    <x v="734"/>
    <x v="132"/>
    <x v="239"/>
    <x v="5"/>
  </r>
  <r>
    <x v="0"/>
    <x v="111"/>
    <x v="111"/>
    <x v="28"/>
    <x v="28"/>
    <x v="28"/>
    <x v="4"/>
    <x v="248"/>
    <x v="175"/>
    <x v="65"/>
    <x v="565"/>
    <x v="160"/>
    <x v="131"/>
    <x v="5"/>
  </r>
  <r>
    <x v="0"/>
    <x v="111"/>
    <x v="111"/>
    <x v="6"/>
    <x v="6"/>
    <x v="6"/>
    <x v="4"/>
    <x v="248"/>
    <x v="175"/>
    <x v="65"/>
    <x v="565"/>
    <x v="160"/>
    <x v="131"/>
    <x v="5"/>
  </r>
  <r>
    <x v="0"/>
    <x v="111"/>
    <x v="111"/>
    <x v="34"/>
    <x v="34"/>
    <x v="34"/>
    <x v="4"/>
    <x v="248"/>
    <x v="175"/>
    <x v="77"/>
    <x v="83"/>
    <x v="189"/>
    <x v="610"/>
    <x v="5"/>
  </r>
  <r>
    <x v="0"/>
    <x v="111"/>
    <x v="111"/>
    <x v="32"/>
    <x v="32"/>
    <x v="32"/>
    <x v="7"/>
    <x v="249"/>
    <x v="446"/>
    <x v="48"/>
    <x v="564"/>
    <x v="132"/>
    <x v="239"/>
    <x v="5"/>
  </r>
  <r>
    <x v="0"/>
    <x v="111"/>
    <x v="111"/>
    <x v="9"/>
    <x v="9"/>
    <x v="9"/>
    <x v="7"/>
    <x v="249"/>
    <x v="446"/>
    <x v="52"/>
    <x v="566"/>
    <x v="211"/>
    <x v="274"/>
    <x v="5"/>
  </r>
  <r>
    <x v="0"/>
    <x v="111"/>
    <x v="111"/>
    <x v="50"/>
    <x v="50"/>
    <x v="50"/>
    <x v="9"/>
    <x v="251"/>
    <x v="68"/>
    <x v="77"/>
    <x v="83"/>
    <x v="209"/>
    <x v="537"/>
    <x v="5"/>
  </r>
  <r>
    <x v="0"/>
    <x v="111"/>
    <x v="111"/>
    <x v="18"/>
    <x v="18"/>
    <x v="18"/>
    <x v="9"/>
    <x v="251"/>
    <x v="68"/>
    <x v="77"/>
    <x v="83"/>
    <x v="209"/>
    <x v="537"/>
    <x v="5"/>
  </r>
  <r>
    <x v="0"/>
    <x v="111"/>
    <x v="111"/>
    <x v="2"/>
    <x v="2"/>
    <x v="2"/>
    <x v="9"/>
    <x v="251"/>
    <x v="68"/>
    <x v="48"/>
    <x v="564"/>
    <x v="163"/>
    <x v="172"/>
    <x v="5"/>
  </r>
  <r>
    <x v="0"/>
    <x v="111"/>
    <x v="111"/>
    <x v="7"/>
    <x v="7"/>
    <x v="7"/>
    <x v="9"/>
    <x v="251"/>
    <x v="68"/>
    <x v="52"/>
    <x v="566"/>
    <x v="211"/>
    <x v="274"/>
    <x v="5"/>
  </r>
  <r>
    <x v="0"/>
    <x v="111"/>
    <x v="111"/>
    <x v="14"/>
    <x v="14"/>
    <x v="14"/>
    <x v="9"/>
    <x v="251"/>
    <x v="68"/>
    <x v="77"/>
    <x v="83"/>
    <x v="211"/>
    <x v="274"/>
    <x v="5"/>
  </r>
  <r>
    <x v="0"/>
    <x v="111"/>
    <x v="111"/>
    <x v="5"/>
    <x v="5"/>
    <x v="5"/>
    <x v="14"/>
    <x v="252"/>
    <x v="221"/>
    <x v="77"/>
    <x v="83"/>
    <x v="163"/>
    <x v="172"/>
    <x v="5"/>
  </r>
  <r>
    <x v="0"/>
    <x v="111"/>
    <x v="111"/>
    <x v="49"/>
    <x v="49"/>
    <x v="49"/>
    <x v="14"/>
    <x v="252"/>
    <x v="221"/>
    <x v="77"/>
    <x v="83"/>
    <x v="163"/>
    <x v="172"/>
    <x v="5"/>
  </r>
  <r>
    <x v="0"/>
    <x v="111"/>
    <x v="111"/>
    <x v="41"/>
    <x v="41"/>
    <x v="41"/>
    <x v="14"/>
    <x v="252"/>
    <x v="221"/>
    <x v="77"/>
    <x v="83"/>
    <x v="163"/>
    <x v="172"/>
    <x v="5"/>
  </r>
  <r>
    <x v="0"/>
    <x v="111"/>
    <x v="111"/>
    <x v="64"/>
    <x v="64"/>
    <x v="64"/>
    <x v="14"/>
    <x v="252"/>
    <x v="221"/>
    <x v="48"/>
    <x v="564"/>
    <x v="160"/>
    <x v="131"/>
    <x v="5"/>
  </r>
  <r>
    <x v="0"/>
    <x v="111"/>
    <x v="111"/>
    <x v="48"/>
    <x v="48"/>
    <x v="48"/>
    <x v="14"/>
    <x v="252"/>
    <x v="221"/>
    <x v="77"/>
    <x v="83"/>
    <x v="163"/>
    <x v="172"/>
    <x v="5"/>
  </r>
  <r>
    <x v="0"/>
    <x v="111"/>
    <x v="111"/>
    <x v="11"/>
    <x v="11"/>
    <x v="11"/>
    <x v="14"/>
    <x v="252"/>
    <x v="221"/>
    <x v="48"/>
    <x v="564"/>
    <x v="160"/>
    <x v="131"/>
    <x v="5"/>
  </r>
  <r>
    <x v="0"/>
    <x v="111"/>
    <x v="111"/>
    <x v="43"/>
    <x v="43"/>
    <x v="43"/>
    <x v="14"/>
    <x v="252"/>
    <x v="221"/>
    <x v="77"/>
    <x v="83"/>
    <x v="160"/>
    <x v="131"/>
    <x v="5"/>
  </r>
  <r>
    <x v="0"/>
    <x v="111"/>
    <x v="111"/>
    <x v="10"/>
    <x v="10"/>
    <x v="10"/>
    <x v="14"/>
    <x v="252"/>
    <x v="221"/>
    <x v="48"/>
    <x v="564"/>
    <x v="160"/>
    <x v="131"/>
    <x v="5"/>
  </r>
  <r>
    <x v="0"/>
    <x v="111"/>
    <x v="111"/>
    <x v="30"/>
    <x v="30"/>
    <x v="30"/>
    <x v="14"/>
    <x v="252"/>
    <x v="221"/>
    <x v="77"/>
    <x v="83"/>
    <x v="163"/>
    <x v="172"/>
    <x v="5"/>
  </r>
  <r>
    <x v="0"/>
    <x v="111"/>
    <x v="111"/>
    <x v="19"/>
    <x v="19"/>
    <x v="19"/>
    <x v="14"/>
    <x v="252"/>
    <x v="221"/>
    <x v="48"/>
    <x v="564"/>
    <x v="160"/>
    <x v="131"/>
    <x v="5"/>
  </r>
  <r>
    <x v="0"/>
    <x v="111"/>
    <x v="111"/>
    <x v="29"/>
    <x v="29"/>
    <x v="29"/>
    <x v="14"/>
    <x v="252"/>
    <x v="221"/>
    <x v="64"/>
    <x v="567"/>
    <x v="211"/>
    <x v="274"/>
    <x v="5"/>
  </r>
  <r>
    <x v="0"/>
    <x v="112"/>
    <x v="112"/>
    <x v="3"/>
    <x v="3"/>
    <x v="3"/>
    <x v="0"/>
    <x v="245"/>
    <x v="516"/>
    <x v="78"/>
    <x v="735"/>
    <x v="215"/>
    <x v="609"/>
    <x v="5"/>
  </r>
  <r>
    <x v="0"/>
    <x v="112"/>
    <x v="112"/>
    <x v="0"/>
    <x v="0"/>
    <x v="0"/>
    <x v="1"/>
    <x v="261"/>
    <x v="731"/>
    <x v="31"/>
    <x v="736"/>
    <x v="160"/>
    <x v="131"/>
    <x v="5"/>
  </r>
  <r>
    <x v="0"/>
    <x v="112"/>
    <x v="112"/>
    <x v="1"/>
    <x v="1"/>
    <x v="1"/>
    <x v="2"/>
    <x v="246"/>
    <x v="732"/>
    <x v="58"/>
    <x v="737"/>
    <x v="160"/>
    <x v="131"/>
    <x v="5"/>
  </r>
  <r>
    <x v="0"/>
    <x v="112"/>
    <x v="112"/>
    <x v="4"/>
    <x v="4"/>
    <x v="4"/>
    <x v="3"/>
    <x v="263"/>
    <x v="733"/>
    <x v="48"/>
    <x v="62"/>
    <x v="213"/>
    <x v="611"/>
    <x v="5"/>
  </r>
  <r>
    <x v="0"/>
    <x v="112"/>
    <x v="112"/>
    <x v="6"/>
    <x v="6"/>
    <x v="6"/>
    <x v="4"/>
    <x v="280"/>
    <x v="171"/>
    <x v="53"/>
    <x v="656"/>
    <x v="209"/>
    <x v="537"/>
    <x v="5"/>
  </r>
  <r>
    <x v="0"/>
    <x v="112"/>
    <x v="112"/>
    <x v="8"/>
    <x v="8"/>
    <x v="8"/>
    <x v="5"/>
    <x v="249"/>
    <x v="133"/>
    <x v="48"/>
    <x v="62"/>
    <x v="132"/>
    <x v="239"/>
    <x v="5"/>
  </r>
  <r>
    <x v="0"/>
    <x v="112"/>
    <x v="112"/>
    <x v="11"/>
    <x v="11"/>
    <x v="11"/>
    <x v="5"/>
    <x v="249"/>
    <x v="133"/>
    <x v="52"/>
    <x v="738"/>
    <x v="163"/>
    <x v="172"/>
    <x v="5"/>
  </r>
  <r>
    <x v="0"/>
    <x v="112"/>
    <x v="112"/>
    <x v="30"/>
    <x v="30"/>
    <x v="30"/>
    <x v="5"/>
    <x v="249"/>
    <x v="133"/>
    <x v="52"/>
    <x v="738"/>
    <x v="163"/>
    <x v="172"/>
    <x v="5"/>
  </r>
  <r>
    <x v="0"/>
    <x v="112"/>
    <x v="112"/>
    <x v="28"/>
    <x v="28"/>
    <x v="28"/>
    <x v="8"/>
    <x v="250"/>
    <x v="218"/>
    <x v="48"/>
    <x v="62"/>
    <x v="209"/>
    <x v="537"/>
    <x v="5"/>
  </r>
  <r>
    <x v="0"/>
    <x v="112"/>
    <x v="112"/>
    <x v="5"/>
    <x v="5"/>
    <x v="5"/>
    <x v="9"/>
    <x v="251"/>
    <x v="220"/>
    <x v="64"/>
    <x v="388"/>
    <x v="160"/>
    <x v="131"/>
    <x v="5"/>
  </r>
  <r>
    <x v="0"/>
    <x v="112"/>
    <x v="112"/>
    <x v="49"/>
    <x v="49"/>
    <x v="49"/>
    <x v="9"/>
    <x v="251"/>
    <x v="220"/>
    <x v="48"/>
    <x v="62"/>
    <x v="163"/>
    <x v="172"/>
    <x v="5"/>
  </r>
  <r>
    <x v="0"/>
    <x v="112"/>
    <x v="112"/>
    <x v="42"/>
    <x v="42"/>
    <x v="42"/>
    <x v="9"/>
    <x v="251"/>
    <x v="220"/>
    <x v="77"/>
    <x v="83"/>
    <x v="209"/>
    <x v="537"/>
    <x v="5"/>
  </r>
  <r>
    <x v="0"/>
    <x v="112"/>
    <x v="112"/>
    <x v="13"/>
    <x v="13"/>
    <x v="13"/>
    <x v="9"/>
    <x v="251"/>
    <x v="220"/>
    <x v="52"/>
    <x v="738"/>
    <x v="211"/>
    <x v="274"/>
    <x v="5"/>
  </r>
  <r>
    <x v="0"/>
    <x v="112"/>
    <x v="112"/>
    <x v="9"/>
    <x v="9"/>
    <x v="9"/>
    <x v="9"/>
    <x v="251"/>
    <x v="220"/>
    <x v="64"/>
    <x v="388"/>
    <x v="211"/>
    <x v="274"/>
    <x v="5"/>
  </r>
  <r>
    <x v="0"/>
    <x v="112"/>
    <x v="112"/>
    <x v="21"/>
    <x v="21"/>
    <x v="21"/>
    <x v="9"/>
    <x v="251"/>
    <x v="220"/>
    <x v="77"/>
    <x v="83"/>
    <x v="160"/>
    <x v="131"/>
    <x v="4"/>
  </r>
  <r>
    <x v="0"/>
    <x v="112"/>
    <x v="112"/>
    <x v="32"/>
    <x v="32"/>
    <x v="32"/>
    <x v="15"/>
    <x v="252"/>
    <x v="167"/>
    <x v="48"/>
    <x v="62"/>
    <x v="160"/>
    <x v="131"/>
    <x v="5"/>
  </r>
  <r>
    <x v="0"/>
    <x v="112"/>
    <x v="112"/>
    <x v="38"/>
    <x v="38"/>
    <x v="38"/>
    <x v="15"/>
    <x v="252"/>
    <x v="167"/>
    <x v="48"/>
    <x v="62"/>
    <x v="160"/>
    <x v="131"/>
    <x v="5"/>
  </r>
  <r>
    <x v="0"/>
    <x v="112"/>
    <x v="112"/>
    <x v="35"/>
    <x v="35"/>
    <x v="35"/>
    <x v="15"/>
    <x v="252"/>
    <x v="167"/>
    <x v="48"/>
    <x v="62"/>
    <x v="160"/>
    <x v="131"/>
    <x v="5"/>
  </r>
  <r>
    <x v="0"/>
    <x v="112"/>
    <x v="112"/>
    <x v="2"/>
    <x v="2"/>
    <x v="2"/>
    <x v="15"/>
    <x v="252"/>
    <x v="167"/>
    <x v="64"/>
    <x v="388"/>
    <x v="211"/>
    <x v="274"/>
    <x v="5"/>
  </r>
  <r>
    <x v="0"/>
    <x v="112"/>
    <x v="112"/>
    <x v="10"/>
    <x v="10"/>
    <x v="10"/>
    <x v="15"/>
    <x v="252"/>
    <x v="167"/>
    <x v="64"/>
    <x v="388"/>
    <x v="211"/>
    <x v="274"/>
    <x v="5"/>
  </r>
  <r>
    <x v="0"/>
    <x v="112"/>
    <x v="112"/>
    <x v="26"/>
    <x v="26"/>
    <x v="26"/>
    <x v="15"/>
    <x v="252"/>
    <x v="167"/>
    <x v="77"/>
    <x v="83"/>
    <x v="163"/>
    <x v="172"/>
    <x v="5"/>
  </r>
  <r>
    <x v="0"/>
    <x v="112"/>
    <x v="112"/>
    <x v="19"/>
    <x v="19"/>
    <x v="19"/>
    <x v="15"/>
    <x v="252"/>
    <x v="167"/>
    <x v="64"/>
    <x v="388"/>
    <x v="211"/>
    <x v="274"/>
    <x v="5"/>
  </r>
  <r>
    <x v="0"/>
    <x v="112"/>
    <x v="112"/>
    <x v="14"/>
    <x v="14"/>
    <x v="14"/>
    <x v="15"/>
    <x v="252"/>
    <x v="167"/>
    <x v="77"/>
    <x v="83"/>
    <x v="160"/>
    <x v="131"/>
    <x v="5"/>
  </r>
  <r>
    <x v="0"/>
    <x v="113"/>
    <x v="113"/>
    <x v="6"/>
    <x v="6"/>
    <x v="6"/>
    <x v="0"/>
    <x v="250"/>
    <x v="734"/>
    <x v="64"/>
    <x v="414"/>
    <x v="163"/>
    <x v="330"/>
    <x v="5"/>
  </r>
  <r>
    <x v="0"/>
    <x v="113"/>
    <x v="113"/>
    <x v="0"/>
    <x v="0"/>
    <x v="0"/>
    <x v="0"/>
    <x v="250"/>
    <x v="734"/>
    <x v="51"/>
    <x v="739"/>
    <x v="211"/>
    <x v="274"/>
    <x v="5"/>
  </r>
  <r>
    <x v="0"/>
    <x v="113"/>
    <x v="113"/>
    <x v="4"/>
    <x v="4"/>
    <x v="4"/>
    <x v="2"/>
    <x v="251"/>
    <x v="662"/>
    <x v="77"/>
    <x v="83"/>
    <x v="209"/>
    <x v="530"/>
    <x v="5"/>
  </r>
  <r>
    <x v="0"/>
    <x v="113"/>
    <x v="113"/>
    <x v="3"/>
    <x v="3"/>
    <x v="3"/>
    <x v="2"/>
    <x v="251"/>
    <x v="662"/>
    <x v="77"/>
    <x v="83"/>
    <x v="209"/>
    <x v="530"/>
    <x v="5"/>
  </r>
  <r>
    <x v="0"/>
    <x v="113"/>
    <x v="113"/>
    <x v="28"/>
    <x v="28"/>
    <x v="28"/>
    <x v="4"/>
    <x v="252"/>
    <x v="663"/>
    <x v="48"/>
    <x v="629"/>
    <x v="160"/>
    <x v="482"/>
    <x v="5"/>
  </r>
  <r>
    <x v="0"/>
    <x v="113"/>
    <x v="113"/>
    <x v="41"/>
    <x v="41"/>
    <x v="41"/>
    <x v="4"/>
    <x v="252"/>
    <x v="663"/>
    <x v="77"/>
    <x v="83"/>
    <x v="160"/>
    <x v="482"/>
    <x v="5"/>
  </r>
  <r>
    <x v="0"/>
    <x v="113"/>
    <x v="113"/>
    <x v="25"/>
    <x v="25"/>
    <x v="25"/>
    <x v="4"/>
    <x v="252"/>
    <x v="663"/>
    <x v="77"/>
    <x v="83"/>
    <x v="163"/>
    <x v="330"/>
    <x v="5"/>
  </r>
  <r>
    <x v="0"/>
    <x v="113"/>
    <x v="113"/>
    <x v="30"/>
    <x v="30"/>
    <x v="30"/>
    <x v="4"/>
    <x v="252"/>
    <x v="663"/>
    <x v="77"/>
    <x v="83"/>
    <x v="163"/>
    <x v="330"/>
    <x v="5"/>
  </r>
  <r>
    <x v="0"/>
    <x v="113"/>
    <x v="113"/>
    <x v="8"/>
    <x v="8"/>
    <x v="8"/>
    <x v="8"/>
    <x v="287"/>
    <x v="447"/>
    <x v="77"/>
    <x v="83"/>
    <x v="160"/>
    <x v="482"/>
    <x v="5"/>
  </r>
  <r>
    <x v="0"/>
    <x v="113"/>
    <x v="113"/>
    <x v="32"/>
    <x v="32"/>
    <x v="32"/>
    <x v="8"/>
    <x v="287"/>
    <x v="447"/>
    <x v="77"/>
    <x v="83"/>
    <x v="160"/>
    <x v="482"/>
    <x v="5"/>
  </r>
  <r>
    <x v="0"/>
    <x v="113"/>
    <x v="113"/>
    <x v="67"/>
    <x v="67"/>
    <x v="67"/>
    <x v="8"/>
    <x v="287"/>
    <x v="447"/>
    <x v="77"/>
    <x v="83"/>
    <x v="160"/>
    <x v="482"/>
    <x v="5"/>
  </r>
  <r>
    <x v="0"/>
    <x v="113"/>
    <x v="113"/>
    <x v="13"/>
    <x v="13"/>
    <x v="13"/>
    <x v="8"/>
    <x v="287"/>
    <x v="447"/>
    <x v="48"/>
    <x v="629"/>
    <x v="211"/>
    <x v="274"/>
    <x v="5"/>
  </r>
  <r>
    <x v="0"/>
    <x v="113"/>
    <x v="113"/>
    <x v="1"/>
    <x v="1"/>
    <x v="1"/>
    <x v="8"/>
    <x v="287"/>
    <x v="447"/>
    <x v="48"/>
    <x v="629"/>
    <x v="211"/>
    <x v="274"/>
    <x v="5"/>
  </r>
  <r>
    <x v="0"/>
    <x v="113"/>
    <x v="113"/>
    <x v="34"/>
    <x v="34"/>
    <x v="34"/>
    <x v="8"/>
    <x v="287"/>
    <x v="447"/>
    <x v="77"/>
    <x v="83"/>
    <x v="211"/>
    <x v="274"/>
    <x v="5"/>
  </r>
  <r>
    <x v="0"/>
    <x v="113"/>
    <x v="113"/>
    <x v="9"/>
    <x v="9"/>
    <x v="9"/>
    <x v="8"/>
    <x v="287"/>
    <x v="447"/>
    <x v="77"/>
    <x v="83"/>
    <x v="211"/>
    <x v="274"/>
    <x v="5"/>
  </r>
  <r>
    <x v="0"/>
    <x v="113"/>
    <x v="113"/>
    <x v="14"/>
    <x v="14"/>
    <x v="14"/>
    <x v="8"/>
    <x v="287"/>
    <x v="447"/>
    <x v="77"/>
    <x v="83"/>
    <x v="211"/>
    <x v="274"/>
    <x v="5"/>
  </r>
  <r>
    <x v="0"/>
    <x v="113"/>
    <x v="113"/>
    <x v="27"/>
    <x v="27"/>
    <x v="27"/>
    <x v="8"/>
    <x v="287"/>
    <x v="447"/>
    <x v="77"/>
    <x v="83"/>
    <x v="160"/>
    <x v="482"/>
    <x v="5"/>
  </r>
  <r>
    <x v="0"/>
    <x v="114"/>
    <x v="114"/>
    <x v="3"/>
    <x v="3"/>
    <x v="3"/>
    <x v="0"/>
    <x v="247"/>
    <x v="421"/>
    <x v="64"/>
    <x v="427"/>
    <x v="210"/>
    <x v="487"/>
    <x v="5"/>
  </r>
  <r>
    <x v="0"/>
    <x v="114"/>
    <x v="114"/>
    <x v="0"/>
    <x v="0"/>
    <x v="0"/>
    <x v="0"/>
    <x v="247"/>
    <x v="421"/>
    <x v="53"/>
    <x v="426"/>
    <x v="211"/>
    <x v="274"/>
    <x v="5"/>
  </r>
  <r>
    <x v="0"/>
    <x v="114"/>
    <x v="114"/>
    <x v="1"/>
    <x v="1"/>
    <x v="1"/>
    <x v="2"/>
    <x v="249"/>
    <x v="88"/>
    <x v="65"/>
    <x v="740"/>
    <x v="211"/>
    <x v="274"/>
    <x v="5"/>
  </r>
  <r>
    <x v="0"/>
    <x v="114"/>
    <x v="114"/>
    <x v="32"/>
    <x v="32"/>
    <x v="32"/>
    <x v="3"/>
    <x v="250"/>
    <x v="422"/>
    <x v="51"/>
    <x v="677"/>
    <x v="211"/>
    <x v="274"/>
    <x v="5"/>
  </r>
  <r>
    <x v="0"/>
    <x v="114"/>
    <x v="114"/>
    <x v="42"/>
    <x v="42"/>
    <x v="42"/>
    <x v="3"/>
    <x v="250"/>
    <x v="422"/>
    <x v="77"/>
    <x v="83"/>
    <x v="132"/>
    <x v="413"/>
    <x v="5"/>
  </r>
  <r>
    <x v="0"/>
    <x v="114"/>
    <x v="114"/>
    <x v="6"/>
    <x v="6"/>
    <x v="6"/>
    <x v="5"/>
    <x v="251"/>
    <x v="379"/>
    <x v="48"/>
    <x v="428"/>
    <x v="163"/>
    <x v="474"/>
    <x v="5"/>
  </r>
  <r>
    <x v="0"/>
    <x v="114"/>
    <x v="114"/>
    <x v="11"/>
    <x v="11"/>
    <x v="11"/>
    <x v="5"/>
    <x v="251"/>
    <x v="379"/>
    <x v="48"/>
    <x v="428"/>
    <x v="163"/>
    <x v="474"/>
    <x v="5"/>
  </r>
  <r>
    <x v="0"/>
    <x v="114"/>
    <x v="114"/>
    <x v="4"/>
    <x v="4"/>
    <x v="4"/>
    <x v="7"/>
    <x v="252"/>
    <x v="9"/>
    <x v="77"/>
    <x v="83"/>
    <x v="163"/>
    <x v="474"/>
    <x v="5"/>
  </r>
  <r>
    <x v="0"/>
    <x v="114"/>
    <x v="114"/>
    <x v="13"/>
    <x v="13"/>
    <x v="13"/>
    <x v="7"/>
    <x v="252"/>
    <x v="9"/>
    <x v="64"/>
    <x v="427"/>
    <x v="211"/>
    <x v="274"/>
    <x v="5"/>
  </r>
  <r>
    <x v="0"/>
    <x v="114"/>
    <x v="114"/>
    <x v="23"/>
    <x v="23"/>
    <x v="23"/>
    <x v="7"/>
    <x v="252"/>
    <x v="9"/>
    <x v="64"/>
    <x v="427"/>
    <x v="211"/>
    <x v="274"/>
    <x v="5"/>
  </r>
  <r>
    <x v="0"/>
    <x v="114"/>
    <x v="114"/>
    <x v="2"/>
    <x v="2"/>
    <x v="2"/>
    <x v="7"/>
    <x v="252"/>
    <x v="9"/>
    <x v="77"/>
    <x v="83"/>
    <x v="163"/>
    <x v="474"/>
    <x v="5"/>
  </r>
  <r>
    <x v="0"/>
    <x v="114"/>
    <x v="114"/>
    <x v="31"/>
    <x v="31"/>
    <x v="31"/>
    <x v="7"/>
    <x v="252"/>
    <x v="9"/>
    <x v="48"/>
    <x v="428"/>
    <x v="160"/>
    <x v="14"/>
    <x v="5"/>
  </r>
  <r>
    <x v="0"/>
    <x v="114"/>
    <x v="114"/>
    <x v="12"/>
    <x v="12"/>
    <x v="12"/>
    <x v="7"/>
    <x v="252"/>
    <x v="9"/>
    <x v="48"/>
    <x v="428"/>
    <x v="160"/>
    <x v="14"/>
    <x v="5"/>
  </r>
  <r>
    <x v="0"/>
    <x v="114"/>
    <x v="114"/>
    <x v="9"/>
    <x v="9"/>
    <x v="9"/>
    <x v="7"/>
    <x v="252"/>
    <x v="9"/>
    <x v="77"/>
    <x v="83"/>
    <x v="160"/>
    <x v="14"/>
    <x v="5"/>
  </r>
  <r>
    <x v="0"/>
    <x v="114"/>
    <x v="114"/>
    <x v="5"/>
    <x v="5"/>
    <x v="5"/>
    <x v="14"/>
    <x v="287"/>
    <x v="208"/>
    <x v="48"/>
    <x v="428"/>
    <x v="211"/>
    <x v="274"/>
    <x v="5"/>
  </r>
  <r>
    <x v="0"/>
    <x v="114"/>
    <x v="114"/>
    <x v="8"/>
    <x v="8"/>
    <x v="8"/>
    <x v="14"/>
    <x v="287"/>
    <x v="208"/>
    <x v="77"/>
    <x v="83"/>
    <x v="160"/>
    <x v="14"/>
    <x v="5"/>
  </r>
  <r>
    <x v="0"/>
    <x v="114"/>
    <x v="114"/>
    <x v="28"/>
    <x v="28"/>
    <x v="28"/>
    <x v="14"/>
    <x v="287"/>
    <x v="208"/>
    <x v="77"/>
    <x v="83"/>
    <x v="160"/>
    <x v="14"/>
    <x v="5"/>
  </r>
  <r>
    <x v="0"/>
    <x v="114"/>
    <x v="114"/>
    <x v="49"/>
    <x v="49"/>
    <x v="49"/>
    <x v="14"/>
    <x v="287"/>
    <x v="208"/>
    <x v="77"/>
    <x v="83"/>
    <x v="160"/>
    <x v="14"/>
    <x v="5"/>
  </r>
  <r>
    <x v="0"/>
    <x v="114"/>
    <x v="114"/>
    <x v="40"/>
    <x v="40"/>
    <x v="40"/>
    <x v="14"/>
    <x v="287"/>
    <x v="208"/>
    <x v="48"/>
    <x v="428"/>
    <x v="211"/>
    <x v="274"/>
    <x v="5"/>
  </r>
  <r>
    <x v="0"/>
    <x v="114"/>
    <x v="114"/>
    <x v="41"/>
    <x v="41"/>
    <x v="41"/>
    <x v="14"/>
    <x v="287"/>
    <x v="208"/>
    <x v="77"/>
    <x v="83"/>
    <x v="160"/>
    <x v="14"/>
    <x v="5"/>
  </r>
  <r>
    <x v="0"/>
    <x v="114"/>
    <x v="114"/>
    <x v="35"/>
    <x v="35"/>
    <x v="35"/>
    <x v="14"/>
    <x v="287"/>
    <x v="208"/>
    <x v="77"/>
    <x v="83"/>
    <x v="160"/>
    <x v="14"/>
    <x v="5"/>
  </r>
  <r>
    <x v="0"/>
    <x v="114"/>
    <x v="114"/>
    <x v="48"/>
    <x v="48"/>
    <x v="48"/>
    <x v="14"/>
    <x v="287"/>
    <x v="208"/>
    <x v="77"/>
    <x v="83"/>
    <x v="211"/>
    <x v="274"/>
    <x v="4"/>
  </r>
  <r>
    <x v="0"/>
    <x v="114"/>
    <x v="114"/>
    <x v="18"/>
    <x v="18"/>
    <x v="18"/>
    <x v="14"/>
    <x v="287"/>
    <x v="208"/>
    <x v="48"/>
    <x v="428"/>
    <x v="211"/>
    <x v="274"/>
    <x v="5"/>
  </r>
  <r>
    <x v="0"/>
    <x v="114"/>
    <x v="114"/>
    <x v="15"/>
    <x v="15"/>
    <x v="15"/>
    <x v="14"/>
    <x v="287"/>
    <x v="208"/>
    <x v="48"/>
    <x v="428"/>
    <x v="211"/>
    <x v="274"/>
    <x v="5"/>
  </r>
  <r>
    <x v="0"/>
    <x v="114"/>
    <x v="114"/>
    <x v="16"/>
    <x v="16"/>
    <x v="16"/>
    <x v="14"/>
    <x v="287"/>
    <x v="208"/>
    <x v="48"/>
    <x v="428"/>
    <x v="211"/>
    <x v="274"/>
    <x v="5"/>
  </r>
  <r>
    <x v="0"/>
    <x v="114"/>
    <x v="114"/>
    <x v="24"/>
    <x v="24"/>
    <x v="24"/>
    <x v="14"/>
    <x v="287"/>
    <x v="208"/>
    <x v="77"/>
    <x v="83"/>
    <x v="160"/>
    <x v="14"/>
    <x v="5"/>
  </r>
  <r>
    <x v="0"/>
    <x v="114"/>
    <x v="114"/>
    <x v="43"/>
    <x v="43"/>
    <x v="43"/>
    <x v="14"/>
    <x v="287"/>
    <x v="208"/>
    <x v="77"/>
    <x v="83"/>
    <x v="160"/>
    <x v="14"/>
    <x v="5"/>
  </r>
  <r>
    <x v="0"/>
    <x v="114"/>
    <x v="114"/>
    <x v="30"/>
    <x v="30"/>
    <x v="30"/>
    <x v="14"/>
    <x v="287"/>
    <x v="208"/>
    <x v="77"/>
    <x v="83"/>
    <x v="160"/>
    <x v="14"/>
    <x v="5"/>
  </r>
  <r>
    <x v="0"/>
    <x v="114"/>
    <x v="114"/>
    <x v="26"/>
    <x v="26"/>
    <x v="26"/>
    <x v="14"/>
    <x v="287"/>
    <x v="208"/>
    <x v="77"/>
    <x v="83"/>
    <x v="160"/>
    <x v="14"/>
    <x v="5"/>
  </r>
  <r>
    <x v="0"/>
    <x v="114"/>
    <x v="114"/>
    <x v="19"/>
    <x v="19"/>
    <x v="19"/>
    <x v="14"/>
    <x v="287"/>
    <x v="208"/>
    <x v="48"/>
    <x v="428"/>
    <x v="211"/>
    <x v="274"/>
    <x v="5"/>
  </r>
  <r>
    <x v="0"/>
    <x v="114"/>
    <x v="114"/>
    <x v="34"/>
    <x v="34"/>
    <x v="34"/>
    <x v="14"/>
    <x v="287"/>
    <x v="208"/>
    <x v="77"/>
    <x v="83"/>
    <x v="160"/>
    <x v="14"/>
    <x v="5"/>
  </r>
  <r>
    <x v="0"/>
    <x v="114"/>
    <x v="114"/>
    <x v="7"/>
    <x v="7"/>
    <x v="7"/>
    <x v="14"/>
    <x v="287"/>
    <x v="208"/>
    <x v="77"/>
    <x v="83"/>
    <x v="160"/>
    <x v="14"/>
    <x v="5"/>
  </r>
  <r>
    <x v="0"/>
    <x v="114"/>
    <x v="114"/>
    <x v="27"/>
    <x v="27"/>
    <x v="27"/>
    <x v="14"/>
    <x v="287"/>
    <x v="208"/>
    <x v="48"/>
    <x v="428"/>
    <x v="211"/>
    <x v="274"/>
    <x v="5"/>
  </r>
  <r>
    <x v="0"/>
    <x v="114"/>
    <x v="114"/>
    <x v="21"/>
    <x v="21"/>
    <x v="21"/>
    <x v="14"/>
    <x v="287"/>
    <x v="208"/>
    <x v="77"/>
    <x v="83"/>
    <x v="160"/>
    <x v="14"/>
    <x v="5"/>
  </r>
  <r>
    <x v="0"/>
    <x v="115"/>
    <x v="115"/>
    <x v="28"/>
    <x v="28"/>
    <x v="28"/>
    <x v="0"/>
    <x v="247"/>
    <x v="735"/>
    <x v="52"/>
    <x v="741"/>
    <x v="132"/>
    <x v="612"/>
    <x v="5"/>
  </r>
  <r>
    <x v="0"/>
    <x v="115"/>
    <x v="115"/>
    <x v="3"/>
    <x v="3"/>
    <x v="3"/>
    <x v="0"/>
    <x v="247"/>
    <x v="735"/>
    <x v="65"/>
    <x v="742"/>
    <x v="163"/>
    <x v="570"/>
    <x v="5"/>
  </r>
  <r>
    <x v="0"/>
    <x v="115"/>
    <x v="115"/>
    <x v="0"/>
    <x v="0"/>
    <x v="0"/>
    <x v="2"/>
    <x v="250"/>
    <x v="733"/>
    <x v="52"/>
    <x v="741"/>
    <x v="211"/>
    <x v="274"/>
    <x v="4"/>
  </r>
  <r>
    <x v="0"/>
    <x v="115"/>
    <x v="115"/>
    <x v="4"/>
    <x v="4"/>
    <x v="4"/>
    <x v="3"/>
    <x v="252"/>
    <x v="106"/>
    <x v="77"/>
    <x v="83"/>
    <x v="163"/>
    <x v="570"/>
    <x v="5"/>
  </r>
  <r>
    <x v="0"/>
    <x v="115"/>
    <x v="115"/>
    <x v="5"/>
    <x v="5"/>
    <x v="5"/>
    <x v="3"/>
    <x v="252"/>
    <x v="106"/>
    <x v="48"/>
    <x v="743"/>
    <x v="160"/>
    <x v="446"/>
    <x v="5"/>
  </r>
  <r>
    <x v="0"/>
    <x v="115"/>
    <x v="115"/>
    <x v="41"/>
    <x v="41"/>
    <x v="41"/>
    <x v="3"/>
    <x v="252"/>
    <x v="106"/>
    <x v="77"/>
    <x v="83"/>
    <x v="160"/>
    <x v="446"/>
    <x v="5"/>
  </r>
  <r>
    <x v="0"/>
    <x v="115"/>
    <x v="115"/>
    <x v="6"/>
    <x v="6"/>
    <x v="6"/>
    <x v="3"/>
    <x v="252"/>
    <x v="106"/>
    <x v="48"/>
    <x v="743"/>
    <x v="160"/>
    <x v="446"/>
    <x v="5"/>
  </r>
  <r>
    <x v="0"/>
    <x v="115"/>
    <x v="115"/>
    <x v="30"/>
    <x v="30"/>
    <x v="30"/>
    <x v="3"/>
    <x v="252"/>
    <x v="106"/>
    <x v="48"/>
    <x v="743"/>
    <x v="160"/>
    <x v="446"/>
    <x v="5"/>
  </r>
  <r>
    <x v="0"/>
    <x v="115"/>
    <x v="115"/>
    <x v="1"/>
    <x v="1"/>
    <x v="1"/>
    <x v="3"/>
    <x v="252"/>
    <x v="106"/>
    <x v="64"/>
    <x v="429"/>
    <x v="211"/>
    <x v="274"/>
    <x v="5"/>
  </r>
  <r>
    <x v="0"/>
    <x v="115"/>
    <x v="115"/>
    <x v="27"/>
    <x v="27"/>
    <x v="27"/>
    <x v="3"/>
    <x v="252"/>
    <x v="106"/>
    <x v="77"/>
    <x v="83"/>
    <x v="163"/>
    <x v="570"/>
    <x v="5"/>
  </r>
  <r>
    <x v="0"/>
    <x v="115"/>
    <x v="115"/>
    <x v="8"/>
    <x v="8"/>
    <x v="8"/>
    <x v="10"/>
    <x v="287"/>
    <x v="220"/>
    <x v="48"/>
    <x v="743"/>
    <x v="211"/>
    <x v="274"/>
    <x v="5"/>
  </r>
  <r>
    <x v="0"/>
    <x v="115"/>
    <x v="115"/>
    <x v="49"/>
    <x v="49"/>
    <x v="49"/>
    <x v="10"/>
    <x v="287"/>
    <x v="220"/>
    <x v="77"/>
    <x v="83"/>
    <x v="160"/>
    <x v="446"/>
    <x v="5"/>
  </r>
  <r>
    <x v="0"/>
    <x v="115"/>
    <x v="115"/>
    <x v="32"/>
    <x v="32"/>
    <x v="32"/>
    <x v="10"/>
    <x v="287"/>
    <x v="220"/>
    <x v="77"/>
    <x v="83"/>
    <x v="160"/>
    <x v="446"/>
    <x v="5"/>
  </r>
  <r>
    <x v="0"/>
    <x v="115"/>
    <x v="115"/>
    <x v="33"/>
    <x v="33"/>
    <x v="33"/>
    <x v="10"/>
    <x v="287"/>
    <x v="220"/>
    <x v="48"/>
    <x v="743"/>
    <x v="211"/>
    <x v="274"/>
    <x v="5"/>
  </r>
  <r>
    <x v="0"/>
    <x v="115"/>
    <x v="115"/>
    <x v="35"/>
    <x v="35"/>
    <x v="35"/>
    <x v="10"/>
    <x v="287"/>
    <x v="220"/>
    <x v="48"/>
    <x v="743"/>
    <x v="211"/>
    <x v="274"/>
    <x v="5"/>
  </r>
  <r>
    <x v="0"/>
    <x v="115"/>
    <x v="115"/>
    <x v="61"/>
    <x v="61"/>
    <x v="61"/>
    <x v="10"/>
    <x v="287"/>
    <x v="220"/>
    <x v="77"/>
    <x v="83"/>
    <x v="160"/>
    <x v="446"/>
    <x v="5"/>
  </r>
  <r>
    <x v="0"/>
    <x v="115"/>
    <x v="115"/>
    <x v="48"/>
    <x v="48"/>
    <x v="48"/>
    <x v="10"/>
    <x v="287"/>
    <x v="220"/>
    <x v="77"/>
    <x v="83"/>
    <x v="211"/>
    <x v="274"/>
    <x v="4"/>
  </r>
  <r>
    <x v="0"/>
    <x v="115"/>
    <x v="115"/>
    <x v="13"/>
    <x v="13"/>
    <x v="13"/>
    <x v="10"/>
    <x v="287"/>
    <x v="220"/>
    <x v="48"/>
    <x v="743"/>
    <x v="211"/>
    <x v="274"/>
    <x v="5"/>
  </r>
  <r>
    <x v="0"/>
    <x v="115"/>
    <x v="115"/>
    <x v="11"/>
    <x v="11"/>
    <x v="11"/>
    <x v="10"/>
    <x v="287"/>
    <x v="220"/>
    <x v="48"/>
    <x v="743"/>
    <x v="211"/>
    <x v="274"/>
    <x v="5"/>
  </r>
  <r>
    <x v="0"/>
    <x v="115"/>
    <x v="115"/>
    <x v="2"/>
    <x v="2"/>
    <x v="2"/>
    <x v="10"/>
    <x v="287"/>
    <x v="220"/>
    <x v="77"/>
    <x v="83"/>
    <x v="211"/>
    <x v="274"/>
    <x v="5"/>
  </r>
  <r>
    <x v="0"/>
    <x v="115"/>
    <x v="115"/>
    <x v="31"/>
    <x v="31"/>
    <x v="31"/>
    <x v="10"/>
    <x v="287"/>
    <x v="220"/>
    <x v="77"/>
    <x v="83"/>
    <x v="160"/>
    <x v="446"/>
    <x v="5"/>
  </r>
  <r>
    <x v="0"/>
    <x v="115"/>
    <x v="115"/>
    <x v="10"/>
    <x v="10"/>
    <x v="10"/>
    <x v="10"/>
    <x v="287"/>
    <x v="220"/>
    <x v="48"/>
    <x v="743"/>
    <x v="211"/>
    <x v="274"/>
    <x v="5"/>
  </r>
  <r>
    <x v="0"/>
    <x v="115"/>
    <x v="115"/>
    <x v="26"/>
    <x v="26"/>
    <x v="26"/>
    <x v="10"/>
    <x v="287"/>
    <x v="220"/>
    <x v="77"/>
    <x v="83"/>
    <x v="160"/>
    <x v="446"/>
    <x v="5"/>
  </r>
  <r>
    <x v="0"/>
    <x v="115"/>
    <x v="115"/>
    <x v="34"/>
    <x v="34"/>
    <x v="34"/>
    <x v="10"/>
    <x v="287"/>
    <x v="220"/>
    <x v="77"/>
    <x v="83"/>
    <x v="160"/>
    <x v="446"/>
    <x v="5"/>
  </r>
  <r>
    <x v="0"/>
    <x v="115"/>
    <x v="115"/>
    <x v="7"/>
    <x v="7"/>
    <x v="7"/>
    <x v="10"/>
    <x v="287"/>
    <x v="220"/>
    <x v="77"/>
    <x v="83"/>
    <x v="211"/>
    <x v="274"/>
    <x v="4"/>
  </r>
  <r>
    <x v="0"/>
    <x v="116"/>
    <x v="116"/>
    <x v="0"/>
    <x v="0"/>
    <x v="0"/>
    <x v="0"/>
    <x v="258"/>
    <x v="736"/>
    <x v="34"/>
    <x v="744"/>
    <x v="163"/>
    <x v="100"/>
    <x v="5"/>
  </r>
  <r>
    <x v="0"/>
    <x v="116"/>
    <x v="116"/>
    <x v="6"/>
    <x v="6"/>
    <x v="6"/>
    <x v="1"/>
    <x v="267"/>
    <x v="737"/>
    <x v="78"/>
    <x v="500"/>
    <x v="210"/>
    <x v="485"/>
    <x v="5"/>
  </r>
  <r>
    <x v="0"/>
    <x v="116"/>
    <x v="116"/>
    <x v="3"/>
    <x v="3"/>
    <x v="3"/>
    <x v="1"/>
    <x v="267"/>
    <x v="737"/>
    <x v="65"/>
    <x v="678"/>
    <x v="215"/>
    <x v="484"/>
    <x v="5"/>
  </r>
  <r>
    <x v="0"/>
    <x v="116"/>
    <x v="116"/>
    <x v="5"/>
    <x v="5"/>
    <x v="5"/>
    <x v="3"/>
    <x v="263"/>
    <x v="570"/>
    <x v="53"/>
    <x v="148"/>
    <x v="210"/>
    <x v="485"/>
    <x v="5"/>
  </r>
  <r>
    <x v="0"/>
    <x v="116"/>
    <x v="116"/>
    <x v="1"/>
    <x v="1"/>
    <x v="1"/>
    <x v="3"/>
    <x v="263"/>
    <x v="570"/>
    <x v="58"/>
    <x v="681"/>
    <x v="211"/>
    <x v="274"/>
    <x v="5"/>
  </r>
  <r>
    <x v="0"/>
    <x v="116"/>
    <x v="116"/>
    <x v="30"/>
    <x v="30"/>
    <x v="30"/>
    <x v="5"/>
    <x v="269"/>
    <x v="302"/>
    <x v="82"/>
    <x v="682"/>
    <x v="163"/>
    <x v="100"/>
    <x v="5"/>
  </r>
  <r>
    <x v="0"/>
    <x v="116"/>
    <x v="116"/>
    <x v="4"/>
    <x v="4"/>
    <x v="4"/>
    <x v="6"/>
    <x v="247"/>
    <x v="174"/>
    <x v="52"/>
    <x v="745"/>
    <x v="132"/>
    <x v="521"/>
    <x v="5"/>
  </r>
  <r>
    <x v="0"/>
    <x v="116"/>
    <x v="116"/>
    <x v="28"/>
    <x v="28"/>
    <x v="28"/>
    <x v="7"/>
    <x v="249"/>
    <x v="624"/>
    <x v="64"/>
    <x v="680"/>
    <x v="209"/>
    <x v="433"/>
    <x v="5"/>
  </r>
  <r>
    <x v="0"/>
    <x v="116"/>
    <x v="116"/>
    <x v="14"/>
    <x v="14"/>
    <x v="14"/>
    <x v="7"/>
    <x v="249"/>
    <x v="624"/>
    <x v="77"/>
    <x v="83"/>
    <x v="209"/>
    <x v="433"/>
    <x v="5"/>
  </r>
  <r>
    <x v="0"/>
    <x v="116"/>
    <x v="116"/>
    <x v="11"/>
    <x v="11"/>
    <x v="11"/>
    <x v="9"/>
    <x v="250"/>
    <x v="738"/>
    <x v="52"/>
    <x v="745"/>
    <x v="160"/>
    <x v="197"/>
    <x v="5"/>
  </r>
  <r>
    <x v="0"/>
    <x v="116"/>
    <x v="116"/>
    <x v="34"/>
    <x v="34"/>
    <x v="34"/>
    <x v="9"/>
    <x v="250"/>
    <x v="738"/>
    <x v="77"/>
    <x v="83"/>
    <x v="211"/>
    <x v="274"/>
    <x v="5"/>
  </r>
  <r>
    <x v="0"/>
    <x v="116"/>
    <x v="116"/>
    <x v="9"/>
    <x v="9"/>
    <x v="9"/>
    <x v="9"/>
    <x v="250"/>
    <x v="738"/>
    <x v="64"/>
    <x v="680"/>
    <x v="211"/>
    <x v="274"/>
    <x v="5"/>
  </r>
  <r>
    <x v="0"/>
    <x v="116"/>
    <x v="116"/>
    <x v="18"/>
    <x v="18"/>
    <x v="18"/>
    <x v="12"/>
    <x v="251"/>
    <x v="69"/>
    <x v="48"/>
    <x v="317"/>
    <x v="163"/>
    <x v="100"/>
    <x v="5"/>
  </r>
  <r>
    <x v="0"/>
    <x v="116"/>
    <x v="116"/>
    <x v="2"/>
    <x v="2"/>
    <x v="2"/>
    <x v="12"/>
    <x v="251"/>
    <x v="69"/>
    <x v="52"/>
    <x v="745"/>
    <x v="211"/>
    <x v="274"/>
    <x v="5"/>
  </r>
  <r>
    <x v="0"/>
    <x v="116"/>
    <x v="116"/>
    <x v="27"/>
    <x v="27"/>
    <x v="27"/>
    <x v="12"/>
    <x v="251"/>
    <x v="69"/>
    <x v="64"/>
    <x v="680"/>
    <x v="160"/>
    <x v="197"/>
    <x v="5"/>
  </r>
  <r>
    <x v="0"/>
    <x v="116"/>
    <x v="116"/>
    <x v="60"/>
    <x v="60"/>
    <x v="60"/>
    <x v="15"/>
    <x v="252"/>
    <x v="85"/>
    <x v="77"/>
    <x v="83"/>
    <x v="160"/>
    <x v="197"/>
    <x v="5"/>
  </r>
  <r>
    <x v="0"/>
    <x v="116"/>
    <x v="116"/>
    <x v="8"/>
    <x v="8"/>
    <x v="8"/>
    <x v="15"/>
    <x v="252"/>
    <x v="85"/>
    <x v="77"/>
    <x v="83"/>
    <x v="163"/>
    <x v="100"/>
    <x v="5"/>
  </r>
  <r>
    <x v="0"/>
    <x v="116"/>
    <x v="116"/>
    <x v="38"/>
    <x v="38"/>
    <x v="38"/>
    <x v="15"/>
    <x v="252"/>
    <x v="85"/>
    <x v="48"/>
    <x v="317"/>
    <x v="160"/>
    <x v="197"/>
    <x v="5"/>
  </r>
  <r>
    <x v="0"/>
    <x v="116"/>
    <x v="116"/>
    <x v="44"/>
    <x v="44"/>
    <x v="44"/>
    <x v="15"/>
    <x v="252"/>
    <x v="85"/>
    <x v="77"/>
    <x v="83"/>
    <x v="163"/>
    <x v="100"/>
    <x v="5"/>
  </r>
  <r>
    <x v="0"/>
    <x v="116"/>
    <x v="116"/>
    <x v="13"/>
    <x v="13"/>
    <x v="13"/>
    <x v="15"/>
    <x v="252"/>
    <x v="85"/>
    <x v="48"/>
    <x v="317"/>
    <x v="160"/>
    <x v="197"/>
    <x v="5"/>
  </r>
  <r>
    <x v="0"/>
    <x v="116"/>
    <x v="116"/>
    <x v="19"/>
    <x v="19"/>
    <x v="19"/>
    <x v="15"/>
    <x v="252"/>
    <x v="85"/>
    <x v="64"/>
    <x v="680"/>
    <x v="211"/>
    <x v="274"/>
    <x v="5"/>
  </r>
  <r>
    <x v="0"/>
    <x v="116"/>
    <x v="116"/>
    <x v="7"/>
    <x v="7"/>
    <x v="7"/>
    <x v="15"/>
    <x v="252"/>
    <x v="85"/>
    <x v="64"/>
    <x v="680"/>
    <x v="211"/>
    <x v="274"/>
    <x v="5"/>
  </r>
  <r>
    <x v="0"/>
    <x v="117"/>
    <x v="117"/>
    <x v="5"/>
    <x v="5"/>
    <x v="5"/>
    <x v="0"/>
    <x v="268"/>
    <x v="739"/>
    <x v="51"/>
    <x v="746"/>
    <x v="210"/>
    <x v="545"/>
    <x v="5"/>
  </r>
  <r>
    <x v="0"/>
    <x v="117"/>
    <x v="117"/>
    <x v="3"/>
    <x v="3"/>
    <x v="3"/>
    <x v="0"/>
    <x v="268"/>
    <x v="739"/>
    <x v="65"/>
    <x v="747"/>
    <x v="132"/>
    <x v="522"/>
    <x v="5"/>
  </r>
  <r>
    <x v="0"/>
    <x v="117"/>
    <x v="117"/>
    <x v="6"/>
    <x v="6"/>
    <x v="6"/>
    <x v="2"/>
    <x v="269"/>
    <x v="635"/>
    <x v="52"/>
    <x v="748"/>
    <x v="210"/>
    <x v="545"/>
    <x v="5"/>
  </r>
  <r>
    <x v="0"/>
    <x v="117"/>
    <x v="117"/>
    <x v="0"/>
    <x v="0"/>
    <x v="0"/>
    <x v="3"/>
    <x v="247"/>
    <x v="740"/>
    <x v="53"/>
    <x v="749"/>
    <x v="211"/>
    <x v="274"/>
    <x v="5"/>
  </r>
  <r>
    <x v="0"/>
    <x v="117"/>
    <x v="117"/>
    <x v="1"/>
    <x v="1"/>
    <x v="1"/>
    <x v="4"/>
    <x v="249"/>
    <x v="741"/>
    <x v="65"/>
    <x v="747"/>
    <x v="211"/>
    <x v="274"/>
    <x v="5"/>
  </r>
  <r>
    <x v="0"/>
    <x v="117"/>
    <x v="117"/>
    <x v="9"/>
    <x v="9"/>
    <x v="9"/>
    <x v="4"/>
    <x v="249"/>
    <x v="741"/>
    <x v="65"/>
    <x v="747"/>
    <x v="211"/>
    <x v="274"/>
    <x v="5"/>
  </r>
  <r>
    <x v="0"/>
    <x v="117"/>
    <x v="117"/>
    <x v="8"/>
    <x v="8"/>
    <x v="8"/>
    <x v="6"/>
    <x v="250"/>
    <x v="294"/>
    <x v="64"/>
    <x v="114"/>
    <x v="163"/>
    <x v="93"/>
    <x v="5"/>
  </r>
  <r>
    <x v="0"/>
    <x v="117"/>
    <x v="117"/>
    <x v="4"/>
    <x v="4"/>
    <x v="4"/>
    <x v="7"/>
    <x v="251"/>
    <x v="742"/>
    <x v="48"/>
    <x v="750"/>
    <x v="163"/>
    <x v="93"/>
    <x v="5"/>
  </r>
  <r>
    <x v="0"/>
    <x v="117"/>
    <x v="117"/>
    <x v="35"/>
    <x v="35"/>
    <x v="35"/>
    <x v="7"/>
    <x v="251"/>
    <x v="742"/>
    <x v="64"/>
    <x v="114"/>
    <x v="160"/>
    <x v="320"/>
    <x v="5"/>
  </r>
  <r>
    <x v="0"/>
    <x v="117"/>
    <x v="117"/>
    <x v="30"/>
    <x v="30"/>
    <x v="30"/>
    <x v="7"/>
    <x v="251"/>
    <x v="742"/>
    <x v="52"/>
    <x v="748"/>
    <x v="211"/>
    <x v="274"/>
    <x v="5"/>
  </r>
  <r>
    <x v="0"/>
    <x v="117"/>
    <x v="117"/>
    <x v="14"/>
    <x v="14"/>
    <x v="14"/>
    <x v="7"/>
    <x v="251"/>
    <x v="742"/>
    <x v="77"/>
    <x v="83"/>
    <x v="211"/>
    <x v="274"/>
    <x v="5"/>
  </r>
  <r>
    <x v="0"/>
    <x v="117"/>
    <x v="117"/>
    <x v="28"/>
    <x v="28"/>
    <x v="28"/>
    <x v="11"/>
    <x v="252"/>
    <x v="636"/>
    <x v="77"/>
    <x v="83"/>
    <x v="163"/>
    <x v="93"/>
    <x v="5"/>
  </r>
  <r>
    <x v="0"/>
    <x v="117"/>
    <x v="117"/>
    <x v="41"/>
    <x v="41"/>
    <x v="41"/>
    <x v="11"/>
    <x v="252"/>
    <x v="636"/>
    <x v="77"/>
    <x v="83"/>
    <x v="211"/>
    <x v="274"/>
    <x v="5"/>
  </r>
  <r>
    <x v="0"/>
    <x v="117"/>
    <x v="117"/>
    <x v="25"/>
    <x v="25"/>
    <x v="25"/>
    <x v="11"/>
    <x v="252"/>
    <x v="636"/>
    <x v="77"/>
    <x v="83"/>
    <x v="163"/>
    <x v="93"/>
    <x v="5"/>
  </r>
  <r>
    <x v="0"/>
    <x v="117"/>
    <x v="117"/>
    <x v="48"/>
    <x v="48"/>
    <x v="48"/>
    <x v="11"/>
    <x v="252"/>
    <x v="636"/>
    <x v="77"/>
    <x v="83"/>
    <x v="160"/>
    <x v="320"/>
    <x v="4"/>
  </r>
  <r>
    <x v="0"/>
    <x v="117"/>
    <x v="117"/>
    <x v="2"/>
    <x v="2"/>
    <x v="2"/>
    <x v="11"/>
    <x v="252"/>
    <x v="636"/>
    <x v="77"/>
    <x v="83"/>
    <x v="163"/>
    <x v="93"/>
    <x v="5"/>
  </r>
  <r>
    <x v="0"/>
    <x v="117"/>
    <x v="117"/>
    <x v="7"/>
    <x v="7"/>
    <x v="7"/>
    <x v="11"/>
    <x v="252"/>
    <x v="636"/>
    <x v="77"/>
    <x v="83"/>
    <x v="211"/>
    <x v="274"/>
    <x v="5"/>
  </r>
  <r>
    <x v="0"/>
    <x v="117"/>
    <x v="117"/>
    <x v="11"/>
    <x v="11"/>
    <x v="11"/>
    <x v="17"/>
    <x v="287"/>
    <x v="54"/>
    <x v="48"/>
    <x v="750"/>
    <x v="211"/>
    <x v="274"/>
    <x v="5"/>
  </r>
  <r>
    <x v="0"/>
    <x v="117"/>
    <x v="117"/>
    <x v="26"/>
    <x v="26"/>
    <x v="26"/>
    <x v="17"/>
    <x v="287"/>
    <x v="54"/>
    <x v="77"/>
    <x v="83"/>
    <x v="160"/>
    <x v="320"/>
    <x v="5"/>
  </r>
  <r>
    <x v="0"/>
    <x v="117"/>
    <x v="117"/>
    <x v="34"/>
    <x v="34"/>
    <x v="34"/>
    <x v="17"/>
    <x v="287"/>
    <x v="54"/>
    <x v="77"/>
    <x v="83"/>
    <x v="211"/>
    <x v="274"/>
    <x v="5"/>
  </r>
  <r>
    <x v="0"/>
    <x v="118"/>
    <x v="118"/>
    <x v="0"/>
    <x v="0"/>
    <x v="0"/>
    <x v="0"/>
    <x v="267"/>
    <x v="743"/>
    <x v="111"/>
    <x v="751"/>
    <x v="160"/>
    <x v="186"/>
    <x v="5"/>
  </r>
  <r>
    <x v="0"/>
    <x v="118"/>
    <x v="118"/>
    <x v="4"/>
    <x v="4"/>
    <x v="4"/>
    <x v="1"/>
    <x v="264"/>
    <x v="744"/>
    <x v="64"/>
    <x v="752"/>
    <x v="197"/>
    <x v="613"/>
    <x v="5"/>
  </r>
  <r>
    <x v="0"/>
    <x v="118"/>
    <x v="118"/>
    <x v="3"/>
    <x v="3"/>
    <x v="3"/>
    <x v="2"/>
    <x v="280"/>
    <x v="745"/>
    <x v="52"/>
    <x v="753"/>
    <x v="190"/>
    <x v="526"/>
    <x v="5"/>
  </r>
  <r>
    <x v="0"/>
    <x v="118"/>
    <x v="118"/>
    <x v="1"/>
    <x v="1"/>
    <x v="1"/>
    <x v="3"/>
    <x v="268"/>
    <x v="671"/>
    <x v="96"/>
    <x v="754"/>
    <x v="211"/>
    <x v="274"/>
    <x v="5"/>
  </r>
  <r>
    <x v="0"/>
    <x v="118"/>
    <x v="118"/>
    <x v="5"/>
    <x v="5"/>
    <x v="5"/>
    <x v="4"/>
    <x v="250"/>
    <x v="91"/>
    <x v="52"/>
    <x v="753"/>
    <x v="160"/>
    <x v="186"/>
    <x v="5"/>
  </r>
  <r>
    <x v="0"/>
    <x v="118"/>
    <x v="118"/>
    <x v="6"/>
    <x v="6"/>
    <x v="6"/>
    <x v="4"/>
    <x v="250"/>
    <x v="91"/>
    <x v="77"/>
    <x v="83"/>
    <x v="132"/>
    <x v="485"/>
    <x v="5"/>
  </r>
  <r>
    <x v="0"/>
    <x v="118"/>
    <x v="118"/>
    <x v="30"/>
    <x v="30"/>
    <x v="30"/>
    <x v="4"/>
    <x v="250"/>
    <x v="91"/>
    <x v="52"/>
    <x v="753"/>
    <x v="160"/>
    <x v="186"/>
    <x v="5"/>
  </r>
  <r>
    <x v="0"/>
    <x v="118"/>
    <x v="118"/>
    <x v="8"/>
    <x v="8"/>
    <x v="8"/>
    <x v="7"/>
    <x v="252"/>
    <x v="179"/>
    <x v="77"/>
    <x v="83"/>
    <x v="163"/>
    <x v="183"/>
    <x v="5"/>
  </r>
  <r>
    <x v="0"/>
    <x v="118"/>
    <x v="118"/>
    <x v="28"/>
    <x v="28"/>
    <x v="28"/>
    <x v="7"/>
    <x v="252"/>
    <x v="179"/>
    <x v="48"/>
    <x v="621"/>
    <x v="160"/>
    <x v="186"/>
    <x v="5"/>
  </r>
  <r>
    <x v="0"/>
    <x v="118"/>
    <x v="118"/>
    <x v="32"/>
    <x v="32"/>
    <x v="32"/>
    <x v="7"/>
    <x v="252"/>
    <x v="179"/>
    <x v="77"/>
    <x v="83"/>
    <x v="163"/>
    <x v="183"/>
    <x v="5"/>
  </r>
  <r>
    <x v="0"/>
    <x v="118"/>
    <x v="118"/>
    <x v="52"/>
    <x v="52"/>
    <x v="52"/>
    <x v="7"/>
    <x v="252"/>
    <x v="179"/>
    <x v="77"/>
    <x v="83"/>
    <x v="160"/>
    <x v="186"/>
    <x v="5"/>
  </r>
  <r>
    <x v="0"/>
    <x v="118"/>
    <x v="118"/>
    <x v="48"/>
    <x v="48"/>
    <x v="48"/>
    <x v="7"/>
    <x v="252"/>
    <x v="179"/>
    <x v="77"/>
    <x v="83"/>
    <x v="163"/>
    <x v="183"/>
    <x v="5"/>
  </r>
  <r>
    <x v="0"/>
    <x v="118"/>
    <x v="118"/>
    <x v="18"/>
    <x v="18"/>
    <x v="18"/>
    <x v="7"/>
    <x v="252"/>
    <x v="179"/>
    <x v="77"/>
    <x v="83"/>
    <x v="163"/>
    <x v="183"/>
    <x v="5"/>
  </r>
  <r>
    <x v="0"/>
    <x v="118"/>
    <x v="118"/>
    <x v="13"/>
    <x v="13"/>
    <x v="13"/>
    <x v="7"/>
    <x v="252"/>
    <x v="179"/>
    <x v="64"/>
    <x v="752"/>
    <x v="211"/>
    <x v="274"/>
    <x v="5"/>
  </r>
  <r>
    <x v="0"/>
    <x v="118"/>
    <x v="118"/>
    <x v="11"/>
    <x v="11"/>
    <x v="11"/>
    <x v="7"/>
    <x v="252"/>
    <x v="179"/>
    <x v="64"/>
    <x v="752"/>
    <x v="211"/>
    <x v="274"/>
    <x v="5"/>
  </r>
  <r>
    <x v="0"/>
    <x v="118"/>
    <x v="118"/>
    <x v="2"/>
    <x v="2"/>
    <x v="2"/>
    <x v="7"/>
    <x v="252"/>
    <x v="179"/>
    <x v="64"/>
    <x v="752"/>
    <x v="211"/>
    <x v="274"/>
    <x v="5"/>
  </r>
  <r>
    <x v="0"/>
    <x v="118"/>
    <x v="118"/>
    <x v="27"/>
    <x v="27"/>
    <x v="27"/>
    <x v="7"/>
    <x v="252"/>
    <x v="179"/>
    <x v="77"/>
    <x v="83"/>
    <x v="163"/>
    <x v="183"/>
    <x v="5"/>
  </r>
  <r>
    <x v="0"/>
    <x v="118"/>
    <x v="118"/>
    <x v="21"/>
    <x v="21"/>
    <x v="21"/>
    <x v="7"/>
    <x v="252"/>
    <x v="179"/>
    <x v="48"/>
    <x v="621"/>
    <x v="160"/>
    <x v="186"/>
    <x v="5"/>
  </r>
  <r>
    <x v="0"/>
    <x v="118"/>
    <x v="118"/>
    <x v="49"/>
    <x v="49"/>
    <x v="49"/>
    <x v="18"/>
    <x v="287"/>
    <x v="746"/>
    <x v="77"/>
    <x v="83"/>
    <x v="160"/>
    <x v="186"/>
    <x v="5"/>
  </r>
  <r>
    <x v="0"/>
    <x v="118"/>
    <x v="118"/>
    <x v="38"/>
    <x v="38"/>
    <x v="38"/>
    <x v="18"/>
    <x v="287"/>
    <x v="746"/>
    <x v="77"/>
    <x v="83"/>
    <x v="160"/>
    <x v="186"/>
    <x v="5"/>
  </r>
  <r>
    <x v="0"/>
    <x v="118"/>
    <x v="118"/>
    <x v="51"/>
    <x v="51"/>
    <x v="51"/>
    <x v="18"/>
    <x v="287"/>
    <x v="746"/>
    <x v="77"/>
    <x v="83"/>
    <x v="160"/>
    <x v="186"/>
    <x v="5"/>
  </r>
  <r>
    <x v="0"/>
    <x v="118"/>
    <x v="118"/>
    <x v="44"/>
    <x v="44"/>
    <x v="44"/>
    <x v="18"/>
    <x v="287"/>
    <x v="746"/>
    <x v="77"/>
    <x v="83"/>
    <x v="160"/>
    <x v="186"/>
    <x v="5"/>
  </r>
  <r>
    <x v="0"/>
    <x v="118"/>
    <x v="118"/>
    <x v="41"/>
    <x v="41"/>
    <x v="41"/>
    <x v="18"/>
    <x v="287"/>
    <x v="746"/>
    <x v="77"/>
    <x v="83"/>
    <x v="211"/>
    <x v="274"/>
    <x v="5"/>
  </r>
  <r>
    <x v="0"/>
    <x v="118"/>
    <x v="118"/>
    <x v="64"/>
    <x v="64"/>
    <x v="64"/>
    <x v="18"/>
    <x v="287"/>
    <x v="746"/>
    <x v="48"/>
    <x v="621"/>
    <x v="211"/>
    <x v="274"/>
    <x v="5"/>
  </r>
  <r>
    <x v="0"/>
    <x v="118"/>
    <x v="118"/>
    <x v="35"/>
    <x v="35"/>
    <x v="35"/>
    <x v="18"/>
    <x v="287"/>
    <x v="746"/>
    <x v="48"/>
    <x v="621"/>
    <x v="211"/>
    <x v="274"/>
    <x v="5"/>
  </r>
  <r>
    <x v="0"/>
    <x v="118"/>
    <x v="118"/>
    <x v="17"/>
    <x v="17"/>
    <x v="17"/>
    <x v="18"/>
    <x v="287"/>
    <x v="746"/>
    <x v="77"/>
    <x v="83"/>
    <x v="160"/>
    <x v="186"/>
    <x v="5"/>
  </r>
  <r>
    <x v="0"/>
    <x v="118"/>
    <x v="118"/>
    <x v="15"/>
    <x v="15"/>
    <x v="15"/>
    <x v="18"/>
    <x v="287"/>
    <x v="746"/>
    <x v="77"/>
    <x v="83"/>
    <x v="160"/>
    <x v="186"/>
    <x v="5"/>
  </r>
  <r>
    <x v="0"/>
    <x v="118"/>
    <x v="118"/>
    <x v="16"/>
    <x v="16"/>
    <x v="16"/>
    <x v="18"/>
    <x v="287"/>
    <x v="746"/>
    <x v="48"/>
    <x v="621"/>
    <x v="211"/>
    <x v="274"/>
    <x v="5"/>
  </r>
  <r>
    <x v="0"/>
    <x v="118"/>
    <x v="118"/>
    <x v="31"/>
    <x v="31"/>
    <x v="31"/>
    <x v="18"/>
    <x v="287"/>
    <x v="746"/>
    <x v="48"/>
    <x v="621"/>
    <x v="211"/>
    <x v="274"/>
    <x v="5"/>
  </r>
  <r>
    <x v="0"/>
    <x v="118"/>
    <x v="118"/>
    <x v="12"/>
    <x v="12"/>
    <x v="12"/>
    <x v="18"/>
    <x v="287"/>
    <x v="746"/>
    <x v="77"/>
    <x v="83"/>
    <x v="160"/>
    <x v="186"/>
    <x v="5"/>
  </r>
  <r>
    <x v="0"/>
    <x v="118"/>
    <x v="118"/>
    <x v="26"/>
    <x v="26"/>
    <x v="26"/>
    <x v="18"/>
    <x v="287"/>
    <x v="746"/>
    <x v="77"/>
    <x v="83"/>
    <x v="211"/>
    <x v="274"/>
    <x v="5"/>
  </r>
  <r>
    <x v="0"/>
    <x v="118"/>
    <x v="118"/>
    <x v="19"/>
    <x v="19"/>
    <x v="19"/>
    <x v="18"/>
    <x v="287"/>
    <x v="746"/>
    <x v="48"/>
    <x v="621"/>
    <x v="211"/>
    <x v="274"/>
    <x v="5"/>
  </r>
  <r>
    <x v="0"/>
    <x v="118"/>
    <x v="118"/>
    <x v="7"/>
    <x v="7"/>
    <x v="7"/>
    <x v="18"/>
    <x v="287"/>
    <x v="746"/>
    <x v="48"/>
    <x v="621"/>
    <x v="211"/>
    <x v="274"/>
    <x v="5"/>
  </r>
  <r>
    <x v="0"/>
    <x v="118"/>
    <x v="118"/>
    <x v="36"/>
    <x v="36"/>
    <x v="36"/>
    <x v="18"/>
    <x v="287"/>
    <x v="746"/>
    <x v="77"/>
    <x v="83"/>
    <x v="160"/>
    <x v="186"/>
    <x v="5"/>
  </r>
  <r>
    <x v="0"/>
    <x v="118"/>
    <x v="118"/>
    <x v="29"/>
    <x v="29"/>
    <x v="29"/>
    <x v="18"/>
    <x v="287"/>
    <x v="746"/>
    <x v="48"/>
    <x v="621"/>
    <x v="211"/>
    <x v="274"/>
    <x v="5"/>
  </r>
  <r>
    <x v="0"/>
    <x v="119"/>
    <x v="119"/>
    <x v="0"/>
    <x v="0"/>
    <x v="0"/>
    <x v="0"/>
    <x v="196"/>
    <x v="652"/>
    <x v="85"/>
    <x v="755"/>
    <x v="209"/>
    <x v="15"/>
    <x v="5"/>
  </r>
  <r>
    <x v="0"/>
    <x v="119"/>
    <x v="119"/>
    <x v="1"/>
    <x v="1"/>
    <x v="1"/>
    <x v="1"/>
    <x v="139"/>
    <x v="647"/>
    <x v="166"/>
    <x v="648"/>
    <x v="211"/>
    <x v="274"/>
    <x v="5"/>
  </r>
  <r>
    <x v="0"/>
    <x v="119"/>
    <x v="119"/>
    <x v="6"/>
    <x v="6"/>
    <x v="6"/>
    <x v="2"/>
    <x v="164"/>
    <x v="747"/>
    <x v="58"/>
    <x v="137"/>
    <x v="215"/>
    <x v="614"/>
    <x v="5"/>
  </r>
  <r>
    <x v="0"/>
    <x v="119"/>
    <x v="119"/>
    <x v="3"/>
    <x v="3"/>
    <x v="3"/>
    <x v="2"/>
    <x v="164"/>
    <x v="747"/>
    <x v="78"/>
    <x v="756"/>
    <x v="212"/>
    <x v="593"/>
    <x v="5"/>
  </r>
  <r>
    <x v="0"/>
    <x v="119"/>
    <x v="119"/>
    <x v="30"/>
    <x v="30"/>
    <x v="30"/>
    <x v="4"/>
    <x v="258"/>
    <x v="748"/>
    <x v="34"/>
    <x v="757"/>
    <x v="163"/>
    <x v="146"/>
    <x v="5"/>
  </r>
  <r>
    <x v="0"/>
    <x v="119"/>
    <x v="119"/>
    <x v="5"/>
    <x v="5"/>
    <x v="5"/>
    <x v="5"/>
    <x v="259"/>
    <x v="749"/>
    <x v="58"/>
    <x v="137"/>
    <x v="189"/>
    <x v="594"/>
    <x v="5"/>
  </r>
  <r>
    <x v="0"/>
    <x v="119"/>
    <x v="119"/>
    <x v="2"/>
    <x v="2"/>
    <x v="2"/>
    <x v="6"/>
    <x v="267"/>
    <x v="589"/>
    <x v="38"/>
    <x v="758"/>
    <x v="160"/>
    <x v="393"/>
    <x v="5"/>
  </r>
  <r>
    <x v="0"/>
    <x v="119"/>
    <x v="119"/>
    <x v="4"/>
    <x v="4"/>
    <x v="4"/>
    <x v="7"/>
    <x v="246"/>
    <x v="399"/>
    <x v="65"/>
    <x v="434"/>
    <x v="206"/>
    <x v="75"/>
    <x v="5"/>
  </r>
  <r>
    <x v="0"/>
    <x v="119"/>
    <x v="119"/>
    <x v="8"/>
    <x v="8"/>
    <x v="8"/>
    <x v="8"/>
    <x v="268"/>
    <x v="65"/>
    <x v="65"/>
    <x v="434"/>
    <x v="132"/>
    <x v="615"/>
    <x v="5"/>
  </r>
  <r>
    <x v="0"/>
    <x v="119"/>
    <x v="119"/>
    <x v="28"/>
    <x v="28"/>
    <x v="28"/>
    <x v="9"/>
    <x v="247"/>
    <x v="68"/>
    <x v="48"/>
    <x v="249"/>
    <x v="189"/>
    <x v="594"/>
    <x v="5"/>
  </r>
  <r>
    <x v="0"/>
    <x v="119"/>
    <x v="119"/>
    <x v="17"/>
    <x v="17"/>
    <x v="17"/>
    <x v="9"/>
    <x v="247"/>
    <x v="68"/>
    <x v="64"/>
    <x v="67"/>
    <x v="210"/>
    <x v="616"/>
    <x v="5"/>
  </r>
  <r>
    <x v="0"/>
    <x v="119"/>
    <x v="119"/>
    <x v="13"/>
    <x v="13"/>
    <x v="13"/>
    <x v="9"/>
    <x v="247"/>
    <x v="68"/>
    <x v="51"/>
    <x v="207"/>
    <x v="209"/>
    <x v="15"/>
    <x v="5"/>
  </r>
  <r>
    <x v="0"/>
    <x v="119"/>
    <x v="119"/>
    <x v="9"/>
    <x v="9"/>
    <x v="9"/>
    <x v="12"/>
    <x v="248"/>
    <x v="206"/>
    <x v="52"/>
    <x v="237"/>
    <x v="160"/>
    <x v="393"/>
    <x v="5"/>
  </r>
  <r>
    <x v="0"/>
    <x v="119"/>
    <x v="119"/>
    <x v="7"/>
    <x v="7"/>
    <x v="7"/>
    <x v="12"/>
    <x v="248"/>
    <x v="206"/>
    <x v="82"/>
    <x v="474"/>
    <x v="211"/>
    <x v="274"/>
    <x v="5"/>
  </r>
  <r>
    <x v="0"/>
    <x v="119"/>
    <x v="119"/>
    <x v="11"/>
    <x v="11"/>
    <x v="11"/>
    <x v="14"/>
    <x v="249"/>
    <x v="138"/>
    <x v="64"/>
    <x v="67"/>
    <x v="209"/>
    <x v="15"/>
    <x v="5"/>
  </r>
  <r>
    <x v="0"/>
    <x v="119"/>
    <x v="119"/>
    <x v="14"/>
    <x v="14"/>
    <x v="14"/>
    <x v="14"/>
    <x v="249"/>
    <x v="138"/>
    <x v="77"/>
    <x v="83"/>
    <x v="160"/>
    <x v="393"/>
    <x v="4"/>
  </r>
  <r>
    <x v="0"/>
    <x v="119"/>
    <x v="119"/>
    <x v="31"/>
    <x v="31"/>
    <x v="31"/>
    <x v="16"/>
    <x v="250"/>
    <x v="125"/>
    <x v="64"/>
    <x v="67"/>
    <x v="163"/>
    <x v="146"/>
    <x v="5"/>
  </r>
  <r>
    <x v="0"/>
    <x v="119"/>
    <x v="119"/>
    <x v="10"/>
    <x v="10"/>
    <x v="10"/>
    <x v="16"/>
    <x v="250"/>
    <x v="125"/>
    <x v="51"/>
    <x v="207"/>
    <x v="211"/>
    <x v="274"/>
    <x v="5"/>
  </r>
  <r>
    <x v="0"/>
    <x v="119"/>
    <x v="119"/>
    <x v="12"/>
    <x v="12"/>
    <x v="12"/>
    <x v="16"/>
    <x v="250"/>
    <x v="125"/>
    <x v="64"/>
    <x v="67"/>
    <x v="160"/>
    <x v="393"/>
    <x v="5"/>
  </r>
  <r>
    <x v="0"/>
    <x v="119"/>
    <x v="119"/>
    <x v="34"/>
    <x v="34"/>
    <x v="34"/>
    <x v="16"/>
    <x v="250"/>
    <x v="125"/>
    <x v="48"/>
    <x v="249"/>
    <x v="211"/>
    <x v="274"/>
    <x v="5"/>
  </r>
  <r>
    <x v="0"/>
    <x v="119"/>
    <x v="119"/>
    <x v="27"/>
    <x v="27"/>
    <x v="27"/>
    <x v="16"/>
    <x v="250"/>
    <x v="125"/>
    <x v="77"/>
    <x v="83"/>
    <x v="132"/>
    <x v="615"/>
    <x v="5"/>
  </r>
  <r>
    <x v="0"/>
    <x v="119"/>
    <x v="119"/>
    <x v="29"/>
    <x v="29"/>
    <x v="29"/>
    <x v="16"/>
    <x v="250"/>
    <x v="125"/>
    <x v="48"/>
    <x v="249"/>
    <x v="209"/>
    <x v="15"/>
    <x v="5"/>
  </r>
  <r>
    <x v="0"/>
    <x v="119"/>
    <x v="119"/>
    <x v="21"/>
    <x v="21"/>
    <x v="21"/>
    <x v="16"/>
    <x v="250"/>
    <x v="125"/>
    <x v="77"/>
    <x v="83"/>
    <x v="132"/>
    <x v="615"/>
    <x v="5"/>
  </r>
  <r>
    <x v="0"/>
    <x v="120"/>
    <x v="120"/>
    <x v="4"/>
    <x v="4"/>
    <x v="4"/>
    <x v="0"/>
    <x v="247"/>
    <x v="750"/>
    <x v="52"/>
    <x v="381"/>
    <x v="132"/>
    <x v="617"/>
    <x v="5"/>
  </r>
  <r>
    <x v="0"/>
    <x v="120"/>
    <x v="120"/>
    <x v="0"/>
    <x v="0"/>
    <x v="0"/>
    <x v="1"/>
    <x v="250"/>
    <x v="351"/>
    <x v="51"/>
    <x v="715"/>
    <x v="211"/>
    <x v="274"/>
    <x v="5"/>
  </r>
  <r>
    <x v="0"/>
    <x v="120"/>
    <x v="120"/>
    <x v="3"/>
    <x v="3"/>
    <x v="3"/>
    <x v="2"/>
    <x v="251"/>
    <x v="586"/>
    <x v="48"/>
    <x v="392"/>
    <x v="163"/>
    <x v="484"/>
    <x v="5"/>
  </r>
  <r>
    <x v="0"/>
    <x v="120"/>
    <x v="120"/>
    <x v="43"/>
    <x v="43"/>
    <x v="43"/>
    <x v="3"/>
    <x v="252"/>
    <x v="445"/>
    <x v="77"/>
    <x v="83"/>
    <x v="211"/>
    <x v="274"/>
    <x v="5"/>
  </r>
  <r>
    <x v="0"/>
    <x v="120"/>
    <x v="120"/>
    <x v="1"/>
    <x v="1"/>
    <x v="1"/>
    <x v="3"/>
    <x v="252"/>
    <x v="445"/>
    <x v="64"/>
    <x v="716"/>
    <x v="211"/>
    <x v="274"/>
    <x v="5"/>
  </r>
  <r>
    <x v="0"/>
    <x v="120"/>
    <x v="120"/>
    <x v="7"/>
    <x v="7"/>
    <x v="7"/>
    <x v="3"/>
    <x v="252"/>
    <x v="445"/>
    <x v="48"/>
    <x v="392"/>
    <x v="211"/>
    <x v="274"/>
    <x v="5"/>
  </r>
  <r>
    <x v="0"/>
    <x v="120"/>
    <x v="120"/>
    <x v="8"/>
    <x v="8"/>
    <x v="8"/>
    <x v="6"/>
    <x v="287"/>
    <x v="751"/>
    <x v="48"/>
    <x v="392"/>
    <x v="211"/>
    <x v="274"/>
    <x v="5"/>
  </r>
  <r>
    <x v="0"/>
    <x v="120"/>
    <x v="120"/>
    <x v="28"/>
    <x v="28"/>
    <x v="28"/>
    <x v="6"/>
    <x v="287"/>
    <x v="751"/>
    <x v="48"/>
    <x v="392"/>
    <x v="211"/>
    <x v="274"/>
    <x v="5"/>
  </r>
  <r>
    <x v="0"/>
    <x v="120"/>
    <x v="120"/>
    <x v="38"/>
    <x v="38"/>
    <x v="38"/>
    <x v="6"/>
    <x v="287"/>
    <x v="751"/>
    <x v="48"/>
    <x v="392"/>
    <x v="211"/>
    <x v="274"/>
    <x v="5"/>
  </r>
  <r>
    <x v="0"/>
    <x v="120"/>
    <x v="120"/>
    <x v="41"/>
    <x v="41"/>
    <x v="41"/>
    <x v="6"/>
    <x v="287"/>
    <x v="751"/>
    <x v="77"/>
    <x v="83"/>
    <x v="211"/>
    <x v="274"/>
    <x v="5"/>
  </r>
  <r>
    <x v="0"/>
    <x v="120"/>
    <x v="120"/>
    <x v="25"/>
    <x v="25"/>
    <x v="25"/>
    <x v="6"/>
    <x v="287"/>
    <x v="751"/>
    <x v="77"/>
    <x v="83"/>
    <x v="160"/>
    <x v="485"/>
    <x v="5"/>
  </r>
  <r>
    <x v="0"/>
    <x v="120"/>
    <x v="120"/>
    <x v="35"/>
    <x v="35"/>
    <x v="35"/>
    <x v="6"/>
    <x v="287"/>
    <x v="751"/>
    <x v="77"/>
    <x v="83"/>
    <x v="160"/>
    <x v="485"/>
    <x v="5"/>
  </r>
  <r>
    <x v="0"/>
    <x v="120"/>
    <x v="120"/>
    <x v="6"/>
    <x v="6"/>
    <x v="6"/>
    <x v="6"/>
    <x v="287"/>
    <x v="751"/>
    <x v="77"/>
    <x v="83"/>
    <x v="160"/>
    <x v="485"/>
    <x v="5"/>
  </r>
  <r>
    <x v="0"/>
    <x v="120"/>
    <x v="120"/>
    <x v="26"/>
    <x v="26"/>
    <x v="26"/>
    <x v="6"/>
    <x v="287"/>
    <x v="751"/>
    <x v="48"/>
    <x v="392"/>
    <x v="211"/>
    <x v="274"/>
    <x v="5"/>
  </r>
  <r>
    <x v="0"/>
    <x v="120"/>
    <x v="120"/>
    <x v="14"/>
    <x v="14"/>
    <x v="14"/>
    <x v="6"/>
    <x v="287"/>
    <x v="751"/>
    <x v="77"/>
    <x v="83"/>
    <x v="160"/>
    <x v="485"/>
    <x v="5"/>
  </r>
  <r>
    <x v="0"/>
    <x v="120"/>
    <x v="120"/>
    <x v="27"/>
    <x v="27"/>
    <x v="27"/>
    <x v="6"/>
    <x v="287"/>
    <x v="751"/>
    <x v="77"/>
    <x v="83"/>
    <x v="160"/>
    <x v="485"/>
    <x v="5"/>
  </r>
  <r>
    <x v="0"/>
    <x v="121"/>
    <x v="121"/>
    <x v="0"/>
    <x v="0"/>
    <x v="0"/>
    <x v="0"/>
    <x v="263"/>
    <x v="405"/>
    <x v="78"/>
    <x v="518"/>
    <x v="163"/>
    <x v="314"/>
    <x v="5"/>
  </r>
  <r>
    <x v="0"/>
    <x v="121"/>
    <x v="121"/>
    <x v="3"/>
    <x v="3"/>
    <x v="3"/>
    <x v="1"/>
    <x v="280"/>
    <x v="752"/>
    <x v="53"/>
    <x v="519"/>
    <x v="209"/>
    <x v="547"/>
    <x v="5"/>
  </r>
  <r>
    <x v="0"/>
    <x v="121"/>
    <x v="121"/>
    <x v="1"/>
    <x v="1"/>
    <x v="1"/>
    <x v="2"/>
    <x v="268"/>
    <x v="646"/>
    <x v="96"/>
    <x v="142"/>
    <x v="211"/>
    <x v="274"/>
    <x v="5"/>
  </r>
  <r>
    <x v="0"/>
    <x v="121"/>
    <x v="121"/>
    <x v="5"/>
    <x v="5"/>
    <x v="5"/>
    <x v="3"/>
    <x v="247"/>
    <x v="425"/>
    <x v="65"/>
    <x v="520"/>
    <x v="163"/>
    <x v="314"/>
    <x v="5"/>
  </r>
  <r>
    <x v="0"/>
    <x v="121"/>
    <x v="121"/>
    <x v="4"/>
    <x v="4"/>
    <x v="4"/>
    <x v="4"/>
    <x v="249"/>
    <x v="753"/>
    <x v="48"/>
    <x v="236"/>
    <x v="132"/>
    <x v="558"/>
    <x v="5"/>
  </r>
  <r>
    <x v="0"/>
    <x v="121"/>
    <x v="121"/>
    <x v="6"/>
    <x v="6"/>
    <x v="6"/>
    <x v="4"/>
    <x v="249"/>
    <x v="753"/>
    <x v="52"/>
    <x v="759"/>
    <x v="163"/>
    <x v="314"/>
    <x v="5"/>
  </r>
  <r>
    <x v="0"/>
    <x v="121"/>
    <x v="121"/>
    <x v="11"/>
    <x v="11"/>
    <x v="11"/>
    <x v="4"/>
    <x v="249"/>
    <x v="753"/>
    <x v="51"/>
    <x v="189"/>
    <x v="160"/>
    <x v="462"/>
    <x v="5"/>
  </r>
  <r>
    <x v="0"/>
    <x v="121"/>
    <x v="121"/>
    <x v="42"/>
    <x v="42"/>
    <x v="42"/>
    <x v="7"/>
    <x v="252"/>
    <x v="82"/>
    <x v="77"/>
    <x v="83"/>
    <x v="163"/>
    <x v="314"/>
    <x v="5"/>
  </r>
  <r>
    <x v="0"/>
    <x v="121"/>
    <x v="121"/>
    <x v="35"/>
    <x v="35"/>
    <x v="35"/>
    <x v="7"/>
    <x v="252"/>
    <x v="82"/>
    <x v="64"/>
    <x v="521"/>
    <x v="211"/>
    <x v="274"/>
    <x v="5"/>
  </r>
  <r>
    <x v="0"/>
    <x v="121"/>
    <x v="121"/>
    <x v="17"/>
    <x v="17"/>
    <x v="17"/>
    <x v="7"/>
    <x v="252"/>
    <x v="82"/>
    <x v="48"/>
    <x v="236"/>
    <x v="160"/>
    <x v="462"/>
    <x v="5"/>
  </r>
  <r>
    <x v="0"/>
    <x v="121"/>
    <x v="121"/>
    <x v="13"/>
    <x v="13"/>
    <x v="13"/>
    <x v="7"/>
    <x v="252"/>
    <x v="82"/>
    <x v="64"/>
    <x v="521"/>
    <x v="211"/>
    <x v="274"/>
    <x v="5"/>
  </r>
  <r>
    <x v="0"/>
    <x v="121"/>
    <x v="121"/>
    <x v="10"/>
    <x v="10"/>
    <x v="10"/>
    <x v="7"/>
    <x v="252"/>
    <x v="82"/>
    <x v="48"/>
    <x v="236"/>
    <x v="160"/>
    <x v="462"/>
    <x v="5"/>
  </r>
  <r>
    <x v="0"/>
    <x v="121"/>
    <x v="121"/>
    <x v="12"/>
    <x v="12"/>
    <x v="12"/>
    <x v="7"/>
    <x v="252"/>
    <x v="82"/>
    <x v="77"/>
    <x v="83"/>
    <x v="163"/>
    <x v="314"/>
    <x v="5"/>
  </r>
  <r>
    <x v="0"/>
    <x v="121"/>
    <x v="121"/>
    <x v="19"/>
    <x v="19"/>
    <x v="19"/>
    <x v="7"/>
    <x v="252"/>
    <x v="82"/>
    <x v="64"/>
    <x v="521"/>
    <x v="211"/>
    <x v="274"/>
    <x v="5"/>
  </r>
  <r>
    <x v="0"/>
    <x v="121"/>
    <x v="121"/>
    <x v="34"/>
    <x v="34"/>
    <x v="34"/>
    <x v="7"/>
    <x v="252"/>
    <x v="82"/>
    <x v="48"/>
    <x v="236"/>
    <x v="211"/>
    <x v="274"/>
    <x v="5"/>
  </r>
  <r>
    <x v="0"/>
    <x v="121"/>
    <x v="121"/>
    <x v="9"/>
    <x v="9"/>
    <x v="9"/>
    <x v="7"/>
    <x v="252"/>
    <x v="82"/>
    <x v="64"/>
    <x v="521"/>
    <x v="211"/>
    <x v="274"/>
    <x v="5"/>
  </r>
  <r>
    <x v="0"/>
    <x v="121"/>
    <x v="121"/>
    <x v="36"/>
    <x v="36"/>
    <x v="36"/>
    <x v="7"/>
    <x v="252"/>
    <x v="82"/>
    <x v="48"/>
    <x v="236"/>
    <x v="160"/>
    <x v="462"/>
    <x v="5"/>
  </r>
  <r>
    <x v="0"/>
    <x v="121"/>
    <x v="121"/>
    <x v="27"/>
    <x v="27"/>
    <x v="27"/>
    <x v="7"/>
    <x v="252"/>
    <x v="82"/>
    <x v="64"/>
    <x v="521"/>
    <x v="211"/>
    <x v="274"/>
    <x v="5"/>
  </r>
  <r>
    <x v="0"/>
    <x v="121"/>
    <x v="121"/>
    <x v="8"/>
    <x v="8"/>
    <x v="8"/>
    <x v="18"/>
    <x v="287"/>
    <x v="754"/>
    <x v="77"/>
    <x v="83"/>
    <x v="160"/>
    <x v="462"/>
    <x v="5"/>
  </r>
  <r>
    <x v="0"/>
    <x v="121"/>
    <x v="121"/>
    <x v="28"/>
    <x v="28"/>
    <x v="28"/>
    <x v="18"/>
    <x v="287"/>
    <x v="754"/>
    <x v="77"/>
    <x v="83"/>
    <x v="160"/>
    <x v="462"/>
    <x v="5"/>
  </r>
  <r>
    <x v="0"/>
    <x v="121"/>
    <x v="121"/>
    <x v="49"/>
    <x v="49"/>
    <x v="49"/>
    <x v="18"/>
    <x v="287"/>
    <x v="754"/>
    <x v="77"/>
    <x v="83"/>
    <x v="160"/>
    <x v="462"/>
    <x v="5"/>
  </r>
  <r>
    <x v="0"/>
    <x v="121"/>
    <x v="121"/>
    <x v="51"/>
    <x v="51"/>
    <x v="51"/>
    <x v="18"/>
    <x v="287"/>
    <x v="754"/>
    <x v="77"/>
    <x v="83"/>
    <x v="160"/>
    <x v="462"/>
    <x v="5"/>
  </r>
  <r>
    <x v="0"/>
    <x v="121"/>
    <x v="121"/>
    <x v="40"/>
    <x v="40"/>
    <x v="40"/>
    <x v="18"/>
    <x v="287"/>
    <x v="754"/>
    <x v="48"/>
    <x v="236"/>
    <x v="211"/>
    <x v="274"/>
    <x v="5"/>
  </r>
  <r>
    <x v="0"/>
    <x v="121"/>
    <x v="121"/>
    <x v="41"/>
    <x v="41"/>
    <x v="41"/>
    <x v="18"/>
    <x v="287"/>
    <x v="754"/>
    <x v="77"/>
    <x v="83"/>
    <x v="160"/>
    <x v="462"/>
    <x v="5"/>
  </r>
  <r>
    <x v="0"/>
    <x v="121"/>
    <x v="121"/>
    <x v="25"/>
    <x v="25"/>
    <x v="25"/>
    <x v="18"/>
    <x v="287"/>
    <x v="754"/>
    <x v="77"/>
    <x v="83"/>
    <x v="160"/>
    <x v="462"/>
    <x v="5"/>
  </r>
  <r>
    <x v="0"/>
    <x v="121"/>
    <x v="121"/>
    <x v="16"/>
    <x v="16"/>
    <x v="16"/>
    <x v="18"/>
    <x v="287"/>
    <x v="754"/>
    <x v="77"/>
    <x v="83"/>
    <x v="160"/>
    <x v="462"/>
    <x v="5"/>
  </r>
  <r>
    <x v="0"/>
    <x v="121"/>
    <x v="121"/>
    <x v="24"/>
    <x v="24"/>
    <x v="24"/>
    <x v="18"/>
    <x v="287"/>
    <x v="754"/>
    <x v="77"/>
    <x v="83"/>
    <x v="160"/>
    <x v="462"/>
    <x v="5"/>
  </r>
  <r>
    <x v="0"/>
    <x v="121"/>
    <x v="121"/>
    <x v="2"/>
    <x v="2"/>
    <x v="2"/>
    <x v="18"/>
    <x v="287"/>
    <x v="754"/>
    <x v="48"/>
    <x v="236"/>
    <x v="211"/>
    <x v="274"/>
    <x v="5"/>
  </r>
  <r>
    <x v="0"/>
    <x v="121"/>
    <x v="121"/>
    <x v="31"/>
    <x v="31"/>
    <x v="31"/>
    <x v="18"/>
    <x v="287"/>
    <x v="754"/>
    <x v="77"/>
    <x v="83"/>
    <x v="160"/>
    <x v="462"/>
    <x v="5"/>
  </r>
  <r>
    <x v="0"/>
    <x v="121"/>
    <x v="121"/>
    <x v="30"/>
    <x v="30"/>
    <x v="30"/>
    <x v="18"/>
    <x v="287"/>
    <x v="754"/>
    <x v="48"/>
    <x v="236"/>
    <x v="211"/>
    <x v="274"/>
    <x v="5"/>
  </r>
  <r>
    <x v="0"/>
    <x v="121"/>
    <x v="121"/>
    <x v="26"/>
    <x v="26"/>
    <x v="26"/>
    <x v="18"/>
    <x v="287"/>
    <x v="754"/>
    <x v="77"/>
    <x v="83"/>
    <x v="211"/>
    <x v="274"/>
    <x v="5"/>
  </r>
  <r>
    <x v="0"/>
    <x v="121"/>
    <x v="121"/>
    <x v="7"/>
    <x v="7"/>
    <x v="7"/>
    <x v="18"/>
    <x v="287"/>
    <x v="754"/>
    <x v="48"/>
    <x v="236"/>
    <x v="211"/>
    <x v="274"/>
    <x v="5"/>
  </r>
  <r>
    <x v="0"/>
    <x v="121"/>
    <x v="121"/>
    <x v="14"/>
    <x v="14"/>
    <x v="14"/>
    <x v="18"/>
    <x v="287"/>
    <x v="754"/>
    <x v="77"/>
    <x v="83"/>
    <x v="160"/>
    <x v="462"/>
    <x v="5"/>
  </r>
  <r>
    <x v="0"/>
    <x v="121"/>
    <x v="121"/>
    <x v="29"/>
    <x v="29"/>
    <x v="29"/>
    <x v="18"/>
    <x v="287"/>
    <x v="754"/>
    <x v="48"/>
    <x v="236"/>
    <x v="211"/>
    <x v="274"/>
    <x v="5"/>
  </r>
  <r>
    <x v="0"/>
    <x v="121"/>
    <x v="121"/>
    <x v="21"/>
    <x v="21"/>
    <x v="21"/>
    <x v="18"/>
    <x v="287"/>
    <x v="754"/>
    <x v="48"/>
    <x v="236"/>
    <x v="211"/>
    <x v="274"/>
    <x v="5"/>
  </r>
  <r>
    <x v="0"/>
    <x v="122"/>
    <x v="122"/>
    <x v="0"/>
    <x v="0"/>
    <x v="0"/>
    <x v="0"/>
    <x v="259"/>
    <x v="755"/>
    <x v="76"/>
    <x v="760"/>
    <x v="211"/>
    <x v="274"/>
    <x v="5"/>
  </r>
  <r>
    <x v="0"/>
    <x v="122"/>
    <x v="122"/>
    <x v="1"/>
    <x v="1"/>
    <x v="1"/>
    <x v="1"/>
    <x v="246"/>
    <x v="267"/>
    <x v="38"/>
    <x v="761"/>
    <x v="211"/>
    <x v="274"/>
    <x v="5"/>
  </r>
  <r>
    <x v="0"/>
    <x v="122"/>
    <x v="122"/>
    <x v="6"/>
    <x v="6"/>
    <x v="6"/>
    <x v="2"/>
    <x v="264"/>
    <x v="756"/>
    <x v="82"/>
    <x v="590"/>
    <x v="210"/>
    <x v="122"/>
    <x v="5"/>
  </r>
  <r>
    <x v="0"/>
    <x v="122"/>
    <x v="122"/>
    <x v="3"/>
    <x v="3"/>
    <x v="3"/>
    <x v="3"/>
    <x v="268"/>
    <x v="757"/>
    <x v="52"/>
    <x v="659"/>
    <x v="189"/>
    <x v="528"/>
    <x v="5"/>
  </r>
  <r>
    <x v="0"/>
    <x v="122"/>
    <x v="122"/>
    <x v="5"/>
    <x v="5"/>
    <x v="5"/>
    <x v="4"/>
    <x v="248"/>
    <x v="314"/>
    <x v="52"/>
    <x v="659"/>
    <x v="209"/>
    <x v="457"/>
    <x v="5"/>
  </r>
  <r>
    <x v="0"/>
    <x v="122"/>
    <x v="122"/>
    <x v="11"/>
    <x v="11"/>
    <x v="11"/>
    <x v="4"/>
    <x v="248"/>
    <x v="314"/>
    <x v="48"/>
    <x v="144"/>
    <x v="210"/>
    <x v="122"/>
    <x v="5"/>
  </r>
  <r>
    <x v="0"/>
    <x v="122"/>
    <x v="122"/>
    <x v="4"/>
    <x v="4"/>
    <x v="4"/>
    <x v="6"/>
    <x v="249"/>
    <x v="758"/>
    <x v="77"/>
    <x v="83"/>
    <x v="210"/>
    <x v="122"/>
    <x v="5"/>
  </r>
  <r>
    <x v="0"/>
    <x v="122"/>
    <x v="122"/>
    <x v="2"/>
    <x v="2"/>
    <x v="2"/>
    <x v="6"/>
    <x v="249"/>
    <x v="758"/>
    <x v="51"/>
    <x v="592"/>
    <x v="160"/>
    <x v="463"/>
    <x v="5"/>
  </r>
  <r>
    <x v="0"/>
    <x v="122"/>
    <x v="122"/>
    <x v="30"/>
    <x v="30"/>
    <x v="30"/>
    <x v="6"/>
    <x v="249"/>
    <x v="758"/>
    <x v="51"/>
    <x v="592"/>
    <x v="160"/>
    <x v="463"/>
    <x v="5"/>
  </r>
  <r>
    <x v="0"/>
    <x v="122"/>
    <x v="122"/>
    <x v="14"/>
    <x v="14"/>
    <x v="14"/>
    <x v="9"/>
    <x v="250"/>
    <x v="471"/>
    <x v="77"/>
    <x v="83"/>
    <x v="211"/>
    <x v="274"/>
    <x v="5"/>
  </r>
  <r>
    <x v="0"/>
    <x v="122"/>
    <x v="122"/>
    <x v="41"/>
    <x v="41"/>
    <x v="41"/>
    <x v="10"/>
    <x v="252"/>
    <x v="759"/>
    <x v="77"/>
    <x v="83"/>
    <x v="211"/>
    <x v="274"/>
    <x v="5"/>
  </r>
  <r>
    <x v="0"/>
    <x v="122"/>
    <x v="122"/>
    <x v="13"/>
    <x v="13"/>
    <x v="13"/>
    <x v="10"/>
    <x v="252"/>
    <x v="759"/>
    <x v="64"/>
    <x v="151"/>
    <x v="211"/>
    <x v="274"/>
    <x v="5"/>
  </r>
  <r>
    <x v="0"/>
    <x v="122"/>
    <x v="122"/>
    <x v="23"/>
    <x v="23"/>
    <x v="23"/>
    <x v="10"/>
    <x v="252"/>
    <x v="759"/>
    <x v="77"/>
    <x v="83"/>
    <x v="163"/>
    <x v="355"/>
    <x v="5"/>
  </r>
  <r>
    <x v="0"/>
    <x v="122"/>
    <x v="122"/>
    <x v="34"/>
    <x v="34"/>
    <x v="34"/>
    <x v="10"/>
    <x v="252"/>
    <x v="759"/>
    <x v="77"/>
    <x v="83"/>
    <x v="211"/>
    <x v="274"/>
    <x v="5"/>
  </r>
  <r>
    <x v="0"/>
    <x v="122"/>
    <x v="122"/>
    <x v="9"/>
    <x v="9"/>
    <x v="9"/>
    <x v="10"/>
    <x v="252"/>
    <x v="759"/>
    <x v="77"/>
    <x v="83"/>
    <x v="160"/>
    <x v="463"/>
    <x v="5"/>
  </r>
  <r>
    <x v="0"/>
    <x v="122"/>
    <x v="122"/>
    <x v="8"/>
    <x v="8"/>
    <x v="8"/>
    <x v="15"/>
    <x v="287"/>
    <x v="760"/>
    <x v="77"/>
    <x v="83"/>
    <x v="160"/>
    <x v="463"/>
    <x v="5"/>
  </r>
  <r>
    <x v="0"/>
    <x v="122"/>
    <x v="122"/>
    <x v="28"/>
    <x v="28"/>
    <x v="28"/>
    <x v="15"/>
    <x v="287"/>
    <x v="760"/>
    <x v="77"/>
    <x v="83"/>
    <x v="160"/>
    <x v="463"/>
    <x v="5"/>
  </r>
  <r>
    <x v="0"/>
    <x v="122"/>
    <x v="122"/>
    <x v="49"/>
    <x v="49"/>
    <x v="49"/>
    <x v="15"/>
    <x v="287"/>
    <x v="760"/>
    <x v="77"/>
    <x v="83"/>
    <x v="160"/>
    <x v="463"/>
    <x v="5"/>
  </r>
  <r>
    <x v="0"/>
    <x v="122"/>
    <x v="122"/>
    <x v="38"/>
    <x v="38"/>
    <x v="38"/>
    <x v="15"/>
    <x v="287"/>
    <x v="760"/>
    <x v="77"/>
    <x v="83"/>
    <x v="160"/>
    <x v="463"/>
    <x v="5"/>
  </r>
  <r>
    <x v="0"/>
    <x v="122"/>
    <x v="122"/>
    <x v="64"/>
    <x v="64"/>
    <x v="64"/>
    <x v="15"/>
    <x v="287"/>
    <x v="760"/>
    <x v="77"/>
    <x v="83"/>
    <x v="160"/>
    <x v="463"/>
    <x v="5"/>
  </r>
  <r>
    <x v="0"/>
    <x v="122"/>
    <x v="122"/>
    <x v="25"/>
    <x v="25"/>
    <x v="25"/>
    <x v="15"/>
    <x v="287"/>
    <x v="760"/>
    <x v="77"/>
    <x v="83"/>
    <x v="160"/>
    <x v="463"/>
    <x v="5"/>
  </r>
  <r>
    <x v="0"/>
    <x v="122"/>
    <x v="122"/>
    <x v="35"/>
    <x v="35"/>
    <x v="35"/>
    <x v="15"/>
    <x v="287"/>
    <x v="760"/>
    <x v="77"/>
    <x v="83"/>
    <x v="160"/>
    <x v="463"/>
    <x v="5"/>
  </r>
  <r>
    <x v="0"/>
    <x v="122"/>
    <x v="122"/>
    <x v="15"/>
    <x v="15"/>
    <x v="15"/>
    <x v="15"/>
    <x v="287"/>
    <x v="760"/>
    <x v="77"/>
    <x v="83"/>
    <x v="160"/>
    <x v="463"/>
    <x v="5"/>
  </r>
  <r>
    <x v="0"/>
    <x v="122"/>
    <x v="122"/>
    <x v="24"/>
    <x v="24"/>
    <x v="24"/>
    <x v="15"/>
    <x v="287"/>
    <x v="760"/>
    <x v="77"/>
    <x v="83"/>
    <x v="160"/>
    <x v="463"/>
    <x v="5"/>
  </r>
  <r>
    <x v="0"/>
    <x v="122"/>
    <x v="122"/>
    <x v="20"/>
    <x v="20"/>
    <x v="20"/>
    <x v="15"/>
    <x v="287"/>
    <x v="760"/>
    <x v="77"/>
    <x v="83"/>
    <x v="160"/>
    <x v="463"/>
    <x v="5"/>
  </r>
  <r>
    <x v="0"/>
    <x v="122"/>
    <x v="122"/>
    <x v="31"/>
    <x v="31"/>
    <x v="31"/>
    <x v="15"/>
    <x v="287"/>
    <x v="760"/>
    <x v="77"/>
    <x v="83"/>
    <x v="160"/>
    <x v="463"/>
    <x v="5"/>
  </r>
  <r>
    <x v="0"/>
    <x v="122"/>
    <x v="122"/>
    <x v="10"/>
    <x v="10"/>
    <x v="10"/>
    <x v="15"/>
    <x v="287"/>
    <x v="760"/>
    <x v="77"/>
    <x v="83"/>
    <x v="160"/>
    <x v="463"/>
    <x v="5"/>
  </r>
  <r>
    <x v="0"/>
    <x v="122"/>
    <x v="122"/>
    <x v="12"/>
    <x v="12"/>
    <x v="12"/>
    <x v="15"/>
    <x v="287"/>
    <x v="760"/>
    <x v="48"/>
    <x v="144"/>
    <x v="211"/>
    <x v="274"/>
    <x v="5"/>
  </r>
  <r>
    <x v="0"/>
    <x v="122"/>
    <x v="122"/>
    <x v="26"/>
    <x v="26"/>
    <x v="26"/>
    <x v="15"/>
    <x v="287"/>
    <x v="760"/>
    <x v="48"/>
    <x v="144"/>
    <x v="211"/>
    <x v="274"/>
    <x v="5"/>
  </r>
  <r>
    <x v="0"/>
    <x v="122"/>
    <x v="122"/>
    <x v="27"/>
    <x v="27"/>
    <x v="27"/>
    <x v="15"/>
    <x v="287"/>
    <x v="760"/>
    <x v="48"/>
    <x v="144"/>
    <x v="211"/>
    <x v="274"/>
    <x v="5"/>
  </r>
  <r>
    <x v="0"/>
    <x v="122"/>
    <x v="122"/>
    <x v="29"/>
    <x v="29"/>
    <x v="29"/>
    <x v="15"/>
    <x v="287"/>
    <x v="760"/>
    <x v="48"/>
    <x v="144"/>
    <x v="211"/>
    <x v="274"/>
    <x v="5"/>
  </r>
  <r>
    <x v="0"/>
    <x v="122"/>
    <x v="122"/>
    <x v="21"/>
    <x v="21"/>
    <x v="21"/>
    <x v="15"/>
    <x v="287"/>
    <x v="760"/>
    <x v="77"/>
    <x v="83"/>
    <x v="160"/>
    <x v="463"/>
    <x v="5"/>
  </r>
  <r>
    <x v="0"/>
    <x v="123"/>
    <x v="123"/>
    <x v="6"/>
    <x v="6"/>
    <x v="6"/>
    <x v="0"/>
    <x v="249"/>
    <x v="761"/>
    <x v="48"/>
    <x v="429"/>
    <x v="132"/>
    <x v="556"/>
    <x v="5"/>
  </r>
  <r>
    <x v="0"/>
    <x v="123"/>
    <x v="123"/>
    <x v="4"/>
    <x v="4"/>
    <x v="4"/>
    <x v="1"/>
    <x v="250"/>
    <x v="762"/>
    <x v="48"/>
    <x v="429"/>
    <x v="209"/>
    <x v="271"/>
    <x v="5"/>
  </r>
  <r>
    <x v="0"/>
    <x v="123"/>
    <x v="123"/>
    <x v="3"/>
    <x v="3"/>
    <x v="3"/>
    <x v="1"/>
    <x v="250"/>
    <x v="762"/>
    <x v="77"/>
    <x v="83"/>
    <x v="132"/>
    <x v="556"/>
    <x v="5"/>
  </r>
  <r>
    <x v="0"/>
    <x v="123"/>
    <x v="123"/>
    <x v="0"/>
    <x v="0"/>
    <x v="0"/>
    <x v="1"/>
    <x v="250"/>
    <x v="762"/>
    <x v="51"/>
    <x v="762"/>
    <x v="211"/>
    <x v="274"/>
    <x v="5"/>
  </r>
  <r>
    <x v="0"/>
    <x v="123"/>
    <x v="123"/>
    <x v="49"/>
    <x v="49"/>
    <x v="49"/>
    <x v="4"/>
    <x v="251"/>
    <x v="683"/>
    <x v="77"/>
    <x v="83"/>
    <x v="209"/>
    <x v="271"/>
    <x v="5"/>
  </r>
  <r>
    <x v="0"/>
    <x v="123"/>
    <x v="123"/>
    <x v="1"/>
    <x v="1"/>
    <x v="1"/>
    <x v="4"/>
    <x v="251"/>
    <x v="683"/>
    <x v="64"/>
    <x v="425"/>
    <x v="160"/>
    <x v="255"/>
    <x v="5"/>
  </r>
  <r>
    <x v="0"/>
    <x v="123"/>
    <x v="123"/>
    <x v="28"/>
    <x v="28"/>
    <x v="28"/>
    <x v="6"/>
    <x v="252"/>
    <x v="763"/>
    <x v="48"/>
    <x v="429"/>
    <x v="160"/>
    <x v="255"/>
    <x v="5"/>
  </r>
  <r>
    <x v="0"/>
    <x v="123"/>
    <x v="123"/>
    <x v="13"/>
    <x v="13"/>
    <x v="13"/>
    <x v="6"/>
    <x v="252"/>
    <x v="763"/>
    <x v="48"/>
    <x v="429"/>
    <x v="160"/>
    <x v="255"/>
    <x v="5"/>
  </r>
  <r>
    <x v="0"/>
    <x v="123"/>
    <x v="123"/>
    <x v="30"/>
    <x v="30"/>
    <x v="30"/>
    <x v="6"/>
    <x v="252"/>
    <x v="763"/>
    <x v="48"/>
    <x v="429"/>
    <x v="160"/>
    <x v="255"/>
    <x v="5"/>
  </r>
  <r>
    <x v="0"/>
    <x v="123"/>
    <x v="123"/>
    <x v="36"/>
    <x v="36"/>
    <x v="36"/>
    <x v="6"/>
    <x v="252"/>
    <x v="763"/>
    <x v="77"/>
    <x v="83"/>
    <x v="163"/>
    <x v="272"/>
    <x v="5"/>
  </r>
  <r>
    <x v="0"/>
    <x v="123"/>
    <x v="123"/>
    <x v="41"/>
    <x v="41"/>
    <x v="41"/>
    <x v="10"/>
    <x v="287"/>
    <x v="67"/>
    <x v="77"/>
    <x v="83"/>
    <x v="211"/>
    <x v="274"/>
    <x v="5"/>
  </r>
  <r>
    <x v="0"/>
    <x v="123"/>
    <x v="123"/>
    <x v="25"/>
    <x v="25"/>
    <x v="25"/>
    <x v="10"/>
    <x v="287"/>
    <x v="67"/>
    <x v="77"/>
    <x v="83"/>
    <x v="160"/>
    <x v="255"/>
    <x v="5"/>
  </r>
  <r>
    <x v="0"/>
    <x v="123"/>
    <x v="123"/>
    <x v="12"/>
    <x v="12"/>
    <x v="12"/>
    <x v="10"/>
    <x v="287"/>
    <x v="67"/>
    <x v="77"/>
    <x v="83"/>
    <x v="160"/>
    <x v="255"/>
    <x v="5"/>
  </r>
  <r>
    <x v="0"/>
    <x v="123"/>
    <x v="123"/>
    <x v="26"/>
    <x v="26"/>
    <x v="26"/>
    <x v="10"/>
    <x v="287"/>
    <x v="67"/>
    <x v="77"/>
    <x v="83"/>
    <x v="211"/>
    <x v="274"/>
    <x v="5"/>
  </r>
  <r>
    <x v="0"/>
    <x v="123"/>
    <x v="123"/>
    <x v="14"/>
    <x v="14"/>
    <x v="14"/>
    <x v="10"/>
    <x v="287"/>
    <x v="67"/>
    <x v="77"/>
    <x v="83"/>
    <x v="160"/>
    <x v="255"/>
    <x v="5"/>
  </r>
  <r>
    <x v="0"/>
    <x v="123"/>
    <x v="123"/>
    <x v="27"/>
    <x v="27"/>
    <x v="27"/>
    <x v="10"/>
    <x v="287"/>
    <x v="67"/>
    <x v="77"/>
    <x v="83"/>
    <x v="160"/>
    <x v="255"/>
    <x v="5"/>
  </r>
  <r>
    <x v="0"/>
    <x v="123"/>
    <x v="123"/>
    <x v="57"/>
    <x v="57"/>
    <x v="57"/>
    <x v="10"/>
    <x v="287"/>
    <x v="67"/>
    <x v="77"/>
    <x v="83"/>
    <x v="160"/>
    <x v="255"/>
    <x v="5"/>
  </r>
  <r>
    <x v="0"/>
    <x v="123"/>
    <x v="123"/>
    <x v="21"/>
    <x v="21"/>
    <x v="21"/>
    <x v="10"/>
    <x v="287"/>
    <x v="67"/>
    <x v="77"/>
    <x v="83"/>
    <x v="160"/>
    <x v="255"/>
    <x v="5"/>
  </r>
  <r>
    <x v="0"/>
    <x v="124"/>
    <x v="124"/>
    <x v="3"/>
    <x v="3"/>
    <x v="3"/>
    <x v="0"/>
    <x v="264"/>
    <x v="764"/>
    <x v="52"/>
    <x v="306"/>
    <x v="206"/>
    <x v="618"/>
    <x v="5"/>
  </r>
  <r>
    <x v="0"/>
    <x v="124"/>
    <x v="124"/>
    <x v="0"/>
    <x v="0"/>
    <x v="0"/>
    <x v="0"/>
    <x v="264"/>
    <x v="764"/>
    <x v="50"/>
    <x v="726"/>
    <x v="209"/>
    <x v="419"/>
    <x v="5"/>
  </r>
  <r>
    <x v="0"/>
    <x v="124"/>
    <x v="124"/>
    <x v="2"/>
    <x v="2"/>
    <x v="2"/>
    <x v="2"/>
    <x v="280"/>
    <x v="586"/>
    <x v="96"/>
    <x v="342"/>
    <x v="160"/>
    <x v="394"/>
    <x v="5"/>
  </r>
  <r>
    <x v="0"/>
    <x v="124"/>
    <x v="124"/>
    <x v="1"/>
    <x v="1"/>
    <x v="1"/>
    <x v="2"/>
    <x v="280"/>
    <x v="586"/>
    <x v="96"/>
    <x v="342"/>
    <x v="211"/>
    <x v="274"/>
    <x v="5"/>
  </r>
  <r>
    <x v="0"/>
    <x v="124"/>
    <x v="124"/>
    <x v="8"/>
    <x v="8"/>
    <x v="8"/>
    <x v="4"/>
    <x v="248"/>
    <x v="749"/>
    <x v="48"/>
    <x v="331"/>
    <x v="210"/>
    <x v="72"/>
    <x v="5"/>
  </r>
  <r>
    <x v="0"/>
    <x v="124"/>
    <x v="124"/>
    <x v="4"/>
    <x v="4"/>
    <x v="4"/>
    <x v="5"/>
    <x v="249"/>
    <x v="589"/>
    <x v="48"/>
    <x v="331"/>
    <x v="132"/>
    <x v="420"/>
    <x v="5"/>
  </r>
  <r>
    <x v="0"/>
    <x v="124"/>
    <x v="124"/>
    <x v="6"/>
    <x v="6"/>
    <x v="6"/>
    <x v="6"/>
    <x v="250"/>
    <x v="146"/>
    <x v="51"/>
    <x v="326"/>
    <x v="211"/>
    <x v="274"/>
    <x v="5"/>
  </r>
  <r>
    <x v="0"/>
    <x v="124"/>
    <x v="124"/>
    <x v="9"/>
    <x v="9"/>
    <x v="9"/>
    <x v="6"/>
    <x v="250"/>
    <x v="146"/>
    <x v="48"/>
    <x v="331"/>
    <x v="211"/>
    <x v="274"/>
    <x v="5"/>
  </r>
  <r>
    <x v="0"/>
    <x v="124"/>
    <x v="124"/>
    <x v="17"/>
    <x v="17"/>
    <x v="17"/>
    <x v="8"/>
    <x v="251"/>
    <x v="65"/>
    <x v="77"/>
    <x v="83"/>
    <x v="209"/>
    <x v="419"/>
    <x v="5"/>
  </r>
  <r>
    <x v="0"/>
    <x v="124"/>
    <x v="124"/>
    <x v="30"/>
    <x v="30"/>
    <x v="30"/>
    <x v="8"/>
    <x v="251"/>
    <x v="65"/>
    <x v="64"/>
    <x v="641"/>
    <x v="160"/>
    <x v="394"/>
    <x v="5"/>
  </r>
  <r>
    <x v="0"/>
    <x v="124"/>
    <x v="124"/>
    <x v="36"/>
    <x v="36"/>
    <x v="36"/>
    <x v="8"/>
    <x v="251"/>
    <x v="65"/>
    <x v="77"/>
    <x v="83"/>
    <x v="209"/>
    <x v="419"/>
    <x v="5"/>
  </r>
  <r>
    <x v="0"/>
    <x v="124"/>
    <x v="124"/>
    <x v="5"/>
    <x v="5"/>
    <x v="5"/>
    <x v="11"/>
    <x v="252"/>
    <x v="206"/>
    <x v="48"/>
    <x v="331"/>
    <x v="160"/>
    <x v="394"/>
    <x v="5"/>
  </r>
  <r>
    <x v="0"/>
    <x v="124"/>
    <x v="124"/>
    <x v="28"/>
    <x v="28"/>
    <x v="28"/>
    <x v="11"/>
    <x v="252"/>
    <x v="206"/>
    <x v="77"/>
    <x v="83"/>
    <x v="163"/>
    <x v="422"/>
    <x v="5"/>
  </r>
  <r>
    <x v="0"/>
    <x v="124"/>
    <x v="124"/>
    <x v="42"/>
    <x v="42"/>
    <x v="42"/>
    <x v="11"/>
    <x v="252"/>
    <x v="206"/>
    <x v="77"/>
    <x v="83"/>
    <x v="163"/>
    <x v="422"/>
    <x v="5"/>
  </r>
  <r>
    <x v="0"/>
    <x v="124"/>
    <x v="124"/>
    <x v="15"/>
    <x v="15"/>
    <x v="15"/>
    <x v="11"/>
    <x v="252"/>
    <x v="206"/>
    <x v="77"/>
    <x v="83"/>
    <x v="163"/>
    <x v="422"/>
    <x v="5"/>
  </r>
  <r>
    <x v="0"/>
    <x v="124"/>
    <x v="124"/>
    <x v="23"/>
    <x v="23"/>
    <x v="23"/>
    <x v="11"/>
    <x v="252"/>
    <x v="206"/>
    <x v="77"/>
    <x v="83"/>
    <x v="163"/>
    <x v="422"/>
    <x v="5"/>
  </r>
  <r>
    <x v="0"/>
    <x v="124"/>
    <x v="124"/>
    <x v="19"/>
    <x v="19"/>
    <x v="19"/>
    <x v="11"/>
    <x v="252"/>
    <x v="206"/>
    <x v="64"/>
    <x v="641"/>
    <x v="211"/>
    <x v="274"/>
    <x v="5"/>
  </r>
  <r>
    <x v="0"/>
    <x v="124"/>
    <x v="124"/>
    <x v="7"/>
    <x v="7"/>
    <x v="7"/>
    <x v="11"/>
    <x v="252"/>
    <x v="206"/>
    <x v="64"/>
    <x v="641"/>
    <x v="211"/>
    <x v="274"/>
    <x v="5"/>
  </r>
  <r>
    <x v="0"/>
    <x v="124"/>
    <x v="124"/>
    <x v="45"/>
    <x v="45"/>
    <x v="45"/>
    <x v="18"/>
    <x v="287"/>
    <x v="327"/>
    <x v="48"/>
    <x v="331"/>
    <x v="211"/>
    <x v="274"/>
    <x v="5"/>
  </r>
  <r>
    <x v="0"/>
    <x v="124"/>
    <x v="124"/>
    <x v="41"/>
    <x v="41"/>
    <x v="41"/>
    <x v="18"/>
    <x v="287"/>
    <x v="327"/>
    <x v="77"/>
    <x v="83"/>
    <x v="211"/>
    <x v="274"/>
    <x v="5"/>
  </r>
  <r>
    <x v="0"/>
    <x v="124"/>
    <x v="124"/>
    <x v="64"/>
    <x v="64"/>
    <x v="64"/>
    <x v="18"/>
    <x v="287"/>
    <x v="327"/>
    <x v="77"/>
    <x v="83"/>
    <x v="160"/>
    <x v="394"/>
    <x v="5"/>
  </r>
  <r>
    <x v="0"/>
    <x v="124"/>
    <x v="124"/>
    <x v="25"/>
    <x v="25"/>
    <x v="25"/>
    <x v="18"/>
    <x v="287"/>
    <x v="327"/>
    <x v="77"/>
    <x v="83"/>
    <x v="160"/>
    <x v="394"/>
    <x v="5"/>
  </r>
  <r>
    <x v="0"/>
    <x v="124"/>
    <x v="124"/>
    <x v="35"/>
    <x v="35"/>
    <x v="35"/>
    <x v="18"/>
    <x v="287"/>
    <x v="327"/>
    <x v="77"/>
    <x v="83"/>
    <x v="160"/>
    <x v="394"/>
    <x v="5"/>
  </r>
  <r>
    <x v="0"/>
    <x v="124"/>
    <x v="124"/>
    <x v="16"/>
    <x v="16"/>
    <x v="16"/>
    <x v="18"/>
    <x v="287"/>
    <x v="327"/>
    <x v="77"/>
    <x v="83"/>
    <x v="160"/>
    <x v="394"/>
    <x v="5"/>
  </r>
  <r>
    <x v="0"/>
    <x v="124"/>
    <x v="124"/>
    <x v="13"/>
    <x v="13"/>
    <x v="13"/>
    <x v="18"/>
    <x v="287"/>
    <x v="327"/>
    <x v="48"/>
    <x v="331"/>
    <x v="211"/>
    <x v="274"/>
    <x v="5"/>
  </r>
  <r>
    <x v="0"/>
    <x v="124"/>
    <x v="124"/>
    <x v="11"/>
    <x v="11"/>
    <x v="11"/>
    <x v="18"/>
    <x v="287"/>
    <x v="327"/>
    <x v="77"/>
    <x v="83"/>
    <x v="160"/>
    <x v="394"/>
    <x v="5"/>
  </r>
  <r>
    <x v="0"/>
    <x v="124"/>
    <x v="124"/>
    <x v="24"/>
    <x v="24"/>
    <x v="24"/>
    <x v="18"/>
    <x v="287"/>
    <x v="327"/>
    <x v="77"/>
    <x v="83"/>
    <x v="160"/>
    <x v="394"/>
    <x v="5"/>
  </r>
  <r>
    <x v="0"/>
    <x v="124"/>
    <x v="124"/>
    <x v="31"/>
    <x v="31"/>
    <x v="31"/>
    <x v="18"/>
    <x v="287"/>
    <x v="327"/>
    <x v="77"/>
    <x v="83"/>
    <x v="160"/>
    <x v="394"/>
    <x v="5"/>
  </r>
  <r>
    <x v="0"/>
    <x v="124"/>
    <x v="124"/>
    <x v="10"/>
    <x v="10"/>
    <x v="10"/>
    <x v="18"/>
    <x v="287"/>
    <x v="327"/>
    <x v="77"/>
    <x v="83"/>
    <x v="160"/>
    <x v="394"/>
    <x v="5"/>
  </r>
  <r>
    <x v="0"/>
    <x v="124"/>
    <x v="124"/>
    <x v="12"/>
    <x v="12"/>
    <x v="12"/>
    <x v="18"/>
    <x v="287"/>
    <x v="327"/>
    <x v="77"/>
    <x v="83"/>
    <x v="211"/>
    <x v="274"/>
    <x v="5"/>
  </r>
  <r>
    <x v="0"/>
    <x v="124"/>
    <x v="124"/>
    <x v="34"/>
    <x v="34"/>
    <x v="34"/>
    <x v="18"/>
    <x v="287"/>
    <x v="327"/>
    <x v="77"/>
    <x v="83"/>
    <x v="211"/>
    <x v="274"/>
    <x v="5"/>
  </r>
  <r>
    <x v="0"/>
    <x v="124"/>
    <x v="124"/>
    <x v="14"/>
    <x v="14"/>
    <x v="14"/>
    <x v="18"/>
    <x v="287"/>
    <x v="327"/>
    <x v="77"/>
    <x v="83"/>
    <x v="160"/>
    <x v="394"/>
    <x v="5"/>
  </r>
  <r>
    <x v="0"/>
    <x v="124"/>
    <x v="124"/>
    <x v="27"/>
    <x v="27"/>
    <x v="27"/>
    <x v="18"/>
    <x v="287"/>
    <x v="327"/>
    <x v="77"/>
    <x v="83"/>
    <x v="160"/>
    <x v="394"/>
    <x v="5"/>
  </r>
  <r>
    <x v="0"/>
    <x v="124"/>
    <x v="124"/>
    <x v="29"/>
    <x v="29"/>
    <x v="29"/>
    <x v="18"/>
    <x v="287"/>
    <x v="327"/>
    <x v="48"/>
    <x v="331"/>
    <x v="211"/>
    <x v="274"/>
    <x v="5"/>
  </r>
  <r>
    <x v="0"/>
    <x v="125"/>
    <x v="125"/>
    <x v="0"/>
    <x v="0"/>
    <x v="0"/>
    <x v="0"/>
    <x v="264"/>
    <x v="765"/>
    <x v="70"/>
    <x v="763"/>
    <x v="211"/>
    <x v="274"/>
    <x v="5"/>
  </r>
  <r>
    <x v="0"/>
    <x v="125"/>
    <x v="125"/>
    <x v="3"/>
    <x v="3"/>
    <x v="3"/>
    <x v="1"/>
    <x v="248"/>
    <x v="662"/>
    <x v="52"/>
    <x v="703"/>
    <x v="209"/>
    <x v="413"/>
    <x v="5"/>
  </r>
  <r>
    <x v="0"/>
    <x v="125"/>
    <x v="125"/>
    <x v="1"/>
    <x v="1"/>
    <x v="1"/>
    <x v="2"/>
    <x v="249"/>
    <x v="766"/>
    <x v="51"/>
    <x v="675"/>
    <x v="160"/>
    <x v="415"/>
    <x v="5"/>
  </r>
  <r>
    <x v="0"/>
    <x v="125"/>
    <x v="125"/>
    <x v="6"/>
    <x v="6"/>
    <x v="6"/>
    <x v="3"/>
    <x v="250"/>
    <x v="663"/>
    <x v="52"/>
    <x v="703"/>
    <x v="160"/>
    <x v="415"/>
    <x v="5"/>
  </r>
  <r>
    <x v="0"/>
    <x v="125"/>
    <x v="125"/>
    <x v="4"/>
    <x v="4"/>
    <x v="4"/>
    <x v="4"/>
    <x v="251"/>
    <x v="408"/>
    <x v="77"/>
    <x v="83"/>
    <x v="209"/>
    <x v="413"/>
    <x v="5"/>
  </r>
  <r>
    <x v="0"/>
    <x v="125"/>
    <x v="125"/>
    <x v="25"/>
    <x v="25"/>
    <x v="25"/>
    <x v="4"/>
    <x v="251"/>
    <x v="408"/>
    <x v="48"/>
    <x v="530"/>
    <x v="163"/>
    <x v="323"/>
    <x v="5"/>
  </r>
  <r>
    <x v="0"/>
    <x v="125"/>
    <x v="125"/>
    <x v="14"/>
    <x v="14"/>
    <x v="14"/>
    <x v="4"/>
    <x v="251"/>
    <x v="408"/>
    <x v="77"/>
    <x v="83"/>
    <x v="209"/>
    <x v="413"/>
    <x v="5"/>
  </r>
  <r>
    <x v="0"/>
    <x v="125"/>
    <x v="125"/>
    <x v="36"/>
    <x v="36"/>
    <x v="36"/>
    <x v="4"/>
    <x v="251"/>
    <x v="408"/>
    <x v="64"/>
    <x v="702"/>
    <x v="160"/>
    <x v="415"/>
    <x v="5"/>
  </r>
  <r>
    <x v="0"/>
    <x v="125"/>
    <x v="125"/>
    <x v="28"/>
    <x v="28"/>
    <x v="28"/>
    <x v="8"/>
    <x v="252"/>
    <x v="447"/>
    <x v="64"/>
    <x v="702"/>
    <x v="211"/>
    <x v="274"/>
    <x v="5"/>
  </r>
  <r>
    <x v="0"/>
    <x v="125"/>
    <x v="125"/>
    <x v="49"/>
    <x v="49"/>
    <x v="49"/>
    <x v="8"/>
    <x v="252"/>
    <x v="447"/>
    <x v="77"/>
    <x v="83"/>
    <x v="160"/>
    <x v="415"/>
    <x v="4"/>
  </r>
  <r>
    <x v="0"/>
    <x v="125"/>
    <x v="125"/>
    <x v="41"/>
    <x v="41"/>
    <x v="41"/>
    <x v="8"/>
    <x v="252"/>
    <x v="447"/>
    <x v="77"/>
    <x v="83"/>
    <x v="160"/>
    <x v="415"/>
    <x v="5"/>
  </r>
  <r>
    <x v="0"/>
    <x v="125"/>
    <x v="125"/>
    <x v="11"/>
    <x v="11"/>
    <x v="11"/>
    <x v="8"/>
    <x v="252"/>
    <x v="447"/>
    <x v="48"/>
    <x v="530"/>
    <x v="160"/>
    <x v="415"/>
    <x v="5"/>
  </r>
  <r>
    <x v="0"/>
    <x v="125"/>
    <x v="125"/>
    <x v="9"/>
    <x v="9"/>
    <x v="9"/>
    <x v="8"/>
    <x v="252"/>
    <x v="447"/>
    <x v="48"/>
    <x v="530"/>
    <x v="211"/>
    <x v="274"/>
    <x v="5"/>
  </r>
  <r>
    <x v="0"/>
    <x v="125"/>
    <x v="125"/>
    <x v="7"/>
    <x v="7"/>
    <x v="7"/>
    <x v="8"/>
    <x v="252"/>
    <x v="447"/>
    <x v="64"/>
    <x v="702"/>
    <x v="211"/>
    <x v="274"/>
    <x v="5"/>
  </r>
  <r>
    <x v="0"/>
    <x v="125"/>
    <x v="125"/>
    <x v="5"/>
    <x v="5"/>
    <x v="5"/>
    <x v="14"/>
    <x v="287"/>
    <x v="52"/>
    <x v="48"/>
    <x v="530"/>
    <x v="211"/>
    <x v="274"/>
    <x v="5"/>
  </r>
  <r>
    <x v="0"/>
    <x v="125"/>
    <x v="125"/>
    <x v="8"/>
    <x v="8"/>
    <x v="8"/>
    <x v="14"/>
    <x v="287"/>
    <x v="52"/>
    <x v="77"/>
    <x v="83"/>
    <x v="160"/>
    <x v="415"/>
    <x v="5"/>
  </r>
  <r>
    <x v="0"/>
    <x v="125"/>
    <x v="125"/>
    <x v="32"/>
    <x v="32"/>
    <x v="32"/>
    <x v="14"/>
    <x v="287"/>
    <x v="52"/>
    <x v="77"/>
    <x v="83"/>
    <x v="160"/>
    <x v="415"/>
    <x v="5"/>
  </r>
  <r>
    <x v="0"/>
    <x v="125"/>
    <x v="125"/>
    <x v="38"/>
    <x v="38"/>
    <x v="38"/>
    <x v="14"/>
    <x v="287"/>
    <x v="52"/>
    <x v="77"/>
    <x v="83"/>
    <x v="160"/>
    <x v="415"/>
    <x v="5"/>
  </r>
  <r>
    <x v="0"/>
    <x v="125"/>
    <x v="125"/>
    <x v="40"/>
    <x v="40"/>
    <x v="40"/>
    <x v="14"/>
    <x v="287"/>
    <x v="52"/>
    <x v="48"/>
    <x v="530"/>
    <x v="211"/>
    <x v="274"/>
    <x v="5"/>
  </r>
  <r>
    <x v="0"/>
    <x v="125"/>
    <x v="125"/>
    <x v="35"/>
    <x v="35"/>
    <x v="35"/>
    <x v="14"/>
    <x v="287"/>
    <x v="52"/>
    <x v="77"/>
    <x v="83"/>
    <x v="160"/>
    <x v="415"/>
    <x v="5"/>
  </r>
  <r>
    <x v="0"/>
    <x v="125"/>
    <x v="125"/>
    <x v="17"/>
    <x v="17"/>
    <x v="17"/>
    <x v="14"/>
    <x v="287"/>
    <x v="52"/>
    <x v="48"/>
    <x v="530"/>
    <x v="211"/>
    <x v="274"/>
    <x v="5"/>
  </r>
  <r>
    <x v="0"/>
    <x v="125"/>
    <x v="125"/>
    <x v="13"/>
    <x v="13"/>
    <x v="13"/>
    <x v="14"/>
    <x v="287"/>
    <x v="52"/>
    <x v="77"/>
    <x v="83"/>
    <x v="160"/>
    <x v="415"/>
    <x v="5"/>
  </r>
  <r>
    <x v="0"/>
    <x v="125"/>
    <x v="125"/>
    <x v="23"/>
    <x v="23"/>
    <x v="23"/>
    <x v="14"/>
    <x v="287"/>
    <x v="52"/>
    <x v="77"/>
    <x v="83"/>
    <x v="160"/>
    <x v="415"/>
    <x v="5"/>
  </r>
  <r>
    <x v="0"/>
    <x v="125"/>
    <x v="125"/>
    <x v="2"/>
    <x v="2"/>
    <x v="2"/>
    <x v="14"/>
    <x v="287"/>
    <x v="52"/>
    <x v="77"/>
    <x v="83"/>
    <x v="160"/>
    <x v="415"/>
    <x v="5"/>
  </r>
  <r>
    <x v="0"/>
    <x v="125"/>
    <x v="125"/>
    <x v="30"/>
    <x v="30"/>
    <x v="30"/>
    <x v="14"/>
    <x v="287"/>
    <x v="52"/>
    <x v="48"/>
    <x v="530"/>
    <x v="211"/>
    <x v="274"/>
    <x v="5"/>
  </r>
  <r>
    <x v="0"/>
    <x v="125"/>
    <x v="125"/>
    <x v="27"/>
    <x v="27"/>
    <x v="27"/>
    <x v="14"/>
    <x v="287"/>
    <x v="52"/>
    <x v="48"/>
    <x v="530"/>
    <x v="211"/>
    <x v="274"/>
    <x v="5"/>
  </r>
  <r>
    <x v="0"/>
    <x v="126"/>
    <x v="126"/>
    <x v="0"/>
    <x v="0"/>
    <x v="0"/>
    <x v="0"/>
    <x v="266"/>
    <x v="767"/>
    <x v="138"/>
    <x v="764"/>
    <x v="132"/>
    <x v="503"/>
    <x v="5"/>
  </r>
  <r>
    <x v="0"/>
    <x v="126"/>
    <x v="126"/>
    <x v="1"/>
    <x v="1"/>
    <x v="1"/>
    <x v="1"/>
    <x v="218"/>
    <x v="768"/>
    <x v="119"/>
    <x v="495"/>
    <x v="163"/>
    <x v="269"/>
    <x v="5"/>
  </r>
  <r>
    <x v="0"/>
    <x v="126"/>
    <x v="126"/>
    <x v="2"/>
    <x v="2"/>
    <x v="2"/>
    <x v="2"/>
    <x v="262"/>
    <x v="769"/>
    <x v="58"/>
    <x v="523"/>
    <x v="132"/>
    <x v="503"/>
    <x v="5"/>
  </r>
  <r>
    <x v="0"/>
    <x v="126"/>
    <x v="126"/>
    <x v="5"/>
    <x v="5"/>
    <x v="5"/>
    <x v="3"/>
    <x v="267"/>
    <x v="667"/>
    <x v="58"/>
    <x v="523"/>
    <x v="209"/>
    <x v="255"/>
    <x v="5"/>
  </r>
  <r>
    <x v="0"/>
    <x v="126"/>
    <x v="126"/>
    <x v="3"/>
    <x v="3"/>
    <x v="3"/>
    <x v="3"/>
    <x v="267"/>
    <x v="667"/>
    <x v="65"/>
    <x v="138"/>
    <x v="215"/>
    <x v="619"/>
    <x v="5"/>
  </r>
  <r>
    <x v="0"/>
    <x v="126"/>
    <x v="126"/>
    <x v="4"/>
    <x v="4"/>
    <x v="4"/>
    <x v="5"/>
    <x v="263"/>
    <x v="519"/>
    <x v="65"/>
    <x v="138"/>
    <x v="190"/>
    <x v="620"/>
    <x v="5"/>
  </r>
  <r>
    <x v="0"/>
    <x v="126"/>
    <x v="126"/>
    <x v="14"/>
    <x v="14"/>
    <x v="14"/>
    <x v="6"/>
    <x v="268"/>
    <x v="650"/>
    <x v="77"/>
    <x v="83"/>
    <x v="209"/>
    <x v="255"/>
    <x v="5"/>
  </r>
  <r>
    <x v="0"/>
    <x v="126"/>
    <x v="126"/>
    <x v="7"/>
    <x v="7"/>
    <x v="7"/>
    <x v="7"/>
    <x v="269"/>
    <x v="562"/>
    <x v="53"/>
    <x v="497"/>
    <x v="160"/>
    <x v="19"/>
    <x v="5"/>
  </r>
  <r>
    <x v="0"/>
    <x v="126"/>
    <x v="126"/>
    <x v="28"/>
    <x v="28"/>
    <x v="28"/>
    <x v="8"/>
    <x v="247"/>
    <x v="617"/>
    <x v="64"/>
    <x v="161"/>
    <x v="210"/>
    <x v="273"/>
    <x v="5"/>
  </r>
  <r>
    <x v="0"/>
    <x v="126"/>
    <x v="126"/>
    <x v="29"/>
    <x v="29"/>
    <x v="29"/>
    <x v="9"/>
    <x v="248"/>
    <x v="307"/>
    <x v="65"/>
    <x v="138"/>
    <x v="160"/>
    <x v="19"/>
    <x v="5"/>
  </r>
  <r>
    <x v="0"/>
    <x v="126"/>
    <x v="126"/>
    <x v="6"/>
    <x v="6"/>
    <x v="6"/>
    <x v="10"/>
    <x v="249"/>
    <x v="82"/>
    <x v="51"/>
    <x v="304"/>
    <x v="160"/>
    <x v="19"/>
    <x v="5"/>
  </r>
  <r>
    <x v="0"/>
    <x v="126"/>
    <x v="126"/>
    <x v="12"/>
    <x v="12"/>
    <x v="12"/>
    <x v="10"/>
    <x v="249"/>
    <x v="82"/>
    <x v="64"/>
    <x v="161"/>
    <x v="163"/>
    <x v="269"/>
    <x v="5"/>
  </r>
  <r>
    <x v="0"/>
    <x v="126"/>
    <x v="126"/>
    <x v="9"/>
    <x v="9"/>
    <x v="9"/>
    <x v="10"/>
    <x v="249"/>
    <x v="82"/>
    <x v="65"/>
    <x v="138"/>
    <x v="211"/>
    <x v="274"/>
    <x v="5"/>
  </r>
  <r>
    <x v="0"/>
    <x v="126"/>
    <x v="126"/>
    <x v="8"/>
    <x v="8"/>
    <x v="8"/>
    <x v="13"/>
    <x v="250"/>
    <x v="394"/>
    <x v="64"/>
    <x v="161"/>
    <x v="163"/>
    <x v="269"/>
    <x v="5"/>
  </r>
  <r>
    <x v="0"/>
    <x v="126"/>
    <x v="126"/>
    <x v="16"/>
    <x v="16"/>
    <x v="16"/>
    <x v="13"/>
    <x v="250"/>
    <x v="394"/>
    <x v="48"/>
    <x v="196"/>
    <x v="209"/>
    <x v="255"/>
    <x v="5"/>
  </r>
  <r>
    <x v="0"/>
    <x v="126"/>
    <x v="126"/>
    <x v="31"/>
    <x v="31"/>
    <x v="31"/>
    <x v="13"/>
    <x v="250"/>
    <x v="394"/>
    <x v="77"/>
    <x v="83"/>
    <x v="132"/>
    <x v="503"/>
    <x v="5"/>
  </r>
  <r>
    <x v="0"/>
    <x v="126"/>
    <x v="126"/>
    <x v="27"/>
    <x v="27"/>
    <x v="27"/>
    <x v="13"/>
    <x v="250"/>
    <x v="394"/>
    <x v="51"/>
    <x v="304"/>
    <x v="211"/>
    <x v="274"/>
    <x v="5"/>
  </r>
  <r>
    <x v="0"/>
    <x v="126"/>
    <x v="126"/>
    <x v="17"/>
    <x v="17"/>
    <x v="17"/>
    <x v="17"/>
    <x v="251"/>
    <x v="17"/>
    <x v="48"/>
    <x v="196"/>
    <x v="163"/>
    <x v="269"/>
    <x v="5"/>
  </r>
  <r>
    <x v="0"/>
    <x v="126"/>
    <x v="126"/>
    <x v="15"/>
    <x v="15"/>
    <x v="15"/>
    <x v="17"/>
    <x v="251"/>
    <x v="17"/>
    <x v="64"/>
    <x v="161"/>
    <x v="160"/>
    <x v="19"/>
    <x v="5"/>
  </r>
  <r>
    <x v="0"/>
    <x v="126"/>
    <x v="126"/>
    <x v="13"/>
    <x v="13"/>
    <x v="13"/>
    <x v="17"/>
    <x v="251"/>
    <x v="17"/>
    <x v="77"/>
    <x v="83"/>
    <x v="209"/>
    <x v="255"/>
    <x v="5"/>
  </r>
  <r>
    <x v="0"/>
    <x v="126"/>
    <x v="126"/>
    <x v="10"/>
    <x v="10"/>
    <x v="10"/>
    <x v="17"/>
    <x v="251"/>
    <x v="17"/>
    <x v="52"/>
    <x v="167"/>
    <x v="211"/>
    <x v="274"/>
    <x v="5"/>
  </r>
  <r>
    <x v="0"/>
    <x v="126"/>
    <x v="126"/>
    <x v="19"/>
    <x v="19"/>
    <x v="19"/>
    <x v="17"/>
    <x v="251"/>
    <x v="17"/>
    <x v="64"/>
    <x v="161"/>
    <x v="160"/>
    <x v="19"/>
    <x v="5"/>
  </r>
  <r>
    <x v="0"/>
    <x v="127"/>
    <x v="127"/>
    <x v="0"/>
    <x v="0"/>
    <x v="0"/>
    <x v="0"/>
    <x v="267"/>
    <x v="745"/>
    <x v="38"/>
    <x v="765"/>
    <x v="163"/>
    <x v="221"/>
    <x v="5"/>
  </r>
  <r>
    <x v="0"/>
    <x v="127"/>
    <x v="127"/>
    <x v="4"/>
    <x v="4"/>
    <x v="4"/>
    <x v="1"/>
    <x v="263"/>
    <x v="353"/>
    <x v="77"/>
    <x v="83"/>
    <x v="212"/>
    <x v="621"/>
    <x v="5"/>
  </r>
  <r>
    <x v="0"/>
    <x v="127"/>
    <x v="127"/>
    <x v="1"/>
    <x v="1"/>
    <x v="1"/>
    <x v="1"/>
    <x v="263"/>
    <x v="353"/>
    <x v="58"/>
    <x v="766"/>
    <x v="211"/>
    <x v="274"/>
    <x v="5"/>
  </r>
  <r>
    <x v="0"/>
    <x v="127"/>
    <x v="127"/>
    <x v="30"/>
    <x v="30"/>
    <x v="30"/>
    <x v="3"/>
    <x v="264"/>
    <x v="157"/>
    <x v="52"/>
    <x v="362"/>
    <x v="189"/>
    <x v="622"/>
    <x v="10"/>
  </r>
  <r>
    <x v="0"/>
    <x v="127"/>
    <x v="127"/>
    <x v="3"/>
    <x v="3"/>
    <x v="3"/>
    <x v="4"/>
    <x v="269"/>
    <x v="770"/>
    <x v="52"/>
    <x v="362"/>
    <x v="210"/>
    <x v="623"/>
    <x v="5"/>
  </r>
  <r>
    <x v="0"/>
    <x v="127"/>
    <x v="127"/>
    <x v="8"/>
    <x v="8"/>
    <x v="8"/>
    <x v="5"/>
    <x v="248"/>
    <x v="91"/>
    <x v="77"/>
    <x v="83"/>
    <x v="189"/>
    <x v="622"/>
    <x v="5"/>
  </r>
  <r>
    <x v="0"/>
    <x v="127"/>
    <x v="127"/>
    <x v="15"/>
    <x v="15"/>
    <x v="15"/>
    <x v="5"/>
    <x v="248"/>
    <x v="91"/>
    <x v="77"/>
    <x v="83"/>
    <x v="189"/>
    <x v="622"/>
    <x v="5"/>
  </r>
  <r>
    <x v="0"/>
    <x v="127"/>
    <x v="127"/>
    <x v="6"/>
    <x v="6"/>
    <x v="6"/>
    <x v="5"/>
    <x v="248"/>
    <x v="91"/>
    <x v="64"/>
    <x v="767"/>
    <x v="132"/>
    <x v="624"/>
    <x v="5"/>
  </r>
  <r>
    <x v="0"/>
    <x v="127"/>
    <x v="127"/>
    <x v="2"/>
    <x v="2"/>
    <x v="2"/>
    <x v="5"/>
    <x v="248"/>
    <x v="91"/>
    <x v="65"/>
    <x v="768"/>
    <x v="160"/>
    <x v="625"/>
    <x v="5"/>
  </r>
  <r>
    <x v="0"/>
    <x v="127"/>
    <x v="127"/>
    <x v="12"/>
    <x v="12"/>
    <x v="12"/>
    <x v="5"/>
    <x v="248"/>
    <x v="91"/>
    <x v="52"/>
    <x v="362"/>
    <x v="209"/>
    <x v="403"/>
    <x v="5"/>
  </r>
  <r>
    <x v="0"/>
    <x v="127"/>
    <x v="127"/>
    <x v="5"/>
    <x v="5"/>
    <x v="5"/>
    <x v="10"/>
    <x v="249"/>
    <x v="771"/>
    <x v="52"/>
    <x v="362"/>
    <x v="163"/>
    <x v="221"/>
    <x v="5"/>
  </r>
  <r>
    <x v="0"/>
    <x v="127"/>
    <x v="127"/>
    <x v="7"/>
    <x v="7"/>
    <x v="7"/>
    <x v="10"/>
    <x v="249"/>
    <x v="771"/>
    <x v="65"/>
    <x v="768"/>
    <x v="211"/>
    <x v="274"/>
    <x v="5"/>
  </r>
  <r>
    <x v="0"/>
    <x v="127"/>
    <x v="127"/>
    <x v="28"/>
    <x v="28"/>
    <x v="28"/>
    <x v="12"/>
    <x v="250"/>
    <x v="94"/>
    <x v="48"/>
    <x v="458"/>
    <x v="209"/>
    <x v="403"/>
    <x v="5"/>
  </r>
  <r>
    <x v="0"/>
    <x v="127"/>
    <x v="127"/>
    <x v="23"/>
    <x v="23"/>
    <x v="23"/>
    <x v="12"/>
    <x v="250"/>
    <x v="94"/>
    <x v="77"/>
    <x v="83"/>
    <x v="132"/>
    <x v="624"/>
    <x v="5"/>
  </r>
  <r>
    <x v="0"/>
    <x v="127"/>
    <x v="127"/>
    <x v="16"/>
    <x v="16"/>
    <x v="16"/>
    <x v="14"/>
    <x v="251"/>
    <x v="179"/>
    <x v="77"/>
    <x v="83"/>
    <x v="209"/>
    <x v="403"/>
    <x v="5"/>
  </r>
  <r>
    <x v="0"/>
    <x v="127"/>
    <x v="127"/>
    <x v="19"/>
    <x v="19"/>
    <x v="19"/>
    <x v="14"/>
    <x v="251"/>
    <x v="179"/>
    <x v="64"/>
    <x v="767"/>
    <x v="211"/>
    <x v="274"/>
    <x v="4"/>
  </r>
  <r>
    <x v="0"/>
    <x v="127"/>
    <x v="127"/>
    <x v="27"/>
    <x v="27"/>
    <x v="27"/>
    <x v="14"/>
    <x v="251"/>
    <x v="179"/>
    <x v="48"/>
    <x v="458"/>
    <x v="163"/>
    <x v="221"/>
    <x v="5"/>
  </r>
  <r>
    <x v="0"/>
    <x v="127"/>
    <x v="127"/>
    <x v="40"/>
    <x v="40"/>
    <x v="40"/>
    <x v="17"/>
    <x v="252"/>
    <x v="209"/>
    <x v="48"/>
    <x v="458"/>
    <x v="160"/>
    <x v="625"/>
    <x v="5"/>
  </r>
  <r>
    <x v="0"/>
    <x v="127"/>
    <x v="127"/>
    <x v="41"/>
    <x v="41"/>
    <x v="41"/>
    <x v="17"/>
    <x v="252"/>
    <x v="209"/>
    <x v="77"/>
    <x v="83"/>
    <x v="160"/>
    <x v="625"/>
    <x v="5"/>
  </r>
  <r>
    <x v="0"/>
    <x v="127"/>
    <x v="127"/>
    <x v="48"/>
    <x v="48"/>
    <x v="48"/>
    <x v="17"/>
    <x v="252"/>
    <x v="209"/>
    <x v="77"/>
    <x v="83"/>
    <x v="160"/>
    <x v="625"/>
    <x v="4"/>
  </r>
  <r>
    <x v="0"/>
    <x v="127"/>
    <x v="127"/>
    <x v="17"/>
    <x v="17"/>
    <x v="17"/>
    <x v="17"/>
    <x v="252"/>
    <x v="209"/>
    <x v="77"/>
    <x v="83"/>
    <x v="163"/>
    <x v="221"/>
    <x v="5"/>
  </r>
  <r>
    <x v="0"/>
    <x v="127"/>
    <x v="127"/>
    <x v="13"/>
    <x v="13"/>
    <x v="13"/>
    <x v="17"/>
    <x v="252"/>
    <x v="209"/>
    <x v="64"/>
    <x v="767"/>
    <x v="211"/>
    <x v="274"/>
    <x v="5"/>
  </r>
  <r>
    <x v="0"/>
    <x v="127"/>
    <x v="127"/>
    <x v="11"/>
    <x v="11"/>
    <x v="11"/>
    <x v="17"/>
    <x v="252"/>
    <x v="209"/>
    <x v="77"/>
    <x v="83"/>
    <x v="163"/>
    <x v="221"/>
    <x v="5"/>
  </r>
  <r>
    <x v="0"/>
    <x v="127"/>
    <x v="127"/>
    <x v="9"/>
    <x v="9"/>
    <x v="9"/>
    <x v="17"/>
    <x v="252"/>
    <x v="209"/>
    <x v="64"/>
    <x v="767"/>
    <x v="211"/>
    <x v="274"/>
    <x v="5"/>
  </r>
  <r>
    <x v="0"/>
    <x v="127"/>
    <x v="127"/>
    <x v="14"/>
    <x v="14"/>
    <x v="14"/>
    <x v="17"/>
    <x v="252"/>
    <x v="209"/>
    <x v="77"/>
    <x v="83"/>
    <x v="163"/>
    <x v="221"/>
    <x v="5"/>
  </r>
  <r>
    <x v="0"/>
    <x v="127"/>
    <x v="127"/>
    <x v="29"/>
    <x v="29"/>
    <x v="29"/>
    <x v="17"/>
    <x v="252"/>
    <x v="209"/>
    <x v="64"/>
    <x v="767"/>
    <x v="211"/>
    <x v="274"/>
    <x v="5"/>
  </r>
  <r>
    <x v="0"/>
    <x v="128"/>
    <x v="128"/>
    <x v="0"/>
    <x v="0"/>
    <x v="0"/>
    <x v="0"/>
    <x v="258"/>
    <x v="772"/>
    <x v="31"/>
    <x v="769"/>
    <x v="209"/>
    <x v="271"/>
    <x v="5"/>
  </r>
  <r>
    <x v="0"/>
    <x v="128"/>
    <x v="128"/>
    <x v="3"/>
    <x v="3"/>
    <x v="3"/>
    <x v="1"/>
    <x v="267"/>
    <x v="773"/>
    <x v="78"/>
    <x v="770"/>
    <x v="210"/>
    <x v="626"/>
    <x v="5"/>
  </r>
  <r>
    <x v="0"/>
    <x v="128"/>
    <x v="128"/>
    <x v="30"/>
    <x v="30"/>
    <x v="30"/>
    <x v="2"/>
    <x v="264"/>
    <x v="774"/>
    <x v="70"/>
    <x v="771"/>
    <x v="211"/>
    <x v="274"/>
    <x v="5"/>
  </r>
  <r>
    <x v="0"/>
    <x v="128"/>
    <x v="128"/>
    <x v="6"/>
    <x v="6"/>
    <x v="6"/>
    <x v="3"/>
    <x v="280"/>
    <x v="542"/>
    <x v="53"/>
    <x v="772"/>
    <x v="209"/>
    <x v="271"/>
    <x v="5"/>
  </r>
  <r>
    <x v="0"/>
    <x v="128"/>
    <x v="128"/>
    <x v="1"/>
    <x v="1"/>
    <x v="1"/>
    <x v="4"/>
    <x v="269"/>
    <x v="593"/>
    <x v="50"/>
    <x v="773"/>
    <x v="211"/>
    <x v="274"/>
    <x v="5"/>
  </r>
  <r>
    <x v="0"/>
    <x v="128"/>
    <x v="128"/>
    <x v="28"/>
    <x v="28"/>
    <x v="28"/>
    <x v="5"/>
    <x v="247"/>
    <x v="689"/>
    <x v="51"/>
    <x v="557"/>
    <x v="209"/>
    <x v="271"/>
    <x v="5"/>
  </r>
  <r>
    <x v="0"/>
    <x v="128"/>
    <x v="128"/>
    <x v="4"/>
    <x v="4"/>
    <x v="4"/>
    <x v="6"/>
    <x v="248"/>
    <x v="354"/>
    <x v="64"/>
    <x v="471"/>
    <x v="132"/>
    <x v="556"/>
    <x v="5"/>
  </r>
  <r>
    <x v="0"/>
    <x v="128"/>
    <x v="128"/>
    <x v="5"/>
    <x v="5"/>
    <x v="5"/>
    <x v="7"/>
    <x v="251"/>
    <x v="775"/>
    <x v="64"/>
    <x v="471"/>
    <x v="160"/>
    <x v="255"/>
    <x v="5"/>
  </r>
  <r>
    <x v="0"/>
    <x v="128"/>
    <x v="128"/>
    <x v="8"/>
    <x v="8"/>
    <x v="8"/>
    <x v="7"/>
    <x v="251"/>
    <x v="775"/>
    <x v="64"/>
    <x v="471"/>
    <x v="160"/>
    <x v="255"/>
    <x v="5"/>
  </r>
  <r>
    <x v="0"/>
    <x v="128"/>
    <x v="128"/>
    <x v="36"/>
    <x v="36"/>
    <x v="36"/>
    <x v="7"/>
    <x v="251"/>
    <x v="775"/>
    <x v="77"/>
    <x v="83"/>
    <x v="160"/>
    <x v="255"/>
    <x v="5"/>
  </r>
  <r>
    <x v="0"/>
    <x v="128"/>
    <x v="128"/>
    <x v="16"/>
    <x v="16"/>
    <x v="16"/>
    <x v="10"/>
    <x v="252"/>
    <x v="34"/>
    <x v="48"/>
    <x v="243"/>
    <x v="160"/>
    <x v="255"/>
    <x v="5"/>
  </r>
  <r>
    <x v="0"/>
    <x v="128"/>
    <x v="128"/>
    <x v="31"/>
    <x v="31"/>
    <x v="31"/>
    <x v="10"/>
    <x v="252"/>
    <x v="34"/>
    <x v="48"/>
    <x v="243"/>
    <x v="160"/>
    <x v="255"/>
    <x v="5"/>
  </r>
  <r>
    <x v="0"/>
    <x v="128"/>
    <x v="128"/>
    <x v="12"/>
    <x v="12"/>
    <x v="12"/>
    <x v="10"/>
    <x v="252"/>
    <x v="34"/>
    <x v="48"/>
    <x v="243"/>
    <x v="211"/>
    <x v="274"/>
    <x v="5"/>
  </r>
  <r>
    <x v="0"/>
    <x v="128"/>
    <x v="128"/>
    <x v="27"/>
    <x v="27"/>
    <x v="27"/>
    <x v="10"/>
    <x v="252"/>
    <x v="34"/>
    <x v="64"/>
    <x v="471"/>
    <x v="211"/>
    <x v="274"/>
    <x v="5"/>
  </r>
  <r>
    <x v="0"/>
    <x v="128"/>
    <x v="128"/>
    <x v="40"/>
    <x v="40"/>
    <x v="40"/>
    <x v="14"/>
    <x v="287"/>
    <x v="691"/>
    <x v="48"/>
    <x v="243"/>
    <x v="211"/>
    <x v="274"/>
    <x v="5"/>
  </r>
  <r>
    <x v="0"/>
    <x v="128"/>
    <x v="128"/>
    <x v="41"/>
    <x v="41"/>
    <x v="41"/>
    <x v="14"/>
    <x v="287"/>
    <x v="691"/>
    <x v="77"/>
    <x v="83"/>
    <x v="211"/>
    <x v="274"/>
    <x v="5"/>
  </r>
  <r>
    <x v="0"/>
    <x v="128"/>
    <x v="128"/>
    <x v="25"/>
    <x v="25"/>
    <x v="25"/>
    <x v="14"/>
    <x v="287"/>
    <x v="691"/>
    <x v="77"/>
    <x v="83"/>
    <x v="160"/>
    <x v="255"/>
    <x v="5"/>
  </r>
  <r>
    <x v="0"/>
    <x v="128"/>
    <x v="128"/>
    <x v="35"/>
    <x v="35"/>
    <x v="35"/>
    <x v="14"/>
    <x v="287"/>
    <x v="691"/>
    <x v="77"/>
    <x v="83"/>
    <x v="160"/>
    <x v="255"/>
    <x v="5"/>
  </r>
  <r>
    <x v="0"/>
    <x v="128"/>
    <x v="128"/>
    <x v="48"/>
    <x v="48"/>
    <x v="48"/>
    <x v="14"/>
    <x v="287"/>
    <x v="691"/>
    <x v="77"/>
    <x v="83"/>
    <x v="211"/>
    <x v="274"/>
    <x v="5"/>
  </r>
  <r>
    <x v="0"/>
    <x v="128"/>
    <x v="128"/>
    <x v="15"/>
    <x v="15"/>
    <x v="15"/>
    <x v="14"/>
    <x v="287"/>
    <x v="691"/>
    <x v="48"/>
    <x v="243"/>
    <x v="211"/>
    <x v="274"/>
    <x v="5"/>
  </r>
  <r>
    <x v="0"/>
    <x v="128"/>
    <x v="128"/>
    <x v="23"/>
    <x v="23"/>
    <x v="23"/>
    <x v="14"/>
    <x v="287"/>
    <x v="691"/>
    <x v="77"/>
    <x v="83"/>
    <x v="160"/>
    <x v="255"/>
    <x v="5"/>
  </r>
  <r>
    <x v="0"/>
    <x v="128"/>
    <x v="128"/>
    <x v="2"/>
    <x v="2"/>
    <x v="2"/>
    <x v="14"/>
    <x v="287"/>
    <x v="691"/>
    <x v="48"/>
    <x v="243"/>
    <x v="211"/>
    <x v="274"/>
    <x v="5"/>
  </r>
  <r>
    <x v="0"/>
    <x v="128"/>
    <x v="128"/>
    <x v="43"/>
    <x v="43"/>
    <x v="43"/>
    <x v="14"/>
    <x v="287"/>
    <x v="691"/>
    <x v="77"/>
    <x v="83"/>
    <x v="211"/>
    <x v="274"/>
    <x v="5"/>
  </r>
  <r>
    <x v="0"/>
    <x v="128"/>
    <x v="128"/>
    <x v="7"/>
    <x v="7"/>
    <x v="7"/>
    <x v="14"/>
    <x v="287"/>
    <x v="691"/>
    <x v="48"/>
    <x v="243"/>
    <x v="211"/>
    <x v="274"/>
    <x v="5"/>
  </r>
  <r>
    <x v="0"/>
    <x v="129"/>
    <x v="129"/>
    <x v="0"/>
    <x v="0"/>
    <x v="0"/>
    <x v="0"/>
    <x v="261"/>
    <x v="776"/>
    <x v="31"/>
    <x v="774"/>
    <x v="160"/>
    <x v="534"/>
    <x v="5"/>
  </r>
  <r>
    <x v="0"/>
    <x v="129"/>
    <x v="129"/>
    <x v="6"/>
    <x v="6"/>
    <x v="6"/>
    <x v="1"/>
    <x v="262"/>
    <x v="777"/>
    <x v="58"/>
    <x v="588"/>
    <x v="132"/>
    <x v="531"/>
    <x v="5"/>
  </r>
  <r>
    <x v="0"/>
    <x v="129"/>
    <x v="129"/>
    <x v="3"/>
    <x v="3"/>
    <x v="3"/>
    <x v="2"/>
    <x v="264"/>
    <x v="514"/>
    <x v="53"/>
    <x v="727"/>
    <x v="132"/>
    <x v="531"/>
    <x v="5"/>
  </r>
  <r>
    <x v="0"/>
    <x v="129"/>
    <x v="129"/>
    <x v="1"/>
    <x v="1"/>
    <x v="1"/>
    <x v="3"/>
    <x v="248"/>
    <x v="498"/>
    <x v="65"/>
    <x v="729"/>
    <x v="160"/>
    <x v="534"/>
    <x v="5"/>
  </r>
  <r>
    <x v="0"/>
    <x v="129"/>
    <x v="129"/>
    <x v="4"/>
    <x v="4"/>
    <x v="4"/>
    <x v="4"/>
    <x v="249"/>
    <x v="492"/>
    <x v="52"/>
    <x v="659"/>
    <x v="163"/>
    <x v="334"/>
    <x v="5"/>
  </r>
  <r>
    <x v="0"/>
    <x v="129"/>
    <x v="129"/>
    <x v="28"/>
    <x v="28"/>
    <x v="28"/>
    <x v="4"/>
    <x v="249"/>
    <x v="492"/>
    <x v="77"/>
    <x v="83"/>
    <x v="210"/>
    <x v="105"/>
    <x v="5"/>
  </r>
  <r>
    <x v="0"/>
    <x v="129"/>
    <x v="129"/>
    <x v="30"/>
    <x v="30"/>
    <x v="30"/>
    <x v="4"/>
    <x v="249"/>
    <x v="492"/>
    <x v="51"/>
    <x v="592"/>
    <x v="160"/>
    <x v="534"/>
    <x v="5"/>
  </r>
  <r>
    <x v="0"/>
    <x v="129"/>
    <x v="129"/>
    <x v="5"/>
    <x v="5"/>
    <x v="5"/>
    <x v="7"/>
    <x v="250"/>
    <x v="493"/>
    <x v="51"/>
    <x v="592"/>
    <x v="211"/>
    <x v="274"/>
    <x v="5"/>
  </r>
  <r>
    <x v="0"/>
    <x v="129"/>
    <x v="129"/>
    <x v="14"/>
    <x v="14"/>
    <x v="14"/>
    <x v="7"/>
    <x v="250"/>
    <x v="493"/>
    <x v="77"/>
    <x v="83"/>
    <x v="160"/>
    <x v="534"/>
    <x v="5"/>
  </r>
  <r>
    <x v="0"/>
    <x v="129"/>
    <x v="129"/>
    <x v="18"/>
    <x v="18"/>
    <x v="18"/>
    <x v="9"/>
    <x v="251"/>
    <x v="494"/>
    <x v="48"/>
    <x v="144"/>
    <x v="163"/>
    <x v="334"/>
    <x v="5"/>
  </r>
  <r>
    <x v="0"/>
    <x v="129"/>
    <x v="129"/>
    <x v="13"/>
    <x v="13"/>
    <x v="13"/>
    <x v="9"/>
    <x v="251"/>
    <x v="494"/>
    <x v="52"/>
    <x v="659"/>
    <x v="211"/>
    <x v="274"/>
    <x v="5"/>
  </r>
  <r>
    <x v="0"/>
    <x v="129"/>
    <x v="129"/>
    <x v="41"/>
    <x v="41"/>
    <x v="41"/>
    <x v="11"/>
    <x v="252"/>
    <x v="495"/>
    <x v="77"/>
    <x v="83"/>
    <x v="160"/>
    <x v="534"/>
    <x v="5"/>
  </r>
  <r>
    <x v="0"/>
    <x v="129"/>
    <x v="129"/>
    <x v="17"/>
    <x v="17"/>
    <x v="17"/>
    <x v="11"/>
    <x v="252"/>
    <x v="495"/>
    <x v="77"/>
    <x v="83"/>
    <x v="163"/>
    <x v="334"/>
    <x v="5"/>
  </r>
  <r>
    <x v="0"/>
    <x v="129"/>
    <x v="129"/>
    <x v="34"/>
    <x v="34"/>
    <x v="34"/>
    <x v="11"/>
    <x v="252"/>
    <x v="495"/>
    <x v="48"/>
    <x v="144"/>
    <x v="211"/>
    <x v="274"/>
    <x v="5"/>
  </r>
  <r>
    <x v="0"/>
    <x v="129"/>
    <x v="129"/>
    <x v="8"/>
    <x v="8"/>
    <x v="8"/>
    <x v="14"/>
    <x v="287"/>
    <x v="496"/>
    <x v="77"/>
    <x v="83"/>
    <x v="160"/>
    <x v="534"/>
    <x v="5"/>
  </r>
  <r>
    <x v="0"/>
    <x v="129"/>
    <x v="129"/>
    <x v="49"/>
    <x v="49"/>
    <x v="49"/>
    <x v="14"/>
    <x v="287"/>
    <x v="496"/>
    <x v="77"/>
    <x v="83"/>
    <x v="160"/>
    <x v="534"/>
    <x v="5"/>
  </r>
  <r>
    <x v="0"/>
    <x v="129"/>
    <x v="129"/>
    <x v="51"/>
    <x v="51"/>
    <x v="51"/>
    <x v="14"/>
    <x v="287"/>
    <x v="496"/>
    <x v="77"/>
    <x v="83"/>
    <x v="160"/>
    <x v="534"/>
    <x v="5"/>
  </r>
  <r>
    <x v="0"/>
    <x v="129"/>
    <x v="129"/>
    <x v="64"/>
    <x v="64"/>
    <x v="64"/>
    <x v="14"/>
    <x v="287"/>
    <x v="496"/>
    <x v="77"/>
    <x v="83"/>
    <x v="160"/>
    <x v="534"/>
    <x v="5"/>
  </r>
  <r>
    <x v="0"/>
    <x v="129"/>
    <x v="129"/>
    <x v="25"/>
    <x v="25"/>
    <x v="25"/>
    <x v="14"/>
    <x v="287"/>
    <x v="496"/>
    <x v="77"/>
    <x v="83"/>
    <x v="160"/>
    <x v="534"/>
    <x v="5"/>
  </r>
  <r>
    <x v="0"/>
    <x v="129"/>
    <x v="129"/>
    <x v="15"/>
    <x v="15"/>
    <x v="15"/>
    <x v="14"/>
    <x v="287"/>
    <x v="496"/>
    <x v="77"/>
    <x v="83"/>
    <x v="160"/>
    <x v="534"/>
    <x v="5"/>
  </r>
  <r>
    <x v="0"/>
    <x v="129"/>
    <x v="129"/>
    <x v="16"/>
    <x v="16"/>
    <x v="16"/>
    <x v="14"/>
    <x v="287"/>
    <x v="496"/>
    <x v="77"/>
    <x v="83"/>
    <x v="160"/>
    <x v="534"/>
    <x v="5"/>
  </r>
  <r>
    <x v="0"/>
    <x v="129"/>
    <x v="129"/>
    <x v="24"/>
    <x v="24"/>
    <x v="24"/>
    <x v="14"/>
    <x v="287"/>
    <x v="496"/>
    <x v="77"/>
    <x v="83"/>
    <x v="160"/>
    <x v="534"/>
    <x v="5"/>
  </r>
  <r>
    <x v="0"/>
    <x v="129"/>
    <x v="129"/>
    <x v="10"/>
    <x v="10"/>
    <x v="10"/>
    <x v="14"/>
    <x v="287"/>
    <x v="496"/>
    <x v="77"/>
    <x v="83"/>
    <x v="160"/>
    <x v="534"/>
    <x v="5"/>
  </r>
  <r>
    <x v="0"/>
    <x v="129"/>
    <x v="129"/>
    <x v="19"/>
    <x v="19"/>
    <x v="19"/>
    <x v="14"/>
    <x v="287"/>
    <x v="496"/>
    <x v="48"/>
    <x v="144"/>
    <x v="211"/>
    <x v="274"/>
    <x v="5"/>
  </r>
  <r>
    <x v="0"/>
    <x v="129"/>
    <x v="129"/>
    <x v="9"/>
    <x v="9"/>
    <x v="9"/>
    <x v="14"/>
    <x v="287"/>
    <x v="496"/>
    <x v="77"/>
    <x v="83"/>
    <x v="211"/>
    <x v="274"/>
    <x v="5"/>
  </r>
  <r>
    <x v="0"/>
    <x v="129"/>
    <x v="129"/>
    <x v="7"/>
    <x v="7"/>
    <x v="7"/>
    <x v="14"/>
    <x v="287"/>
    <x v="496"/>
    <x v="48"/>
    <x v="144"/>
    <x v="211"/>
    <x v="274"/>
    <x v="5"/>
  </r>
  <r>
    <x v="0"/>
    <x v="129"/>
    <x v="129"/>
    <x v="36"/>
    <x v="36"/>
    <x v="36"/>
    <x v="14"/>
    <x v="287"/>
    <x v="496"/>
    <x v="77"/>
    <x v="83"/>
    <x v="160"/>
    <x v="534"/>
    <x v="5"/>
  </r>
  <r>
    <x v="0"/>
    <x v="129"/>
    <x v="129"/>
    <x v="37"/>
    <x v="37"/>
    <x v="37"/>
    <x v="14"/>
    <x v="287"/>
    <x v="496"/>
    <x v="77"/>
    <x v="83"/>
    <x v="211"/>
    <x v="274"/>
    <x v="5"/>
  </r>
  <r>
    <x v="0"/>
    <x v="130"/>
    <x v="130"/>
    <x v="0"/>
    <x v="0"/>
    <x v="0"/>
    <x v="0"/>
    <x v="259"/>
    <x v="350"/>
    <x v="34"/>
    <x v="662"/>
    <x v="160"/>
    <x v="456"/>
    <x v="5"/>
  </r>
  <r>
    <x v="0"/>
    <x v="130"/>
    <x v="130"/>
    <x v="3"/>
    <x v="3"/>
    <x v="3"/>
    <x v="1"/>
    <x v="263"/>
    <x v="586"/>
    <x v="52"/>
    <x v="668"/>
    <x v="197"/>
    <x v="627"/>
    <x v="5"/>
  </r>
  <r>
    <x v="0"/>
    <x v="130"/>
    <x v="130"/>
    <x v="30"/>
    <x v="30"/>
    <x v="30"/>
    <x v="1"/>
    <x v="263"/>
    <x v="586"/>
    <x v="78"/>
    <x v="509"/>
    <x v="163"/>
    <x v="176"/>
    <x v="5"/>
  </r>
  <r>
    <x v="0"/>
    <x v="130"/>
    <x v="130"/>
    <x v="1"/>
    <x v="1"/>
    <x v="1"/>
    <x v="3"/>
    <x v="264"/>
    <x v="778"/>
    <x v="96"/>
    <x v="681"/>
    <x v="160"/>
    <x v="456"/>
    <x v="5"/>
  </r>
  <r>
    <x v="0"/>
    <x v="130"/>
    <x v="130"/>
    <x v="6"/>
    <x v="6"/>
    <x v="6"/>
    <x v="4"/>
    <x v="280"/>
    <x v="353"/>
    <x v="65"/>
    <x v="523"/>
    <x v="210"/>
    <x v="498"/>
    <x v="5"/>
  </r>
  <r>
    <x v="0"/>
    <x v="130"/>
    <x v="130"/>
    <x v="28"/>
    <x v="28"/>
    <x v="28"/>
    <x v="5"/>
    <x v="248"/>
    <x v="589"/>
    <x v="48"/>
    <x v="663"/>
    <x v="210"/>
    <x v="498"/>
    <x v="5"/>
  </r>
  <r>
    <x v="0"/>
    <x v="130"/>
    <x v="130"/>
    <x v="4"/>
    <x v="4"/>
    <x v="4"/>
    <x v="6"/>
    <x v="250"/>
    <x v="751"/>
    <x v="48"/>
    <x v="663"/>
    <x v="209"/>
    <x v="500"/>
    <x v="5"/>
  </r>
  <r>
    <x v="0"/>
    <x v="130"/>
    <x v="130"/>
    <x v="5"/>
    <x v="5"/>
    <x v="5"/>
    <x v="6"/>
    <x v="250"/>
    <x v="751"/>
    <x v="52"/>
    <x v="668"/>
    <x v="160"/>
    <x v="456"/>
    <x v="5"/>
  </r>
  <r>
    <x v="0"/>
    <x v="130"/>
    <x v="130"/>
    <x v="8"/>
    <x v="8"/>
    <x v="8"/>
    <x v="6"/>
    <x v="250"/>
    <x v="751"/>
    <x v="48"/>
    <x v="663"/>
    <x v="209"/>
    <x v="500"/>
    <x v="5"/>
  </r>
  <r>
    <x v="0"/>
    <x v="130"/>
    <x v="130"/>
    <x v="11"/>
    <x v="11"/>
    <x v="11"/>
    <x v="6"/>
    <x v="250"/>
    <x v="751"/>
    <x v="52"/>
    <x v="668"/>
    <x v="160"/>
    <x v="456"/>
    <x v="5"/>
  </r>
  <r>
    <x v="0"/>
    <x v="130"/>
    <x v="130"/>
    <x v="14"/>
    <x v="14"/>
    <x v="14"/>
    <x v="6"/>
    <x v="250"/>
    <x v="751"/>
    <x v="77"/>
    <x v="83"/>
    <x v="160"/>
    <x v="456"/>
    <x v="5"/>
  </r>
  <r>
    <x v="0"/>
    <x v="130"/>
    <x v="130"/>
    <x v="12"/>
    <x v="12"/>
    <x v="12"/>
    <x v="11"/>
    <x v="251"/>
    <x v="356"/>
    <x v="48"/>
    <x v="663"/>
    <x v="211"/>
    <x v="274"/>
    <x v="5"/>
  </r>
  <r>
    <x v="0"/>
    <x v="130"/>
    <x v="130"/>
    <x v="41"/>
    <x v="41"/>
    <x v="41"/>
    <x v="12"/>
    <x v="252"/>
    <x v="138"/>
    <x v="77"/>
    <x v="83"/>
    <x v="160"/>
    <x v="456"/>
    <x v="5"/>
  </r>
  <r>
    <x v="0"/>
    <x v="130"/>
    <x v="130"/>
    <x v="35"/>
    <x v="35"/>
    <x v="35"/>
    <x v="12"/>
    <x v="252"/>
    <x v="138"/>
    <x v="77"/>
    <x v="83"/>
    <x v="163"/>
    <x v="176"/>
    <x v="5"/>
  </r>
  <r>
    <x v="0"/>
    <x v="130"/>
    <x v="130"/>
    <x v="18"/>
    <x v="18"/>
    <x v="18"/>
    <x v="12"/>
    <x v="252"/>
    <x v="138"/>
    <x v="77"/>
    <x v="83"/>
    <x v="163"/>
    <x v="176"/>
    <x v="5"/>
  </r>
  <r>
    <x v="0"/>
    <x v="130"/>
    <x v="130"/>
    <x v="16"/>
    <x v="16"/>
    <x v="16"/>
    <x v="12"/>
    <x v="252"/>
    <x v="138"/>
    <x v="77"/>
    <x v="83"/>
    <x v="163"/>
    <x v="176"/>
    <x v="5"/>
  </r>
  <r>
    <x v="0"/>
    <x v="130"/>
    <x v="130"/>
    <x v="13"/>
    <x v="13"/>
    <x v="13"/>
    <x v="12"/>
    <x v="252"/>
    <x v="138"/>
    <x v="48"/>
    <x v="663"/>
    <x v="160"/>
    <x v="456"/>
    <x v="5"/>
  </r>
  <r>
    <x v="0"/>
    <x v="130"/>
    <x v="130"/>
    <x v="23"/>
    <x v="23"/>
    <x v="23"/>
    <x v="12"/>
    <x v="252"/>
    <x v="138"/>
    <x v="77"/>
    <x v="83"/>
    <x v="163"/>
    <x v="176"/>
    <x v="5"/>
  </r>
  <r>
    <x v="0"/>
    <x v="130"/>
    <x v="130"/>
    <x v="31"/>
    <x v="31"/>
    <x v="31"/>
    <x v="12"/>
    <x v="252"/>
    <x v="138"/>
    <x v="77"/>
    <x v="83"/>
    <x v="163"/>
    <x v="176"/>
    <x v="5"/>
  </r>
  <r>
    <x v="0"/>
    <x v="130"/>
    <x v="130"/>
    <x v="10"/>
    <x v="10"/>
    <x v="10"/>
    <x v="12"/>
    <x v="252"/>
    <x v="138"/>
    <x v="48"/>
    <x v="663"/>
    <x v="160"/>
    <x v="456"/>
    <x v="5"/>
  </r>
  <r>
    <x v="0"/>
    <x v="130"/>
    <x v="130"/>
    <x v="9"/>
    <x v="9"/>
    <x v="9"/>
    <x v="12"/>
    <x v="252"/>
    <x v="138"/>
    <x v="77"/>
    <x v="83"/>
    <x v="211"/>
    <x v="274"/>
    <x v="5"/>
  </r>
  <r>
    <x v="0"/>
    <x v="130"/>
    <x v="130"/>
    <x v="7"/>
    <x v="7"/>
    <x v="7"/>
    <x v="12"/>
    <x v="252"/>
    <x v="138"/>
    <x v="48"/>
    <x v="663"/>
    <x v="211"/>
    <x v="274"/>
    <x v="5"/>
  </r>
  <r>
    <x v="0"/>
    <x v="130"/>
    <x v="130"/>
    <x v="36"/>
    <x v="36"/>
    <x v="36"/>
    <x v="12"/>
    <x v="252"/>
    <x v="138"/>
    <x v="48"/>
    <x v="663"/>
    <x v="211"/>
    <x v="274"/>
    <x v="5"/>
  </r>
  <r>
    <x v="0"/>
    <x v="131"/>
    <x v="131"/>
    <x v="0"/>
    <x v="0"/>
    <x v="0"/>
    <x v="0"/>
    <x v="263"/>
    <x v="584"/>
    <x v="50"/>
    <x v="502"/>
    <x v="132"/>
    <x v="352"/>
    <x v="5"/>
  </r>
  <r>
    <x v="0"/>
    <x v="131"/>
    <x v="131"/>
    <x v="2"/>
    <x v="2"/>
    <x v="2"/>
    <x v="1"/>
    <x v="269"/>
    <x v="779"/>
    <x v="65"/>
    <x v="130"/>
    <x v="209"/>
    <x v="383"/>
    <x v="5"/>
  </r>
  <r>
    <x v="0"/>
    <x v="131"/>
    <x v="131"/>
    <x v="6"/>
    <x v="6"/>
    <x v="6"/>
    <x v="2"/>
    <x v="248"/>
    <x v="540"/>
    <x v="52"/>
    <x v="775"/>
    <x v="209"/>
    <x v="383"/>
    <x v="5"/>
  </r>
  <r>
    <x v="0"/>
    <x v="131"/>
    <x v="131"/>
    <x v="3"/>
    <x v="3"/>
    <x v="3"/>
    <x v="2"/>
    <x v="248"/>
    <x v="540"/>
    <x v="77"/>
    <x v="83"/>
    <x v="189"/>
    <x v="561"/>
    <x v="5"/>
  </r>
  <r>
    <x v="0"/>
    <x v="131"/>
    <x v="131"/>
    <x v="9"/>
    <x v="9"/>
    <x v="9"/>
    <x v="4"/>
    <x v="249"/>
    <x v="523"/>
    <x v="64"/>
    <x v="678"/>
    <x v="160"/>
    <x v="199"/>
    <x v="5"/>
  </r>
  <r>
    <x v="0"/>
    <x v="131"/>
    <x v="131"/>
    <x v="14"/>
    <x v="14"/>
    <x v="14"/>
    <x v="4"/>
    <x v="249"/>
    <x v="523"/>
    <x v="77"/>
    <x v="83"/>
    <x v="163"/>
    <x v="21"/>
    <x v="5"/>
  </r>
  <r>
    <x v="0"/>
    <x v="131"/>
    <x v="131"/>
    <x v="4"/>
    <x v="4"/>
    <x v="4"/>
    <x v="6"/>
    <x v="250"/>
    <x v="271"/>
    <x v="48"/>
    <x v="365"/>
    <x v="209"/>
    <x v="383"/>
    <x v="5"/>
  </r>
  <r>
    <x v="0"/>
    <x v="131"/>
    <x v="131"/>
    <x v="30"/>
    <x v="30"/>
    <x v="30"/>
    <x v="6"/>
    <x v="250"/>
    <x v="271"/>
    <x v="64"/>
    <x v="678"/>
    <x v="163"/>
    <x v="21"/>
    <x v="5"/>
  </r>
  <r>
    <x v="0"/>
    <x v="131"/>
    <x v="131"/>
    <x v="21"/>
    <x v="21"/>
    <x v="21"/>
    <x v="6"/>
    <x v="250"/>
    <x v="271"/>
    <x v="77"/>
    <x v="83"/>
    <x v="132"/>
    <x v="352"/>
    <x v="5"/>
  </r>
  <r>
    <x v="0"/>
    <x v="131"/>
    <x v="131"/>
    <x v="5"/>
    <x v="5"/>
    <x v="5"/>
    <x v="9"/>
    <x v="251"/>
    <x v="295"/>
    <x v="64"/>
    <x v="678"/>
    <x v="160"/>
    <x v="199"/>
    <x v="5"/>
  </r>
  <r>
    <x v="0"/>
    <x v="131"/>
    <x v="131"/>
    <x v="31"/>
    <x v="31"/>
    <x v="31"/>
    <x v="9"/>
    <x v="251"/>
    <x v="295"/>
    <x v="77"/>
    <x v="83"/>
    <x v="209"/>
    <x v="383"/>
    <x v="5"/>
  </r>
  <r>
    <x v="0"/>
    <x v="131"/>
    <x v="131"/>
    <x v="1"/>
    <x v="1"/>
    <x v="1"/>
    <x v="9"/>
    <x v="251"/>
    <x v="295"/>
    <x v="52"/>
    <x v="775"/>
    <x v="211"/>
    <x v="274"/>
    <x v="5"/>
  </r>
  <r>
    <x v="0"/>
    <x v="131"/>
    <x v="131"/>
    <x v="42"/>
    <x v="42"/>
    <x v="42"/>
    <x v="12"/>
    <x v="252"/>
    <x v="49"/>
    <x v="77"/>
    <x v="83"/>
    <x v="163"/>
    <x v="21"/>
    <x v="5"/>
  </r>
  <r>
    <x v="0"/>
    <x v="131"/>
    <x v="131"/>
    <x v="41"/>
    <x v="41"/>
    <x v="41"/>
    <x v="12"/>
    <x v="252"/>
    <x v="49"/>
    <x v="77"/>
    <x v="83"/>
    <x v="160"/>
    <x v="199"/>
    <x v="5"/>
  </r>
  <r>
    <x v="0"/>
    <x v="131"/>
    <x v="131"/>
    <x v="15"/>
    <x v="15"/>
    <x v="15"/>
    <x v="12"/>
    <x v="252"/>
    <x v="49"/>
    <x v="77"/>
    <x v="83"/>
    <x v="163"/>
    <x v="21"/>
    <x v="5"/>
  </r>
  <r>
    <x v="0"/>
    <x v="131"/>
    <x v="131"/>
    <x v="60"/>
    <x v="60"/>
    <x v="60"/>
    <x v="15"/>
    <x v="287"/>
    <x v="326"/>
    <x v="77"/>
    <x v="83"/>
    <x v="160"/>
    <x v="199"/>
    <x v="5"/>
  </r>
  <r>
    <x v="0"/>
    <x v="131"/>
    <x v="131"/>
    <x v="8"/>
    <x v="8"/>
    <x v="8"/>
    <x v="15"/>
    <x v="287"/>
    <x v="326"/>
    <x v="77"/>
    <x v="83"/>
    <x v="160"/>
    <x v="199"/>
    <x v="5"/>
  </r>
  <r>
    <x v="0"/>
    <x v="131"/>
    <x v="131"/>
    <x v="50"/>
    <x v="50"/>
    <x v="50"/>
    <x v="15"/>
    <x v="287"/>
    <x v="326"/>
    <x v="77"/>
    <x v="83"/>
    <x v="160"/>
    <x v="199"/>
    <x v="5"/>
  </r>
  <r>
    <x v="0"/>
    <x v="131"/>
    <x v="131"/>
    <x v="55"/>
    <x v="55"/>
    <x v="55"/>
    <x v="15"/>
    <x v="287"/>
    <x v="326"/>
    <x v="48"/>
    <x v="365"/>
    <x v="211"/>
    <x v="274"/>
    <x v="5"/>
  </r>
  <r>
    <x v="0"/>
    <x v="131"/>
    <x v="131"/>
    <x v="52"/>
    <x v="52"/>
    <x v="52"/>
    <x v="15"/>
    <x v="287"/>
    <x v="326"/>
    <x v="77"/>
    <x v="83"/>
    <x v="160"/>
    <x v="199"/>
    <x v="5"/>
  </r>
  <r>
    <x v="0"/>
    <x v="131"/>
    <x v="131"/>
    <x v="68"/>
    <x v="68"/>
    <x v="68"/>
    <x v="15"/>
    <x v="287"/>
    <x v="326"/>
    <x v="48"/>
    <x v="365"/>
    <x v="211"/>
    <x v="274"/>
    <x v="5"/>
  </r>
  <r>
    <x v="0"/>
    <x v="131"/>
    <x v="131"/>
    <x v="67"/>
    <x v="67"/>
    <x v="67"/>
    <x v="15"/>
    <x v="287"/>
    <x v="326"/>
    <x v="77"/>
    <x v="83"/>
    <x v="160"/>
    <x v="199"/>
    <x v="5"/>
  </r>
  <r>
    <x v="0"/>
    <x v="131"/>
    <x v="131"/>
    <x v="16"/>
    <x v="16"/>
    <x v="16"/>
    <x v="15"/>
    <x v="287"/>
    <x v="326"/>
    <x v="77"/>
    <x v="83"/>
    <x v="160"/>
    <x v="199"/>
    <x v="5"/>
  </r>
  <r>
    <x v="0"/>
    <x v="131"/>
    <x v="131"/>
    <x v="11"/>
    <x v="11"/>
    <x v="11"/>
    <x v="15"/>
    <x v="287"/>
    <x v="326"/>
    <x v="48"/>
    <x v="365"/>
    <x v="211"/>
    <x v="274"/>
    <x v="5"/>
  </r>
  <r>
    <x v="0"/>
    <x v="131"/>
    <x v="131"/>
    <x v="23"/>
    <x v="23"/>
    <x v="23"/>
    <x v="15"/>
    <x v="287"/>
    <x v="326"/>
    <x v="48"/>
    <x v="365"/>
    <x v="211"/>
    <x v="274"/>
    <x v="5"/>
  </r>
  <r>
    <x v="0"/>
    <x v="131"/>
    <x v="131"/>
    <x v="12"/>
    <x v="12"/>
    <x v="12"/>
    <x v="15"/>
    <x v="287"/>
    <x v="326"/>
    <x v="77"/>
    <x v="83"/>
    <x v="160"/>
    <x v="199"/>
    <x v="5"/>
  </r>
  <r>
    <x v="0"/>
    <x v="131"/>
    <x v="131"/>
    <x v="7"/>
    <x v="7"/>
    <x v="7"/>
    <x v="15"/>
    <x v="287"/>
    <x v="326"/>
    <x v="48"/>
    <x v="365"/>
    <x v="211"/>
    <x v="274"/>
    <x v="5"/>
  </r>
  <r>
    <x v="0"/>
    <x v="131"/>
    <x v="131"/>
    <x v="27"/>
    <x v="27"/>
    <x v="27"/>
    <x v="15"/>
    <x v="287"/>
    <x v="326"/>
    <x v="77"/>
    <x v="83"/>
    <x v="160"/>
    <x v="199"/>
    <x v="5"/>
  </r>
  <r>
    <x v="0"/>
    <x v="131"/>
    <x v="131"/>
    <x v="29"/>
    <x v="29"/>
    <x v="29"/>
    <x v="15"/>
    <x v="287"/>
    <x v="326"/>
    <x v="48"/>
    <x v="365"/>
    <x v="211"/>
    <x v="274"/>
    <x v="5"/>
  </r>
  <r>
    <x v="0"/>
    <x v="132"/>
    <x v="132"/>
    <x v="0"/>
    <x v="0"/>
    <x v="0"/>
    <x v="0"/>
    <x v="265"/>
    <x v="625"/>
    <x v="186"/>
    <x v="622"/>
    <x v="189"/>
    <x v="628"/>
    <x v="5"/>
  </r>
  <r>
    <x v="0"/>
    <x v="132"/>
    <x v="132"/>
    <x v="1"/>
    <x v="1"/>
    <x v="1"/>
    <x v="1"/>
    <x v="131"/>
    <x v="780"/>
    <x v="188"/>
    <x v="776"/>
    <x v="209"/>
    <x v="629"/>
    <x v="5"/>
  </r>
  <r>
    <x v="0"/>
    <x v="132"/>
    <x v="132"/>
    <x v="3"/>
    <x v="3"/>
    <x v="3"/>
    <x v="2"/>
    <x v="133"/>
    <x v="781"/>
    <x v="38"/>
    <x v="424"/>
    <x v="118"/>
    <x v="630"/>
    <x v="5"/>
  </r>
  <r>
    <x v="0"/>
    <x v="132"/>
    <x v="132"/>
    <x v="6"/>
    <x v="6"/>
    <x v="6"/>
    <x v="3"/>
    <x v="162"/>
    <x v="454"/>
    <x v="31"/>
    <x v="777"/>
    <x v="206"/>
    <x v="631"/>
    <x v="4"/>
  </r>
  <r>
    <x v="0"/>
    <x v="132"/>
    <x v="132"/>
    <x v="2"/>
    <x v="2"/>
    <x v="2"/>
    <x v="4"/>
    <x v="163"/>
    <x v="355"/>
    <x v="31"/>
    <x v="777"/>
    <x v="190"/>
    <x v="157"/>
    <x v="5"/>
  </r>
  <r>
    <x v="0"/>
    <x v="132"/>
    <x v="132"/>
    <x v="4"/>
    <x v="4"/>
    <x v="4"/>
    <x v="5"/>
    <x v="259"/>
    <x v="200"/>
    <x v="51"/>
    <x v="628"/>
    <x v="157"/>
    <x v="632"/>
    <x v="5"/>
  </r>
  <r>
    <x v="0"/>
    <x v="132"/>
    <x v="132"/>
    <x v="11"/>
    <x v="11"/>
    <x v="11"/>
    <x v="6"/>
    <x v="262"/>
    <x v="295"/>
    <x v="50"/>
    <x v="248"/>
    <x v="206"/>
    <x v="631"/>
    <x v="5"/>
  </r>
  <r>
    <x v="0"/>
    <x v="132"/>
    <x v="132"/>
    <x v="7"/>
    <x v="7"/>
    <x v="7"/>
    <x v="7"/>
    <x v="263"/>
    <x v="248"/>
    <x v="58"/>
    <x v="625"/>
    <x v="211"/>
    <x v="274"/>
    <x v="5"/>
  </r>
  <r>
    <x v="0"/>
    <x v="132"/>
    <x v="132"/>
    <x v="13"/>
    <x v="13"/>
    <x v="13"/>
    <x v="8"/>
    <x v="264"/>
    <x v="112"/>
    <x v="53"/>
    <x v="378"/>
    <x v="132"/>
    <x v="431"/>
    <x v="5"/>
  </r>
  <r>
    <x v="0"/>
    <x v="132"/>
    <x v="132"/>
    <x v="9"/>
    <x v="9"/>
    <x v="9"/>
    <x v="8"/>
    <x v="264"/>
    <x v="112"/>
    <x v="96"/>
    <x v="338"/>
    <x v="163"/>
    <x v="96"/>
    <x v="5"/>
  </r>
  <r>
    <x v="0"/>
    <x v="132"/>
    <x v="132"/>
    <x v="5"/>
    <x v="5"/>
    <x v="5"/>
    <x v="10"/>
    <x v="280"/>
    <x v="782"/>
    <x v="53"/>
    <x v="378"/>
    <x v="209"/>
    <x v="629"/>
    <x v="5"/>
  </r>
  <r>
    <x v="0"/>
    <x v="132"/>
    <x v="132"/>
    <x v="14"/>
    <x v="14"/>
    <x v="14"/>
    <x v="11"/>
    <x v="268"/>
    <x v="193"/>
    <x v="77"/>
    <x v="83"/>
    <x v="189"/>
    <x v="628"/>
    <x v="5"/>
  </r>
  <r>
    <x v="0"/>
    <x v="132"/>
    <x v="132"/>
    <x v="27"/>
    <x v="27"/>
    <x v="27"/>
    <x v="11"/>
    <x v="268"/>
    <x v="193"/>
    <x v="96"/>
    <x v="338"/>
    <x v="211"/>
    <x v="274"/>
    <x v="5"/>
  </r>
  <r>
    <x v="0"/>
    <x v="132"/>
    <x v="132"/>
    <x v="23"/>
    <x v="23"/>
    <x v="23"/>
    <x v="13"/>
    <x v="269"/>
    <x v="114"/>
    <x v="52"/>
    <x v="340"/>
    <x v="210"/>
    <x v="578"/>
    <x v="5"/>
  </r>
  <r>
    <x v="0"/>
    <x v="132"/>
    <x v="132"/>
    <x v="12"/>
    <x v="12"/>
    <x v="12"/>
    <x v="13"/>
    <x v="269"/>
    <x v="114"/>
    <x v="77"/>
    <x v="83"/>
    <x v="206"/>
    <x v="631"/>
    <x v="5"/>
  </r>
  <r>
    <x v="0"/>
    <x v="132"/>
    <x v="132"/>
    <x v="32"/>
    <x v="32"/>
    <x v="32"/>
    <x v="15"/>
    <x v="247"/>
    <x v="413"/>
    <x v="52"/>
    <x v="340"/>
    <x v="132"/>
    <x v="431"/>
    <x v="5"/>
  </r>
  <r>
    <x v="0"/>
    <x v="132"/>
    <x v="132"/>
    <x v="15"/>
    <x v="15"/>
    <x v="15"/>
    <x v="15"/>
    <x v="247"/>
    <x v="413"/>
    <x v="77"/>
    <x v="83"/>
    <x v="190"/>
    <x v="157"/>
    <x v="5"/>
  </r>
  <r>
    <x v="0"/>
    <x v="132"/>
    <x v="132"/>
    <x v="24"/>
    <x v="24"/>
    <x v="24"/>
    <x v="15"/>
    <x v="247"/>
    <x v="413"/>
    <x v="64"/>
    <x v="286"/>
    <x v="210"/>
    <x v="578"/>
    <x v="5"/>
  </r>
  <r>
    <x v="0"/>
    <x v="132"/>
    <x v="132"/>
    <x v="19"/>
    <x v="19"/>
    <x v="19"/>
    <x v="15"/>
    <x v="247"/>
    <x v="413"/>
    <x v="82"/>
    <x v="626"/>
    <x v="160"/>
    <x v="633"/>
    <x v="5"/>
  </r>
  <r>
    <x v="0"/>
    <x v="132"/>
    <x v="132"/>
    <x v="8"/>
    <x v="8"/>
    <x v="8"/>
    <x v="19"/>
    <x v="248"/>
    <x v="54"/>
    <x v="77"/>
    <x v="83"/>
    <x v="189"/>
    <x v="628"/>
    <x v="5"/>
  </r>
  <r>
    <x v="0"/>
    <x v="132"/>
    <x v="132"/>
    <x v="17"/>
    <x v="17"/>
    <x v="17"/>
    <x v="19"/>
    <x v="248"/>
    <x v="54"/>
    <x v="64"/>
    <x v="286"/>
    <x v="132"/>
    <x v="431"/>
    <x v="5"/>
  </r>
  <r>
    <x v="0"/>
    <x v="133"/>
    <x v="133"/>
    <x v="1"/>
    <x v="1"/>
    <x v="1"/>
    <x v="0"/>
    <x v="264"/>
    <x v="783"/>
    <x v="78"/>
    <x v="425"/>
    <x v="160"/>
    <x v="197"/>
    <x v="5"/>
  </r>
  <r>
    <x v="0"/>
    <x v="133"/>
    <x v="133"/>
    <x v="0"/>
    <x v="0"/>
    <x v="0"/>
    <x v="1"/>
    <x v="280"/>
    <x v="784"/>
    <x v="78"/>
    <x v="425"/>
    <x v="211"/>
    <x v="274"/>
    <x v="5"/>
  </r>
  <r>
    <x v="0"/>
    <x v="133"/>
    <x v="133"/>
    <x v="6"/>
    <x v="6"/>
    <x v="6"/>
    <x v="2"/>
    <x v="268"/>
    <x v="557"/>
    <x v="53"/>
    <x v="778"/>
    <x v="163"/>
    <x v="100"/>
    <x v="5"/>
  </r>
  <r>
    <x v="0"/>
    <x v="133"/>
    <x v="133"/>
    <x v="5"/>
    <x v="5"/>
    <x v="5"/>
    <x v="3"/>
    <x v="269"/>
    <x v="398"/>
    <x v="51"/>
    <x v="573"/>
    <x v="132"/>
    <x v="521"/>
    <x v="5"/>
  </r>
  <r>
    <x v="0"/>
    <x v="133"/>
    <x v="133"/>
    <x v="3"/>
    <x v="3"/>
    <x v="3"/>
    <x v="4"/>
    <x v="247"/>
    <x v="345"/>
    <x v="52"/>
    <x v="574"/>
    <x v="132"/>
    <x v="521"/>
    <x v="5"/>
  </r>
  <r>
    <x v="0"/>
    <x v="133"/>
    <x v="133"/>
    <x v="9"/>
    <x v="9"/>
    <x v="9"/>
    <x v="4"/>
    <x v="247"/>
    <x v="345"/>
    <x v="65"/>
    <x v="429"/>
    <x v="160"/>
    <x v="197"/>
    <x v="5"/>
  </r>
  <r>
    <x v="0"/>
    <x v="133"/>
    <x v="133"/>
    <x v="8"/>
    <x v="8"/>
    <x v="8"/>
    <x v="6"/>
    <x v="249"/>
    <x v="785"/>
    <x v="48"/>
    <x v="463"/>
    <x v="132"/>
    <x v="521"/>
    <x v="5"/>
  </r>
  <r>
    <x v="0"/>
    <x v="133"/>
    <x v="133"/>
    <x v="32"/>
    <x v="32"/>
    <x v="32"/>
    <x v="6"/>
    <x v="249"/>
    <x v="785"/>
    <x v="77"/>
    <x v="83"/>
    <x v="210"/>
    <x v="485"/>
    <x v="5"/>
  </r>
  <r>
    <x v="0"/>
    <x v="133"/>
    <x v="133"/>
    <x v="11"/>
    <x v="11"/>
    <x v="11"/>
    <x v="6"/>
    <x v="249"/>
    <x v="785"/>
    <x v="52"/>
    <x v="574"/>
    <x v="163"/>
    <x v="100"/>
    <x v="5"/>
  </r>
  <r>
    <x v="0"/>
    <x v="133"/>
    <x v="133"/>
    <x v="2"/>
    <x v="2"/>
    <x v="2"/>
    <x v="9"/>
    <x v="250"/>
    <x v="461"/>
    <x v="48"/>
    <x v="463"/>
    <x v="209"/>
    <x v="433"/>
    <x v="5"/>
  </r>
  <r>
    <x v="0"/>
    <x v="133"/>
    <x v="133"/>
    <x v="12"/>
    <x v="12"/>
    <x v="12"/>
    <x v="9"/>
    <x v="250"/>
    <x v="461"/>
    <x v="48"/>
    <x v="463"/>
    <x v="163"/>
    <x v="100"/>
    <x v="4"/>
  </r>
  <r>
    <x v="0"/>
    <x v="133"/>
    <x v="133"/>
    <x v="17"/>
    <x v="17"/>
    <x v="17"/>
    <x v="11"/>
    <x v="251"/>
    <x v="178"/>
    <x v="48"/>
    <x v="463"/>
    <x v="163"/>
    <x v="100"/>
    <x v="5"/>
  </r>
  <r>
    <x v="0"/>
    <x v="133"/>
    <x v="133"/>
    <x v="7"/>
    <x v="7"/>
    <x v="7"/>
    <x v="11"/>
    <x v="251"/>
    <x v="178"/>
    <x v="52"/>
    <x v="574"/>
    <x v="211"/>
    <x v="274"/>
    <x v="5"/>
  </r>
  <r>
    <x v="0"/>
    <x v="133"/>
    <x v="133"/>
    <x v="14"/>
    <x v="14"/>
    <x v="14"/>
    <x v="11"/>
    <x v="251"/>
    <x v="178"/>
    <x v="77"/>
    <x v="83"/>
    <x v="209"/>
    <x v="433"/>
    <x v="5"/>
  </r>
  <r>
    <x v="0"/>
    <x v="133"/>
    <x v="133"/>
    <x v="55"/>
    <x v="55"/>
    <x v="55"/>
    <x v="14"/>
    <x v="252"/>
    <x v="137"/>
    <x v="77"/>
    <x v="83"/>
    <x v="163"/>
    <x v="100"/>
    <x v="5"/>
  </r>
  <r>
    <x v="0"/>
    <x v="133"/>
    <x v="133"/>
    <x v="64"/>
    <x v="64"/>
    <x v="64"/>
    <x v="14"/>
    <x v="252"/>
    <x v="137"/>
    <x v="77"/>
    <x v="83"/>
    <x v="163"/>
    <x v="100"/>
    <x v="5"/>
  </r>
  <r>
    <x v="0"/>
    <x v="133"/>
    <x v="133"/>
    <x v="48"/>
    <x v="48"/>
    <x v="48"/>
    <x v="14"/>
    <x v="252"/>
    <x v="137"/>
    <x v="77"/>
    <x v="83"/>
    <x v="163"/>
    <x v="100"/>
    <x v="5"/>
  </r>
  <r>
    <x v="0"/>
    <x v="133"/>
    <x v="133"/>
    <x v="18"/>
    <x v="18"/>
    <x v="18"/>
    <x v="14"/>
    <x v="252"/>
    <x v="137"/>
    <x v="77"/>
    <x v="83"/>
    <x v="163"/>
    <x v="100"/>
    <x v="5"/>
  </r>
  <r>
    <x v="0"/>
    <x v="133"/>
    <x v="133"/>
    <x v="13"/>
    <x v="13"/>
    <x v="13"/>
    <x v="14"/>
    <x v="252"/>
    <x v="137"/>
    <x v="77"/>
    <x v="83"/>
    <x v="163"/>
    <x v="100"/>
    <x v="5"/>
  </r>
  <r>
    <x v="0"/>
    <x v="133"/>
    <x v="133"/>
    <x v="30"/>
    <x v="30"/>
    <x v="30"/>
    <x v="14"/>
    <x v="252"/>
    <x v="137"/>
    <x v="48"/>
    <x v="463"/>
    <x v="160"/>
    <x v="197"/>
    <x v="5"/>
  </r>
  <r>
    <x v="0"/>
    <x v="133"/>
    <x v="133"/>
    <x v="26"/>
    <x v="26"/>
    <x v="26"/>
    <x v="14"/>
    <x v="252"/>
    <x v="137"/>
    <x v="77"/>
    <x v="83"/>
    <x v="163"/>
    <x v="100"/>
    <x v="5"/>
  </r>
  <r>
    <x v="0"/>
    <x v="133"/>
    <x v="133"/>
    <x v="19"/>
    <x v="19"/>
    <x v="19"/>
    <x v="14"/>
    <x v="252"/>
    <x v="137"/>
    <x v="48"/>
    <x v="463"/>
    <x v="160"/>
    <x v="197"/>
    <x v="5"/>
  </r>
  <r>
    <x v="0"/>
    <x v="133"/>
    <x v="133"/>
    <x v="29"/>
    <x v="29"/>
    <x v="29"/>
    <x v="14"/>
    <x v="252"/>
    <x v="137"/>
    <x v="64"/>
    <x v="571"/>
    <x v="211"/>
    <x v="274"/>
    <x v="5"/>
  </r>
  <r>
    <x v="0"/>
    <x v="134"/>
    <x v="134"/>
    <x v="0"/>
    <x v="0"/>
    <x v="0"/>
    <x v="0"/>
    <x v="257"/>
    <x v="376"/>
    <x v="103"/>
    <x v="578"/>
    <x v="189"/>
    <x v="114"/>
    <x v="4"/>
  </r>
  <r>
    <x v="0"/>
    <x v="134"/>
    <x v="134"/>
    <x v="2"/>
    <x v="2"/>
    <x v="2"/>
    <x v="1"/>
    <x v="124"/>
    <x v="786"/>
    <x v="137"/>
    <x v="779"/>
    <x v="190"/>
    <x v="316"/>
    <x v="5"/>
  </r>
  <r>
    <x v="0"/>
    <x v="134"/>
    <x v="134"/>
    <x v="1"/>
    <x v="1"/>
    <x v="1"/>
    <x v="2"/>
    <x v="266"/>
    <x v="779"/>
    <x v="131"/>
    <x v="780"/>
    <x v="209"/>
    <x v="311"/>
    <x v="5"/>
  </r>
  <r>
    <x v="0"/>
    <x v="134"/>
    <x v="134"/>
    <x v="3"/>
    <x v="3"/>
    <x v="3"/>
    <x v="3"/>
    <x v="137"/>
    <x v="787"/>
    <x v="31"/>
    <x v="781"/>
    <x v="157"/>
    <x v="634"/>
    <x v="5"/>
  </r>
  <r>
    <x v="0"/>
    <x v="134"/>
    <x v="134"/>
    <x v="30"/>
    <x v="30"/>
    <x v="30"/>
    <x v="4"/>
    <x v="261"/>
    <x v="62"/>
    <x v="53"/>
    <x v="474"/>
    <x v="215"/>
    <x v="314"/>
    <x v="5"/>
  </r>
  <r>
    <x v="0"/>
    <x v="134"/>
    <x v="134"/>
    <x v="4"/>
    <x v="4"/>
    <x v="4"/>
    <x v="5"/>
    <x v="262"/>
    <x v="91"/>
    <x v="82"/>
    <x v="96"/>
    <x v="215"/>
    <x v="314"/>
    <x v="5"/>
  </r>
  <r>
    <x v="0"/>
    <x v="134"/>
    <x v="134"/>
    <x v="28"/>
    <x v="28"/>
    <x v="28"/>
    <x v="5"/>
    <x v="262"/>
    <x v="91"/>
    <x v="48"/>
    <x v="250"/>
    <x v="134"/>
    <x v="547"/>
    <x v="5"/>
  </r>
  <r>
    <x v="0"/>
    <x v="134"/>
    <x v="134"/>
    <x v="6"/>
    <x v="6"/>
    <x v="6"/>
    <x v="7"/>
    <x v="267"/>
    <x v="650"/>
    <x v="82"/>
    <x v="96"/>
    <x v="197"/>
    <x v="635"/>
    <x v="5"/>
  </r>
  <r>
    <x v="0"/>
    <x v="134"/>
    <x v="134"/>
    <x v="9"/>
    <x v="9"/>
    <x v="9"/>
    <x v="8"/>
    <x v="264"/>
    <x v="478"/>
    <x v="50"/>
    <x v="782"/>
    <x v="160"/>
    <x v="337"/>
    <x v="5"/>
  </r>
  <r>
    <x v="0"/>
    <x v="134"/>
    <x v="134"/>
    <x v="34"/>
    <x v="34"/>
    <x v="34"/>
    <x v="9"/>
    <x v="280"/>
    <x v="285"/>
    <x v="82"/>
    <x v="96"/>
    <x v="163"/>
    <x v="636"/>
    <x v="5"/>
  </r>
  <r>
    <x v="0"/>
    <x v="134"/>
    <x v="134"/>
    <x v="5"/>
    <x v="5"/>
    <x v="5"/>
    <x v="10"/>
    <x v="268"/>
    <x v="50"/>
    <x v="65"/>
    <x v="262"/>
    <x v="132"/>
    <x v="637"/>
    <x v="5"/>
  </r>
  <r>
    <x v="0"/>
    <x v="134"/>
    <x v="134"/>
    <x v="11"/>
    <x v="11"/>
    <x v="11"/>
    <x v="11"/>
    <x v="269"/>
    <x v="179"/>
    <x v="51"/>
    <x v="112"/>
    <x v="132"/>
    <x v="637"/>
    <x v="5"/>
  </r>
  <r>
    <x v="0"/>
    <x v="134"/>
    <x v="134"/>
    <x v="14"/>
    <x v="14"/>
    <x v="14"/>
    <x v="11"/>
    <x v="269"/>
    <x v="179"/>
    <x v="77"/>
    <x v="83"/>
    <x v="189"/>
    <x v="114"/>
    <x v="5"/>
  </r>
  <r>
    <x v="0"/>
    <x v="134"/>
    <x v="134"/>
    <x v="8"/>
    <x v="8"/>
    <x v="8"/>
    <x v="13"/>
    <x v="248"/>
    <x v="320"/>
    <x v="48"/>
    <x v="250"/>
    <x v="210"/>
    <x v="462"/>
    <x v="5"/>
  </r>
  <r>
    <x v="0"/>
    <x v="134"/>
    <x v="134"/>
    <x v="18"/>
    <x v="18"/>
    <x v="18"/>
    <x v="13"/>
    <x v="248"/>
    <x v="320"/>
    <x v="77"/>
    <x v="83"/>
    <x v="189"/>
    <x v="114"/>
    <x v="5"/>
  </r>
  <r>
    <x v="0"/>
    <x v="134"/>
    <x v="134"/>
    <x v="12"/>
    <x v="12"/>
    <x v="12"/>
    <x v="13"/>
    <x v="248"/>
    <x v="320"/>
    <x v="77"/>
    <x v="83"/>
    <x v="189"/>
    <x v="114"/>
    <x v="5"/>
  </r>
  <r>
    <x v="0"/>
    <x v="134"/>
    <x v="134"/>
    <x v="13"/>
    <x v="13"/>
    <x v="13"/>
    <x v="16"/>
    <x v="249"/>
    <x v="17"/>
    <x v="51"/>
    <x v="112"/>
    <x v="160"/>
    <x v="337"/>
    <x v="5"/>
  </r>
  <r>
    <x v="0"/>
    <x v="134"/>
    <x v="134"/>
    <x v="31"/>
    <x v="31"/>
    <x v="31"/>
    <x v="16"/>
    <x v="249"/>
    <x v="17"/>
    <x v="77"/>
    <x v="83"/>
    <x v="210"/>
    <x v="462"/>
    <x v="5"/>
  </r>
  <r>
    <x v="0"/>
    <x v="134"/>
    <x v="134"/>
    <x v="10"/>
    <x v="10"/>
    <x v="10"/>
    <x v="16"/>
    <x v="249"/>
    <x v="17"/>
    <x v="65"/>
    <x v="262"/>
    <x v="211"/>
    <x v="274"/>
    <x v="5"/>
  </r>
  <r>
    <x v="0"/>
    <x v="134"/>
    <x v="134"/>
    <x v="19"/>
    <x v="19"/>
    <x v="19"/>
    <x v="16"/>
    <x v="249"/>
    <x v="17"/>
    <x v="65"/>
    <x v="262"/>
    <x v="211"/>
    <x v="274"/>
    <x v="5"/>
  </r>
  <r>
    <x v="0"/>
    <x v="134"/>
    <x v="134"/>
    <x v="7"/>
    <x v="7"/>
    <x v="7"/>
    <x v="16"/>
    <x v="249"/>
    <x v="17"/>
    <x v="65"/>
    <x v="262"/>
    <x v="211"/>
    <x v="274"/>
    <x v="5"/>
  </r>
  <r>
    <x v="0"/>
    <x v="134"/>
    <x v="134"/>
    <x v="21"/>
    <x v="21"/>
    <x v="21"/>
    <x v="16"/>
    <x v="249"/>
    <x v="17"/>
    <x v="48"/>
    <x v="250"/>
    <x v="209"/>
    <x v="311"/>
    <x v="4"/>
  </r>
  <r>
    <x v="0"/>
    <x v="135"/>
    <x v="135"/>
    <x v="1"/>
    <x v="1"/>
    <x v="1"/>
    <x v="0"/>
    <x v="269"/>
    <x v="586"/>
    <x v="50"/>
    <x v="783"/>
    <x v="211"/>
    <x v="274"/>
    <x v="5"/>
  </r>
  <r>
    <x v="0"/>
    <x v="135"/>
    <x v="135"/>
    <x v="6"/>
    <x v="6"/>
    <x v="6"/>
    <x v="1"/>
    <x v="247"/>
    <x v="788"/>
    <x v="65"/>
    <x v="53"/>
    <x v="163"/>
    <x v="537"/>
    <x v="5"/>
  </r>
  <r>
    <x v="0"/>
    <x v="135"/>
    <x v="135"/>
    <x v="3"/>
    <x v="3"/>
    <x v="3"/>
    <x v="2"/>
    <x v="248"/>
    <x v="587"/>
    <x v="48"/>
    <x v="600"/>
    <x v="210"/>
    <x v="539"/>
    <x v="5"/>
  </r>
  <r>
    <x v="0"/>
    <x v="135"/>
    <x v="135"/>
    <x v="0"/>
    <x v="0"/>
    <x v="0"/>
    <x v="2"/>
    <x v="248"/>
    <x v="587"/>
    <x v="82"/>
    <x v="598"/>
    <x v="211"/>
    <x v="274"/>
    <x v="5"/>
  </r>
  <r>
    <x v="0"/>
    <x v="135"/>
    <x v="135"/>
    <x v="4"/>
    <x v="4"/>
    <x v="4"/>
    <x v="4"/>
    <x v="249"/>
    <x v="588"/>
    <x v="48"/>
    <x v="600"/>
    <x v="132"/>
    <x v="610"/>
    <x v="5"/>
  </r>
  <r>
    <x v="0"/>
    <x v="135"/>
    <x v="135"/>
    <x v="30"/>
    <x v="30"/>
    <x v="30"/>
    <x v="4"/>
    <x v="249"/>
    <x v="588"/>
    <x v="64"/>
    <x v="278"/>
    <x v="209"/>
    <x v="540"/>
    <x v="5"/>
  </r>
  <r>
    <x v="0"/>
    <x v="135"/>
    <x v="135"/>
    <x v="5"/>
    <x v="5"/>
    <x v="5"/>
    <x v="6"/>
    <x v="251"/>
    <x v="188"/>
    <x v="52"/>
    <x v="599"/>
    <x v="211"/>
    <x v="274"/>
    <x v="5"/>
  </r>
  <r>
    <x v="0"/>
    <x v="135"/>
    <x v="135"/>
    <x v="13"/>
    <x v="13"/>
    <x v="13"/>
    <x v="6"/>
    <x v="251"/>
    <x v="188"/>
    <x v="64"/>
    <x v="278"/>
    <x v="160"/>
    <x v="166"/>
    <x v="5"/>
  </r>
  <r>
    <x v="0"/>
    <x v="135"/>
    <x v="135"/>
    <x v="11"/>
    <x v="11"/>
    <x v="11"/>
    <x v="6"/>
    <x v="251"/>
    <x v="188"/>
    <x v="64"/>
    <x v="278"/>
    <x v="160"/>
    <x v="166"/>
    <x v="5"/>
  </r>
  <r>
    <x v="0"/>
    <x v="135"/>
    <x v="135"/>
    <x v="2"/>
    <x v="2"/>
    <x v="2"/>
    <x v="6"/>
    <x v="251"/>
    <x v="188"/>
    <x v="77"/>
    <x v="83"/>
    <x v="209"/>
    <x v="540"/>
    <x v="5"/>
  </r>
  <r>
    <x v="0"/>
    <x v="135"/>
    <x v="135"/>
    <x v="27"/>
    <x v="27"/>
    <x v="27"/>
    <x v="6"/>
    <x v="251"/>
    <x v="188"/>
    <x v="64"/>
    <x v="278"/>
    <x v="160"/>
    <x v="166"/>
    <x v="5"/>
  </r>
  <r>
    <x v="0"/>
    <x v="135"/>
    <x v="135"/>
    <x v="8"/>
    <x v="8"/>
    <x v="8"/>
    <x v="11"/>
    <x v="252"/>
    <x v="356"/>
    <x v="77"/>
    <x v="83"/>
    <x v="163"/>
    <x v="537"/>
    <x v="5"/>
  </r>
  <r>
    <x v="0"/>
    <x v="135"/>
    <x v="135"/>
    <x v="16"/>
    <x v="16"/>
    <x v="16"/>
    <x v="11"/>
    <x v="252"/>
    <x v="356"/>
    <x v="48"/>
    <x v="600"/>
    <x v="160"/>
    <x v="166"/>
    <x v="5"/>
  </r>
  <r>
    <x v="0"/>
    <x v="135"/>
    <x v="135"/>
    <x v="23"/>
    <x v="23"/>
    <x v="23"/>
    <x v="11"/>
    <x v="252"/>
    <x v="356"/>
    <x v="77"/>
    <x v="83"/>
    <x v="163"/>
    <x v="537"/>
    <x v="5"/>
  </r>
  <r>
    <x v="0"/>
    <x v="135"/>
    <x v="135"/>
    <x v="26"/>
    <x v="26"/>
    <x v="26"/>
    <x v="11"/>
    <x v="252"/>
    <x v="356"/>
    <x v="77"/>
    <x v="83"/>
    <x v="163"/>
    <x v="537"/>
    <x v="5"/>
  </r>
  <r>
    <x v="0"/>
    <x v="135"/>
    <x v="135"/>
    <x v="34"/>
    <x v="34"/>
    <x v="34"/>
    <x v="11"/>
    <x v="252"/>
    <x v="356"/>
    <x v="77"/>
    <x v="83"/>
    <x v="163"/>
    <x v="537"/>
    <x v="5"/>
  </r>
  <r>
    <x v="0"/>
    <x v="135"/>
    <x v="135"/>
    <x v="9"/>
    <x v="9"/>
    <x v="9"/>
    <x v="11"/>
    <x v="252"/>
    <x v="356"/>
    <x v="64"/>
    <x v="278"/>
    <x v="211"/>
    <x v="274"/>
    <x v="5"/>
  </r>
  <r>
    <x v="0"/>
    <x v="135"/>
    <x v="135"/>
    <x v="32"/>
    <x v="32"/>
    <x v="32"/>
    <x v="17"/>
    <x v="287"/>
    <x v="357"/>
    <x v="77"/>
    <x v="83"/>
    <x v="160"/>
    <x v="166"/>
    <x v="5"/>
  </r>
  <r>
    <x v="0"/>
    <x v="135"/>
    <x v="135"/>
    <x v="45"/>
    <x v="45"/>
    <x v="45"/>
    <x v="17"/>
    <x v="287"/>
    <x v="357"/>
    <x v="48"/>
    <x v="600"/>
    <x v="211"/>
    <x v="274"/>
    <x v="5"/>
  </r>
  <r>
    <x v="0"/>
    <x v="135"/>
    <x v="135"/>
    <x v="38"/>
    <x v="38"/>
    <x v="38"/>
    <x v="17"/>
    <x v="287"/>
    <x v="357"/>
    <x v="77"/>
    <x v="83"/>
    <x v="160"/>
    <x v="166"/>
    <x v="5"/>
  </r>
  <r>
    <x v="0"/>
    <x v="135"/>
    <x v="135"/>
    <x v="33"/>
    <x v="33"/>
    <x v="33"/>
    <x v="17"/>
    <x v="287"/>
    <x v="357"/>
    <x v="48"/>
    <x v="600"/>
    <x v="211"/>
    <x v="274"/>
    <x v="5"/>
  </r>
  <r>
    <x v="0"/>
    <x v="135"/>
    <x v="135"/>
    <x v="55"/>
    <x v="55"/>
    <x v="55"/>
    <x v="17"/>
    <x v="287"/>
    <x v="357"/>
    <x v="48"/>
    <x v="600"/>
    <x v="211"/>
    <x v="274"/>
    <x v="5"/>
  </r>
  <r>
    <x v="0"/>
    <x v="135"/>
    <x v="135"/>
    <x v="41"/>
    <x v="41"/>
    <x v="41"/>
    <x v="17"/>
    <x v="287"/>
    <x v="357"/>
    <x v="77"/>
    <x v="83"/>
    <x v="211"/>
    <x v="274"/>
    <x v="5"/>
  </r>
  <r>
    <x v="0"/>
    <x v="135"/>
    <x v="135"/>
    <x v="35"/>
    <x v="35"/>
    <x v="35"/>
    <x v="17"/>
    <x v="287"/>
    <x v="357"/>
    <x v="77"/>
    <x v="83"/>
    <x v="160"/>
    <x v="166"/>
    <x v="5"/>
  </r>
  <r>
    <x v="0"/>
    <x v="135"/>
    <x v="135"/>
    <x v="47"/>
    <x v="47"/>
    <x v="47"/>
    <x v="17"/>
    <x v="287"/>
    <x v="357"/>
    <x v="77"/>
    <x v="83"/>
    <x v="160"/>
    <x v="166"/>
    <x v="5"/>
  </r>
  <r>
    <x v="0"/>
    <x v="135"/>
    <x v="135"/>
    <x v="17"/>
    <x v="17"/>
    <x v="17"/>
    <x v="17"/>
    <x v="287"/>
    <x v="357"/>
    <x v="48"/>
    <x v="600"/>
    <x v="211"/>
    <x v="274"/>
    <x v="5"/>
  </r>
  <r>
    <x v="0"/>
    <x v="135"/>
    <x v="135"/>
    <x v="43"/>
    <x v="43"/>
    <x v="43"/>
    <x v="17"/>
    <x v="287"/>
    <x v="357"/>
    <x v="77"/>
    <x v="83"/>
    <x v="160"/>
    <x v="166"/>
    <x v="5"/>
  </r>
  <r>
    <x v="0"/>
    <x v="135"/>
    <x v="135"/>
    <x v="12"/>
    <x v="12"/>
    <x v="12"/>
    <x v="17"/>
    <x v="287"/>
    <x v="357"/>
    <x v="77"/>
    <x v="83"/>
    <x v="160"/>
    <x v="166"/>
    <x v="5"/>
  </r>
  <r>
    <x v="0"/>
    <x v="135"/>
    <x v="135"/>
    <x v="19"/>
    <x v="19"/>
    <x v="19"/>
    <x v="17"/>
    <x v="287"/>
    <x v="357"/>
    <x v="77"/>
    <x v="83"/>
    <x v="160"/>
    <x v="166"/>
    <x v="5"/>
  </r>
  <r>
    <x v="0"/>
    <x v="135"/>
    <x v="135"/>
    <x v="7"/>
    <x v="7"/>
    <x v="7"/>
    <x v="17"/>
    <x v="287"/>
    <x v="357"/>
    <x v="48"/>
    <x v="600"/>
    <x v="211"/>
    <x v="274"/>
    <x v="5"/>
  </r>
  <r>
    <x v="0"/>
    <x v="135"/>
    <x v="135"/>
    <x v="36"/>
    <x v="36"/>
    <x v="36"/>
    <x v="17"/>
    <x v="287"/>
    <x v="357"/>
    <x v="77"/>
    <x v="83"/>
    <x v="160"/>
    <x v="166"/>
    <x v="5"/>
  </r>
  <r>
    <x v="0"/>
    <x v="135"/>
    <x v="135"/>
    <x v="29"/>
    <x v="29"/>
    <x v="29"/>
    <x v="17"/>
    <x v="287"/>
    <x v="357"/>
    <x v="48"/>
    <x v="600"/>
    <x v="211"/>
    <x v="274"/>
    <x v="5"/>
  </r>
  <r>
    <x v="0"/>
    <x v="135"/>
    <x v="135"/>
    <x v="21"/>
    <x v="21"/>
    <x v="21"/>
    <x v="17"/>
    <x v="287"/>
    <x v="357"/>
    <x v="77"/>
    <x v="83"/>
    <x v="160"/>
    <x v="166"/>
    <x v="5"/>
  </r>
  <r>
    <x v="0"/>
    <x v="136"/>
    <x v="136"/>
    <x v="1"/>
    <x v="1"/>
    <x v="1"/>
    <x v="0"/>
    <x v="245"/>
    <x v="654"/>
    <x v="117"/>
    <x v="784"/>
    <x v="160"/>
    <x v="17"/>
    <x v="5"/>
  </r>
  <r>
    <x v="0"/>
    <x v="136"/>
    <x v="136"/>
    <x v="0"/>
    <x v="0"/>
    <x v="0"/>
    <x v="1"/>
    <x v="261"/>
    <x v="789"/>
    <x v="92"/>
    <x v="785"/>
    <x v="163"/>
    <x v="446"/>
    <x v="5"/>
  </r>
  <r>
    <x v="0"/>
    <x v="136"/>
    <x v="136"/>
    <x v="3"/>
    <x v="3"/>
    <x v="3"/>
    <x v="2"/>
    <x v="267"/>
    <x v="655"/>
    <x v="70"/>
    <x v="346"/>
    <x v="132"/>
    <x v="570"/>
    <x v="5"/>
  </r>
  <r>
    <x v="0"/>
    <x v="136"/>
    <x v="136"/>
    <x v="6"/>
    <x v="6"/>
    <x v="6"/>
    <x v="3"/>
    <x v="268"/>
    <x v="790"/>
    <x v="96"/>
    <x v="786"/>
    <x v="211"/>
    <x v="274"/>
    <x v="5"/>
  </r>
  <r>
    <x v="0"/>
    <x v="136"/>
    <x v="136"/>
    <x v="4"/>
    <x v="4"/>
    <x v="4"/>
    <x v="4"/>
    <x v="269"/>
    <x v="282"/>
    <x v="52"/>
    <x v="466"/>
    <x v="210"/>
    <x v="413"/>
    <x v="5"/>
  </r>
  <r>
    <x v="0"/>
    <x v="136"/>
    <x v="136"/>
    <x v="11"/>
    <x v="11"/>
    <x v="11"/>
    <x v="5"/>
    <x v="249"/>
    <x v="239"/>
    <x v="52"/>
    <x v="466"/>
    <x v="163"/>
    <x v="446"/>
    <x v="5"/>
  </r>
  <r>
    <x v="0"/>
    <x v="136"/>
    <x v="136"/>
    <x v="9"/>
    <x v="9"/>
    <x v="9"/>
    <x v="5"/>
    <x v="249"/>
    <x v="239"/>
    <x v="65"/>
    <x v="787"/>
    <x v="211"/>
    <x v="274"/>
    <x v="5"/>
  </r>
  <r>
    <x v="0"/>
    <x v="136"/>
    <x v="136"/>
    <x v="7"/>
    <x v="7"/>
    <x v="7"/>
    <x v="5"/>
    <x v="249"/>
    <x v="239"/>
    <x v="65"/>
    <x v="787"/>
    <x v="211"/>
    <x v="274"/>
    <x v="5"/>
  </r>
  <r>
    <x v="0"/>
    <x v="136"/>
    <x v="136"/>
    <x v="13"/>
    <x v="13"/>
    <x v="13"/>
    <x v="8"/>
    <x v="250"/>
    <x v="417"/>
    <x v="52"/>
    <x v="466"/>
    <x v="160"/>
    <x v="17"/>
    <x v="5"/>
  </r>
  <r>
    <x v="0"/>
    <x v="136"/>
    <x v="136"/>
    <x v="2"/>
    <x v="2"/>
    <x v="2"/>
    <x v="8"/>
    <x v="250"/>
    <x v="417"/>
    <x v="52"/>
    <x v="466"/>
    <x v="160"/>
    <x v="17"/>
    <x v="5"/>
  </r>
  <r>
    <x v="0"/>
    <x v="136"/>
    <x v="136"/>
    <x v="29"/>
    <x v="29"/>
    <x v="29"/>
    <x v="8"/>
    <x v="250"/>
    <x v="417"/>
    <x v="51"/>
    <x v="610"/>
    <x v="211"/>
    <x v="274"/>
    <x v="5"/>
  </r>
  <r>
    <x v="0"/>
    <x v="136"/>
    <x v="136"/>
    <x v="5"/>
    <x v="5"/>
    <x v="5"/>
    <x v="11"/>
    <x v="251"/>
    <x v="122"/>
    <x v="64"/>
    <x v="281"/>
    <x v="160"/>
    <x v="17"/>
    <x v="5"/>
  </r>
  <r>
    <x v="0"/>
    <x v="136"/>
    <x v="136"/>
    <x v="8"/>
    <x v="8"/>
    <x v="8"/>
    <x v="11"/>
    <x v="251"/>
    <x v="122"/>
    <x v="48"/>
    <x v="153"/>
    <x v="163"/>
    <x v="446"/>
    <x v="5"/>
  </r>
  <r>
    <x v="0"/>
    <x v="136"/>
    <x v="136"/>
    <x v="28"/>
    <x v="28"/>
    <x v="28"/>
    <x v="11"/>
    <x v="251"/>
    <x v="122"/>
    <x v="48"/>
    <x v="153"/>
    <x v="163"/>
    <x v="446"/>
    <x v="5"/>
  </r>
  <r>
    <x v="0"/>
    <x v="136"/>
    <x v="136"/>
    <x v="49"/>
    <x v="49"/>
    <x v="49"/>
    <x v="11"/>
    <x v="251"/>
    <x v="122"/>
    <x v="77"/>
    <x v="83"/>
    <x v="209"/>
    <x v="638"/>
    <x v="5"/>
  </r>
  <r>
    <x v="0"/>
    <x v="136"/>
    <x v="136"/>
    <x v="18"/>
    <x v="18"/>
    <x v="18"/>
    <x v="11"/>
    <x v="251"/>
    <x v="122"/>
    <x v="77"/>
    <x v="83"/>
    <x v="209"/>
    <x v="638"/>
    <x v="5"/>
  </r>
  <r>
    <x v="0"/>
    <x v="136"/>
    <x v="136"/>
    <x v="30"/>
    <x v="30"/>
    <x v="30"/>
    <x v="11"/>
    <x v="251"/>
    <x v="122"/>
    <x v="48"/>
    <x v="153"/>
    <x v="163"/>
    <x v="446"/>
    <x v="5"/>
  </r>
  <r>
    <x v="0"/>
    <x v="136"/>
    <x v="136"/>
    <x v="14"/>
    <x v="14"/>
    <x v="14"/>
    <x v="11"/>
    <x v="251"/>
    <x v="122"/>
    <x v="77"/>
    <x v="83"/>
    <x v="211"/>
    <x v="274"/>
    <x v="5"/>
  </r>
  <r>
    <x v="0"/>
    <x v="136"/>
    <x v="136"/>
    <x v="21"/>
    <x v="21"/>
    <x v="21"/>
    <x v="11"/>
    <x v="251"/>
    <x v="122"/>
    <x v="48"/>
    <x v="153"/>
    <x v="160"/>
    <x v="17"/>
    <x v="5"/>
  </r>
  <r>
    <x v="0"/>
    <x v="136"/>
    <x v="136"/>
    <x v="38"/>
    <x v="38"/>
    <x v="38"/>
    <x v="19"/>
    <x v="252"/>
    <x v="402"/>
    <x v="48"/>
    <x v="153"/>
    <x v="160"/>
    <x v="17"/>
    <x v="5"/>
  </r>
  <r>
    <x v="0"/>
    <x v="136"/>
    <x v="136"/>
    <x v="15"/>
    <x v="15"/>
    <x v="15"/>
    <x v="19"/>
    <x v="252"/>
    <x v="402"/>
    <x v="48"/>
    <x v="153"/>
    <x v="160"/>
    <x v="17"/>
    <x v="5"/>
  </r>
  <r>
    <x v="0"/>
    <x v="136"/>
    <x v="136"/>
    <x v="23"/>
    <x v="23"/>
    <x v="23"/>
    <x v="19"/>
    <x v="252"/>
    <x v="402"/>
    <x v="77"/>
    <x v="83"/>
    <x v="163"/>
    <x v="446"/>
    <x v="5"/>
  </r>
  <r>
    <x v="0"/>
    <x v="136"/>
    <x v="136"/>
    <x v="12"/>
    <x v="12"/>
    <x v="12"/>
    <x v="19"/>
    <x v="252"/>
    <x v="402"/>
    <x v="64"/>
    <x v="281"/>
    <x v="211"/>
    <x v="274"/>
    <x v="5"/>
  </r>
  <r>
    <x v="0"/>
    <x v="137"/>
    <x v="137"/>
    <x v="3"/>
    <x v="3"/>
    <x v="3"/>
    <x v="0"/>
    <x v="263"/>
    <x v="791"/>
    <x v="52"/>
    <x v="753"/>
    <x v="197"/>
    <x v="639"/>
    <x v="5"/>
  </r>
  <r>
    <x v="0"/>
    <x v="137"/>
    <x v="137"/>
    <x v="1"/>
    <x v="1"/>
    <x v="1"/>
    <x v="0"/>
    <x v="263"/>
    <x v="791"/>
    <x v="58"/>
    <x v="788"/>
    <x v="211"/>
    <x v="274"/>
    <x v="5"/>
  </r>
  <r>
    <x v="0"/>
    <x v="137"/>
    <x v="137"/>
    <x v="0"/>
    <x v="0"/>
    <x v="0"/>
    <x v="2"/>
    <x v="264"/>
    <x v="792"/>
    <x v="70"/>
    <x v="618"/>
    <x v="211"/>
    <x v="274"/>
    <x v="5"/>
  </r>
  <r>
    <x v="0"/>
    <x v="137"/>
    <x v="137"/>
    <x v="5"/>
    <x v="5"/>
    <x v="5"/>
    <x v="3"/>
    <x v="248"/>
    <x v="793"/>
    <x v="51"/>
    <x v="482"/>
    <x v="163"/>
    <x v="240"/>
    <x v="5"/>
  </r>
  <r>
    <x v="0"/>
    <x v="137"/>
    <x v="137"/>
    <x v="8"/>
    <x v="8"/>
    <x v="8"/>
    <x v="4"/>
    <x v="249"/>
    <x v="794"/>
    <x v="64"/>
    <x v="752"/>
    <x v="209"/>
    <x v="640"/>
    <x v="5"/>
  </r>
  <r>
    <x v="0"/>
    <x v="137"/>
    <x v="137"/>
    <x v="4"/>
    <x v="4"/>
    <x v="4"/>
    <x v="5"/>
    <x v="250"/>
    <x v="24"/>
    <x v="77"/>
    <x v="83"/>
    <x v="132"/>
    <x v="641"/>
    <x v="5"/>
  </r>
  <r>
    <x v="0"/>
    <x v="137"/>
    <x v="137"/>
    <x v="6"/>
    <x v="6"/>
    <x v="6"/>
    <x v="5"/>
    <x v="250"/>
    <x v="24"/>
    <x v="64"/>
    <x v="752"/>
    <x v="163"/>
    <x v="240"/>
    <x v="5"/>
  </r>
  <r>
    <x v="0"/>
    <x v="137"/>
    <x v="137"/>
    <x v="12"/>
    <x v="12"/>
    <x v="12"/>
    <x v="5"/>
    <x v="250"/>
    <x v="24"/>
    <x v="64"/>
    <x v="752"/>
    <x v="160"/>
    <x v="89"/>
    <x v="5"/>
  </r>
  <r>
    <x v="0"/>
    <x v="137"/>
    <x v="137"/>
    <x v="11"/>
    <x v="11"/>
    <x v="11"/>
    <x v="8"/>
    <x v="251"/>
    <x v="177"/>
    <x v="64"/>
    <x v="752"/>
    <x v="160"/>
    <x v="89"/>
    <x v="5"/>
  </r>
  <r>
    <x v="0"/>
    <x v="137"/>
    <x v="137"/>
    <x v="14"/>
    <x v="14"/>
    <x v="14"/>
    <x v="8"/>
    <x v="251"/>
    <x v="177"/>
    <x v="77"/>
    <x v="83"/>
    <x v="163"/>
    <x v="240"/>
    <x v="5"/>
  </r>
  <r>
    <x v="0"/>
    <x v="137"/>
    <x v="137"/>
    <x v="28"/>
    <x v="28"/>
    <x v="28"/>
    <x v="10"/>
    <x v="252"/>
    <x v="630"/>
    <x v="48"/>
    <x v="621"/>
    <x v="160"/>
    <x v="89"/>
    <x v="5"/>
  </r>
  <r>
    <x v="0"/>
    <x v="137"/>
    <x v="137"/>
    <x v="2"/>
    <x v="2"/>
    <x v="2"/>
    <x v="10"/>
    <x v="252"/>
    <x v="630"/>
    <x v="48"/>
    <x v="621"/>
    <x v="160"/>
    <x v="89"/>
    <x v="5"/>
  </r>
  <r>
    <x v="0"/>
    <x v="137"/>
    <x v="137"/>
    <x v="30"/>
    <x v="30"/>
    <x v="30"/>
    <x v="10"/>
    <x v="252"/>
    <x v="630"/>
    <x v="64"/>
    <x v="752"/>
    <x v="211"/>
    <x v="274"/>
    <x v="5"/>
  </r>
  <r>
    <x v="0"/>
    <x v="137"/>
    <x v="137"/>
    <x v="9"/>
    <x v="9"/>
    <x v="9"/>
    <x v="10"/>
    <x v="252"/>
    <x v="630"/>
    <x v="48"/>
    <x v="621"/>
    <x v="211"/>
    <x v="274"/>
    <x v="5"/>
  </r>
  <r>
    <x v="0"/>
    <x v="137"/>
    <x v="137"/>
    <x v="7"/>
    <x v="7"/>
    <x v="7"/>
    <x v="10"/>
    <x v="252"/>
    <x v="630"/>
    <x v="48"/>
    <x v="621"/>
    <x v="160"/>
    <x v="89"/>
    <x v="5"/>
  </r>
  <r>
    <x v="0"/>
    <x v="137"/>
    <x v="137"/>
    <x v="27"/>
    <x v="27"/>
    <x v="27"/>
    <x v="10"/>
    <x v="252"/>
    <x v="630"/>
    <x v="77"/>
    <x v="83"/>
    <x v="163"/>
    <x v="240"/>
    <x v="5"/>
  </r>
  <r>
    <x v="0"/>
    <x v="137"/>
    <x v="137"/>
    <x v="60"/>
    <x v="60"/>
    <x v="60"/>
    <x v="16"/>
    <x v="287"/>
    <x v="349"/>
    <x v="77"/>
    <x v="83"/>
    <x v="160"/>
    <x v="89"/>
    <x v="5"/>
  </r>
  <r>
    <x v="0"/>
    <x v="137"/>
    <x v="137"/>
    <x v="49"/>
    <x v="49"/>
    <x v="49"/>
    <x v="16"/>
    <x v="287"/>
    <x v="349"/>
    <x v="48"/>
    <x v="621"/>
    <x v="211"/>
    <x v="274"/>
    <x v="5"/>
  </r>
  <r>
    <x v="0"/>
    <x v="137"/>
    <x v="137"/>
    <x v="44"/>
    <x v="44"/>
    <x v="44"/>
    <x v="16"/>
    <x v="287"/>
    <x v="349"/>
    <x v="77"/>
    <x v="83"/>
    <x v="160"/>
    <x v="89"/>
    <x v="5"/>
  </r>
  <r>
    <x v="0"/>
    <x v="137"/>
    <x v="137"/>
    <x v="35"/>
    <x v="35"/>
    <x v="35"/>
    <x v="16"/>
    <x v="287"/>
    <x v="349"/>
    <x v="77"/>
    <x v="83"/>
    <x v="160"/>
    <x v="89"/>
    <x v="5"/>
  </r>
  <r>
    <x v="0"/>
    <x v="137"/>
    <x v="137"/>
    <x v="18"/>
    <x v="18"/>
    <x v="18"/>
    <x v="16"/>
    <x v="287"/>
    <x v="349"/>
    <x v="48"/>
    <x v="621"/>
    <x v="211"/>
    <x v="274"/>
    <x v="5"/>
  </r>
  <r>
    <x v="0"/>
    <x v="137"/>
    <x v="137"/>
    <x v="13"/>
    <x v="13"/>
    <x v="13"/>
    <x v="16"/>
    <x v="287"/>
    <x v="349"/>
    <x v="48"/>
    <x v="621"/>
    <x v="211"/>
    <x v="274"/>
    <x v="5"/>
  </r>
  <r>
    <x v="0"/>
    <x v="137"/>
    <x v="137"/>
    <x v="23"/>
    <x v="23"/>
    <x v="23"/>
    <x v="16"/>
    <x v="287"/>
    <x v="349"/>
    <x v="77"/>
    <x v="83"/>
    <x v="160"/>
    <x v="89"/>
    <x v="5"/>
  </r>
  <r>
    <x v="0"/>
    <x v="137"/>
    <x v="137"/>
    <x v="43"/>
    <x v="43"/>
    <x v="43"/>
    <x v="16"/>
    <x v="287"/>
    <x v="349"/>
    <x v="77"/>
    <x v="83"/>
    <x v="160"/>
    <x v="89"/>
    <x v="5"/>
  </r>
  <r>
    <x v="0"/>
    <x v="137"/>
    <x v="137"/>
    <x v="10"/>
    <x v="10"/>
    <x v="10"/>
    <x v="16"/>
    <x v="287"/>
    <x v="349"/>
    <x v="48"/>
    <x v="621"/>
    <x v="211"/>
    <x v="274"/>
    <x v="5"/>
  </r>
  <r>
    <x v="0"/>
    <x v="137"/>
    <x v="137"/>
    <x v="19"/>
    <x v="19"/>
    <x v="19"/>
    <x v="16"/>
    <x v="287"/>
    <x v="349"/>
    <x v="77"/>
    <x v="83"/>
    <x v="160"/>
    <x v="89"/>
    <x v="5"/>
  </r>
  <r>
    <x v="0"/>
    <x v="137"/>
    <x v="137"/>
    <x v="34"/>
    <x v="34"/>
    <x v="34"/>
    <x v="16"/>
    <x v="287"/>
    <x v="349"/>
    <x v="77"/>
    <x v="83"/>
    <x v="211"/>
    <x v="274"/>
    <x v="5"/>
  </r>
  <r>
    <x v="0"/>
    <x v="137"/>
    <x v="137"/>
    <x v="36"/>
    <x v="36"/>
    <x v="36"/>
    <x v="16"/>
    <x v="287"/>
    <x v="349"/>
    <x v="77"/>
    <x v="83"/>
    <x v="160"/>
    <x v="89"/>
    <x v="5"/>
  </r>
  <r>
    <x v="0"/>
    <x v="137"/>
    <x v="137"/>
    <x v="29"/>
    <x v="29"/>
    <x v="29"/>
    <x v="16"/>
    <x v="287"/>
    <x v="349"/>
    <x v="48"/>
    <x v="621"/>
    <x v="211"/>
    <x v="274"/>
    <x v="5"/>
  </r>
  <r>
    <x v="0"/>
    <x v="137"/>
    <x v="137"/>
    <x v="57"/>
    <x v="57"/>
    <x v="57"/>
    <x v="16"/>
    <x v="287"/>
    <x v="349"/>
    <x v="77"/>
    <x v="83"/>
    <x v="211"/>
    <x v="274"/>
    <x v="4"/>
  </r>
  <r>
    <x v="0"/>
    <x v="137"/>
    <x v="137"/>
    <x v="21"/>
    <x v="21"/>
    <x v="21"/>
    <x v="16"/>
    <x v="287"/>
    <x v="349"/>
    <x v="77"/>
    <x v="83"/>
    <x v="160"/>
    <x v="89"/>
    <x v="5"/>
  </r>
  <r>
    <x v="0"/>
    <x v="138"/>
    <x v="138"/>
    <x v="32"/>
    <x v="32"/>
    <x v="32"/>
    <x v="0"/>
    <x v="175"/>
    <x v="795"/>
    <x v="74"/>
    <x v="789"/>
    <x v="163"/>
    <x v="93"/>
    <x v="5"/>
  </r>
  <r>
    <x v="0"/>
    <x v="138"/>
    <x v="138"/>
    <x v="3"/>
    <x v="3"/>
    <x v="3"/>
    <x v="1"/>
    <x v="246"/>
    <x v="796"/>
    <x v="50"/>
    <x v="629"/>
    <x v="210"/>
    <x v="545"/>
    <x v="5"/>
  </r>
  <r>
    <x v="0"/>
    <x v="138"/>
    <x v="138"/>
    <x v="1"/>
    <x v="1"/>
    <x v="1"/>
    <x v="2"/>
    <x v="268"/>
    <x v="353"/>
    <x v="96"/>
    <x v="500"/>
    <x v="211"/>
    <x v="274"/>
    <x v="5"/>
  </r>
  <r>
    <x v="0"/>
    <x v="138"/>
    <x v="138"/>
    <x v="13"/>
    <x v="13"/>
    <x v="13"/>
    <x v="3"/>
    <x v="249"/>
    <x v="797"/>
    <x v="52"/>
    <x v="499"/>
    <x v="163"/>
    <x v="93"/>
    <x v="5"/>
  </r>
  <r>
    <x v="0"/>
    <x v="138"/>
    <x v="138"/>
    <x v="7"/>
    <x v="7"/>
    <x v="7"/>
    <x v="3"/>
    <x v="249"/>
    <x v="797"/>
    <x v="65"/>
    <x v="602"/>
    <x v="211"/>
    <x v="274"/>
    <x v="5"/>
  </r>
  <r>
    <x v="0"/>
    <x v="138"/>
    <x v="138"/>
    <x v="21"/>
    <x v="21"/>
    <x v="21"/>
    <x v="3"/>
    <x v="249"/>
    <x v="797"/>
    <x v="51"/>
    <x v="603"/>
    <x v="160"/>
    <x v="320"/>
    <x v="5"/>
  </r>
  <r>
    <x v="0"/>
    <x v="138"/>
    <x v="138"/>
    <x v="5"/>
    <x v="5"/>
    <x v="5"/>
    <x v="6"/>
    <x v="250"/>
    <x v="79"/>
    <x v="51"/>
    <x v="603"/>
    <x v="211"/>
    <x v="274"/>
    <x v="5"/>
  </r>
  <r>
    <x v="0"/>
    <x v="138"/>
    <x v="138"/>
    <x v="0"/>
    <x v="0"/>
    <x v="0"/>
    <x v="6"/>
    <x v="250"/>
    <x v="79"/>
    <x v="51"/>
    <x v="603"/>
    <x v="211"/>
    <x v="274"/>
    <x v="5"/>
  </r>
  <r>
    <x v="0"/>
    <x v="138"/>
    <x v="138"/>
    <x v="9"/>
    <x v="9"/>
    <x v="9"/>
    <x v="6"/>
    <x v="250"/>
    <x v="79"/>
    <x v="77"/>
    <x v="83"/>
    <x v="211"/>
    <x v="274"/>
    <x v="5"/>
  </r>
  <r>
    <x v="0"/>
    <x v="138"/>
    <x v="138"/>
    <x v="14"/>
    <x v="14"/>
    <x v="14"/>
    <x v="6"/>
    <x v="250"/>
    <x v="79"/>
    <x v="77"/>
    <x v="83"/>
    <x v="209"/>
    <x v="330"/>
    <x v="5"/>
  </r>
  <r>
    <x v="0"/>
    <x v="138"/>
    <x v="138"/>
    <x v="6"/>
    <x v="6"/>
    <x v="6"/>
    <x v="10"/>
    <x v="251"/>
    <x v="94"/>
    <x v="52"/>
    <x v="499"/>
    <x v="211"/>
    <x v="274"/>
    <x v="5"/>
  </r>
  <r>
    <x v="0"/>
    <x v="138"/>
    <x v="138"/>
    <x v="8"/>
    <x v="8"/>
    <x v="8"/>
    <x v="11"/>
    <x v="252"/>
    <x v="194"/>
    <x v="77"/>
    <x v="83"/>
    <x v="163"/>
    <x v="93"/>
    <x v="5"/>
  </r>
  <r>
    <x v="0"/>
    <x v="138"/>
    <x v="138"/>
    <x v="41"/>
    <x v="41"/>
    <x v="41"/>
    <x v="11"/>
    <x v="252"/>
    <x v="194"/>
    <x v="77"/>
    <x v="83"/>
    <x v="211"/>
    <x v="274"/>
    <x v="5"/>
  </r>
  <r>
    <x v="0"/>
    <x v="138"/>
    <x v="138"/>
    <x v="16"/>
    <x v="16"/>
    <x v="16"/>
    <x v="11"/>
    <x v="252"/>
    <x v="194"/>
    <x v="77"/>
    <x v="83"/>
    <x v="163"/>
    <x v="93"/>
    <x v="5"/>
  </r>
  <r>
    <x v="0"/>
    <x v="138"/>
    <x v="138"/>
    <x v="11"/>
    <x v="11"/>
    <x v="11"/>
    <x v="11"/>
    <x v="252"/>
    <x v="194"/>
    <x v="77"/>
    <x v="83"/>
    <x v="163"/>
    <x v="93"/>
    <x v="5"/>
  </r>
  <r>
    <x v="0"/>
    <x v="138"/>
    <x v="138"/>
    <x v="2"/>
    <x v="2"/>
    <x v="2"/>
    <x v="11"/>
    <x v="252"/>
    <x v="194"/>
    <x v="64"/>
    <x v="304"/>
    <x v="211"/>
    <x v="274"/>
    <x v="5"/>
  </r>
  <r>
    <x v="0"/>
    <x v="138"/>
    <x v="138"/>
    <x v="34"/>
    <x v="34"/>
    <x v="34"/>
    <x v="11"/>
    <x v="252"/>
    <x v="194"/>
    <x v="77"/>
    <x v="83"/>
    <x v="211"/>
    <x v="274"/>
    <x v="5"/>
  </r>
  <r>
    <x v="0"/>
    <x v="138"/>
    <x v="138"/>
    <x v="27"/>
    <x v="27"/>
    <x v="27"/>
    <x v="11"/>
    <x v="252"/>
    <x v="194"/>
    <x v="48"/>
    <x v="161"/>
    <x v="160"/>
    <x v="320"/>
    <x v="5"/>
  </r>
  <r>
    <x v="0"/>
    <x v="138"/>
    <x v="138"/>
    <x v="4"/>
    <x v="4"/>
    <x v="4"/>
    <x v="18"/>
    <x v="287"/>
    <x v="431"/>
    <x v="77"/>
    <x v="83"/>
    <x v="160"/>
    <x v="320"/>
    <x v="5"/>
  </r>
  <r>
    <x v="0"/>
    <x v="138"/>
    <x v="138"/>
    <x v="28"/>
    <x v="28"/>
    <x v="28"/>
    <x v="18"/>
    <x v="287"/>
    <x v="431"/>
    <x v="48"/>
    <x v="161"/>
    <x v="211"/>
    <x v="274"/>
    <x v="5"/>
  </r>
  <r>
    <x v="0"/>
    <x v="138"/>
    <x v="138"/>
    <x v="49"/>
    <x v="49"/>
    <x v="49"/>
    <x v="18"/>
    <x v="287"/>
    <x v="431"/>
    <x v="77"/>
    <x v="83"/>
    <x v="160"/>
    <x v="320"/>
    <x v="5"/>
  </r>
  <r>
    <x v="0"/>
    <x v="138"/>
    <x v="138"/>
    <x v="45"/>
    <x v="45"/>
    <x v="45"/>
    <x v="18"/>
    <x v="287"/>
    <x v="431"/>
    <x v="48"/>
    <x v="161"/>
    <x v="211"/>
    <x v="274"/>
    <x v="5"/>
  </r>
  <r>
    <x v="0"/>
    <x v="138"/>
    <x v="138"/>
    <x v="38"/>
    <x v="38"/>
    <x v="38"/>
    <x v="18"/>
    <x v="287"/>
    <x v="431"/>
    <x v="77"/>
    <x v="83"/>
    <x v="160"/>
    <x v="320"/>
    <x v="5"/>
  </r>
  <r>
    <x v="0"/>
    <x v="138"/>
    <x v="138"/>
    <x v="50"/>
    <x v="50"/>
    <x v="50"/>
    <x v="18"/>
    <x v="287"/>
    <x v="431"/>
    <x v="77"/>
    <x v="83"/>
    <x v="160"/>
    <x v="320"/>
    <x v="5"/>
  </r>
  <r>
    <x v="0"/>
    <x v="138"/>
    <x v="138"/>
    <x v="40"/>
    <x v="40"/>
    <x v="40"/>
    <x v="18"/>
    <x v="287"/>
    <x v="431"/>
    <x v="77"/>
    <x v="83"/>
    <x v="160"/>
    <x v="320"/>
    <x v="5"/>
  </r>
  <r>
    <x v="0"/>
    <x v="138"/>
    <x v="138"/>
    <x v="55"/>
    <x v="55"/>
    <x v="55"/>
    <x v="18"/>
    <x v="287"/>
    <x v="431"/>
    <x v="48"/>
    <x v="161"/>
    <x v="211"/>
    <x v="274"/>
    <x v="5"/>
  </r>
  <r>
    <x v="0"/>
    <x v="138"/>
    <x v="138"/>
    <x v="64"/>
    <x v="64"/>
    <x v="64"/>
    <x v="18"/>
    <x v="287"/>
    <x v="431"/>
    <x v="77"/>
    <x v="83"/>
    <x v="160"/>
    <x v="320"/>
    <x v="5"/>
  </r>
  <r>
    <x v="0"/>
    <x v="138"/>
    <x v="138"/>
    <x v="25"/>
    <x v="25"/>
    <x v="25"/>
    <x v="18"/>
    <x v="287"/>
    <x v="431"/>
    <x v="77"/>
    <x v="83"/>
    <x v="160"/>
    <x v="320"/>
    <x v="5"/>
  </r>
  <r>
    <x v="0"/>
    <x v="138"/>
    <x v="138"/>
    <x v="17"/>
    <x v="17"/>
    <x v="17"/>
    <x v="18"/>
    <x v="287"/>
    <x v="431"/>
    <x v="48"/>
    <x v="161"/>
    <x v="211"/>
    <x v="274"/>
    <x v="5"/>
  </r>
  <r>
    <x v="0"/>
    <x v="138"/>
    <x v="138"/>
    <x v="23"/>
    <x v="23"/>
    <x v="23"/>
    <x v="18"/>
    <x v="287"/>
    <x v="431"/>
    <x v="48"/>
    <x v="161"/>
    <x v="211"/>
    <x v="274"/>
    <x v="5"/>
  </r>
  <r>
    <x v="0"/>
    <x v="138"/>
    <x v="138"/>
    <x v="31"/>
    <x v="31"/>
    <x v="31"/>
    <x v="18"/>
    <x v="287"/>
    <x v="431"/>
    <x v="48"/>
    <x v="161"/>
    <x v="211"/>
    <x v="274"/>
    <x v="5"/>
  </r>
  <r>
    <x v="0"/>
    <x v="138"/>
    <x v="138"/>
    <x v="12"/>
    <x v="12"/>
    <x v="12"/>
    <x v="18"/>
    <x v="287"/>
    <x v="431"/>
    <x v="48"/>
    <x v="161"/>
    <x v="211"/>
    <x v="274"/>
    <x v="5"/>
  </r>
  <r>
    <x v="0"/>
    <x v="138"/>
    <x v="138"/>
    <x v="29"/>
    <x v="29"/>
    <x v="29"/>
    <x v="18"/>
    <x v="287"/>
    <x v="431"/>
    <x v="48"/>
    <x v="161"/>
    <x v="211"/>
    <x v="274"/>
    <x v="5"/>
  </r>
  <r>
    <x v="0"/>
    <x v="139"/>
    <x v="139"/>
    <x v="3"/>
    <x v="3"/>
    <x v="3"/>
    <x v="0"/>
    <x v="259"/>
    <x v="798"/>
    <x v="58"/>
    <x v="598"/>
    <x v="189"/>
    <x v="642"/>
    <x v="5"/>
  </r>
  <r>
    <x v="0"/>
    <x v="139"/>
    <x v="139"/>
    <x v="1"/>
    <x v="1"/>
    <x v="1"/>
    <x v="1"/>
    <x v="246"/>
    <x v="443"/>
    <x v="38"/>
    <x v="790"/>
    <x v="211"/>
    <x v="274"/>
    <x v="5"/>
  </r>
  <r>
    <x v="0"/>
    <x v="139"/>
    <x v="139"/>
    <x v="6"/>
    <x v="6"/>
    <x v="6"/>
    <x v="2"/>
    <x v="264"/>
    <x v="799"/>
    <x v="96"/>
    <x v="706"/>
    <x v="163"/>
    <x v="254"/>
    <x v="5"/>
  </r>
  <r>
    <x v="0"/>
    <x v="139"/>
    <x v="139"/>
    <x v="0"/>
    <x v="0"/>
    <x v="0"/>
    <x v="2"/>
    <x v="264"/>
    <x v="799"/>
    <x v="96"/>
    <x v="706"/>
    <x v="163"/>
    <x v="254"/>
    <x v="5"/>
  </r>
  <r>
    <x v="0"/>
    <x v="139"/>
    <x v="139"/>
    <x v="4"/>
    <x v="4"/>
    <x v="4"/>
    <x v="4"/>
    <x v="247"/>
    <x v="800"/>
    <x v="48"/>
    <x v="118"/>
    <x v="189"/>
    <x v="642"/>
    <x v="5"/>
  </r>
  <r>
    <x v="0"/>
    <x v="139"/>
    <x v="139"/>
    <x v="14"/>
    <x v="14"/>
    <x v="14"/>
    <x v="4"/>
    <x v="247"/>
    <x v="800"/>
    <x v="77"/>
    <x v="83"/>
    <x v="163"/>
    <x v="254"/>
    <x v="5"/>
  </r>
  <r>
    <x v="0"/>
    <x v="139"/>
    <x v="139"/>
    <x v="5"/>
    <x v="5"/>
    <x v="5"/>
    <x v="6"/>
    <x v="248"/>
    <x v="801"/>
    <x v="65"/>
    <x v="141"/>
    <x v="160"/>
    <x v="91"/>
    <x v="5"/>
  </r>
  <r>
    <x v="0"/>
    <x v="139"/>
    <x v="139"/>
    <x v="13"/>
    <x v="13"/>
    <x v="13"/>
    <x v="6"/>
    <x v="248"/>
    <x v="801"/>
    <x v="65"/>
    <x v="141"/>
    <x v="160"/>
    <x v="91"/>
    <x v="5"/>
  </r>
  <r>
    <x v="0"/>
    <x v="139"/>
    <x v="139"/>
    <x v="2"/>
    <x v="2"/>
    <x v="2"/>
    <x v="6"/>
    <x v="248"/>
    <x v="801"/>
    <x v="82"/>
    <x v="599"/>
    <x v="211"/>
    <x v="274"/>
    <x v="5"/>
  </r>
  <r>
    <x v="0"/>
    <x v="139"/>
    <x v="139"/>
    <x v="30"/>
    <x v="30"/>
    <x v="30"/>
    <x v="6"/>
    <x v="248"/>
    <x v="801"/>
    <x v="64"/>
    <x v="600"/>
    <x v="132"/>
    <x v="643"/>
    <x v="5"/>
  </r>
  <r>
    <x v="0"/>
    <x v="139"/>
    <x v="139"/>
    <x v="8"/>
    <x v="8"/>
    <x v="8"/>
    <x v="10"/>
    <x v="249"/>
    <x v="134"/>
    <x v="52"/>
    <x v="707"/>
    <x v="163"/>
    <x v="254"/>
    <x v="5"/>
  </r>
  <r>
    <x v="0"/>
    <x v="139"/>
    <x v="139"/>
    <x v="28"/>
    <x v="28"/>
    <x v="28"/>
    <x v="10"/>
    <x v="249"/>
    <x v="134"/>
    <x v="77"/>
    <x v="83"/>
    <x v="210"/>
    <x v="644"/>
    <x v="5"/>
  </r>
  <r>
    <x v="0"/>
    <x v="139"/>
    <x v="139"/>
    <x v="12"/>
    <x v="12"/>
    <x v="12"/>
    <x v="12"/>
    <x v="250"/>
    <x v="47"/>
    <x v="64"/>
    <x v="600"/>
    <x v="163"/>
    <x v="254"/>
    <x v="5"/>
  </r>
  <r>
    <x v="0"/>
    <x v="139"/>
    <x v="139"/>
    <x v="7"/>
    <x v="7"/>
    <x v="7"/>
    <x v="12"/>
    <x v="250"/>
    <x v="47"/>
    <x v="52"/>
    <x v="707"/>
    <x v="160"/>
    <x v="91"/>
    <x v="5"/>
  </r>
  <r>
    <x v="0"/>
    <x v="139"/>
    <x v="139"/>
    <x v="27"/>
    <x v="27"/>
    <x v="27"/>
    <x v="12"/>
    <x v="250"/>
    <x v="47"/>
    <x v="52"/>
    <x v="707"/>
    <x v="160"/>
    <x v="91"/>
    <x v="5"/>
  </r>
  <r>
    <x v="0"/>
    <x v="139"/>
    <x v="139"/>
    <x v="29"/>
    <x v="29"/>
    <x v="29"/>
    <x v="12"/>
    <x v="250"/>
    <x v="47"/>
    <x v="52"/>
    <x v="707"/>
    <x v="160"/>
    <x v="91"/>
    <x v="5"/>
  </r>
  <r>
    <x v="0"/>
    <x v="139"/>
    <x v="139"/>
    <x v="31"/>
    <x v="31"/>
    <x v="31"/>
    <x v="16"/>
    <x v="251"/>
    <x v="473"/>
    <x v="48"/>
    <x v="118"/>
    <x v="163"/>
    <x v="254"/>
    <x v="5"/>
  </r>
  <r>
    <x v="0"/>
    <x v="139"/>
    <x v="139"/>
    <x v="26"/>
    <x v="26"/>
    <x v="26"/>
    <x v="16"/>
    <x v="251"/>
    <x v="473"/>
    <x v="77"/>
    <x v="83"/>
    <x v="209"/>
    <x v="645"/>
    <x v="5"/>
  </r>
  <r>
    <x v="0"/>
    <x v="139"/>
    <x v="139"/>
    <x v="9"/>
    <x v="9"/>
    <x v="9"/>
    <x v="16"/>
    <x v="251"/>
    <x v="473"/>
    <x v="48"/>
    <x v="118"/>
    <x v="211"/>
    <x v="274"/>
    <x v="5"/>
  </r>
  <r>
    <x v="0"/>
    <x v="139"/>
    <x v="139"/>
    <x v="41"/>
    <x v="41"/>
    <x v="41"/>
    <x v="19"/>
    <x v="252"/>
    <x v="802"/>
    <x v="77"/>
    <x v="83"/>
    <x v="211"/>
    <x v="274"/>
    <x v="5"/>
  </r>
  <r>
    <x v="0"/>
    <x v="139"/>
    <x v="139"/>
    <x v="18"/>
    <x v="18"/>
    <x v="18"/>
    <x v="19"/>
    <x v="252"/>
    <x v="802"/>
    <x v="77"/>
    <x v="83"/>
    <x v="163"/>
    <x v="254"/>
    <x v="5"/>
  </r>
  <r>
    <x v="0"/>
    <x v="139"/>
    <x v="139"/>
    <x v="17"/>
    <x v="17"/>
    <x v="17"/>
    <x v="19"/>
    <x v="252"/>
    <x v="802"/>
    <x v="77"/>
    <x v="83"/>
    <x v="163"/>
    <x v="254"/>
    <x v="5"/>
  </r>
  <r>
    <x v="0"/>
    <x v="139"/>
    <x v="139"/>
    <x v="15"/>
    <x v="15"/>
    <x v="15"/>
    <x v="19"/>
    <x v="252"/>
    <x v="802"/>
    <x v="77"/>
    <x v="83"/>
    <x v="163"/>
    <x v="254"/>
    <x v="5"/>
  </r>
  <r>
    <x v="0"/>
    <x v="139"/>
    <x v="139"/>
    <x v="11"/>
    <x v="11"/>
    <x v="11"/>
    <x v="19"/>
    <x v="252"/>
    <x v="802"/>
    <x v="64"/>
    <x v="600"/>
    <x v="211"/>
    <x v="274"/>
    <x v="5"/>
  </r>
  <r>
    <x v="0"/>
    <x v="139"/>
    <x v="139"/>
    <x v="10"/>
    <x v="10"/>
    <x v="10"/>
    <x v="19"/>
    <x v="252"/>
    <x v="802"/>
    <x v="48"/>
    <x v="118"/>
    <x v="160"/>
    <x v="91"/>
    <x v="5"/>
  </r>
  <r>
    <x v="0"/>
    <x v="139"/>
    <x v="139"/>
    <x v="19"/>
    <x v="19"/>
    <x v="19"/>
    <x v="19"/>
    <x v="252"/>
    <x v="802"/>
    <x v="77"/>
    <x v="83"/>
    <x v="163"/>
    <x v="254"/>
    <x v="5"/>
  </r>
  <r>
    <x v="0"/>
    <x v="140"/>
    <x v="140"/>
    <x v="1"/>
    <x v="1"/>
    <x v="1"/>
    <x v="0"/>
    <x v="131"/>
    <x v="803"/>
    <x v="149"/>
    <x v="791"/>
    <x v="206"/>
    <x v="183"/>
    <x v="5"/>
  </r>
  <r>
    <x v="0"/>
    <x v="140"/>
    <x v="140"/>
    <x v="0"/>
    <x v="0"/>
    <x v="0"/>
    <x v="1"/>
    <x v="278"/>
    <x v="804"/>
    <x v="103"/>
    <x v="792"/>
    <x v="209"/>
    <x v="424"/>
    <x v="4"/>
  </r>
  <r>
    <x v="0"/>
    <x v="140"/>
    <x v="140"/>
    <x v="3"/>
    <x v="3"/>
    <x v="3"/>
    <x v="2"/>
    <x v="283"/>
    <x v="805"/>
    <x v="58"/>
    <x v="655"/>
    <x v="145"/>
    <x v="526"/>
    <x v="5"/>
  </r>
  <r>
    <x v="0"/>
    <x v="140"/>
    <x v="140"/>
    <x v="7"/>
    <x v="7"/>
    <x v="7"/>
    <x v="3"/>
    <x v="163"/>
    <x v="806"/>
    <x v="115"/>
    <x v="793"/>
    <x v="163"/>
    <x v="542"/>
    <x v="5"/>
  </r>
  <r>
    <x v="0"/>
    <x v="140"/>
    <x v="140"/>
    <x v="4"/>
    <x v="4"/>
    <x v="4"/>
    <x v="4"/>
    <x v="175"/>
    <x v="303"/>
    <x v="65"/>
    <x v="537"/>
    <x v="165"/>
    <x v="302"/>
    <x v="5"/>
  </r>
  <r>
    <x v="0"/>
    <x v="140"/>
    <x v="140"/>
    <x v="9"/>
    <x v="9"/>
    <x v="9"/>
    <x v="5"/>
    <x v="245"/>
    <x v="807"/>
    <x v="96"/>
    <x v="345"/>
    <x v="189"/>
    <x v="132"/>
    <x v="5"/>
  </r>
  <r>
    <x v="0"/>
    <x v="140"/>
    <x v="140"/>
    <x v="2"/>
    <x v="2"/>
    <x v="2"/>
    <x v="6"/>
    <x v="258"/>
    <x v="399"/>
    <x v="111"/>
    <x v="794"/>
    <x v="210"/>
    <x v="646"/>
    <x v="5"/>
  </r>
  <r>
    <x v="0"/>
    <x v="140"/>
    <x v="140"/>
    <x v="5"/>
    <x v="5"/>
    <x v="5"/>
    <x v="7"/>
    <x v="259"/>
    <x v="808"/>
    <x v="38"/>
    <x v="795"/>
    <x v="210"/>
    <x v="646"/>
    <x v="5"/>
  </r>
  <r>
    <x v="0"/>
    <x v="140"/>
    <x v="140"/>
    <x v="8"/>
    <x v="8"/>
    <x v="8"/>
    <x v="8"/>
    <x v="267"/>
    <x v="202"/>
    <x v="82"/>
    <x v="796"/>
    <x v="197"/>
    <x v="421"/>
    <x v="5"/>
  </r>
  <r>
    <x v="0"/>
    <x v="140"/>
    <x v="140"/>
    <x v="11"/>
    <x v="11"/>
    <x v="11"/>
    <x v="9"/>
    <x v="246"/>
    <x v="439"/>
    <x v="50"/>
    <x v="377"/>
    <x v="210"/>
    <x v="646"/>
    <x v="5"/>
  </r>
  <r>
    <x v="0"/>
    <x v="140"/>
    <x v="140"/>
    <x v="6"/>
    <x v="6"/>
    <x v="6"/>
    <x v="10"/>
    <x v="263"/>
    <x v="462"/>
    <x v="53"/>
    <x v="797"/>
    <x v="210"/>
    <x v="646"/>
    <x v="5"/>
  </r>
  <r>
    <x v="0"/>
    <x v="140"/>
    <x v="140"/>
    <x v="30"/>
    <x v="30"/>
    <x v="30"/>
    <x v="10"/>
    <x v="263"/>
    <x v="462"/>
    <x v="53"/>
    <x v="797"/>
    <x v="210"/>
    <x v="646"/>
    <x v="5"/>
  </r>
  <r>
    <x v="0"/>
    <x v="140"/>
    <x v="140"/>
    <x v="14"/>
    <x v="14"/>
    <x v="14"/>
    <x v="12"/>
    <x v="280"/>
    <x v="317"/>
    <x v="77"/>
    <x v="83"/>
    <x v="206"/>
    <x v="183"/>
    <x v="5"/>
  </r>
  <r>
    <x v="0"/>
    <x v="140"/>
    <x v="140"/>
    <x v="27"/>
    <x v="27"/>
    <x v="27"/>
    <x v="13"/>
    <x v="269"/>
    <x v="35"/>
    <x v="65"/>
    <x v="537"/>
    <x v="209"/>
    <x v="424"/>
    <x v="5"/>
  </r>
  <r>
    <x v="0"/>
    <x v="140"/>
    <x v="140"/>
    <x v="15"/>
    <x v="15"/>
    <x v="15"/>
    <x v="14"/>
    <x v="247"/>
    <x v="180"/>
    <x v="48"/>
    <x v="91"/>
    <x v="189"/>
    <x v="132"/>
    <x v="5"/>
  </r>
  <r>
    <x v="0"/>
    <x v="140"/>
    <x v="140"/>
    <x v="10"/>
    <x v="10"/>
    <x v="10"/>
    <x v="14"/>
    <x v="247"/>
    <x v="180"/>
    <x v="53"/>
    <x v="797"/>
    <x v="211"/>
    <x v="274"/>
    <x v="5"/>
  </r>
  <r>
    <x v="0"/>
    <x v="140"/>
    <x v="140"/>
    <x v="32"/>
    <x v="32"/>
    <x v="32"/>
    <x v="16"/>
    <x v="248"/>
    <x v="115"/>
    <x v="48"/>
    <x v="91"/>
    <x v="210"/>
    <x v="646"/>
    <x v="5"/>
  </r>
  <r>
    <x v="0"/>
    <x v="140"/>
    <x v="140"/>
    <x v="13"/>
    <x v="13"/>
    <x v="13"/>
    <x v="16"/>
    <x v="248"/>
    <x v="115"/>
    <x v="64"/>
    <x v="154"/>
    <x v="132"/>
    <x v="186"/>
    <x v="5"/>
  </r>
  <r>
    <x v="0"/>
    <x v="140"/>
    <x v="140"/>
    <x v="12"/>
    <x v="12"/>
    <x v="12"/>
    <x v="16"/>
    <x v="248"/>
    <x v="115"/>
    <x v="52"/>
    <x v="798"/>
    <x v="163"/>
    <x v="542"/>
    <x v="5"/>
  </r>
  <r>
    <x v="0"/>
    <x v="140"/>
    <x v="140"/>
    <x v="28"/>
    <x v="28"/>
    <x v="28"/>
    <x v="19"/>
    <x v="249"/>
    <x v="545"/>
    <x v="48"/>
    <x v="91"/>
    <x v="132"/>
    <x v="186"/>
    <x v="5"/>
  </r>
  <r>
    <x v="0"/>
    <x v="140"/>
    <x v="140"/>
    <x v="38"/>
    <x v="38"/>
    <x v="38"/>
    <x v="19"/>
    <x v="249"/>
    <x v="545"/>
    <x v="48"/>
    <x v="91"/>
    <x v="132"/>
    <x v="186"/>
    <x v="5"/>
  </r>
  <r>
    <x v="0"/>
    <x v="140"/>
    <x v="140"/>
    <x v="35"/>
    <x v="35"/>
    <x v="35"/>
    <x v="19"/>
    <x v="249"/>
    <x v="545"/>
    <x v="64"/>
    <x v="154"/>
    <x v="209"/>
    <x v="424"/>
    <x v="5"/>
  </r>
  <r>
    <x v="0"/>
    <x v="140"/>
    <x v="140"/>
    <x v="16"/>
    <x v="16"/>
    <x v="16"/>
    <x v="19"/>
    <x v="249"/>
    <x v="545"/>
    <x v="48"/>
    <x v="91"/>
    <x v="132"/>
    <x v="186"/>
    <x v="5"/>
  </r>
  <r>
    <x v="0"/>
    <x v="140"/>
    <x v="140"/>
    <x v="24"/>
    <x v="24"/>
    <x v="24"/>
    <x v="19"/>
    <x v="249"/>
    <x v="545"/>
    <x v="77"/>
    <x v="83"/>
    <x v="210"/>
    <x v="646"/>
    <x v="5"/>
  </r>
  <r>
    <x v="0"/>
    <x v="140"/>
    <x v="140"/>
    <x v="19"/>
    <x v="19"/>
    <x v="19"/>
    <x v="19"/>
    <x v="249"/>
    <x v="545"/>
    <x v="65"/>
    <x v="537"/>
    <x v="211"/>
    <x v="274"/>
    <x v="5"/>
  </r>
  <r>
    <x v="0"/>
    <x v="141"/>
    <x v="141"/>
    <x v="3"/>
    <x v="3"/>
    <x v="3"/>
    <x v="0"/>
    <x v="140"/>
    <x v="547"/>
    <x v="70"/>
    <x v="799"/>
    <x v="134"/>
    <x v="105"/>
    <x v="5"/>
  </r>
  <r>
    <x v="0"/>
    <x v="141"/>
    <x v="141"/>
    <x v="1"/>
    <x v="1"/>
    <x v="1"/>
    <x v="1"/>
    <x v="162"/>
    <x v="712"/>
    <x v="69"/>
    <x v="800"/>
    <x v="160"/>
    <x v="444"/>
    <x v="5"/>
  </r>
  <r>
    <x v="0"/>
    <x v="141"/>
    <x v="141"/>
    <x v="0"/>
    <x v="0"/>
    <x v="0"/>
    <x v="2"/>
    <x v="175"/>
    <x v="340"/>
    <x v="74"/>
    <x v="608"/>
    <x v="163"/>
    <x v="336"/>
    <x v="5"/>
  </r>
  <r>
    <x v="0"/>
    <x v="141"/>
    <x v="141"/>
    <x v="6"/>
    <x v="6"/>
    <x v="6"/>
    <x v="3"/>
    <x v="261"/>
    <x v="809"/>
    <x v="70"/>
    <x v="799"/>
    <x v="189"/>
    <x v="334"/>
    <x v="5"/>
  </r>
  <r>
    <x v="0"/>
    <x v="141"/>
    <x v="141"/>
    <x v="4"/>
    <x v="4"/>
    <x v="4"/>
    <x v="4"/>
    <x v="267"/>
    <x v="810"/>
    <x v="65"/>
    <x v="109"/>
    <x v="215"/>
    <x v="647"/>
    <x v="5"/>
  </r>
  <r>
    <x v="0"/>
    <x v="141"/>
    <x v="141"/>
    <x v="7"/>
    <x v="7"/>
    <x v="7"/>
    <x v="5"/>
    <x v="264"/>
    <x v="811"/>
    <x v="70"/>
    <x v="799"/>
    <x v="211"/>
    <x v="274"/>
    <x v="5"/>
  </r>
  <r>
    <x v="0"/>
    <x v="141"/>
    <x v="141"/>
    <x v="13"/>
    <x v="13"/>
    <x v="13"/>
    <x v="6"/>
    <x v="268"/>
    <x v="486"/>
    <x v="65"/>
    <x v="109"/>
    <x v="132"/>
    <x v="117"/>
    <x v="5"/>
  </r>
  <r>
    <x v="0"/>
    <x v="141"/>
    <x v="141"/>
    <x v="8"/>
    <x v="8"/>
    <x v="8"/>
    <x v="7"/>
    <x v="269"/>
    <x v="120"/>
    <x v="64"/>
    <x v="308"/>
    <x v="189"/>
    <x v="334"/>
    <x v="5"/>
  </r>
  <r>
    <x v="0"/>
    <x v="141"/>
    <x v="141"/>
    <x v="30"/>
    <x v="30"/>
    <x v="30"/>
    <x v="8"/>
    <x v="247"/>
    <x v="29"/>
    <x v="64"/>
    <x v="308"/>
    <x v="132"/>
    <x v="117"/>
    <x v="4"/>
  </r>
  <r>
    <x v="0"/>
    <x v="141"/>
    <x v="141"/>
    <x v="9"/>
    <x v="9"/>
    <x v="9"/>
    <x v="8"/>
    <x v="247"/>
    <x v="29"/>
    <x v="65"/>
    <x v="109"/>
    <x v="211"/>
    <x v="274"/>
    <x v="5"/>
  </r>
  <r>
    <x v="0"/>
    <x v="141"/>
    <x v="141"/>
    <x v="5"/>
    <x v="5"/>
    <x v="5"/>
    <x v="10"/>
    <x v="248"/>
    <x v="257"/>
    <x v="52"/>
    <x v="281"/>
    <x v="209"/>
    <x v="534"/>
    <x v="5"/>
  </r>
  <r>
    <x v="0"/>
    <x v="141"/>
    <x v="141"/>
    <x v="28"/>
    <x v="28"/>
    <x v="28"/>
    <x v="10"/>
    <x v="248"/>
    <x v="257"/>
    <x v="52"/>
    <x v="281"/>
    <x v="209"/>
    <x v="534"/>
    <x v="5"/>
  </r>
  <r>
    <x v="0"/>
    <x v="141"/>
    <x v="141"/>
    <x v="42"/>
    <x v="42"/>
    <x v="42"/>
    <x v="10"/>
    <x v="248"/>
    <x v="257"/>
    <x v="48"/>
    <x v="801"/>
    <x v="210"/>
    <x v="443"/>
    <x v="5"/>
  </r>
  <r>
    <x v="0"/>
    <x v="141"/>
    <x v="141"/>
    <x v="26"/>
    <x v="26"/>
    <x v="26"/>
    <x v="10"/>
    <x v="248"/>
    <x v="257"/>
    <x v="52"/>
    <x v="281"/>
    <x v="163"/>
    <x v="336"/>
    <x v="5"/>
  </r>
  <r>
    <x v="0"/>
    <x v="141"/>
    <x v="141"/>
    <x v="2"/>
    <x v="2"/>
    <x v="2"/>
    <x v="14"/>
    <x v="249"/>
    <x v="276"/>
    <x v="52"/>
    <x v="281"/>
    <x v="163"/>
    <x v="336"/>
    <x v="5"/>
  </r>
  <r>
    <x v="0"/>
    <x v="141"/>
    <x v="141"/>
    <x v="34"/>
    <x v="34"/>
    <x v="34"/>
    <x v="14"/>
    <x v="249"/>
    <x v="276"/>
    <x v="77"/>
    <x v="83"/>
    <x v="132"/>
    <x v="117"/>
    <x v="5"/>
  </r>
  <r>
    <x v="0"/>
    <x v="141"/>
    <x v="141"/>
    <x v="38"/>
    <x v="38"/>
    <x v="38"/>
    <x v="16"/>
    <x v="250"/>
    <x v="180"/>
    <x v="64"/>
    <x v="308"/>
    <x v="163"/>
    <x v="336"/>
    <x v="5"/>
  </r>
  <r>
    <x v="0"/>
    <x v="141"/>
    <x v="141"/>
    <x v="11"/>
    <x v="11"/>
    <x v="11"/>
    <x v="16"/>
    <x v="250"/>
    <x v="180"/>
    <x v="48"/>
    <x v="801"/>
    <x v="209"/>
    <x v="534"/>
    <x v="5"/>
  </r>
  <r>
    <x v="0"/>
    <x v="141"/>
    <x v="141"/>
    <x v="20"/>
    <x v="20"/>
    <x v="20"/>
    <x v="16"/>
    <x v="250"/>
    <x v="180"/>
    <x v="52"/>
    <x v="281"/>
    <x v="160"/>
    <x v="444"/>
    <x v="5"/>
  </r>
  <r>
    <x v="0"/>
    <x v="141"/>
    <x v="141"/>
    <x v="12"/>
    <x v="12"/>
    <x v="12"/>
    <x v="16"/>
    <x v="250"/>
    <x v="180"/>
    <x v="52"/>
    <x v="281"/>
    <x v="160"/>
    <x v="444"/>
    <x v="5"/>
  </r>
  <r>
    <x v="0"/>
    <x v="141"/>
    <x v="141"/>
    <x v="19"/>
    <x v="19"/>
    <x v="19"/>
    <x v="16"/>
    <x v="250"/>
    <x v="180"/>
    <x v="52"/>
    <x v="281"/>
    <x v="160"/>
    <x v="444"/>
    <x v="5"/>
  </r>
  <r>
    <x v="0"/>
    <x v="141"/>
    <x v="141"/>
    <x v="14"/>
    <x v="14"/>
    <x v="14"/>
    <x v="16"/>
    <x v="250"/>
    <x v="180"/>
    <x v="77"/>
    <x v="83"/>
    <x v="132"/>
    <x v="117"/>
    <x v="5"/>
  </r>
  <r>
    <x v="0"/>
    <x v="142"/>
    <x v="142"/>
    <x v="1"/>
    <x v="1"/>
    <x v="1"/>
    <x v="0"/>
    <x v="268"/>
    <x v="812"/>
    <x v="96"/>
    <x v="802"/>
    <x v="211"/>
    <x v="274"/>
    <x v="5"/>
  </r>
  <r>
    <x v="0"/>
    <x v="142"/>
    <x v="142"/>
    <x v="6"/>
    <x v="6"/>
    <x v="6"/>
    <x v="1"/>
    <x v="248"/>
    <x v="476"/>
    <x v="52"/>
    <x v="803"/>
    <x v="209"/>
    <x v="642"/>
    <x v="5"/>
  </r>
  <r>
    <x v="0"/>
    <x v="142"/>
    <x v="142"/>
    <x v="11"/>
    <x v="11"/>
    <x v="11"/>
    <x v="1"/>
    <x v="248"/>
    <x v="476"/>
    <x v="65"/>
    <x v="804"/>
    <x v="160"/>
    <x v="254"/>
    <x v="5"/>
  </r>
  <r>
    <x v="0"/>
    <x v="142"/>
    <x v="142"/>
    <x v="0"/>
    <x v="0"/>
    <x v="0"/>
    <x v="1"/>
    <x v="248"/>
    <x v="476"/>
    <x v="65"/>
    <x v="804"/>
    <x v="160"/>
    <x v="254"/>
    <x v="5"/>
  </r>
  <r>
    <x v="0"/>
    <x v="142"/>
    <x v="142"/>
    <x v="4"/>
    <x v="4"/>
    <x v="4"/>
    <x v="4"/>
    <x v="249"/>
    <x v="813"/>
    <x v="77"/>
    <x v="83"/>
    <x v="210"/>
    <x v="648"/>
    <x v="5"/>
  </r>
  <r>
    <x v="0"/>
    <x v="142"/>
    <x v="142"/>
    <x v="13"/>
    <x v="13"/>
    <x v="13"/>
    <x v="4"/>
    <x v="249"/>
    <x v="813"/>
    <x v="51"/>
    <x v="805"/>
    <x v="160"/>
    <x v="254"/>
    <x v="5"/>
  </r>
  <r>
    <x v="0"/>
    <x v="142"/>
    <x v="142"/>
    <x v="19"/>
    <x v="19"/>
    <x v="19"/>
    <x v="4"/>
    <x v="249"/>
    <x v="813"/>
    <x v="48"/>
    <x v="806"/>
    <x v="163"/>
    <x v="643"/>
    <x v="5"/>
  </r>
  <r>
    <x v="0"/>
    <x v="142"/>
    <x v="142"/>
    <x v="3"/>
    <x v="3"/>
    <x v="3"/>
    <x v="7"/>
    <x v="250"/>
    <x v="246"/>
    <x v="48"/>
    <x v="806"/>
    <x v="209"/>
    <x v="642"/>
    <x v="5"/>
  </r>
  <r>
    <x v="0"/>
    <x v="142"/>
    <x v="142"/>
    <x v="9"/>
    <x v="9"/>
    <x v="9"/>
    <x v="7"/>
    <x v="250"/>
    <x v="246"/>
    <x v="48"/>
    <x v="806"/>
    <x v="211"/>
    <x v="274"/>
    <x v="5"/>
  </r>
  <r>
    <x v="0"/>
    <x v="142"/>
    <x v="142"/>
    <x v="5"/>
    <x v="5"/>
    <x v="5"/>
    <x v="9"/>
    <x v="251"/>
    <x v="247"/>
    <x v="52"/>
    <x v="803"/>
    <x v="211"/>
    <x v="274"/>
    <x v="5"/>
  </r>
  <r>
    <x v="0"/>
    <x v="142"/>
    <x v="142"/>
    <x v="32"/>
    <x v="32"/>
    <x v="32"/>
    <x v="9"/>
    <x v="251"/>
    <x v="247"/>
    <x v="48"/>
    <x v="806"/>
    <x v="163"/>
    <x v="643"/>
    <x v="5"/>
  </r>
  <r>
    <x v="0"/>
    <x v="142"/>
    <x v="142"/>
    <x v="30"/>
    <x v="30"/>
    <x v="30"/>
    <x v="9"/>
    <x v="251"/>
    <x v="247"/>
    <x v="64"/>
    <x v="181"/>
    <x v="160"/>
    <x v="254"/>
    <x v="5"/>
  </r>
  <r>
    <x v="0"/>
    <x v="142"/>
    <x v="142"/>
    <x v="38"/>
    <x v="38"/>
    <x v="38"/>
    <x v="12"/>
    <x v="252"/>
    <x v="30"/>
    <x v="48"/>
    <x v="806"/>
    <x v="160"/>
    <x v="254"/>
    <x v="5"/>
  </r>
  <r>
    <x v="0"/>
    <x v="142"/>
    <x v="142"/>
    <x v="17"/>
    <x v="17"/>
    <x v="17"/>
    <x v="12"/>
    <x v="252"/>
    <x v="30"/>
    <x v="77"/>
    <x v="83"/>
    <x v="163"/>
    <x v="643"/>
    <x v="5"/>
  </r>
  <r>
    <x v="0"/>
    <x v="142"/>
    <x v="142"/>
    <x v="2"/>
    <x v="2"/>
    <x v="2"/>
    <x v="12"/>
    <x v="252"/>
    <x v="30"/>
    <x v="48"/>
    <x v="806"/>
    <x v="211"/>
    <x v="274"/>
    <x v="5"/>
  </r>
  <r>
    <x v="0"/>
    <x v="142"/>
    <x v="142"/>
    <x v="14"/>
    <x v="14"/>
    <x v="14"/>
    <x v="12"/>
    <x v="252"/>
    <x v="30"/>
    <x v="77"/>
    <x v="83"/>
    <x v="211"/>
    <x v="274"/>
    <x v="5"/>
  </r>
  <r>
    <x v="0"/>
    <x v="142"/>
    <x v="142"/>
    <x v="8"/>
    <x v="8"/>
    <x v="8"/>
    <x v="16"/>
    <x v="287"/>
    <x v="18"/>
    <x v="77"/>
    <x v="83"/>
    <x v="160"/>
    <x v="254"/>
    <x v="5"/>
  </r>
  <r>
    <x v="0"/>
    <x v="142"/>
    <x v="142"/>
    <x v="28"/>
    <x v="28"/>
    <x v="28"/>
    <x v="16"/>
    <x v="287"/>
    <x v="18"/>
    <x v="77"/>
    <x v="83"/>
    <x v="160"/>
    <x v="254"/>
    <x v="5"/>
  </r>
  <r>
    <x v="0"/>
    <x v="142"/>
    <x v="142"/>
    <x v="49"/>
    <x v="49"/>
    <x v="49"/>
    <x v="16"/>
    <x v="287"/>
    <x v="18"/>
    <x v="48"/>
    <x v="806"/>
    <x v="211"/>
    <x v="274"/>
    <x v="5"/>
  </r>
  <r>
    <x v="0"/>
    <x v="142"/>
    <x v="142"/>
    <x v="40"/>
    <x v="40"/>
    <x v="40"/>
    <x v="16"/>
    <x v="287"/>
    <x v="18"/>
    <x v="77"/>
    <x v="83"/>
    <x v="160"/>
    <x v="254"/>
    <x v="5"/>
  </r>
  <r>
    <x v="0"/>
    <x v="142"/>
    <x v="142"/>
    <x v="41"/>
    <x v="41"/>
    <x v="41"/>
    <x v="16"/>
    <x v="287"/>
    <x v="18"/>
    <x v="77"/>
    <x v="83"/>
    <x v="211"/>
    <x v="274"/>
    <x v="5"/>
  </r>
  <r>
    <x v="0"/>
    <x v="142"/>
    <x v="142"/>
    <x v="68"/>
    <x v="68"/>
    <x v="68"/>
    <x v="16"/>
    <x v="287"/>
    <x v="18"/>
    <x v="48"/>
    <x v="806"/>
    <x v="211"/>
    <x v="274"/>
    <x v="5"/>
  </r>
  <r>
    <x v="0"/>
    <x v="142"/>
    <x v="142"/>
    <x v="25"/>
    <x v="25"/>
    <x v="25"/>
    <x v="16"/>
    <x v="287"/>
    <x v="18"/>
    <x v="77"/>
    <x v="83"/>
    <x v="160"/>
    <x v="254"/>
    <x v="5"/>
  </r>
  <r>
    <x v="0"/>
    <x v="142"/>
    <x v="142"/>
    <x v="35"/>
    <x v="35"/>
    <x v="35"/>
    <x v="16"/>
    <x v="287"/>
    <x v="18"/>
    <x v="77"/>
    <x v="83"/>
    <x v="160"/>
    <x v="254"/>
    <x v="5"/>
  </r>
  <r>
    <x v="0"/>
    <x v="142"/>
    <x v="142"/>
    <x v="69"/>
    <x v="69"/>
    <x v="69"/>
    <x v="16"/>
    <x v="287"/>
    <x v="18"/>
    <x v="48"/>
    <x v="806"/>
    <x v="211"/>
    <x v="274"/>
    <x v="5"/>
  </r>
  <r>
    <x v="0"/>
    <x v="142"/>
    <x v="142"/>
    <x v="18"/>
    <x v="18"/>
    <x v="18"/>
    <x v="16"/>
    <x v="287"/>
    <x v="18"/>
    <x v="77"/>
    <x v="83"/>
    <x v="160"/>
    <x v="254"/>
    <x v="5"/>
  </r>
  <r>
    <x v="0"/>
    <x v="142"/>
    <x v="142"/>
    <x v="16"/>
    <x v="16"/>
    <x v="16"/>
    <x v="16"/>
    <x v="287"/>
    <x v="18"/>
    <x v="77"/>
    <x v="83"/>
    <x v="160"/>
    <x v="254"/>
    <x v="5"/>
  </r>
  <r>
    <x v="0"/>
    <x v="142"/>
    <x v="142"/>
    <x v="12"/>
    <x v="12"/>
    <x v="12"/>
    <x v="16"/>
    <x v="287"/>
    <x v="18"/>
    <x v="48"/>
    <x v="806"/>
    <x v="211"/>
    <x v="274"/>
    <x v="5"/>
  </r>
  <r>
    <x v="0"/>
    <x v="142"/>
    <x v="142"/>
    <x v="7"/>
    <x v="7"/>
    <x v="7"/>
    <x v="16"/>
    <x v="287"/>
    <x v="18"/>
    <x v="48"/>
    <x v="806"/>
    <x v="211"/>
    <x v="274"/>
    <x v="5"/>
  </r>
  <r>
    <x v="0"/>
    <x v="142"/>
    <x v="142"/>
    <x v="27"/>
    <x v="27"/>
    <x v="27"/>
    <x v="16"/>
    <x v="287"/>
    <x v="18"/>
    <x v="48"/>
    <x v="806"/>
    <x v="211"/>
    <x v="274"/>
    <x v="5"/>
  </r>
  <r>
    <x v="0"/>
    <x v="142"/>
    <x v="142"/>
    <x v="37"/>
    <x v="37"/>
    <x v="37"/>
    <x v="16"/>
    <x v="287"/>
    <x v="18"/>
    <x v="77"/>
    <x v="83"/>
    <x v="211"/>
    <x v="274"/>
    <x v="5"/>
  </r>
  <r>
    <x v="0"/>
    <x v="143"/>
    <x v="143"/>
    <x v="0"/>
    <x v="0"/>
    <x v="0"/>
    <x v="0"/>
    <x v="263"/>
    <x v="278"/>
    <x v="78"/>
    <x v="425"/>
    <x v="163"/>
    <x v="489"/>
    <x v="5"/>
  </r>
  <r>
    <x v="0"/>
    <x v="143"/>
    <x v="143"/>
    <x v="1"/>
    <x v="1"/>
    <x v="1"/>
    <x v="1"/>
    <x v="264"/>
    <x v="814"/>
    <x v="70"/>
    <x v="381"/>
    <x v="211"/>
    <x v="274"/>
    <x v="5"/>
  </r>
  <r>
    <x v="0"/>
    <x v="143"/>
    <x v="143"/>
    <x v="3"/>
    <x v="3"/>
    <x v="3"/>
    <x v="2"/>
    <x v="248"/>
    <x v="186"/>
    <x v="51"/>
    <x v="573"/>
    <x v="163"/>
    <x v="489"/>
    <x v="5"/>
  </r>
  <r>
    <x v="0"/>
    <x v="143"/>
    <x v="143"/>
    <x v="9"/>
    <x v="9"/>
    <x v="9"/>
    <x v="2"/>
    <x v="248"/>
    <x v="186"/>
    <x v="65"/>
    <x v="429"/>
    <x v="211"/>
    <x v="274"/>
    <x v="5"/>
  </r>
  <r>
    <x v="0"/>
    <x v="143"/>
    <x v="143"/>
    <x v="18"/>
    <x v="18"/>
    <x v="18"/>
    <x v="4"/>
    <x v="249"/>
    <x v="815"/>
    <x v="77"/>
    <x v="83"/>
    <x v="210"/>
    <x v="528"/>
    <x v="5"/>
  </r>
  <r>
    <x v="0"/>
    <x v="143"/>
    <x v="143"/>
    <x v="6"/>
    <x v="6"/>
    <x v="6"/>
    <x v="4"/>
    <x v="249"/>
    <x v="815"/>
    <x v="51"/>
    <x v="573"/>
    <x v="211"/>
    <x v="274"/>
    <x v="4"/>
  </r>
  <r>
    <x v="0"/>
    <x v="143"/>
    <x v="143"/>
    <x v="4"/>
    <x v="4"/>
    <x v="4"/>
    <x v="6"/>
    <x v="250"/>
    <x v="106"/>
    <x v="77"/>
    <x v="83"/>
    <x v="132"/>
    <x v="490"/>
    <x v="5"/>
  </r>
  <r>
    <x v="0"/>
    <x v="143"/>
    <x v="143"/>
    <x v="28"/>
    <x v="28"/>
    <x v="28"/>
    <x v="6"/>
    <x v="250"/>
    <x v="106"/>
    <x v="77"/>
    <x v="83"/>
    <x v="132"/>
    <x v="490"/>
    <x v="5"/>
  </r>
  <r>
    <x v="0"/>
    <x v="143"/>
    <x v="143"/>
    <x v="49"/>
    <x v="49"/>
    <x v="49"/>
    <x v="6"/>
    <x v="250"/>
    <x v="106"/>
    <x v="77"/>
    <x v="83"/>
    <x v="132"/>
    <x v="490"/>
    <x v="5"/>
  </r>
  <r>
    <x v="0"/>
    <x v="143"/>
    <x v="143"/>
    <x v="13"/>
    <x v="13"/>
    <x v="13"/>
    <x v="6"/>
    <x v="250"/>
    <x v="106"/>
    <x v="51"/>
    <x v="573"/>
    <x v="211"/>
    <x v="274"/>
    <x v="5"/>
  </r>
  <r>
    <x v="0"/>
    <x v="143"/>
    <x v="143"/>
    <x v="12"/>
    <x v="12"/>
    <x v="12"/>
    <x v="10"/>
    <x v="251"/>
    <x v="120"/>
    <x v="48"/>
    <x v="463"/>
    <x v="163"/>
    <x v="489"/>
    <x v="5"/>
  </r>
  <r>
    <x v="0"/>
    <x v="143"/>
    <x v="143"/>
    <x v="30"/>
    <x v="30"/>
    <x v="30"/>
    <x v="10"/>
    <x v="251"/>
    <x v="120"/>
    <x v="52"/>
    <x v="574"/>
    <x v="211"/>
    <x v="274"/>
    <x v="5"/>
  </r>
  <r>
    <x v="0"/>
    <x v="143"/>
    <x v="143"/>
    <x v="45"/>
    <x v="45"/>
    <x v="45"/>
    <x v="12"/>
    <x v="252"/>
    <x v="220"/>
    <x v="64"/>
    <x v="571"/>
    <x v="211"/>
    <x v="274"/>
    <x v="5"/>
  </r>
  <r>
    <x v="0"/>
    <x v="143"/>
    <x v="143"/>
    <x v="44"/>
    <x v="44"/>
    <x v="44"/>
    <x v="12"/>
    <x v="252"/>
    <x v="220"/>
    <x v="64"/>
    <x v="571"/>
    <x v="211"/>
    <x v="274"/>
    <x v="5"/>
  </r>
  <r>
    <x v="0"/>
    <x v="143"/>
    <x v="143"/>
    <x v="23"/>
    <x v="23"/>
    <x v="23"/>
    <x v="12"/>
    <x v="252"/>
    <x v="220"/>
    <x v="48"/>
    <x v="463"/>
    <x v="160"/>
    <x v="196"/>
    <x v="5"/>
  </r>
  <r>
    <x v="0"/>
    <x v="143"/>
    <x v="143"/>
    <x v="10"/>
    <x v="10"/>
    <x v="10"/>
    <x v="12"/>
    <x v="252"/>
    <x v="220"/>
    <x v="48"/>
    <x v="463"/>
    <x v="160"/>
    <x v="196"/>
    <x v="5"/>
  </r>
  <r>
    <x v="0"/>
    <x v="143"/>
    <x v="143"/>
    <x v="36"/>
    <x v="36"/>
    <x v="36"/>
    <x v="12"/>
    <x v="252"/>
    <x v="220"/>
    <x v="77"/>
    <x v="83"/>
    <x v="211"/>
    <x v="274"/>
    <x v="5"/>
  </r>
  <r>
    <x v="0"/>
    <x v="143"/>
    <x v="143"/>
    <x v="29"/>
    <x v="29"/>
    <x v="29"/>
    <x v="12"/>
    <x v="252"/>
    <x v="220"/>
    <x v="48"/>
    <x v="463"/>
    <x v="160"/>
    <x v="196"/>
    <x v="5"/>
  </r>
  <r>
    <x v="0"/>
    <x v="143"/>
    <x v="143"/>
    <x v="5"/>
    <x v="5"/>
    <x v="5"/>
    <x v="18"/>
    <x v="287"/>
    <x v="816"/>
    <x v="48"/>
    <x v="463"/>
    <x v="211"/>
    <x v="274"/>
    <x v="5"/>
  </r>
  <r>
    <x v="0"/>
    <x v="143"/>
    <x v="143"/>
    <x v="8"/>
    <x v="8"/>
    <x v="8"/>
    <x v="18"/>
    <x v="287"/>
    <x v="816"/>
    <x v="77"/>
    <x v="83"/>
    <x v="160"/>
    <x v="196"/>
    <x v="5"/>
  </r>
  <r>
    <x v="0"/>
    <x v="143"/>
    <x v="143"/>
    <x v="32"/>
    <x v="32"/>
    <x v="32"/>
    <x v="18"/>
    <x v="287"/>
    <x v="816"/>
    <x v="77"/>
    <x v="83"/>
    <x v="160"/>
    <x v="196"/>
    <x v="5"/>
  </r>
  <r>
    <x v="0"/>
    <x v="143"/>
    <x v="143"/>
    <x v="38"/>
    <x v="38"/>
    <x v="38"/>
    <x v="18"/>
    <x v="287"/>
    <x v="816"/>
    <x v="77"/>
    <x v="83"/>
    <x v="160"/>
    <x v="196"/>
    <x v="5"/>
  </r>
  <r>
    <x v="0"/>
    <x v="143"/>
    <x v="143"/>
    <x v="59"/>
    <x v="59"/>
    <x v="59"/>
    <x v="18"/>
    <x v="287"/>
    <x v="816"/>
    <x v="77"/>
    <x v="83"/>
    <x v="160"/>
    <x v="196"/>
    <x v="5"/>
  </r>
  <r>
    <x v="0"/>
    <x v="143"/>
    <x v="143"/>
    <x v="40"/>
    <x v="40"/>
    <x v="40"/>
    <x v="18"/>
    <x v="287"/>
    <x v="816"/>
    <x v="77"/>
    <x v="83"/>
    <x v="160"/>
    <x v="196"/>
    <x v="5"/>
  </r>
  <r>
    <x v="0"/>
    <x v="143"/>
    <x v="143"/>
    <x v="55"/>
    <x v="55"/>
    <x v="55"/>
    <x v="18"/>
    <x v="287"/>
    <x v="816"/>
    <x v="48"/>
    <x v="463"/>
    <x v="211"/>
    <x v="274"/>
    <x v="5"/>
  </r>
  <r>
    <x v="0"/>
    <x v="143"/>
    <x v="143"/>
    <x v="17"/>
    <x v="17"/>
    <x v="17"/>
    <x v="18"/>
    <x v="287"/>
    <x v="816"/>
    <x v="48"/>
    <x v="463"/>
    <x v="211"/>
    <x v="274"/>
    <x v="5"/>
  </r>
  <r>
    <x v="0"/>
    <x v="143"/>
    <x v="143"/>
    <x v="15"/>
    <x v="15"/>
    <x v="15"/>
    <x v="18"/>
    <x v="287"/>
    <x v="816"/>
    <x v="77"/>
    <x v="83"/>
    <x v="160"/>
    <x v="196"/>
    <x v="5"/>
  </r>
  <r>
    <x v="0"/>
    <x v="143"/>
    <x v="143"/>
    <x v="11"/>
    <x v="11"/>
    <x v="11"/>
    <x v="18"/>
    <x v="287"/>
    <x v="816"/>
    <x v="48"/>
    <x v="463"/>
    <x v="211"/>
    <x v="274"/>
    <x v="5"/>
  </r>
  <r>
    <x v="0"/>
    <x v="143"/>
    <x v="143"/>
    <x v="2"/>
    <x v="2"/>
    <x v="2"/>
    <x v="18"/>
    <x v="287"/>
    <x v="816"/>
    <x v="77"/>
    <x v="83"/>
    <x v="160"/>
    <x v="196"/>
    <x v="5"/>
  </r>
  <r>
    <x v="0"/>
    <x v="143"/>
    <x v="143"/>
    <x v="31"/>
    <x v="31"/>
    <x v="31"/>
    <x v="18"/>
    <x v="287"/>
    <x v="816"/>
    <x v="77"/>
    <x v="83"/>
    <x v="160"/>
    <x v="196"/>
    <x v="5"/>
  </r>
  <r>
    <x v="0"/>
    <x v="143"/>
    <x v="143"/>
    <x v="19"/>
    <x v="19"/>
    <x v="19"/>
    <x v="18"/>
    <x v="287"/>
    <x v="816"/>
    <x v="48"/>
    <x v="463"/>
    <x v="211"/>
    <x v="274"/>
    <x v="5"/>
  </r>
  <r>
    <x v="0"/>
    <x v="143"/>
    <x v="143"/>
    <x v="27"/>
    <x v="27"/>
    <x v="27"/>
    <x v="18"/>
    <x v="287"/>
    <x v="816"/>
    <x v="48"/>
    <x v="463"/>
    <x v="211"/>
    <x v="274"/>
    <x v="5"/>
  </r>
  <r>
    <x v="0"/>
    <x v="143"/>
    <x v="143"/>
    <x v="21"/>
    <x v="21"/>
    <x v="21"/>
    <x v="18"/>
    <x v="287"/>
    <x v="816"/>
    <x v="77"/>
    <x v="83"/>
    <x v="160"/>
    <x v="196"/>
    <x v="5"/>
  </r>
  <r>
    <x v="0"/>
    <x v="144"/>
    <x v="144"/>
    <x v="34"/>
    <x v="34"/>
    <x v="34"/>
    <x v="0"/>
    <x v="248"/>
    <x v="597"/>
    <x v="77"/>
    <x v="83"/>
    <x v="211"/>
    <x v="274"/>
    <x v="5"/>
  </r>
  <r>
    <x v="0"/>
    <x v="144"/>
    <x v="144"/>
    <x v="3"/>
    <x v="3"/>
    <x v="3"/>
    <x v="1"/>
    <x v="250"/>
    <x v="817"/>
    <x v="51"/>
    <x v="425"/>
    <x v="211"/>
    <x v="274"/>
    <x v="5"/>
  </r>
  <r>
    <x v="0"/>
    <x v="144"/>
    <x v="144"/>
    <x v="6"/>
    <x v="6"/>
    <x v="6"/>
    <x v="2"/>
    <x v="251"/>
    <x v="198"/>
    <x v="52"/>
    <x v="741"/>
    <x v="211"/>
    <x v="274"/>
    <x v="5"/>
  </r>
  <r>
    <x v="0"/>
    <x v="144"/>
    <x v="144"/>
    <x v="0"/>
    <x v="0"/>
    <x v="0"/>
    <x v="2"/>
    <x v="251"/>
    <x v="198"/>
    <x v="52"/>
    <x v="741"/>
    <x v="211"/>
    <x v="274"/>
    <x v="5"/>
  </r>
  <r>
    <x v="0"/>
    <x v="144"/>
    <x v="144"/>
    <x v="26"/>
    <x v="26"/>
    <x v="26"/>
    <x v="2"/>
    <x v="251"/>
    <x v="198"/>
    <x v="77"/>
    <x v="83"/>
    <x v="209"/>
    <x v="649"/>
    <x v="5"/>
  </r>
  <r>
    <x v="0"/>
    <x v="144"/>
    <x v="144"/>
    <x v="8"/>
    <x v="8"/>
    <x v="8"/>
    <x v="5"/>
    <x v="252"/>
    <x v="641"/>
    <x v="64"/>
    <x v="429"/>
    <x v="211"/>
    <x v="274"/>
    <x v="5"/>
  </r>
  <r>
    <x v="0"/>
    <x v="144"/>
    <x v="144"/>
    <x v="1"/>
    <x v="1"/>
    <x v="1"/>
    <x v="5"/>
    <x v="252"/>
    <x v="641"/>
    <x v="64"/>
    <x v="429"/>
    <x v="211"/>
    <x v="274"/>
    <x v="5"/>
  </r>
  <r>
    <x v="0"/>
    <x v="144"/>
    <x v="144"/>
    <x v="9"/>
    <x v="9"/>
    <x v="9"/>
    <x v="5"/>
    <x v="252"/>
    <x v="641"/>
    <x v="48"/>
    <x v="743"/>
    <x v="211"/>
    <x v="274"/>
    <x v="5"/>
  </r>
  <r>
    <x v="0"/>
    <x v="144"/>
    <x v="144"/>
    <x v="14"/>
    <x v="14"/>
    <x v="14"/>
    <x v="5"/>
    <x v="252"/>
    <x v="641"/>
    <x v="77"/>
    <x v="83"/>
    <x v="163"/>
    <x v="555"/>
    <x v="5"/>
  </r>
  <r>
    <x v="0"/>
    <x v="144"/>
    <x v="144"/>
    <x v="5"/>
    <x v="5"/>
    <x v="5"/>
    <x v="9"/>
    <x v="287"/>
    <x v="710"/>
    <x v="48"/>
    <x v="743"/>
    <x v="211"/>
    <x v="274"/>
    <x v="5"/>
  </r>
  <r>
    <x v="0"/>
    <x v="144"/>
    <x v="144"/>
    <x v="28"/>
    <x v="28"/>
    <x v="28"/>
    <x v="9"/>
    <x v="287"/>
    <x v="710"/>
    <x v="48"/>
    <x v="743"/>
    <x v="211"/>
    <x v="274"/>
    <x v="5"/>
  </r>
  <r>
    <x v="0"/>
    <x v="144"/>
    <x v="144"/>
    <x v="45"/>
    <x v="45"/>
    <x v="45"/>
    <x v="9"/>
    <x v="287"/>
    <x v="710"/>
    <x v="48"/>
    <x v="743"/>
    <x v="211"/>
    <x v="274"/>
    <x v="5"/>
  </r>
  <r>
    <x v="0"/>
    <x v="144"/>
    <x v="144"/>
    <x v="52"/>
    <x v="52"/>
    <x v="52"/>
    <x v="9"/>
    <x v="287"/>
    <x v="710"/>
    <x v="77"/>
    <x v="83"/>
    <x v="160"/>
    <x v="413"/>
    <x v="5"/>
  </r>
  <r>
    <x v="0"/>
    <x v="144"/>
    <x v="144"/>
    <x v="41"/>
    <x v="41"/>
    <x v="41"/>
    <x v="9"/>
    <x v="287"/>
    <x v="710"/>
    <x v="77"/>
    <x v="83"/>
    <x v="211"/>
    <x v="274"/>
    <x v="5"/>
  </r>
  <r>
    <x v="0"/>
    <x v="144"/>
    <x v="144"/>
    <x v="70"/>
    <x v="70"/>
    <x v="70"/>
    <x v="9"/>
    <x v="287"/>
    <x v="710"/>
    <x v="77"/>
    <x v="83"/>
    <x v="211"/>
    <x v="274"/>
    <x v="5"/>
  </r>
  <r>
    <x v="0"/>
    <x v="144"/>
    <x v="144"/>
    <x v="48"/>
    <x v="48"/>
    <x v="48"/>
    <x v="9"/>
    <x v="287"/>
    <x v="710"/>
    <x v="77"/>
    <x v="83"/>
    <x v="211"/>
    <x v="274"/>
    <x v="5"/>
  </r>
  <r>
    <x v="0"/>
    <x v="144"/>
    <x v="144"/>
    <x v="17"/>
    <x v="17"/>
    <x v="17"/>
    <x v="9"/>
    <x v="287"/>
    <x v="710"/>
    <x v="77"/>
    <x v="83"/>
    <x v="160"/>
    <x v="413"/>
    <x v="5"/>
  </r>
  <r>
    <x v="0"/>
    <x v="144"/>
    <x v="144"/>
    <x v="13"/>
    <x v="13"/>
    <x v="13"/>
    <x v="9"/>
    <x v="287"/>
    <x v="710"/>
    <x v="48"/>
    <x v="743"/>
    <x v="211"/>
    <x v="274"/>
    <x v="5"/>
  </r>
  <r>
    <x v="0"/>
    <x v="144"/>
    <x v="144"/>
    <x v="10"/>
    <x v="10"/>
    <x v="10"/>
    <x v="9"/>
    <x v="287"/>
    <x v="710"/>
    <x v="77"/>
    <x v="83"/>
    <x v="160"/>
    <x v="413"/>
    <x v="5"/>
  </r>
  <r>
    <x v="0"/>
    <x v="144"/>
    <x v="144"/>
    <x v="12"/>
    <x v="12"/>
    <x v="12"/>
    <x v="9"/>
    <x v="287"/>
    <x v="710"/>
    <x v="48"/>
    <x v="743"/>
    <x v="211"/>
    <x v="274"/>
    <x v="5"/>
  </r>
  <r>
    <x v="0"/>
    <x v="144"/>
    <x v="144"/>
    <x v="30"/>
    <x v="30"/>
    <x v="30"/>
    <x v="9"/>
    <x v="287"/>
    <x v="710"/>
    <x v="48"/>
    <x v="743"/>
    <x v="211"/>
    <x v="274"/>
    <x v="5"/>
  </r>
  <r>
    <x v="0"/>
    <x v="144"/>
    <x v="144"/>
    <x v="7"/>
    <x v="7"/>
    <x v="7"/>
    <x v="9"/>
    <x v="287"/>
    <x v="710"/>
    <x v="48"/>
    <x v="743"/>
    <x v="211"/>
    <x v="274"/>
    <x v="5"/>
  </r>
  <r>
    <x v="0"/>
    <x v="144"/>
    <x v="144"/>
    <x v="36"/>
    <x v="36"/>
    <x v="36"/>
    <x v="9"/>
    <x v="287"/>
    <x v="710"/>
    <x v="77"/>
    <x v="83"/>
    <x v="211"/>
    <x v="274"/>
    <x v="5"/>
  </r>
  <r>
    <x v="0"/>
    <x v="144"/>
    <x v="144"/>
    <x v="37"/>
    <x v="37"/>
    <x v="37"/>
    <x v="9"/>
    <x v="287"/>
    <x v="710"/>
    <x v="77"/>
    <x v="83"/>
    <x v="211"/>
    <x v="274"/>
    <x v="5"/>
  </r>
  <r>
    <x v="0"/>
    <x v="145"/>
    <x v="145"/>
    <x v="0"/>
    <x v="0"/>
    <x v="0"/>
    <x v="0"/>
    <x v="162"/>
    <x v="818"/>
    <x v="69"/>
    <x v="807"/>
    <x v="160"/>
    <x v="17"/>
    <x v="5"/>
  </r>
  <r>
    <x v="0"/>
    <x v="145"/>
    <x v="145"/>
    <x v="1"/>
    <x v="1"/>
    <x v="1"/>
    <x v="1"/>
    <x v="262"/>
    <x v="819"/>
    <x v="31"/>
    <x v="736"/>
    <x v="211"/>
    <x v="274"/>
    <x v="5"/>
  </r>
  <r>
    <x v="0"/>
    <x v="145"/>
    <x v="145"/>
    <x v="3"/>
    <x v="3"/>
    <x v="3"/>
    <x v="2"/>
    <x v="280"/>
    <x v="820"/>
    <x v="51"/>
    <x v="397"/>
    <x v="189"/>
    <x v="587"/>
    <x v="5"/>
  </r>
  <r>
    <x v="0"/>
    <x v="145"/>
    <x v="145"/>
    <x v="5"/>
    <x v="5"/>
    <x v="5"/>
    <x v="3"/>
    <x v="247"/>
    <x v="173"/>
    <x v="65"/>
    <x v="808"/>
    <x v="163"/>
    <x v="446"/>
    <x v="5"/>
  </r>
  <r>
    <x v="0"/>
    <x v="145"/>
    <x v="145"/>
    <x v="6"/>
    <x v="6"/>
    <x v="6"/>
    <x v="3"/>
    <x v="247"/>
    <x v="173"/>
    <x v="51"/>
    <x v="397"/>
    <x v="163"/>
    <x v="446"/>
    <x v="4"/>
  </r>
  <r>
    <x v="0"/>
    <x v="145"/>
    <x v="145"/>
    <x v="4"/>
    <x v="4"/>
    <x v="4"/>
    <x v="5"/>
    <x v="249"/>
    <x v="229"/>
    <x v="48"/>
    <x v="62"/>
    <x v="132"/>
    <x v="570"/>
    <x v="5"/>
  </r>
  <r>
    <x v="0"/>
    <x v="145"/>
    <x v="145"/>
    <x v="28"/>
    <x v="28"/>
    <x v="28"/>
    <x v="6"/>
    <x v="250"/>
    <x v="372"/>
    <x v="48"/>
    <x v="62"/>
    <x v="209"/>
    <x v="638"/>
    <x v="5"/>
  </r>
  <r>
    <x v="0"/>
    <x v="145"/>
    <x v="145"/>
    <x v="13"/>
    <x v="13"/>
    <x v="13"/>
    <x v="6"/>
    <x v="250"/>
    <x v="372"/>
    <x v="64"/>
    <x v="388"/>
    <x v="163"/>
    <x v="446"/>
    <x v="5"/>
  </r>
  <r>
    <x v="0"/>
    <x v="145"/>
    <x v="145"/>
    <x v="11"/>
    <x v="11"/>
    <x v="11"/>
    <x v="6"/>
    <x v="250"/>
    <x v="372"/>
    <x v="51"/>
    <x v="397"/>
    <x v="211"/>
    <x v="274"/>
    <x v="5"/>
  </r>
  <r>
    <x v="0"/>
    <x v="145"/>
    <x v="145"/>
    <x v="27"/>
    <x v="27"/>
    <x v="27"/>
    <x v="6"/>
    <x v="250"/>
    <x v="372"/>
    <x v="51"/>
    <x v="397"/>
    <x v="211"/>
    <x v="274"/>
    <x v="5"/>
  </r>
  <r>
    <x v="0"/>
    <x v="145"/>
    <x v="145"/>
    <x v="44"/>
    <x v="44"/>
    <x v="44"/>
    <x v="10"/>
    <x v="251"/>
    <x v="30"/>
    <x v="64"/>
    <x v="388"/>
    <x v="160"/>
    <x v="17"/>
    <x v="5"/>
  </r>
  <r>
    <x v="0"/>
    <x v="145"/>
    <x v="145"/>
    <x v="12"/>
    <x v="12"/>
    <x v="12"/>
    <x v="10"/>
    <x v="251"/>
    <x v="30"/>
    <x v="48"/>
    <x v="62"/>
    <x v="163"/>
    <x v="446"/>
    <x v="5"/>
  </r>
  <r>
    <x v="0"/>
    <x v="145"/>
    <x v="145"/>
    <x v="29"/>
    <x v="29"/>
    <x v="29"/>
    <x v="10"/>
    <x v="251"/>
    <x v="30"/>
    <x v="64"/>
    <x v="388"/>
    <x v="160"/>
    <x v="17"/>
    <x v="5"/>
  </r>
  <r>
    <x v="0"/>
    <x v="145"/>
    <x v="145"/>
    <x v="18"/>
    <x v="18"/>
    <x v="18"/>
    <x v="13"/>
    <x v="252"/>
    <x v="98"/>
    <x v="77"/>
    <x v="83"/>
    <x v="163"/>
    <x v="446"/>
    <x v="5"/>
  </r>
  <r>
    <x v="0"/>
    <x v="145"/>
    <x v="145"/>
    <x v="30"/>
    <x v="30"/>
    <x v="30"/>
    <x v="13"/>
    <x v="252"/>
    <x v="98"/>
    <x v="64"/>
    <x v="388"/>
    <x v="211"/>
    <x v="274"/>
    <x v="5"/>
  </r>
  <r>
    <x v="0"/>
    <x v="145"/>
    <x v="145"/>
    <x v="26"/>
    <x v="26"/>
    <x v="26"/>
    <x v="13"/>
    <x v="252"/>
    <x v="98"/>
    <x v="77"/>
    <x v="83"/>
    <x v="160"/>
    <x v="17"/>
    <x v="5"/>
  </r>
  <r>
    <x v="0"/>
    <x v="145"/>
    <x v="145"/>
    <x v="34"/>
    <x v="34"/>
    <x v="34"/>
    <x v="13"/>
    <x v="252"/>
    <x v="98"/>
    <x v="77"/>
    <x v="83"/>
    <x v="163"/>
    <x v="446"/>
    <x v="5"/>
  </r>
  <r>
    <x v="0"/>
    <x v="145"/>
    <x v="145"/>
    <x v="9"/>
    <x v="9"/>
    <x v="9"/>
    <x v="13"/>
    <x v="252"/>
    <x v="98"/>
    <x v="77"/>
    <x v="83"/>
    <x v="211"/>
    <x v="274"/>
    <x v="5"/>
  </r>
  <r>
    <x v="0"/>
    <x v="145"/>
    <x v="145"/>
    <x v="7"/>
    <x v="7"/>
    <x v="7"/>
    <x v="13"/>
    <x v="252"/>
    <x v="98"/>
    <x v="64"/>
    <x v="388"/>
    <x v="211"/>
    <x v="274"/>
    <x v="5"/>
  </r>
  <r>
    <x v="0"/>
    <x v="145"/>
    <x v="145"/>
    <x v="8"/>
    <x v="8"/>
    <x v="8"/>
    <x v="19"/>
    <x v="287"/>
    <x v="554"/>
    <x v="77"/>
    <x v="83"/>
    <x v="160"/>
    <x v="17"/>
    <x v="5"/>
  </r>
  <r>
    <x v="0"/>
    <x v="145"/>
    <x v="145"/>
    <x v="45"/>
    <x v="45"/>
    <x v="45"/>
    <x v="19"/>
    <x v="287"/>
    <x v="554"/>
    <x v="48"/>
    <x v="62"/>
    <x v="211"/>
    <x v="274"/>
    <x v="5"/>
  </r>
  <r>
    <x v="0"/>
    <x v="145"/>
    <x v="145"/>
    <x v="38"/>
    <x v="38"/>
    <x v="38"/>
    <x v="19"/>
    <x v="287"/>
    <x v="554"/>
    <x v="77"/>
    <x v="83"/>
    <x v="160"/>
    <x v="17"/>
    <x v="5"/>
  </r>
  <r>
    <x v="0"/>
    <x v="145"/>
    <x v="145"/>
    <x v="40"/>
    <x v="40"/>
    <x v="40"/>
    <x v="19"/>
    <x v="287"/>
    <x v="554"/>
    <x v="48"/>
    <x v="62"/>
    <x v="211"/>
    <x v="274"/>
    <x v="5"/>
  </r>
  <r>
    <x v="0"/>
    <x v="145"/>
    <x v="145"/>
    <x v="54"/>
    <x v="54"/>
    <x v="54"/>
    <x v="19"/>
    <x v="287"/>
    <x v="554"/>
    <x v="77"/>
    <x v="83"/>
    <x v="160"/>
    <x v="17"/>
    <x v="5"/>
  </r>
  <r>
    <x v="0"/>
    <x v="145"/>
    <x v="145"/>
    <x v="33"/>
    <x v="33"/>
    <x v="33"/>
    <x v="19"/>
    <x v="287"/>
    <x v="554"/>
    <x v="77"/>
    <x v="83"/>
    <x v="160"/>
    <x v="17"/>
    <x v="5"/>
  </r>
  <r>
    <x v="0"/>
    <x v="145"/>
    <x v="145"/>
    <x v="71"/>
    <x v="71"/>
    <x v="71"/>
    <x v="19"/>
    <x v="287"/>
    <x v="554"/>
    <x v="77"/>
    <x v="83"/>
    <x v="160"/>
    <x v="17"/>
    <x v="5"/>
  </r>
  <r>
    <x v="0"/>
    <x v="145"/>
    <x v="145"/>
    <x v="55"/>
    <x v="55"/>
    <x v="55"/>
    <x v="19"/>
    <x v="287"/>
    <x v="554"/>
    <x v="48"/>
    <x v="62"/>
    <x v="211"/>
    <x v="274"/>
    <x v="5"/>
  </r>
  <r>
    <x v="0"/>
    <x v="145"/>
    <x v="145"/>
    <x v="47"/>
    <x v="47"/>
    <x v="47"/>
    <x v="19"/>
    <x v="287"/>
    <x v="554"/>
    <x v="77"/>
    <x v="83"/>
    <x v="160"/>
    <x v="17"/>
    <x v="5"/>
  </r>
  <r>
    <x v="0"/>
    <x v="145"/>
    <x v="145"/>
    <x v="48"/>
    <x v="48"/>
    <x v="48"/>
    <x v="19"/>
    <x v="287"/>
    <x v="554"/>
    <x v="77"/>
    <x v="83"/>
    <x v="160"/>
    <x v="17"/>
    <x v="5"/>
  </r>
  <r>
    <x v="0"/>
    <x v="145"/>
    <x v="145"/>
    <x v="17"/>
    <x v="17"/>
    <x v="17"/>
    <x v="19"/>
    <x v="287"/>
    <x v="554"/>
    <x v="77"/>
    <x v="83"/>
    <x v="160"/>
    <x v="17"/>
    <x v="5"/>
  </r>
  <r>
    <x v="0"/>
    <x v="145"/>
    <x v="145"/>
    <x v="15"/>
    <x v="15"/>
    <x v="15"/>
    <x v="19"/>
    <x v="287"/>
    <x v="554"/>
    <x v="48"/>
    <x v="62"/>
    <x v="211"/>
    <x v="274"/>
    <x v="5"/>
  </r>
  <r>
    <x v="0"/>
    <x v="145"/>
    <x v="145"/>
    <x v="23"/>
    <x v="23"/>
    <x v="23"/>
    <x v="19"/>
    <x v="287"/>
    <x v="554"/>
    <x v="77"/>
    <x v="83"/>
    <x v="160"/>
    <x v="17"/>
    <x v="5"/>
  </r>
  <r>
    <x v="0"/>
    <x v="145"/>
    <x v="145"/>
    <x v="2"/>
    <x v="2"/>
    <x v="2"/>
    <x v="19"/>
    <x v="287"/>
    <x v="554"/>
    <x v="77"/>
    <x v="83"/>
    <x v="160"/>
    <x v="17"/>
    <x v="5"/>
  </r>
  <r>
    <x v="0"/>
    <x v="145"/>
    <x v="145"/>
    <x v="31"/>
    <x v="31"/>
    <x v="31"/>
    <x v="19"/>
    <x v="287"/>
    <x v="554"/>
    <x v="77"/>
    <x v="83"/>
    <x v="160"/>
    <x v="17"/>
    <x v="5"/>
  </r>
  <r>
    <x v="0"/>
    <x v="145"/>
    <x v="145"/>
    <x v="19"/>
    <x v="19"/>
    <x v="19"/>
    <x v="19"/>
    <x v="287"/>
    <x v="554"/>
    <x v="48"/>
    <x v="62"/>
    <x v="211"/>
    <x v="274"/>
    <x v="5"/>
  </r>
  <r>
    <x v="0"/>
    <x v="146"/>
    <x v="146"/>
    <x v="0"/>
    <x v="0"/>
    <x v="0"/>
    <x v="0"/>
    <x v="175"/>
    <x v="821"/>
    <x v="34"/>
    <x v="809"/>
    <x v="189"/>
    <x v="650"/>
    <x v="5"/>
  </r>
  <r>
    <x v="0"/>
    <x v="146"/>
    <x v="146"/>
    <x v="1"/>
    <x v="1"/>
    <x v="1"/>
    <x v="1"/>
    <x v="259"/>
    <x v="737"/>
    <x v="31"/>
    <x v="810"/>
    <x v="163"/>
    <x v="569"/>
    <x v="5"/>
  </r>
  <r>
    <x v="0"/>
    <x v="146"/>
    <x v="146"/>
    <x v="4"/>
    <x v="4"/>
    <x v="4"/>
    <x v="2"/>
    <x v="262"/>
    <x v="822"/>
    <x v="77"/>
    <x v="83"/>
    <x v="208"/>
    <x v="651"/>
    <x v="5"/>
  </r>
  <r>
    <x v="0"/>
    <x v="146"/>
    <x v="146"/>
    <x v="3"/>
    <x v="3"/>
    <x v="3"/>
    <x v="3"/>
    <x v="279"/>
    <x v="464"/>
    <x v="65"/>
    <x v="811"/>
    <x v="197"/>
    <x v="652"/>
    <x v="5"/>
  </r>
  <r>
    <x v="0"/>
    <x v="146"/>
    <x v="146"/>
    <x v="6"/>
    <x v="6"/>
    <x v="6"/>
    <x v="4"/>
    <x v="264"/>
    <x v="823"/>
    <x v="50"/>
    <x v="746"/>
    <x v="209"/>
    <x v="46"/>
    <x v="5"/>
  </r>
  <r>
    <x v="0"/>
    <x v="146"/>
    <x v="146"/>
    <x v="12"/>
    <x v="12"/>
    <x v="12"/>
    <x v="5"/>
    <x v="247"/>
    <x v="824"/>
    <x v="64"/>
    <x v="750"/>
    <x v="132"/>
    <x v="653"/>
    <x v="4"/>
  </r>
  <r>
    <x v="0"/>
    <x v="146"/>
    <x v="146"/>
    <x v="5"/>
    <x v="5"/>
    <x v="5"/>
    <x v="6"/>
    <x v="248"/>
    <x v="624"/>
    <x v="48"/>
    <x v="35"/>
    <x v="210"/>
    <x v="654"/>
    <x v="5"/>
  </r>
  <r>
    <x v="0"/>
    <x v="146"/>
    <x v="146"/>
    <x v="21"/>
    <x v="21"/>
    <x v="21"/>
    <x v="6"/>
    <x v="248"/>
    <x v="624"/>
    <x v="77"/>
    <x v="83"/>
    <x v="210"/>
    <x v="654"/>
    <x v="4"/>
  </r>
  <r>
    <x v="0"/>
    <x v="146"/>
    <x v="146"/>
    <x v="28"/>
    <x v="28"/>
    <x v="28"/>
    <x v="8"/>
    <x v="249"/>
    <x v="825"/>
    <x v="48"/>
    <x v="35"/>
    <x v="132"/>
    <x v="653"/>
    <x v="5"/>
  </r>
  <r>
    <x v="0"/>
    <x v="146"/>
    <x v="146"/>
    <x v="11"/>
    <x v="11"/>
    <x v="11"/>
    <x v="8"/>
    <x v="249"/>
    <x v="825"/>
    <x v="77"/>
    <x v="83"/>
    <x v="210"/>
    <x v="654"/>
    <x v="5"/>
  </r>
  <r>
    <x v="0"/>
    <x v="146"/>
    <x v="146"/>
    <x v="9"/>
    <x v="9"/>
    <x v="9"/>
    <x v="8"/>
    <x v="249"/>
    <x v="825"/>
    <x v="65"/>
    <x v="811"/>
    <x v="211"/>
    <x v="274"/>
    <x v="5"/>
  </r>
  <r>
    <x v="0"/>
    <x v="146"/>
    <x v="146"/>
    <x v="27"/>
    <x v="27"/>
    <x v="27"/>
    <x v="8"/>
    <x v="249"/>
    <x v="825"/>
    <x v="64"/>
    <x v="750"/>
    <x v="209"/>
    <x v="46"/>
    <x v="5"/>
  </r>
  <r>
    <x v="0"/>
    <x v="146"/>
    <x v="146"/>
    <x v="8"/>
    <x v="8"/>
    <x v="8"/>
    <x v="12"/>
    <x v="250"/>
    <x v="205"/>
    <x v="64"/>
    <x v="750"/>
    <x v="163"/>
    <x v="569"/>
    <x v="5"/>
  </r>
  <r>
    <x v="0"/>
    <x v="146"/>
    <x v="146"/>
    <x v="18"/>
    <x v="18"/>
    <x v="18"/>
    <x v="12"/>
    <x v="250"/>
    <x v="205"/>
    <x v="77"/>
    <x v="83"/>
    <x v="132"/>
    <x v="653"/>
    <x v="5"/>
  </r>
  <r>
    <x v="0"/>
    <x v="146"/>
    <x v="146"/>
    <x v="17"/>
    <x v="17"/>
    <x v="17"/>
    <x v="12"/>
    <x v="250"/>
    <x v="205"/>
    <x v="77"/>
    <x v="83"/>
    <x v="132"/>
    <x v="653"/>
    <x v="5"/>
  </r>
  <r>
    <x v="0"/>
    <x v="146"/>
    <x v="146"/>
    <x v="13"/>
    <x v="13"/>
    <x v="13"/>
    <x v="12"/>
    <x v="250"/>
    <x v="205"/>
    <x v="48"/>
    <x v="35"/>
    <x v="209"/>
    <x v="46"/>
    <x v="5"/>
  </r>
  <r>
    <x v="0"/>
    <x v="146"/>
    <x v="146"/>
    <x v="30"/>
    <x v="30"/>
    <x v="30"/>
    <x v="12"/>
    <x v="250"/>
    <x v="205"/>
    <x v="52"/>
    <x v="812"/>
    <x v="211"/>
    <x v="274"/>
    <x v="5"/>
  </r>
  <r>
    <x v="0"/>
    <x v="146"/>
    <x v="146"/>
    <x v="7"/>
    <x v="7"/>
    <x v="7"/>
    <x v="12"/>
    <x v="250"/>
    <x v="205"/>
    <x v="51"/>
    <x v="114"/>
    <x v="211"/>
    <x v="274"/>
    <x v="5"/>
  </r>
  <r>
    <x v="0"/>
    <x v="146"/>
    <x v="146"/>
    <x v="10"/>
    <x v="10"/>
    <x v="10"/>
    <x v="18"/>
    <x v="251"/>
    <x v="123"/>
    <x v="52"/>
    <x v="812"/>
    <x v="211"/>
    <x v="274"/>
    <x v="5"/>
  </r>
  <r>
    <x v="0"/>
    <x v="146"/>
    <x v="146"/>
    <x v="26"/>
    <x v="26"/>
    <x v="26"/>
    <x v="18"/>
    <x v="251"/>
    <x v="123"/>
    <x v="77"/>
    <x v="83"/>
    <x v="160"/>
    <x v="195"/>
    <x v="5"/>
  </r>
  <r>
    <x v="0"/>
    <x v="147"/>
    <x v="147"/>
    <x v="3"/>
    <x v="3"/>
    <x v="3"/>
    <x v="0"/>
    <x v="279"/>
    <x v="826"/>
    <x v="53"/>
    <x v="629"/>
    <x v="190"/>
    <x v="655"/>
    <x v="5"/>
  </r>
  <r>
    <x v="0"/>
    <x v="147"/>
    <x v="147"/>
    <x v="0"/>
    <x v="0"/>
    <x v="0"/>
    <x v="0"/>
    <x v="279"/>
    <x v="826"/>
    <x v="58"/>
    <x v="813"/>
    <x v="163"/>
    <x v="656"/>
    <x v="5"/>
  </r>
  <r>
    <x v="0"/>
    <x v="147"/>
    <x v="147"/>
    <x v="28"/>
    <x v="28"/>
    <x v="28"/>
    <x v="2"/>
    <x v="280"/>
    <x v="658"/>
    <x v="82"/>
    <x v="814"/>
    <x v="132"/>
    <x v="657"/>
    <x v="5"/>
  </r>
  <r>
    <x v="0"/>
    <x v="147"/>
    <x v="147"/>
    <x v="1"/>
    <x v="1"/>
    <x v="1"/>
    <x v="2"/>
    <x v="280"/>
    <x v="658"/>
    <x v="78"/>
    <x v="670"/>
    <x v="211"/>
    <x v="274"/>
    <x v="5"/>
  </r>
  <r>
    <x v="0"/>
    <x v="147"/>
    <x v="147"/>
    <x v="4"/>
    <x v="4"/>
    <x v="4"/>
    <x v="4"/>
    <x v="268"/>
    <x v="225"/>
    <x v="52"/>
    <x v="525"/>
    <x v="189"/>
    <x v="658"/>
    <x v="5"/>
  </r>
  <r>
    <x v="0"/>
    <x v="147"/>
    <x v="147"/>
    <x v="6"/>
    <x v="6"/>
    <x v="6"/>
    <x v="5"/>
    <x v="269"/>
    <x v="482"/>
    <x v="65"/>
    <x v="815"/>
    <x v="209"/>
    <x v="659"/>
    <x v="5"/>
  </r>
  <r>
    <x v="0"/>
    <x v="147"/>
    <x v="147"/>
    <x v="5"/>
    <x v="5"/>
    <x v="5"/>
    <x v="6"/>
    <x v="247"/>
    <x v="659"/>
    <x v="52"/>
    <x v="525"/>
    <x v="132"/>
    <x v="657"/>
    <x v="5"/>
  </r>
  <r>
    <x v="0"/>
    <x v="147"/>
    <x v="147"/>
    <x v="2"/>
    <x v="2"/>
    <x v="2"/>
    <x v="7"/>
    <x v="248"/>
    <x v="660"/>
    <x v="77"/>
    <x v="83"/>
    <x v="210"/>
    <x v="660"/>
    <x v="5"/>
  </r>
  <r>
    <x v="0"/>
    <x v="147"/>
    <x v="147"/>
    <x v="26"/>
    <x v="26"/>
    <x v="26"/>
    <x v="8"/>
    <x v="249"/>
    <x v="132"/>
    <x v="77"/>
    <x v="83"/>
    <x v="132"/>
    <x v="657"/>
    <x v="5"/>
  </r>
  <r>
    <x v="0"/>
    <x v="147"/>
    <x v="147"/>
    <x v="11"/>
    <x v="11"/>
    <x v="11"/>
    <x v="9"/>
    <x v="250"/>
    <x v="306"/>
    <x v="52"/>
    <x v="525"/>
    <x v="160"/>
    <x v="661"/>
    <x v="5"/>
  </r>
  <r>
    <x v="0"/>
    <x v="147"/>
    <x v="147"/>
    <x v="34"/>
    <x v="34"/>
    <x v="34"/>
    <x v="9"/>
    <x v="250"/>
    <x v="306"/>
    <x v="48"/>
    <x v="56"/>
    <x v="160"/>
    <x v="661"/>
    <x v="5"/>
  </r>
  <r>
    <x v="0"/>
    <x v="147"/>
    <x v="147"/>
    <x v="9"/>
    <x v="9"/>
    <x v="9"/>
    <x v="9"/>
    <x v="250"/>
    <x v="306"/>
    <x v="64"/>
    <x v="74"/>
    <x v="160"/>
    <x v="661"/>
    <x v="5"/>
  </r>
  <r>
    <x v="0"/>
    <x v="147"/>
    <x v="147"/>
    <x v="51"/>
    <x v="51"/>
    <x v="51"/>
    <x v="12"/>
    <x v="251"/>
    <x v="363"/>
    <x v="77"/>
    <x v="83"/>
    <x v="163"/>
    <x v="656"/>
    <x v="4"/>
  </r>
  <r>
    <x v="0"/>
    <x v="147"/>
    <x v="147"/>
    <x v="13"/>
    <x v="13"/>
    <x v="13"/>
    <x v="12"/>
    <x v="251"/>
    <x v="363"/>
    <x v="64"/>
    <x v="74"/>
    <x v="160"/>
    <x v="661"/>
    <x v="5"/>
  </r>
  <r>
    <x v="0"/>
    <x v="147"/>
    <x v="147"/>
    <x v="12"/>
    <x v="12"/>
    <x v="12"/>
    <x v="12"/>
    <x v="251"/>
    <x v="363"/>
    <x v="48"/>
    <x v="56"/>
    <x v="163"/>
    <x v="656"/>
    <x v="5"/>
  </r>
  <r>
    <x v="0"/>
    <x v="147"/>
    <x v="147"/>
    <x v="7"/>
    <x v="7"/>
    <x v="7"/>
    <x v="12"/>
    <x v="251"/>
    <x v="363"/>
    <x v="64"/>
    <x v="74"/>
    <x v="160"/>
    <x v="661"/>
    <x v="5"/>
  </r>
  <r>
    <x v="0"/>
    <x v="147"/>
    <x v="147"/>
    <x v="8"/>
    <x v="8"/>
    <x v="8"/>
    <x v="16"/>
    <x v="252"/>
    <x v="15"/>
    <x v="77"/>
    <x v="83"/>
    <x v="163"/>
    <x v="656"/>
    <x v="5"/>
  </r>
  <r>
    <x v="0"/>
    <x v="147"/>
    <x v="147"/>
    <x v="41"/>
    <x v="41"/>
    <x v="41"/>
    <x v="16"/>
    <x v="252"/>
    <x v="15"/>
    <x v="77"/>
    <x v="83"/>
    <x v="160"/>
    <x v="661"/>
    <x v="5"/>
  </r>
  <r>
    <x v="0"/>
    <x v="147"/>
    <x v="147"/>
    <x v="17"/>
    <x v="17"/>
    <x v="17"/>
    <x v="16"/>
    <x v="252"/>
    <x v="15"/>
    <x v="77"/>
    <x v="83"/>
    <x v="163"/>
    <x v="656"/>
    <x v="5"/>
  </r>
  <r>
    <x v="0"/>
    <x v="147"/>
    <x v="147"/>
    <x v="23"/>
    <x v="23"/>
    <x v="23"/>
    <x v="16"/>
    <x v="252"/>
    <x v="15"/>
    <x v="48"/>
    <x v="56"/>
    <x v="160"/>
    <x v="661"/>
    <x v="5"/>
  </r>
  <r>
    <x v="0"/>
    <x v="147"/>
    <x v="147"/>
    <x v="10"/>
    <x v="10"/>
    <x v="10"/>
    <x v="16"/>
    <x v="252"/>
    <x v="15"/>
    <x v="48"/>
    <x v="56"/>
    <x v="160"/>
    <x v="661"/>
    <x v="5"/>
  </r>
  <r>
    <x v="0"/>
    <x v="147"/>
    <x v="147"/>
    <x v="14"/>
    <x v="14"/>
    <x v="14"/>
    <x v="16"/>
    <x v="252"/>
    <x v="15"/>
    <x v="77"/>
    <x v="83"/>
    <x v="163"/>
    <x v="656"/>
    <x v="5"/>
  </r>
  <r>
    <x v="0"/>
    <x v="147"/>
    <x v="147"/>
    <x v="27"/>
    <x v="27"/>
    <x v="27"/>
    <x v="16"/>
    <x v="252"/>
    <x v="15"/>
    <x v="48"/>
    <x v="56"/>
    <x v="160"/>
    <x v="661"/>
    <x v="5"/>
  </r>
  <r>
    <x v="0"/>
    <x v="148"/>
    <x v="148"/>
    <x v="3"/>
    <x v="3"/>
    <x v="3"/>
    <x v="0"/>
    <x v="264"/>
    <x v="827"/>
    <x v="96"/>
    <x v="617"/>
    <x v="163"/>
    <x v="537"/>
    <x v="5"/>
  </r>
  <r>
    <x v="0"/>
    <x v="148"/>
    <x v="148"/>
    <x v="0"/>
    <x v="0"/>
    <x v="0"/>
    <x v="1"/>
    <x v="268"/>
    <x v="812"/>
    <x v="50"/>
    <x v="783"/>
    <x v="160"/>
    <x v="166"/>
    <x v="5"/>
  </r>
  <r>
    <x v="0"/>
    <x v="148"/>
    <x v="148"/>
    <x v="6"/>
    <x v="6"/>
    <x v="6"/>
    <x v="2"/>
    <x v="269"/>
    <x v="551"/>
    <x v="82"/>
    <x v="598"/>
    <x v="163"/>
    <x v="537"/>
    <x v="5"/>
  </r>
  <r>
    <x v="0"/>
    <x v="148"/>
    <x v="148"/>
    <x v="2"/>
    <x v="2"/>
    <x v="2"/>
    <x v="3"/>
    <x v="247"/>
    <x v="828"/>
    <x v="52"/>
    <x v="599"/>
    <x v="209"/>
    <x v="540"/>
    <x v="5"/>
  </r>
  <r>
    <x v="0"/>
    <x v="148"/>
    <x v="148"/>
    <x v="30"/>
    <x v="30"/>
    <x v="30"/>
    <x v="4"/>
    <x v="249"/>
    <x v="813"/>
    <x v="64"/>
    <x v="278"/>
    <x v="209"/>
    <x v="540"/>
    <x v="5"/>
  </r>
  <r>
    <x v="0"/>
    <x v="148"/>
    <x v="148"/>
    <x v="1"/>
    <x v="1"/>
    <x v="1"/>
    <x v="4"/>
    <x v="249"/>
    <x v="813"/>
    <x v="65"/>
    <x v="53"/>
    <x v="211"/>
    <x v="274"/>
    <x v="5"/>
  </r>
  <r>
    <x v="0"/>
    <x v="148"/>
    <x v="148"/>
    <x v="14"/>
    <x v="14"/>
    <x v="14"/>
    <x v="6"/>
    <x v="250"/>
    <x v="246"/>
    <x v="77"/>
    <x v="83"/>
    <x v="209"/>
    <x v="540"/>
    <x v="5"/>
  </r>
  <r>
    <x v="0"/>
    <x v="148"/>
    <x v="148"/>
    <x v="8"/>
    <x v="8"/>
    <x v="8"/>
    <x v="7"/>
    <x v="251"/>
    <x v="247"/>
    <x v="48"/>
    <x v="600"/>
    <x v="163"/>
    <x v="537"/>
    <x v="5"/>
  </r>
  <r>
    <x v="0"/>
    <x v="148"/>
    <x v="148"/>
    <x v="4"/>
    <x v="4"/>
    <x v="4"/>
    <x v="8"/>
    <x v="252"/>
    <x v="30"/>
    <x v="77"/>
    <x v="83"/>
    <x v="163"/>
    <x v="537"/>
    <x v="5"/>
  </r>
  <r>
    <x v="0"/>
    <x v="148"/>
    <x v="148"/>
    <x v="49"/>
    <x v="49"/>
    <x v="49"/>
    <x v="8"/>
    <x v="252"/>
    <x v="30"/>
    <x v="48"/>
    <x v="600"/>
    <x v="160"/>
    <x v="166"/>
    <x v="5"/>
  </r>
  <r>
    <x v="0"/>
    <x v="148"/>
    <x v="148"/>
    <x v="42"/>
    <x v="42"/>
    <x v="42"/>
    <x v="8"/>
    <x v="252"/>
    <x v="30"/>
    <x v="77"/>
    <x v="83"/>
    <x v="163"/>
    <x v="537"/>
    <x v="5"/>
  </r>
  <r>
    <x v="0"/>
    <x v="148"/>
    <x v="148"/>
    <x v="9"/>
    <x v="9"/>
    <x v="9"/>
    <x v="8"/>
    <x v="252"/>
    <x v="30"/>
    <x v="48"/>
    <x v="600"/>
    <x v="160"/>
    <x v="166"/>
    <x v="5"/>
  </r>
  <r>
    <x v="0"/>
    <x v="148"/>
    <x v="148"/>
    <x v="29"/>
    <x v="29"/>
    <x v="29"/>
    <x v="8"/>
    <x v="252"/>
    <x v="30"/>
    <x v="64"/>
    <x v="278"/>
    <x v="211"/>
    <x v="274"/>
    <x v="5"/>
  </r>
  <r>
    <x v="0"/>
    <x v="148"/>
    <x v="148"/>
    <x v="21"/>
    <x v="21"/>
    <x v="21"/>
    <x v="8"/>
    <x v="252"/>
    <x v="30"/>
    <x v="77"/>
    <x v="83"/>
    <x v="163"/>
    <x v="537"/>
    <x v="5"/>
  </r>
  <r>
    <x v="0"/>
    <x v="148"/>
    <x v="148"/>
    <x v="5"/>
    <x v="5"/>
    <x v="5"/>
    <x v="14"/>
    <x v="287"/>
    <x v="18"/>
    <x v="77"/>
    <x v="83"/>
    <x v="160"/>
    <x v="166"/>
    <x v="5"/>
  </r>
  <r>
    <x v="0"/>
    <x v="148"/>
    <x v="148"/>
    <x v="39"/>
    <x v="39"/>
    <x v="39"/>
    <x v="14"/>
    <x v="287"/>
    <x v="18"/>
    <x v="77"/>
    <x v="83"/>
    <x v="160"/>
    <x v="166"/>
    <x v="5"/>
  </r>
  <r>
    <x v="0"/>
    <x v="148"/>
    <x v="148"/>
    <x v="32"/>
    <x v="32"/>
    <x v="32"/>
    <x v="14"/>
    <x v="287"/>
    <x v="18"/>
    <x v="77"/>
    <x v="83"/>
    <x v="160"/>
    <x v="166"/>
    <x v="5"/>
  </r>
  <r>
    <x v="0"/>
    <x v="148"/>
    <x v="148"/>
    <x v="41"/>
    <x v="41"/>
    <x v="41"/>
    <x v="14"/>
    <x v="287"/>
    <x v="18"/>
    <x v="77"/>
    <x v="83"/>
    <x v="211"/>
    <x v="274"/>
    <x v="5"/>
  </r>
  <r>
    <x v="0"/>
    <x v="148"/>
    <x v="148"/>
    <x v="25"/>
    <x v="25"/>
    <x v="25"/>
    <x v="14"/>
    <x v="287"/>
    <x v="18"/>
    <x v="77"/>
    <x v="83"/>
    <x v="160"/>
    <x v="166"/>
    <x v="5"/>
  </r>
  <r>
    <x v="0"/>
    <x v="148"/>
    <x v="148"/>
    <x v="18"/>
    <x v="18"/>
    <x v="18"/>
    <x v="14"/>
    <x v="287"/>
    <x v="18"/>
    <x v="77"/>
    <x v="83"/>
    <x v="160"/>
    <x v="166"/>
    <x v="5"/>
  </r>
  <r>
    <x v="0"/>
    <x v="148"/>
    <x v="148"/>
    <x v="17"/>
    <x v="17"/>
    <x v="17"/>
    <x v="14"/>
    <x v="287"/>
    <x v="18"/>
    <x v="77"/>
    <x v="83"/>
    <x v="160"/>
    <x v="166"/>
    <x v="5"/>
  </r>
  <r>
    <x v="0"/>
    <x v="148"/>
    <x v="148"/>
    <x v="13"/>
    <x v="13"/>
    <x v="13"/>
    <x v="14"/>
    <x v="287"/>
    <x v="18"/>
    <x v="48"/>
    <x v="600"/>
    <x v="211"/>
    <x v="274"/>
    <x v="5"/>
  </r>
  <r>
    <x v="0"/>
    <x v="148"/>
    <x v="148"/>
    <x v="23"/>
    <x v="23"/>
    <x v="23"/>
    <x v="14"/>
    <x v="287"/>
    <x v="18"/>
    <x v="77"/>
    <x v="83"/>
    <x v="160"/>
    <x v="166"/>
    <x v="5"/>
  </r>
  <r>
    <x v="0"/>
    <x v="148"/>
    <x v="148"/>
    <x v="24"/>
    <x v="24"/>
    <x v="24"/>
    <x v="14"/>
    <x v="287"/>
    <x v="18"/>
    <x v="77"/>
    <x v="83"/>
    <x v="160"/>
    <x v="166"/>
    <x v="5"/>
  </r>
  <r>
    <x v="0"/>
    <x v="148"/>
    <x v="148"/>
    <x v="31"/>
    <x v="31"/>
    <x v="31"/>
    <x v="14"/>
    <x v="287"/>
    <x v="18"/>
    <x v="48"/>
    <x v="600"/>
    <x v="211"/>
    <x v="274"/>
    <x v="5"/>
  </r>
  <r>
    <x v="0"/>
    <x v="148"/>
    <x v="148"/>
    <x v="43"/>
    <x v="43"/>
    <x v="43"/>
    <x v="14"/>
    <x v="287"/>
    <x v="18"/>
    <x v="77"/>
    <x v="83"/>
    <x v="160"/>
    <x v="166"/>
    <x v="5"/>
  </r>
  <r>
    <x v="0"/>
    <x v="148"/>
    <x v="148"/>
    <x v="10"/>
    <x v="10"/>
    <x v="10"/>
    <x v="14"/>
    <x v="287"/>
    <x v="18"/>
    <x v="77"/>
    <x v="83"/>
    <x v="160"/>
    <x v="166"/>
    <x v="5"/>
  </r>
  <r>
    <x v="0"/>
    <x v="148"/>
    <x v="148"/>
    <x v="12"/>
    <x v="12"/>
    <x v="12"/>
    <x v="14"/>
    <x v="287"/>
    <x v="18"/>
    <x v="77"/>
    <x v="83"/>
    <x v="160"/>
    <x v="166"/>
    <x v="5"/>
  </r>
  <r>
    <x v="0"/>
    <x v="148"/>
    <x v="148"/>
    <x v="26"/>
    <x v="26"/>
    <x v="26"/>
    <x v="14"/>
    <x v="287"/>
    <x v="18"/>
    <x v="77"/>
    <x v="83"/>
    <x v="160"/>
    <x v="166"/>
    <x v="5"/>
  </r>
  <r>
    <x v="0"/>
    <x v="148"/>
    <x v="148"/>
    <x v="19"/>
    <x v="19"/>
    <x v="19"/>
    <x v="14"/>
    <x v="287"/>
    <x v="18"/>
    <x v="48"/>
    <x v="600"/>
    <x v="211"/>
    <x v="274"/>
    <x v="5"/>
  </r>
  <r>
    <x v="0"/>
    <x v="148"/>
    <x v="148"/>
    <x v="7"/>
    <x v="7"/>
    <x v="7"/>
    <x v="14"/>
    <x v="287"/>
    <x v="18"/>
    <x v="77"/>
    <x v="83"/>
    <x v="160"/>
    <x v="166"/>
    <x v="5"/>
  </r>
  <r>
    <x v="0"/>
    <x v="148"/>
    <x v="148"/>
    <x v="27"/>
    <x v="27"/>
    <x v="27"/>
    <x v="14"/>
    <x v="287"/>
    <x v="18"/>
    <x v="77"/>
    <x v="83"/>
    <x v="160"/>
    <x v="166"/>
    <x v="5"/>
  </r>
  <r>
    <x v="0"/>
    <x v="149"/>
    <x v="149"/>
    <x v="0"/>
    <x v="0"/>
    <x v="0"/>
    <x v="0"/>
    <x v="173"/>
    <x v="829"/>
    <x v="85"/>
    <x v="816"/>
    <x v="190"/>
    <x v="662"/>
    <x v="5"/>
  </r>
  <r>
    <x v="0"/>
    <x v="149"/>
    <x v="149"/>
    <x v="1"/>
    <x v="1"/>
    <x v="1"/>
    <x v="1"/>
    <x v="168"/>
    <x v="830"/>
    <x v="72"/>
    <x v="817"/>
    <x v="210"/>
    <x v="269"/>
    <x v="5"/>
  </r>
  <r>
    <x v="0"/>
    <x v="149"/>
    <x v="149"/>
    <x v="4"/>
    <x v="4"/>
    <x v="4"/>
    <x v="2"/>
    <x v="162"/>
    <x v="345"/>
    <x v="70"/>
    <x v="818"/>
    <x v="157"/>
    <x v="663"/>
    <x v="5"/>
  </r>
  <r>
    <x v="0"/>
    <x v="149"/>
    <x v="149"/>
    <x v="6"/>
    <x v="6"/>
    <x v="6"/>
    <x v="3"/>
    <x v="164"/>
    <x v="294"/>
    <x v="78"/>
    <x v="819"/>
    <x v="212"/>
    <x v="664"/>
    <x v="5"/>
  </r>
  <r>
    <x v="0"/>
    <x v="149"/>
    <x v="149"/>
    <x v="3"/>
    <x v="3"/>
    <x v="3"/>
    <x v="4"/>
    <x v="245"/>
    <x v="831"/>
    <x v="78"/>
    <x v="819"/>
    <x v="215"/>
    <x v="503"/>
    <x v="5"/>
  </r>
  <r>
    <x v="0"/>
    <x v="149"/>
    <x v="149"/>
    <x v="5"/>
    <x v="5"/>
    <x v="5"/>
    <x v="5"/>
    <x v="259"/>
    <x v="832"/>
    <x v="50"/>
    <x v="79"/>
    <x v="215"/>
    <x v="503"/>
    <x v="5"/>
  </r>
  <r>
    <x v="0"/>
    <x v="149"/>
    <x v="149"/>
    <x v="14"/>
    <x v="14"/>
    <x v="14"/>
    <x v="6"/>
    <x v="267"/>
    <x v="362"/>
    <x v="77"/>
    <x v="83"/>
    <x v="215"/>
    <x v="503"/>
    <x v="5"/>
  </r>
  <r>
    <x v="0"/>
    <x v="149"/>
    <x v="149"/>
    <x v="28"/>
    <x v="28"/>
    <x v="28"/>
    <x v="7"/>
    <x v="279"/>
    <x v="80"/>
    <x v="65"/>
    <x v="322"/>
    <x v="197"/>
    <x v="665"/>
    <x v="5"/>
  </r>
  <r>
    <x v="0"/>
    <x v="149"/>
    <x v="149"/>
    <x v="17"/>
    <x v="17"/>
    <x v="17"/>
    <x v="7"/>
    <x v="279"/>
    <x v="80"/>
    <x v="64"/>
    <x v="820"/>
    <x v="212"/>
    <x v="664"/>
    <x v="5"/>
  </r>
  <r>
    <x v="0"/>
    <x v="149"/>
    <x v="149"/>
    <x v="2"/>
    <x v="2"/>
    <x v="2"/>
    <x v="9"/>
    <x v="246"/>
    <x v="120"/>
    <x v="53"/>
    <x v="821"/>
    <x v="189"/>
    <x v="276"/>
    <x v="5"/>
  </r>
  <r>
    <x v="0"/>
    <x v="149"/>
    <x v="149"/>
    <x v="8"/>
    <x v="8"/>
    <x v="8"/>
    <x v="10"/>
    <x v="263"/>
    <x v="109"/>
    <x v="52"/>
    <x v="822"/>
    <x v="197"/>
    <x v="665"/>
    <x v="5"/>
  </r>
  <r>
    <x v="0"/>
    <x v="149"/>
    <x v="149"/>
    <x v="11"/>
    <x v="11"/>
    <x v="11"/>
    <x v="10"/>
    <x v="263"/>
    <x v="109"/>
    <x v="65"/>
    <x v="322"/>
    <x v="190"/>
    <x v="662"/>
    <x v="5"/>
  </r>
  <r>
    <x v="0"/>
    <x v="149"/>
    <x v="149"/>
    <x v="27"/>
    <x v="27"/>
    <x v="27"/>
    <x v="12"/>
    <x v="264"/>
    <x v="636"/>
    <x v="53"/>
    <x v="821"/>
    <x v="132"/>
    <x v="370"/>
    <x v="5"/>
  </r>
  <r>
    <x v="0"/>
    <x v="149"/>
    <x v="149"/>
    <x v="30"/>
    <x v="30"/>
    <x v="30"/>
    <x v="13"/>
    <x v="268"/>
    <x v="463"/>
    <x v="53"/>
    <x v="821"/>
    <x v="163"/>
    <x v="666"/>
    <x v="5"/>
  </r>
  <r>
    <x v="0"/>
    <x v="149"/>
    <x v="149"/>
    <x v="7"/>
    <x v="7"/>
    <x v="7"/>
    <x v="13"/>
    <x v="268"/>
    <x v="463"/>
    <x v="96"/>
    <x v="228"/>
    <x v="211"/>
    <x v="274"/>
    <x v="5"/>
  </r>
  <r>
    <x v="0"/>
    <x v="149"/>
    <x v="149"/>
    <x v="42"/>
    <x v="42"/>
    <x v="42"/>
    <x v="15"/>
    <x v="269"/>
    <x v="297"/>
    <x v="77"/>
    <x v="83"/>
    <x v="206"/>
    <x v="262"/>
    <x v="5"/>
  </r>
  <r>
    <x v="0"/>
    <x v="149"/>
    <x v="149"/>
    <x v="15"/>
    <x v="15"/>
    <x v="15"/>
    <x v="16"/>
    <x v="247"/>
    <x v="123"/>
    <x v="77"/>
    <x v="83"/>
    <x v="190"/>
    <x v="662"/>
    <x v="5"/>
  </r>
  <r>
    <x v="0"/>
    <x v="149"/>
    <x v="149"/>
    <x v="9"/>
    <x v="9"/>
    <x v="9"/>
    <x v="16"/>
    <x v="247"/>
    <x v="123"/>
    <x v="51"/>
    <x v="143"/>
    <x v="160"/>
    <x v="667"/>
    <x v="5"/>
  </r>
  <r>
    <x v="0"/>
    <x v="149"/>
    <x v="149"/>
    <x v="32"/>
    <x v="32"/>
    <x v="32"/>
    <x v="18"/>
    <x v="249"/>
    <x v="140"/>
    <x v="64"/>
    <x v="820"/>
    <x v="209"/>
    <x v="62"/>
    <x v="5"/>
  </r>
  <r>
    <x v="0"/>
    <x v="149"/>
    <x v="149"/>
    <x v="18"/>
    <x v="18"/>
    <x v="18"/>
    <x v="18"/>
    <x v="249"/>
    <x v="140"/>
    <x v="77"/>
    <x v="83"/>
    <x v="210"/>
    <x v="269"/>
    <x v="5"/>
  </r>
  <r>
    <x v="0"/>
    <x v="149"/>
    <x v="149"/>
    <x v="16"/>
    <x v="16"/>
    <x v="16"/>
    <x v="18"/>
    <x v="249"/>
    <x v="140"/>
    <x v="77"/>
    <x v="83"/>
    <x v="210"/>
    <x v="269"/>
    <x v="5"/>
  </r>
  <r>
    <x v="0"/>
    <x v="149"/>
    <x v="149"/>
    <x v="13"/>
    <x v="13"/>
    <x v="13"/>
    <x v="18"/>
    <x v="249"/>
    <x v="140"/>
    <x v="51"/>
    <x v="143"/>
    <x v="160"/>
    <x v="667"/>
    <x v="5"/>
  </r>
  <r>
    <x v="0"/>
    <x v="149"/>
    <x v="149"/>
    <x v="23"/>
    <x v="23"/>
    <x v="23"/>
    <x v="18"/>
    <x v="249"/>
    <x v="140"/>
    <x v="64"/>
    <x v="820"/>
    <x v="209"/>
    <x v="62"/>
    <x v="5"/>
  </r>
  <r>
    <x v="0"/>
    <x v="150"/>
    <x v="150"/>
    <x v="0"/>
    <x v="0"/>
    <x v="0"/>
    <x v="0"/>
    <x v="262"/>
    <x v="539"/>
    <x v="111"/>
    <x v="823"/>
    <x v="163"/>
    <x v="668"/>
    <x v="5"/>
  </r>
  <r>
    <x v="0"/>
    <x v="150"/>
    <x v="150"/>
    <x v="4"/>
    <x v="4"/>
    <x v="4"/>
    <x v="1"/>
    <x v="280"/>
    <x v="657"/>
    <x v="77"/>
    <x v="83"/>
    <x v="215"/>
    <x v="669"/>
    <x v="5"/>
  </r>
  <r>
    <x v="0"/>
    <x v="150"/>
    <x v="150"/>
    <x v="6"/>
    <x v="6"/>
    <x v="6"/>
    <x v="2"/>
    <x v="269"/>
    <x v="518"/>
    <x v="65"/>
    <x v="432"/>
    <x v="209"/>
    <x v="350"/>
    <x v="5"/>
  </r>
  <r>
    <x v="0"/>
    <x v="150"/>
    <x v="150"/>
    <x v="3"/>
    <x v="3"/>
    <x v="3"/>
    <x v="2"/>
    <x v="269"/>
    <x v="518"/>
    <x v="51"/>
    <x v="645"/>
    <x v="132"/>
    <x v="141"/>
    <x v="5"/>
  </r>
  <r>
    <x v="0"/>
    <x v="150"/>
    <x v="150"/>
    <x v="1"/>
    <x v="1"/>
    <x v="1"/>
    <x v="4"/>
    <x v="248"/>
    <x v="537"/>
    <x v="82"/>
    <x v="824"/>
    <x v="211"/>
    <x v="274"/>
    <x v="5"/>
  </r>
  <r>
    <x v="0"/>
    <x v="150"/>
    <x v="150"/>
    <x v="14"/>
    <x v="14"/>
    <x v="14"/>
    <x v="5"/>
    <x v="249"/>
    <x v="361"/>
    <x v="77"/>
    <x v="83"/>
    <x v="209"/>
    <x v="350"/>
    <x v="5"/>
  </r>
  <r>
    <x v="0"/>
    <x v="150"/>
    <x v="150"/>
    <x v="2"/>
    <x v="2"/>
    <x v="2"/>
    <x v="6"/>
    <x v="250"/>
    <x v="134"/>
    <x v="48"/>
    <x v="270"/>
    <x v="209"/>
    <x v="350"/>
    <x v="5"/>
  </r>
  <r>
    <x v="0"/>
    <x v="150"/>
    <x v="150"/>
    <x v="19"/>
    <x v="19"/>
    <x v="19"/>
    <x v="6"/>
    <x v="250"/>
    <x v="134"/>
    <x v="48"/>
    <x v="270"/>
    <x v="163"/>
    <x v="668"/>
    <x v="5"/>
  </r>
  <r>
    <x v="0"/>
    <x v="150"/>
    <x v="150"/>
    <x v="7"/>
    <x v="7"/>
    <x v="7"/>
    <x v="6"/>
    <x v="250"/>
    <x v="134"/>
    <x v="51"/>
    <x v="645"/>
    <x v="211"/>
    <x v="274"/>
    <x v="5"/>
  </r>
  <r>
    <x v="0"/>
    <x v="150"/>
    <x v="150"/>
    <x v="5"/>
    <x v="5"/>
    <x v="5"/>
    <x v="9"/>
    <x v="251"/>
    <x v="10"/>
    <x v="64"/>
    <x v="271"/>
    <x v="160"/>
    <x v="412"/>
    <x v="5"/>
  </r>
  <r>
    <x v="0"/>
    <x v="150"/>
    <x v="150"/>
    <x v="41"/>
    <x v="41"/>
    <x v="41"/>
    <x v="9"/>
    <x v="251"/>
    <x v="10"/>
    <x v="77"/>
    <x v="83"/>
    <x v="163"/>
    <x v="668"/>
    <x v="5"/>
  </r>
  <r>
    <x v="0"/>
    <x v="150"/>
    <x v="150"/>
    <x v="12"/>
    <x v="12"/>
    <x v="12"/>
    <x v="9"/>
    <x v="251"/>
    <x v="10"/>
    <x v="48"/>
    <x v="270"/>
    <x v="160"/>
    <x v="412"/>
    <x v="5"/>
  </r>
  <r>
    <x v="0"/>
    <x v="150"/>
    <x v="150"/>
    <x v="27"/>
    <x v="27"/>
    <x v="27"/>
    <x v="9"/>
    <x v="251"/>
    <x v="10"/>
    <x v="64"/>
    <x v="271"/>
    <x v="160"/>
    <x v="412"/>
    <x v="5"/>
  </r>
  <r>
    <x v="0"/>
    <x v="150"/>
    <x v="150"/>
    <x v="60"/>
    <x v="60"/>
    <x v="60"/>
    <x v="13"/>
    <x v="252"/>
    <x v="258"/>
    <x v="77"/>
    <x v="83"/>
    <x v="163"/>
    <x v="668"/>
    <x v="5"/>
  </r>
  <r>
    <x v="0"/>
    <x v="150"/>
    <x v="150"/>
    <x v="32"/>
    <x v="32"/>
    <x v="32"/>
    <x v="13"/>
    <x v="252"/>
    <x v="258"/>
    <x v="64"/>
    <x v="271"/>
    <x v="211"/>
    <x v="274"/>
    <x v="5"/>
  </r>
  <r>
    <x v="0"/>
    <x v="150"/>
    <x v="150"/>
    <x v="38"/>
    <x v="38"/>
    <x v="38"/>
    <x v="13"/>
    <x v="252"/>
    <x v="258"/>
    <x v="48"/>
    <x v="270"/>
    <x v="160"/>
    <x v="412"/>
    <x v="5"/>
  </r>
  <r>
    <x v="0"/>
    <x v="150"/>
    <x v="150"/>
    <x v="22"/>
    <x v="22"/>
    <x v="22"/>
    <x v="13"/>
    <x v="252"/>
    <x v="258"/>
    <x v="64"/>
    <x v="271"/>
    <x v="211"/>
    <x v="274"/>
    <x v="5"/>
  </r>
  <r>
    <x v="0"/>
    <x v="150"/>
    <x v="150"/>
    <x v="18"/>
    <x v="18"/>
    <x v="18"/>
    <x v="13"/>
    <x v="252"/>
    <x v="258"/>
    <x v="77"/>
    <x v="83"/>
    <x v="163"/>
    <x v="668"/>
    <x v="5"/>
  </r>
  <r>
    <x v="0"/>
    <x v="150"/>
    <x v="150"/>
    <x v="11"/>
    <x v="11"/>
    <x v="11"/>
    <x v="13"/>
    <x v="252"/>
    <x v="258"/>
    <x v="77"/>
    <x v="83"/>
    <x v="163"/>
    <x v="668"/>
    <x v="5"/>
  </r>
  <r>
    <x v="0"/>
    <x v="150"/>
    <x v="150"/>
    <x v="23"/>
    <x v="23"/>
    <x v="23"/>
    <x v="13"/>
    <x v="252"/>
    <x v="258"/>
    <x v="77"/>
    <x v="83"/>
    <x v="163"/>
    <x v="668"/>
    <x v="5"/>
  </r>
  <r>
    <x v="0"/>
    <x v="150"/>
    <x v="150"/>
    <x v="30"/>
    <x v="30"/>
    <x v="30"/>
    <x v="13"/>
    <x v="252"/>
    <x v="258"/>
    <x v="48"/>
    <x v="270"/>
    <x v="160"/>
    <x v="412"/>
    <x v="5"/>
  </r>
  <r>
    <x v="0"/>
    <x v="150"/>
    <x v="150"/>
    <x v="36"/>
    <x v="36"/>
    <x v="36"/>
    <x v="13"/>
    <x v="252"/>
    <x v="258"/>
    <x v="77"/>
    <x v="83"/>
    <x v="163"/>
    <x v="668"/>
    <x v="5"/>
  </r>
  <r>
    <x v="0"/>
    <x v="151"/>
    <x v="151"/>
    <x v="0"/>
    <x v="0"/>
    <x v="0"/>
    <x v="0"/>
    <x v="153"/>
    <x v="833"/>
    <x v="103"/>
    <x v="825"/>
    <x v="213"/>
    <x v="670"/>
    <x v="5"/>
  </r>
  <r>
    <x v="0"/>
    <x v="151"/>
    <x v="151"/>
    <x v="1"/>
    <x v="1"/>
    <x v="1"/>
    <x v="1"/>
    <x v="140"/>
    <x v="834"/>
    <x v="110"/>
    <x v="826"/>
    <x v="211"/>
    <x v="274"/>
    <x v="5"/>
  </r>
  <r>
    <x v="0"/>
    <x v="151"/>
    <x v="151"/>
    <x v="6"/>
    <x v="6"/>
    <x v="6"/>
    <x v="2"/>
    <x v="164"/>
    <x v="835"/>
    <x v="70"/>
    <x v="827"/>
    <x v="213"/>
    <x v="670"/>
    <x v="5"/>
  </r>
  <r>
    <x v="0"/>
    <x v="151"/>
    <x v="151"/>
    <x v="3"/>
    <x v="3"/>
    <x v="3"/>
    <x v="2"/>
    <x v="164"/>
    <x v="835"/>
    <x v="58"/>
    <x v="682"/>
    <x v="215"/>
    <x v="671"/>
    <x v="5"/>
  </r>
  <r>
    <x v="0"/>
    <x v="151"/>
    <x v="151"/>
    <x v="2"/>
    <x v="2"/>
    <x v="2"/>
    <x v="4"/>
    <x v="261"/>
    <x v="836"/>
    <x v="53"/>
    <x v="282"/>
    <x v="215"/>
    <x v="671"/>
    <x v="5"/>
  </r>
  <r>
    <x v="0"/>
    <x v="151"/>
    <x v="151"/>
    <x v="5"/>
    <x v="5"/>
    <x v="5"/>
    <x v="5"/>
    <x v="262"/>
    <x v="314"/>
    <x v="78"/>
    <x v="678"/>
    <x v="189"/>
    <x v="672"/>
    <x v="5"/>
  </r>
  <r>
    <x v="0"/>
    <x v="151"/>
    <x v="151"/>
    <x v="4"/>
    <x v="4"/>
    <x v="4"/>
    <x v="6"/>
    <x v="246"/>
    <x v="577"/>
    <x v="52"/>
    <x v="828"/>
    <x v="215"/>
    <x v="671"/>
    <x v="5"/>
  </r>
  <r>
    <x v="0"/>
    <x v="151"/>
    <x v="151"/>
    <x v="26"/>
    <x v="26"/>
    <x v="26"/>
    <x v="7"/>
    <x v="264"/>
    <x v="147"/>
    <x v="64"/>
    <x v="317"/>
    <x v="197"/>
    <x v="673"/>
    <x v="5"/>
  </r>
  <r>
    <x v="0"/>
    <x v="151"/>
    <x v="151"/>
    <x v="9"/>
    <x v="9"/>
    <x v="9"/>
    <x v="7"/>
    <x v="264"/>
    <x v="147"/>
    <x v="65"/>
    <x v="365"/>
    <x v="211"/>
    <x v="274"/>
    <x v="4"/>
  </r>
  <r>
    <x v="0"/>
    <x v="151"/>
    <x v="151"/>
    <x v="28"/>
    <x v="28"/>
    <x v="28"/>
    <x v="9"/>
    <x v="269"/>
    <x v="487"/>
    <x v="48"/>
    <x v="277"/>
    <x v="190"/>
    <x v="154"/>
    <x v="5"/>
  </r>
  <r>
    <x v="0"/>
    <x v="151"/>
    <x v="151"/>
    <x v="12"/>
    <x v="12"/>
    <x v="12"/>
    <x v="9"/>
    <x v="269"/>
    <x v="487"/>
    <x v="82"/>
    <x v="745"/>
    <x v="163"/>
    <x v="502"/>
    <x v="5"/>
  </r>
  <r>
    <x v="0"/>
    <x v="151"/>
    <x v="151"/>
    <x v="8"/>
    <x v="8"/>
    <x v="8"/>
    <x v="11"/>
    <x v="247"/>
    <x v="49"/>
    <x v="64"/>
    <x v="317"/>
    <x v="210"/>
    <x v="674"/>
    <x v="5"/>
  </r>
  <r>
    <x v="0"/>
    <x v="151"/>
    <x v="151"/>
    <x v="13"/>
    <x v="13"/>
    <x v="13"/>
    <x v="11"/>
    <x v="247"/>
    <x v="49"/>
    <x v="51"/>
    <x v="680"/>
    <x v="209"/>
    <x v="471"/>
    <x v="5"/>
  </r>
  <r>
    <x v="0"/>
    <x v="151"/>
    <x v="151"/>
    <x v="30"/>
    <x v="30"/>
    <x v="30"/>
    <x v="13"/>
    <x v="248"/>
    <x v="33"/>
    <x v="77"/>
    <x v="83"/>
    <x v="189"/>
    <x v="672"/>
    <x v="5"/>
  </r>
  <r>
    <x v="0"/>
    <x v="151"/>
    <x v="151"/>
    <x v="7"/>
    <x v="7"/>
    <x v="7"/>
    <x v="13"/>
    <x v="248"/>
    <x v="33"/>
    <x v="65"/>
    <x v="365"/>
    <x v="160"/>
    <x v="675"/>
    <x v="5"/>
  </r>
  <r>
    <x v="0"/>
    <x v="151"/>
    <x v="151"/>
    <x v="11"/>
    <x v="11"/>
    <x v="11"/>
    <x v="15"/>
    <x v="249"/>
    <x v="123"/>
    <x v="52"/>
    <x v="828"/>
    <x v="163"/>
    <x v="502"/>
    <x v="5"/>
  </r>
  <r>
    <x v="0"/>
    <x v="151"/>
    <x v="151"/>
    <x v="31"/>
    <x v="31"/>
    <x v="31"/>
    <x v="15"/>
    <x v="249"/>
    <x v="123"/>
    <x v="64"/>
    <x v="317"/>
    <x v="209"/>
    <x v="471"/>
    <x v="5"/>
  </r>
  <r>
    <x v="0"/>
    <x v="151"/>
    <x v="151"/>
    <x v="49"/>
    <x v="49"/>
    <x v="49"/>
    <x v="17"/>
    <x v="250"/>
    <x v="115"/>
    <x v="77"/>
    <x v="83"/>
    <x v="132"/>
    <x v="676"/>
    <x v="5"/>
  </r>
  <r>
    <x v="0"/>
    <x v="151"/>
    <x v="151"/>
    <x v="34"/>
    <x v="34"/>
    <x v="34"/>
    <x v="17"/>
    <x v="250"/>
    <x v="115"/>
    <x v="48"/>
    <x v="277"/>
    <x v="160"/>
    <x v="675"/>
    <x v="5"/>
  </r>
  <r>
    <x v="0"/>
    <x v="151"/>
    <x v="151"/>
    <x v="14"/>
    <x v="14"/>
    <x v="14"/>
    <x v="19"/>
    <x v="251"/>
    <x v="578"/>
    <x v="77"/>
    <x v="83"/>
    <x v="209"/>
    <x v="471"/>
    <x v="5"/>
  </r>
  <r>
    <x v="0"/>
    <x v="152"/>
    <x v="152"/>
    <x v="0"/>
    <x v="0"/>
    <x v="0"/>
    <x v="0"/>
    <x v="175"/>
    <x v="837"/>
    <x v="117"/>
    <x v="829"/>
    <x v="132"/>
    <x v="677"/>
    <x v="5"/>
  </r>
  <r>
    <x v="0"/>
    <x v="152"/>
    <x v="152"/>
    <x v="3"/>
    <x v="3"/>
    <x v="3"/>
    <x v="1"/>
    <x v="259"/>
    <x v="838"/>
    <x v="53"/>
    <x v="830"/>
    <x v="213"/>
    <x v="678"/>
    <x v="5"/>
  </r>
  <r>
    <x v="0"/>
    <x v="152"/>
    <x v="152"/>
    <x v="6"/>
    <x v="6"/>
    <x v="6"/>
    <x v="2"/>
    <x v="261"/>
    <x v="383"/>
    <x v="78"/>
    <x v="831"/>
    <x v="190"/>
    <x v="227"/>
    <x v="5"/>
  </r>
  <r>
    <x v="0"/>
    <x v="152"/>
    <x v="152"/>
    <x v="4"/>
    <x v="4"/>
    <x v="4"/>
    <x v="3"/>
    <x v="262"/>
    <x v="839"/>
    <x v="64"/>
    <x v="221"/>
    <x v="157"/>
    <x v="679"/>
    <x v="5"/>
  </r>
  <r>
    <x v="0"/>
    <x v="152"/>
    <x v="152"/>
    <x v="1"/>
    <x v="1"/>
    <x v="1"/>
    <x v="4"/>
    <x v="279"/>
    <x v="384"/>
    <x v="58"/>
    <x v="832"/>
    <x v="163"/>
    <x v="341"/>
    <x v="5"/>
  </r>
  <r>
    <x v="0"/>
    <x v="152"/>
    <x v="152"/>
    <x v="9"/>
    <x v="9"/>
    <x v="9"/>
    <x v="5"/>
    <x v="269"/>
    <x v="370"/>
    <x v="52"/>
    <x v="833"/>
    <x v="160"/>
    <x v="666"/>
    <x v="5"/>
  </r>
  <r>
    <x v="0"/>
    <x v="152"/>
    <x v="152"/>
    <x v="5"/>
    <x v="5"/>
    <x v="5"/>
    <x v="6"/>
    <x v="247"/>
    <x v="386"/>
    <x v="64"/>
    <x v="221"/>
    <x v="210"/>
    <x v="680"/>
    <x v="5"/>
  </r>
  <r>
    <x v="0"/>
    <x v="152"/>
    <x v="152"/>
    <x v="8"/>
    <x v="8"/>
    <x v="8"/>
    <x v="6"/>
    <x v="247"/>
    <x v="386"/>
    <x v="48"/>
    <x v="798"/>
    <x v="189"/>
    <x v="304"/>
    <x v="5"/>
  </r>
  <r>
    <x v="0"/>
    <x v="152"/>
    <x v="152"/>
    <x v="27"/>
    <x v="27"/>
    <x v="27"/>
    <x v="6"/>
    <x v="247"/>
    <x v="386"/>
    <x v="51"/>
    <x v="834"/>
    <x v="209"/>
    <x v="681"/>
    <x v="5"/>
  </r>
  <r>
    <x v="0"/>
    <x v="152"/>
    <x v="152"/>
    <x v="28"/>
    <x v="28"/>
    <x v="28"/>
    <x v="9"/>
    <x v="248"/>
    <x v="256"/>
    <x v="77"/>
    <x v="83"/>
    <x v="189"/>
    <x v="304"/>
    <x v="5"/>
  </r>
  <r>
    <x v="0"/>
    <x v="152"/>
    <x v="152"/>
    <x v="12"/>
    <x v="12"/>
    <x v="12"/>
    <x v="9"/>
    <x v="248"/>
    <x v="256"/>
    <x v="64"/>
    <x v="221"/>
    <x v="132"/>
    <x v="677"/>
    <x v="5"/>
  </r>
  <r>
    <x v="0"/>
    <x v="152"/>
    <x v="152"/>
    <x v="7"/>
    <x v="7"/>
    <x v="7"/>
    <x v="9"/>
    <x v="248"/>
    <x v="256"/>
    <x v="82"/>
    <x v="835"/>
    <x v="211"/>
    <x v="274"/>
    <x v="5"/>
  </r>
  <r>
    <x v="0"/>
    <x v="152"/>
    <x v="152"/>
    <x v="14"/>
    <x v="14"/>
    <x v="14"/>
    <x v="9"/>
    <x v="248"/>
    <x v="256"/>
    <x v="77"/>
    <x v="83"/>
    <x v="189"/>
    <x v="304"/>
    <x v="5"/>
  </r>
  <r>
    <x v="0"/>
    <x v="152"/>
    <x v="152"/>
    <x v="2"/>
    <x v="2"/>
    <x v="2"/>
    <x v="13"/>
    <x v="249"/>
    <x v="387"/>
    <x v="64"/>
    <x v="221"/>
    <x v="209"/>
    <x v="681"/>
    <x v="5"/>
  </r>
  <r>
    <x v="0"/>
    <x v="152"/>
    <x v="152"/>
    <x v="11"/>
    <x v="11"/>
    <x v="11"/>
    <x v="14"/>
    <x v="250"/>
    <x v="665"/>
    <x v="77"/>
    <x v="83"/>
    <x v="132"/>
    <x v="677"/>
    <x v="5"/>
  </r>
  <r>
    <x v="0"/>
    <x v="152"/>
    <x v="152"/>
    <x v="26"/>
    <x v="26"/>
    <x v="26"/>
    <x v="14"/>
    <x v="250"/>
    <x v="665"/>
    <x v="48"/>
    <x v="798"/>
    <x v="163"/>
    <x v="341"/>
    <x v="5"/>
  </r>
  <r>
    <x v="0"/>
    <x v="152"/>
    <x v="152"/>
    <x v="36"/>
    <x v="36"/>
    <x v="36"/>
    <x v="14"/>
    <x v="250"/>
    <x v="665"/>
    <x v="48"/>
    <x v="798"/>
    <x v="163"/>
    <x v="341"/>
    <x v="5"/>
  </r>
  <r>
    <x v="0"/>
    <x v="152"/>
    <x v="152"/>
    <x v="13"/>
    <x v="13"/>
    <x v="13"/>
    <x v="17"/>
    <x v="251"/>
    <x v="154"/>
    <x v="64"/>
    <x v="221"/>
    <x v="160"/>
    <x v="666"/>
    <x v="5"/>
  </r>
  <r>
    <x v="0"/>
    <x v="152"/>
    <x v="152"/>
    <x v="30"/>
    <x v="30"/>
    <x v="30"/>
    <x v="17"/>
    <x v="251"/>
    <x v="154"/>
    <x v="64"/>
    <x v="221"/>
    <x v="160"/>
    <x v="666"/>
    <x v="5"/>
  </r>
  <r>
    <x v="0"/>
    <x v="152"/>
    <x v="152"/>
    <x v="49"/>
    <x v="49"/>
    <x v="49"/>
    <x v="19"/>
    <x v="252"/>
    <x v="388"/>
    <x v="77"/>
    <x v="83"/>
    <x v="163"/>
    <x v="341"/>
    <x v="5"/>
  </r>
  <r>
    <x v="0"/>
    <x v="152"/>
    <x v="152"/>
    <x v="32"/>
    <x v="32"/>
    <x v="32"/>
    <x v="19"/>
    <x v="252"/>
    <x v="388"/>
    <x v="77"/>
    <x v="83"/>
    <x v="163"/>
    <x v="341"/>
    <x v="5"/>
  </r>
  <r>
    <x v="0"/>
    <x v="152"/>
    <x v="152"/>
    <x v="45"/>
    <x v="45"/>
    <x v="45"/>
    <x v="19"/>
    <x v="252"/>
    <x v="388"/>
    <x v="48"/>
    <x v="798"/>
    <x v="160"/>
    <x v="666"/>
    <x v="5"/>
  </r>
  <r>
    <x v="0"/>
    <x v="152"/>
    <x v="152"/>
    <x v="24"/>
    <x v="24"/>
    <x v="24"/>
    <x v="19"/>
    <x v="252"/>
    <x v="388"/>
    <x v="77"/>
    <x v="83"/>
    <x v="163"/>
    <x v="341"/>
    <x v="5"/>
  </r>
  <r>
    <x v="0"/>
    <x v="152"/>
    <x v="152"/>
    <x v="10"/>
    <x v="10"/>
    <x v="10"/>
    <x v="19"/>
    <x v="252"/>
    <x v="388"/>
    <x v="64"/>
    <x v="221"/>
    <x v="211"/>
    <x v="274"/>
    <x v="5"/>
  </r>
  <r>
    <x v="0"/>
    <x v="152"/>
    <x v="152"/>
    <x v="34"/>
    <x v="34"/>
    <x v="34"/>
    <x v="19"/>
    <x v="252"/>
    <x v="388"/>
    <x v="48"/>
    <x v="798"/>
    <x v="160"/>
    <x v="666"/>
    <x v="5"/>
  </r>
  <r>
    <x v="0"/>
    <x v="152"/>
    <x v="152"/>
    <x v="21"/>
    <x v="21"/>
    <x v="21"/>
    <x v="19"/>
    <x v="252"/>
    <x v="388"/>
    <x v="77"/>
    <x v="83"/>
    <x v="163"/>
    <x v="341"/>
    <x v="5"/>
  </r>
  <r>
    <x v="0"/>
    <x v="153"/>
    <x v="153"/>
    <x v="0"/>
    <x v="0"/>
    <x v="0"/>
    <x v="0"/>
    <x v="266"/>
    <x v="840"/>
    <x v="138"/>
    <x v="836"/>
    <x v="132"/>
    <x v="145"/>
    <x v="5"/>
  </r>
  <r>
    <x v="0"/>
    <x v="153"/>
    <x v="153"/>
    <x v="4"/>
    <x v="4"/>
    <x v="4"/>
    <x v="1"/>
    <x v="261"/>
    <x v="766"/>
    <x v="51"/>
    <x v="837"/>
    <x v="214"/>
    <x v="682"/>
    <x v="5"/>
  </r>
  <r>
    <x v="0"/>
    <x v="153"/>
    <x v="153"/>
    <x v="2"/>
    <x v="2"/>
    <x v="2"/>
    <x v="2"/>
    <x v="262"/>
    <x v="841"/>
    <x v="58"/>
    <x v="746"/>
    <x v="132"/>
    <x v="145"/>
    <x v="5"/>
  </r>
  <r>
    <x v="0"/>
    <x v="153"/>
    <x v="153"/>
    <x v="1"/>
    <x v="1"/>
    <x v="1"/>
    <x v="2"/>
    <x v="262"/>
    <x v="841"/>
    <x v="111"/>
    <x v="838"/>
    <x v="163"/>
    <x v="134"/>
    <x v="5"/>
  </r>
  <r>
    <x v="0"/>
    <x v="153"/>
    <x v="153"/>
    <x v="3"/>
    <x v="3"/>
    <x v="3"/>
    <x v="4"/>
    <x v="246"/>
    <x v="60"/>
    <x v="82"/>
    <x v="114"/>
    <x v="190"/>
    <x v="683"/>
    <x v="5"/>
  </r>
  <r>
    <x v="0"/>
    <x v="153"/>
    <x v="153"/>
    <x v="6"/>
    <x v="6"/>
    <x v="6"/>
    <x v="5"/>
    <x v="263"/>
    <x v="173"/>
    <x v="78"/>
    <x v="839"/>
    <x v="163"/>
    <x v="134"/>
    <x v="5"/>
  </r>
  <r>
    <x v="0"/>
    <x v="153"/>
    <x v="153"/>
    <x v="5"/>
    <x v="5"/>
    <x v="5"/>
    <x v="6"/>
    <x v="280"/>
    <x v="226"/>
    <x v="82"/>
    <x v="114"/>
    <x v="132"/>
    <x v="145"/>
    <x v="5"/>
  </r>
  <r>
    <x v="0"/>
    <x v="153"/>
    <x v="153"/>
    <x v="8"/>
    <x v="8"/>
    <x v="8"/>
    <x v="7"/>
    <x v="247"/>
    <x v="255"/>
    <x v="52"/>
    <x v="750"/>
    <x v="132"/>
    <x v="145"/>
    <x v="5"/>
  </r>
  <r>
    <x v="0"/>
    <x v="153"/>
    <x v="153"/>
    <x v="32"/>
    <x v="32"/>
    <x v="32"/>
    <x v="7"/>
    <x v="247"/>
    <x v="255"/>
    <x v="77"/>
    <x v="83"/>
    <x v="190"/>
    <x v="683"/>
    <x v="5"/>
  </r>
  <r>
    <x v="0"/>
    <x v="153"/>
    <x v="153"/>
    <x v="14"/>
    <x v="14"/>
    <x v="14"/>
    <x v="7"/>
    <x v="247"/>
    <x v="255"/>
    <x v="77"/>
    <x v="83"/>
    <x v="210"/>
    <x v="409"/>
    <x v="5"/>
  </r>
  <r>
    <x v="0"/>
    <x v="153"/>
    <x v="153"/>
    <x v="28"/>
    <x v="28"/>
    <x v="28"/>
    <x v="10"/>
    <x v="248"/>
    <x v="218"/>
    <x v="51"/>
    <x v="837"/>
    <x v="163"/>
    <x v="134"/>
    <x v="5"/>
  </r>
  <r>
    <x v="0"/>
    <x v="153"/>
    <x v="153"/>
    <x v="11"/>
    <x v="11"/>
    <x v="11"/>
    <x v="10"/>
    <x v="248"/>
    <x v="218"/>
    <x v="51"/>
    <x v="837"/>
    <x v="163"/>
    <x v="134"/>
    <x v="5"/>
  </r>
  <r>
    <x v="0"/>
    <x v="153"/>
    <x v="153"/>
    <x v="26"/>
    <x v="26"/>
    <x v="26"/>
    <x v="10"/>
    <x v="248"/>
    <x v="218"/>
    <x v="48"/>
    <x v="283"/>
    <x v="209"/>
    <x v="287"/>
    <x v="5"/>
  </r>
  <r>
    <x v="0"/>
    <x v="153"/>
    <x v="153"/>
    <x v="12"/>
    <x v="12"/>
    <x v="12"/>
    <x v="13"/>
    <x v="249"/>
    <x v="204"/>
    <x v="48"/>
    <x v="283"/>
    <x v="132"/>
    <x v="145"/>
    <x v="5"/>
  </r>
  <r>
    <x v="0"/>
    <x v="153"/>
    <x v="153"/>
    <x v="7"/>
    <x v="7"/>
    <x v="7"/>
    <x v="13"/>
    <x v="249"/>
    <x v="204"/>
    <x v="65"/>
    <x v="46"/>
    <x v="211"/>
    <x v="274"/>
    <x v="5"/>
  </r>
  <r>
    <x v="0"/>
    <x v="153"/>
    <x v="153"/>
    <x v="16"/>
    <x v="16"/>
    <x v="16"/>
    <x v="15"/>
    <x v="250"/>
    <x v="241"/>
    <x v="77"/>
    <x v="83"/>
    <x v="132"/>
    <x v="145"/>
    <x v="5"/>
  </r>
  <r>
    <x v="0"/>
    <x v="153"/>
    <x v="153"/>
    <x v="21"/>
    <x v="21"/>
    <x v="21"/>
    <x v="15"/>
    <x v="250"/>
    <x v="241"/>
    <x v="77"/>
    <x v="83"/>
    <x v="209"/>
    <x v="287"/>
    <x v="4"/>
  </r>
  <r>
    <x v="0"/>
    <x v="153"/>
    <x v="153"/>
    <x v="60"/>
    <x v="60"/>
    <x v="60"/>
    <x v="17"/>
    <x v="251"/>
    <x v="167"/>
    <x v="77"/>
    <x v="83"/>
    <x v="209"/>
    <x v="287"/>
    <x v="5"/>
  </r>
  <r>
    <x v="0"/>
    <x v="153"/>
    <x v="153"/>
    <x v="13"/>
    <x v="13"/>
    <x v="13"/>
    <x v="17"/>
    <x v="251"/>
    <x v="167"/>
    <x v="64"/>
    <x v="191"/>
    <x v="160"/>
    <x v="388"/>
    <x v="5"/>
  </r>
  <r>
    <x v="0"/>
    <x v="153"/>
    <x v="153"/>
    <x v="23"/>
    <x v="23"/>
    <x v="23"/>
    <x v="17"/>
    <x v="251"/>
    <x v="167"/>
    <x v="77"/>
    <x v="83"/>
    <x v="209"/>
    <x v="287"/>
    <x v="5"/>
  </r>
  <r>
    <x v="0"/>
    <x v="153"/>
    <x v="153"/>
    <x v="9"/>
    <x v="9"/>
    <x v="9"/>
    <x v="17"/>
    <x v="251"/>
    <x v="167"/>
    <x v="48"/>
    <x v="283"/>
    <x v="211"/>
    <x v="274"/>
    <x v="5"/>
  </r>
  <r>
    <x v="0"/>
    <x v="154"/>
    <x v="154"/>
    <x v="0"/>
    <x v="0"/>
    <x v="0"/>
    <x v="0"/>
    <x v="133"/>
    <x v="842"/>
    <x v="63"/>
    <x v="840"/>
    <x v="190"/>
    <x v="421"/>
    <x v="5"/>
  </r>
  <r>
    <x v="0"/>
    <x v="154"/>
    <x v="154"/>
    <x v="1"/>
    <x v="1"/>
    <x v="1"/>
    <x v="1"/>
    <x v="160"/>
    <x v="843"/>
    <x v="152"/>
    <x v="704"/>
    <x v="163"/>
    <x v="684"/>
    <x v="5"/>
  </r>
  <r>
    <x v="0"/>
    <x v="154"/>
    <x v="154"/>
    <x v="3"/>
    <x v="3"/>
    <x v="3"/>
    <x v="2"/>
    <x v="136"/>
    <x v="635"/>
    <x v="70"/>
    <x v="841"/>
    <x v="128"/>
    <x v="685"/>
    <x v="5"/>
  </r>
  <r>
    <x v="0"/>
    <x v="154"/>
    <x v="154"/>
    <x v="4"/>
    <x v="4"/>
    <x v="4"/>
    <x v="3"/>
    <x v="246"/>
    <x v="785"/>
    <x v="48"/>
    <x v="468"/>
    <x v="212"/>
    <x v="686"/>
    <x v="5"/>
  </r>
  <r>
    <x v="0"/>
    <x v="154"/>
    <x v="154"/>
    <x v="8"/>
    <x v="8"/>
    <x v="8"/>
    <x v="3"/>
    <x v="246"/>
    <x v="785"/>
    <x v="64"/>
    <x v="30"/>
    <x v="213"/>
    <x v="687"/>
    <x v="5"/>
  </r>
  <r>
    <x v="0"/>
    <x v="154"/>
    <x v="154"/>
    <x v="6"/>
    <x v="6"/>
    <x v="6"/>
    <x v="3"/>
    <x v="246"/>
    <x v="785"/>
    <x v="50"/>
    <x v="699"/>
    <x v="210"/>
    <x v="688"/>
    <x v="5"/>
  </r>
  <r>
    <x v="0"/>
    <x v="154"/>
    <x v="154"/>
    <x v="30"/>
    <x v="30"/>
    <x v="30"/>
    <x v="3"/>
    <x v="246"/>
    <x v="785"/>
    <x v="78"/>
    <x v="722"/>
    <x v="163"/>
    <x v="684"/>
    <x v="5"/>
  </r>
  <r>
    <x v="0"/>
    <x v="154"/>
    <x v="154"/>
    <x v="14"/>
    <x v="14"/>
    <x v="14"/>
    <x v="7"/>
    <x v="264"/>
    <x v="64"/>
    <x v="77"/>
    <x v="83"/>
    <x v="132"/>
    <x v="689"/>
    <x v="5"/>
  </r>
  <r>
    <x v="0"/>
    <x v="154"/>
    <x v="154"/>
    <x v="11"/>
    <x v="11"/>
    <x v="11"/>
    <x v="8"/>
    <x v="280"/>
    <x v="272"/>
    <x v="82"/>
    <x v="454"/>
    <x v="132"/>
    <x v="689"/>
    <x v="5"/>
  </r>
  <r>
    <x v="0"/>
    <x v="154"/>
    <x v="154"/>
    <x v="9"/>
    <x v="9"/>
    <x v="9"/>
    <x v="8"/>
    <x v="280"/>
    <x v="272"/>
    <x v="50"/>
    <x v="699"/>
    <x v="211"/>
    <x v="274"/>
    <x v="5"/>
  </r>
  <r>
    <x v="0"/>
    <x v="154"/>
    <x v="154"/>
    <x v="34"/>
    <x v="34"/>
    <x v="34"/>
    <x v="10"/>
    <x v="268"/>
    <x v="617"/>
    <x v="65"/>
    <x v="310"/>
    <x v="209"/>
    <x v="104"/>
    <x v="5"/>
  </r>
  <r>
    <x v="0"/>
    <x v="154"/>
    <x v="154"/>
    <x v="12"/>
    <x v="12"/>
    <x v="12"/>
    <x v="11"/>
    <x v="269"/>
    <x v="636"/>
    <x v="64"/>
    <x v="30"/>
    <x v="189"/>
    <x v="307"/>
    <x v="5"/>
  </r>
  <r>
    <x v="0"/>
    <x v="154"/>
    <x v="154"/>
    <x v="5"/>
    <x v="5"/>
    <x v="5"/>
    <x v="12"/>
    <x v="247"/>
    <x v="113"/>
    <x v="52"/>
    <x v="719"/>
    <x v="132"/>
    <x v="689"/>
    <x v="5"/>
  </r>
  <r>
    <x v="0"/>
    <x v="154"/>
    <x v="154"/>
    <x v="7"/>
    <x v="7"/>
    <x v="7"/>
    <x v="12"/>
    <x v="247"/>
    <x v="113"/>
    <x v="53"/>
    <x v="842"/>
    <x v="211"/>
    <x v="274"/>
    <x v="5"/>
  </r>
  <r>
    <x v="0"/>
    <x v="154"/>
    <x v="154"/>
    <x v="27"/>
    <x v="27"/>
    <x v="27"/>
    <x v="12"/>
    <x v="247"/>
    <x v="113"/>
    <x v="64"/>
    <x v="30"/>
    <x v="210"/>
    <x v="688"/>
    <x v="5"/>
  </r>
  <r>
    <x v="0"/>
    <x v="154"/>
    <x v="154"/>
    <x v="2"/>
    <x v="2"/>
    <x v="2"/>
    <x v="15"/>
    <x v="248"/>
    <x v="193"/>
    <x v="64"/>
    <x v="30"/>
    <x v="132"/>
    <x v="689"/>
    <x v="5"/>
  </r>
  <r>
    <x v="0"/>
    <x v="154"/>
    <x v="154"/>
    <x v="28"/>
    <x v="28"/>
    <x v="28"/>
    <x v="16"/>
    <x v="249"/>
    <x v="36"/>
    <x v="48"/>
    <x v="468"/>
    <x v="132"/>
    <x v="689"/>
    <x v="5"/>
  </r>
  <r>
    <x v="0"/>
    <x v="154"/>
    <x v="154"/>
    <x v="10"/>
    <x v="10"/>
    <x v="10"/>
    <x v="16"/>
    <x v="249"/>
    <x v="36"/>
    <x v="52"/>
    <x v="719"/>
    <x v="163"/>
    <x v="684"/>
    <x v="5"/>
  </r>
  <r>
    <x v="0"/>
    <x v="154"/>
    <x v="154"/>
    <x v="42"/>
    <x v="42"/>
    <x v="42"/>
    <x v="18"/>
    <x v="250"/>
    <x v="54"/>
    <x v="77"/>
    <x v="83"/>
    <x v="132"/>
    <x v="689"/>
    <x v="5"/>
  </r>
  <r>
    <x v="0"/>
    <x v="154"/>
    <x v="154"/>
    <x v="35"/>
    <x v="35"/>
    <x v="35"/>
    <x v="18"/>
    <x v="250"/>
    <x v="54"/>
    <x v="48"/>
    <x v="468"/>
    <x v="209"/>
    <x v="104"/>
    <x v="5"/>
  </r>
  <r>
    <x v="0"/>
    <x v="154"/>
    <x v="154"/>
    <x v="23"/>
    <x v="23"/>
    <x v="23"/>
    <x v="18"/>
    <x v="250"/>
    <x v="54"/>
    <x v="77"/>
    <x v="83"/>
    <x v="132"/>
    <x v="689"/>
    <x v="5"/>
  </r>
  <r>
    <x v="0"/>
    <x v="155"/>
    <x v="155"/>
    <x v="3"/>
    <x v="3"/>
    <x v="3"/>
    <x v="0"/>
    <x v="245"/>
    <x v="844"/>
    <x v="53"/>
    <x v="843"/>
    <x v="214"/>
    <x v="690"/>
    <x v="5"/>
  </r>
  <r>
    <x v="0"/>
    <x v="155"/>
    <x v="155"/>
    <x v="0"/>
    <x v="0"/>
    <x v="0"/>
    <x v="1"/>
    <x v="262"/>
    <x v="514"/>
    <x v="111"/>
    <x v="749"/>
    <x v="163"/>
    <x v="172"/>
    <x v="5"/>
  </r>
  <r>
    <x v="0"/>
    <x v="155"/>
    <x v="155"/>
    <x v="4"/>
    <x v="4"/>
    <x v="4"/>
    <x v="2"/>
    <x v="246"/>
    <x v="706"/>
    <x v="65"/>
    <x v="811"/>
    <x v="206"/>
    <x v="691"/>
    <x v="5"/>
  </r>
  <r>
    <x v="0"/>
    <x v="155"/>
    <x v="155"/>
    <x v="1"/>
    <x v="1"/>
    <x v="1"/>
    <x v="2"/>
    <x v="246"/>
    <x v="706"/>
    <x v="38"/>
    <x v="844"/>
    <x v="211"/>
    <x v="274"/>
    <x v="5"/>
  </r>
  <r>
    <x v="0"/>
    <x v="155"/>
    <x v="155"/>
    <x v="6"/>
    <x v="6"/>
    <x v="6"/>
    <x v="4"/>
    <x v="269"/>
    <x v="770"/>
    <x v="51"/>
    <x v="114"/>
    <x v="132"/>
    <x v="239"/>
    <x v="5"/>
  </r>
  <r>
    <x v="0"/>
    <x v="155"/>
    <x v="155"/>
    <x v="5"/>
    <x v="5"/>
    <x v="5"/>
    <x v="5"/>
    <x v="247"/>
    <x v="845"/>
    <x v="52"/>
    <x v="812"/>
    <x v="132"/>
    <x v="239"/>
    <x v="5"/>
  </r>
  <r>
    <x v="0"/>
    <x v="155"/>
    <x v="155"/>
    <x v="14"/>
    <x v="14"/>
    <x v="14"/>
    <x v="5"/>
    <x v="247"/>
    <x v="845"/>
    <x v="77"/>
    <x v="83"/>
    <x v="163"/>
    <x v="172"/>
    <x v="5"/>
  </r>
  <r>
    <x v="0"/>
    <x v="155"/>
    <x v="155"/>
    <x v="11"/>
    <x v="11"/>
    <x v="11"/>
    <x v="7"/>
    <x v="248"/>
    <x v="91"/>
    <x v="64"/>
    <x v="750"/>
    <x v="132"/>
    <x v="239"/>
    <x v="5"/>
  </r>
  <r>
    <x v="0"/>
    <x v="155"/>
    <x v="155"/>
    <x v="9"/>
    <x v="9"/>
    <x v="9"/>
    <x v="8"/>
    <x v="249"/>
    <x v="771"/>
    <x v="52"/>
    <x v="812"/>
    <x v="211"/>
    <x v="274"/>
    <x v="5"/>
  </r>
  <r>
    <x v="0"/>
    <x v="155"/>
    <x v="155"/>
    <x v="27"/>
    <x v="27"/>
    <x v="27"/>
    <x v="8"/>
    <x v="249"/>
    <x v="771"/>
    <x v="52"/>
    <x v="812"/>
    <x v="163"/>
    <x v="172"/>
    <x v="5"/>
  </r>
  <r>
    <x v="0"/>
    <x v="155"/>
    <x v="155"/>
    <x v="30"/>
    <x v="30"/>
    <x v="30"/>
    <x v="10"/>
    <x v="250"/>
    <x v="94"/>
    <x v="51"/>
    <x v="114"/>
    <x v="211"/>
    <x v="274"/>
    <x v="5"/>
  </r>
  <r>
    <x v="0"/>
    <x v="155"/>
    <x v="155"/>
    <x v="7"/>
    <x v="7"/>
    <x v="7"/>
    <x v="10"/>
    <x v="250"/>
    <x v="94"/>
    <x v="52"/>
    <x v="812"/>
    <x v="160"/>
    <x v="131"/>
    <x v="5"/>
  </r>
  <r>
    <x v="0"/>
    <x v="155"/>
    <x v="155"/>
    <x v="8"/>
    <x v="8"/>
    <x v="8"/>
    <x v="12"/>
    <x v="251"/>
    <x v="179"/>
    <x v="64"/>
    <x v="750"/>
    <x v="160"/>
    <x v="131"/>
    <x v="5"/>
  </r>
  <r>
    <x v="0"/>
    <x v="155"/>
    <x v="155"/>
    <x v="42"/>
    <x v="42"/>
    <x v="42"/>
    <x v="12"/>
    <x v="251"/>
    <x v="179"/>
    <x v="48"/>
    <x v="35"/>
    <x v="163"/>
    <x v="172"/>
    <x v="5"/>
  </r>
  <r>
    <x v="0"/>
    <x v="155"/>
    <x v="155"/>
    <x v="16"/>
    <x v="16"/>
    <x v="16"/>
    <x v="12"/>
    <x v="251"/>
    <x v="179"/>
    <x v="64"/>
    <x v="750"/>
    <x v="160"/>
    <x v="131"/>
    <x v="5"/>
  </r>
  <r>
    <x v="0"/>
    <x v="155"/>
    <x v="155"/>
    <x v="2"/>
    <x v="2"/>
    <x v="2"/>
    <x v="12"/>
    <x v="251"/>
    <x v="179"/>
    <x v="64"/>
    <x v="750"/>
    <x v="160"/>
    <x v="131"/>
    <x v="5"/>
  </r>
  <r>
    <x v="0"/>
    <x v="155"/>
    <x v="155"/>
    <x v="12"/>
    <x v="12"/>
    <x v="12"/>
    <x v="12"/>
    <x v="251"/>
    <x v="179"/>
    <x v="64"/>
    <x v="750"/>
    <x v="211"/>
    <x v="274"/>
    <x v="5"/>
  </r>
  <r>
    <x v="0"/>
    <x v="155"/>
    <x v="155"/>
    <x v="60"/>
    <x v="60"/>
    <x v="60"/>
    <x v="17"/>
    <x v="252"/>
    <x v="209"/>
    <x v="77"/>
    <x v="83"/>
    <x v="163"/>
    <x v="172"/>
    <x v="5"/>
  </r>
  <r>
    <x v="0"/>
    <x v="155"/>
    <x v="155"/>
    <x v="25"/>
    <x v="25"/>
    <x v="25"/>
    <x v="17"/>
    <x v="252"/>
    <x v="209"/>
    <x v="48"/>
    <x v="35"/>
    <x v="160"/>
    <x v="131"/>
    <x v="5"/>
  </r>
  <r>
    <x v="0"/>
    <x v="155"/>
    <x v="155"/>
    <x v="31"/>
    <x v="31"/>
    <x v="31"/>
    <x v="17"/>
    <x v="252"/>
    <x v="209"/>
    <x v="77"/>
    <x v="83"/>
    <x v="163"/>
    <x v="172"/>
    <x v="5"/>
  </r>
  <r>
    <x v="0"/>
    <x v="155"/>
    <x v="155"/>
    <x v="26"/>
    <x v="26"/>
    <x v="26"/>
    <x v="17"/>
    <x v="252"/>
    <x v="209"/>
    <x v="77"/>
    <x v="83"/>
    <x v="163"/>
    <x v="172"/>
    <x v="5"/>
  </r>
  <r>
    <x v="0"/>
    <x v="155"/>
    <x v="155"/>
    <x v="34"/>
    <x v="34"/>
    <x v="34"/>
    <x v="17"/>
    <x v="252"/>
    <x v="209"/>
    <x v="48"/>
    <x v="35"/>
    <x v="211"/>
    <x v="274"/>
    <x v="5"/>
  </r>
  <r>
    <x v="0"/>
    <x v="156"/>
    <x v="156"/>
    <x v="4"/>
    <x v="4"/>
    <x v="4"/>
    <x v="0"/>
    <x v="279"/>
    <x v="846"/>
    <x v="64"/>
    <x v="515"/>
    <x v="212"/>
    <x v="543"/>
    <x v="5"/>
  </r>
  <r>
    <x v="0"/>
    <x v="156"/>
    <x v="156"/>
    <x v="0"/>
    <x v="0"/>
    <x v="0"/>
    <x v="0"/>
    <x v="279"/>
    <x v="846"/>
    <x v="58"/>
    <x v="553"/>
    <x v="163"/>
    <x v="552"/>
    <x v="5"/>
  </r>
  <r>
    <x v="0"/>
    <x v="156"/>
    <x v="156"/>
    <x v="1"/>
    <x v="1"/>
    <x v="1"/>
    <x v="2"/>
    <x v="263"/>
    <x v="129"/>
    <x v="70"/>
    <x v="845"/>
    <x v="160"/>
    <x v="86"/>
    <x v="5"/>
  </r>
  <r>
    <x v="0"/>
    <x v="156"/>
    <x v="156"/>
    <x v="3"/>
    <x v="3"/>
    <x v="3"/>
    <x v="3"/>
    <x v="280"/>
    <x v="59"/>
    <x v="51"/>
    <x v="512"/>
    <x v="189"/>
    <x v="544"/>
    <x v="5"/>
  </r>
  <r>
    <x v="0"/>
    <x v="156"/>
    <x v="156"/>
    <x v="6"/>
    <x v="6"/>
    <x v="6"/>
    <x v="4"/>
    <x v="269"/>
    <x v="686"/>
    <x v="82"/>
    <x v="94"/>
    <x v="163"/>
    <x v="552"/>
    <x v="5"/>
  </r>
  <r>
    <x v="0"/>
    <x v="156"/>
    <x v="156"/>
    <x v="2"/>
    <x v="2"/>
    <x v="2"/>
    <x v="4"/>
    <x v="269"/>
    <x v="686"/>
    <x v="65"/>
    <x v="846"/>
    <x v="209"/>
    <x v="355"/>
    <x v="5"/>
  </r>
  <r>
    <x v="0"/>
    <x v="156"/>
    <x v="156"/>
    <x v="5"/>
    <x v="5"/>
    <x v="5"/>
    <x v="6"/>
    <x v="247"/>
    <x v="576"/>
    <x v="51"/>
    <x v="512"/>
    <x v="209"/>
    <x v="355"/>
    <x v="5"/>
  </r>
  <r>
    <x v="0"/>
    <x v="156"/>
    <x v="156"/>
    <x v="8"/>
    <x v="8"/>
    <x v="8"/>
    <x v="6"/>
    <x v="247"/>
    <x v="576"/>
    <x v="48"/>
    <x v="4"/>
    <x v="189"/>
    <x v="544"/>
    <x v="5"/>
  </r>
  <r>
    <x v="0"/>
    <x v="156"/>
    <x v="156"/>
    <x v="12"/>
    <x v="12"/>
    <x v="12"/>
    <x v="6"/>
    <x v="247"/>
    <x v="576"/>
    <x v="65"/>
    <x v="846"/>
    <x v="163"/>
    <x v="552"/>
    <x v="5"/>
  </r>
  <r>
    <x v="0"/>
    <x v="156"/>
    <x v="156"/>
    <x v="9"/>
    <x v="9"/>
    <x v="9"/>
    <x v="9"/>
    <x v="249"/>
    <x v="847"/>
    <x v="52"/>
    <x v="847"/>
    <x v="211"/>
    <x v="274"/>
    <x v="5"/>
  </r>
  <r>
    <x v="0"/>
    <x v="156"/>
    <x v="156"/>
    <x v="7"/>
    <x v="7"/>
    <x v="7"/>
    <x v="9"/>
    <x v="249"/>
    <x v="847"/>
    <x v="65"/>
    <x v="846"/>
    <x v="211"/>
    <x v="274"/>
    <x v="5"/>
  </r>
  <r>
    <x v="0"/>
    <x v="156"/>
    <x v="156"/>
    <x v="18"/>
    <x v="18"/>
    <x v="18"/>
    <x v="11"/>
    <x v="250"/>
    <x v="651"/>
    <x v="77"/>
    <x v="83"/>
    <x v="132"/>
    <x v="351"/>
    <x v="5"/>
  </r>
  <r>
    <x v="0"/>
    <x v="156"/>
    <x v="156"/>
    <x v="11"/>
    <x v="11"/>
    <x v="11"/>
    <x v="11"/>
    <x v="250"/>
    <x v="651"/>
    <x v="52"/>
    <x v="847"/>
    <x v="160"/>
    <x v="86"/>
    <x v="5"/>
  </r>
  <r>
    <x v="0"/>
    <x v="156"/>
    <x v="156"/>
    <x v="17"/>
    <x v="17"/>
    <x v="17"/>
    <x v="13"/>
    <x v="251"/>
    <x v="463"/>
    <x v="77"/>
    <x v="83"/>
    <x v="209"/>
    <x v="355"/>
    <x v="5"/>
  </r>
  <r>
    <x v="0"/>
    <x v="156"/>
    <x v="156"/>
    <x v="42"/>
    <x v="42"/>
    <x v="42"/>
    <x v="14"/>
    <x v="252"/>
    <x v="71"/>
    <x v="77"/>
    <x v="83"/>
    <x v="163"/>
    <x v="552"/>
    <x v="5"/>
  </r>
  <r>
    <x v="0"/>
    <x v="156"/>
    <x v="156"/>
    <x v="30"/>
    <x v="30"/>
    <x v="30"/>
    <x v="14"/>
    <x v="252"/>
    <x v="71"/>
    <x v="64"/>
    <x v="515"/>
    <x v="211"/>
    <x v="274"/>
    <x v="5"/>
  </r>
  <r>
    <x v="0"/>
    <x v="156"/>
    <x v="156"/>
    <x v="34"/>
    <x v="34"/>
    <x v="34"/>
    <x v="14"/>
    <x v="252"/>
    <x v="71"/>
    <x v="77"/>
    <x v="83"/>
    <x v="160"/>
    <x v="86"/>
    <x v="5"/>
  </r>
  <r>
    <x v="0"/>
    <x v="156"/>
    <x v="156"/>
    <x v="27"/>
    <x v="27"/>
    <x v="27"/>
    <x v="14"/>
    <x v="252"/>
    <x v="71"/>
    <x v="48"/>
    <x v="4"/>
    <x v="160"/>
    <x v="86"/>
    <x v="5"/>
  </r>
  <r>
    <x v="0"/>
    <x v="156"/>
    <x v="156"/>
    <x v="29"/>
    <x v="29"/>
    <x v="29"/>
    <x v="14"/>
    <x v="252"/>
    <x v="71"/>
    <x v="48"/>
    <x v="4"/>
    <x v="160"/>
    <x v="86"/>
    <x v="5"/>
  </r>
  <r>
    <x v="0"/>
    <x v="156"/>
    <x v="156"/>
    <x v="21"/>
    <x v="21"/>
    <x v="21"/>
    <x v="14"/>
    <x v="252"/>
    <x v="71"/>
    <x v="77"/>
    <x v="83"/>
    <x v="163"/>
    <x v="552"/>
    <x v="5"/>
  </r>
  <r>
    <x v="0"/>
    <x v="157"/>
    <x v="157"/>
    <x v="0"/>
    <x v="0"/>
    <x v="0"/>
    <x v="0"/>
    <x v="194"/>
    <x v="848"/>
    <x v="106"/>
    <x v="848"/>
    <x v="190"/>
    <x v="280"/>
    <x v="5"/>
  </r>
  <r>
    <x v="0"/>
    <x v="157"/>
    <x v="157"/>
    <x v="1"/>
    <x v="1"/>
    <x v="1"/>
    <x v="1"/>
    <x v="133"/>
    <x v="849"/>
    <x v="84"/>
    <x v="849"/>
    <x v="209"/>
    <x v="412"/>
    <x v="5"/>
  </r>
  <r>
    <x v="0"/>
    <x v="157"/>
    <x v="157"/>
    <x v="3"/>
    <x v="3"/>
    <x v="3"/>
    <x v="2"/>
    <x v="161"/>
    <x v="170"/>
    <x v="58"/>
    <x v="850"/>
    <x v="127"/>
    <x v="692"/>
    <x v="5"/>
  </r>
  <r>
    <x v="0"/>
    <x v="157"/>
    <x v="157"/>
    <x v="6"/>
    <x v="6"/>
    <x v="6"/>
    <x v="3"/>
    <x v="174"/>
    <x v="850"/>
    <x v="66"/>
    <x v="851"/>
    <x v="189"/>
    <x v="668"/>
    <x v="5"/>
  </r>
  <r>
    <x v="0"/>
    <x v="157"/>
    <x v="157"/>
    <x v="2"/>
    <x v="2"/>
    <x v="2"/>
    <x v="4"/>
    <x v="163"/>
    <x v="851"/>
    <x v="58"/>
    <x v="850"/>
    <x v="213"/>
    <x v="693"/>
    <x v="5"/>
  </r>
  <r>
    <x v="0"/>
    <x v="157"/>
    <x v="157"/>
    <x v="4"/>
    <x v="4"/>
    <x v="4"/>
    <x v="5"/>
    <x v="164"/>
    <x v="333"/>
    <x v="64"/>
    <x v="349"/>
    <x v="150"/>
    <x v="694"/>
    <x v="5"/>
  </r>
  <r>
    <x v="0"/>
    <x v="157"/>
    <x v="157"/>
    <x v="14"/>
    <x v="14"/>
    <x v="14"/>
    <x v="6"/>
    <x v="260"/>
    <x v="324"/>
    <x v="77"/>
    <x v="83"/>
    <x v="134"/>
    <x v="695"/>
    <x v="5"/>
  </r>
  <r>
    <x v="0"/>
    <x v="157"/>
    <x v="157"/>
    <x v="34"/>
    <x v="34"/>
    <x v="34"/>
    <x v="7"/>
    <x v="279"/>
    <x v="852"/>
    <x v="64"/>
    <x v="349"/>
    <x v="197"/>
    <x v="350"/>
    <x v="5"/>
  </r>
  <r>
    <x v="0"/>
    <x v="157"/>
    <x v="157"/>
    <x v="5"/>
    <x v="5"/>
    <x v="5"/>
    <x v="8"/>
    <x v="246"/>
    <x v="853"/>
    <x v="50"/>
    <x v="330"/>
    <x v="210"/>
    <x v="405"/>
    <x v="5"/>
  </r>
  <r>
    <x v="0"/>
    <x v="157"/>
    <x v="157"/>
    <x v="28"/>
    <x v="28"/>
    <x v="28"/>
    <x v="8"/>
    <x v="246"/>
    <x v="853"/>
    <x v="51"/>
    <x v="299"/>
    <x v="197"/>
    <x v="350"/>
    <x v="5"/>
  </r>
  <r>
    <x v="0"/>
    <x v="157"/>
    <x v="157"/>
    <x v="11"/>
    <x v="11"/>
    <x v="11"/>
    <x v="8"/>
    <x v="246"/>
    <x v="853"/>
    <x v="53"/>
    <x v="74"/>
    <x v="189"/>
    <x v="668"/>
    <x v="5"/>
  </r>
  <r>
    <x v="0"/>
    <x v="157"/>
    <x v="157"/>
    <x v="7"/>
    <x v="7"/>
    <x v="7"/>
    <x v="11"/>
    <x v="264"/>
    <x v="178"/>
    <x v="96"/>
    <x v="375"/>
    <x v="163"/>
    <x v="696"/>
    <x v="5"/>
  </r>
  <r>
    <x v="0"/>
    <x v="157"/>
    <x v="157"/>
    <x v="13"/>
    <x v="13"/>
    <x v="13"/>
    <x v="12"/>
    <x v="280"/>
    <x v="257"/>
    <x v="65"/>
    <x v="637"/>
    <x v="210"/>
    <x v="405"/>
    <x v="5"/>
  </r>
  <r>
    <x v="0"/>
    <x v="157"/>
    <x v="157"/>
    <x v="12"/>
    <x v="12"/>
    <x v="12"/>
    <x v="12"/>
    <x v="280"/>
    <x v="257"/>
    <x v="82"/>
    <x v="229"/>
    <x v="209"/>
    <x v="412"/>
    <x v="5"/>
  </r>
  <r>
    <x v="0"/>
    <x v="157"/>
    <x v="157"/>
    <x v="8"/>
    <x v="8"/>
    <x v="8"/>
    <x v="14"/>
    <x v="268"/>
    <x v="12"/>
    <x v="52"/>
    <x v="852"/>
    <x v="189"/>
    <x v="668"/>
    <x v="5"/>
  </r>
  <r>
    <x v="0"/>
    <x v="157"/>
    <x v="157"/>
    <x v="10"/>
    <x v="10"/>
    <x v="10"/>
    <x v="14"/>
    <x v="268"/>
    <x v="12"/>
    <x v="53"/>
    <x v="74"/>
    <x v="163"/>
    <x v="696"/>
    <x v="5"/>
  </r>
  <r>
    <x v="0"/>
    <x v="157"/>
    <x v="157"/>
    <x v="9"/>
    <x v="9"/>
    <x v="9"/>
    <x v="14"/>
    <x v="268"/>
    <x v="12"/>
    <x v="65"/>
    <x v="637"/>
    <x v="209"/>
    <x v="412"/>
    <x v="5"/>
  </r>
  <r>
    <x v="0"/>
    <x v="157"/>
    <x v="157"/>
    <x v="26"/>
    <x v="26"/>
    <x v="26"/>
    <x v="17"/>
    <x v="247"/>
    <x v="138"/>
    <x v="52"/>
    <x v="852"/>
    <x v="132"/>
    <x v="300"/>
    <x v="5"/>
  </r>
  <r>
    <x v="0"/>
    <x v="157"/>
    <x v="157"/>
    <x v="19"/>
    <x v="19"/>
    <x v="19"/>
    <x v="17"/>
    <x v="247"/>
    <x v="138"/>
    <x v="48"/>
    <x v="366"/>
    <x v="210"/>
    <x v="405"/>
    <x v="5"/>
  </r>
  <r>
    <x v="0"/>
    <x v="157"/>
    <x v="157"/>
    <x v="24"/>
    <x v="24"/>
    <x v="24"/>
    <x v="19"/>
    <x v="248"/>
    <x v="99"/>
    <x v="48"/>
    <x v="366"/>
    <x v="210"/>
    <x v="405"/>
    <x v="5"/>
  </r>
  <r>
    <x v="0"/>
    <x v="158"/>
    <x v="158"/>
    <x v="0"/>
    <x v="0"/>
    <x v="0"/>
    <x v="0"/>
    <x v="261"/>
    <x v="854"/>
    <x v="31"/>
    <x v="853"/>
    <x v="160"/>
    <x v="253"/>
    <x v="5"/>
  </r>
  <r>
    <x v="0"/>
    <x v="158"/>
    <x v="158"/>
    <x v="3"/>
    <x v="3"/>
    <x v="3"/>
    <x v="1"/>
    <x v="267"/>
    <x v="855"/>
    <x v="65"/>
    <x v="854"/>
    <x v="215"/>
    <x v="530"/>
    <x v="5"/>
  </r>
  <r>
    <x v="0"/>
    <x v="158"/>
    <x v="158"/>
    <x v="2"/>
    <x v="2"/>
    <x v="2"/>
    <x v="2"/>
    <x v="279"/>
    <x v="556"/>
    <x v="96"/>
    <x v="741"/>
    <x v="132"/>
    <x v="383"/>
    <x v="5"/>
  </r>
  <r>
    <x v="0"/>
    <x v="158"/>
    <x v="158"/>
    <x v="1"/>
    <x v="1"/>
    <x v="1"/>
    <x v="3"/>
    <x v="246"/>
    <x v="856"/>
    <x v="78"/>
    <x v="740"/>
    <x v="209"/>
    <x v="446"/>
    <x v="5"/>
  </r>
  <r>
    <x v="0"/>
    <x v="158"/>
    <x v="158"/>
    <x v="28"/>
    <x v="28"/>
    <x v="28"/>
    <x v="4"/>
    <x v="247"/>
    <x v="699"/>
    <x v="77"/>
    <x v="83"/>
    <x v="190"/>
    <x v="553"/>
    <x v="5"/>
  </r>
  <r>
    <x v="0"/>
    <x v="158"/>
    <x v="158"/>
    <x v="5"/>
    <x v="5"/>
    <x v="5"/>
    <x v="5"/>
    <x v="248"/>
    <x v="857"/>
    <x v="52"/>
    <x v="743"/>
    <x v="209"/>
    <x v="446"/>
    <x v="5"/>
  </r>
  <r>
    <x v="0"/>
    <x v="158"/>
    <x v="158"/>
    <x v="6"/>
    <x v="6"/>
    <x v="6"/>
    <x v="5"/>
    <x v="248"/>
    <x v="857"/>
    <x v="52"/>
    <x v="743"/>
    <x v="209"/>
    <x v="446"/>
    <x v="5"/>
  </r>
  <r>
    <x v="0"/>
    <x v="158"/>
    <x v="158"/>
    <x v="4"/>
    <x v="4"/>
    <x v="4"/>
    <x v="7"/>
    <x v="249"/>
    <x v="858"/>
    <x v="64"/>
    <x v="428"/>
    <x v="209"/>
    <x v="446"/>
    <x v="5"/>
  </r>
  <r>
    <x v="0"/>
    <x v="158"/>
    <x v="158"/>
    <x v="13"/>
    <x v="13"/>
    <x v="13"/>
    <x v="7"/>
    <x v="249"/>
    <x v="858"/>
    <x v="52"/>
    <x v="743"/>
    <x v="163"/>
    <x v="33"/>
    <x v="5"/>
  </r>
  <r>
    <x v="0"/>
    <x v="158"/>
    <x v="158"/>
    <x v="11"/>
    <x v="11"/>
    <x v="11"/>
    <x v="7"/>
    <x v="249"/>
    <x v="858"/>
    <x v="64"/>
    <x v="428"/>
    <x v="209"/>
    <x v="446"/>
    <x v="5"/>
  </r>
  <r>
    <x v="0"/>
    <x v="158"/>
    <x v="158"/>
    <x v="9"/>
    <x v="9"/>
    <x v="9"/>
    <x v="7"/>
    <x v="249"/>
    <x v="858"/>
    <x v="64"/>
    <x v="428"/>
    <x v="211"/>
    <x v="274"/>
    <x v="5"/>
  </r>
  <r>
    <x v="0"/>
    <x v="158"/>
    <x v="158"/>
    <x v="7"/>
    <x v="7"/>
    <x v="7"/>
    <x v="11"/>
    <x v="250"/>
    <x v="108"/>
    <x v="52"/>
    <x v="743"/>
    <x v="160"/>
    <x v="253"/>
    <x v="5"/>
  </r>
  <r>
    <x v="0"/>
    <x v="158"/>
    <x v="158"/>
    <x v="30"/>
    <x v="30"/>
    <x v="30"/>
    <x v="12"/>
    <x v="251"/>
    <x v="782"/>
    <x v="48"/>
    <x v="855"/>
    <x v="163"/>
    <x v="33"/>
    <x v="5"/>
  </r>
  <r>
    <x v="0"/>
    <x v="158"/>
    <x v="158"/>
    <x v="27"/>
    <x v="27"/>
    <x v="27"/>
    <x v="12"/>
    <x v="251"/>
    <x v="782"/>
    <x v="48"/>
    <x v="855"/>
    <x v="163"/>
    <x v="33"/>
    <x v="5"/>
  </r>
  <r>
    <x v="0"/>
    <x v="158"/>
    <x v="158"/>
    <x v="8"/>
    <x v="8"/>
    <x v="8"/>
    <x v="14"/>
    <x v="252"/>
    <x v="859"/>
    <x v="77"/>
    <x v="83"/>
    <x v="163"/>
    <x v="33"/>
    <x v="5"/>
  </r>
  <r>
    <x v="0"/>
    <x v="158"/>
    <x v="158"/>
    <x v="18"/>
    <x v="18"/>
    <x v="18"/>
    <x v="14"/>
    <x v="252"/>
    <x v="859"/>
    <x v="77"/>
    <x v="83"/>
    <x v="163"/>
    <x v="33"/>
    <x v="5"/>
  </r>
  <r>
    <x v="0"/>
    <x v="158"/>
    <x v="158"/>
    <x v="17"/>
    <x v="17"/>
    <x v="17"/>
    <x v="14"/>
    <x v="252"/>
    <x v="859"/>
    <x v="48"/>
    <x v="855"/>
    <x v="160"/>
    <x v="253"/>
    <x v="5"/>
  </r>
  <r>
    <x v="0"/>
    <x v="158"/>
    <x v="158"/>
    <x v="23"/>
    <x v="23"/>
    <x v="23"/>
    <x v="14"/>
    <x v="252"/>
    <x v="859"/>
    <x v="48"/>
    <x v="855"/>
    <x v="160"/>
    <x v="253"/>
    <x v="5"/>
  </r>
  <r>
    <x v="0"/>
    <x v="158"/>
    <x v="158"/>
    <x v="12"/>
    <x v="12"/>
    <x v="12"/>
    <x v="14"/>
    <x v="252"/>
    <x v="859"/>
    <x v="77"/>
    <x v="83"/>
    <x v="163"/>
    <x v="33"/>
    <x v="5"/>
  </r>
  <r>
    <x v="0"/>
    <x v="158"/>
    <x v="158"/>
    <x v="14"/>
    <x v="14"/>
    <x v="14"/>
    <x v="14"/>
    <x v="252"/>
    <x v="859"/>
    <x v="77"/>
    <x v="83"/>
    <x v="211"/>
    <x v="274"/>
    <x v="5"/>
  </r>
  <r>
    <x v="0"/>
    <x v="158"/>
    <x v="158"/>
    <x v="36"/>
    <x v="36"/>
    <x v="36"/>
    <x v="14"/>
    <x v="252"/>
    <x v="859"/>
    <x v="77"/>
    <x v="83"/>
    <x v="160"/>
    <x v="253"/>
    <x v="5"/>
  </r>
  <r>
    <x v="0"/>
    <x v="159"/>
    <x v="159"/>
    <x v="0"/>
    <x v="0"/>
    <x v="0"/>
    <x v="0"/>
    <x v="260"/>
    <x v="860"/>
    <x v="76"/>
    <x v="802"/>
    <x v="163"/>
    <x v="171"/>
    <x v="5"/>
  </r>
  <r>
    <x v="0"/>
    <x v="159"/>
    <x v="159"/>
    <x v="1"/>
    <x v="1"/>
    <x v="1"/>
    <x v="1"/>
    <x v="261"/>
    <x v="861"/>
    <x v="31"/>
    <x v="856"/>
    <x v="211"/>
    <x v="274"/>
    <x v="5"/>
  </r>
  <r>
    <x v="0"/>
    <x v="159"/>
    <x v="159"/>
    <x v="3"/>
    <x v="3"/>
    <x v="3"/>
    <x v="2"/>
    <x v="246"/>
    <x v="353"/>
    <x v="82"/>
    <x v="803"/>
    <x v="190"/>
    <x v="697"/>
    <x v="5"/>
  </r>
  <r>
    <x v="0"/>
    <x v="159"/>
    <x v="159"/>
    <x v="4"/>
    <x v="4"/>
    <x v="4"/>
    <x v="3"/>
    <x v="264"/>
    <x v="862"/>
    <x v="48"/>
    <x v="179"/>
    <x v="215"/>
    <x v="698"/>
    <x v="5"/>
  </r>
  <r>
    <x v="0"/>
    <x v="159"/>
    <x v="159"/>
    <x v="6"/>
    <x v="6"/>
    <x v="6"/>
    <x v="3"/>
    <x v="264"/>
    <x v="862"/>
    <x v="78"/>
    <x v="804"/>
    <x v="211"/>
    <x v="274"/>
    <x v="4"/>
  </r>
  <r>
    <x v="0"/>
    <x v="159"/>
    <x v="159"/>
    <x v="5"/>
    <x v="5"/>
    <x v="5"/>
    <x v="5"/>
    <x v="280"/>
    <x v="863"/>
    <x v="53"/>
    <x v="857"/>
    <x v="209"/>
    <x v="699"/>
    <x v="5"/>
  </r>
  <r>
    <x v="0"/>
    <x v="159"/>
    <x v="159"/>
    <x v="30"/>
    <x v="30"/>
    <x v="30"/>
    <x v="6"/>
    <x v="268"/>
    <x v="864"/>
    <x v="96"/>
    <x v="858"/>
    <x v="211"/>
    <x v="274"/>
    <x v="5"/>
  </r>
  <r>
    <x v="0"/>
    <x v="159"/>
    <x v="159"/>
    <x v="28"/>
    <x v="28"/>
    <x v="28"/>
    <x v="7"/>
    <x v="247"/>
    <x v="104"/>
    <x v="48"/>
    <x v="179"/>
    <x v="189"/>
    <x v="700"/>
    <x v="5"/>
  </r>
  <r>
    <x v="0"/>
    <x v="159"/>
    <x v="159"/>
    <x v="14"/>
    <x v="14"/>
    <x v="14"/>
    <x v="7"/>
    <x v="247"/>
    <x v="104"/>
    <x v="77"/>
    <x v="83"/>
    <x v="163"/>
    <x v="171"/>
    <x v="5"/>
  </r>
  <r>
    <x v="0"/>
    <x v="159"/>
    <x v="159"/>
    <x v="18"/>
    <x v="18"/>
    <x v="18"/>
    <x v="9"/>
    <x v="249"/>
    <x v="256"/>
    <x v="77"/>
    <x v="83"/>
    <x v="210"/>
    <x v="701"/>
    <x v="5"/>
  </r>
  <r>
    <x v="0"/>
    <x v="159"/>
    <x v="159"/>
    <x v="27"/>
    <x v="27"/>
    <x v="27"/>
    <x v="9"/>
    <x v="249"/>
    <x v="256"/>
    <x v="51"/>
    <x v="181"/>
    <x v="160"/>
    <x v="702"/>
    <x v="5"/>
  </r>
  <r>
    <x v="0"/>
    <x v="159"/>
    <x v="159"/>
    <x v="11"/>
    <x v="11"/>
    <x v="11"/>
    <x v="11"/>
    <x v="250"/>
    <x v="67"/>
    <x v="52"/>
    <x v="859"/>
    <x v="160"/>
    <x v="702"/>
    <x v="5"/>
  </r>
  <r>
    <x v="0"/>
    <x v="159"/>
    <x v="159"/>
    <x v="9"/>
    <x v="9"/>
    <x v="9"/>
    <x v="11"/>
    <x v="250"/>
    <x v="67"/>
    <x v="64"/>
    <x v="806"/>
    <x v="211"/>
    <x v="274"/>
    <x v="5"/>
  </r>
  <r>
    <x v="0"/>
    <x v="159"/>
    <x v="159"/>
    <x v="7"/>
    <x v="7"/>
    <x v="7"/>
    <x v="11"/>
    <x v="250"/>
    <x v="67"/>
    <x v="51"/>
    <x v="181"/>
    <x v="211"/>
    <x v="274"/>
    <x v="5"/>
  </r>
  <r>
    <x v="0"/>
    <x v="159"/>
    <x v="159"/>
    <x v="8"/>
    <x v="8"/>
    <x v="8"/>
    <x v="14"/>
    <x v="251"/>
    <x v="287"/>
    <x v="48"/>
    <x v="179"/>
    <x v="163"/>
    <x v="171"/>
    <x v="5"/>
  </r>
  <r>
    <x v="0"/>
    <x v="159"/>
    <x v="159"/>
    <x v="16"/>
    <x v="16"/>
    <x v="16"/>
    <x v="14"/>
    <x v="251"/>
    <x v="287"/>
    <x v="77"/>
    <x v="83"/>
    <x v="209"/>
    <x v="699"/>
    <x v="5"/>
  </r>
  <r>
    <x v="0"/>
    <x v="159"/>
    <x v="159"/>
    <x v="17"/>
    <x v="17"/>
    <x v="17"/>
    <x v="16"/>
    <x v="252"/>
    <x v="126"/>
    <x v="48"/>
    <x v="179"/>
    <x v="160"/>
    <x v="702"/>
    <x v="5"/>
  </r>
  <r>
    <x v="0"/>
    <x v="159"/>
    <x v="159"/>
    <x v="12"/>
    <x v="12"/>
    <x v="12"/>
    <x v="16"/>
    <x v="252"/>
    <x v="126"/>
    <x v="48"/>
    <x v="179"/>
    <x v="211"/>
    <x v="274"/>
    <x v="5"/>
  </r>
  <r>
    <x v="0"/>
    <x v="159"/>
    <x v="159"/>
    <x v="19"/>
    <x v="19"/>
    <x v="19"/>
    <x v="16"/>
    <x v="252"/>
    <x v="126"/>
    <x v="77"/>
    <x v="83"/>
    <x v="163"/>
    <x v="171"/>
    <x v="5"/>
  </r>
  <r>
    <x v="0"/>
    <x v="159"/>
    <x v="159"/>
    <x v="34"/>
    <x v="34"/>
    <x v="34"/>
    <x v="16"/>
    <x v="252"/>
    <x v="126"/>
    <x v="77"/>
    <x v="83"/>
    <x v="211"/>
    <x v="274"/>
    <x v="5"/>
  </r>
  <r>
    <x v="0"/>
    <x v="159"/>
    <x v="159"/>
    <x v="36"/>
    <x v="36"/>
    <x v="36"/>
    <x v="16"/>
    <x v="252"/>
    <x v="126"/>
    <x v="77"/>
    <x v="83"/>
    <x v="211"/>
    <x v="274"/>
    <x v="5"/>
  </r>
  <r>
    <x v="0"/>
    <x v="160"/>
    <x v="160"/>
    <x v="0"/>
    <x v="0"/>
    <x v="0"/>
    <x v="0"/>
    <x v="189"/>
    <x v="865"/>
    <x v="189"/>
    <x v="860"/>
    <x v="214"/>
    <x v="363"/>
    <x v="5"/>
  </r>
  <r>
    <x v="0"/>
    <x v="160"/>
    <x v="160"/>
    <x v="1"/>
    <x v="1"/>
    <x v="1"/>
    <x v="1"/>
    <x v="237"/>
    <x v="866"/>
    <x v="185"/>
    <x v="861"/>
    <x v="206"/>
    <x v="362"/>
    <x v="5"/>
  </r>
  <r>
    <x v="0"/>
    <x v="160"/>
    <x v="160"/>
    <x v="2"/>
    <x v="2"/>
    <x v="2"/>
    <x v="2"/>
    <x v="123"/>
    <x v="784"/>
    <x v="63"/>
    <x v="590"/>
    <x v="128"/>
    <x v="703"/>
    <x v="5"/>
  </r>
  <r>
    <x v="0"/>
    <x v="160"/>
    <x v="160"/>
    <x v="3"/>
    <x v="3"/>
    <x v="3"/>
    <x v="3"/>
    <x v="216"/>
    <x v="867"/>
    <x v="117"/>
    <x v="291"/>
    <x v="122"/>
    <x v="704"/>
    <x v="5"/>
  </r>
  <r>
    <x v="0"/>
    <x v="160"/>
    <x v="160"/>
    <x v="4"/>
    <x v="4"/>
    <x v="4"/>
    <x v="4"/>
    <x v="159"/>
    <x v="368"/>
    <x v="51"/>
    <x v="340"/>
    <x v="139"/>
    <x v="705"/>
    <x v="5"/>
  </r>
  <r>
    <x v="0"/>
    <x v="160"/>
    <x v="160"/>
    <x v="6"/>
    <x v="6"/>
    <x v="6"/>
    <x v="5"/>
    <x v="244"/>
    <x v="868"/>
    <x v="69"/>
    <x v="418"/>
    <x v="157"/>
    <x v="193"/>
    <x v="5"/>
  </r>
  <r>
    <x v="0"/>
    <x v="160"/>
    <x v="160"/>
    <x v="5"/>
    <x v="5"/>
    <x v="5"/>
    <x v="6"/>
    <x v="266"/>
    <x v="869"/>
    <x v="69"/>
    <x v="418"/>
    <x v="214"/>
    <x v="363"/>
    <x v="5"/>
  </r>
  <r>
    <x v="0"/>
    <x v="160"/>
    <x v="160"/>
    <x v="14"/>
    <x v="14"/>
    <x v="14"/>
    <x v="7"/>
    <x v="175"/>
    <x v="562"/>
    <x v="77"/>
    <x v="83"/>
    <x v="128"/>
    <x v="703"/>
    <x v="5"/>
  </r>
  <r>
    <x v="0"/>
    <x v="160"/>
    <x v="160"/>
    <x v="11"/>
    <x v="11"/>
    <x v="11"/>
    <x v="8"/>
    <x v="164"/>
    <x v="751"/>
    <x v="96"/>
    <x v="469"/>
    <x v="214"/>
    <x v="363"/>
    <x v="5"/>
  </r>
  <r>
    <x v="0"/>
    <x v="160"/>
    <x v="160"/>
    <x v="13"/>
    <x v="13"/>
    <x v="13"/>
    <x v="9"/>
    <x v="259"/>
    <x v="472"/>
    <x v="96"/>
    <x v="469"/>
    <x v="197"/>
    <x v="276"/>
    <x v="5"/>
  </r>
  <r>
    <x v="0"/>
    <x v="160"/>
    <x v="160"/>
    <x v="9"/>
    <x v="9"/>
    <x v="9"/>
    <x v="9"/>
    <x v="259"/>
    <x v="472"/>
    <x v="38"/>
    <x v="476"/>
    <x v="209"/>
    <x v="666"/>
    <x v="5"/>
  </r>
  <r>
    <x v="0"/>
    <x v="160"/>
    <x v="160"/>
    <x v="10"/>
    <x v="10"/>
    <x v="10"/>
    <x v="11"/>
    <x v="261"/>
    <x v="191"/>
    <x v="58"/>
    <x v="862"/>
    <x v="210"/>
    <x v="29"/>
    <x v="5"/>
  </r>
  <r>
    <x v="0"/>
    <x v="160"/>
    <x v="160"/>
    <x v="7"/>
    <x v="7"/>
    <x v="7"/>
    <x v="12"/>
    <x v="262"/>
    <x v="165"/>
    <x v="31"/>
    <x v="863"/>
    <x v="211"/>
    <x v="274"/>
    <x v="5"/>
  </r>
  <r>
    <x v="0"/>
    <x v="160"/>
    <x v="160"/>
    <x v="28"/>
    <x v="28"/>
    <x v="28"/>
    <x v="13"/>
    <x v="267"/>
    <x v="136"/>
    <x v="82"/>
    <x v="13"/>
    <x v="197"/>
    <x v="276"/>
    <x v="5"/>
  </r>
  <r>
    <x v="0"/>
    <x v="160"/>
    <x v="160"/>
    <x v="12"/>
    <x v="12"/>
    <x v="12"/>
    <x v="14"/>
    <x v="263"/>
    <x v="35"/>
    <x v="53"/>
    <x v="494"/>
    <x v="209"/>
    <x v="666"/>
    <x v="4"/>
  </r>
  <r>
    <x v="0"/>
    <x v="160"/>
    <x v="160"/>
    <x v="18"/>
    <x v="18"/>
    <x v="18"/>
    <x v="15"/>
    <x v="264"/>
    <x v="242"/>
    <x v="52"/>
    <x v="198"/>
    <x v="206"/>
    <x v="362"/>
    <x v="5"/>
  </r>
  <r>
    <x v="0"/>
    <x v="160"/>
    <x v="160"/>
    <x v="8"/>
    <x v="8"/>
    <x v="8"/>
    <x v="16"/>
    <x v="269"/>
    <x v="348"/>
    <x v="65"/>
    <x v="490"/>
    <x v="209"/>
    <x v="666"/>
    <x v="5"/>
  </r>
  <r>
    <x v="0"/>
    <x v="160"/>
    <x v="160"/>
    <x v="27"/>
    <x v="27"/>
    <x v="27"/>
    <x v="16"/>
    <x v="269"/>
    <x v="348"/>
    <x v="51"/>
    <x v="340"/>
    <x v="132"/>
    <x v="368"/>
    <x v="5"/>
  </r>
  <r>
    <x v="0"/>
    <x v="160"/>
    <x v="160"/>
    <x v="19"/>
    <x v="19"/>
    <x v="19"/>
    <x v="18"/>
    <x v="247"/>
    <x v="816"/>
    <x v="52"/>
    <x v="198"/>
    <x v="132"/>
    <x v="368"/>
    <x v="5"/>
  </r>
  <r>
    <x v="0"/>
    <x v="160"/>
    <x v="160"/>
    <x v="17"/>
    <x v="17"/>
    <x v="17"/>
    <x v="19"/>
    <x v="248"/>
    <x v="870"/>
    <x v="64"/>
    <x v="341"/>
    <x v="132"/>
    <x v="368"/>
    <x v="5"/>
  </r>
  <r>
    <x v="0"/>
    <x v="160"/>
    <x v="160"/>
    <x v="30"/>
    <x v="30"/>
    <x v="30"/>
    <x v="19"/>
    <x v="248"/>
    <x v="870"/>
    <x v="52"/>
    <x v="198"/>
    <x v="209"/>
    <x v="666"/>
    <x v="5"/>
  </r>
  <r>
    <x v="0"/>
    <x v="160"/>
    <x v="160"/>
    <x v="34"/>
    <x v="34"/>
    <x v="34"/>
    <x v="19"/>
    <x v="248"/>
    <x v="870"/>
    <x v="77"/>
    <x v="83"/>
    <x v="210"/>
    <x v="29"/>
    <x v="5"/>
  </r>
  <r>
    <x v="0"/>
    <x v="160"/>
    <x v="160"/>
    <x v="21"/>
    <x v="21"/>
    <x v="21"/>
    <x v="19"/>
    <x v="248"/>
    <x v="870"/>
    <x v="77"/>
    <x v="83"/>
    <x v="189"/>
    <x v="370"/>
    <x v="5"/>
  </r>
  <r>
    <x v="0"/>
    <x v="161"/>
    <x v="161"/>
    <x v="1"/>
    <x v="1"/>
    <x v="1"/>
    <x v="0"/>
    <x v="226"/>
    <x v="871"/>
    <x v="190"/>
    <x v="864"/>
    <x v="213"/>
    <x v="335"/>
    <x v="5"/>
  </r>
  <r>
    <x v="0"/>
    <x v="161"/>
    <x v="161"/>
    <x v="4"/>
    <x v="4"/>
    <x v="4"/>
    <x v="1"/>
    <x v="278"/>
    <x v="726"/>
    <x v="78"/>
    <x v="149"/>
    <x v="82"/>
    <x v="706"/>
    <x v="5"/>
  </r>
  <r>
    <x v="0"/>
    <x v="161"/>
    <x v="161"/>
    <x v="2"/>
    <x v="2"/>
    <x v="2"/>
    <x v="2"/>
    <x v="216"/>
    <x v="522"/>
    <x v="131"/>
    <x v="865"/>
    <x v="208"/>
    <x v="355"/>
    <x v="5"/>
  </r>
  <r>
    <x v="0"/>
    <x v="161"/>
    <x v="161"/>
    <x v="5"/>
    <x v="5"/>
    <x v="5"/>
    <x v="3"/>
    <x v="158"/>
    <x v="398"/>
    <x v="74"/>
    <x v="866"/>
    <x v="145"/>
    <x v="323"/>
    <x v="5"/>
  </r>
  <r>
    <x v="0"/>
    <x v="161"/>
    <x v="161"/>
    <x v="0"/>
    <x v="0"/>
    <x v="0"/>
    <x v="3"/>
    <x v="158"/>
    <x v="398"/>
    <x v="148"/>
    <x v="346"/>
    <x v="190"/>
    <x v="483"/>
    <x v="5"/>
  </r>
  <r>
    <x v="0"/>
    <x v="161"/>
    <x v="161"/>
    <x v="3"/>
    <x v="3"/>
    <x v="3"/>
    <x v="5"/>
    <x v="168"/>
    <x v="872"/>
    <x v="31"/>
    <x v="867"/>
    <x v="122"/>
    <x v="544"/>
    <x v="5"/>
  </r>
  <r>
    <x v="0"/>
    <x v="161"/>
    <x v="161"/>
    <x v="9"/>
    <x v="9"/>
    <x v="9"/>
    <x v="6"/>
    <x v="136"/>
    <x v="660"/>
    <x v="66"/>
    <x v="868"/>
    <x v="206"/>
    <x v="463"/>
    <x v="5"/>
  </r>
  <r>
    <x v="0"/>
    <x v="161"/>
    <x v="161"/>
    <x v="8"/>
    <x v="8"/>
    <x v="8"/>
    <x v="7"/>
    <x v="161"/>
    <x v="105"/>
    <x v="53"/>
    <x v="95"/>
    <x v="164"/>
    <x v="457"/>
    <x v="5"/>
  </r>
  <r>
    <x v="0"/>
    <x v="161"/>
    <x v="161"/>
    <x v="7"/>
    <x v="7"/>
    <x v="7"/>
    <x v="7"/>
    <x v="161"/>
    <x v="105"/>
    <x v="97"/>
    <x v="869"/>
    <x v="160"/>
    <x v="707"/>
    <x v="5"/>
  </r>
  <r>
    <x v="0"/>
    <x v="161"/>
    <x v="161"/>
    <x v="12"/>
    <x v="12"/>
    <x v="12"/>
    <x v="9"/>
    <x v="164"/>
    <x v="401"/>
    <x v="50"/>
    <x v="493"/>
    <x v="157"/>
    <x v="415"/>
    <x v="5"/>
  </r>
  <r>
    <x v="0"/>
    <x v="161"/>
    <x v="161"/>
    <x v="6"/>
    <x v="6"/>
    <x v="6"/>
    <x v="10"/>
    <x v="245"/>
    <x v="825"/>
    <x v="70"/>
    <x v="116"/>
    <x v="197"/>
    <x v="85"/>
    <x v="5"/>
  </r>
  <r>
    <x v="0"/>
    <x v="161"/>
    <x v="161"/>
    <x v="13"/>
    <x v="13"/>
    <x v="13"/>
    <x v="11"/>
    <x v="262"/>
    <x v="363"/>
    <x v="65"/>
    <x v="161"/>
    <x v="213"/>
    <x v="335"/>
    <x v="5"/>
  </r>
  <r>
    <x v="0"/>
    <x v="161"/>
    <x v="161"/>
    <x v="11"/>
    <x v="11"/>
    <x v="11"/>
    <x v="11"/>
    <x v="262"/>
    <x v="363"/>
    <x v="50"/>
    <x v="493"/>
    <x v="206"/>
    <x v="463"/>
    <x v="5"/>
  </r>
  <r>
    <x v="0"/>
    <x v="161"/>
    <x v="161"/>
    <x v="27"/>
    <x v="27"/>
    <x v="27"/>
    <x v="13"/>
    <x v="263"/>
    <x v="123"/>
    <x v="82"/>
    <x v="663"/>
    <x v="189"/>
    <x v="108"/>
    <x v="5"/>
  </r>
  <r>
    <x v="0"/>
    <x v="161"/>
    <x v="161"/>
    <x v="14"/>
    <x v="14"/>
    <x v="14"/>
    <x v="14"/>
    <x v="264"/>
    <x v="413"/>
    <x v="77"/>
    <x v="83"/>
    <x v="215"/>
    <x v="417"/>
    <x v="5"/>
  </r>
  <r>
    <x v="0"/>
    <x v="161"/>
    <x v="161"/>
    <x v="29"/>
    <x v="29"/>
    <x v="29"/>
    <x v="14"/>
    <x v="264"/>
    <x v="413"/>
    <x v="65"/>
    <x v="161"/>
    <x v="189"/>
    <x v="108"/>
    <x v="5"/>
  </r>
  <r>
    <x v="0"/>
    <x v="161"/>
    <x v="161"/>
    <x v="17"/>
    <x v="17"/>
    <x v="17"/>
    <x v="16"/>
    <x v="280"/>
    <x v="99"/>
    <x v="51"/>
    <x v="105"/>
    <x v="189"/>
    <x v="108"/>
    <x v="5"/>
  </r>
  <r>
    <x v="0"/>
    <x v="161"/>
    <x v="161"/>
    <x v="16"/>
    <x v="16"/>
    <x v="16"/>
    <x v="16"/>
    <x v="280"/>
    <x v="99"/>
    <x v="52"/>
    <x v="198"/>
    <x v="190"/>
    <x v="483"/>
    <x v="5"/>
  </r>
  <r>
    <x v="0"/>
    <x v="161"/>
    <x v="161"/>
    <x v="23"/>
    <x v="23"/>
    <x v="23"/>
    <x v="18"/>
    <x v="269"/>
    <x v="210"/>
    <x v="77"/>
    <x v="83"/>
    <x v="206"/>
    <x v="463"/>
    <x v="5"/>
  </r>
  <r>
    <x v="0"/>
    <x v="161"/>
    <x v="161"/>
    <x v="10"/>
    <x v="10"/>
    <x v="10"/>
    <x v="18"/>
    <x v="269"/>
    <x v="210"/>
    <x v="82"/>
    <x v="663"/>
    <x v="163"/>
    <x v="708"/>
    <x v="5"/>
  </r>
  <r>
    <x v="0"/>
    <x v="162"/>
    <x v="162"/>
    <x v="0"/>
    <x v="0"/>
    <x v="0"/>
    <x v="0"/>
    <x v="261"/>
    <x v="873"/>
    <x v="34"/>
    <x v="870"/>
    <x v="211"/>
    <x v="274"/>
    <x v="5"/>
  </r>
  <r>
    <x v="0"/>
    <x v="162"/>
    <x v="162"/>
    <x v="4"/>
    <x v="4"/>
    <x v="4"/>
    <x v="1"/>
    <x v="267"/>
    <x v="339"/>
    <x v="82"/>
    <x v="111"/>
    <x v="197"/>
    <x v="709"/>
    <x v="5"/>
  </r>
  <r>
    <x v="0"/>
    <x v="162"/>
    <x v="162"/>
    <x v="1"/>
    <x v="1"/>
    <x v="1"/>
    <x v="2"/>
    <x v="246"/>
    <x v="534"/>
    <x v="38"/>
    <x v="370"/>
    <x v="211"/>
    <x v="274"/>
    <x v="5"/>
  </r>
  <r>
    <x v="0"/>
    <x v="162"/>
    <x v="162"/>
    <x v="3"/>
    <x v="3"/>
    <x v="3"/>
    <x v="3"/>
    <x v="263"/>
    <x v="674"/>
    <x v="48"/>
    <x v="243"/>
    <x v="213"/>
    <x v="710"/>
    <x v="5"/>
  </r>
  <r>
    <x v="0"/>
    <x v="162"/>
    <x v="162"/>
    <x v="2"/>
    <x v="2"/>
    <x v="2"/>
    <x v="4"/>
    <x v="280"/>
    <x v="730"/>
    <x v="96"/>
    <x v="325"/>
    <x v="160"/>
    <x v="108"/>
    <x v="5"/>
  </r>
  <r>
    <x v="0"/>
    <x v="162"/>
    <x v="162"/>
    <x v="5"/>
    <x v="5"/>
    <x v="5"/>
    <x v="5"/>
    <x v="269"/>
    <x v="301"/>
    <x v="53"/>
    <x v="772"/>
    <x v="160"/>
    <x v="108"/>
    <x v="5"/>
  </r>
  <r>
    <x v="0"/>
    <x v="162"/>
    <x v="162"/>
    <x v="8"/>
    <x v="8"/>
    <x v="8"/>
    <x v="6"/>
    <x v="248"/>
    <x v="175"/>
    <x v="48"/>
    <x v="243"/>
    <x v="210"/>
    <x v="435"/>
    <x v="5"/>
  </r>
  <r>
    <x v="0"/>
    <x v="162"/>
    <x v="162"/>
    <x v="6"/>
    <x v="6"/>
    <x v="6"/>
    <x v="7"/>
    <x v="249"/>
    <x v="446"/>
    <x v="48"/>
    <x v="243"/>
    <x v="132"/>
    <x v="457"/>
    <x v="5"/>
  </r>
  <r>
    <x v="0"/>
    <x v="162"/>
    <x v="162"/>
    <x v="11"/>
    <x v="11"/>
    <x v="11"/>
    <x v="7"/>
    <x v="249"/>
    <x v="446"/>
    <x v="48"/>
    <x v="243"/>
    <x v="132"/>
    <x v="457"/>
    <x v="5"/>
  </r>
  <r>
    <x v="0"/>
    <x v="162"/>
    <x v="162"/>
    <x v="40"/>
    <x v="40"/>
    <x v="40"/>
    <x v="9"/>
    <x v="251"/>
    <x v="68"/>
    <x v="77"/>
    <x v="83"/>
    <x v="209"/>
    <x v="527"/>
    <x v="5"/>
  </r>
  <r>
    <x v="0"/>
    <x v="162"/>
    <x v="162"/>
    <x v="23"/>
    <x v="23"/>
    <x v="23"/>
    <x v="9"/>
    <x v="251"/>
    <x v="68"/>
    <x v="48"/>
    <x v="243"/>
    <x v="163"/>
    <x v="461"/>
    <x v="5"/>
  </r>
  <r>
    <x v="0"/>
    <x v="162"/>
    <x v="162"/>
    <x v="10"/>
    <x v="10"/>
    <x v="10"/>
    <x v="9"/>
    <x v="251"/>
    <x v="68"/>
    <x v="52"/>
    <x v="298"/>
    <x v="211"/>
    <x v="274"/>
    <x v="5"/>
  </r>
  <r>
    <x v="0"/>
    <x v="162"/>
    <x v="162"/>
    <x v="29"/>
    <x v="29"/>
    <x v="29"/>
    <x v="9"/>
    <x v="251"/>
    <x v="68"/>
    <x v="48"/>
    <x v="243"/>
    <x v="163"/>
    <x v="461"/>
    <x v="5"/>
  </r>
  <r>
    <x v="0"/>
    <x v="162"/>
    <x v="162"/>
    <x v="28"/>
    <x v="28"/>
    <x v="28"/>
    <x v="13"/>
    <x v="252"/>
    <x v="221"/>
    <x v="64"/>
    <x v="471"/>
    <x v="211"/>
    <x v="274"/>
    <x v="5"/>
  </r>
  <r>
    <x v="0"/>
    <x v="162"/>
    <x v="162"/>
    <x v="18"/>
    <x v="18"/>
    <x v="18"/>
    <x v="13"/>
    <x v="252"/>
    <x v="221"/>
    <x v="77"/>
    <x v="83"/>
    <x v="163"/>
    <x v="461"/>
    <x v="5"/>
  </r>
  <r>
    <x v="0"/>
    <x v="162"/>
    <x v="162"/>
    <x v="15"/>
    <x v="15"/>
    <x v="15"/>
    <x v="13"/>
    <x v="252"/>
    <x v="221"/>
    <x v="77"/>
    <x v="83"/>
    <x v="163"/>
    <x v="461"/>
    <x v="5"/>
  </r>
  <r>
    <x v="0"/>
    <x v="162"/>
    <x v="162"/>
    <x v="12"/>
    <x v="12"/>
    <x v="12"/>
    <x v="13"/>
    <x v="252"/>
    <x v="221"/>
    <x v="77"/>
    <x v="83"/>
    <x v="163"/>
    <x v="461"/>
    <x v="5"/>
  </r>
  <r>
    <x v="0"/>
    <x v="162"/>
    <x v="162"/>
    <x v="26"/>
    <x v="26"/>
    <x v="26"/>
    <x v="13"/>
    <x v="252"/>
    <x v="221"/>
    <x v="77"/>
    <x v="83"/>
    <x v="160"/>
    <x v="108"/>
    <x v="5"/>
  </r>
  <r>
    <x v="0"/>
    <x v="162"/>
    <x v="162"/>
    <x v="7"/>
    <x v="7"/>
    <x v="7"/>
    <x v="13"/>
    <x v="252"/>
    <x v="221"/>
    <x v="64"/>
    <x v="471"/>
    <x v="211"/>
    <x v="274"/>
    <x v="5"/>
  </r>
  <r>
    <x v="0"/>
    <x v="162"/>
    <x v="162"/>
    <x v="49"/>
    <x v="49"/>
    <x v="49"/>
    <x v="19"/>
    <x v="287"/>
    <x v="874"/>
    <x v="77"/>
    <x v="83"/>
    <x v="160"/>
    <x v="108"/>
    <x v="5"/>
  </r>
  <r>
    <x v="0"/>
    <x v="162"/>
    <x v="162"/>
    <x v="32"/>
    <x v="32"/>
    <x v="32"/>
    <x v="19"/>
    <x v="287"/>
    <x v="874"/>
    <x v="77"/>
    <x v="83"/>
    <x v="160"/>
    <x v="108"/>
    <x v="5"/>
  </r>
  <r>
    <x v="0"/>
    <x v="162"/>
    <x v="162"/>
    <x v="45"/>
    <x v="45"/>
    <x v="45"/>
    <x v="19"/>
    <x v="287"/>
    <x v="874"/>
    <x v="48"/>
    <x v="243"/>
    <x v="211"/>
    <x v="274"/>
    <x v="5"/>
  </r>
  <r>
    <x v="0"/>
    <x v="162"/>
    <x v="162"/>
    <x v="52"/>
    <x v="52"/>
    <x v="52"/>
    <x v="19"/>
    <x v="287"/>
    <x v="874"/>
    <x v="77"/>
    <x v="83"/>
    <x v="160"/>
    <x v="108"/>
    <x v="5"/>
  </r>
  <r>
    <x v="0"/>
    <x v="162"/>
    <x v="162"/>
    <x v="25"/>
    <x v="25"/>
    <x v="25"/>
    <x v="19"/>
    <x v="287"/>
    <x v="874"/>
    <x v="77"/>
    <x v="83"/>
    <x v="211"/>
    <x v="274"/>
    <x v="5"/>
  </r>
  <r>
    <x v="0"/>
    <x v="162"/>
    <x v="162"/>
    <x v="35"/>
    <x v="35"/>
    <x v="35"/>
    <x v="19"/>
    <x v="287"/>
    <x v="874"/>
    <x v="48"/>
    <x v="243"/>
    <x v="211"/>
    <x v="274"/>
    <x v="5"/>
  </r>
  <r>
    <x v="0"/>
    <x v="162"/>
    <x v="162"/>
    <x v="16"/>
    <x v="16"/>
    <x v="16"/>
    <x v="19"/>
    <x v="287"/>
    <x v="874"/>
    <x v="77"/>
    <x v="83"/>
    <x v="160"/>
    <x v="108"/>
    <x v="5"/>
  </r>
  <r>
    <x v="0"/>
    <x v="162"/>
    <x v="162"/>
    <x v="13"/>
    <x v="13"/>
    <x v="13"/>
    <x v="19"/>
    <x v="287"/>
    <x v="874"/>
    <x v="48"/>
    <x v="243"/>
    <x v="211"/>
    <x v="274"/>
    <x v="5"/>
  </r>
  <r>
    <x v="0"/>
    <x v="162"/>
    <x v="162"/>
    <x v="24"/>
    <x v="24"/>
    <x v="24"/>
    <x v="19"/>
    <x v="287"/>
    <x v="874"/>
    <x v="77"/>
    <x v="83"/>
    <x v="160"/>
    <x v="108"/>
    <x v="5"/>
  </r>
  <r>
    <x v="0"/>
    <x v="162"/>
    <x v="162"/>
    <x v="31"/>
    <x v="31"/>
    <x v="31"/>
    <x v="19"/>
    <x v="287"/>
    <x v="874"/>
    <x v="48"/>
    <x v="243"/>
    <x v="211"/>
    <x v="274"/>
    <x v="5"/>
  </r>
  <r>
    <x v="0"/>
    <x v="162"/>
    <x v="162"/>
    <x v="30"/>
    <x v="30"/>
    <x v="30"/>
    <x v="19"/>
    <x v="287"/>
    <x v="874"/>
    <x v="48"/>
    <x v="243"/>
    <x v="211"/>
    <x v="274"/>
    <x v="5"/>
  </r>
  <r>
    <x v="0"/>
    <x v="162"/>
    <x v="162"/>
    <x v="34"/>
    <x v="34"/>
    <x v="34"/>
    <x v="19"/>
    <x v="287"/>
    <x v="874"/>
    <x v="48"/>
    <x v="243"/>
    <x v="211"/>
    <x v="274"/>
    <x v="5"/>
  </r>
  <r>
    <x v="0"/>
    <x v="162"/>
    <x v="162"/>
    <x v="9"/>
    <x v="9"/>
    <x v="9"/>
    <x v="19"/>
    <x v="287"/>
    <x v="874"/>
    <x v="77"/>
    <x v="83"/>
    <x v="160"/>
    <x v="108"/>
    <x v="5"/>
  </r>
  <r>
    <x v="0"/>
    <x v="162"/>
    <x v="162"/>
    <x v="21"/>
    <x v="21"/>
    <x v="21"/>
    <x v="19"/>
    <x v="287"/>
    <x v="874"/>
    <x v="77"/>
    <x v="83"/>
    <x v="160"/>
    <x v="108"/>
    <x v="5"/>
  </r>
  <r>
    <x v="0"/>
    <x v="163"/>
    <x v="163"/>
    <x v="0"/>
    <x v="0"/>
    <x v="0"/>
    <x v="0"/>
    <x v="260"/>
    <x v="875"/>
    <x v="31"/>
    <x v="871"/>
    <x v="210"/>
    <x v="485"/>
    <x v="5"/>
  </r>
  <r>
    <x v="0"/>
    <x v="163"/>
    <x v="163"/>
    <x v="1"/>
    <x v="1"/>
    <x v="1"/>
    <x v="1"/>
    <x v="261"/>
    <x v="876"/>
    <x v="34"/>
    <x v="872"/>
    <x v="211"/>
    <x v="274"/>
    <x v="5"/>
  </r>
  <r>
    <x v="0"/>
    <x v="163"/>
    <x v="163"/>
    <x v="4"/>
    <x v="4"/>
    <x v="4"/>
    <x v="2"/>
    <x v="246"/>
    <x v="877"/>
    <x v="51"/>
    <x v="625"/>
    <x v="197"/>
    <x v="711"/>
    <x v="5"/>
  </r>
  <r>
    <x v="0"/>
    <x v="163"/>
    <x v="163"/>
    <x v="3"/>
    <x v="3"/>
    <x v="3"/>
    <x v="3"/>
    <x v="268"/>
    <x v="749"/>
    <x v="51"/>
    <x v="625"/>
    <x v="210"/>
    <x v="485"/>
    <x v="5"/>
  </r>
  <r>
    <x v="0"/>
    <x v="163"/>
    <x v="163"/>
    <x v="30"/>
    <x v="30"/>
    <x v="30"/>
    <x v="4"/>
    <x v="269"/>
    <x v="469"/>
    <x v="64"/>
    <x v="626"/>
    <x v="189"/>
    <x v="712"/>
    <x v="5"/>
  </r>
  <r>
    <x v="0"/>
    <x v="163"/>
    <x v="163"/>
    <x v="11"/>
    <x v="11"/>
    <x v="11"/>
    <x v="5"/>
    <x v="247"/>
    <x v="23"/>
    <x v="51"/>
    <x v="625"/>
    <x v="209"/>
    <x v="433"/>
    <x v="5"/>
  </r>
  <r>
    <x v="0"/>
    <x v="163"/>
    <x v="163"/>
    <x v="5"/>
    <x v="5"/>
    <x v="5"/>
    <x v="6"/>
    <x v="248"/>
    <x v="146"/>
    <x v="52"/>
    <x v="338"/>
    <x v="209"/>
    <x v="433"/>
    <x v="5"/>
  </r>
  <r>
    <x v="0"/>
    <x v="163"/>
    <x v="163"/>
    <x v="12"/>
    <x v="12"/>
    <x v="12"/>
    <x v="7"/>
    <x v="249"/>
    <x v="751"/>
    <x v="51"/>
    <x v="625"/>
    <x v="211"/>
    <x v="274"/>
    <x v="5"/>
  </r>
  <r>
    <x v="0"/>
    <x v="163"/>
    <x v="163"/>
    <x v="9"/>
    <x v="9"/>
    <x v="9"/>
    <x v="7"/>
    <x v="249"/>
    <x v="751"/>
    <x v="52"/>
    <x v="338"/>
    <x v="160"/>
    <x v="197"/>
    <x v="4"/>
  </r>
  <r>
    <x v="0"/>
    <x v="163"/>
    <x v="163"/>
    <x v="6"/>
    <x v="6"/>
    <x v="6"/>
    <x v="9"/>
    <x v="250"/>
    <x v="387"/>
    <x v="52"/>
    <x v="338"/>
    <x v="160"/>
    <x v="197"/>
    <x v="5"/>
  </r>
  <r>
    <x v="0"/>
    <x v="163"/>
    <x v="163"/>
    <x v="10"/>
    <x v="10"/>
    <x v="10"/>
    <x v="9"/>
    <x v="250"/>
    <x v="387"/>
    <x v="52"/>
    <x v="338"/>
    <x v="160"/>
    <x v="197"/>
    <x v="5"/>
  </r>
  <r>
    <x v="0"/>
    <x v="163"/>
    <x v="163"/>
    <x v="7"/>
    <x v="7"/>
    <x v="7"/>
    <x v="9"/>
    <x v="250"/>
    <x v="387"/>
    <x v="51"/>
    <x v="625"/>
    <x v="211"/>
    <x v="274"/>
    <x v="5"/>
  </r>
  <r>
    <x v="0"/>
    <x v="163"/>
    <x v="163"/>
    <x v="8"/>
    <x v="8"/>
    <x v="8"/>
    <x v="12"/>
    <x v="251"/>
    <x v="206"/>
    <x v="64"/>
    <x v="626"/>
    <x v="160"/>
    <x v="197"/>
    <x v="5"/>
  </r>
  <r>
    <x v="0"/>
    <x v="163"/>
    <x v="163"/>
    <x v="28"/>
    <x v="28"/>
    <x v="28"/>
    <x v="12"/>
    <x v="251"/>
    <x v="206"/>
    <x v="48"/>
    <x v="340"/>
    <x v="163"/>
    <x v="100"/>
    <x v="5"/>
  </r>
  <r>
    <x v="0"/>
    <x v="163"/>
    <x v="163"/>
    <x v="45"/>
    <x v="45"/>
    <x v="45"/>
    <x v="12"/>
    <x v="251"/>
    <x v="206"/>
    <x v="52"/>
    <x v="338"/>
    <x v="211"/>
    <x v="274"/>
    <x v="5"/>
  </r>
  <r>
    <x v="0"/>
    <x v="163"/>
    <x v="163"/>
    <x v="13"/>
    <x v="13"/>
    <x v="13"/>
    <x v="12"/>
    <x v="251"/>
    <x v="206"/>
    <x v="52"/>
    <x v="338"/>
    <x v="211"/>
    <x v="274"/>
    <x v="5"/>
  </r>
  <r>
    <x v="0"/>
    <x v="163"/>
    <x v="163"/>
    <x v="19"/>
    <x v="19"/>
    <x v="19"/>
    <x v="12"/>
    <x v="251"/>
    <x v="206"/>
    <x v="48"/>
    <x v="340"/>
    <x v="163"/>
    <x v="100"/>
    <x v="5"/>
  </r>
  <r>
    <x v="0"/>
    <x v="163"/>
    <x v="163"/>
    <x v="36"/>
    <x v="36"/>
    <x v="36"/>
    <x v="12"/>
    <x v="251"/>
    <x v="206"/>
    <x v="77"/>
    <x v="83"/>
    <x v="163"/>
    <x v="100"/>
    <x v="5"/>
  </r>
  <r>
    <x v="0"/>
    <x v="163"/>
    <x v="163"/>
    <x v="32"/>
    <x v="32"/>
    <x v="32"/>
    <x v="18"/>
    <x v="252"/>
    <x v="125"/>
    <x v="48"/>
    <x v="340"/>
    <x v="160"/>
    <x v="197"/>
    <x v="5"/>
  </r>
  <r>
    <x v="0"/>
    <x v="163"/>
    <x v="163"/>
    <x v="42"/>
    <x v="42"/>
    <x v="42"/>
    <x v="18"/>
    <x v="252"/>
    <x v="125"/>
    <x v="77"/>
    <x v="83"/>
    <x v="163"/>
    <x v="100"/>
    <x v="5"/>
  </r>
  <r>
    <x v="0"/>
    <x v="163"/>
    <x v="163"/>
    <x v="35"/>
    <x v="35"/>
    <x v="35"/>
    <x v="18"/>
    <x v="252"/>
    <x v="125"/>
    <x v="48"/>
    <x v="340"/>
    <x v="160"/>
    <x v="197"/>
    <x v="5"/>
  </r>
  <r>
    <x v="0"/>
    <x v="163"/>
    <x v="163"/>
    <x v="18"/>
    <x v="18"/>
    <x v="18"/>
    <x v="18"/>
    <x v="252"/>
    <x v="125"/>
    <x v="64"/>
    <x v="626"/>
    <x v="211"/>
    <x v="274"/>
    <x v="5"/>
  </r>
  <r>
    <x v="0"/>
    <x v="163"/>
    <x v="163"/>
    <x v="34"/>
    <x v="34"/>
    <x v="34"/>
    <x v="18"/>
    <x v="252"/>
    <x v="125"/>
    <x v="48"/>
    <x v="340"/>
    <x v="211"/>
    <x v="274"/>
    <x v="5"/>
  </r>
  <r>
    <x v="0"/>
    <x v="163"/>
    <x v="163"/>
    <x v="14"/>
    <x v="14"/>
    <x v="14"/>
    <x v="18"/>
    <x v="252"/>
    <x v="125"/>
    <x v="77"/>
    <x v="83"/>
    <x v="211"/>
    <x v="274"/>
    <x v="5"/>
  </r>
  <r>
    <x v="0"/>
    <x v="163"/>
    <x v="163"/>
    <x v="29"/>
    <x v="29"/>
    <x v="29"/>
    <x v="18"/>
    <x v="252"/>
    <x v="125"/>
    <x v="48"/>
    <x v="340"/>
    <x v="160"/>
    <x v="197"/>
    <x v="5"/>
  </r>
  <r>
    <x v="0"/>
    <x v="164"/>
    <x v="164"/>
    <x v="0"/>
    <x v="0"/>
    <x v="0"/>
    <x v="0"/>
    <x v="245"/>
    <x v="601"/>
    <x v="92"/>
    <x v="502"/>
    <x v="210"/>
    <x v="485"/>
    <x v="5"/>
  </r>
  <r>
    <x v="0"/>
    <x v="164"/>
    <x v="164"/>
    <x v="1"/>
    <x v="1"/>
    <x v="1"/>
    <x v="1"/>
    <x v="246"/>
    <x v="878"/>
    <x v="70"/>
    <x v="873"/>
    <x v="163"/>
    <x v="100"/>
    <x v="5"/>
  </r>
  <r>
    <x v="0"/>
    <x v="164"/>
    <x v="164"/>
    <x v="6"/>
    <x v="6"/>
    <x v="6"/>
    <x v="2"/>
    <x v="264"/>
    <x v="87"/>
    <x v="82"/>
    <x v="535"/>
    <x v="132"/>
    <x v="521"/>
    <x v="4"/>
  </r>
  <r>
    <x v="0"/>
    <x v="164"/>
    <x v="164"/>
    <x v="9"/>
    <x v="9"/>
    <x v="9"/>
    <x v="2"/>
    <x v="264"/>
    <x v="87"/>
    <x v="53"/>
    <x v="690"/>
    <x v="160"/>
    <x v="197"/>
    <x v="5"/>
  </r>
  <r>
    <x v="0"/>
    <x v="164"/>
    <x v="164"/>
    <x v="3"/>
    <x v="3"/>
    <x v="3"/>
    <x v="4"/>
    <x v="269"/>
    <x v="214"/>
    <x v="77"/>
    <x v="83"/>
    <x v="206"/>
    <x v="713"/>
    <x v="5"/>
  </r>
  <r>
    <x v="0"/>
    <x v="164"/>
    <x v="164"/>
    <x v="34"/>
    <x v="34"/>
    <x v="34"/>
    <x v="5"/>
    <x v="247"/>
    <x v="879"/>
    <x v="52"/>
    <x v="668"/>
    <x v="163"/>
    <x v="100"/>
    <x v="5"/>
  </r>
  <r>
    <x v="0"/>
    <x v="164"/>
    <x v="164"/>
    <x v="14"/>
    <x v="14"/>
    <x v="14"/>
    <x v="5"/>
    <x v="247"/>
    <x v="879"/>
    <x v="77"/>
    <x v="83"/>
    <x v="160"/>
    <x v="197"/>
    <x v="5"/>
  </r>
  <r>
    <x v="0"/>
    <x v="164"/>
    <x v="164"/>
    <x v="4"/>
    <x v="4"/>
    <x v="4"/>
    <x v="7"/>
    <x v="248"/>
    <x v="561"/>
    <x v="77"/>
    <x v="83"/>
    <x v="189"/>
    <x v="712"/>
    <x v="5"/>
  </r>
  <r>
    <x v="0"/>
    <x v="164"/>
    <x v="164"/>
    <x v="28"/>
    <x v="28"/>
    <x v="28"/>
    <x v="8"/>
    <x v="249"/>
    <x v="305"/>
    <x v="77"/>
    <x v="83"/>
    <x v="210"/>
    <x v="485"/>
    <x v="5"/>
  </r>
  <r>
    <x v="0"/>
    <x v="164"/>
    <x v="164"/>
    <x v="30"/>
    <x v="30"/>
    <x v="30"/>
    <x v="8"/>
    <x v="249"/>
    <x v="305"/>
    <x v="48"/>
    <x v="663"/>
    <x v="163"/>
    <x v="100"/>
    <x v="5"/>
  </r>
  <r>
    <x v="0"/>
    <x v="164"/>
    <x v="164"/>
    <x v="36"/>
    <x v="36"/>
    <x v="36"/>
    <x v="8"/>
    <x v="249"/>
    <x v="305"/>
    <x v="77"/>
    <x v="83"/>
    <x v="160"/>
    <x v="197"/>
    <x v="5"/>
  </r>
  <r>
    <x v="0"/>
    <x v="164"/>
    <x v="164"/>
    <x v="8"/>
    <x v="8"/>
    <x v="8"/>
    <x v="11"/>
    <x v="250"/>
    <x v="604"/>
    <x v="48"/>
    <x v="663"/>
    <x v="209"/>
    <x v="433"/>
    <x v="5"/>
  </r>
  <r>
    <x v="0"/>
    <x v="164"/>
    <x v="164"/>
    <x v="2"/>
    <x v="2"/>
    <x v="2"/>
    <x v="11"/>
    <x v="250"/>
    <x v="604"/>
    <x v="52"/>
    <x v="668"/>
    <x v="160"/>
    <x v="197"/>
    <x v="5"/>
  </r>
  <r>
    <x v="0"/>
    <x v="164"/>
    <x v="164"/>
    <x v="21"/>
    <x v="21"/>
    <x v="21"/>
    <x v="11"/>
    <x v="250"/>
    <x v="604"/>
    <x v="77"/>
    <x v="83"/>
    <x v="160"/>
    <x v="197"/>
    <x v="5"/>
  </r>
  <r>
    <x v="0"/>
    <x v="164"/>
    <x v="164"/>
    <x v="11"/>
    <x v="11"/>
    <x v="11"/>
    <x v="14"/>
    <x v="251"/>
    <x v="82"/>
    <x v="48"/>
    <x v="663"/>
    <x v="163"/>
    <x v="100"/>
    <x v="5"/>
  </r>
  <r>
    <x v="0"/>
    <x v="164"/>
    <x v="164"/>
    <x v="26"/>
    <x v="26"/>
    <x v="26"/>
    <x v="14"/>
    <x v="251"/>
    <x v="82"/>
    <x v="48"/>
    <x v="663"/>
    <x v="163"/>
    <x v="100"/>
    <x v="5"/>
  </r>
  <r>
    <x v="0"/>
    <x v="164"/>
    <x v="164"/>
    <x v="42"/>
    <x v="42"/>
    <x v="42"/>
    <x v="16"/>
    <x v="252"/>
    <x v="231"/>
    <x v="77"/>
    <x v="83"/>
    <x v="163"/>
    <x v="100"/>
    <x v="5"/>
  </r>
  <r>
    <x v="0"/>
    <x v="164"/>
    <x v="164"/>
    <x v="10"/>
    <x v="10"/>
    <x v="10"/>
    <x v="16"/>
    <x v="252"/>
    <x v="231"/>
    <x v="64"/>
    <x v="43"/>
    <x v="211"/>
    <x v="274"/>
    <x v="5"/>
  </r>
  <r>
    <x v="0"/>
    <x v="164"/>
    <x v="164"/>
    <x v="12"/>
    <x v="12"/>
    <x v="12"/>
    <x v="16"/>
    <x v="252"/>
    <x v="231"/>
    <x v="64"/>
    <x v="43"/>
    <x v="211"/>
    <x v="274"/>
    <x v="5"/>
  </r>
  <r>
    <x v="0"/>
    <x v="164"/>
    <x v="164"/>
    <x v="27"/>
    <x v="27"/>
    <x v="27"/>
    <x v="16"/>
    <x v="252"/>
    <x v="231"/>
    <x v="64"/>
    <x v="43"/>
    <x v="211"/>
    <x v="274"/>
    <x v="5"/>
  </r>
  <r>
    <x v="0"/>
    <x v="165"/>
    <x v="165"/>
    <x v="0"/>
    <x v="0"/>
    <x v="0"/>
    <x v="0"/>
    <x v="174"/>
    <x v="880"/>
    <x v="69"/>
    <x v="874"/>
    <x v="210"/>
    <x v="383"/>
    <x v="5"/>
  </r>
  <r>
    <x v="0"/>
    <x v="165"/>
    <x v="165"/>
    <x v="3"/>
    <x v="3"/>
    <x v="3"/>
    <x v="1"/>
    <x v="264"/>
    <x v="793"/>
    <x v="65"/>
    <x v="141"/>
    <x v="189"/>
    <x v="585"/>
    <x v="5"/>
  </r>
  <r>
    <x v="0"/>
    <x v="165"/>
    <x v="165"/>
    <x v="1"/>
    <x v="1"/>
    <x v="1"/>
    <x v="1"/>
    <x v="264"/>
    <x v="793"/>
    <x v="78"/>
    <x v="53"/>
    <x v="160"/>
    <x v="233"/>
    <x v="5"/>
  </r>
  <r>
    <x v="0"/>
    <x v="165"/>
    <x v="165"/>
    <x v="30"/>
    <x v="30"/>
    <x v="30"/>
    <x v="3"/>
    <x v="280"/>
    <x v="881"/>
    <x v="96"/>
    <x v="706"/>
    <x v="160"/>
    <x v="233"/>
    <x v="5"/>
  </r>
  <r>
    <x v="0"/>
    <x v="165"/>
    <x v="165"/>
    <x v="4"/>
    <x v="4"/>
    <x v="4"/>
    <x v="4"/>
    <x v="268"/>
    <x v="484"/>
    <x v="48"/>
    <x v="118"/>
    <x v="206"/>
    <x v="425"/>
    <x v="5"/>
  </r>
  <r>
    <x v="0"/>
    <x v="165"/>
    <x v="165"/>
    <x v="6"/>
    <x v="6"/>
    <x v="6"/>
    <x v="4"/>
    <x v="268"/>
    <x v="484"/>
    <x v="82"/>
    <x v="599"/>
    <x v="209"/>
    <x v="139"/>
    <x v="5"/>
  </r>
  <r>
    <x v="0"/>
    <x v="165"/>
    <x v="165"/>
    <x v="14"/>
    <x v="14"/>
    <x v="14"/>
    <x v="6"/>
    <x v="269"/>
    <x v="162"/>
    <x v="77"/>
    <x v="83"/>
    <x v="210"/>
    <x v="383"/>
    <x v="4"/>
  </r>
  <r>
    <x v="0"/>
    <x v="165"/>
    <x v="165"/>
    <x v="9"/>
    <x v="9"/>
    <x v="9"/>
    <x v="7"/>
    <x v="248"/>
    <x v="486"/>
    <x v="52"/>
    <x v="707"/>
    <x v="211"/>
    <x v="274"/>
    <x v="5"/>
  </r>
  <r>
    <x v="0"/>
    <x v="165"/>
    <x v="165"/>
    <x v="52"/>
    <x v="52"/>
    <x v="52"/>
    <x v="8"/>
    <x v="249"/>
    <x v="9"/>
    <x v="77"/>
    <x v="83"/>
    <x v="210"/>
    <x v="383"/>
    <x v="5"/>
  </r>
  <r>
    <x v="0"/>
    <x v="165"/>
    <x v="165"/>
    <x v="2"/>
    <x v="2"/>
    <x v="2"/>
    <x v="8"/>
    <x v="249"/>
    <x v="9"/>
    <x v="48"/>
    <x v="118"/>
    <x v="209"/>
    <x v="139"/>
    <x v="5"/>
  </r>
  <r>
    <x v="0"/>
    <x v="165"/>
    <x v="165"/>
    <x v="26"/>
    <x v="26"/>
    <x v="26"/>
    <x v="8"/>
    <x v="249"/>
    <x v="9"/>
    <x v="48"/>
    <x v="118"/>
    <x v="132"/>
    <x v="714"/>
    <x v="5"/>
  </r>
  <r>
    <x v="0"/>
    <x v="165"/>
    <x v="165"/>
    <x v="8"/>
    <x v="8"/>
    <x v="8"/>
    <x v="11"/>
    <x v="250"/>
    <x v="419"/>
    <x v="64"/>
    <x v="600"/>
    <x v="163"/>
    <x v="715"/>
    <x v="5"/>
  </r>
  <r>
    <x v="0"/>
    <x v="165"/>
    <x v="165"/>
    <x v="12"/>
    <x v="12"/>
    <x v="12"/>
    <x v="11"/>
    <x v="250"/>
    <x v="419"/>
    <x v="48"/>
    <x v="118"/>
    <x v="163"/>
    <x v="715"/>
    <x v="5"/>
  </r>
  <r>
    <x v="0"/>
    <x v="165"/>
    <x v="165"/>
    <x v="7"/>
    <x v="7"/>
    <x v="7"/>
    <x v="11"/>
    <x v="250"/>
    <x v="419"/>
    <x v="52"/>
    <x v="707"/>
    <x v="160"/>
    <x v="233"/>
    <x v="5"/>
  </r>
  <r>
    <x v="0"/>
    <x v="165"/>
    <x v="165"/>
    <x v="27"/>
    <x v="27"/>
    <x v="27"/>
    <x v="11"/>
    <x v="250"/>
    <x v="419"/>
    <x v="51"/>
    <x v="278"/>
    <x v="211"/>
    <x v="274"/>
    <x v="5"/>
  </r>
  <r>
    <x v="0"/>
    <x v="165"/>
    <x v="165"/>
    <x v="28"/>
    <x v="28"/>
    <x v="28"/>
    <x v="15"/>
    <x v="251"/>
    <x v="298"/>
    <x v="77"/>
    <x v="83"/>
    <x v="209"/>
    <x v="139"/>
    <x v="5"/>
  </r>
  <r>
    <x v="0"/>
    <x v="165"/>
    <x v="165"/>
    <x v="42"/>
    <x v="42"/>
    <x v="42"/>
    <x v="15"/>
    <x v="251"/>
    <x v="298"/>
    <x v="77"/>
    <x v="83"/>
    <x v="209"/>
    <x v="139"/>
    <x v="5"/>
  </r>
  <r>
    <x v="0"/>
    <x v="165"/>
    <x v="165"/>
    <x v="64"/>
    <x v="64"/>
    <x v="64"/>
    <x v="15"/>
    <x v="251"/>
    <x v="298"/>
    <x v="77"/>
    <x v="83"/>
    <x v="209"/>
    <x v="139"/>
    <x v="5"/>
  </r>
  <r>
    <x v="0"/>
    <x v="165"/>
    <x v="165"/>
    <x v="18"/>
    <x v="18"/>
    <x v="18"/>
    <x v="15"/>
    <x v="251"/>
    <x v="298"/>
    <x v="48"/>
    <x v="118"/>
    <x v="163"/>
    <x v="715"/>
    <x v="5"/>
  </r>
  <r>
    <x v="0"/>
    <x v="165"/>
    <x v="165"/>
    <x v="13"/>
    <x v="13"/>
    <x v="13"/>
    <x v="15"/>
    <x v="251"/>
    <x v="298"/>
    <x v="64"/>
    <x v="600"/>
    <x v="160"/>
    <x v="233"/>
    <x v="5"/>
  </r>
  <r>
    <x v="0"/>
    <x v="165"/>
    <x v="165"/>
    <x v="11"/>
    <x v="11"/>
    <x v="11"/>
    <x v="15"/>
    <x v="251"/>
    <x v="298"/>
    <x v="64"/>
    <x v="600"/>
    <x v="160"/>
    <x v="233"/>
    <x v="5"/>
  </r>
  <r>
    <x v="0"/>
    <x v="166"/>
    <x v="166"/>
    <x v="0"/>
    <x v="0"/>
    <x v="0"/>
    <x v="0"/>
    <x v="136"/>
    <x v="882"/>
    <x v="97"/>
    <x v="538"/>
    <x v="163"/>
    <x v="197"/>
    <x v="5"/>
  </r>
  <r>
    <x v="0"/>
    <x v="166"/>
    <x v="166"/>
    <x v="3"/>
    <x v="3"/>
    <x v="3"/>
    <x v="1"/>
    <x v="162"/>
    <x v="586"/>
    <x v="70"/>
    <x v="875"/>
    <x v="157"/>
    <x v="520"/>
    <x v="5"/>
  </r>
  <r>
    <x v="0"/>
    <x v="166"/>
    <x v="166"/>
    <x v="1"/>
    <x v="1"/>
    <x v="1"/>
    <x v="2"/>
    <x v="175"/>
    <x v="822"/>
    <x v="61"/>
    <x v="692"/>
    <x v="209"/>
    <x v="716"/>
    <x v="5"/>
  </r>
  <r>
    <x v="0"/>
    <x v="166"/>
    <x v="166"/>
    <x v="4"/>
    <x v="4"/>
    <x v="4"/>
    <x v="3"/>
    <x v="262"/>
    <x v="491"/>
    <x v="64"/>
    <x v="542"/>
    <x v="157"/>
    <x v="520"/>
    <x v="5"/>
  </r>
  <r>
    <x v="0"/>
    <x v="166"/>
    <x v="166"/>
    <x v="2"/>
    <x v="2"/>
    <x v="2"/>
    <x v="4"/>
    <x v="267"/>
    <x v="749"/>
    <x v="78"/>
    <x v="327"/>
    <x v="132"/>
    <x v="100"/>
    <x v="5"/>
  </r>
  <r>
    <x v="0"/>
    <x v="166"/>
    <x v="166"/>
    <x v="6"/>
    <x v="6"/>
    <x v="6"/>
    <x v="5"/>
    <x v="279"/>
    <x v="869"/>
    <x v="50"/>
    <x v="541"/>
    <x v="189"/>
    <x v="433"/>
    <x v="5"/>
  </r>
  <r>
    <x v="0"/>
    <x v="166"/>
    <x v="166"/>
    <x v="5"/>
    <x v="5"/>
    <x v="5"/>
    <x v="6"/>
    <x v="246"/>
    <x v="43"/>
    <x v="53"/>
    <x v="333"/>
    <x v="189"/>
    <x v="433"/>
    <x v="5"/>
  </r>
  <r>
    <x v="0"/>
    <x v="166"/>
    <x v="166"/>
    <x v="14"/>
    <x v="14"/>
    <x v="14"/>
    <x v="7"/>
    <x v="264"/>
    <x v="24"/>
    <x v="77"/>
    <x v="83"/>
    <x v="213"/>
    <x v="570"/>
    <x v="5"/>
  </r>
  <r>
    <x v="0"/>
    <x v="166"/>
    <x v="166"/>
    <x v="30"/>
    <x v="30"/>
    <x v="30"/>
    <x v="8"/>
    <x v="268"/>
    <x v="239"/>
    <x v="96"/>
    <x v="306"/>
    <x v="211"/>
    <x v="274"/>
    <x v="5"/>
  </r>
  <r>
    <x v="0"/>
    <x v="166"/>
    <x v="166"/>
    <x v="9"/>
    <x v="9"/>
    <x v="9"/>
    <x v="9"/>
    <x v="269"/>
    <x v="148"/>
    <x v="53"/>
    <x v="333"/>
    <x v="160"/>
    <x v="717"/>
    <x v="5"/>
  </r>
  <r>
    <x v="0"/>
    <x v="166"/>
    <x v="166"/>
    <x v="8"/>
    <x v="8"/>
    <x v="8"/>
    <x v="10"/>
    <x v="248"/>
    <x v="419"/>
    <x v="52"/>
    <x v="331"/>
    <x v="209"/>
    <x v="716"/>
    <x v="5"/>
  </r>
  <r>
    <x v="0"/>
    <x v="166"/>
    <x v="166"/>
    <x v="7"/>
    <x v="7"/>
    <x v="7"/>
    <x v="10"/>
    <x v="248"/>
    <x v="419"/>
    <x v="82"/>
    <x v="641"/>
    <x v="211"/>
    <x v="274"/>
    <x v="5"/>
  </r>
  <r>
    <x v="0"/>
    <x v="166"/>
    <x v="166"/>
    <x v="28"/>
    <x v="28"/>
    <x v="28"/>
    <x v="12"/>
    <x v="249"/>
    <x v="206"/>
    <x v="48"/>
    <x v="334"/>
    <x v="132"/>
    <x v="100"/>
    <x v="5"/>
  </r>
  <r>
    <x v="0"/>
    <x v="166"/>
    <x v="166"/>
    <x v="13"/>
    <x v="13"/>
    <x v="13"/>
    <x v="12"/>
    <x v="249"/>
    <x v="206"/>
    <x v="48"/>
    <x v="334"/>
    <x v="132"/>
    <x v="100"/>
    <x v="5"/>
  </r>
  <r>
    <x v="0"/>
    <x v="166"/>
    <x v="166"/>
    <x v="11"/>
    <x v="11"/>
    <x v="11"/>
    <x v="12"/>
    <x v="249"/>
    <x v="206"/>
    <x v="48"/>
    <x v="334"/>
    <x v="132"/>
    <x v="100"/>
    <x v="5"/>
  </r>
  <r>
    <x v="0"/>
    <x v="166"/>
    <x v="166"/>
    <x v="31"/>
    <x v="31"/>
    <x v="31"/>
    <x v="12"/>
    <x v="249"/>
    <x v="206"/>
    <x v="64"/>
    <x v="542"/>
    <x v="209"/>
    <x v="716"/>
    <x v="5"/>
  </r>
  <r>
    <x v="0"/>
    <x v="166"/>
    <x v="166"/>
    <x v="12"/>
    <x v="12"/>
    <x v="12"/>
    <x v="12"/>
    <x v="249"/>
    <x v="206"/>
    <x v="51"/>
    <x v="329"/>
    <x v="160"/>
    <x v="717"/>
    <x v="5"/>
  </r>
  <r>
    <x v="0"/>
    <x v="166"/>
    <x v="166"/>
    <x v="26"/>
    <x v="26"/>
    <x v="26"/>
    <x v="12"/>
    <x v="249"/>
    <x v="206"/>
    <x v="48"/>
    <x v="334"/>
    <x v="132"/>
    <x v="100"/>
    <x v="5"/>
  </r>
  <r>
    <x v="0"/>
    <x v="166"/>
    <x v="166"/>
    <x v="40"/>
    <x v="40"/>
    <x v="40"/>
    <x v="18"/>
    <x v="250"/>
    <x v="154"/>
    <x v="77"/>
    <x v="83"/>
    <x v="132"/>
    <x v="100"/>
    <x v="5"/>
  </r>
  <r>
    <x v="0"/>
    <x v="166"/>
    <x v="166"/>
    <x v="27"/>
    <x v="27"/>
    <x v="27"/>
    <x v="18"/>
    <x v="250"/>
    <x v="154"/>
    <x v="52"/>
    <x v="331"/>
    <x v="160"/>
    <x v="717"/>
    <x v="5"/>
  </r>
  <r>
    <x v="0"/>
    <x v="167"/>
    <x v="167"/>
    <x v="1"/>
    <x v="1"/>
    <x v="1"/>
    <x v="0"/>
    <x v="198"/>
    <x v="883"/>
    <x v="138"/>
    <x v="876"/>
    <x v="209"/>
    <x v="65"/>
    <x v="5"/>
  </r>
  <r>
    <x v="0"/>
    <x v="167"/>
    <x v="167"/>
    <x v="0"/>
    <x v="0"/>
    <x v="0"/>
    <x v="1"/>
    <x v="137"/>
    <x v="884"/>
    <x v="166"/>
    <x v="877"/>
    <x v="209"/>
    <x v="65"/>
    <x v="5"/>
  </r>
  <r>
    <x v="0"/>
    <x v="167"/>
    <x v="167"/>
    <x v="4"/>
    <x v="4"/>
    <x v="4"/>
    <x v="2"/>
    <x v="174"/>
    <x v="885"/>
    <x v="51"/>
    <x v="84"/>
    <x v="153"/>
    <x v="718"/>
    <x v="5"/>
  </r>
  <r>
    <x v="0"/>
    <x v="167"/>
    <x v="167"/>
    <x v="3"/>
    <x v="3"/>
    <x v="3"/>
    <x v="3"/>
    <x v="163"/>
    <x v="769"/>
    <x v="78"/>
    <x v="137"/>
    <x v="157"/>
    <x v="719"/>
    <x v="5"/>
  </r>
  <r>
    <x v="0"/>
    <x v="167"/>
    <x v="167"/>
    <x v="2"/>
    <x v="2"/>
    <x v="2"/>
    <x v="4"/>
    <x v="175"/>
    <x v="445"/>
    <x v="38"/>
    <x v="878"/>
    <x v="197"/>
    <x v="720"/>
    <x v="5"/>
  </r>
  <r>
    <x v="0"/>
    <x v="167"/>
    <x v="167"/>
    <x v="5"/>
    <x v="5"/>
    <x v="5"/>
    <x v="5"/>
    <x v="263"/>
    <x v="562"/>
    <x v="51"/>
    <x v="84"/>
    <x v="206"/>
    <x v="459"/>
    <x v="5"/>
  </r>
  <r>
    <x v="0"/>
    <x v="167"/>
    <x v="167"/>
    <x v="18"/>
    <x v="18"/>
    <x v="18"/>
    <x v="5"/>
    <x v="263"/>
    <x v="562"/>
    <x v="64"/>
    <x v="879"/>
    <x v="215"/>
    <x v="721"/>
    <x v="5"/>
  </r>
  <r>
    <x v="0"/>
    <x v="167"/>
    <x v="167"/>
    <x v="6"/>
    <x v="6"/>
    <x v="6"/>
    <x v="5"/>
    <x v="263"/>
    <x v="562"/>
    <x v="53"/>
    <x v="880"/>
    <x v="210"/>
    <x v="235"/>
    <x v="5"/>
  </r>
  <r>
    <x v="0"/>
    <x v="167"/>
    <x v="167"/>
    <x v="11"/>
    <x v="11"/>
    <x v="11"/>
    <x v="8"/>
    <x v="264"/>
    <x v="120"/>
    <x v="51"/>
    <x v="84"/>
    <x v="190"/>
    <x v="114"/>
    <x v="5"/>
  </r>
  <r>
    <x v="0"/>
    <x v="167"/>
    <x v="167"/>
    <x v="9"/>
    <x v="9"/>
    <x v="9"/>
    <x v="8"/>
    <x v="264"/>
    <x v="120"/>
    <x v="50"/>
    <x v="881"/>
    <x v="163"/>
    <x v="195"/>
    <x v="5"/>
  </r>
  <r>
    <x v="0"/>
    <x v="167"/>
    <x v="167"/>
    <x v="17"/>
    <x v="17"/>
    <x v="17"/>
    <x v="10"/>
    <x v="280"/>
    <x v="604"/>
    <x v="77"/>
    <x v="83"/>
    <x v="215"/>
    <x v="721"/>
    <x v="5"/>
  </r>
  <r>
    <x v="0"/>
    <x v="167"/>
    <x v="167"/>
    <x v="15"/>
    <x v="15"/>
    <x v="15"/>
    <x v="10"/>
    <x v="280"/>
    <x v="604"/>
    <x v="77"/>
    <x v="83"/>
    <x v="215"/>
    <x v="721"/>
    <x v="5"/>
  </r>
  <r>
    <x v="0"/>
    <x v="167"/>
    <x v="167"/>
    <x v="35"/>
    <x v="35"/>
    <x v="35"/>
    <x v="12"/>
    <x v="268"/>
    <x v="307"/>
    <x v="77"/>
    <x v="83"/>
    <x v="197"/>
    <x v="720"/>
    <x v="5"/>
  </r>
  <r>
    <x v="0"/>
    <x v="167"/>
    <x v="167"/>
    <x v="7"/>
    <x v="7"/>
    <x v="7"/>
    <x v="12"/>
    <x v="268"/>
    <x v="307"/>
    <x v="96"/>
    <x v="882"/>
    <x v="211"/>
    <x v="274"/>
    <x v="5"/>
  </r>
  <r>
    <x v="0"/>
    <x v="167"/>
    <x v="167"/>
    <x v="27"/>
    <x v="27"/>
    <x v="27"/>
    <x v="12"/>
    <x v="268"/>
    <x v="307"/>
    <x v="82"/>
    <x v="465"/>
    <x v="209"/>
    <x v="65"/>
    <x v="5"/>
  </r>
  <r>
    <x v="0"/>
    <x v="167"/>
    <x v="167"/>
    <x v="8"/>
    <x v="8"/>
    <x v="8"/>
    <x v="15"/>
    <x v="269"/>
    <x v="192"/>
    <x v="48"/>
    <x v="883"/>
    <x v="190"/>
    <x v="114"/>
    <x v="5"/>
  </r>
  <r>
    <x v="0"/>
    <x v="167"/>
    <x v="167"/>
    <x v="31"/>
    <x v="31"/>
    <x v="31"/>
    <x v="16"/>
    <x v="248"/>
    <x v="394"/>
    <x v="77"/>
    <x v="83"/>
    <x v="189"/>
    <x v="160"/>
    <x v="5"/>
  </r>
  <r>
    <x v="0"/>
    <x v="167"/>
    <x v="167"/>
    <x v="10"/>
    <x v="10"/>
    <x v="10"/>
    <x v="16"/>
    <x v="248"/>
    <x v="394"/>
    <x v="65"/>
    <x v="474"/>
    <x v="160"/>
    <x v="263"/>
    <x v="5"/>
  </r>
  <r>
    <x v="0"/>
    <x v="167"/>
    <x v="167"/>
    <x v="29"/>
    <x v="29"/>
    <x v="29"/>
    <x v="16"/>
    <x v="248"/>
    <x v="394"/>
    <x v="52"/>
    <x v="884"/>
    <x v="209"/>
    <x v="65"/>
    <x v="5"/>
  </r>
  <r>
    <x v="0"/>
    <x v="167"/>
    <x v="167"/>
    <x v="24"/>
    <x v="24"/>
    <x v="24"/>
    <x v="19"/>
    <x v="249"/>
    <x v="231"/>
    <x v="52"/>
    <x v="884"/>
    <x v="163"/>
    <x v="195"/>
    <x v="5"/>
  </r>
  <r>
    <x v="0"/>
    <x v="167"/>
    <x v="167"/>
    <x v="14"/>
    <x v="14"/>
    <x v="14"/>
    <x v="19"/>
    <x v="249"/>
    <x v="231"/>
    <x v="77"/>
    <x v="83"/>
    <x v="163"/>
    <x v="195"/>
    <x v="4"/>
  </r>
  <r>
    <x v="0"/>
    <x v="168"/>
    <x v="168"/>
    <x v="0"/>
    <x v="0"/>
    <x v="0"/>
    <x v="0"/>
    <x v="280"/>
    <x v="886"/>
    <x v="78"/>
    <x v="593"/>
    <x v="211"/>
    <x v="274"/>
    <x v="5"/>
  </r>
  <r>
    <x v="0"/>
    <x v="168"/>
    <x v="168"/>
    <x v="1"/>
    <x v="1"/>
    <x v="1"/>
    <x v="0"/>
    <x v="280"/>
    <x v="886"/>
    <x v="96"/>
    <x v="885"/>
    <x v="160"/>
    <x v="336"/>
    <x v="5"/>
  </r>
  <r>
    <x v="0"/>
    <x v="168"/>
    <x v="168"/>
    <x v="6"/>
    <x v="6"/>
    <x v="6"/>
    <x v="2"/>
    <x v="268"/>
    <x v="885"/>
    <x v="65"/>
    <x v="101"/>
    <x v="132"/>
    <x v="332"/>
    <x v="5"/>
  </r>
  <r>
    <x v="0"/>
    <x v="168"/>
    <x v="168"/>
    <x v="2"/>
    <x v="2"/>
    <x v="2"/>
    <x v="3"/>
    <x v="247"/>
    <x v="887"/>
    <x v="52"/>
    <x v="596"/>
    <x v="132"/>
    <x v="332"/>
    <x v="5"/>
  </r>
  <r>
    <x v="0"/>
    <x v="168"/>
    <x v="168"/>
    <x v="9"/>
    <x v="9"/>
    <x v="9"/>
    <x v="3"/>
    <x v="247"/>
    <x v="887"/>
    <x v="65"/>
    <x v="101"/>
    <x v="160"/>
    <x v="336"/>
    <x v="5"/>
  </r>
  <r>
    <x v="0"/>
    <x v="168"/>
    <x v="168"/>
    <x v="28"/>
    <x v="28"/>
    <x v="28"/>
    <x v="5"/>
    <x v="249"/>
    <x v="23"/>
    <x v="77"/>
    <x v="83"/>
    <x v="210"/>
    <x v="647"/>
    <x v="5"/>
  </r>
  <r>
    <x v="0"/>
    <x v="168"/>
    <x v="168"/>
    <x v="3"/>
    <x v="3"/>
    <x v="3"/>
    <x v="5"/>
    <x v="249"/>
    <x v="23"/>
    <x v="51"/>
    <x v="565"/>
    <x v="160"/>
    <x v="336"/>
    <x v="5"/>
  </r>
  <r>
    <x v="0"/>
    <x v="168"/>
    <x v="168"/>
    <x v="4"/>
    <x v="4"/>
    <x v="4"/>
    <x v="7"/>
    <x v="250"/>
    <x v="386"/>
    <x v="77"/>
    <x v="83"/>
    <x v="132"/>
    <x v="332"/>
    <x v="5"/>
  </r>
  <r>
    <x v="0"/>
    <x v="168"/>
    <x v="168"/>
    <x v="5"/>
    <x v="5"/>
    <x v="5"/>
    <x v="7"/>
    <x v="250"/>
    <x v="386"/>
    <x v="48"/>
    <x v="595"/>
    <x v="209"/>
    <x v="334"/>
    <x v="5"/>
  </r>
  <r>
    <x v="0"/>
    <x v="168"/>
    <x v="168"/>
    <x v="35"/>
    <x v="35"/>
    <x v="35"/>
    <x v="9"/>
    <x v="251"/>
    <x v="527"/>
    <x v="77"/>
    <x v="83"/>
    <x v="209"/>
    <x v="334"/>
    <x v="5"/>
  </r>
  <r>
    <x v="0"/>
    <x v="168"/>
    <x v="168"/>
    <x v="17"/>
    <x v="17"/>
    <x v="17"/>
    <x v="9"/>
    <x v="251"/>
    <x v="527"/>
    <x v="77"/>
    <x v="83"/>
    <x v="209"/>
    <x v="334"/>
    <x v="5"/>
  </r>
  <r>
    <x v="0"/>
    <x v="168"/>
    <x v="168"/>
    <x v="13"/>
    <x v="13"/>
    <x v="13"/>
    <x v="9"/>
    <x v="251"/>
    <x v="527"/>
    <x v="52"/>
    <x v="596"/>
    <x v="211"/>
    <x v="274"/>
    <x v="5"/>
  </r>
  <r>
    <x v="0"/>
    <x v="168"/>
    <x v="168"/>
    <x v="12"/>
    <x v="12"/>
    <x v="12"/>
    <x v="9"/>
    <x v="251"/>
    <x v="527"/>
    <x v="48"/>
    <x v="595"/>
    <x v="163"/>
    <x v="117"/>
    <x v="5"/>
  </r>
  <r>
    <x v="0"/>
    <x v="168"/>
    <x v="168"/>
    <x v="30"/>
    <x v="30"/>
    <x v="30"/>
    <x v="9"/>
    <x v="251"/>
    <x v="527"/>
    <x v="64"/>
    <x v="405"/>
    <x v="160"/>
    <x v="336"/>
    <x v="5"/>
  </r>
  <r>
    <x v="0"/>
    <x v="168"/>
    <x v="168"/>
    <x v="7"/>
    <x v="7"/>
    <x v="7"/>
    <x v="9"/>
    <x v="251"/>
    <x v="527"/>
    <x v="52"/>
    <x v="596"/>
    <x v="211"/>
    <x v="274"/>
    <x v="5"/>
  </r>
  <r>
    <x v="0"/>
    <x v="168"/>
    <x v="168"/>
    <x v="14"/>
    <x v="14"/>
    <x v="14"/>
    <x v="9"/>
    <x v="251"/>
    <x v="527"/>
    <x v="77"/>
    <x v="83"/>
    <x v="163"/>
    <x v="117"/>
    <x v="5"/>
  </r>
  <r>
    <x v="0"/>
    <x v="168"/>
    <x v="168"/>
    <x v="49"/>
    <x v="49"/>
    <x v="49"/>
    <x v="16"/>
    <x v="252"/>
    <x v="318"/>
    <x v="77"/>
    <x v="83"/>
    <x v="163"/>
    <x v="117"/>
    <x v="5"/>
  </r>
  <r>
    <x v="0"/>
    <x v="168"/>
    <x v="168"/>
    <x v="41"/>
    <x v="41"/>
    <x v="41"/>
    <x v="16"/>
    <x v="252"/>
    <x v="318"/>
    <x v="77"/>
    <x v="83"/>
    <x v="160"/>
    <x v="336"/>
    <x v="5"/>
  </r>
  <r>
    <x v="0"/>
    <x v="168"/>
    <x v="168"/>
    <x v="10"/>
    <x v="10"/>
    <x v="10"/>
    <x v="16"/>
    <x v="252"/>
    <x v="318"/>
    <x v="64"/>
    <x v="405"/>
    <x v="211"/>
    <x v="274"/>
    <x v="5"/>
  </r>
  <r>
    <x v="0"/>
    <x v="168"/>
    <x v="168"/>
    <x v="37"/>
    <x v="37"/>
    <x v="37"/>
    <x v="16"/>
    <x v="252"/>
    <x v="318"/>
    <x v="48"/>
    <x v="595"/>
    <x v="211"/>
    <x v="274"/>
    <x v="5"/>
  </r>
  <r>
    <x v="0"/>
    <x v="169"/>
    <x v="169"/>
    <x v="0"/>
    <x v="0"/>
    <x v="0"/>
    <x v="0"/>
    <x v="264"/>
    <x v="765"/>
    <x v="78"/>
    <x v="751"/>
    <x v="160"/>
    <x v="255"/>
    <x v="5"/>
  </r>
  <r>
    <x v="0"/>
    <x v="169"/>
    <x v="169"/>
    <x v="3"/>
    <x v="3"/>
    <x v="3"/>
    <x v="1"/>
    <x v="269"/>
    <x v="734"/>
    <x v="65"/>
    <x v="620"/>
    <x v="209"/>
    <x v="271"/>
    <x v="5"/>
  </r>
  <r>
    <x v="0"/>
    <x v="169"/>
    <x v="169"/>
    <x v="6"/>
    <x v="6"/>
    <x v="6"/>
    <x v="2"/>
    <x v="249"/>
    <x v="766"/>
    <x v="64"/>
    <x v="702"/>
    <x v="209"/>
    <x v="271"/>
    <x v="5"/>
  </r>
  <r>
    <x v="0"/>
    <x v="169"/>
    <x v="169"/>
    <x v="9"/>
    <x v="9"/>
    <x v="9"/>
    <x v="2"/>
    <x v="249"/>
    <x v="766"/>
    <x v="65"/>
    <x v="620"/>
    <x v="211"/>
    <x v="274"/>
    <x v="5"/>
  </r>
  <r>
    <x v="0"/>
    <x v="169"/>
    <x v="169"/>
    <x v="12"/>
    <x v="12"/>
    <x v="12"/>
    <x v="4"/>
    <x v="250"/>
    <x v="663"/>
    <x v="48"/>
    <x v="530"/>
    <x v="209"/>
    <x v="271"/>
    <x v="5"/>
  </r>
  <r>
    <x v="0"/>
    <x v="169"/>
    <x v="169"/>
    <x v="1"/>
    <x v="1"/>
    <x v="1"/>
    <x v="4"/>
    <x v="250"/>
    <x v="663"/>
    <x v="51"/>
    <x v="675"/>
    <x v="211"/>
    <x v="274"/>
    <x v="5"/>
  </r>
  <r>
    <x v="0"/>
    <x v="169"/>
    <x v="169"/>
    <x v="18"/>
    <x v="18"/>
    <x v="18"/>
    <x v="6"/>
    <x v="251"/>
    <x v="408"/>
    <x v="77"/>
    <x v="83"/>
    <x v="209"/>
    <x v="271"/>
    <x v="5"/>
  </r>
  <r>
    <x v="0"/>
    <x v="169"/>
    <x v="169"/>
    <x v="28"/>
    <x v="28"/>
    <x v="28"/>
    <x v="7"/>
    <x v="252"/>
    <x v="447"/>
    <x v="77"/>
    <x v="83"/>
    <x v="163"/>
    <x v="272"/>
    <x v="5"/>
  </r>
  <r>
    <x v="0"/>
    <x v="169"/>
    <x v="169"/>
    <x v="13"/>
    <x v="13"/>
    <x v="13"/>
    <x v="7"/>
    <x v="252"/>
    <x v="447"/>
    <x v="48"/>
    <x v="530"/>
    <x v="160"/>
    <x v="255"/>
    <x v="5"/>
  </r>
  <r>
    <x v="0"/>
    <x v="169"/>
    <x v="169"/>
    <x v="7"/>
    <x v="7"/>
    <x v="7"/>
    <x v="7"/>
    <x v="252"/>
    <x v="447"/>
    <x v="64"/>
    <x v="702"/>
    <x v="211"/>
    <x v="274"/>
    <x v="5"/>
  </r>
  <r>
    <x v="0"/>
    <x v="169"/>
    <x v="169"/>
    <x v="14"/>
    <x v="14"/>
    <x v="14"/>
    <x v="7"/>
    <x v="252"/>
    <x v="447"/>
    <x v="77"/>
    <x v="83"/>
    <x v="163"/>
    <x v="272"/>
    <x v="5"/>
  </r>
  <r>
    <x v="0"/>
    <x v="169"/>
    <x v="169"/>
    <x v="4"/>
    <x v="4"/>
    <x v="4"/>
    <x v="11"/>
    <x v="287"/>
    <x v="52"/>
    <x v="77"/>
    <x v="83"/>
    <x v="160"/>
    <x v="255"/>
    <x v="5"/>
  </r>
  <r>
    <x v="0"/>
    <x v="169"/>
    <x v="169"/>
    <x v="8"/>
    <x v="8"/>
    <x v="8"/>
    <x v="11"/>
    <x v="287"/>
    <x v="52"/>
    <x v="77"/>
    <x v="83"/>
    <x v="160"/>
    <x v="255"/>
    <x v="5"/>
  </r>
  <r>
    <x v="0"/>
    <x v="169"/>
    <x v="169"/>
    <x v="40"/>
    <x v="40"/>
    <x v="40"/>
    <x v="11"/>
    <x v="287"/>
    <x v="52"/>
    <x v="48"/>
    <x v="530"/>
    <x v="211"/>
    <x v="274"/>
    <x v="5"/>
  </r>
  <r>
    <x v="0"/>
    <x v="169"/>
    <x v="169"/>
    <x v="52"/>
    <x v="52"/>
    <x v="52"/>
    <x v="11"/>
    <x v="287"/>
    <x v="52"/>
    <x v="77"/>
    <x v="83"/>
    <x v="160"/>
    <x v="255"/>
    <x v="5"/>
  </r>
  <r>
    <x v="0"/>
    <x v="169"/>
    <x v="169"/>
    <x v="41"/>
    <x v="41"/>
    <x v="41"/>
    <x v="11"/>
    <x v="287"/>
    <x v="52"/>
    <x v="77"/>
    <x v="83"/>
    <x v="211"/>
    <x v="274"/>
    <x v="5"/>
  </r>
  <r>
    <x v="0"/>
    <x v="169"/>
    <x v="169"/>
    <x v="64"/>
    <x v="64"/>
    <x v="64"/>
    <x v="11"/>
    <x v="287"/>
    <x v="52"/>
    <x v="77"/>
    <x v="83"/>
    <x v="160"/>
    <x v="255"/>
    <x v="5"/>
  </r>
  <r>
    <x v="0"/>
    <x v="169"/>
    <x v="169"/>
    <x v="16"/>
    <x v="16"/>
    <x v="16"/>
    <x v="11"/>
    <x v="287"/>
    <x v="52"/>
    <x v="48"/>
    <x v="530"/>
    <x v="211"/>
    <x v="274"/>
    <x v="5"/>
  </r>
  <r>
    <x v="0"/>
    <x v="169"/>
    <x v="169"/>
    <x v="23"/>
    <x v="23"/>
    <x v="23"/>
    <x v="11"/>
    <x v="287"/>
    <x v="52"/>
    <x v="48"/>
    <x v="530"/>
    <x v="211"/>
    <x v="274"/>
    <x v="5"/>
  </r>
  <r>
    <x v="0"/>
    <x v="169"/>
    <x v="169"/>
    <x v="20"/>
    <x v="20"/>
    <x v="20"/>
    <x v="11"/>
    <x v="287"/>
    <x v="52"/>
    <x v="77"/>
    <x v="83"/>
    <x v="160"/>
    <x v="255"/>
    <x v="5"/>
  </r>
  <r>
    <x v="0"/>
    <x v="169"/>
    <x v="169"/>
    <x v="2"/>
    <x v="2"/>
    <x v="2"/>
    <x v="11"/>
    <x v="287"/>
    <x v="52"/>
    <x v="48"/>
    <x v="530"/>
    <x v="211"/>
    <x v="274"/>
    <x v="5"/>
  </r>
  <r>
    <x v="0"/>
    <x v="169"/>
    <x v="169"/>
    <x v="43"/>
    <x v="43"/>
    <x v="43"/>
    <x v="11"/>
    <x v="287"/>
    <x v="52"/>
    <x v="77"/>
    <x v="83"/>
    <x v="160"/>
    <x v="255"/>
    <x v="5"/>
  </r>
  <r>
    <x v="0"/>
    <x v="169"/>
    <x v="169"/>
    <x v="10"/>
    <x v="10"/>
    <x v="10"/>
    <x v="11"/>
    <x v="287"/>
    <x v="52"/>
    <x v="77"/>
    <x v="83"/>
    <x v="160"/>
    <x v="255"/>
    <x v="5"/>
  </r>
  <r>
    <x v="0"/>
    <x v="169"/>
    <x v="169"/>
    <x v="30"/>
    <x v="30"/>
    <x v="30"/>
    <x v="11"/>
    <x v="287"/>
    <x v="52"/>
    <x v="48"/>
    <x v="530"/>
    <x v="211"/>
    <x v="274"/>
    <x v="5"/>
  </r>
  <r>
    <x v="0"/>
    <x v="169"/>
    <x v="169"/>
    <x v="34"/>
    <x v="34"/>
    <x v="34"/>
    <x v="11"/>
    <x v="287"/>
    <x v="52"/>
    <x v="77"/>
    <x v="83"/>
    <x v="160"/>
    <x v="255"/>
    <x v="5"/>
  </r>
  <r>
    <x v="0"/>
    <x v="170"/>
    <x v="170"/>
    <x v="0"/>
    <x v="0"/>
    <x v="0"/>
    <x v="0"/>
    <x v="139"/>
    <x v="888"/>
    <x v="69"/>
    <x v="853"/>
    <x v="209"/>
    <x v="722"/>
    <x v="5"/>
  </r>
  <r>
    <x v="0"/>
    <x v="170"/>
    <x v="170"/>
    <x v="3"/>
    <x v="3"/>
    <x v="3"/>
    <x v="1"/>
    <x v="279"/>
    <x v="608"/>
    <x v="50"/>
    <x v="433"/>
    <x v="189"/>
    <x v="723"/>
    <x v="5"/>
  </r>
  <r>
    <x v="0"/>
    <x v="170"/>
    <x v="170"/>
    <x v="1"/>
    <x v="1"/>
    <x v="1"/>
    <x v="1"/>
    <x v="279"/>
    <x v="608"/>
    <x v="38"/>
    <x v="886"/>
    <x v="160"/>
    <x v="724"/>
    <x v="5"/>
  </r>
  <r>
    <x v="0"/>
    <x v="170"/>
    <x v="170"/>
    <x v="4"/>
    <x v="4"/>
    <x v="4"/>
    <x v="3"/>
    <x v="246"/>
    <x v="889"/>
    <x v="52"/>
    <x v="428"/>
    <x v="215"/>
    <x v="725"/>
    <x v="5"/>
  </r>
  <r>
    <x v="0"/>
    <x v="170"/>
    <x v="170"/>
    <x v="6"/>
    <x v="6"/>
    <x v="6"/>
    <x v="4"/>
    <x v="263"/>
    <x v="678"/>
    <x v="50"/>
    <x v="433"/>
    <x v="132"/>
    <x v="726"/>
    <x v="5"/>
  </r>
  <r>
    <x v="0"/>
    <x v="170"/>
    <x v="170"/>
    <x v="5"/>
    <x v="5"/>
    <x v="5"/>
    <x v="5"/>
    <x v="268"/>
    <x v="890"/>
    <x v="52"/>
    <x v="428"/>
    <x v="189"/>
    <x v="723"/>
    <x v="5"/>
  </r>
  <r>
    <x v="0"/>
    <x v="170"/>
    <x v="170"/>
    <x v="8"/>
    <x v="8"/>
    <x v="8"/>
    <x v="6"/>
    <x v="248"/>
    <x v="609"/>
    <x v="51"/>
    <x v="92"/>
    <x v="163"/>
    <x v="727"/>
    <x v="5"/>
  </r>
  <r>
    <x v="0"/>
    <x v="170"/>
    <x v="170"/>
    <x v="28"/>
    <x v="28"/>
    <x v="28"/>
    <x v="6"/>
    <x v="248"/>
    <x v="609"/>
    <x v="48"/>
    <x v="216"/>
    <x v="210"/>
    <x v="728"/>
    <x v="5"/>
  </r>
  <r>
    <x v="0"/>
    <x v="170"/>
    <x v="170"/>
    <x v="11"/>
    <x v="11"/>
    <x v="11"/>
    <x v="6"/>
    <x v="248"/>
    <x v="609"/>
    <x v="65"/>
    <x v="385"/>
    <x v="160"/>
    <x v="724"/>
    <x v="5"/>
  </r>
  <r>
    <x v="0"/>
    <x v="170"/>
    <x v="170"/>
    <x v="2"/>
    <x v="2"/>
    <x v="2"/>
    <x v="6"/>
    <x v="248"/>
    <x v="609"/>
    <x v="51"/>
    <x v="92"/>
    <x v="163"/>
    <x v="727"/>
    <x v="5"/>
  </r>
  <r>
    <x v="0"/>
    <x v="170"/>
    <x v="170"/>
    <x v="9"/>
    <x v="9"/>
    <x v="9"/>
    <x v="10"/>
    <x v="249"/>
    <x v="651"/>
    <x v="65"/>
    <x v="385"/>
    <x v="211"/>
    <x v="274"/>
    <x v="5"/>
  </r>
  <r>
    <x v="0"/>
    <x v="170"/>
    <x v="170"/>
    <x v="13"/>
    <x v="13"/>
    <x v="13"/>
    <x v="11"/>
    <x v="250"/>
    <x v="610"/>
    <x v="52"/>
    <x v="428"/>
    <x v="160"/>
    <x v="724"/>
    <x v="5"/>
  </r>
  <r>
    <x v="0"/>
    <x v="170"/>
    <x v="170"/>
    <x v="7"/>
    <x v="7"/>
    <x v="7"/>
    <x v="11"/>
    <x v="250"/>
    <x v="610"/>
    <x v="52"/>
    <x v="428"/>
    <x v="160"/>
    <x v="724"/>
    <x v="5"/>
  </r>
  <r>
    <x v="0"/>
    <x v="170"/>
    <x v="170"/>
    <x v="42"/>
    <x v="42"/>
    <x v="42"/>
    <x v="13"/>
    <x v="251"/>
    <x v="319"/>
    <x v="77"/>
    <x v="83"/>
    <x v="209"/>
    <x v="722"/>
    <x v="5"/>
  </r>
  <r>
    <x v="0"/>
    <x v="170"/>
    <x v="170"/>
    <x v="12"/>
    <x v="12"/>
    <x v="12"/>
    <x v="13"/>
    <x v="251"/>
    <x v="319"/>
    <x v="48"/>
    <x v="216"/>
    <x v="160"/>
    <x v="724"/>
    <x v="5"/>
  </r>
  <r>
    <x v="0"/>
    <x v="170"/>
    <x v="170"/>
    <x v="30"/>
    <x v="30"/>
    <x v="30"/>
    <x v="13"/>
    <x v="251"/>
    <x v="319"/>
    <x v="64"/>
    <x v="350"/>
    <x v="160"/>
    <x v="724"/>
    <x v="5"/>
  </r>
  <r>
    <x v="0"/>
    <x v="170"/>
    <x v="170"/>
    <x v="26"/>
    <x v="26"/>
    <x v="26"/>
    <x v="13"/>
    <x v="251"/>
    <x v="319"/>
    <x v="77"/>
    <x v="83"/>
    <x v="209"/>
    <x v="722"/>
    <x v="5"/>
  </r>
  <r>
    <x v="0"/>
    <x v="170"/>
    <x v="170"/>
    <x v="27"/>
    <x v="27"/>
    <x v="27"/>
    <x v="13"/>
    <x v="251"/>
    <x v="319"/>
    <x v="52"/>
    <x v="428"/>
    <x v="211"/>
    <x v="274"/>
    <x v="5"/>
  </r>
  <r>
    <x v="0"/>
    <x v="170"/>
    <x v="170"/>
    <x v="40"/>
    <x v="40"/>
    <x v="40"/>
    <x v="18"/>
    <x v="252"/>
    <x v="448"/>
    <x v="48"/>
    <x v="216"/>
    <x v="160"/>
    <x v="724"/>
    <x v="5"/>
  </r>
  <r>
    <x v="0"/>
    <x v="170"/>
    <x v="170"/>
    <x v="18"/>
    <x v="18"/>
    <x v="18"/>
    <x v="18"/>
    <x v="252"/>
    <x v="448"/>
    <x v="48"/>
    <x v="216"/>
    <x v="160"/>
    <x v="724"/>
    <x v="5"/>
  </r>
  <r>
    <x v="0"/>
    <x v="170"/>
    <x v="170"/>
    <x v="15"/>
    <x v="15"/>
    <x v="15"/>
    <x v="18"/>
    <x v="252"/>
    <x v="448"/>
    <x v="77"/>
    <x v="83"/>
    <x v="163"/>
    <x v="727"/>
    <x v="5"/>
  </r>
  <r>
    <x v="0"/>
    <x v="170"/>
    <x v="170"/>
    <x v="16"/>
    <x v="16"/>
    <x v="16"/>
    <x v="18"/>
    <x v="252"/>
    <x v="448"/>
    <x v="77"/>
    <x v="83"/>
    <x v="163"/>
    <x v="727"/>
    <x v="5"/>
  </r>
  <r>
    <x v="0"/>
    <x v="170"/>
    <x v="170"/>
    <x v="20"/>
    <x v="20"/>
    <x v="20"/>
    <x v="18"/>
    <x v="252"/>
    <x v="448"/>
    <x v="77"/>
    <x v="83"/>
    <x v="163"/>
    <x v="727"/>
    <x v="5"/>
  </r>
  <r>
    <x v="0"/>
    <x v="170"/>
    <x v="170"/>
    <x v="31"/>
    <x v="31"/>
    <x v="31"/>
    <x v="18"/>
    <x v="252"/>
    <x v="448"/>
    <x v="77"/>
    <x v="83"/>
    <x v="163"/>
    <x v="727"/>
    <x v="5"/>
  </r>
  <r>
    <x v="0"/>
    <x v="170"/>
    <x v="170"/>
    <x v="14"/>
    <x v="14"/>
    <x v="14"/>
    <x v="18"/>
    <x v="252"/>
    <x v="448"/>
    <x v="77"/>
    <x v="83"/>
    <x v="160"/>
    <x v="724"/>
    <x v="5"/>
  </r>
  <r>
    <x v="0"/>
    <x v="171"/>
    <x v="171"/>
    <x v="0"/>
    <x v="0"/>
    <x v="0"/>
    <x v="0"/>
    <x v="174"/>
    <x v="891"/>
    <x v="57"/>
    <x v="887"/>
    <x v="132"/>
    <x v="672"/>
    <x v="5"/>
  </r>
  <r>
    <x v="0"/>
    <x v="171"/>
    <x v="171"/>
    <x v="1"/>
    <x v="1"/>
    <x v="1"/>
    <x v="1"/>
    <x v="139"/>
    <x v="892"/>
    <x v="166"/>
    <x v="553"/>
    <x v="211"/>
    <x v="274"/>
    <x v="5"/>
  </r>
  <r>
    <x v="0"/>
    <x v="171"/>
    <x v="171"/>
    <x v="4"/>
    <x v="4"/>
    <x v="4"/>
    <x v="2"/>
    <x v="164"/>
    <x v="893"/>
    <x v="38"/>
    <x v="888"/>
    <x v="197"/>
    <x v="729"/>
    <x v="5"/>
  </r>
  <r>
    <x v="0"/>
    <x v="171"/>
    <x v="171"/>
    <x v="3"/>
    <x v="3"/>
    <x v="3"/>
    <x v="3"/>
    <x v="260"/>
    <x v="599"/>
    <x v="38"/>
    <x v="888"/>
    <x v="206"/>
    <x v="730"/>
    <x v="5"/>
  </r>
  <r>
    <x v="0"/>
    <x v="171"/>
    <x v="171"/>
    <x v="6"/>
    <x v="6"/>
    <x v="6"/>
    <x v="4"/>
    <x v="262"/>
    <x v="158"/>
    <x v="58"/>
    <x v="511"/>
    <x v="132"/>
    <x v="672"/>
    <x v="5"/>
  </r>
  <r>
    <x v="0"/>
    <x v="171"/>
    <x v="171"/>
    <x v="2"/>
    <x v="2"/>
    <x v="2"/>
    <x v="5"/>
    <x v="263"/>
    <x v="215"/>
    <x v="70"/>
    <x v="889"/>
    <x v="160"/>
    <x v="84"/>
    <x v="5"/>
  </r>
  <r>
    <x v="0"/>
    <x v="171"/>
    <x v="171"/>
    <x v="5"/>
    <x v="5"/>
    <x v="5"/>
    <x v="6"/>
    <x v="268"/>
    <x v="471"/>
    <x v="53"/>
    <x v="508"/>
    <x v="163"/>
    <x v="471"/>
    <x v="5"/>
  </r>
  <r>
    <x v="0"/>
    <x v="171"/>
    <x v="171"/>
    <x v="11"/>
    <x v="11"/>
    <x v="11"/>
    <x v="7"/>
    <x v="269"/>
    <x v="894"/>
    <x v="65"/>
    <x v="890"/>
    <x v="209"/>
    <x v="731"/>
    <x v="5"/>
  </r>
  <r>
    <x v="0"/>
    <x v="171"/>
    <x v="171"/>
    <x v="28"/>
    <x v="28"/>
    <x v="28"/>
    <x v="8"/>
    <x v="247"/>
    <x v="478"/>
    <x v="64"/>
    <x v="12"/>
    <x v="210"/>
    <x v="732"/>
    <x v="5"/>
  </r>
  <r>
    <x v="0"/>
    <x v="171"/>
    <x v="171"/>
    <x v="13"/>
    <x v="13"/>
    <x v="13"/>
    <x v="8"/>
    <x v="247"/>
    <x v="478"/>
    <x v="52"/>
    <x v="494"/>
    <x v="132"/>
    <x v="672"/>
    <x v="5"/>
  </r>
  <r>
    <x v="0"/>
    <x v="171"/>
    <x v="171"/>
    <x v="9"/>
    <x v="9"/>
    <x v="9"/>
    <x v="8"/>
    <x v="247"/>
    <x v="478"/>
    <x v="51"/>
    <x v="891"/>
    <x v="211"/>
    <x v="274"/>
    <x v="5"/>
  </r>
  <r>
    <x v="0"/>
    <x v="171"/>
    <x v="171"/>
    <x v="8"/>
    <x v="8"/>
    <x v="8"/>
    <x v="11"/>
    <x v="248"/>
    <x v="81"/>
    <x v="48"/>
    <x v="883"/>
    <x v="210"/>
    <x v="732"/>
    <x v="5"/>
  </r>
  <r>
    <x v="0"/>
    <x v="171"/>
    <x v="171"/>
    <x v="12"/>
    <x v="12"/>
    <x v="12"/>
    <x v="11"/>
    <x v="248"/>
    <x v="81"/>
    <x v="51"/>
    <x v="891"/>
    <x v="160"/>
    <x v="84"/>
    <x v="5"/>
  </r>
  <r>
    <x v="0"/>
    <x v="171"/>
    <x v="171"/>
    <x v="7"/>
    <x v="7"/>
    <x v="7"/>
    <x v="11"/>
    <x v="248"/>
    <x v="81"/>
    <x v="51"/>
    <x v="891"/>
    <x v="163"/>
    <x v="471"/>
    <x v="5"/>
  </r>
  <r>
    <x v="0"/>
    <x v="171"/>
    <x v="171"/>
    <x v="49"/>
    <x v="49"/>
    <x v="49"/>
    <x v="14"/>
    <x v="250"/>
    <x v="98"/>
    <x v="77"/>
    <x v="83"/>
    <x v="132"/>
    <x v="672"/>
    <x v="5"/>
  </r>
  <r>
    <x v="0"/>
    <x v="171"/>
    <x v="171"/>
    <x v="42"/>
    <x v="42"/>
    <x v="42"/>
    <x v="14"/>
    <x v="250"/>
    <x v="98"/>
    <x v="77"/>
    <x v="83"/>
    <x v="132"/>
    <x v="672"/>
    <x v="5"/>
  </r>
  <r>
    <x v="0"/>
    <x v="171"/>
    <x v="171"/>
    <x v="35"/>
    <x v="35"/>
    <x v="35"/>
    <x v="14"/>
    <x v="250"/>
    <x v="98"/>
    <x v="52"/>
    <x v="494"/>
    <x v="160"/>
    <x v="84"/>
    <x v="5"/>
  </r>
  <r>
    <x v="0"/>
    <x v="171"/>
    <x v="171"/>
    <x v="30"/>
    <x v="30"/>
    <x v="30"/>
    <x v="14"/>
    <x v="250"/>
    <x v="98"/>
    <x v="52"/>
    <x v="494"/>
    <x v="160"/>
    <x v="84"/>
    <x v="5"/>
  </r>
  <r>
    <x v="0"/>
    <x v="171"/>
    <x v="171"/>
    <x v="48"/>
    <x v="48"/>
    <x v="48"/>
    <x v="18"/>
    <x v="251"/>
    <x v="18"/>
    <x v="77"/>
    <x v="83"/>
    <x v="163"/>
    <x v="471"/>
    <x v="5"/>
  </r>
  <r>
    <x v="0"/>
    <x v="171"/>
    <x v="171"/>
    <x v="17"/>
    <x v="17"/>
    <x v="17"/>
    <x v="18"/>
    <x v="251"/>
    <x v="18"/>
    <x v="77"/>
    <x v="83"/>
    <x v="209"/>
    <x v="731"/>
    <x v="5"/>
  </r>
  <r>
    <x v="0"/>
    <x v="171"/>
    <x v="171"/>
    <x v="26"/>
    <x v="26"/>
    <x v="26"/>
    <x v="18"/>
    <x v="251"/>
    <x v="18"/>
    <x v="52"/>
    <x v="494"/>
    <x v="211"/>
    <x v="274"/>
    <x v="5"/>
  </r>
  <r>
    <x v="0"/>
    <x v="171"/>
    <x v="171"/>
    <x v="29"/>
    <x v="29"/>
    <x v="29"/>
    <x v="18"/>
    <x v="251"/>
    <x v="18"/>
    <x v="52"/>
    <x v="494"/>
    <x v="211"/>
    <x v="274"/>
    <x v="5"/>
  </r>
  <r>
    <x v="0"/>
    <x v="172"/>
    <x v="172"/>
    <x v="1"/>
    <x v="1"/>
    <x v="1"/>
    <x v="0"/>
    <x v="95"/>
    <x v="895"/>
    <x v="149"/>
    <x v="686"/>
    <x v="190"/>
    <x v="68"/>
    <x v="5"/>
  </r>
  <r>
    <x v="0"/>
    <x v="172"/>
    <x v="172"/>
    <x v="0"/>
    <x v="0"/>
    <x v="0"/>
    <x v="1"/>
    <x v="278"/>
    <x v="896"/>
    <x v="91"/>
    <x v="892"/>
    <x v="206"/>
    <x v="161"/>
    <x v="5"/>
  </r>
  <r>
    <x v="0"/>
    <x v="172"/>
    <x v="172"/>
    <x v="4"/>
    <x v="4"/>
    <x v="4"/>
    <x v="2"/>
    <x v="134"/>
    <x v="897"/>
    <x v="50"/>
    <x v="5"/>
    <x v="152"/>
    <x v="733"/>
    <x v="5"/>
  </r>
  <r>
    <x v="0"/>
    <x v="172"/>
    <x v="172"/>
    <x v="3"/>
    <x v="3"/>
    <x v="3"/>
    <x v="3"/>
    <x v="197"/>
    <x v="898"/>
    <x v="76"/>
    <x v="893"/>
    <x v="109"/>
    <x v="734"/>
    <x v="5"/>
  </r>
  <r>
    <x v="0"/>
    <x v="172"/>
    <x v="172"/>
    <x v="9"/>
    <x v="9"/>
    <x v="9"/>
    <x v="4"/>
    <x v="139"/>
    <x v="492"/>
    <x v="111"/>
    <x v="114"/>
    <x v="190"/>
    <x v="68"/>
    <x v="5"/>
  </r>
  <r>
    <x v="0"/>
    <x v="172"/>
    <x v="172"/>
    <x v="7"/>
    <x v="7"/>
    <x v="7"/>
    <x v="5"/>
    <x v="163"/>
    <x v="104"/>
    <x v="66"/>
    <x v="894"/>
    <x v="160"/>
    <x v="428"/>
    <x v="5"/>
  </r>
  <r>
    <x v="0"/>
    <x v="172"/>
    <x v="172"/>
    <x v="6"/>
    <x v="6"/>
    <x v="6"/>
    <x v="6"/>
    <x v="164"/>
    <x v="371"/>
    <x v="38"/>
    <x v="895"/>
    <x v="197"/>
    <x v="286"/>
    <x v="5"/>
  </r>
  <r>
    <x v="0"/>
    <x v="172"/>
    <x v="172"/>
    <x v="8"/>
    <x v="8"/>
    <x v="8"/>
    <x v="7"/>
    <x v="260"/>
    <x v="477"/>
    <x v="50"/>
    <x v="5"/>
    <x v="214"/>
    <x v="735"/>
    <x v="5"/>
  </r>
  <r>
    <x v="0"/>
    <x v="172"/>
    <x v="172"/>
    <x v="11"/>
    <x v="11"/>
    <x v="11"/>
    <x v="7"/>
    <x v="260"/>
    <x v="477"/>
    <x v="82"/>
    <x v="637"/>
    <x v="134"/>
    <x v="297"/>
    <x v="5"/>
  </r>
  <r>
    <x v="0"/>
    <x v="172"/>
    <x v="172"/>
    <x v="2"/>
    <x v="2"/>
    <x v="2"/>
    <x v="7"/>
    <x v="260"/>
    <x v="477"/>
    <x v="58"/>
    <x v="6"/>
    <x v="206"/>
    <x v="161"/>
    <x v="5"/>
  </r>
  <r>
    <x v="0"/>
    <x v="172"/>
    <x v="172"/>
    <x v="5"/>
    <x v="5"/>
    <x v="5"/>
    <x v="10"/>
    <x v="245"/>
    <x v="386"/>
    <x v="53"/>
    <x v="750"/>
    <x v="214"/>
    <x v="735"/>
    <x v="5"/>
  </r>
  <r>
    <x v="0"/>
    <x v="172"/>
    <x v="172"/>
    <x v="14"/>
    <x v="14"/>
    <x v="14"/>
    <x v="11"/>
    <x v="267"/>
    <x v="527"/>
    <x v="77"/>
    <x v="83"/>
    <x v="206"/>
    <x v="161"/>
    <x v="5"/>
  </r>
  <r>
    <x v="0"/>
    <x v="172"/>
    <x v="172"/>
    <x v="12"/>
    <x v="12"/>
    <x v="12"/>
    <x v="12"/>
    <x v="279"/>
    <x v="48"/>
    <x v="51"/>
    <x v="628"/>
    <x v="215"/>
    <x v="736"/>
    <x v="5"/>
  </r>
  <r>
    <x v="0"/>
    <x v="172"/>
    <x v="172"/>
    <x v="27"/>
    <x v="27"/>
    <x v="27"/>
    <x v="13"/>
    <x v="246"/>
    <x v="135"/>
    <x v="50"/>
    <x v="5"/>
    <x v="210"/>
    <x v="54"/>
    <x v="5"/>
  </r>
  <r>
    <x v="0"/>
    <x v="172"/>
    <x v="172"/>
    <x v="13"/>
    <x v="13"/>
    <x v="13"/>
    <x v="14"/>
    <x v="263"/>
    <x v="32"/>
    <x v="65"/>
    <x v="828"/>
    <x v="190"/>
    <x v="68"/>
    <x v="5"/>
  </r>
  <r>
    <x v="0"/>
    <x v="172"/>
    <x v="172"/>
    <x v="17"/>
    <x v="17"/>
    <x v="17"/>
    <x v="15"/>
    <x v="268"/>
    <x v="258"/>
    <x v="48"/>
    <x v="185"/>
    <x v="206"/>
    <x v="161"/>
    <x v="5"/>
  </r>
  <r>
    <x v="0"/>
    <x v="172"/>
    <x v="172"/>
    <x v="42"/>
    <x v="42"/>
    <x v="42"/>
    <x v="16"/>
    <x v="269"/>
    <x v="859"/>
    <x v="77"/>
    <x v="83"/>
    <x v="206"/>
    <x v="161"/>
    <x v="5"/>
  </r>
  <r>
    <x v="0"/>
    <x v="172"/>
    <x v="172"/>
    <x v="16"/>
    <x v="16"/>
    <x v="16"/>
    <x v="16"/>
    <x v="269"/>
    <x v="859"/>
    <x v="64"/>
    <x v="286"/>
    <x v="189"/>
    <x v="36"/>
    <x v="5"/>
  </r>
  <r>
    <x v="0"/>
    <x v="172"/>
    <x v="172"/>
    <x v="19"/>
    <x v="19"/>
    <x v="19"/>
    <x v="18"/>
    <x v="247"/>
    <x v="233"/>
    <x v="51"/>
    <x v="628"/>
    <x v="209"/>
    <x v="43"/>
    <x v="5"/>
  </r>
  <r>
    <x v="0"/>
    <x v="172"/>
    <x v="172"/>
    <x v="29"/>
    <x v="29"/>
    <x v="29"/>
    <x v="19"/>
    <x v="248"/>
    <x v="532"/>
    <x v="51"/>
    <x v="628"/>
    <x v="163"/>
    <x v="737"/>
    <x v="5"/>
  </r>
  <r>
    <x v="0"/>
    <x v="173"/>
    <x v="173"/>
    <x v="1"/>
    <x v="1"/>
    <x v="1"/>
    <x v="0"/>
    <x v="164"/>
    <x v="899"/>
    <x v="61"/>
    <x v="896"/>
    <x v="163"/>
    <x v="495"/>
    <x v="5"/>
  </r>
  <r>
    <x v="0"/>
    <x v="173"/>
    <x v="173"/>
    <x v="0"/>
    <x v="0"/>
    <x v="0"/>
    <x v="1"/>
    <x v="245"/>
    <x v="886"/>
    <x v="76"/>
    <x v="598"/>
    <x v="163"/>
    <x v="495"/>
    <x v="5"/>
  </r>
  <r>
    <x v="0"/>
    <x v="173"/>
    <x v="173"/>
    <x v="6"/>
    <x v="6"/>
    <x v="6"/>
    <x v="2"/>
    <x v="262"/>
    <x v="900"/>
    <x v="50"/>
    <x v="897"/>
    <x v="206"/>
    <x v="55"/>
    <x v="5"/>
  </r>
  <r>
    <x v="0"/>
    <x v="173"/>
    <x v="173"/>
    <x v="3"/>
    <x v="3"/>
    <x v="3"/>
    <x v="3"/>
    <x v="267"/>
    <x v="508"/>
    <x v="65"/>
    <x v="375"/>
    <x v="215"/>
    <x v="493"/>
    <x v="5"/>
  </r>
  <r>
    <x v="0"/>
    <x v="173"/>
    <x v="173"/>
    <x v="9"/>
    <x v="9"/>
    <x v="9"/>
    <x v="3"/>
    <x v="267"/>
    <x v="508"/>
    <x v="96"/>
    <x v="599"/>
    <x v="209"/>
    <x v="219"/>
    <x v="5"/>
  </r>
  <r>
    <x v="0"/>
    <x v="173"/>
    <x v="173"/>
    <x v="5"/>
    <x v="5"/>
    <x v="5"/>
    <x v="5"/>
    <x v="263"/>
    <x v="76"/>
    <x v="82"/>
    <x v="278"/>
    <x v="189"/>
    <x v="494"/>
    <x v="5"/>
  </r>
  <r>
    <x v="0"/>
    <x v="173"/>
    <x v="173"/>
    <x v="2"/>
    <x v="2"/>
    <x v="2"/>
    <x v="5"/>
    <x v="263"/>
    <x v="76"/>
    <x v="78"/>
    <x v="898"/>
    <x v="163"/>
    <x v="495"/>
    <x v="5"/>
  </r>
  <r>
    <x v="0"/>
    <x v="173"/>
    <x v="173"/>
    <x v="4"/>
    <x v="4"/>
    <x v="4"/>
    <x v="7"/>
    <x v="280"/>
    <x v="23"/>
    <x v="48"/>
    <x v="72"/>
    <x v="197"/>
    <x v="738"/>
    <x v="5"/>
  </r>
  <r>
    <x v="0"/>
    <x v="173"/>
    <x v="173"/>
    <x v="30"/>
    <x v="30"/>
    <x v="30"/>
    <x v="8"/>
    <x v="268"/>
    <x v="901"/>
    <x v="53"/>
    <x v="899"/>
    <x v="163"/>
    <x v="495"/>
    <x v="5"/>
  </r>
  <r>
    <x v="0"/>
    <x v="173"/>
    <x v="173"/>
    <x v="7"/>
    <x v="7"/>
    <x v="7"/>
    <x v="8"/>
    <x v="268"/>
    <x v="901"/>
    <x v="96"/>
    <x v="599"/>
    <x v="211"/>
    <x v="274"/>
    <x v="5"/>
  </r>
  <r>
    <x v="0"/>
    <x v="173"/>
    <x v="173"/>
    <x v="11"/>
    <x v="11"/>
    <x v="11"/>
    <x v="10"/>
    <x v="269"/>
    <x v="386"/>
    <x v="64"/>
    <x v="285"/>
    <x v="189"/>
    <x v="494"/>
    <x v="5"/>
  </r>
  <r>
    <x v="0"/>
    <x v="173"/>
    <x v="173"/>
    <x v="8"/>
    <x v="8"/>
    <x v="8"/>
    <x v="11"/>
    <x v="247"/>
    <x v="894"/>
    <x v="51"/>
    <x v="900"/>
    <x v="209"/>
    <x v="219"/>
    <x v="5"/>
  </r>
  <r>
    <x v="0"/>
    <x v="173"/>
    <x v="173"/>
    <x v="13"/>
    <x v="13"/>
    <x v="13"/>
    <x v="11"/>
    <x v="247"/>
    <x v="894"/>
    <x v="65"/>
    <x v="375"/>
    <x v="163"/>
    <x v="495"/>
    <x v="5"/>
  </r>
  <r>
    <x v="0"/>
    <x v="173"/>
    <x v="173"/>
    <x v="14"/>
    <x v="14"/>
    <x v="14"/>
    <x v="13"/>
    <x v="249"/>
    <x v="50"/>
    <x v="77"/>
    <x v="83"/>
    <x v="132"/>
    <x v="155"/>
    <x v="5"/>
  </r>
  <r>
    <x v="0"/>
    <x v="173"/>
    <x v="173"/>
    <x v="28"/>
    <x v="28"/>
    <x v="28"/>
    <x v="14"/>
    <x v="250"/>
    <x v="318"/>
    <x v="77"/>
    <x v="83"/>
    <x v="132"/>
    <x v="155"/>
    <x v="5"/>
  </r>
  <r>
    <x v="0"/>
    <x v="173"/>
    <x v="173"/>
    <x v="10"/>
    <x v="10"/>
    <x v="10"/>
    <x v="14"/>
    <x v="250"/>
    <x v="318"/>
    <x v="52"/>
    <x v="600"/>
    <x v="160"/>
    <x v="80"/>
    <x v="5"/>
  </r>
  <r>
    <x v="0"/>
    <x v="173"/>
    <x v="173"/>
    <x v="12"/>
    <x v="12"/>
    <x v="12"/>
    <x v="14"/>
    <x v="250"/>
    <x v="318"/>
    <x v="64"/>
    <x v="285"/>
    <x v="163"/>
    <x v="495"/>
    <x v="5"/>
  </r>
  <r>
    <x v="0"/>
    <x v="173"/>
    <x v="173"/>
    <x v="26"/>
    <x v="26"/>
    <x v="26"/>
    <x v="14"/>
    <x v="250"/>
    <x v="318"/>
    <x v="48"/>
    <x v="72"/>
    <x v="209"/>
    <x v="219"/>
    <x v="5"/>
  </r>
  <r>
    <x v="0"/>
    <x v="173"/>
    <x v="173"/>
    <x v="29"/>
    <x v="29"/>
    <x v="29"/>
    <x v="14"/>
    <x v="250"/>
    <x v="318"/>
    <x v="52"/>
    <x v="600"/>
    <x v="160"/>
    <x v="80"/>
    <x v="5"/>
  </r>
  <r>
    <x v="0"/>
    <x v="173"/>
    <x v="173"/>
    <x v="64"/>
    <x v="64"/>
    <x v="64"/>
    <x v="19"/>
    <x v="252"/>
    <x v="431"/>
    <x v="77"/>
    <x v="83"/>
    <x v="163"/>
    <x v="495"/>
    <x v="5"/>
  </r>
  <r>
    <x v="0"/>
    <x v="173"/>
    <x v="173"/>
    <x v="35"/>
    <x v="35"/>
    <x v="35"/>
    <x v="19"/>
    <x v="252"/>
    <x v="431"/>
    <x v="48"/>
    <x v="72"/>
    <x v="160"/>
    <x v="80"/>
    <x v="5"/>
  </r>
  <r>
    <x v="0"/>
    <x v="173"/>
    <x v="173"/>
    <x v="18"/>
    <x v="18"/>
    <x v="18"/>
    <x v="19"/>
    <x v="252"/>
    <x v="431"/>
    <x v="77"/>
    <x v="83"/>
    <x v="163"/>
    <x v="495"/>
    <x v="5"/>
  </r>
  <r>
    <x v="0"/>
    <x v="173"/>
    <x v="173"/>
    <x v="36"/>
    <x v="36"/>
    <x v="36"/>
    <x v="19"/>
    <x v="252"/>
    <x v="431"/>
    <x v="48"/>
    <x v="72"/>
    <x v="160"/>
    <x v="80"/>
    <x v="5"/>
  </r>
  <r>
    <x v="0"/>
    <x v="173"/>
    <x v="173"/>
    <x v="27"/>
    <x v="27"/>
    <x v="27"/>
    <x v="19"/>
    <x v="252"/>
    <x v="431"/>
    <x v="48"/>
    <x v="72"/>
    <x v="160"/>
    <x v="80"/>
    <x v="5"/>
  </r>
  <r>
    <x v="0"/>
    <x v="174"/>
    <x v="174"/>
    <x v="6"/>
    <x v="6"/>
    <x v="6"/>
    <x v="0"/>
    <x v="269"/>
    <x v="817"/>
    <x v="51"/>
    <x v="814"/>
    <x v="209"/>
    <x v="485"/>
    <x v="4"/>
  </r>
  <r>
    <x v="0"/>
    <x v="174"/>
    <x v="174"/>
    <x v="0"/>
    <x v="0"/>
    <x v="0"/>
    <x v="0"/>
    <x v="269"/>
    <x v="817"/>
    <x v="53"/>
    <x v="509"/>
    <x v="160"/>
    <x v="15"/>
    <x v="5"/>
  </r>
  <r>
    <x v="0"/>
    <x v="174"/>
    <x v="174"/>
    <x v="1"/>
    <x v="1"/>
    <x v="1"/>
    <x v="0"/>
    <x v="269"/>
    <x v="817"/>
    <x v="50"/>
    <x v="813"/>
    <x v="211"/>
    <x v="274"/>
    <x v="5"/>
  </r>
  <r>
    <x v="0"/>
    <x v="174"/>
    <x v="174"/>
    <x v="4"/>
    <x v="4"/>
    <x v="4"/>
    <x v="3"/>
    <x v="247"/>
    <x v="353"/>
    <x v="48"/>
    <x v="526"/>
    <x v="189"/>
    <x v="484"/>
    <x v="5"/>
  </r>
  <r>
    <x v="0"/>
    <x v="174"/>
    <x v="174"/>
    <x v="11"/>
    <x v="11"/>
    <x v="11"/>
    <x v="4"/>
    <x v="250"/>
    <x v="641"/>
    <x v="51"/>
    <x v="814"/>
    <x v="211"/>
    <x v="274"/>
    <x v="5"/>
  </r>
  <r>
    <x v="0"/>
    <x v="174"/>
    <x v="174"/>
    <x v="3"/>
    <x v="3"/>
    <x v="3"/>
    <x v="4"/>
    <x v="250"/>
    <x v="641"/>
    <x v="48"/>
    <x v="526"/>
    <x v="209"/>
    <x v="485"/>
    <x v="5"/>
  </r>
  <r>
    <x v="0"/>
    <x v="174"/>
    <x v="174"/>
    <x v="12"/>
    <x v="12"/>
    <x v="12"/>
    <x v="6"/>
    <x v="251"/>
    <x v="664"/>
    <x v="48"/>
    <x v="526"/>
    <x v="163"/>
    <x v="594"/>
    <x v="5"/>
  </r>
  <r>
    <x v="0"/>
    <x v="174"/>
    <x v="174"/>
    <x v="14"/>
    <x v="14"/>
    <x v="14"/>
    <x v="6"/>
    <x v="251"/>
    <x v="664"/>
    <x v="77"/>
    <x v="83"/>
    <x v="211"/>
    <x v="274"/>
    <x v="5"/>
  </r>
  <r>
    <x v="0"/>
    <x v="174"/>
    <x v="174"/>
    <x v="29"/>
    <x v="29"/>
    <x v="29"/>
    <x v="6"/>
    <x v="251"/>
    <x v="664"/>
    <x v="64"/>
    <x v="525"/>
    <x v="160"/>
    <x v="15"/>
    <x v="5"/>
  </r>
  <r>
    <x v="0"/>
    <x v="174"/>
    <x v="174"/>
    <x v="51"/>
    <x v="51"/>
    <x v="51"/>
    <x v="9"/>
    <x v="252"/>
    <x v="710"/>
    <x v="77"/>
    <x v="83"/>
    <x v="163"/>
    <x v="594"/>
    <x v="5"/>
  </r>
  <r>
    <x v="0"/>
    <x v="174"/>
    <x v="174"/>
    <x v="44"/>
    <x v="44"/>
    <x v="44"/>
    <x v="9"/>
    <x v="252"/>
    <x v="710"/>
    <x v="48"/>
    <x v="526"/>
    <x v="160"/>
    <x v="15"/>
    <x v="5"/>
  </r>
  <r>
    <x v="0"/>
    <x v="174"/>
    <x v="174"/>
    <x v="52"/>
    <x v="52"/>
    <x v="52"/>
    <x v="9"/>
    <x v="252"/>
    <x v="710"/>
    <x v="77"/>
    <x v="83"/>
    <x v="163"/>
    <x v="594"/>
    <x v="5"/>
  </r>
  <r>
    <x v="0"/>
    <x v="174"/>
    <x v="174"/>
    <x v="41"/>
    <x v="41"/>
    <x v="41"/>
    <x v="9"/>
    <x v="252"/>
    <x v="710"/>
    <x v="77"/>
    <x v="83"/>
    <x v="160"/>
    <x v="15"/>
    <x v="5"/>
  </r>
  <r>
    <x v="0"/>
    <x v="174"/>
    <x v="174"/>
    <x v="17"/>
    <x v="17"/>
    <x v="17"/>
    <x v="9"/>
    <x v="252"/>
    <x v="710"/>
    <x v="77"/>
    <x v="83"/>
    <x v="163"/>
    <x v="594"/>
    <x v="5"/>
  </r>
  <r>
    <x v="0"/>
    <x v="174"/>
    <x v="174"/>
    <x v="13"/>
    <x v="13"/>
    <x v="13"/>
    <x v="9"/>
    <x v="252"/>
    <x v="710"/>
    <x v="48"/>
    <x v="526"/>
    <x v="160"/>
    <x v="15"/>
    <x v="5"/>
  </r>
  <r>
    <x v="0"/>
    <x v="174"/>
    <x v="174"/>
    <x v="26"/>
    <x v="26"/>
    <x v="26"/>
    <x v="9"/>
    <x v="252"/>
    <x v="710"/>
    <x v="77"/>
    <x v="83"/>
    <x v="160"/>
    <x v="15"/>
    <x v="5"/>
  </r>
  <r>
    <x v="0"/>
    <x v="174"/>
    <x v="174"/>
    <x v="9"/>
    <x v="9"/>
    <x v="9"/>
    <x v="9"/>
    <x v="252"/>
    <x v="710"/>
    <x v="48"/>
    <x v="526"/>
    <x v="211"/>
    <x v="274"/>
    <x v="5"/>
  </r>
  <r>
    <x v="0"/>
    <x v="174"/>
    <x v="174"/>
    <x v="27"/>
    <x v="27"/>
    <x v="27"/>
    <x v="9"/>
    <x v="252"/>
    <x v="710"/>
    <x v="64"/>
    <x v="525"/>
    <x v="211"/>
    <x v="274"/>
    <x v="5"/>
  </r>
  <r>
    <x v="0"/>
    <x v="174"/>
    <x v="174"/>
    <x v="60"/>
    <x v="60"/>
    <x v="60"/>
    <x v="18"/>
    <x v="287"/>
    <x v="456"/>
    <x v="77"/>
    <x v="83"/>
    <x v="160"/>
    <x v="15"/>
    <x v="5"/>
  </r>
  <r>
    <x v="0"/>
    <x v="174"/>
    <x v="174"/>
    <x v="5"/>
    <x v="5"/>
    <x v="5"/>
    <x v="18"/>
    <x v="287"/>
    <x v="456"/>
    <x v="48"/>
    <x v="526"/>
    <x v="211"/>
    <x v="274"/>
    <x v="5"/>
  </r>
  <r>
    <x v="0"/>
    <x v="174"/>
    <x v="174"/>
    <x v="8"/>
    <x v="8"/>
    <x v="8"/>
    <x v="18"/>
    <x v="287"/>
    <x v="456"/>
    <x v="77"/>
    <x v="83"/>
    <x v="160"/>
    <x v="15"/>
    <x v="5"/>
  </r>
  <r>
    <x v="0"/>
    <x v="174"/>
    <x v="174"/>
    <x v="28"/>
    <x v="28"/>
    <x v="28"/>
    <x v="18"/>
    <x v="287"/>
    <x v="456"/>
    <x v="48"/>
    <x v="526"/>
    <x v="211"/>
    <x v="274"/>
    <x v="5"/>
  </r>
  <r>
    <x v="0"/>
    <x v="174"/>
    <x v="174"/>
    <x v="32"/>
    <x v="32"/>
    <x v="32"/>
    <x v="18"/>
    <x v="287"/>
    <x v="456"/>
    <x v="77"/>
    <x v="83"/>
    <x v="160"/>
    <x v="15"/>
    <x v="5"/>
  </r>
  <r>
    <x v="0"/>
    <x v="174"/>
    <x v="174"/>
    <x v="50"/>
    <x v="50"/>
    <x v="50"/>
    <x v="18"/>
    <x v="287"/>
    <x v="456"/>
    <x v="77"/>
    <x v="83"/>
    <x v="160"/>
    <x v="15"/>
    <x v="5"/>
  </r>
  <r>
    <x v="0"/>
    <x v="174"/>
    <x v="174"/>
    <x v="46"/>
    <x v="46"/>
    <x v="46"/>
    <x v="18"/>
    <x v="287"/>
    <x v="456"/>
    <x v="48"/>
    <x v="526"/>
    <x v="211"/>
    <x v="274"/>
    <x v="5"/>
  </r>
  <r>
    <x v="0"/>
    <x v="174"/>
    <x v="174"/>
    <x v="42"/>
    <x v="42"/>
    <x v="42"/>
    <x v="18"/>
    <x v="287"/>
    <x v="456"/>
    <x v="77"/>
    <x v="83"/>
    <x v="160"/>
    <x v="15"/>
    <x v="5"/>
  </r>
  <r>
    <x v="0"/>
    <x v="174"/>
    <x v="174"/>
    <x v="33"/>
    <x v="33"/>
    <x v="33"/>
    <x v="18"/>
    <x v="287"/>
    <x v="456"/>
    <x v="48"/>
    <x v="526"/>
    <x v="211"/>
    <x v="274"/>
    <x v="5"/>
  </r>
  <r>
    <x v="0"/>
    <x v="174"/>
    <x v="174"/>
    <x v="35"/>
    <x v="35"/>
    <x v="35"/>
    <x v="18"/>
    <x v="287"/>
    <x v="456"/>
    <x v="48"/>
    <x v="526"/>
    <x v="211"/>
    <x v="274"/>
    <x v="5"/>
  </r>
  <r>
    <x v="0"/>
    <x v="174"/>
    <x v="174"/>
    <x v="48"/>
    <x v="48"/>
    <x v="48"/>
    <x v="18"/>
    <x v="287"/>
    <x v="456"/>
    <x v="77"/>
    <x v="83"/>
    <x v="211"/>
    <x v="274"/>
    <x v="5"/>
  </r>
  <r>
    <x v="0"/>
    <x v="174"/>
    <x v="174"/>
    <x v="18"/>
    <x v="18"/>
    <x v="18"/>
    <x v="18"/>
    <x v="287"/>
    <x v="456"/>
    <x v="48"/>
    <x v="526"/>
    <x v="211"/>
    <x v="274"/>
    <x v="5"/>
  </r>
  <r>
    <x v="0"/>
    <x v="174"/>
    <x v="174"/>
    <x v="23"/>
    <x v="23"/>
    <x v="23"/>
    <x v="18"/>
    <x v="287"/>
    <x v="456"/>
    <x v="48"/>
    <x v="526"/>
    <x v="211"/>
    <x v="274"/>
    <x v="5"/>
  </r>
  <r>
    <x v="0"/>
    <x v="174"/>
    <x v="174"/>
    <x v="20"/>
    <x v="20"/>
    <x v="20"/>
    <x v="18"/>
    <x v="287"/>
    <x v="456"/>
    <x v="77"/>
    <x v="83"/>
    <x v="160"/>
    <x v="15"/>
    <x v="5"/>
  </r>
  <r>
    <x v="0"/>
    <x v="174"/>
    <x v="174"/>
    <x v="19"/>
    <x v="19"/>
    <x v="19"/>
    <x v="18"/>
    <x v="287"/>
    <x v="456"/>
    <x v="48"/>
    <x v="526"/>
    <x v="211"/>
    <x v="274"/>
    <x v="5"/>
  </r>
  <r>
    <x v="0"/>
    <x v="174"/>
    <x v="174"/>
    <x v="34"/>
    <x v="34"/>
    <x v="34"/>
    <x v="18"/>
    <x v="287"/>
    <x v="456"/>
    <x v="77"/>
    <x v="83"/>
    <x v="211"/>
    <x v="274"/>
    <x v="5"/>
  </r>
  <r>
    <x v="0"/>
    <x v="174"/>
    <x v="174"/>
    <x v="7"/>
    <x v="7"/>
    <x v="7"/>
    <x v="18"/>
    <x v="287"/>
    <x v="456"/>
    <x v="48"/>
    <x v="526"/>
    <x v="211"/>
    <x v="274"/>
    <x v="5"/>
  </r>
  <r>
    <x v="0"/>
    <x v="174"/>
    <x v="174"/>
    <x v="36"/>
    <x v="36"/>
    <x v="36"/>
    <x v="18"/>
    <x v="287"/>
    <x v="456"/>
    <x v="77"/>
    <x v="83"/>
    <x v="160"/>
    <x v="15"/>
    <x v="5"/>
  </r>
  <r>
    <x v="0"/>
    <x v="175"/>
    <x v="175"/>
    <x v="1"/>
    <x v="1"/>
    <x v="1"/>
    <x v="0"/>
    <x v="140"/>
    <x v="902"/>
    <x v="57"/>
    <x v="538"/>
    <x v="160"/>
    <x v="542"/>
    <x v="5"/>
  </r>
  <r>
    <x v="0"/>
    <x v="175"/>
    <x v="175"/>
    <x v="3"/>
    <x v="3"/>
    <x v="3"/>
    <x v="1"/>
    <x v="163"/>
    <x v="903"/>
    <x v="50"/>
    <x v="901"/>
    <x v="208"/>
    <x v="484"/>
    <x v="5"/>
  </r>
  <r>
    <x v="0"/>
    <x v="175"/>
    <x v="175"/>
    <x v="0"/>
    <x v="0"/>
    <x v="0"/>
    <x v="2"/>
    <x v="164"/>
    <x v="899"/>
    <x v="117"/>
    <x v="902"/>
    <x v="209"/>
    <x v="132"/>
    <x v="5"/>
  </r>
  <r>
    <x v="0"/>
    <x v="175"/>
    <x v="175"/>
    <x v="4"/>
    <x v="4"/>
    <x v="4"/>
    <x v="3"/>
    <x v="279"/>
    <x v="887"/>
    <x v="64"/>
    <x v="134"/>
    <x v="212"/>
    <x v="608"/>
    <x v="5"/>
  </r>
  <r>
    <x v="0"/>
    <x v="175"/>
    <x v="175"/>
    <x v="6"/>
    <x v="6"/>
    <x v="6"/>
    <x v="3"/>
    <x v="279"/>
    <x v="887"/>
    <x v="53"/>
    <x v="903"/>
    <x v="210"/>
    <x v="739"/>
    <x v="10"/>
  </r>
  <r>
    <x v="0"/>
    <x v="175"/>
    <x v="175"/>
    <x v="9"/>
    <x v="9"/>
    <x v="9"/>
    <x v="5"/>
    <x v="263"/>
    <x v="76"/>
    <x v="53"/>
    <x v="903"/>
    <x v="211"/>
    <x v="274"/>
    <x v="5"/>
  </r>
  <r>
    <x v="0"/>
    <x v="175"/>
    <x v="175"/>
    <x v="5"/>
    <x v="5"/>
    <x v="5"/>
    <x v="6"/>
    <x v="268"/>
    <x v="901"/>
    <x v="53"/>
    <x v="903"/>
    <x v="163"/>
    <x v="186"/>
    <x v="5"/>
  </r>
  <r>
    <x v="0"/>
    <x v="175"/>
    <x v="175"/>
    <x v="2"/>
    <x v="2"/>
    <x v="2"/>
    <x v="7"/>
    <x v="247"/>
    <x v="894"/>
    <x v="65"/>
    <x v="641"/>
    <x v="163"/>
    <x v="186"/>
    <x v="5"/>
  </r>
  <r>
    <x v="0"/>
    <x v="175"/>
    <x v="175"/>
    <x v="13"/>
    <x v="13"/>
    <x v="13"/>
    <x v="8"/>
    <x v="248"/>
    <x v="527"/>
    <x v="52"/>
    <x v="891"/>
    <x v="209"/>
    <x v="132"/>
    <x v="5"/>
  </r>
  <r>
    <x v="0"/>
    <x v="175"/>
    <x v="175"/>
    <x v="11"/>
    <x v="11"/>
    <x v="11"/>
    <x v="8"/>
    <x v="248"/>
    <x v="527"/>
    <x v="51"/>
    <x v="821"/>
    <x v="163"/>
    <x v="186"/>
    <x v="5"/>
  </r>
  <r>
    <x v="0"/>
    <x v="175"/>
    <x v="175"/>
    <x v="7"/>
    <x v="7"/>
    <x v="7"/>
    <x v="8"/>
    <x v="248"/>
    <x v="527"/>
    <x v="82"/>
    <x v="904"/>
    <x v="211"/>
    <x v="274"/>
    <x v="5"/>
  </r>
  <r>
    <x v="0"/>
    <x v="175"/>
    <x v="175"/>
    <x v="35"/>
    <x v="35"/>
    <x v="35"/>
    <x v="11"/>
    <x v="249"/>
    <x v="50"/>
    <x v="64"/>
    <x v="134"/>
    <x v="209"/>
    <x v="132"/>
    <x v="5"/>
  </r>
  <r>
    <x v="0"/>
    <x v="175"/>
    <x v="175"/>
    <x v="17"/>
    <x v="17"/>
    <x v="17"/>
    <x v="12"/>
    <x v="250"/>
    <x v="318"/>
    <x v="48"/>
    <x v="379"/>
    <x v="209"/>
    <x v="132"/>
    <x v="5"/>
  </r>
  <r>
    <x v="0"/>
    <x v="175"/>
    <x v="175"/>
    <x v="10"/>
    <x v="10"/>
    <x v="10"/>
    <x v="12"/>
    <x v="250"/>
    <x v="318"/>
    <x v="52"/>
    <x v="891"/>
    <x v="160"/>
    <x v="542"/>
    <x v="5"/>
  </r>
  <r>
    <x v="0"/>
    <x v="175"/>
    <x v="175"/>
    <x v="8"/>
    <x v="8"/>
    <x v="8"/>
    <x v="14"/>
    <x v="251"/>
    <x v="232"/>
    <x v="48"/>
    <x v="379"/>
    <x v="163"/>
    <x v="186"/>
    <x v="5"/>
  </r>
  <r>
    <x v="0"/>
    <x v="175"/>
    <x v="175"/>
    <x v="28"/>
    <x v="28"/>
    <x v="28"/>
    <x v="14"/>
    <x v="251"/>
    <x v="232"/>
    <x v="77"/>
    <x v="83"/>
    <x v="209"/>
    <x v="132"/>
    <x v="5"/>
  </r>
  <r>
    <x v="0"/>
    <x v="175"/>
    <x v="175"/>
    <x v="16"/>
    <x v="16"/>
    <x v="16"/>
    <x v="14"/>
    <x v="251"/>
    <x v="232"/>
    <x v="77"/>
    <x v="83"/>
    <x v="209"/>
    <x v="132"/>
    <x v="5"/>
  </r>
  <r>
    <x v="0"/>
    <x v="175"/>
    <x v="175"/>
    <x v="12"/>
    <x v="12"/>
    <x v="12"/>
    <x v="14"/>
    <x v="251"/>
    <x v="232"/>
    <x v="48"/>
    <x v="379"/>
    <x v="163"/>
    <x v="186"/>
    <x v="5"/>
  </r>
  <r>
    <x v="0"/>
    <x v="175"/>
    <x v="175"/>
    <x v="30"/>
    <x v="30"/>
    <x v="30"/>
    <x v="14"/>
    <x v="251"/>
    <x v="232"/>
    <x v="52"/>
    <x v="891"/>
    <x v="211"/>
    <x v="274"/>
    <x v="5"/>
  </r>
  <r>
    <x v="0"/>
    <x v="175"/>
    <x v="175"/>
    <x v="14"/>
    <x v="14"/>
    <x v="14"/>
    <x v="14"/>
    <x v="251"/>
    <x v="232"/>
    <x v="77"/>
    <x v="83"/>
    <x v="160"/>
    <x v="542"/>
    <x v="5"/>
  </r>
  <r>
    <x v="0"/>
    <x v="175"/>
    <x v="175"/>
    <x v="21"/>
    <x v="21"/>
    <x v="21"/>
    <x v="14"/>
    <x v="251"/>
    <x v="232"/>
    <x v="77"/>
    <x v="83"/>
    <x v="163"/>
    <x v="186"/>
    <x v="4"/>
  </r>
  <r>
    <x v="0"/>
    <x v="176"/>
    <x v="176"/>
    <x v="0"/>
    <x v="0"/>
    <x v="0"/>
    <x v="0"/>
    <x v="137"/>
    <x v="904"/>
    <x v="98"/>
    <x v="651"/>
    <x v="163"/>
    <x v="186"/>
    <x v="5"/>
  </r>
  <r>
    <x v="0"/>
    <x v="176"/>
    <x v="176"/>
    <x v="1"/>
    <x v="1"/>
    <x v="1"/>
    <x v="1"/>
    <x v="258"/>
    <x v="905"/>
    <x v="117"/>
    <x v="905"/>
    <x v="211"/>
    <x v="274"/>
    <x v="5"/>
  </r>
  <r>
    <x v="0"/>
    <x v="176"/>
    <x v="176"/>
    <x v="3"/>
    <x v="3"/>
    <x v="3"/>
    <x v="2"/>
    <x v="259"/>
    <x v="383"/>
    <x v="65"/>
    <x v="403"/>
    <x v="214"/>
    <x v="740"/>
    <x v="5"/>
  </r>
  <r>
    <x v="0"/>
    <x v="176"/>
    <x v="176"/>
    <x v="2"/>
    <x v="2"/>
    <x v="2"/>
    <x v="3"/>
    <x v="267"/>
    <x v="841"/>
    <x v="70"/>
    <x v="906"/>
    <x v="132"/>
    <x v="183"/>
    <x v="5"/>
  </r>
  <r>
    <x v="0"/>
    <x v="176"/>
    <x v="176"/>
    <x v="11"/>
    <x v="11"/>
    <x v="11"/>
    <x v="4"/>
    <x v="280"/>
    <x v="492"/>
    <x v="51"/>
    <x v="405"/>
    <x v="189"/>
    <x v="126"/>
    <x v="5"/>
  </r>
  <r>
    <x v="0"/>
    <x v="176"/>
    <x v="176"/>
    <x v="4"/>
    <x v="4"/>
    <x v="4"/>
    <x v="5"/>
    <x v="268"/>
    <x v="582"/>
    <x v="48"/>
    <x v="417"/>
    <x v="206"/>
    <x v="485"/>
    <x v="5"/>
  </r>
  <r>
    <x v="0"/>
    <x v="176"/>
    <x v="176"/>
    <x v="6"/>
    <x v="6"/>
    <x v="6"/>
    <x v="5"/>
    <x v="268"/>
    <x v="582"/>
    <x v="64"/>
    <x v="595"/>
    <x v="190"/>
    <x v="541"/>
    <x v="5"/>
  </r>
  <r>
    <x v="0"/>
    <x v="176"/>
    <x v="176"/>
    <x v="7"/>
    <x v="7"/>
    <x v="7"/>
    <x v="7"/>
    <x v="269"/>
    <x v="493"/>
    <x v="50"/>
    <x v="565"/>
    <x v="211"/>
    <x v="274"/>
    <x v="5"/>
  </r>
  <r>
    <x v="0"/>
    <x v="176"/>
    <x v="176"/>
    <x v="5"/>
    <x v="5"/>
    <x v="5"/>
    <x v="8"/>
    <x v="247"/>
    <x v="240"/>
    <x v="65"/>
    <x v="403"/>
    <x v="163"/>
    <x v="186"/>
    <x v="5"/>
  </r>
  <r>
    <x v="0"/>
    <x v="176"/>
    <x v="176"/>
    <x v="13"/>
    <x v="13"/>
    <x v="13"/>
    <x v="8"/>
    <x v="247"/>
    <x v="240"/>
    <x v="65"/>
    <x v="403"/>
    <x v="163"/>
    <x v="186"/>
    <x v="5"/>
  </r>
  <r>
    <x v="0"/>
    <x v="176"/>
    <x v="176"/>
    <x v="12"/>
    <x v="12"/>
    <x v="12"/>
    <x v="10"/>
    <x v="248"/>
    <x v="494"/>
    <x v="48"/>
    <x v="417"/>
    <x v="132"/>
    <x v="183"/>
    <x v="5"/>
  </r>
  <r>
    <x v="0"/>
    <x v="176"/>
    <x v="176"/>
    <x v="30"/>
    <x v="30"/>
    <x v="30"/>
    <x v="10"/>
    <x v="248"/>
    <x v="494"/>
    <x v="52"/>
    <x v="104"/>
    <x v="209"/>
    <x v="132"/>
    <x v="5"/>
  </r>
  <r>
    <x v="0"/>
    <x v="176"/>
    <x v="176"/>
    <x v="8"/>
    <x v="8"/>
    <x v="8"/>
    <x v="12"/>
    <x v="249"/>
    <x v="95"/>
    <x v="77"/>
    <x v="83"/>
    <x v="210"/>
    <x v="739"/>
    <x v="5"/>
  </r>
  <r>
    <x v="0"/>
    <x v="176"/>
    <x v="176"/>
    <x v="9"/>
    <x v="9"/>
    <x v="9"/>
    <x v="12"/>
    <x v="249"/>
    <x v="95"/>
    <x v="51"/>
    <x v="405"/>
    <x v="211"/>
    <x v="274"/>
    <x v="5"/>
  </r>
  <r>
    <x v="0"/>
    <x v="176"/>
    <x v="176"/>
    <x v="32"/>
    <x v="32"/>
    <x v="32"/>
    <x v="14"/>
    <x v="250"/>
    <x v="495"/>
    <x v="48"/>
    <x v="417"/>
    <x v="209"/>
    <x v="132"/>
    <x v="5"/>
  </r>
  <r>
    <x v="0"/>
    <x v="176"/>
    <x v="176"/>
    <x v="28"/>
    <x v="28"/>
    <x v="28"/>
    <x v="15"/>
    <x v="251"/>
    <x v="53"/>
    <x v="77"/>
    <x v="83"/>
    <x v="209"/>
    <x v="132"/>
    <x v="5"/>
  </r>
  <r>
    <x v="0"/>
    <x v="176"/>
    <x v="176"/>
    <x v="23"/>
    <x v="23"/>
    <x v="23"/>
    <x v="15"/>
    <x v="251"/>
    <x v="53"/>
    <x v="77"/>
    <x v="83"/>
    <x v="209"/>
    <x v="132"/>
    <x v="5"/>
  </r>
  <r>
    <x v="0"/>
    <x v="176"/>
    <x v="176"/>
    <x v="31"/>
    <x v="31"/>
    <x v="31"/>
    <x v="15"/>
    <x v="251"/>
    <x v="53"/>
    <x v="77"/>
    <x v="83"/>
    <x v="209"/>
    <x v="132"/>
    <x v="5"/>
  </r>
  <r>
    <x v="0"/>
    <x v="176"/>
    <x v="176"/>
    <x v="27"/>
    <x v="27"/>
    <x v="27"/>
    <x v="15"/>
    <x v="251"/>
    <x v="53"/>
    <x v="48"/>
    <x v="417"/>
    <x v="163"/>
    <x v="186"/>
    <x v="5"/>
  </r>
  <r>
    <x v="0"/>
    <x v="176"/>
    <x v="176"/>
    <x v="38"/>
    <x v="38"/>
    <x v="38"/>
    <x v="19"/>
    <x v="252"/>
    <x v="496"/>
    <x v="48"/>
    <x v="417"/>
    <x v="160"/>
    <x v="542"/>
    <x v="5"/>
  </r>
  <r>
    <x v="0"/>
    <x v="176"/>
    <x v="176"/>
    <x v="55"/>
    <x v="55"/>
    <x v="55"/>
    <x v="19"/>
    <x v="252"/>
    <x v="496"/>
    <x v="77"/>
    <x v="83"/>
    <x v="163"/>
    <x v="186"/>
    <x v="5"/>
  </r>
  <r>
    <x v="0"/>
    <x v="176"/>
    <x v="176"/>
    <x v="52"/>
    <x v="52"/>
    <x v="52"/>
    <x v="19"/>
    <x v="252"/>
    <x v="496"/>
    <x v="77"/>
    <x v="83"/>
    <x v="163"/>
    <x v="186"/>
    <x v="5"/>
  </r>
  <r>
    <x v="0"/>
    <x v="176"/>
    <x v="176"/>
    <x v="24"/>
    <x v="24"/>
    <x v="24"/>
    <x v="19"/>
    <x v="252"/>
    <x v="496"/>
    <x v="77"/>
    <x v="83"/>
    <x v="163"/>
    <x v="186"/>
    <x v="5"/>
  </r>
  <r>
    <x v="0"/>
    <x v="176"/>
    <x v="176"/>
    <x v="10"/>
    <x v="10"/>
    <x v="10"/>
    <x v="19"/>
    <x v="252"/>
    <x v="496"/>
    <x v="64"/>
    <x v="595"/>
    <x v="211"/>
    <x v="274"/>
    <x v="5"/>
  </r>
  <r>
    <x v="0"/>
    <x v="176"/>
    <x v="176"/>
    <x v="19"/>
    <x v="19"/>
    <x v="19"/>
    <x v="19"/>
    <x v="252"/>
    <x v="496"/>
    <x v="48"/>
    <x v="417"/>
    <x v="160"/>
    <x v="542"/>
    <x v="5"/>
  </r>
  <r>
    <x v="0"/>
    <x v="176"/>
    <x v="176"/>
    <x v="34"/>
    <x v="34"/>
    <x v="34"/>
    <x v="19"/>
    <x v="252"/>
    <x v="496"/>
    <x v="77"/>
    <x v="83"/>
    <x v="160"/>
    <x v="542"/>
    <x v="5"/>
  </r>
  <r>
    <x v="0"/>
    <x v="176"/>
    <x v="176"/>
    <x v="14"/>
    <x v="14"/>
    <x v="14"/>
    <x v="19"/>
    <x v="252"/>
    <x v="496"/>
    <x v="77"/>
    <x v="83"/>
    <x v="211"/>
    <x v="274"/>
    <x v="5"/>
  </r>
  <r>
    <x v="0"/>
    <x v="176"/>
    <x v="176"/>
    <x v="29"/>
    <x v="29"/>
    <x v="29"/>
    <x v="19"/>
    <x v="252"/>
    <x v="496"/>
    <x v="64"/>
    <x v="595"/>
    <x v="211"/>
    <x v="274"/>
    <x v="5"/>
  </r>
  <r>
    <x v="0"/>
    <x v="177"/>
    <x v="177"/>
    <x v="0"/>
    <x v="0"/>
    <x v="0"/>
    <x v="0"/>
    <x v="268"/>
    <x v="580"/>
    <x v="96"/>
    <x v="907"/>
    <x v="211"/>
    <x v="274"/>
    <x v="5"/>
  </r>
  <r>
    <x v="0"/>
    <x v="177"/>
    <x v="177"/>
    <x v="4"/>
    <x v="4"/>
    <x v="4"/>
    <x v="1"/>
    <x v="249"/>
    <x v="841"/>
    <x v="48"/>
    <x v="365"/>
    <x v="132"/>
    <x v="561"/>
    <x v="5"/>
  </r>
  <r>
    <x v="0"/>
    <x v="177"/>
    <x v="177"/>
    <x v="3"/>
    <x v="3"/>
    <x v="3"/>
    <x v="1"/>
    <x v="249"/>
    <x v="841"/>
    <x v="64"/>
    <x v="678"/>
    <x v="209"/>
    <x v="570"/>
    <x v="5"/>
  </r>
  <r>
    <x v="0"/>
    <x v="177"/>
    <x v="177"/>
    <x v="1"/>
    <x v="1"/>
    <x v="1"/>
    <x v="1"/>
    <x v="249"/>
    <x v="841"/>
    <x v="51"/>
    <x v="500"/>
    <x v="160"/>
    <x v="33"/>
    <x v="5"/>
  </r>
  <r>
    <x v="0"/>
    <x v="177"/>
    <x v="177"/>
    <x v="6"/>
    <x v="6"/>
    <x v="6"/>
    <x v="4"/>
    <x v="250"/>
    <x v="498"/>
    <x v="64"/>
    <x v="678"/>
    <x v="163"/>
    <x v="383"/>
    <x v="5"/>
  </r>
  <r>
    <x v="0"/>
    <x v="177"/>
    <x v="177"/>
    <x v="26"/>
    <x v="26"/>
    <x v="26"/>
    <x v="4"/>
    <x v="250"/>
    <x v="498"/>
    <x v="48"/>
    <x v="365"/>
    <x v="209"/>
    <x v="570"/>
    <x v="5"/>
  </r>
  <r>
    <x v="0"/>
    <x v="177"/>
    <x v="177"/>
    <x v="2"/>
    <x v="2"/>
    <x v="2"/>
    <x v="6"/>
    <x v="251"/>
    <x v="582"/>
    <x v="48"/>
    <x v="365"/>
    <x v="163"/>
    <x v="383"/>
    <x v="5"/>
  </r>
  <r>
    <x v="0"/>
    <x v="177"/>
    <x v="177"/>
    <x v="28"/>
    <x v="28"/>
    <x v="28"/>
    <x v="7"/>
    <x v="252"/>
    <x v="494"/>
    <x v="77"/>
    <x v="83"/>
    <x v="160"/>
    <x v="33"/>
    <x v="4"/>
  </r>
  <r>
    <x v="0"/>
    <x v="177"/>
    <x v="177"/>
    <x v="15"/>
    <x v="15"/>
    <x v="15"/>
    <x v="7"/>
    <x v="252"/>
    <x v="494"/>
    <x v="77"/>
    <x v="83"/>
    <x v="163"/>
    <x v="383"/>
    <x v="5"/>
  </r>
  <r>
    <x v="0"/>
    <x v="177"/>
    <x v="177"/>
    <x v="20"/>
    <x v="20"/>
    <x v="20"/>
    <x v="7"/>
    <x v="252"/>
    <x v="494"/>
    <x v="77"/>
    <x v="83"/>
    <x v="163"/>
    <x v="383"/>
    <x v="5"/>
  </r>
  <r>
    <x v="0"/>
    <x v="177"/>
    <x v="177"/>
    <x v="12"/>
    <x v="12"/>
    <x v="12"/>
    <x v="7"/>
    <x v="252"/>
    <x v="494"/>
    <x v="48"/>
    <x v="365"/>
    <x v="160"/>
    <x v="33"/>
    <x v="5"/>
  </r>
  <r>
    <x v="0"/>
    <x v="177"/>
    <x v="177"/>
    <x v="9"/>
    <x v="9"/>
    <x v="9"/>
    <x v="7"/>
    <x v="252"/>
    <x v="494"/>
    <x v="64"/>
    <x v="678"/>
    <x v="211"/>
    <x v="274"/>
    <x v="5"/>
  </r>
  <r>
    <x v="0"/>
    <x v="177"/>
    <x v="177"/>
    <x v="7"/>
    <x v="7"/>
    <x v="7"/>
    <x v="7"/>
    <x v="252"/>
    <x v="494"/>
    <x v="64"/>
    <x v="678"/>
    <x v="211"/>
    <x v="274"/>
    <x v="5"/>
  </r>
  <r>
    <x v="0"/>
    <x v="177"/>
    <x v="177"/>
    <x v="14"/>
    <x v="14"/>
    <x v="14"/>
    <x v="7"/>
    <x v="252"/>
    <x v="494"/>
    <x v="77"/>
    <x v="83"/>
    <x v="211"/>
    <x v="274"/>
    <x v="5"/>
  </r>
  <r>
    <x v="0"/>
    <x v="177"/>
    <x v="177"/>
    <x v="29"/>
    <x v="29"/>
    <x v="29"/>
    <x v="7"/>
    <x v="252"/>
    <x v="494"/>
    <x v="64"/>
    <x v="678"/>
    <x v="211"/>
    <x v="274"/>
    <x v="5"/>
  </r>
  <r>
    <x v="0"/>
    <x v="177"/>
    <x v="177"/>
    <x v="5"/>
    <x v="5"/>
    <x v="5"/>
    <x v="15"/>
    <x v="287"/>
    <x v="53"/>
    <x v="77"/>
    <x v="83"/>
    <x v="160"/>
    <x v="33"/>
    <x v="5"/>
  </r>
  <r>
    <x v="0"/>
    <x v="177"/>
    <x v="177"/>
    <x v="8"/>
    <x v="8"/>
    <x v="8"/>
    <x v="15"/>
    <x v="287"/>
    <x v="53"/>
    <x v="77"/>
    <x v="83"/>
    <x v="160"/>
    <x v="33"/>
    <x v="5"/>
  </r>
  <r>
    <x v="0"/>
    <x v="177"/>
    <x v="177"/>
    <x v="39"/>
    <x v="39"/>
    <x v="39"/>
    <x v="15"/>
    <x v="287"/>
    <x v="53"/>
    <x v="48"/>
    <x v="365"/>
    <x v="211"/>
    <x v="274"/>
    <x v="5"/>
  </r>
  <r>
    <x v="0"/>
    <x v="177"/>
    <x v="177"/>
    <x v="72"/>
    <x v="72"/>
    <x v="72"/>
    <x v="15"/>
    <x v="287"/>
    <x v="53"/>
    <x v="77"/>
    <x v="83"/>
    <x v="160"/>
    <x v="33"/>
    <x v="5"/>
  </r>
  <r>
    <x v="0"/>
    <x v="177"/>
    <x v="177"/>
    <x v="55"/>
    <x v="55"/>
    <x v="55"/>
    <x v="15"/>
    <x v="287"/>
    <x v="53"/>
    <x v="77"/>
    <x v="83"/>
    <x v="160"/>
    <x v="33"/>
    <x v="5"/>
  </r>
  <r>
    <x v="0"/>
    <x v="177"/>
    <x v="177"/>
    <x v="52"/>
    <x v="52"/>
    <x v="52"/>
    <x v="15"/>
    <x v="287"/>
    <x v="53"/>
    <x v="77"/>
    <x v="83"/>
    <x v="160"/>
    <x v="33"/>
    <x v="5"/>
  </r>
  <r>
    <x v="0"/>
    <x v="177"/>
    <x v="177"/>
    <x v="41"/>
    <x v="41"/>
    <x v="41"/>
    <x v="15"/>
    <x v="287"/>
    <x v="53"/>
    <x v="77"/>
    <x v="83"/>
    <x v="211"/>
    <x v="274"/>
    <x v="5"/>
  </r>
  <r>
    <x v="0"/>
    <x v="177"/>
    <x v="177"/>
    <x v="48"/>
    <x v="48"/>
    <x v="48"/>
    <x v="15"/>
    <x v="287"/>
    <x v="53"/>
    <x v="48"/>
    <x v="365"/>
    <x v="211"/>
    <x v="274"/>
    <x v="5"/>
  </r>
  <r>
    <x v="0"/>
    <x v="177"/>
    <x v="177"/>
    <x v="18"/>
    <x v="18"/>
    <x v="18"/>
    <x v="15"/>
    <x v="287"/>
    <x v="53"/>
    <x v="48"/>
    <x v="365"/>
    <x v="211"/>
    <x v="274"/>
    <x v="5"/>
  </r>
  <r>
    <x v="0"/>
    <x v="177"/>
    <x v="177"/>
    <x v="13"/>
    <x v="13"/>
    <x v="13"/>
    <x v="15"/>
    <x v="287"/>
    <x v="53"/>
    <x v="77"/>
    <x v="83"/>
    <x v="160"/>
    <x v="33"/>
    <x v="5"/>
  </r>
  <r>
    <x v="0"/>
    <x v="177"/>
    <x v="177"/>
    <x v="31"/>
    <x v="31"/>
    <x v="31"/>
    <x v="15"/>
    <x v="287"/>
    <x v="53"/>
    <x v="77"/>
    <x v="83"/>
    <x v="160"/>
    <x v="33"/>
    <x v="5"/>
  </r>
  <r>
    <x v="0"/>
    <x v="177"/>
    <x v="177"/>
    <x v="10"/>
    <x v="10"/>
    <x v="10"/>
    <x v="15"/>
    <x v="287"/>
    <x v="53"/>
    <x v="48"/>
    <x v="365"/>
    <x v="211"/>
    <x v="274"/>
    <x v="5"/>
  </r>
  <r>
    <x v="0"/>
    <x v="177"/>
    <x v="177"/>
    <x v="30"/>
    <x v="30"/>
    <x v="30"/>
    <x v="15"/>
    <x v="287"/>
    <x v="53"/>
    <x v="48"/>
    <x v="365"/>
    <x v="211"/>
    <x v="274"/>
    <x v="5"/>
  </r>
  <r>
    <x v="0"/>
    <x v="177"/>
    <x v="177"/>
    <x v="19"/>
    <x v="19"/>
    <x v="19"/>
    <x v="15"/>
    <x v="287"/>
    <x v="53"/>
    <x v="77"/>
    <x v="83"/>
    <x v="160"/>
    <x v="33"/>
    <x v="5"/>
  </r>
  <r>
    <x v="0"/>
    <x v="177"/>
    <x v="177"/>
    <x v="21"/>
    <x v="21"/>
    <x v="21"/>
    <x v="15"/>
    <x v="287"/>
    <x v="53"/>
    <x v="77"/>
    <x v="83"/>
    <x v="160"/>
    <x v="33"/>
    <x v="5"/>
  </r>
  <r>
    <x v="0"/>
    <x v="178"/>
    <x v="178"/>
    <x v="0"/>
    <x v="0"/>
    <x v="0"/>
    <x v="0"/>
    <x v="245"/>
    <x v="844"/>
    <x v="76"/>
    <x v="908"/>
    <x v="163"/>
    <x v="33"/>
    <x v="5"/>
  </r>
  <r>
    <x v="0"/>
    <x v="178"/>
    <x v="178"/>
    <x v="3"/>
    <x v="3"/>
    <x v="3"/>
    <x v="1"/>
    <x v="267"/>
    <x v="745"/>
    <x v="53"/>
    <x v="843"/>
    <x v="206"/>
    <x v="561"/>
    <x v="5"/>
  </r>
  <r>
    <x v="0"/>
    <x v="178"/>
    <x v="178"/>
    <x v="6"/>
    <x v="6"/>
    <x v="6"/>
    <x v="2"/>
    <x v="264"/>
    <x v="157"/>
    <x v="82"/>
    <x v="748"/>
    <x v="210"/>
    <x v="323"/>
    <x v="5"/>
  </r>
  <r>
    <x v="0"/>
    <x v="178"/>
    <x v="178"/>
    <x v="4"/>
    <x v="4"/>
    <x v="4"/>
    <x v="3"/>
    <x v="268"/>
    <x v="588"/>
    <x v="64"/>
    <x v="750"/>
    <x v="190"/>
    <x v="553"/>
    <x v="5"/>
  </r>
  <r>
    <x v="0"/>
    <x v="178"/>
    <x v="178"/>
    <x v="1"/>
    <x v="1"/>
    <x v="1"/>
    <x v="3"/>
    <x v="268"/>
    <x v="588"/>
    <x v="96"/>
    <x v="909"/>
    <x v="211"/>
    <x v="274"/>
    <x v="5"/>
  </r>
  <r>
    <x v="0"/>
    <x v="178"/>
    <x v="178"/>
    <x v="2"/>
    <x v="2"/>
    <x v="2"/>
    <x v="5"/>
    <x v="269"/>
    <x v="770"/>
    <x v="82"/>
    <x v="748"/>
    <x v="160"/>
    <x v="253"/>
    <x v="5"/>
  </r>
  <r>
    <x v="0"/>
    <x v="178"/>
    <x v="178"/>
    <x v="9"/>
    <x v="9"/>
    <x v="9"/>
    <x v="6"/>
    <x v="247"/>
    <x v="845"/>
    <x v="64"/>
    <x v="750"/>
    <x v="163"/>
    <x v="33"/>
    <x v="5"/>
  </r>
  <r>
    <x v="0"/>
    <x v="178"/>
    <x v="178"/>
    <x v="5"/>
    <x v="5"/>
    <x v="5"/>
    <x v="7"/>
    <x v="249"/>
    <x v="771"/>
    <x v="52"/>
    <x v="812"/>
    <x v="163"/>
    <x v="33"/>
    <x v="5"/>
  </r>
  <r>
    <x v="0"/>
    <x v="178"/>
    <x v="178"/>
    <x v="8"/>
    <x v="8"/>
    <x v="8"/>
    <x v="7"/>
    <x v="249"/>
    <x v="771"/>
    <x v="52"/>
    <x v="812"/>
    <x v="163"/>
    <x v="33"/>
    <x v="5"/>
  </r>
  <r>
    <x v="0"/>
    <x v="178"/>
    <x v="178"/>
    <x v="30"/>
    <x v="30"/>
    <x v="30"/>
    <x v="7"/>
    <x v="249"/>
    <x v="771"/>
    <x v="65"/>
    <x v="811"/>
    <x v="211"/>
    <x v="274"/>
    <x v="5"/>
  </r>
  <r>
    <x v="0"/>
    <x v="178"/>
    <x v="178"/>
    <x v="14"/>
    <x v="14"/>
    <x v="14"/>
    <x v="7"/>
    <x v="249"/>
    <x v="771"/>
    <x v="77"/>
    <x v="83"/>
    <x v="163"/>
    <x v="33"/>
    <x v="5"/>
  </r>
  <r>
    <x v="0"/>
    <x v="178"/>
    <x v="178"/>
    <x v="13"/>
    <x v="13"/>
    <x v="13"/>
    <x v="11"/>
    <x v="250"/>
    <x v="94"/>
    <x v="48"/>
    <x v="35"/>
    <x v="209"/>
    <x v="446"/>
    <x v="5"/>
  </r>
  <r>
    <x v="0"/>
    <x v="178"/>
    <x v="178"/>
    <x v="42"/>
    <x v="42"/>
    <x v="42"/>
    <x v="12"/>
    <x v="251"/>
    <x v="179"/>
    <x v="48"/>
    <x v="35"/>
    <x v="163"/>
    <x v="33"/>
    <x v="5"/>
  </r>
  <r>
    <x v="0"/>
    <x v="178"/>
    <x v="178"/>
    <x v="35"/>
    <x v="35"/>
    <x v="35"/>
    <x v="12"/>
    <x v="251"/>
    <x v="179"/>
    <x v="48"/>
    <x v="35"/>
    <x v="163"/>
    <x v="33"/>
    <x v="5"/>
  </r>
  <r>
    <x v="0"/>
    <x v="178"/>
    <x v="178"/>
    <x v="11"/>
    <x v="11"/>
    <x v="11"/>
    <x v="12"/>
    <x v="251"/>
    <x v="179"/>
    <x v="48"/>
    <x v="35"/>
    <x v="163"/>
    <x v="33"/>
    <x v="5"/>
  </r>
  <r>
    <x v="0"/>
    <x v="178"/>
    <x v="178"/>
    <x v="12"/>
    <x v="12"/>
    <x v="12"/>
    <x v="12"/>
    <x v="251"/>
    <x v="179"/>
    <x v="48"/>
    <x v="35"/>
    <x v="163"/>
    <x v="33"/>
    <x v="5"/>
  </r>
  <r>
    <x v="0"/>
    <x v="178"/>
    <x v="178"/>
    <x v="7"/>
    <x v="7"/>
    <x v="7"/>
    <x v="12"/>
    <x v="251"/>
    <x v="179"/>
    <x v="64"/>
    <x v="750"/>
    <x v="160"/>
    <x v="253"/>
    <x v="5"/>
  </r>
  <r>
    <x v="0"/>
    <x v="178"/>
    <x v="178"/>
    <x v="27"/>
    <x v="27"/>
    <x v="27"/>
    <x v="12"/>
    <x v="251"/>
    <x v="179"/>
    <x v="64"/>
    <x v="750"/>
    <x v="160"/>
    <x v="253"/>
    <x v="5"/>
  </r>
  <r>
    <x v="0"/>
    <x v="178"/>
    <x v="178"/>
    <x v="32"/>
    <x v="32"/>
    <x v="32"/>
    <x v="18"/>
    <x v="252"/>
    <x v="209"/>
    <x v="77"/>
    <x v="83"/>
    <x v="163"/>
    <x v="33"/>
    <x v="5"/>
  </r>
  <r>
    <x v="0"/>
    <x v="178"/>
    <x v="178"/>
    <x v="23"/>
    <x v="23"/>
    <x v="23"/>
    <x v="18"/>
    <x v="252"/>
    <x v="209"/>
    <x v="48"/>
    <x v="35"/>
    <x v="160"/>
    <x v="253"/>
    <x v="5"/>
  </r>
  <r>
    <x v="0"/>
    <x v="178"/>
    <x v="178"/>
    <x v="31"/>
    <x v="31"/>
    <x v="31"/>
    <x v="18"/>
    <x v="252"/>
    <x v="209"/>
    <x v="77"/>
    <x v="83"/>
    <x v="163"/>
    <x v="33"/>
    <x v="5"/>
  </r>
  <r>
    <x v="0"/>
    <x v="178"/>
    <x v="178"/>
    <x v="26"/>
    <x v="26"/>
    <x v="26"/>
    <x v="18"/>
    <x v="252"/>
    <x v="209"/>
    <x v="48"/>
    <x v="35"/>
    <x v="160"/>
    <x v="253"/>
    <x v="5"/>
  </r>
  <r>
    <x v="0"/>
    <x v="178"/>
    <x v="178"/>
    <x v="29"/>
    <x v="29"/>
    <x v="29"/>
    <x v="18"/>
    <x v="252"/>
    <x v="209"/>
    <x v="48"/>
    <x v="35"/>
    <x v="160"/>
    <x v="253"/>
    <x v="5"/>
  </r>
  <r>
    <x v="0"/>
    <x v="179"/>
    <x v="179"/>
    <x v="1"/>
    <x v="1"/>
    <x v="1"/>
    <x v="0"/>
    <x v="257"/>
    <x v="906"/>
    <x v="132"/>
    <x v="910"/>
    <x v="206"/>
    <x v="741"/>
    <x v="5"/>
  </r>
  <r>
    <x v="0"/>
    <x v="179"/>
    <x v="179"/>
    <x v="5"/>
    <x v="5"/>
    <x v="5"/>
    <x v="1"/>
    <x v="278"/>
    <x v="907"/>
    <x v="34"/>
    <x v="911"/>
    <x v="219"/>
    <x v="593"/>
    <x v="5"/>
  </r>
  <r>
    <x v="0"/>
    <x v="179"/>
    <x v="179"/>
    <x v="4"/>
    <x v="4"/>
    <x v="4"/>
    <x v="2"/>
    <x v="133"/>
    <x v="908"/>
    <x v="96"/>
    <x v="345"/>
    <x v="103"/>
    <x v="742"/>
    <x v="5"/>
  </r>
  <r>
    <x v="0"/>
    <x v="179"/>
    <x v="179"/>
    <x v="2"/>
    <x v="2"/>
    <x v="2"/>
    <x v="2"/>
    <x v="133"/>
    <x v="908"/>
    <x v="131"/>
    <x v="912"/>
    <x v="197"/>
    <x v="15"/>
    <x v="5"/>
  </r>
  <r>
    <x v="0"/>
    <x v="179"/>
    <x v="179"/>
    <x v="0"/>
    <x v="0"/>
    <x v="0"/>
    <x v="2"/>
    <x v="133"/>
    <x v="908"/>
    <x v="63"/>
    <x v="913"/>
    <x v="190"/>
    <x v="53"/>
    <x v="5"/>
  </r>
  <r>
    <x v="0"/>
    <x v="179"/>
    <x v="179"/>
    <x v="13"/>
    <x v="13"/>
    <x v="13"/>
    <x v="5"/>
    <x v="136"/>
    <x v="909"/>
    <x v="51"/>
    <x v="407"/>
    <x v="145"/>
    <x v="701"/>
    <x v="5"/>
  </r>
  <r>
    <x v="0"/>
    <x v="179"/>
    <x v="179"/>
    <x v="3"/>
    <x v="3"/>
    <x v="3"/>
    <x v="6"/>
    <x v="174"/>
    <x v="303"/>
    <x v="53"/>
    <x v="797"/>
    <x v="131"/>
    <x v="93"/>
    <x v="5"/>
  </r>
  <r>
    <x v="0"/>
    <x v="179"/>
    <x v="179"/>
    <x v="8"/>
    <x v="8"/>
    <x v="8"/>
    <x v="7"/>
    <x v="138"/>
    <x v="90"/>
    <x v="50"/>
    <x v="377"/>
    <x v="150"/>
    <x v="743"/>
    <x v="5"/>
  </r>
  <r>
    <x v="0"/>
    <x v="179"/>
    <x v="179"/>
    <x v="9"/>
    <x v="9"/>
    <x v="9"/>
    <x v="8"/>
    <x v="260"/>
    <x v="727"/>
    <x v="92"/>
    <x v="914"/>
    <x v="209"/>
    <x v="393"/>
    <x v="5"/>
  </r>
  <r>
    <x v="0"/>
    <x v="179"/>
    <x v="179"/>
    <x v="7"/>
    <x v="7"/>
    <x v="7"/>
    <x v="9"/>
    <x v="258"/>
    <x v="80"/>
    <x v="111"/>
    <x v="794"/>
    <x v="210"/>
    <x v="744"/>
    <x v="5"/>
  </r>
  <r>
    <x v="0"/>
    <x v="179"/>
    <x v="179"/>
    <x v="27"/>
    <x v="27"/>
    <x v="27"/>
    <x v="10"/>
    <x v="259"/>
    <x v="372"/>
    <x v="96"/>
    <x v="345"/>
    <x v="197"/>
    <x v="15"/>
    <x v="5"/>
  </r>
  <r>
    <x v="0"/>
    <x v="179"/>
    <x v="179"/>
    <x v="17"/>
    <x v="17"/>
    <x v="17"/>
    <x v="11"/>
    <x v="246"/>
    <x v="610"/>
    <x v="52"/>
    <x v="798"/>
    <x v="215"/>
    <x v="287"/>
    <x v="5"/>
  </r>
  <r>
    <x v="0"/>
    <x v="179"/>
    <x v="179"/>
    <x v="11"/>
    <x v="11"/>
    <x v="11"/>
    <x v="11"/>
    <x v="246"/>
    <x v="610"/>
    <x v="82"/>
    <x v="796"/>
    <x v="190"/>
    <x v="53"/>
    <x v="5"/>
  </r>
  <r>
    <x v="0"/>
    <x v="179"/>
    <x v="179"/>
    <x v="23"/>
    <x v="23"/>
    <x v="23"/>
    <x v="13"/>
    <x v="264"/>
    <x v="276"/>
    <x v="65"/>
    <x v="537"/>
    <x v="189"/>
    <x v="146"/>
    <x v="5"/>
  </r>
  <r>
    <x v="0"/>
    <x v="179"/>
    <x v="179"/>
    <x v="40"/>
    <x v="40"/>
    <x v="40"/>
    <x v="14"/>
    <x v="280"/>
    <x v="114"/>
    <x v="53"/>
    <x v="797"/>
    <x v="209"/>
    <x v="393"/>
    <x v="5"/>
  </r>
  <r>
    <x v="0"/>
    <x v="179"/>
    <x v="179"/>
    <x v="14"/>
    <x v="14"/>
    <x v="14"/>
    <x v="14"/>
    <x v="280"/>
    <x v="114"/>
    <x v="77"/>
    <x v="83"/>
    <x v="206"/>
    <x v="741"/>
    <x v="5"/>
  </r>
  <r>
    <x v="0"/>
    <x v="179"/>
    <x v="179"/>
    <x v="6"/>
    <x v="6"/>
    <x v="6"/>
    <x v="16"/>
    <x v="268"/>
    <x v="98"/>
    <x v="51"/>
    <x v="407"/>
    <x v="210"/>
    <x v="744"/>
    <x v="5"/>
  </r>
  <r>
    <x v="0"/>
    <x v="179"/>
    <x v="179"/>
    <x v="12"/>
    <x v="12"/>
    <x v="12"/>
    <x v="16"/>
    <x v="268"/>
    <x v="98"/>
    <x v="51"/>
    <x v="407"/>
    <x v="210"/>
    <x v="744"/>
    <x v="5"/>
  </r>
  <r>
    <x v="0"/>
    <x v="179"/>
    <x v="179"/>
    <x v="28"/>
    <x v="28"/>
    <x v="28"/>
    <x v="18"/>
    <x v="269"/>
    <x v="231"/>
    <x v="77"/>
    <x v="83"/>
    <x v="206"/>
    <x v="741"/>
    <x v="5"/>
  </r>
  <r>
    <x v="0"/>
    <x v="179"/>
    <x v="179"/>
    <x v="16"/>
    <x v="16"/>
    <x v="16"/>
    <x v="18"/>
    <x v="269"/>
    <x v="231"/>
    <x v="77"/>
    <x v="83"/>
    <x v="206"/>
    <x v="741"/>
    <x v="5"/>
  </r>
  <r>
    <x v="0"/>
    <x v="180"/>
    <x v="180"/>
    <x v="0"/>
    <x v="0"/>
    <x v="0"/>
    <x v="0"/>
    <x v="218"/>
    <x v="744"/>
    <x v="119"/>
    <x v="915"/>
    <x v="163"/>
    <x v="502"/>
    <x v="5"/>
  </r>
  <r>
    <x v="0"/>
    <x v="180"/>
    <x v="180"/>
    <x v="1"/>
    <x v="1"/>
    <x v="1"/>
    <x v="1"/>
    <x v="138"/>
    <x v="280"/>
    <x v="110"/>
    <x v="916"/>
    <x v="163"/>
    <x v="502"/>
    <x v="5"/>
  </r>
  <r>
    <x v="0"/>
    <x v="180"/>
    <x v="180"/>
    <x v="3"/>
    <x v="3"/>
    <x v="3"/>
    <x v="2"/>
    <x v="139"/>
    <x v="671"/>
    <x v="70"/>
    <x v="176"/>
    <x v="208"/>
    <x v="745"/>
    <x v="5"/>
  </r>
  <r>
    <x v="0"/>
    <x v="180"/>
    <x v="180"/>
    <x v="6"/>
    <x v="6"/>
    <x v="6"/>
    <x v="3"/>
    <x v="260"/>
    <x v="910"/>
    <x v="82"/>
    <x v="361"/>
    <x v="214"/>
    <x v="746"/>
    <x v="10"/>
  </r>
  <r>
    <x v="0"/>
    <x v="180"/>
    <x v="180"/>
    <x v="2"/>
    <x v="2"/>
    <x v="2"/>
    <x v="4"/>
    <x v="258"/>
    <x v="911"/>
    <x v="31"/>
    <x v="442"/>
    <x v="209"/>
    <x v="471"/>
    <x v="5"/>
  </r>
  <r>
    <x v="0"/>
    <x v="180"/>
    <x v="180"/>
    <x v="4"/>
    <x v="4"/>
    <x v="4"/>
    <x v="5"/>
    <x v="261"/>
    <x v="912"/>
    <x v="82"/>
    <x v="361"/>
    <x v="213"/>
    <x v="670"/>
    <x v="5"/>
  </r>
  <r>
    <x v="0"/>
    <x v="180"/>
    <x v="180"/>
    <x v="5"/>
    <x v="5"/>
    <x v="5"/>
    <x v="6"/>
    <x v="263"/>
    <x v="91"/>
    <x v="51"/>
    <x v="260"/>
    <x v="206"/>
    <x v="747"/>
    <x v="5"/>
  </r>
  <r>
    <x v="0"/>
    <x v="180"/>
    <x v="180"/>
    <x v="11"/>
    <x v="11"/>
    <x v="11"/>
    <x v="6"/>
    <x v="263"/>
    <x v="91"/>
    <x v="51"/>
    <x v="260"/>
    <x v="206"/>
    <x v="747"/>
    <x v="5"/>
  </r>
  <r>
    <x v="0"/>
    <x v="180"/>
    <x v="180"/>
    <x v="28"/>
    <x v="28"/>
    <x v="28"/>
    <x v="8"/>
    <x v="264"/>
    <x v="132"/>
    <x v="77"/>
    <x v="83"/>
    <x v="213"/>
    <x v="670"/>
    <x v="5"/>
  </r>
  <r>
    <x v="0"/>
    <x v="180"/>
    <x v="180"/>
    <x v="18"/>
    <x v="18"/>
    <x v="18"/>
    <x v="9"/>
    <x v="280"/>
    <x v="771"/>
    <x v="64"/>
    <x v="364"/>
    <x v="206"/>
    <x v="747"/>
    <x v="5"/>
  </r>
  <r>
    <x v="0"/>
    <x v="180"/>
    <x v="180"/>
    <x v="9"/>
    <x v="9"/>
    <x v="9"/>
    <x v="9"/>
    <x v="280"/>
    <x v="771"/>
    <x v="65"/>
    <x v="363"/>
    <x v="211"/>
    <x v="274"/>
    <x v="5"/>
  </r>
  <r>
    <x v="0"/>
    <x v="180"/>
    <x v="180"/>
    <x v="44"/>
    <x v="44"/>
    <x v="44"/>
    <x v="11"/>
    <x v="247"/>
    <x v="135"/>
    <x v="65"/>
    <x v="363"/>
    <x v="163"/>
    <x v="502"/>
    <x v="5"/>
  </r>
  <r>
    <x v="0"/>
    <x v="180"/>
    <x v="180"/>
    <x v="8"/>
    <x v="8"/>
    <x v="8"/>
    <x v="12"/>
    <x v="248"/>
    <x v="179"/>
    <x v="64"/>
    <x v="364"/>
    <x v="132"/>
    <x v="676"/>
    <x v="5"/>
  </r>
  <r>
    <x v="0"/>
    <x v="180"/>
    <x v="180"/>
    <x v="13"/>
    <x v="13"/>
    <x v="13"/>
    <x v="12"/>
    <x v="248"/>
    <x v="179"/>
    <x v="52"/>
    <x v="447"/>
    <x v="209"/>
    <x v="471"/>
    <x v="5"/>
  </r>
  <r>
    <x v="0"/>
    <x v="180"/>
    <x v="180"/>
    <x v="7"/>
    <x v="7"/>
    <x v="7"/>
    <x v="12"/>
    <x v="248"/>
    <x v="179"/>
    <x v="82"/>
    <x v="361"/>
    <x v="211"/>
    <x v="274"/>
    <x v="5"/>
  </r>
  <r>
    <x v="0"/>
    <x v="180"/>
    <x v="180"/>
    <x v="17"/>
    <x v="17"/>
    <x v="17"/>
    <x v="15"/>
    <x v="249"/>
    <x v="394"/>
    <x v="64"/>
    <x v="364"/>
    <x v="209"/>
    <x v="471"/>
    <x v="5"/>
  </r>
  <r>
    <x v="0"/>
    <x v="180"/>
    <x v="180"/>
    <x v="14"/>
    <x v="14"/>
    <x v="14"/>
    <x v="15"/>
    <x v="249"/>
    <x v="394"/>
    <x v="77"/>
    <x v="83"/>
    <x v="209"/>
    <x v="471"/>
    <x v="5"/>
  </r>
  <r>
    <x v="0"/>
    <x v="180"/>
    <x v="180"/>
    <x v="27"/>
    <x v="27"/>
    <x v="27"/>
    <x v="15"/>
    <x v="249"/>
    <x v="394"/>
    <x v="51"/>
    <x v="260"/>
    <x v="160"/>
    <x v="675"/>
    <x v="5"/>
  </r>
  <r>
    <x v="0"/>
    <x v="180"/>
    <x v="180"/>
    <x v="29"/>
    <x v="29"/>
    <x v="29"/>
    <x v="15"/>
    <x v="249"/>
    <x v="394"/>
    <x v="51"/>
    <x v="260"/>
    <x v="160"/>
    <x v="675"/>
    <x v="5"/>
  </r>
  <r>
    <x v="0"/>
    <x v="180"/>
    <x v="180"/>
    <x v="19"/>
    <x v="19"/>
    <x v="19"/>
    <x v="19"/>
    <x v="250"/>
    <x v="209"/>
    <x v="64"/>
    <x v="364"/>
    <x v="160"/>
    <x v="675"/>
    <x v="5"/>
  </r>
  <r>
    <x v="0"/>
    <x v="181"/>
    <x v="181"/>
    <x v="0"/>
    <x v="0"/>
    <x v="0"/>
    <x v="0"/>
    <x v="258"/>
    <x v="913"/>
    <x v="76"/>
    <x v="917"/>
    <x v="160"/>
    <x v="159"/>
    <x v="5"/>
  </r>
  <r>
    <x v="0"/>
    <x v="181"/>
    <x v="181"/>
    <x v="1"/>
    <x v="1"/>
    <x v="1"/>
    <x v="1"/>
    <x v="259"/>
    <x v="786"/>
    <x v="76"/>
    <x v="917"/>
    <x v="211"/>
    <x v="274"/>
    <x v="5"/>
  </r>
  <r>
    <x v="0"/>
    <x v="181"/>
    <x v="181"/>
    <x v="3"/>
    <x v="3"/>
    <x v="3"/>
    <x v="2"/>
    <x v="279"/>
    <x v="817"/>
    <x v="51"/>
    <x v="625"/>
    <x v="215"/>
    <x v="588"/>
    <x v="5"/>
  </r>
  <r>
    <x v="0"/>
    <x v="181"/>
    <x v="181"/>
    <x v="6"/>
    <x v="6"/>
    <x v="6"/>
    <x v="3"/>
    <x v="264"/>
    <x v="900"/>
    <x v="50"/>
    <x v="918"/>
    <x v="209"/>
    <x v="601"/>
    <x v="5"/>
  </r>
  <r>
    <x v="0"/>
    <x v="181"/>
    <x v="181"/>
    <x v="30"/>
    <x v="30"/>
    <x v="30"/>
    <x v="4"/>
    <x v="280"/>
    <x v="689"/>
    <x v="96"/>
    <x v="919"/>
    <x v="160"/>
    <x v="159"/>
    <x v="5"/>
  </r>
  <r>
    <x v="0"/>
    <x v="181"/>
    <x v="181"/>
    <x v="5"/>
    <x v="5"/>
    <x v="5"/>
    <x v="5"/>
    <x v="269"/>
    <x v="468"/>
    <x v="52"/>
    <x v="338"/>
    <x v="210"/>
    <x v="748"/>
    <x v="5"/>
  </r>
  <r>
    <x v="0"/>
    <x v="181"/>
    <x v="181"/>
    <x v="28"/>
    <x v="28"/>
    <x v="28"/>
    <x v="6"/>
    <x v="248"/>
    <x v="914"/>
    <x v="52"/>
    <x v="338"/>
    <x v="209"/>
    <x v="601"/>
    <x v="5"/>
  </r>
  <r>
    <x v="0"/>
    <x v="181"/>
    <x v="181"/>
    <x v="44"/>
    <x v="44"/>
    <x v="44"/>
    <x v="6"/>
    <x v="248"/>
    <x v="914"/>
    <x v="82"/>
    <x v="920"/>
    <x v="211"/>
    <x v="274"/>
    <x v="5"/>
  </r>
  <r>
    <x v="0"/>
    <x v="181"/>
    <x v="181"/>
    <x v="14"/>
    <x v="14"/>
    <x v="14"/>
    <x v="6"/>
    <x v="248"/>
    <x v="914"/>
    <x v="77"/>
    <x v="83"/>
    <x v="211"/>
    <x v="274"/>
    <x v="5"/>
  </r>
  <r>
    <x v="0"/>
    <x v="181"/>
    <x v="181"/>
    <x v="34"/>
    <x v="34"/>
    <x v="34"/>
    <x v="9"/>
    <x v="249"/>
    <x v="8"/>
    <x v="64"/>
    <x v="626"/>
    <x v="211"/>
    <x v="274"/>
    <x v="5"/>
  </r>
  <r>
    <x v="0"/>
    <x v="181"/>
    <x v="181"/>
    <x v="4"/>
    <x v="4"/>
    <x v="4"/>
    <x v="10"/>
    <x v="250"/>
    <x v="472"/>
    <x v="64"/>
    <x v="626"/>
    <x v="163"/>
    <x v="429"/>
    <x v="5"/>
  </r>
  <r>
    <x v="0"/>
    <x v="181"/>
    <x v="181"/>
    <x v="32"/>
    <x v="32"/>
    <x v="32"/>
    <x v="10"/>
    <x v="250"/>
    <x v="472"/>
    <x v="77"/>
    <x v="83"/>
    <x v="132"/>
    <x v="59"/>
    <x v="5"/>
  </r>
  <r>
    <x v="0"/>
    <x v="181"/>
    <x v="181"/>
    <x v="18"/>
    <x v="18"/>
    <x v="18"/>
    <x v="10"/>
    <x v="250"/>
    <x v="472"/>
    <x v="48"/>
    <x v="340"/>
    <x v="209"/>
    <x v="601"/>
    <x v="5"/>
  </r>
  <r>
    <x v="0"/>
    <x v="181"/>
    <x v="181"/>
    <x v="12"/>
    <x v="12"/>
    <x v="12"/>
    <x v="13"/>
    <x v="251"/>
    <x v="153"/>
    <x v="64"/>
    <x v="626"/>
    <x v="160"/>
    <x v="159"/>
    <x v="5"/>
  </r>
  <r>
    <x v="0"/>
    <x v="181"/>
    <x v="181"/>
    <x v="36"/>
    <x v="36"/>
    <x v="36"/>
    <x v="13"/>
    <x v="251"/>
    <x v="153"/>
    <x v="77"/>
    <x v="83"/>
    <x v="160"/>
    <x v="159"/>
    <x v="5"/>
  </r>
  <r>
    <x v="0"/>
    <x v="181"/>
    <x v="181"/>
    <x v="15"/>
    <x v="15"/>
    <x v="15"/>
    <x v="15"/>
    <x v="252"/>
    <x v="288"/>
    <x v="64"/>
    <x v="626"/>
    <x v="211"/>
    <x v="274"/>
    <x v="5"/>
  </r>
  <r>
    <x v="0"/>
    <x v="181"/>
    <x v="181"/>
    <x v="13"/>
    <x v="13"/>
    <x v="13"/>
    <x v="15"/>
    <x v="252"/>
    <x v="288"/>
    <x v="77"/>
    <x v="83"/>
    <x v="163"/>
    <x v="429"/>
    <x v="5"/>
  </r>
  <r>
    <x v="0"/>
    <x v="181"/>
    <x v="181"/>
    <x v="11"/>
    <x v="11"/>
    <x v="11"/>
    <x v="15"/>
    <x v="252"/>
    <x v="288"/>
    <x v="48"/>
    <x v="340"/>
    <x v="160"/>
    <x v="159"/>
    <x v="5"/>
  </r>
  <r>
    <x v="0"/>
    <x v="181"/>
    <x v="181"/>
    <x v="24"/>
    <x v="24"/>
    <x v="24"/>
    <x v="15"/>
    <x v="252"/>
    <x v="288"/>
    <x v="77"/>
    <x v="83"/>
    <x v="163"/>
    <x v="429"/>
    <x v="5"/>
  </r>
  <r>
    <x v="0"/>
    <x v="181"/>
    <x v="181"/>
    <x v="2"/>
    <x v="2"/>
    <x v="2"/>
    <x v="15"/>
    <x v="252"/>
    <x v="288"/>
    <x v="64"/>
    <x v="626"/>
    <x v="211"/>
    <x v="274"/>
    <x v="5"/>
  </r>
  <r>
    <x v="0"/>
    <x v="181"/>
    <x v="181"/>
    <x v="9"/>
    <x v="9"/>
    <x v="9"/>
    <x v="15"/>
    <x v="252"/>
    <x v="288"/>
    <x v="64"/>
    <x v="626"/>
    <x v="211"/>
    <x v="274"/>
    <x v="5"/>
  </r>
  <r>
    <x v="0"/>
    <x v="181"/>
    <x v="181"/>
    <x v="7"/>
    <x v="7"/>
    <x v="7"/>
    <x v="15"/>
    <x v="252"/>
    <x v="288"/>
    <x v="64"/>
    <x v="626"/>
    <x v="211"/>
    <x v="274"/>
    <x v="5"/>
  </r>
  <r>
    <x v="0"/>
    <x v="182"/>
    <x v="182"/>
    <x v="0"/>
    <x v="0"/>
    <x v="0"/>
    <x v="0"/>
    <x v="198"/>
    <x v="755"/>
    <x v="37"/>
    <x v="921"/>
    <x v="160"/>
    <x v="749"/>
    <x v="5"/>
  </r>
  <r>
    <x v="0"/>
    <x v="182"/>
    <x v="182"/>
    <x v="3"/>
    <x v="3"/>
    <x v="3"/>
    <x v="1"/>
    <x v="164"/>
    <x v="756"/>
    <x v="50"/>
    <x v="922"/>
    <x v="157"/>
    <x v="479"/>
    <x v="5"/>
  </r>
  <r>
    <x v="0"/>
    <x v="182"/>
    <x v="182"/>
    <x v="1"/>
    <x v="1"/>
    <x v="1"/>
    <x v="2"/>
    <x v="260"/>
    <x v="838"/>
    <x v="34"/>
    <x v="20"/>
    <x v="132"/>
    <x v="415"/>
    <x v="5"/>
  </r>
  <r>
    <x v="0"/>
    <x v="182"/>
    <x v="182"/>
    <x v="6"/>
    <x v="6"/>
    <x v="6"/>
    <x v="3"/>
    <x v="267"/>
    <x v="872"/>
    <x v="96"/>
    <x v="724"/>
    <x v="189"/>
    <x v="474"/>
    <x v="5"/>
  </r>
  <r>
    <x v="0"/>
    <x v="182"/>
    <x v="182"/>
    <x v="4"/>
    <x v="4"/>
    <x v="4"/>
    <x v="4"/>
    <x v="263"/>
    <x v="314"/>
    <x v="48"/>
    <x v="349"/>
    <x v="213"/>
    <x v="750"/>
    <x v="5"/>
  </r>
  <r>
    <x v="0"/>
    <x v="182"/>
    <x v="182"/>
    <x v="2"/>
    <x v="2"/>
    <x v="2"/>
    <x v="4"/>
    <x v="263"/>
    <x v="314"/>
    <x v="78"/>
    <x v="923"/>
    <x v="163"/>
    <x v="483"/>
    <x v="5"/>
  </r>
  <r>
    <x v="0"/>
    <x v="182"/>
    <x v="182"/>
    <x v="9"/>
    <x v="9"/>
    <x v="9"/>
    <x v="6"/>
    <x v="268"/>
    <x v="78"/>
    <x v="52"/>
    <x v="356"/>
    <x v="211"/>
    <x v="274"/>
    <x v="5"/>
  </r>
  <r>
    <x v="0"/>
    <x v="182"/>
    <x v="182"/>
    <x v="8"/>
    <x v="8"/>
    <x v="8"/>
    <x v="7"/>
    <x v="247"/>
    <x v="256"/>
    <x v="64"/>
    <x v="358"/>
    <x v="210"/>
    <x v="399"/>
    <x v="5"/>
  </r>
  <r>
    <x v="0"/>
    <x v="182"/>
    <x v="182"/>
    <x v="12"/>
    <x v="12"/>
    <x v="12"/>
    <x v="7"/>
    <x v="247"/>
    <x v="256"/>
    <x v="64"/>
    <x v="358"/>
    <x v="210"/>
    <x v="399"/>
    <x v="5"/>
  </r>
  <r>
    <x v="0"/>
    <x v="182"/>
    <x v="182"/>
    <x v="5"/>
    <x v="5"/>
    <x v="5"/>
    <x v="9"/>
    <x v="248"/>
    <x v="487"/>
    <x v="48"/>
    <x v="349"/>
    <x v="210"/>
    <x v="399"/>
    <x v="5"/>
  </r>
  <r>
    <x v="0"/>
    <x v="182"/>
    <x v="182"/>
    <x v="11"/>
    <x v="11"/>
    <x v="11"/>
    <x v="9"/>
    <x v="248"/>
    <x v="487"/>
    <x v="64"/>
    <x v="358"/>
    <x v="132"/>
    <x v="415"/>
    <x v="5"/>
  </r>
  <r>
    <x v="0"/>
    <x v="182"/>
    <x v="182"/>
    <x v="14"/>
    <x v="14"/>
    <x v="14"/>
    <x v="9"/>
    <x v="248"/>
    <x v="487"/>
    <x v="77"/>
    <x v="83"/>
    <x v="163"/>
    <x v="483"/>
    <x v="5"/>
  </r>
  <r>
    <x v="0"/>
    <x v="182"/>
    <x v="182"/>
    <x v="28"/>
    <x v="28"/>
    <x v="28"/>
    <x v="12"/>
    <x v="249"/>
    <x v="363"/>
    <x v="48"/>
    <x v="349"/>
    <x v="132"/>
    <x v="415"/>
    <x v="5"/>
  </r>
  <r>
    <x v="0"/>
    <x v="182"/>
    <x v="182"/>
    <x v="29"/>
    <x v="29"/>
    <x v="29"/>
    <x v="12"/>
    <x v="249"/>
    <x v="363"/>
    <x v="52"/>
    <x v="356"/>
    <x v="163"/>
    <x v="483"/>
    <x v="5"/>
  </r>
  <r>
    <x v="0"/>
    <x v="182"/>
    <x v="182"/>
    <x v="18"/>
    <x v="18"/>
    <x v="18"/>
    <x v="14"/>
    <x v="250"/>
    <x v="759"/>
    <x v="64"/>
    <x v="358"/>
    <x v="163"/>
    <x v="483"/>
    <x v="5"/>
  </r>
  <r>
    <x v="0"/>
    <x v="182"/>
    <x v="182"/>
    <x v="16"/>
    <x v="16"/>
    <x v="16"/>
    <x v="14"/>
    <x v="250"/>
    <x v="759"/>
    <x v="77"/>
    <x v="83"/>
    <x v="132"/>
    <x v="415"/>
    <x v="5"/>
  </r>
  <r>
    <x v="0"/>
    <x v="182"/>
    <x v="182"/>
    <x v="30"/>
    <x v="30"/>
    <x v="30"/>
    <x v="14"/>
    <x v="250"/>
    <x v="759"/>
    <x v="64"/>
    <x v="358"/>
    <x v="163"/>
    <x v="483"/>
    <x v="5"/>
  </r>
  <r>
    <x v="0"/>
    <x v="182"/>
    <x v="182"/>
    <x v="7"/>
    <x v="7"/>
    <x v="7"/>
    <x v="14"/>
    <x v="250"/>
    <x v="759"/>
    <x v="51"/>
    <x v="345"/>
    <x v="211"/>
    <x v="274"/>
    <x v="5"/>
  </r>
  <r>
    <x v="0"/>
    <x v="182"/>
    <x v="182"/>
    <x v="27"/>
    <x v="27"/>
    <x v="27"/>
    <x v="14"/>
    <x v="250"/>
    <x v="759"/>
    <x v="52"/>
    <x v="356"/>
    <x v="160"/>
    <x v="749"/>
    <x v="5"/>
  </r>
  <r>
    <x v="0"/>
    <x v="182"/>
    <x v="182"/>
    <x v="15"/>
    <x v="15"/>
    <x v="15"/>
    <x v="19"/>
    <x v="251"/>
    <x v="85"/>
    <x v="48"/>
    <x v="349"/>
    <x v="163"/>
    <x v="483"/>
    <x v="5"/>
  </r>
  <r>
    <x v="0"/>
    <x v="182"/>
    <x v="182"/>
    <x v="31"/>
    <x v="31"/>
    <x v="31"/>
    <x v="19"/>
    <x v="251"/>
    <x v="85"/>
    <x v="77"/>
    <x v="83"/>
    <x v="209"/>
    <x v="14"/>
    <x v="5"/>
  </r>
  <r>
    <x v="0"/>
    <x v="182"/>
    <x v="182"/>
    <x v="19"/>
    <x v="19"/>
    <x v="19"/>
    <x v="19"/>
    <x v="251"/>
    <x v="85"/>
    <x v="64"/>
    <x v="358"/>
    <x v="160"/>
    <x v="749"/>
    <x v="5"/>
  </r>
  <r>
    <x v="0"/>
    <x v="183"/>
    <x v="183"/>
    <x v="0"/>
    <x v="0"/>
    <x v="0"/>
    <x v="0"/>
    <x v="278"/>
    <x v="915"/>
    <x v="91"/>
    <x v="924"/>
    <x v="206"/>
    <x v="747"/>
    <x v="5"/>
  </r>
  <r>
    <x v="0"/>
    <x v="183"/>
    <x v="183"/>
    <x v="3"/>
    <x v="3"/>
    <x v="3"/>
    <x v="1"/>
    <x v="136"/>
    <x v="514"/>
    <x v="61"/>
    <x v="747"/>
    <x v="212"/>
    <x v="730"/>
    <x v="5"/>
  </r>
  <r>
    <x v="0"/>
    <x v="183"/>
    <x v="183"/>
    <x v="1"/>
    <x v="1"/>
    <x v="1"/>
    <x v="2"/>
    <x v="137"/>
    <x v="745"/>
    <x v="166"/>
    <x v="925"/>
    <x v="209"/>
    <x v="471"/>
    <x v="5"/>
  </r>
  <r>
    <x v="0"/>
    <x v="183"/>
    <x v="183"/>
    <x v="30"/>
    <x v="30"/>
    <x v="30"/>
    <x v="3"/>
    <x v="139"/>
    <x v="671"/>
    <x v="31"/>
    <x v="746"/>
    <x v="213"/>
    <x v="670"/>
    <x v="5"/>
  </r>
  <r>
    <x v="0"/>
    <x v="183"/>
    <x v="183"/>
    <x v="6"/>
    <x v="6"/>
    <x v="6"/>
    <x v="4"/>
    <x v="264"/>
    <x v="132"/>
    <x v="65"/>
    <x v="926"/>
    <x v="189"/>
    <x v="672"/>
    <x v="5"/>
  </r>
  <r>
    <x v="0"/>
    <x v="183"/>
    <x v="183"/>
    <x v="4"/>
    <x v="4"/>
    <x v="4"/>
    <x v="5"/>
    <x v="280"/>
    <x v="771"/>
    <x v="64"/>
    <x v="35"/>
    <x v="206"/>
    <x v="747"/>
    <x v="5"/>
  </r>
  <r>
    <x v="0"/>
    <x v="183"/>
    <x v="183"/>
    <x v="5"/>
    <x v="5"/>
    <x v="5"/>
    <x v="5"/>
    <x v="280"/>
    <x v="771"/>
    <x v="53"/>
    <x v="927"/>
    <x v="209"/>
    <x v="471"/>
    <x v="5"/>
  </r>
  <r>
    <x v="0"/>
    <x v="183"/>
    <x v="183"/>
    <x v="34"/>
    <x v="34"/>
    <x v="34"/>
    <x v="5"/>
    <x v="280"/>
    <x v="771"/>
    <x v="82"/>
    <x v="812"/>
    <x v="163"/>
    <x v="502"/>
    <x v="5"/>
  </r>
  <r>
    <x v="0"/>
    <x v="183"/>
    <x v="183"/>
    <x v="11"/>
    <x v="11"/>
    <x v="11"/>
    <x v="8"/>
    <x v="268"/>
    <x v="149"/>
    <x v="48"/>
    <x v="293"/>
    <x v="206"/>
    <x v="747"/>
    <x v="5"/>
  </r>
  <r>
    <x v="0"/>
    <x v="183"/>
    <x v="183"/>
    <x v="2"/>
    <x v="2"/>
    <x v="2"/>
    <x v="8"/>
    <x v="268"/>
    <x v="149"/>
    <x v="64"/>
    <x v="35"/>
    <x v="189"/>
    <x v="672"/>
    <x v="5"/>
  </r>
  <r>
    <x v="0"/>
    <x v="183"/>
    <x v="183"/>
    <x v="14"/>
    <x v="14"/>
    <x v="14"/>
    <x v="8"/>
    <x v="268"/>
    <x v="149"/>
    <x v="77"/>
    <x v="83"/>
    <x v="189"/>
    <x v="672"/>
    <x v="5"/>
  </r>
  <r>
    <x v="0"/>
    <x v="183"/>
    <x v="183"/>
    <x v="48"/>
    <x v="48"/>
    <x v="48"/>
    <x v="11"/>
    <x v="247"/>
    <x v="135"/>
    <x v="77"/>
    <x v="83"/>
    <x v="189"/>
    <x v="672"/>
    <x v="5"/>
  </r>
  <r>
    <x v="0"/>
    <x v="183"/>
    <x v="183"/>
    <x v="13"/>
    <x v="13"/>
    <x v="13"/>
    <x v="11"/>
    <x v="247"/>
    <x v="135"/>
    <x v="82"/>
    <x v="812"/>
    <x v="160"/>
    <x v="675"/>
    <x v="5"/>
  </r>
  <r>
    <x v="0"/>
    <x v="183"/>
    <x v="183"/>
    <x v="9"/>
    <x v="9"/>
    <x v="9"/>
    <x v="11"/>
    <x v="247"/>
    <x v="135"/>
    <x v="64"/>
    <x v="35"/>
    <x v="163"/>
    <x v="502"/>
    <x v="5"/>
  </r>
  <r>
    <x v="0"/>
    <x v="183"/>
    <x v="183"/>
    <x v="21"/>
    <x v="21"/>
    <x v="21"/>
    <x v="11"/>
    <x v="247"/>
    <x v="135"/>
    <x v="77"/>
    <x v="83"/>
    <x v="190"/>
    <x v="154"/>
    <x v="5"/>
  </r>
  <r>
    <x v="0"/>
    <x v="183"/>
    <x v="183"/>
    <x v="8"/>
    <x v="8"/>
    <x v="8"/>
    <x v="15"/>
    <x v="248"/>
    <x v="179"/>
    <x v="77"/>
    <x v="83"/>
    <x v="189"/>
    <x v="672"/>
    <x v="5"/>
  </r>
  <r>
    <x v="0"/>
    <x v="183"/>
    <x v="183"/>
    <x v="17"/>
    <x v="17"/>
    <x v="17"/>
    <x v="16"/>
    <x v="250"/>
    <x v="209"/>
    <x v="77"/>
    <x v="83"/>
    <x v="132"/>
    <x v="676"/>
    <x v="5"/>
  </r>
  <r>
    <x v="0"/>
    <x v="183"/>
    <x v="183"/>
    <x v="12"/>
    <x v="12"/>
    <x v="12"/>
    <x v="16"/>
    <x v="250"/>
    <x v="209"/>
    <x v="48"/>
    <x v="293"/>
    <x v="209"/>
    <x v="471"/>
    <x v="5"/>
  </r>
  <r>
    <x v="0"/>
    <x v="183"/>
    <x v="183"/>
    <x v="19"/>
    <x v="19"/>
    <x v="19"/>
    <x v="16"/>
    <x v="250"/>
    <x v="209"/>
    <x v="64"/>
    <x v="35"/>
    <x v="163"/>
    <x v="502"/>
    <x v="5"/>
  </r>
  <r>
    <x v="0"/>
    <x v="183"/>
    <x v="183"/>
    <x v="49"/>
    <x v="49"/>
    <x v="49"/>
    <x v="19"/>
    <x v="251"/>
    <x v="746"/>
    <x v="77"/>
    <x v="83"/>
    <x v="209"/>
    <x v="471"/>
    <x v="5"/>
  </r>
  <r>
    <x v="0"/>
    <x v="183"/>
    <x v="183"/>
    <x v="35"/>
    <x v="35"/>
    <x v="35"/>
    <x v="19"/>
    <x v="251"/>
    <x v="746"/>
    <x v="64"/>
    <x v="35"/>
    <x v="160"/>
    <x v="675"/>
    <x v="5"/>
  </r>
  <r>
    <x v="0"/>
    <x v="183"/>
    <x v="183"/>
    <x v="31"/>
    <x v="31"/>
    <x v="31"/>
    <x v="19"/>
    <x v="251"/>
    <x v="746"/>
    <x v="77"/>
    <x v="83"/>
    <x v="209"/>
    <x v="471"/>
    <x v="5"/>
  </r>
  <r>
    <x v="0"/>
    <x v="183"/>
    <x v="183"/>
    <x v="7"/>
    <x v="7"/>
    <x v="7"/>
    <x v="19"/>
    <x v="251"/>
    <x v="746"/>
    <x v="52"/>
    <x v="928"/>
    <x v="211"/>
    <x v="274"/>
    <x v="5"/>
  </r>
  <r>
    <x v="0"/>
    <x v="184"/>
    <x v="184"/>
    <x v="0"/>
    <x v="0"/>
    <x v="0"/>
    <x v="0"/>
    <x v="264"/>
    <x v="916"/>
    <x v="96"/>
    <x v="929"/>
    <x v="163"/>
    <x v="594"/>
    <x v="5"/>
  </r>
  <r>
    <x v="0"/>
    <x v="184"/>
    <x v="184"/>
    <x v="3"/>
    <x v="3"/>
    <x v="3"/>
    <x v="1"/>
    <x v="250"/>
    <x v="917"/>
    <x v="48"/>
    <x v="743"/>
    <x v="209"/>
    <x v="485"/>
    <x v="5"/>
  </r>
  <r>
    <x v="0"/>
    <x v="184"/>
    <x v="184"/>
    <x v="30"/>
    <x v="30"/>
    <x v="30"/>
    <x v="1"/>
    <x v="250"/>
    <x v="917"/>
    <x v="64"/>
    <x v="429"/>
    <x v="163"/>
    <x v="594"/>
    <x v="5"/>
  </r>
  <r>
    <x v="0"/>
    <x v="184"/>
    <x v="184"/>
    <x v="4"/>
    <x v="4"/>
    <x v="4"/>
    <x v="3"/>
    <x v="251"/>
    <x v="622"/>
    <x v="48"/>
    <x v="743"/>
    <x v="163"/>
    <x v="594"/>
    <x v="5"/>
  </r>
  <r>
    <x v="0"/>
    <x v="184"/>
    <x v="184"/>
    <x v="6"/>
    <x v="6"/>
    <x v="6"/>
    <x v="3"/>
    <x v="251"/>
    <x v="622"/>
    <x v="48"/>
    <x v="743"/>
    <x v="163"/>
    <x v="594"/>
    <x v="5"/>
  </r>
  <r>
    <x v="0"/>
    <x v="184"/>
    <x v="184"/>
    <x v="1"/>
    <x v="1"/>
    <x v="1"/>
    <x v="3"/>
    <x v="251"/>
    <x v="622"/>
    <x v="52"/>
    <x v="741"/>
    <x v="211"/>
    <x v="274"/>
    <x v="5"/>
  </r>
  <r>
    <x v="0"/>
    <x v="184"/>
    <x v="184"/>
    <x v="19"/>
    <x v="19"/>
    <x v="19"/>
    <x v="3"/>
    <x v="251"/>
    <x v="622"/>
    <x v="77"/>
    <x v="83"/>
    <x v="209"/>
    <x v="485"/>
    <x v="5"/>
  </r>
  <r>
    <x v="0"/>
    <x v="184"/>
    <x v="184"/>
    <x v="9"/>
    <x v="9"/>
    <x v="9"/>
    <x v="3"/>
    <x v="251"/>
    <x v="622"/>
    <x v="64"/>
    <x v="429"/>
    <x v="211"/>
    <x v="274"/>
    <x v="5"/>
  </r>
  <r>
    <x v="0"/>
    <x v="184"/>
    <x v="184"/>
    <x v="49"/>
    <x v="49"/>
    <x v="49"/>
    <x v="8"/>
    <x v="252"/>
    <x v="624"/>
    <x v="77"/>
    <x v="83"/>
    <x v="163"/>
    <x v="594"/>
    <x v="5"/>
  </r>
  <r>
    <x v="0"/>
    <x v="184"/>
    <x v="184"/>
    <x v="18"/>
    <x v="18"/>
    <x v="18"/>
    <x v="8"/>
    <x v="252"/>
    <x v="624"/>
    <x v="77"/>
    <x v="83"/>
    <x v="163"/>
    <x v="594"/>
    <x v="5"/>
  </r>
  <r>
    <x v="0"/>
    <x v="184"/>
    <x v="184"/>
    <x v="10"/>
    <x v="10"/>
    <x v="10"/>
    <x v="8"/>
    <x v="252"/>
    <x v="624"/>
    <x v="77"/>
    <x v="83"/>
    <x v="163"/>
    <x v="594"/>
    <x v="5"/>
  </r>
  <r>
    <x v="0"/>
    <x v="184"/>
    <x v="184"/>
    <x v="34"/>
    <x v="34"/>
    <x v="34"/>
    <x v="8"/>
    <x v="252"/>
    <x v="624"/>
    <x v="77"/>
    <x v="83"/>
    <x v="163"/>
    <x v="594"/>
    <x v="5"/>
  </r>
  <r>
    <x v="0"/>
    <x v="184"/>
    <x v="184"/>
    <x v="7"/>
    <x v="7"/>
    <x v="7"/>
    <x v="8"/>
    <x v="252"/>
    <x v="624"/>
    <x v="48"/>
    <x v="743"/>
    <x v="160"/>
    <x v="15"/>
    <x v="5"/>
  </r>
  <r>
    <x v="0"/>
    <x v="184"/>
    <x v="184"/>
    <x v="14"/>
    <x v="14"/>
    <x v="14"/>
    <x v="8"/>
    <x v="252"/>
    <x v="624"/>
    <x v="77"/>
    <x v="83"/>
    <x v="160"/>
    <x v="15"/>
    <x v="5"/>
  </r>
  <r>
    <x v="0"/>
    <x v="184"/>
    <x v="184"/>
    <x v="60"/>
    <x v="60"/>
    <x v="60"/>
    <x v="14"/>
    <x v="287"/>
    <x v="123"/>
    <x v="77"/>
    <x v="83"/>
    <x v="160"/>
    <x v="15"/>
    <x v="5"/>
  </r>
  <r>
    <x v="0"/>
    <x v="184"/>
    <x v="184"/>
    <x v="28"/>
    <x v="28"/>
    <x v="28"/>
    <x v="14"/>
    <x v="287"/>
    <x v="123"/>
    <x v="77"/>
    <x v="83"/>
    <x v="160"/>
    <x v="15"/>
    <x v="5"/>
  </r>
  <r>
    <x v="0"/>
    <x v="184"/>
    <x v="184"/>
    <x v="32"/>
    <x v="32"/>
    <x v="32"/>
    <x v="14"/>
    <x v="287"/>
    <x v="123"/>
    <x v="77"/>
    <x v="83"/>
    <x v="160"/>
    <x v="15"/>
    <x v="5"/>
  </r>
  <r>
    <x v="0"/>
    <x v="184"/>
    <x v="184"/>
    <x v="41"/>
    <x v="41"/>
    <x v="41"/>
    <x v="14"/>
    <x v="287"/>
    <x v="123"/>
    <x v="77"/>
    <x v="83"/>
    <x v="211"/>
    <x v="274"/>
    <x v="5"/>
  </r>
  <r>
    <x v="0"/>
    <x v="184"/>
    <x v="184"/>
    <x v="64"/>
    <x v="64"/>
    <x v="64"/>
    <x v="14"/>
    <x v="287"/>
    <x v="123"/>
    <x v="77"/>
    <x v="83"/>
    <x v="160"/>
    <x v="15"/>
    <x v="5"/>
  </r>
  <r>
    <x v="0"/>
    <x v="184"/>
    <x v="184"/>
    <x v="48"/>
    <x v="48"/>
    <x v="48"/>
    <x v="14"/>
    <x v="287"/>
    <x v="123"/>
    <x v="77"/>
    <x v="83"/>
    <x v="160"/>
    <x v="15"/>
    <x v="5"/>
  </r>
  <r>
    <x v="0"/>
    <x v="184"/>
    <x v="184"/>
    <x v="17"/>
    <x v="17"/>
    <x v="17"/>
    <x v="14"/>
    <x v="287"/>
    <x v="123"/>
    <x v="77"/>
    <x v="83"/>
    <x v="160"/>
    <x v="15"/>
    <x v="5"/>
  </r>
  <r>
    <x v="0"/>
    <x v="184"/>
    <x v="184"/>
    <x v="13"/>
    <x v="13"/>
    <x v="13"/>
    <x v="14"/>
    <x v="287"/>
    <x v="123"/>
    <x v="48"/>
    <x v="743"/>
    <x v="211"/>
    <x v="274"/>
    <x v="5"/>
  </r>
  <r>
    <x v="0"/>
    <x v="184"/>
    <x v="184"/>
    <x v="11"/>
    <x v="11"/>
    <x v="11"/>
    <x v="14"/>
    <x v="287"/>
    <x v="123"/>
    <x v="77"/>
    <x v="83"/>
    <x v="160"/>
    <x v="15"/>
    <x v="5"/>
  </r>
  <r>
    <x v="0"/>
    <x v="184"/>
    <x v="184"/>
    <x v="2"/>
    <x v="2"/>
    <x v="2"/>
    <x v="14"/>
    <x v="287"/>
    <x v="123"/>
    <x v="77"/>
    <x v="83"/>
    <x v="160"/>
    <x v="15"/>
    <x v="5"/>
  </r>
  <r>
    <x v="0"/>
    <x v="184"/>
    <x v="184"/>
    <x v="43"/>
    <x v="43"/>
    <x v="43"/>
    <x v="14"/>
    <x v="287"/>
    <x v="123"/>
    <x v="77"/>
    <x v="83"/>
    <x v="160"/>
    <x v="15"/>
    <x v="5"/>
  </r>
  <r>
    <x v="0"/>
    <x v="184"/>
    <x v="184"/>
    <x v="29"/>
    <x v="29"/>
    <x v="29"/>
    <x v="14"/>
    <x v="287"/>
    <x v="123"/>
    <x v="48"/>
    <x v="743"/>
    <x v="211"/>
    <x v="274"/>
    <x v="5"/>
  </r>
  <r>
    <x v="0"/>
    <x v="185"/>
    <x v="185"/>
    <x v="1"/>
    <x v="1"/>
    <x v="1"/>
    <x v="0"/>
    <x v="161"/>
    <x v="918"/>
    <x v="166"/>
    <x v="930"/>
    <x v="132"/>
    <x v="237"/>
    <x v="5"/>
  </r>
  <r>
    <x v="0"/>
    <x v="185"/>
    <x v="185"/>
    <x v="0"/>
    <x v="0"/>
    <x v="0"/>
    <x v="1"/>
    <x v="162"/>
    <x v="919"/>
    <x v="66"/>
    <x v="931"/>
    <x v="163"/>
    <x v="178"/>
    <x v="5"/>
  </r>
  <r>
    <x v="0"/>
    <x v="185"/>
    <x v="185"/>
    <x v="3"/>
    <x v="3"/>
    <x v="3"/>
    <x v="2"/>
    <x v="259"/>
    <x v="435"/>
    <x v="51"/>
    <x v="932"/>
    <x v="157"/>
    <x v="561"/>
    <x v="5"/>
  </r>
  <r>
    <x v="0"/>
    <x v="185"/>
    <x v="185"/>
    <x v="28"/>
    <x v="28"/>
    <x v="28"/>
    <x v="3"/>
    <x v="279"/>
    <x v="689"/>
    <x v="64"/>
    <x v="933"/>
    <x v="212"/>
    <x v="490"/>
    <x v="5"/>
  </r>
  <r>
    <x v="0"/>
    <x v="185"/>
    <x v="185"/>
    <x v="4"/>
    <x v="4"/>
    <x v="4"/>
    <x v="4"/>
    <x v="263"/>
    <x v="354"/>
    <x v="52"/>
    <x v="934"/>
    <x v="197"/>
    <x v="491"/>
    <x v="5"/>
  </r>
  <r>
    <x v="0"/>
    <x v="185"/>
    <x v="185"/>
    <x v="6"/>
    <x v="6"/>
    <x v="6"/>
    <x v="5"/>
    <x v="280"/>
    <x v="690"/>
    <x v="65"/>
    <x v="446"/>
    <x v="210"/>
    <x v="355"/>
    <x v="5"/>
  </r>
  <r>
    <x v="0"/>
    <x v="185"/>
    <x v="185"/>
    <x v="5"/>
    <x v="5"/>
    <x v="5"/>
    <x v="6"/>
    <x v="247"/>
    <x v="8"/>
    <x v="64"/>
    <x v="933"/>
    <x v="210"/>
    <x v="355"/>
    <x v="5"/>
  </r>
  <r>
    <x v="0"/>
    <x v="185"/>
    <x v="185"/>
    <x v="34"/>
    <x v="34"/>
    <x v="34"/>
    <x v="6"/>
    <x v="247"/>
    <x v="8"/>
    <x v="77"/>
    <x v="83"/>
    <x v="190"/>
    <x v="383"/>
    <x v="5"/>
  </r>
  <r>
    <x v="0"/>
    <x v="185"/>
    <x v="185"/>
    <x v="17"/>
    <x v="17"/>
    <x v="17"/>
    <x v="8"/>
    <x v="248"/>
    <x v="775"/>
    <x v="64"/>
    <x v="933"/>
    <x v="132"/>
    <x v="237"/>
    <x v="5"/>
  </r>
  <r>
    <x v="0"/>
    <x v="185"/>
    <x v="185"/>
    <x v="9"/>
    <x v="9"/>
    <x v="9"/>
    <x v="8"/>
    <x v="248"/>
    <x v="775"/>
    <x v="51"/>
    <x v="932"/>
    <x v="211"/>
    <x v="274"/>
    <x v="5"/>
  </r>
  <r>
    <x v="0"/>
    <x v="185"/>
    <x v="185"/>
    <x v="35"/>
    <x v="35"/>
    <x v="35"/>
    <x v="10"/>
    <x v="249"/>
    <x v="135"/>
    <x v="64"/>
    <x v="933"/>
    <x v="209"/>
    <x v="196"/>
    <x v="5"/>
  </r>
  <r>
    <x v="0"/>
    <x v="185"/>
    <x v="185"/>
    <x v="11"/>
    <x v="11"/>
    <x v="11"/>
    <x v="10"/>
    <x v="249"/>
    <x v="135"/>
    <x v="64"/>
    <x v="933"/>
    <x v="209"/>
    <x v="196"/>
    <x v="5"/>
  </r>
  <r>
    <x v="0"/>
    <x v="185"/>
    <x v="185"/>
    <x v="23"/>
    <x v="23"/>
    <x v="23"/>
    <x v="10"/>
    <x v="249"/>
    <x v="135"/>
    <x v="77"/>
    <x v="83"/>
    <x v="210"/>
    <x v="355"/>
    <x v="5"/>
  </r>
  <r>
    <x v="0"/>
    <x v="185"/>
    <x v="185"/>
    <x v="19"/>
    <x v="19"/>
    <x v="19"/>
    <x v="10"/>
    <x v="249"/>
    <x v="135"/>
    <x v="51"/>
    <x v="932"/>
    <x v="160"/>
    <x v="354"/>
    <x v="5"/>
  </r>
  <r>
    <x v="0"/>
    <x v="185"/>
    <x v="185"/>
    <x v="8"/>
    <x v="8"/>
    <x v="8"/>
    <x v="14"/>
    <x v="250"/>
    <x v="34"/>
    <x v="77"/>
    <x v="83"/>
    <x v="132"/>
    <x v="237"/>
    <x v="5"/>
  </r>
  <r>
    <x v="0"/>
    <x v="185"/>
    <x v="185"/>
    <x v="7"/>
    <x v="7"/>
    <x v="7"/>
    <x v="14"/>
    <x v="250"/>
    <x v="34"/>
    <x v="52"/>
    <x v="934"/>
    <x v="160"/>
    <x v="354"/>
    <x v="5"/>
  </r>
  <r>
    <x v="0"/>
    <x v="185"/>
    <x v="185"/>
    <x v="33"/>
    <x v="33"/>
    <x v="33"/>
    <x v="16"/>
    <x v="251"/>
    <x v="336"/>
    <x v="48"/>
    <x v="459"/>
    <x v="163"/>
    <x v="178"/>
    <x v="5"/>
  </r>
  <r>
    <x v="0"/>
    <x v="185"/>
    <x v="185"/>
    <x v="16"/>
    <x v="16"/>
    <x v="16"/>
    <x v="16"/>
    <x v="251"/>
    <x v="336"/>
    <x v="52"/>
    <x v="934"/>
    <x v="211"/>
    <x v="274"/>
    <x v="5"/>
  </r>
  <r>
    <x v="0"/>
    <x v="185"/>
    <x v="185"/>
    <x v="2"/>
    <x v="2"/>
    <x v="2"/>
    <x v="16"/>
    <x v="251"/>
    <x v="336"/>
    <x v="48"/>
    <x v="459"/>
    <x v="160"/>
    <x v="354"/>
    <x v="5"/>
  </r>
  <r>
    <x v="0"/>
    <x v="185"/>
    <x v="185"/>
    <x v="27"/>
    <x v="27"/>
    <x v="27"/>
    <x v="16"/>
    <x v="251"/>
    <x v="336"/>
    <x v="64"/>
    <x v="933"/>
    <x v="160"/>
    <x v="354"/>
    <x v="5"/>
  </r>
  <r>
    <x v="0"/>
    <x v="186"/>
    <x v="186"/>
    <x v="0"/>
    <x v="0"/>
    <x v="0"/>
    <x v="0"/>
    <x v="154"/>
    <x v="819"/>
    <x v="84"/>
    <x v="935"/>
    <x v="132"/>
    <x v="646"/>
    <x v="5"/>
  </r>
  <r>
    <x v="0"/>
    <x v="186"/>
    <x v="186"/>
    <x v="2"/>
    <x v="2"/>
    <x v="2"/>
    <x v="1"/>
    <x v="218"/>
    <x v="920"/>
    <x v="39"/>
    <x v="100"/>
    <x v="132"/>
    <x v="646"/>
    <x v="5"/>
  </r>
  <r>
    <x v="0"/>
    <x v="186"/>
    <x v="186"/>
    <x v="3"/>
    <x v="3"/>
    <x v="3"/>
    <x v="2"/>
    <x v="161"/>
    <x v="590"/>
    <x v="50"/>
    <x v="936"/>
    <x v="109"/>
    <x v="751"/>
    <x v="5"/>
  </r>
  <r>
    <x v="0"/>
    <x v="186"/>
    <x v="186"/>
    <x v="1"/>
    <x v="1"/>
    <x v="1"/>
    <x v="3"/>
    <x v="137"/>
    <x v="877"/>
    <x v="98"/>
    <x v="937"/>
    <x v="163"/>
    <x v="752"/>
    <x v="5"/>
  </r>
  <r>
    <x v="0"/>
    <x v="186"/>
    <x v="186"/>
    <x v="4"/>
    <x v="4"/>
    <x v="4"/>
    <x v="4"/>
    <x v="139"/>
    <x v="156"/>
    <x v="51"/>
    <x v="231"/>
    <x v="109"/>
    <x v="751"/>
    <x v="5"/>
  </r>
  <r>
    <x v="0"/>
    <x v="186"/>
    <x v="186"/>
    <x v="6"/>
    <x v="6"/>
    <x v="6"/>
    <x v="5"/>
    <x v="261"/>
    <x v="831"/>
    <x v="96"/>
    <x v="497"/>
    <x v="206"/>
    <x v="753"/>
    <x v="5"/>
  </r>
  <r>
    <x v="0"/>
    <x v="186"/>
    <x v="186"/>
    <x v="5"/>
    <x v="5"/>
    <x v="5"/>
    <x v="6"/>
    <x v="264"/>
    <x v="512"/>
    <x v="53"/>
    <x v="373"/>
    <x v="132"/>
    <x v="646"/>
    <x v="5"/>
  </r>
  <r>
    <x v="0"/>
    <x v="186"/>
    <x v="186"/>
    <x v="9"/>
    <x v="9"/>
    <x v="9"/>
    <x v="7"/>
    <x v="280"/>
    <x v="274"/>
    <x v="53"/>
    <x v="373"/>
    <x v="211"/>
    <x v="274"/>
    <x v="5"/>
  </r>
  <r>
    <x v="0"/>
    <x v="186"/>
    <x v="186"/>
    <x v="14"/>
    <x v="14"/>
    <x v="14"/>
    <x v="8"/>
    <x v="268"/>
    <x v="285"/>
    <x v="77"/>
    <x v="83"/>
    <x v="163"/>
    <x v="752"/>
    <x v="4"/>
  </r>
  <r>
    <x v="0"/>
    <x v="186"/>
    <x v="186"/>
    <x v="8"/>
    <x v="8"/>
    <x v="8"/>
    <x v="9"/>
    <x v="269"/>
    <x v="31"/>
    <x v="52"/>
    <x v="89"/>
    <x v="210"/>
    <x v="628"/>
    <x v="5"/>
  </r>
  <r>
    <x v="0"/>
    <x v="186"/>
    <x v="186"/>
    <x v="49"/>
    <x v="49"/>
    <x v="49"/>
    <x v="9"/>
    <x v="269"/>
    <x v="31"/>
    <x v="77"/>
    <x v="83"/>
    <x v="206"/>
    <x v="753"/>
    <x v="5"/>
  </r>
  <r>
    <x v="0"/>
    <x v="186"/>
    <x v="186"/>
    <x v="30"/>
    <x v="30"/>
    <x v="30"/>
    <x v="9"/>
    <x v="269"/>
    <x v="31"/>
    <x v="51"/>
    <x v="231"/>
    <x v="132"/>
    <x v="646"/>
    <x v="5"/>
  </r>
  <r>
    <x v="0"/>
    <x v="186"/>
    <x v="186"/>
    <x v="27"/>
    <x v="27"/>
    <x v="27"/>
    <x v="9"/>
    <x v="269"/>
    <x v="31"/>
    <x v="53"/>
    <x v="373"/>
    <x v="160"/>
    <x v="582"/>
    <x v="5"/>
  </r>
  <r>
    <x v="0"/>
    <x v="186"/>
    <x v="186"/>
    <x v="16"/>
    <x v="16"/>
    <x v="16"/>
    <x v="13"/>
    <x v="247"/>
    <x v="495"/>
    <x v="48"/>
    <x v="249"/>
    <x v="189"/>
    <x v="422"/>
    <x v="5"/>
  </r>
  <r>
    <x v="0"/>
    <x v="186"/>
    <x v="186"/>
    <x v="13"/>
    <x v="13"/>
    <x v="13"/>
    <x v="13"/>
    <x v="247"/>
    <x v="495"/>
    <x v="65"/>
    <x v="356"/>
    <x v="163"/>
    <x v="752"/>
    <x v="5"/>
  </r>
  <r>
    <x v="0"/>
    <x v="186"/>
    <x v="186"/>
    <x v="19"/>
    <x v="19"/>
    <x v="19"/>
    <x v="13"/>
    <x v="247"/>
    <x v="495"/>
    <x v="64"/>
    <x v="67"/>
    <x v="160"/>
    <x v="582"/>
    <x v="5"/>
  </r>
  <r>
    <x v="0"/>
    <x v="186"/>
    <x v="186"/>
    <x v="28"/>
    <x v="28"/>
    <x v="28"/>
    <x v="16"/>
    <x v="249"/>
    <x v="231"/>
    <x v="48"/>
    <x v="249"/>
    <x v="132"/>
    <x v="646"/>
    <x v="5"/>
  </r>
  <r>
    <x v="0"/>
    <x v="186"/>
    <x v="186"/>
    <x v="18"/>
    <x v="18"/>
    <x v="18"/>
    <x v="16"/>
    <x v="249"/>
    <x v="231"/>
    <x v="51"/>
    <x v="231"/>
    <x v="160"/>
    <x v="582"/>
    <x v="5"/>
  </r>
  <r>
    <x v="0"/>
    <x v="186"/>
    <x v="186"/>
    <x v="11"/>
    <x v="11"/>
    <x v="11"/>
    <x v="16"/>
    <x v="249"/>
    <x v="231"/>
    <x v="52"/>
    <x v="89"/>
    <x v="163"/>
    <x v="752"/>
    <x v="5"/>
  </r>
  <r>
    <x v="0"/>
    <x v="186"/>
    <x v="186"/>
    <x v="12"/>
    <x v="12"/>
    <x v="12"/>
    <x v="16"/>
    <x v="249"/>
    <x v="231"/>
    <x v="64"/>
    <x v="67"/>
    <x v="209"/>
    <x v="394"/>
    <x v="5"/>
  </r>
  <r>
    <x v="0"/>
    <x v="186"/>
    <x v="186"/>
    <x v="7"/>
    <x v="7"/>
    <x v="7"/>
    <x v="16"/>
    <x v="249"/>
    <x v="231"/>
    <x v="51"/>
    <x v="231"/>
    <x v="211"/>
    <x v="274"/>
    <x v="5"/>
  </r>
  <r>
    <x v="0"/>
    <x v="186"/>
    <x v="186"/>
    <x v="29"/>
    <x v="29"/>
    <x v="29"/>
    <x v="16"/>
    <x v="249"/>
    <x v="231"/>
    <x v="51"/>
    <x v="231"/>
    <x v="160"/>
    <x v="582"/>
    <x v="5"/>
  </r>
  <r>
    <x v="0"/>
    <x v="186"/>
    <x v="186"/>
    <x v="21"/>
    <x v="21"/>
    <x v="21"/>
    <x v="16"/>
    <x v="249"/>
    <x v="231"/>
    <x v="77"/>
    <x v="83"/>
    <x v="210"/>
    <x v="628"/>
    <x v="5"/>
  </r>
  <r>
    <x v="0"/>
    <x v="187"/>
    <x v="187"/>
    <x v="0"/>
    <x v="0"/>
    <x v="0"/>
    <x v="0"/>
    <x v="286"/>
    <x v="921"/>
    <x v="177"/>
    <x v="323"/>
    <x v="213"/>
    <x v="360"/>
    <x v="5"/>
  </r>
  <r>
    <x v="0"/>
    <x v="187"/>
    <x v="187"/>
    <x v="1"/>
    <x v="1"/>
    <x v="1"/>
    <x v="1"/>
    <x v="190"/>
    <x v="244"/>
    <x v="182"/>
    <x v="938"/>
    <x v="197"/>
    <x v="637"/>
    <x v="5"/>
  </r>
  <r>
    <x v="0"/>
    <x v="187"/>
    <x v="187"/>
    <x v="2"/>
    <x v="2"/>
    <x v="2"/>
    <x v="2"/>
    <x v="237"/>
    <x v="184"/>
    <x v="156"/>
    <x v="939"/>
    <x v="134"/>
    <x v="318"/>
    <x v="5"/>
  </r>
  <r>
    <x v="0"/>
    <x v="187"/>
    <x v="187"/>
    <x v="5"/>
    <x v="5"/>
    <x v="5"/>
    <x v="3"/>
    <x v="154"/>
    <x v="119"/>
    <x v="66"/>
    <x v="940"/>
    <x v="131"/>
    <x v="5"/>
    <x v="5"/>
  </r>
  <r>
    <x v="0"/>
    <x v="187"/>
    <x v="187"/>
    <x v="3"/>
    <x v="3"/>
    <x v="3"/>
    <x v="3"/>
    <x v="154"/>
    <x v="119"/>
    <x v="31"/>
    <x v="941"/>
    <x v="191"/>
    <x v="754"/>
    <x v="5"/>
  </r>
  <r>
    <x v="0"/>
    <x v="187"/>
    <x v="187"/>
    <x v="4"/>
    <x v="4"/>
    <x v="4"/>
    <x v="5"/>
    <x v="134"/>
    <x v="922"/>
    <x v="78"/>
    <x v="207"/>
    <x v="122"/>
    <x v="755"/>
    <x v="5"/>
  </r>
  <r>
    <x v="0"/>
    <x v="187"/>
    <x v="187"/>
    <x v="11"/>
    <x v="11"/>
    <x v="11"/>
    <x v="6"/>
    <x v="283"/>
    <x v="690"/>
    <x v="74"/>
    <x v="880"/>
    <x v="127"/>
    <x v="8"/>
    <x v="5"/>
  </r>
  <r>
    <x v="0"/>
    <x v="187"/>
    <x v="187"/>
    <x v="6"/>
    <x v="6"/>
    <x v="6"/>
    <x v="7"/>
    <x v="160"/>
    <x v="26"/>
    <x v="117"/>
    <x v="942"/>
    <x v="134"/>
    <x v="318"/>
    <x v="5"/>
  </r>
  <r>
    <x v="0"/>
    <x v="187"/>
    <x v="187"/>
    <x v="8"/>
    <x v="8"/>
    <x v="8"/>
    <x v="8"/>
    <x v="137"/>
    <x v="722"/>
    <x v="96"/>
    <x v="884"/>
    <x v="128"/>
    <x v="297"/>
    <x v="5"/>
  </r>
  <r>
    <x v="0"/>
    <x v="187"/>
    <x v="187"/>
    <x v="9"/>
    <x v="9"/>
    <x v="9"/>
    <x v="9"/>
    <x v="162"/>
    <x v="494"/>
    <x v="117"/>
    <x v="942"/>
    <x v="132"/>
    <x v="246"/>
    <x v="4"/>
  </r>
  <r>
    <x v="0"/>
    <x v="187"/>
    <x v="187"/>
    <x v="7"/>
    <x v="7"/>
    <x v="7"/>
    <x v="9"/>
    <x v="162"/>
    <x v="494"/>
    <x v="74"/>
    <x v="880"/>
    <x v="132"/>
    <x v="246"/>
    <x v="5"/>
  </r>
  <r>
    <x v="0"/>
    <x v="187"/>
    <x v="187"/>
    <x v="13"/>
    <x v="13"/>
    <x v="13"/>
    <x v="11"/>
    <x v="164"/>
    <x v="387"/>
    <x v="96"/>
    <x v="884"/>
    <x v="214"/>
    <x v="756"/>
    <x v="5"/>
  </r>
  <r>
    <x v="0"/>
    <x v="187"/>
    <x v="187"/>
    <x v="17"/>
    <x v="17"/>
    <x v="17"/>
    <x v="12"/>
    <x v="259"/>
    <x v="219"/>
    <x v="64"/>
    <x v="943"/>
    <x v="208"/>
    <x v="129"/>
    <x v="5"/>
  </r>
  <r>
    <x v="0"/>
    <x v="187"/>
    <x v="187"/>
    <x v="10"/>
    <x v="10"/>
    <x v="10"/>
    <x v="12"/>
    <x v="259"/>
    <x v="219"/>
    <x v="70"/>
    <x v="587"/>
    <x v="190"/>
    <x v="54"/>
    <x v="5"/>
  </r>
  <r>
    <x v="0"/>
    <x v="187"/>
    <x v="187"/>
    <x v="12"/>
    <x v="12"/>
    <x v="12"/>
    <x v="14"/>
    <x v="262"/>
    <x v="34"/>
    <x v="82"/>
    <x v="879"/>
    <x v="197"/>
    <x v="637"/>
    <x v="5"/>
  </r>
  <r>
    <x v="0"/>
    <x v="187"/>
    <x v="187"/>
    <x v="16"/>
    <x v="16"/>
    <x v="16"/>
    <x v="15"/>
    <x v="267"/>
    <x v="35"/>
    <x v="64"/>
    <x v="943"/>
    <x v="214"/>
    <x v="756"/>
    <x v="5"/>
  </r>
  <r>
    <x v="0"/>
    <x v="187"/>
    <x v="187"/>
    <x v="30"/>
    <x v="30"/>
    <x v="30"/>
    <x v="16"/>
    <x v="279"/>
    <x v="923"/>
    <x v="38"/>
    <x v="797"/>
    <x v="160"/>
    <x v="384"/>
    <x v="5"/>
  </r>
  <r>
    <x v="0"/>
    <x v="187"/>
    <x v="187"/>
    <x v="15"/>
    <x v="15"/>
    <x v="15"/>
    <x v="17"/>
    <x v="246"/>
    <x v="413"/>
    <x v="64"/>
    <x v="943"/>
    <x v="213"/>
    <x v="360"/>
    <x v="5"/>
  </r>
  <r>
    <x v="0"/>
    <x v="187"/>
    <x v="187"/>
    <x v="23"/>
    <x v="23"/>
    <x v="23"/>
    <x v="18"/>
    <x v="263"/>
    <x v="231"/>
    <x v="64"/>
    <x v="943"/>
    <x v="215"/>
    <x v="11"/>
    <x v="5"/>
  </r>
  <r>
    <x v="0"/>
    <x v="187"/>
    <x v="187"/>
    <x v="24"/>
    <x v="24"/>
    <x v="24"/>
    <x v="19"/>
    <x v="264"/>
    <x v="125"/>
    <x v="52"/>
    <x v="883"/>
    <x v="206"/>
    <x v="757"/>
    <x v="5"/>
  </r>
  <r>
    <x v="0"/>
    <x v="188"/>
    <x v="188"/>
    <x v="0"/>
    <x v="0"/>
    <x v="0"/>
    <x v="0"/>
    <x v="245"/>
    <x v="924"/>
    <x v="61"/>
    <x v="944"/>
    <x v="211"/>
    <x v="274"/>
    <x v="5"/>
  </r>
  <r>
    <x v="0"/>
    <x v="188"/>
    <x v="188"/>
    <x v="4"/>
    <x v="4"/>
    <x v="4"/>
    <x v="1"/>
    <x v="268"/>
    <x v="925"/>
    <x v="64"/>
    <x v="388"/>
    <x v="190"/>
    <x v="758"/>
    <x v="5"/>
  </r>
  <r>
    <x v="0"/>
    <x v="188"/>
    <x v="188"/>
    <x v="6"/>
    <x v="6"/>
    <x v="6"/>
    <x v="1"/>
    <x v="268"/>
    <x v="925"/>
    <x v="82"/>
    <x v="945"/>
    <x v="209"/>
    <x v="482"/>
    <x v="5"/>
  </r>
  <r>
    <x v="0"/>
    <x v="188"/>
    <x v="188"/>
    <x v="3"/>
    <x v="3"/>
    <x v="3"/>
    <x v="1"/>
    <x v="268"/>
    <x v="925"/>
    <x v="65"/>
    <x v="808"/>
    <x v="132"/>
    <x v="93"/>
    <x v="5"/>
  </r>
  <r>
    <x v="0"/>
    <x v="188"/>
    <x v="188"/>
    <x v="30"/>
    <x v="30"/>
    <x v="30"/>
    <x v="1"/>
    <x v="268"/>
    <x v="925"/>
    <x v="50"/>
    <x v="946"/>
    <x v="211"/>
    <x v="274"/>
    <x v="5"/>
  </r>
  <r>
    <x v="0"/>
    <x v="188"/>
    <x v="188"/>
    <x v="2"/>
    <x v="2"/>
    <x v="2"/>
    <x v="5"/>
    <x v="269"/>
    <x v="468"/>
    <x v="53"/>
    <x v="656"/>
    <x v="211"/>
    <x v="274"/>
    <x v="5"/>
  </r>
  <r>
    <x v="0"/>
    <x v="188"/>
    <x v="188"/>
    <x v="1"/>
    <x v="1"/>
    <x v="1"/>
    <x v="5"/>
    <x v="269"/>
    <x v="468"/>
    <x v="50"/>
    <x v="946"/>
    <x v="211"/>
    <x v="274"/>
    <x v="5"/>
  </r>
  <r>
    <x v="0"/>
    <x v="188"/>
    <x v="188"/>
    <x v="5"/>
    <x v="5"/>
    <x v="5"/>
    <x v="7"/>
    <x v="247"/>
    <x v="641"/>
    <x v="51"/>
    <x v="397"/>
    <x v="209"/>
    <x v="482"/>
    <x v="5"/>
  </r>
  <r>
    <x v="0"/>
    <x v="188"/>
    <x v="188"/>
    <x v="14"/>
    <x v="14"/>
    <x v="14"/>
    <x v="7"/>
    <x v="247"/>
    <x v="641"/>
    <x v="77"/>
    <x v="83"/>
    <x v="163"/>
    <x v="320"/>
    <x v="5"/>
  </r>
  <r>
    <x v="0"/>
    <x v="188"/>
    <x v="188"/>
    <x v="28"/>
    <x v="28"/>
    <x v="28"/>
    <x v="9"/>
    <x v="248"/>
    <x v="914"/>
    <x v="48"/>
    <x v="62"/>
    <x v="210"/>
    <x v="523"/>
    <x v="5"/>
  </r>
  <r>
    <x v="0"/>
    <x v="188"/>
    <x v="188"/>
    <x v="9"/>
    <x v="9"/>
    <x v="9"/>
    <x v="9"/>
    <x v="248"/>
    <x v="914"/>
    <x v="64"/>
    <x v="388"/>
    <x v="160"/>
    <x v="101"/>
    <x v="5"/>
  </r>
  <r>
    <x v="0"/>
    <x v="188"/>
    <x v="188"/>
    <x v="8"/>
    <x v="8"/>
    <x v="8"/>
    <x v="11"/>
    <x v="249"/>
    <x v="8"/>
    <x v="77"/>
    <x v="83"/>
    <x v="210"/>
    <x v="523"/>
    <x v="5"/>
  </r>
  <r>
    <x v="0"/>
    <x v="188"/>
    <x v="188"/>
    <x v="11"/>
    <x v="11"/>
    <x v="11"/>
    <x v="11"/>
    <x v="249"/>
    <x v="8"/>
    <x v="52"/>
    <x v="738"/>
    <x v="163"/>
    <x v="320"/>
    <x v="5"/>
  </r>
  <r>
    <x v="0"/>
    <x v="188"/>
    <x v="188"/>
    <x v="16"/>
    <x v="16"/>
    <x v="16"/>
    <x v="13"/>
    <x v="251"/>
    <x v="153"/>
    <x v="48"/>
    <x v="62"/>
    <x v="163"/>
    <x v="320"/>
    <x v="5"/>
  </r>
  <r>
    <x v="0"/>
    <x v="188"/>
    <x v="188"/>
    <x v="7"/>
    <x v="7"/>
    <x v="7"/>
    <x v="13"/>
    <x v="251"/>
    <x v="153"/>
    <x v="52"/>
    <x v="738"/>
    <x v="211"/>
    <x v="274"/>
    <x v="5"/>
  </r>
  <r>
    <x v="0"/>
    <x v="188"/>
    <x v="188"/>
    <x v="29"/>
    <x v="29"/>
    <x v="29"/>
    <x v="13"/>
    <x v="251"/>
    <x v="153"/>
    <x v="52"/>
    <x v="738"/>
    <x v="211"/>
    <x v="274"/>
    <x v="5"/>
  </r>
  <r>
    <x v="0"/>
    <x v="188"/>
    <x v="188"/>
    <x v="49"/>
    <x v="49"/>
    <x v="49"/>
    <x v="16"/>
    <x v="252"/>
    <x v="288"/>
    <x v="77"/>
    <x v="83"/>
    <x v="163"/>
    <x v="320"/>
    <x v="5"/>
  </r>
  <r>
    <x v="0"/>
    <x v="188"/>
    <x v="188"/>
    <x v="25"/>
    <x v="25"/>
    <x v="25"/>
    <x v="16"/>
    <x v="252"/>
    <x v="288"/>
    <x v="77"/>
    <x v="83"/>
    <x v="163"/>
    <x v="320"/>
    <x v="5"/>
  </r>
  <r>
    <x v="0"/>
    <x v="188"/>
    <x v="188"/>
    <x v="43"/>
    <x v="43"/>
    <x v="43"/>
    <x v="16"/>
    <x v="252"/>
    <x v="288"/>
    <x v="77"/>
    <x v="83"/>
    <x v="163"/>
    <x v="320"/>
    <x v="5"/>
  </r>
  <r>
    <x v="0"/>
    <x v="188"/>
    <x v="188"/>
    <x v="10"/>
    <x v="10"/>
    <x v="10"/>
    <x v="16"/>
    <x v="252"/>
    <x v="288"/>
    <x v="64"/>
    <x v="388"/>
    <x v="211"/>
    <x v="274"/>
    <x v="5"/>
  </r>
  <r>
    <x v="0"/>
    <x v="188"/>
    <x v="188"/>
    <x v="12"/>
    <x v="12"/>
    <x v="12"/>
    <x v="16"/>
    <x v="252"/>
    <x v="288"/>
    <x v="77"/>
    <x v="83"/>
    <x v="160"/>
    <x v="101"/>
    <x v="5"/>
  </r>
  <r>
    <x v="0"/>
    <x v="188"/>
    <x v="188"/>
    <x v="36"/>
    <x v="36"/>
    <x v="36"/>
    <x v="16"/>
    <x v="252"/>
    <x v="288"/>
    <x v="77"/>
    <x v="83"/>
    <x v="211"/>
    <x v="274"/>
    <x v="5"/>
  </r>
  <r>
    <x v="0"/>
    <x v="189"/>
    <x v="189"/>
    <x v="2"/>
    <x v="2"/>
    <x v="2"/>
    <x v="0"/>
    <x v="140"/>
    <x v="926"/>
    <x v="31"/>
    <x v="856"/>
    <x v="215"/>
    <x v="759"/>
    <x v="5"/>
  </r>
  <r>
    <x v="0"/>
    <x v="189"/>
    <x v="189"/>
    <x v="0"/>
    <x v="0"/>
    <x v="0"/>
    <x v="1"/>
    <x v="175"/>
    <x v="927"/>
    <x v="66"/>
    <x v="947"/>
    <x v="211"/>
    <x v="274"/>
    <x v="5"/>
  </r>
  <r>
    <x v="0"/>
    <x v="189"/>
    <x v="189"/>
    <x v="1"/>
    <x v="1"/>
    <x v="1"/>
    <x v="2"/>
    <x v="267"/>
    <x v="443"/>
    <x v="38"/>
    <x v="948"/>
    <x v="163"/>
    <x v="471"/>
    <x v="5"/>
  </r>
  <r>
    <x v="0"/>
    <x v="189"/>
    <x v="189"/>
    <x v="28"/>
    <x v="28"/>
    <x v="28"/>
    <x v="3"/>
    <x v="246"/>
    <x v="835"/>
    <x v="51"/>
    <x v="181"/>
    <x v="197"/>
    <x v="729"/>
    <x v="5"/>
  </r>
  <r>
    <x v="0"/>
    <x v="189"/>
    <x v="189"/>
    <x v="6"/>
    <x v="6"/>
    <x v="6"/>
    <x v="4"/>
    <x v="263"/>
    <x v="675"/>
    <x v="82"/>
    <x v="803"/>
    <x v="189"/>
    <x v="673"/>
    <x v="5"/>
  </r>
  <r>
    <x v="0"/>
    <x v="189"/>
    <x v="189"/>
    <x v="3"/>
    <x v="3"/>
    <x v="3"/>
    <x v="5"/>
    <x v="264"/>
    <x v="491"/>
    <x v="64"/>
    <x v="806"/>
    <x v="197"/>
    <x v="729"/>
    <x v="5"/>
  </r>
  <r>
    <x v="0"/>
    <x v="189"/>
    <x v="189"/>
    <x v="30"/>
    <x v="30"/>
    <x v="30"/>
    <x v="6"/>
    <x v="280"/>
    <x v="708"/>
    <x v="82"/>
    <x v="803"/>
    <x v="132"/>
    <x v="672"/>
    <x v="5"/>
  </r>
  <r>
    <x v="0"/>
    <x v="189"/>
    <x v="189"/>
    <x v="13"/>
    <x v="13"/>
    <x v="13"/>
    <x v="7"/>
    <x v="248"/>
    <x v="928"/>
    <x v="52"/>
    <x v="859"/>
    <x v="209"/>
    <x v="731"/>
    <x v="5"/>
  </r>
  <r>
    <x v="0"/>
    <x v="189"/>
    <x v="189"/>
    <x v="4"/>
    <x v="4"/>
    <x v="4"/>
    <x v="8"/>
    <x v="250"/>
    <x v="68"/>
    <x v="77"/>
    <x v="83"/>
    <x v="132"/>
    <x v="672"/>
    <x v="5"/>
  </r>
  <r>
    <x v="0"/>
    <x v="189"/>
    <x v="189"/>
    <x v="5"/>
    <x v="5"/>
    <x v="5"/>
    <x v="8"/>
    <x v="250"/>
    <x v="68"/>
    <x v="64"/>
    <x v="806"/>
    <x v="163"/>
    <x v="471"/>
    <x v="5"/>
  </r>
  <r>
    <x v="0"/>
    <x v="189"/>
    <x v="189"/>
    <x v="49"/>
    <x v="49"/>
    <x v="49"/>
    <x v="8"/>
    <x v="250"/>
    <x v="68"/>
    <x v="77"/>
    <x v="83"/>
    <x v="132"/>
    <x v="672"/>
    <x v="5"/>
  </r>
  <r>
    <x v="0"/>
    <x v="189"/>
    <x v="189"/>
    <x v="18"/>
    <x v="18"/>
    <x v="18"/>
    <x v="8"/>
    <x v="250"/>
    <x v="68"/>
    <x v="48"/>
    <x v="179"/>
    <x v="209"/>
    <x v="731"/>
    <x v="5"/>
  </r>
  <r>
    <x v="0"/>
    <x v="189"/>
    <x v="189"/>
    <x v="7"/>
    <x v="7"/>
    <x v="7"/>
    <x v="8"/>
    <x v="250"/>
    <x v="68"/>
    <x v="52"/>
    <x v="859"/>
    <x v="160"/>
    <x v="84"/>
    <x v="5"/>
  </r>
  <r>
    <x v="0"/>
    <x v="189"/>
    <x v="189"/>
    <x v="15"/>
    <x v="15"/>
    <x v="15"/>
    <x v="13"/>
    <x v="251"/>
    <x v="394"/>
    <x v="77"/>
    <x v="83"/>
    <x v="209"/>
    <x v="731"/>
    <x v="5"/>
  </r>
  <r>
    <x v="0"/>
    <x v="189"/>
    <x v="189"/>
    <x v="8"/>
    <x v="8"/>
    <x v="8"/>
    <x v="14"/>
    <x v="252"/>
    <x v="479"/>
    <x v="48"/>
    <x v="179"/>
    <x v="160"/>
    <x v="84"/>
    <x v="5"/>
  </r>
  <r>
    <x v="0"/>
    <x v="189"/>
    <x v="189"/>
    <x v="44"/>
    <x v="44"/>
    <x v="44"/>
    <x v="14"/>
    <x v="252"/>
    <x v="479"/>
    <x v="77"/>
    <x v="83"/>
    <x v="163"/>
    <x v="471"/>
    <x v="5"/>
  </r>
  <r>
    <x v="0"/>
    <x v="189"/>
    <x v="189"/>
    <x v="35"/>
    <x v="35"/>
    <x v="35"/>
    <x v="14"/>
    <x v="252"/>
    <x v="479"/>
    <x v="48"/>
    <x v="179"/>
    <x v="160"/>
    <x v="84"/>
    <x v="5"/>
  </r>
  <r>
    <x v="0"/>
    <x v="189"/>
    <x v="189"/>
    <x v="48"/>
    <x v="48"/>
    <x v="48"/>
    <x v="14"/>
    <x v="252"/>
    <x v="479"/>
    <x v="77"/>
    <x v="83"/>
    <x v="163"/>
    <x v="471"/>
    <x v="5"/>
  </r>
  <r>
    <x v="0"/>
    <x v="189"/>
    <x v="189"/>
    <x v="11"/>
    <x v="11"/>
    <x v="11"/>
    <x v="14"/>
    <x v="252"/>
    <x v="479"/>
    <x v="48"/>
    <x v="179"/>
    <x v="160"/>
    <x v="84"/>
    <x v="5"/>
  </r>
  <r>
    <x v="0"/>
    <x v="189"/>
    <x v="189"/>
    <x v="14"/>
    <x v="14"/>
    <x v="14"/>
    <x v="14"/>
    <x v="252"/>
    <x v="479"/>
    <x v="77"/>
    <x v="83"/>
    <x v="160"/>
    <x v="84"/>
    <x v="5"/>
  </r>
  <r>
    <x v="0"/>
    <x v="189"/>
    <x v="189"/>
    <x v="36"/>
    <x v="36"/>
    <x v="36"/>
    <x v="14"/>
    <x v="252"/>
    <x v="479"/>
    <x v="77"/>
    <x v="83"/>
    <x v="163"/>
    <x v="471"/>
    <x v="5"/>
  </r>
  <r>
    <x v="0"/>
    <x v="189"/>
    <x v="189"/>
    <x v="27"/>
    <x v="27"/>
    <x v="27"/>
    <x v="14"/>
    <x v="252"/>
    <x v="479"/>
    <x v="64"/>
    <x v="806"/>
    <x v="211"/>
    <x v="274"/>
    <x v="5"/>
  </r>
  <r>
    <x v="0"/>
    <x v="189"/>
    <x v="189"/>
    <x v="29"/>
    <x v="29"/>
    <x v="29"/>
    <x v="14"/>
    <x v="252"/>
    <x v="479"/>
    <x v="77"/>
    <x v="83"/>
    <x v="163"/>
    <x v="471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1">
  <r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1"/>
    <x v="1"/>
    <x v="1"/>
    <x v="1"/>
    <x v="1"/>
    <x v="1"/>
    <x v="0"/>
  </r>
  <r>
    <x v="0"/>
    <x v="0"/>
    <x v="0"/>
    <x v="2"/>
    <x v="2"/>
    <x v="2"/>
    <x v="2"/>
    <x v="2"/>
    <x v="2"/>
    <x v="2"/>
    <x v="2"/>
    <x v="2"/>
    <x v="2"/>
    <x v="0"/>
  </r>
  <r>
    <x v="0"/>
    <x v="0"/>
    <x v="0"/>
    <x v="3"/>
    <x v="3"/>
    <x v="3"/>
    <x v="3"/>
    <x v="3"/>
    <x v="3"/>
    <x v="3"/>
    <x v="3"/>
    <x v="3"/>
    <x v="3"/>
    <x v="0"/>
  </r>
  <r>
    <x v="0"/>
    <x v="0"/>
    <x v="0"/>
    <x v="4"/>
    <x v="4"/>
    <x v="4"/>
    <x v="4"/>
    <x v="4"/>
    <x v="4"/>
    <x v="4"/>
    <x v="4"/>
    <x v="4"/>
    <x v="4"/>
    <x v="1"/>
  </r>
  <r>
    <x v="0"/>
    <x v="0"/>
    <x v="0"/>
    <x v="5"/>
    <x v="5"/>
    <x v="5"/>
    <x v="5"/>
    <x v="5"/>
    <x v="5"/>
    <x v="5"/>
    <x v="5"/>
    <x v="5"/>
    <x v="5"/>
    <x v="0"/>
  </r>
  <r>
    <x v="0"/>
    <x v="0"/>
    <x v="0"/>
    <x v="6"/>
    <x v="6"/>
    <x v="6"/>
    <x v="6"/>
    <x v="6"/>
    <x v="6"/>
    <x v="6"/>
    <x v="6"/>
    <x v="6"/>
    <x v="6"/>
    <x v="0"/>
  </r>
  <r>
    <x v="0"/>
    <x v="0"/>
    <x v="0"/>
    <x v="7"/>
    <x v="7"/>
    <x v="7"/>
    <x v="7"/>
    <x v="7"/>
    <x v="7"/>
    <x v="7"/>
    <x v="7"/>
    <x v="7"/>
    <x v="7"/>
    <x v="2"/>
  </r>
  <r>
    <x v="0"/>
    <x v="0"/>
    <x v="0"/>
    <x v="8"/>
    <x v="8"/>
    <x v="8"/>
    <x v="8"/>
    <x v="8"/>
    <x v="8"/>
    <x v="8"/>
    <x v="8"/>
    <x v="8"/>
    <x v="8"/>
    <x v="3"/>
  </r>
  <r>
    <x v="0"/>
    <x v="0"/>
    <x v="0"/>
    <x v="9"/>
    <x v="9"/>
    <x v="9"/>
    <x v="9"/>
    <x v="9"/>
    <x v="9"/>
    <x v="9"/>
    <x v="9"/>
    <x v="9"/>
    <x v="9"/>
    <x v="4"/>
  </r>
  <r>
    <x v="0"/>
    <x v="0"/>
    <x v="0"/>
    <x v="10"/>
    <x v="10"/>
    <x v="10"/>
    <x v="10"/>
    <x v="10"/>
    <x v="10"/>
    <x v="10"/>
    <x v="10"/>
    <x v="10"/>
    <x v="10"/>
    <x v="0"/>
  </r>
  <r>
    <x v="0"/>
    <x v="0"/>
    <x v="0"/>
    <x v="11"/>
    <x v="11"/>
    <x v="11"/>
    <x v="11"/>
    <x v="11"/>
    <x v="11"/>
    <x v="11"/>
    <x v="11"/>
    <x v="11"/>
    <x v="11"/>
    <x v="0"/>
  </r>
  <r>
    <x v="0"/>
    <x v="0"/>
    <x v="0"/>
    <x v="12"/>
    <x v="12"/>
    <x v="12"/>
    <x v="12"/>
    <x v="12"/>
    <x v="12"/>
    <x v="12"/>
    <x v="12"/>
    <x v="12"/>
    <x v="12"/>
    <x v="5"/>
  </r>
  <r>
    <x v="0"/>
    <x v="0"/>
    <x v="0"/>
    <x v="13"/>
    <x v="13"/>
    <x v="13"/>
    <x v="13"/>
    <x v="13"/>
    <x v="13"/>
    <x v="13"/>
    <x v="13"/>
    <x v="13"/>
    <x v="13"/>
    <x v="0"/>
  </r>
  <r>
    <x v="0"/>
    <x v="0"/>
    <x v="0"/>
    <x v="14"/>
    <x v="14"/>
    <x v="14"/>
    <x v="13"/>
    <x v="13"/>
    <x v="13"/>
    <x v="14"/>
    <x v="14"/>
    <x v="14"/>
    <x v="14"/>
    <x v="0"/>
  </r>
  <r>
    <x v="0"/>
    <x v="0"/>
    <x v="0"/>
    <x v="15"/>
    <x v="15"/>
    <x v="15"/>
    <x v="14"/>
    <x v="14"/>
    <x v="14"/>
    <x v="15"/>
    <x v="15"/>
    <x v="15"/>
    <x v="15"/>
    <x v="3"/>
  </r>
  <r>
    <x v="0"/>
    <x v="0"/>
    <x v="0"/>
    <x v="16"/>
    <x v="16"/>
    <x v="16"/>
    <x v="15"/>
    <x v="15"/>
    <x v="15"/>
    <x v="16"/>
    <x v="16"/>
    <x v="16"/>
    <x v="16"/>
    <x v="6"/>
  </r>
  <r>
    <x v="0"/>
    <x v="0"/>
    <x v="0"/>
    <x v="17"/>
    <x v="17"/>
    <x v="17"/>
    <x v="16"/>
    <x v="16"/>
    <x v="16"/>
    <x v="17"/>
    <x v="17"/>
    <x v="17"/>
    <x v="17"/>
    <x v="0"/>
  </r>
  <r>
    <x v="0"/>
    <x v="0"/>
    <x v="0"/>
    <x v="18"/>
    <x v="18"/>
    <x v="18"/>
    <x v="17"/>
    <x v="17"/>
    <x v="17"/>
    <x v="18"/>
    <x v="18"/>
    <x v="18"/>
    <x v="18"/>
    <x v="6"/>
  </r>
  <r>
    <x v="0"/>
    <x v="0"/>
    <x v="0"/>
    <x v="19"/>
    <x v="19"/>
    <x v="19"/>
    <x v="18"/>
    <x v="18"/>
    <x v="18"/>
    <x v="19"/>
    <x v="19"/>
    <x v="19"/>
    <x v="19"/>
    <x v="0"/>
  </r>
  <r>
    <x v="0"/>
    <x v="1"/>
    <x v="1"/>
    <x v="0"/>
    <x v="0"/>
    <x v="0"/>
    <x v="0"/>
    <x v="19"/>
    <x v="19"/>
    <x v="20"/>
    <x v="20"/>
    <x v="20"/>
    <x v="20"/>
    <x v="0"/>
  </r>
  <r>
    <x v="0"/>
    <x v="1"/>
    <x v="1"/>
    <x v="1"/>
    <x v="1"/>
    <x v="1"/>
    <x v="1"/>
    <x v="20"/>
    <x v="20"/>
    <x v="21"/>
    <x v="21"/>
    <x v="21"/>
    <x v="21"/>
    <x v="0"/>
  </r>
  <r>
    <x v="0"/>
    <x v="1"/>
    <x v="1"/>
    <x v="2"/>
    <x v="2"/>
    <x v="2"/>
    <x v="2"/>
    <x v="21"/>
    <x v="21"/>
    <x v="22"/>
    <x v="22"/>
    <x v="22"/>
    <x v="22"/>
    <x v="0"/>
  </r>
  <r>
    <x v="0"/>
    <x v="1"/>
    <x v="1"/>
    <x v="4"/>
    <x v="4"/>
    <x v="4"/>
    <x v="3"/>
    <x v="22"/>
    <x v="22"/>
    <x v="23"/>
    <x v="23"/>
    <x v="23"/>
    <x v="23"/>
    <x v="0"/>
  </r>
  <r>
    <x v="0"/>
    <x v="1"/>
    <x v="1"/>
    <x v="3"/>
    <x v="3"/>
    <x v="3"/>
    <x v="4"/>
    <x v="23"/>
    <x v="23"/>
    <x v="24"/>
    <x v="24"/>
    <x v="24"/>
    <x v="24"/>
    <x v="0"/>
  </r>
  <r>
    <x v="0"/>
    <x v="1"/>
    <x v="1"/>
    <x v="5"/>
    <x v="5"/>
    <x v="5"/>
    <x v="5"/>
    <x v="24"/>
    <x v="24"/>
    <x v="25"/>
    <x v="25"/>
    <x v="25"/>
    <x v="25"/>
    <x v="0"/>
  </r>
  <r>
    <x v="0"/>
    <x v="1"/>
    <x v="1"/>
    <x v="6"/>
    <x v="6"/>
    <x v="6"/>
    <x v="6"/>
    <x v="25"/>
    <x v="25"/>
    <x v="26"/>
    <x v="26"/>
    <x v="26"/>
    <x v="26"/>
    <x v="0"/>
  </r>
  <r>
    <x v="0"/>
    <x v="1"/>
    <x v="1"/>
    <x v="15"/>
    <x v="15"/>
    <x v="15"/>
    <x v="7"/>
    <x v="26"/>
    <x v="26"/>
    <x v="27"/>
    <x v="27"/>
    <x v="27"/>
    <x v="27"/>
    <x v="3"/>
  </r>
  <r>
    <x v="0"/>
    <x v="1"/>
    <x v="1"/>
    <x v="16"/>
    <x v="16"/>
    <x v="16"/>
    <x v="8"/>
    <x v="27"/>
    <x v="27"/>
    <x v="28"/>
    <x v="28"/>
    <x v="28"/>
    <x v="28"/>
    <x v="0"/>
  </r>
  <r>
    <x v="0"/>
    <x v="1"/>
    <x v="1"/>
    <x v="8"/>
    <x v="8"/>
    <x v="8"/>
    <x v="9"/>
    <x v="28"/>
    <x v="28"/>
    <x v="29"/>
    <x v="29"/>
    <x v="29"/>
    <x v="25"/>
    <x v="1"/>
  </r>
  <r>
    <x v="0"/>
    <x v="1"/>
    <x v="1"/>
    <x v="14"/>
    <x v="14"/>
    <x v="14"/>
    <x v="10"/>
    <x v="29"/>
    <x v="29"/>
    <x v="30"/>
    <x v="30"/>
    <x v="30"/>
    <x v="29"/>
    <x v="0"/>
  </r>
  <r>
    <x v="0"/>
    <x v="1"/>
    <x v="1"/>
    <x v="7"/>
    <x v="7"/>
    <x v="7"/>
    <x v="11"/>
    <x v="30"/>
    <x v="30"/>
    <x v="31"/>
    <x v="31"/>
    <x v="31"/>
    <x v="30"/>
    <x v="6"/>
  </r>
  <r>
    <x v="0"/>
    <x v="1"/>
    <x v="1"/>
    <x v="20"/>
    <x v="20"/>
    <x v="20"/>
    <x v="12"/>
    <x v="31"/>
    <x v="31"/>
    <x v="32"/>
    <x v="32"/>
    <x v="32"/>
    <x v="31"/>
    <x v="0"/>
  </r>
  <r>
    <x v="0"/>
    <x v="1"/>
    <x v="1"/>
    <x v="21"/>
    <x v="21"/>
    <x v="21"/>
    <x v="13"/>
    <x v="32"/>
    <x v="11"/>
    <x v="33"/>
    <x v="33"/>
    <x v="33"/>
    <x v="13"/>
    <x v="6"/>
  </r>
  <r>
    <x v="0"/>
    <x v="1"/>
    <x v="1"/>
    <x v="13"/>
    <x v="13"/>
    <x v="13"/>
    <x v="19"/>
    <x v="33"/>
    <x v="32"/>
    <x v="34"/>
    <x v="34"/>
    <x v="34"/>
    <x v="32"/>
    <x v="0"/>
  </r>
  <r>
    <x v="0"/>
    <x v="1"/>
    <x v="1"/>
    <x v="22"/>
    <x v="22"/>
    <x v="22"/>
    <x v="14"/>
    <x v="34"/>
    <x v="16"/>
    <x v="35"/>
    <x v="35"/>
    <x v="35"/>
    <x v="33"/>
    <x v="0"/>
  </r>
  <r>
    <x v="0"/>
    <x v="1"/>
    <x v="1"/>
    <x v="23"/>
    <x v="23"/>
    <x v="23"/>
    <x v="15"/>
    <x v="35"/>
    <x v="33"/>
    <x v="36"/>
    <x v="36"/>
    <x v="36"/>
    <x v="34"/>
    <x v="0"/>
  </r>
  <r>
    <x v="0"/>
    <x v="1"/>
    <x v="1"/>
    <x v="18"/>
    <x v="18"/>
    <x v="18"/>
    <x v="16"/>
    <x v="36"/>
    <x v="34"/>
    <x v="37"/>
    <x v="37"/>
    <x v="23"/>
    <x v="23"/>
    <x v="6"/>
  </r>
  <r>
    <x v="0"/>
    <x v="1"/>
    <x v="1"/>
    <x v="24"/>
    <x v="24"/>
    <x v="24"/>
    <x v="17"/>
    <x v="37"/>
    <x v="17"/>
    <x v="38"/>
    <x v="38"/>
    <x v="37"/>
    <x v="35"/>
    <x v="1"/>
  </r>
  <r>
    <x v="0"/>
    <x v="1"/>
    <x v="1"/>
    <x v="17"/>
    <x v="17"/>
    <x v="17"/>
    <x v="18"/>
    <x v="38"/>
    <x v="17"/>
    <x v="39"/>
    <x v="39"/>
    <x v="38"/>
    <x v="36"/>
    <x v="0"/>
  </r>
  <r>
    <x v="0"/>
    <x v="2"/>
    <x v="2"/>
    <x v="2"/>
    <x v="2"/>
    <x v="2"/>
    <x v="0"/>
    <x v="39"/>
    <x v="35"/>
    <x v="40"/>
    <x v="40"/>
    <x v="39"/>
    <x v="11"/>
    <x v="0"/>
  </r>
  <r>
    <x v="0"/>
    <x v="2"/>
    <x v="2"/>
    <x v="0"/>
    <x v="0"/>
    <x v="0"/>
    <x v="1"/>
    <x v="40"/>
    <x v="36"/>
    <x v="41"/>
    <x v="41"/>
    <x v="40"/>
    <x v="37"/>
    <x v="0"/>
  </r>
  <r>
    <x v="0"/>
    <x v="2"/>
    <x v="2"/>
    <x v="4"/>
    <x v="4"/>
    <x v="4"/>
    <x v="2"/>
    <x v="41"/>
    <x v="37"/>
    <x v="42"/>
    <x v="42"/>
    <x v="41"/>
    <x v="38"/>
    <x v="0"/>
  </r>
  <r>
    <x v="0"/>
    <x v="2"/>
    <x v="2"/>
    <x v="5"/>
    <x v="5"/>
    <x v="5"/>
    <x v="3"/>
    <x v="33"/>
    <x v="38"/>
    <x v="43"/>
    <x v="43"/>
    <x v="42"/>
    <x v="39"/>
    <x v="0"/>
  </r>
  <r>
    <x v="0"/>
    <x v="2"/>
    <x v="2"/>
    <x v="1"/>
    <x v="1"/>
    <x v="1"/>
    <x v="4"/>
    <x v="42"/>
    <x v="39"/>
    <x v="44"/>
    <x v="44"/>
    <x v="43"/>
    <x v="40"/>
    <x v="0"/>
  </r>
  <r>
    <x v="0"/>
    <x v="2"/>
    <x v="2"/>
    <x v="25"/>
    <x v="25"/>
    <x v="25"/>
    <x v="5"/>
    <x v="43"/>
    <x v="40"/>
    <x v="45"/>
    <x v="45"/>
    <x v="44"/>
    <x v="41"/>
    <x v="0"/>
  </r>
  <r>
    <x v="0"/>
    <x v="2"/>
    <x v="2"/>
    <x v="15"/>
    <x v="15"/>
    <x v="15"/>
    <x v="6"/>
    <x v="44"/>
    <x v="41"/>
    <x v="46"/>
    <x v="46"/>
    <x v="45"/>
    <x v="42"/>
    <x v="0"/>
  </r>
  <r>
    <x v="0"/>
    <x v="2"/>
    <x v="2"/>
    <x v="6"/>
    <x v="6"/>
    <x v="6"/>
    <x v="7"/>
    <x v="45"/>
    <x v="42"/>
    <x v="47"/>
    <x v="47"/>
    <x v="46"/>
    <x v="43"/>
    <x v="0"/>
  </r>
  <r>
    <x v="0"/>
    <x v="2"/>
    <x v="2"/>
    <x v="8"/>
    <x v="8"/>
    <x v="8"/>
    <x v="8"/>
    <x v="46"/>
    <x v="43"/>
    <x v="48"/>
    <x v="48"/>
    <x v="47"/>
    <x v="44"/>
    <x v="0"/>
  </r>
  <r>
    <x v="0"/>
    <x v="2"/>
    <x v="2"/>
    <x v="16"/>
    <x v="16"/>
    <x v="16"/>
    <x v="9"/>
    <x v="47"/>
    <x v="44"/>
    <x v="46"/>
    <x v="46"/>
    <x v="48"/>
    <x v="45"/>
    <x v="0"/>
  </r>
  <r>
    <x v="0"/>
    <x v="2"/>
    <x v="2"/>
    <x v="7"/>
    <x v="7"/>
    <x v="7"/>
    <x v="10"/>
    <x v="48"/>
    <x v="45"/>
    <x v="49"/>
    <x v="49"/>
    <x v="49"/>
    <x v="46"/>
    <x v="6"/>
  </r>
  <r>
    <x v="0"/>
    <x v="2"/>
    <x v="2"/>
    <x v="20"/>
    <x v="20"/>
    <x v="20"/>
    <x v="11"/>
    <x v="49"/>
    <x v="46"/>
    <x v="50"/>
    <x v="50"/>
    <x v="50"/>
    <x v="47"/>
    <x v="0"/>
  </r>
  <r>
    <x v="0"/>
    <x v="2"/>
    <x v="2"/>
    <x v="26"/>
    <x v="26"/>
    <x v="26"/>
    <x v="12"/>
    <x v="50"/>
    <x v="47"/>
    <x v="51"/>
    <x v="32"/>
    <x v="51"/>
    <x v="48"/>
    <x v="7"/>
  </r>
  <r>
    <x v="0"/>
    <x v="2"/>
    <x v="2"/>
    <x v="27"/>
    <x v="27"/>
    <x v="27"/>
    <x v="13"/>
    <x v="51"/>
    <x v="48"/>
    <x v="52"/>
    <x v="51"/>
    <x v="52"/>
    <x v="34"/>
    <x v="0"/>
  </r>
  <r>
    <x v="0"/>
    <x v="2"/>
    <x v="2"/>
    <x v="9"/>
    <x v="9"/>
    <x v="9"/>
    <x v="19"/>
    <x v="52"/>
    <x v="49"/>
    <x v="10"/>
    <x v="52"/>
    <x v="53"/>
    <x v="49"/>
    <x v="0"/>
  </r>
  <r>
    <x v="0"/>
    <x v="2"/>
    <x v="2"/>
    <x v="28"/>
    <x v="28"/>
    <x v="28"/>
    <x v="14"/>
    <x v="53"/>
    <x v="50"/>
    <x v="53"/>
    <x v="53"/>
    <x v="54"/>
    <x v="50"/>
    <x v="0"/>
  </r>
  <r>
    <x v="0"/>
    <x v="2"/>
    <x v="2"/>
    <x v="29"/>
    <x v="29"/>
    <x v="29"/>
    <x v="15"/>
    <x v="54"/>
    <x v="9"/>
    <x v="54"/>
    <x v="54"/>
    <x v="55"/>
    <x v="1"/>
    <x v="0"/>
  </r>
  <r>
    <x v="0"/>
    <x v="2"/>
    <x v="2"/>
    <x v="18"/>
    <x v="18"/>
    <x v="18"/>
    <x v="16"/>
    <x v="55"/>
    <x v="51"/>
    <x v="55"/>
    <x v="55"/>
    <x v="24"/>
    <x v="32"/>
    <x v="6"/>
  </r>
  <r>
    <x v="0"/>
    <x v="2"/>
    <x v="2"/>
    <x v="30"/>
    <x v="30"/>
    <x v="30"/>
    <x v="17"/>
    <x v="56"/>
    <x v="13"/>
    <x v="56"/>
    <x v="56"/>
    <x v="56"/>
    <x v="51"/>
    <x v="0"/>
  </r>
  <r>
    <x v="0"/>
    <x v="2"/>
    <x v="2"/>
    <x v="3"/>
    <x v="3"/>
    <x v="3"/>
    <x v="18"/>
    <x v="57"/>
    <x v="52"/>
    <x v="10"/>
    <x v="52"/>
    <x v="44"/>
    <x v="41"/>
    <x v="0"/>
  </r>
  <r>
    <x v="0"/>
    <x v="3"/>
    <x v="3"/>
    <x v="0"/>
    <x v="0"/>
    <x v="0"/>
    <x v="0"/>
    <x v="58"/>
    <x v="53"/>
    <x v="57"/>
    <x v="57"/>
    <x v="57"/>
    <x v="52"/>
    <x v="0"/>
  </r>
  <r>
    <x v="0"/>
    <x v="3"/>
    <x v="3"/>
    <x v="1"/>
    <x v="1"/>
    <x v="1"/>
    <x v="1"/>
    <x v="59"/>
    <x v="54"/>
    <x v="58"/>
    <x v="58"/>
    <x v="58"/>
    <x v="53"/>
    <x v="0"/>
  </r>
  <r>
    <x v="0"/>
    <x v="3"/>
    <x v="3"/>
    <x v="3"/>
    <x v="3"/>
    <x v="3"/>
    <x v="2"/>
    <x v="60"/>
    <x v="55"/>
    <x v="59"/>
    <x v="59"/>
    <x v="52"/>
    <x v="6"/>
    <x v="0"/>
  </r>
  <r>
    <x v="0"/>
    <x v="3"/>
    <x v="3"/>
    <x v="14"/>
    <x v="14"/>
    <x v="14"/>
    <x v="3"/>
    <x v="61"/>
    <x v="56"/>
    <x v="39"/>
    <x v="60"/>
    <x v="59"/>
    <x v="54"/>
    <x v="0"/>
  </r>
  <r>
    <x v="0"/>
    <x v="3"/>
    <x v="3"/>
    <x v="6"/>
    <x v="6"/>
    <x v="6"/>
    <x v="4"/>
    <x v="62"/>
    <x v="57"/>
    <x v="60"/>
    <x v="61"/>
    <x v="60"/>
    <x v="55"/>
    <x v="0"/>
  </r>
  <r>
    <x v="0"/>
    <x v="3"/>
    <x v="3"/>
    <x v="16"/>
    <x v="16"/>
    <x v="16"/>
    <x v="5"/>
    <x v="63"/>
    <x v="58"/>
    <x v="61"/>
    <x v="62"/>
    <x v="61"/>
    <x v="56"/>
    <x v="0"/>
  </r>
  <r>
    <x v="0"/>
    <x v="3"/>
    <x v="3"/>
    <x v="13"/>
    <x v="13"/>
    <x v="13"/>
    <x v="6"/>
    <x v="64"/>
    <x v="59"/>
    <x v="62"/>
    <x v="30"/>
    <x v="62"/>
    <x v="57"/>
    <x v="0"/>
  </r>
  <r>
    <x v="0"/>
    <x v="3"/>
    <x v="3"/>
    <x v="5"/>
    <x v="5"/>
    <x v="5"/>
    <x v="7"/>
    <x v="65"/>
    <x v="27"/>
    <x v="63"/>
    <x v="63"/>
    <x v="63"/>
    <x v="58"/>
    <x v="0"/>
  </r>
  <r>
    <x v="0"/>
    <x v="3"/>
    <x v="3"/>
    <x v="4"/>
    <x v="4"/>
    <x v="4"/>
    <x v="8"/>
    <x v="66"/>
    <x v="45"/>
    <x v="64"/>
    <x v="64"/>
    <x v="64"/>
    <x v="59"/>
    <x v="0"/>
  </r>
  <r>
    <x v="0"/>
    <x v="3"/>
    <x v="3"/>
    <x v="17"/>
    <x v="17"/>
    <x v="17"/>
    <x v="9"/>
    <x v="67"/>
    <x v="60"/>
    <x v="65"/>
    <x v="65"/>
    <x v="65"/>
    <x v="60"/>
    <x v="0"/>
  </r>
  <r>
    <x v="0"/>
    <x v="3"/>
    <x v="3"/>
    <x v="31"/>
    <x v="31"/>
    <x v="31"/>
    <x v="10"/>
    <x v="68"/>
    <x v="61"/>
    <x v="39"/>
    <x v="60"/>
    <x v="66"/>
    <x v="61"/>
    <x v="0"/>
  </r>
  <r>
    <x v="0"/>
    <x v="3"/>
    <x v="3"/>
    <x v="2"/>
    <x v="2"/>
    <x v="2"/>
    <x v="11"/>
    <x v="69"/>
    <x v="30"/>
    <x v="66"/>
    <x v="66"/>
    <x v="67"/>
    <x v="62"/>
    <x v="0"/>
  </r>
  <r>
    <x v="0"/>
    <x v="3"/>
    <x v="3"/>
    <x v="11"/>
    <x v="11"/>
    <x v="11"/>
    <x v="12"/>
    <x v="70"/>
    <x v="62"/>
    <x v="67"/>
    <x v="67"/>
    <x v="68"/>
    <x v="63"/>
    <x v="0"/>
  </r>
  <r>
    <x v="0"/>
    <x v="3"/>
    <x v="3"/>
    <x v="32"/>
    <x v="32"/>
    <x v="32"/>
    <x v="13"/>
    <x v="71"/>
    <x v="63"/>
    <x v="62"/>
    <x v="30"/>
    <x v="69"/>
    <x v="51"/>
    <x v="0"/>
  </r>
  <r>
    <x v="0"/>
    <x v="3"/>
    <x v="3"/>
    <x v="15"/>
    <x v="15"/>
    <x v="15"/>
    <x v="19"/>
    <x v="72"/>
    <x v="10"/>
    <x v="68"/>
    <x v="16"/>
    <x v="70"/>
    <x v="64"/>
    <x v="6"/>
  </r>
  <r>
    <x v="0"/>
    <x v="3"/>
    <x v="3"/>
    <x v="8"/>
    <x v="8"/>
    <x v="8"/>
    <x v="19"/>
    <x v="72"/>
    <x v="10"/>
    <x v="69"/>
    <x v="68"/>
    <x v="71"/>
    <x v="5"/>
    <x v="0"/>
  </r>
  <r>
    <x v="0"/>
    <x v="3"/>
    <x v="3"/>
    <x v="22"/>
    <x v="22"/>
    <x v="22"/>
    <x v="15"/>
    <x v="73"/>
    <x v="64"/>
    <x v="70"/>
    <x v="69"/>
    <x v="72"/>
    <x v="65"/>
    <x v="0"/>
  </r>
  <r>
    <x v="0"/>
    <x v="3"/>
    <x v="3"/>
    <x v="7"/>
    <x v="7"/>
    <x v="7"/>
    <x v="16"/>
    <x v="74"/>
    <x v="12"/>
    <x v="71"/>
    <x v="70"/>
    <x v="73"/>
    <x v="12"/>
    <x v="0"/>
  </r>
  <r>
    <x v="0"/>
    <x v="3"/>
    <x v="3"/>
    <x v="10"/>
    <x v="10"/>
    <x v="10"/>
    <x v="17"/>
    <x v="75"/>
    <x v="65"/>
    <x v="56"/>
    <x v="33"/>
    <x v="74"/>
    <x v="39"/>
    <x v="0"/>
  </r>
  <r>
    <x v="0"/>
    <x v="3"/>
    <x v="3"/>
    <x v="20"/>
    <x v="20"/>
    <x v="20"/>
    <x v="17"/>
    <x v="75"/>
    <x v="65"/>
    <x v="56"/>
    <x v="33"/>
    <x v="74"/>
    <x v="39"/>
    <x v="0"/>
  </r>
  <r>
    <x v="0"/>
    <x v="4"/>
    <x v="4"/>
    <x v="0"/>
    <x v="0"/>
    <x v="0"/>
    <x v="0"/>
    <x v="76"/>
    <x v="66"/>
    <x v="72"/>
    <x v="71"/>
    <x v="75"/>
    <x v="66"/>
    <x v="0"/>
  </r>
  <r>
    <x v="0"/>
    <x v="4"/>
    <x v="4"/>
    <x v="1"/>
    <x v="1"/>
    <x v="1"/>
    <x v="1"/>
    <x v="77"/>
    <x v="67"/>
    <x v="73"/>
    <x v="72"/>
    <x v="60"/>
    <x v="67"/>
    <x v="0"/>
  </r>
  <r>
    <x v="0"/>
    <x v="4"/>
    <x v="4"/>
    <x v="3"/>
    <x v="3"/>
    <x v="3"/>
    <x v="2"/>
    <x v="56"/>
    <x v="68"/>
    <x v="74"/>
    <x v="73"/>
    <x v="76"/>
    <x v="68"/>
    <x v="0"/>
  </r>
  <r>
    <x v="0"/>
    <x v="4"/>
    <x v="4"/>
    <x v="15"/>
    <x v="15"/>
    <x v="15"/>
    <x v="3"/>
    <x v="78"/>
    <x v="69"/>
    <x v="32"/>
    <x v="74"/>
    <x v="77"/>
    <x v="69"/>
    <x v="6"/>
  </r>
  <r>
    <x v="0"/>
    <x v="4"/>
    <x v="4"/>
    <x v="14"/>
    <x v="14"/>
    <x v="14"/>
    <x v="4"/>
    <x v="64"/>
    <x v="70"/>
    <x v="70"/>
    <x v="10"/>
    <x v="78"/>
    <x v="70"/>
    <x v="0"/>
  </r>
  <r>
    <x v="0"/>
    <x v="4"/>
    <x v="4"/>
    <x v="6"/>
    <x v="6"/>
    <x v="6"/>
    <x v="5"/>
    <x v="79"/>
    <x v="44"/>
    <x v="75"/>
    <x v="75"/>
    <x v="79"/>
    <x v="71"/>
    <x v="0"/>
  </r>
  <r>
    <x v="0"/>
    <x v="4"/>
    <x v="4"/>
    <x v="31"/>
    <x v="31"/>
    <x v="31"/>
    <x v="6"/>
    <x v="80"/>
    <x v="71"/>
    <x v="39"/>
    <x v="15"/>
    <x v="65"/>
    <x v="72"/>
    <x v="0"/>
  </r>
  <r>
    <x v="0"/>
    <x v="4"/>
    <x v="4"/>
    <x v="13"/>
    <x v="13"/>
    <x v="13"/>
    <x v="6"/>
    <x v="80"/>
    <x v="71"/>
    <x v="39"/>
    <x v="15"/>
    <x v="65"/>
    <x v="72"/>
    <x v="0"/>
  </r>
  <r>
    <x v="0"/>
    <x v="4"/>
    <x v="4"/>
    <x v="11"/>
    <x v="11"/>
    <x v="11"/>
    <x v="8"/>
    <x v="67"/>
    <x v="72"/>
    <x v="51"/>
    <x v="55"/>
    <x v="80"/>
    <x v="73"/>
    <x v="0"/>
  </r>
  <r>
    <x v="0"/>
    <x v="4"/>
    <x v="4"/>
    <x v="21"/>
    <x v="21"/>
    <x v="21"/>
    <x v="9"/>
    <x v="81"/>
    <x v="73"/>
    <x v="50"/>
    <x v="76"/>
    <x v="66"/>
    <x v="74"/>
    <x v="6"/>
  </r>
  <r>
    <x v="0"/>
    <x v="4"/>
    <x v="4"/>
    <x v="32"/>
    <x v="32"/>
    <x v="32"/>
    <x v="10"/>
    <x v="82"/>
    <x v="74"/>
    <x v="51"/>
    <x v="55"/>
    <x v="55"/>
    <x v="75"/>
    <x v="0"/>
  </r>
  <r>
    <x v="0"/>
    <x v="4"/>
    <x v="4"/>
    <x v="33"/>
    <x v="33"/>
    <x v="33"/>
    <x v="10"/>
    <x v="82"/>
    <x v="74"/>
    <x v="56"/>
    <x v="77"/>
    <x v="81"/>
    <x v="76"/>
    <x v="0"/>
  </r>
  <r>
    <x v="0"/>
    <x v="4"/>
    <x v="4"/>
    <x v="17"/>
    <x v="17"/>
    <x v="17"/>
    <x v="12"/>
    <x v="69"/>
    <x v="75"/>
    <x v="56"/>
    <x v="77"/>
    <x v="82"/>
    <x v="77"/>
    <x v="0"/>
  </r>
  <r>
    <x v="0"/>
    <x v="4"/>
    <x v="4"/>
    <x v="4"/>
    <x v="4"/>
    <x v="4"/>
    <x v="13"/>
    <x v="72"/>
    <x v="30"/>
    <x v="76"/>
    <x v="78"/>
    <x v="83"/>
    <x v="8"/>
    <x v="0"/>
  </r>
  <r>
    <x v="0"/>
    <x v="4"/>
    <x v="4"/>
    <x v="16"/>
    <x v="16"/>
    <x v="16"/>
    <x v="19"/>
    <x v="73"/>
    <x v="62"/>
    <x v="77"/>
    <x v="79"/>
    <x v="84"/>
    <x v="78"/>
    <x v="0"/>
  </r>
  <r>
    <x v="0"/>
    <x v="4"/>
    <x v="4"/>
    <x v="22"/>
    <x v="22"/>
    <x v="22"/>
    <x v="14"/>
    <x v="74"/>
    <x v="76"/>
    <x v="51"/>
    <x v="55"/>
    <x v="36"/>
    <x v="39"/>
    <x v="0"/>
  </r>
  <r>
    <x v="0"/>
    <x v="4"/>
    <x v="4"/>
    <x v="20"/>
    <x v="20"/>
    <x v="20"/>
    <x v="14"/>
    <x v="74"/>
    <x v="76"/>
    <x v="70"/>
    <x v="10"/>
    <x v="74"/>
    <x v="79"/>
    <x v="0"/>
  </r>
  <r>
    <x v="0"/>
    <x v="4"/>
    <x v="4"/>
    <x v="24"/>
    <x v="24"/>
    <x v="24"/>
    <x v="16"/>
    <x v="75"/>
    <x v="77"/>
    <x v="56"/>
    <x v="77"/>
    <x v="74"/>
    <x v="79"/>
    <x v="0"/>
  </r>
  <r>
    <x v="0"/>
    <x v="4"/>
    <x v="4"/>
    <x v="8"/>
    <x v="8"/>
    <x v="8"/>
    <x v="17"/>
    <x v="83"/>
    <x v="11"/>
    <x v="78"/>
    <x v="80"/>
    <x v="63"/>
    <x v="2"/>
    <x v="0"/>
  </r>
  <r>
    <x v="0"/>
    <x v="4"/>
    <x v="4"/>
    <x v="7"/>
    <x v="7"/>
    <x v="7"/>
    <x v="18"/>
    <x v="84"/>
    <x v="65"/>
    <x v="38"/>
    <x v="81"/>
    <x v="46"/>
    <x v="80"/>
    <x v="0"/>
  </r>
  <r>
    <x v="0"/>
    <x v="5"/>
    <x v="5"/>
    <x v="0"/>
    <x v="0"/>
    <x v="0"/>
    <x v="0"/>
    <x v="85"/>
    <x v="78"/>
    <x v="79"/>
    <x v="82"/>
    <x v="85"/>
    <x v="66"/>
    <x v="0"/>
  </r>
  <r>
    <x v="0"/>
    <x v="5"/>
    <x v="5"/>
    <x v="1"/>
    <x v="1"/>
    <x v="1"/>
    <x v="1"/>
    <x v="86"/>
    <x v="79"/>
    <x v="80"/>
    <x v="83"/>
    <x v="86"/>
    <x v="81"/>
    <x v="0"/>
  </r>
  <r>
    <x v="0"/>
    <x v="5"/>
    <x v="5"/>
    <x v="3"/>
    <x v="3"/>
    <x v="3"/>
    <x v="2"/>
    <x v="87"/>
    <x v="80"/>
    <x v="81"/>
    <x v="84"/>
    <x v="79"/>
    <x v="3"/>
    <x v="0"/>
  </r>
  <r>
    <x v="0"/>
    <x v="5"/>
    <x v="5"/>
    <x v="21"/>
    <x v="21"/>
    <x v="21"/>
    <x v="3"/>
    <x v="88"/>
    <x v="81"/>
    <x v="62"/>
    <x v="17"/>
    <x v="87"/>
    <x v="82"/>
    <x v="0"/>
  </r>
  <r>
    <x v="0"/>
    <x v="5"/>
    <x v="5"/>
    <x v="6"/>
    <x v="6"/>
    <x v="6"/>
    <x v="3"/>
    <x v="88"/>
    <x v="81"/>
    <x v="82"/>
    <x v="85"/>
    <x v="83"/>
    <x v="83"/>
    <x v="0"/>
  </r>
  <r>
    <x v="0"/>
    <x v="5"/>
    <x v="5"/>
    <x v="5"/>
    <x v="5"/>
    <x v="5"/>
    <x v="5"/>
    <x v="65"/>
    <x v="82"/>
    <x v="63"/>
    <x v="86"/>
    <x v="63"/>
    <x v="84"/>
    <x v="0"/>
  </r>
  <r>
    <x v="0"/>
    <x v="5"/>
    <x v="5"/>
    <x v="14"/>
    <x v="14"/>
    <x v="14"/>
    <x v="6"/>
    <x v="89"/>
    <x v="83"/>
    <x v="56"/>
    <x v="33"/>
    <x v="88"/>
    <x v="85"/>
    <x v="0"/>
  </r>
  <r>
    <x v="0"/>
    <x v="5"/>
    <x v="5"/>
    <x v="11"/>
    <x v="11"/>
    <x v="11"/>
    <x v="7"/>
    <x v="90"/>
    <x v="43"/>
    <x v="55"/>
    <x v="87"/>
    <x v="81"/>
    <x v="72"/>
    <x v="0"/>
  </r>
  <r>
    <x v="0"/>
    <x v="5"/>
    <x v="5"/>
    <x v="16"/>
    <x v="16"/>
    <x v="16"/>
    <x v="8"/>
    <x v="67"/>
    <x v="46"/>
    <x v="39"/>
    <x v="88"/>
    <x v="89"/>
    <x v="86"/>
    <x v="0"/>
  </r>
  <r>
    <x v="0"/>
    <x v="5"/>
    <x v="5"/>
    <x v="22"/>
    <x v="22"/>
    <x v="22"/>
    <x v="9"/>
    <x v="69"/>
    <x v="84"/>
    <x v="77"/>
    <x v="89"/>
    <x v="90"/>
    <x v="87"/>
    <x v="0"/>
  </r>
  <r>
    <x v="0"/>
    <x v="5"/>
    <x v="5"/>
    <x v="33"/>
    <x v="33"/>
    <x v="33"/>
    <x v="10"/>
    <x v="70"/>
    <x v="73"/>
    <x v="50"/>
    <x v="76"/>
    <x v="82"/>
    <x v="88"/>
    <x v="0"/>
  </r>
  <r>
    <x v="0"/>
    <x v="5"/>
    <x v="5"/>
    <x v="17"/>
    <x v="17"/>
    <x v="17"/>
    <x v="11"/>
    <x v="91"/>
    <x v="75"/>
    <x v="65"/>
    <x v="65"/>
    <x v="91"/>
    <x v="60"/>
    <x v="0"/>
  </r>
  <r>
    <x v="0"/>
    <x v="5"/>
    <x v="5"/>
    <x v="4"/>
    <x v="4"/>
    <x v="4"/>
    <x v="12"/>
    <x v="72"/>
    <x v="85"/>
    <x v="83"/>
    <x v="90"/>
    <x v="63"/>
    <x v="84"/>
    <x v="0"/>
  </r>
  <r>
    <x v="0"/>
    <x v="5"/>
    <x v="5"/>
    <x v="15"/>
    <x v="15"/>
    <x v="15"/>
    <x v="13"/>
    <x v="73"/>
    <x v="86"/>
    <x v="32"/>
    <x v="91"/>
    <x v="92"/>
    <x v="35"/>
    <x v="0"/>
  </r>
  <r>
    <x v="0"/>
    <x v="5"/>
    <x v="5"/>
    <x v="13"/>
    <x v="13"/>
    <x v="13"/>
    <x v="19"/>
    <x v="92"/>
    <x v="30"/>
    <x v="56"/>
    <x v="33"/>
    <x v="90"/>
    <x v="87"/>
    <x v="0"/>
  </r>
  <r>
    <x v="0"/>
    <x v="5"/>
    <x v="5"/>
    <x v="2"/>
    <x v="2"/>
    <x v="2"/>
    <x v="14"/>
    <x v="74"/>
    <x v="49"/>
    <x v="84"/>
    <x v="47"/>
    <x v="93"/>
    <x v="89"/>
    <x v="0"/>
  </r>
  <r>
    <x v="0"/>
    <x v="5"/>
    <x v="5"/>
    <x v="31"/>
    <x v="31"/>
    <x v="31"/>
    <x v="15"/>
    <x v="93"/>
    <x v="76"/>
    <x v="56"/>
    <x v="33"/>
    <x v="36"/>
    <x v="90"/>
    <x v="0"/>
  </r>
  <r>
    <x v="0"/>
    <x v="5"/>
    <x v="5"/>
    <x v="7"/>
    <x v="7"/>
    <x v="7"/>
    <x v="16"/>
    <x v="94"/>
    <x v="87"/>
    <x v="30"/>
    <x v="92"/>
    <x v="94"/>
    <x v="91"/>
    <x v="0"/>
  </r>
  <r>
    <x v="0"/>
    <x v="5"/>
    <x v="5"/>
    <x v="32"/>
    <x v="32"/>
    <x v="32"/>
    <x v="17"/>
    <x v="95"/>
    <x v="33"/>
    <x v="65"/>
    <x v="65"/>
    <x v="68"/>
    <x v="16"/>
    <x v="0"/>
  </r>
  <r>
    <x v="0"/>
    <x v="5"/>
    <x v="5"/>
    <x v="20"/>
    <x v="20"/>
    <x v="20"/>
    <x v="18"/>
    <x v="96"/>
    <x v="88"/>
    <x v="70"/>
    <x v="93"/>
    <x v="46"/>
    <x v="92"/>
    <x v="0"/>
  </r>
  <r>
    <x v="0"/>
    <x v="6"/>
    <x v="6"/>
    <x v="0"/>
    <x v="0"/>
    <x v="0"/>
    <x v="0"/>
    <x v="97"/>
    <x v="89"/>
    <x v="85"/>
    <x v="94"/>
    <x v="95"/>
    <x v="93"/>
    <x v="0"/>
  </r>
  <r>
    <x v="0"/>
    <x v="6"/>
    <x v="6"/>
    <x v="1"/>
    <x v="1"/>
    <x v="1"/>
    <x v="1"/>
    <x v="98"/>
    <x v="90"/>
    <x v="86"/>
    <x v="95"/>
    <x v="96"/>
    <x v="64"/>
    <x v="0"/>
  </r>
  <r>
    <x v="0"/>
    <x v="6"/>
    <x v="6"/>
    <x v="3"/>
    <x v="3"/>
    <x v="3"/>
    <x v="2"/>
    <x v="99"/>
    <x v="91"/>
    <x v="87"/>
    <x v="96"/>
    <x v="76"/>
    <x v="5"/>
    <x v="0"/>
  </r>
  <r>
    <x v="0"/>
    <x v="6"/>
    <x v="6"/>
    <x v="6"/>
    <x v="6"/>
    <x v="6"/>
    <x v="3"/>
    <x v="89"/>
    <x v="92"/>
    <x v="88"/>
    <x v="97"/>
    <x v="97"/>
    <x v="94"/>
    <x v="0"/>
  </r>
  <r>
    <x v="0"/>
    <x v="6"/>
    <x v="6"/>
    <x v="15"/>
    <x v="15"/>
    <x v="15"/>
    <x v="4"/>
    <x v="100"/>
    <x v="81"/>
    <x v="89"/>
    <x v="98"/>
    <x v="72"/>
    <x v="95"/>
    <x v="6"/>
  </r>
  <r>
    <x v="0"/>
    <x v="6"/>
    <x v="6"/>
    <x v="4"/>
    <x v="4"/>
    <x v="4"/>
    <x v="5"/>
    <x v="69"/>
    <x v="93"/>
    <x v="90"/>
    <x v="99"/>
    <x v="83"/>
    <x v="59"/>
    <x v="0"/>
  </r>
  <r>
    <x v="0"/>
    <x v="6"/>
    <x v="6"/>
    <x v="8"/>
    <x v="8"/>
    <x v="8"/>
    <x v="6"/>
    <x v="72"/>
    <x v="94"/>
    <x v="91"/>
    <x v="100"/>
    <x v="52"/>
    <x v="96"/>
    <x v="0"/>
  </r>
  <r>
    <x v="0"/>
    <x v="6"/>
    <x v="6"/>
    <x v="16"/>
    <x v="16"/>
    <x v="16"/>
    <x v="7"/>
    <x v="101"/>
    <x v="43"/>
    <x v="68"/>
    <x v="89"/>
    <x v="84"/>
    <x v="97"/>
    <x v="0"/>
  </r>
  <r>
    <x v="0"/>
    <x v="6"/>
    <x v="6"/>
    <x v="20"/>
    <x v="20"/>
    <x v="20"/>
    <x v="8"/>
    <x v="75"/>
    <x v="95"/>
    <x v="56"/>
    <x v="77"/>
    <x v="74"/>
    <x v="98"/>
    <x v="0"/>
  </r>
  <r>
    <x v="0"/>
    <x v="6"/>
    <x v="6"/>
    <x v="5"/>
    <x v="5"/>
    <x v="5"/>
    <x v="9"/>
    <x v="102"/>
    <x v="71"/>
    <x v="92"/>
    <x v="47"/>
    <x v="67"/>
    <x v="99"/>
    <x v="0"/>
  </r>
  <r>
    <x v="0"/>
    <x v="6"/>
    <x v="6"/>
    <x v="24"/>
    <x v="24"/>
    <x v="24"/>
    <x v="10"/>
    <x v="93"/>
    <x v="96"/>
    <x v="70"/>
    <x v="10"/>
    <x v="84"/>
    <x v="97"/>
    <x v="6"/>
  </r>
  <r>
    <x v="0"/>
    <x v="6"/>
    <x v="6"/>
    <x v="22"/>
    <x v="22"/>
    <x v="22"/>
    <x v="11"/>
    <x v="96"/>
    <x v="30"/>
    <x v="70"/>
    <x v="10"/>
    <x v="46"/>
    <x v="100"/>
    <x v="0"/>
  </r>
  <r>
    <x v="0"/>
    <x v="6"/>
    <x v="6"/>
    <x v="23"/>
    <x v="23"/>
    <x v="23"/>
    <x v="11"/>
    <x v="96"/>
    <x v="30"/>
    <x v="93"/>
    <x v="101"/>
    <x v="98"/>
    <x v="101"/>
    <x v="0"/>
  </r>
  <r>
    <x v="0"/>
    <x v="6"/>
    <x v="6"/>
    <x v="7"/>
    <x v="7"/>
    <x v="7"/>
    <x v="13"/>
    <x v="103"/>
    <x v="97"/>
    <x v="94"/>
    <x v="102"/>
    <x v="99"/>
    <x v="92"/>
    <x v="0"/>
  </r>
  <r>
    <x v="0"/>
    <x v="6"/>
    <x v="6"/>
    <x v="21"/>
    <x v="21"/>
    <x v="21"/>
    <x v="19"/>
    <x v="104"/>
    <x v="76"/>
    <x v="56"/>
    <x v="77"/>
    <x v="100"/>
    <x v="76"/>
    <x v="0"/>
  </r>
  <r>
    <x v="0"/>
    <x v="6"/>
    <x v="6"/>
    <x v="34"/>
    <x v="34"/>
    <x v="34"/>
    <x v="14"/>
    <x v="105"/>
    <x v="64"/>
    <x v="61"/>
    <x v="27"/>
    <x v="101"/>
    <x v="102"/>
    <x v="0"/>
  </r>
  <r>
    <x v="0"/>
    <x v="6"/>
    <x v="6"/>
    <x v="14"/>
    <x v="14"/>
    <x v="14"/>
    <x v="15"/>
    <x v="106"/>
    <x v="12"/>
    <x v="62"/>
    <x v="103"/>
    <x v="73"/>
    <x v="14"/>
    <x v="0"/>
  </r>
  <r>
    <x v="0"/>
    <x v="6"/>
    <x v="6"/>
    <x v="32"/>
    <x v="32"/>
    <x v="32"/>
    <x v="16"/>
    <x v="107"/>
    <x v="51"/>
    <x v="56"/>
    <x v="77"/>
    <x v="102"/>
    <x v="103"/>
    <x v="0"/>
  </r>
  <r>
    <x v="0"/>
    <x v="6"/>
    <x v="6"/>
    <x v="35"/>
    <x v="35"/>
    <x v="35"/>
    <x v="17"/>
    <x v="108"/>
    <x v="14"/>
    <x v="56"/>
    <x v="77"/>
    <x v="58"/>
    <x v="50"/>
    <x v="0"/>
  </r>
  <r>
    <x v="0"/>
    <x v="6"/>
    <x v="6"/>
    <x v="18"/>
    <x v="18"/>
    <x v="18"/>
    <x v="18"/>
    <x v="109"/>
    <x v="33"/>
    <x v="95"/>
    <x v="104"/>
    <x v="103"/>
    <x v="104"/>
    <x v="0"/>
  </r>
  <r>
    <x v="0"/>
    <x v="7"/>
    <x v="7"/>
    <x v="0"/>
    <x v="0"/>
    <x v="0"/>
    <x v="0"/>
    <x v="110"/>
    <x v="98"/>
    <x v="96"/>
    <x v="105"/>
    <x v="82"/>
    <x v="105"/>
    <x v="0"/>
  </r>
  <r>
    <x v="0"/>
    <x v="7"/>
    <x v="7"/>
    <x v="1"/>
    <x v="1"/>
    <x v="1"/>
    <x v="1"/>
    <x v="111"/>
    <x v="99"/>
    <x v="97"/>
    <x v="106"/>
    <x v="83"/>
    <x v="106"/>
    <x v="0"/>
  </r>
  <r>
    <x v="0"/>
    <x v="7"/>
    <x v="7"/>
    <x v="3"/>
    <x v="3"/>
    <x v="3"/>
    <x v="2"/>
    <x v="81"/>
    <x v="100"/>
    <x v="98"/>
    <x v="107"/>
    <x v="104"/>
    <x v="59"/>
    <x v="0"/>
  </r>
  <r>
    <x v="0"/>
    <x v="7"/>
    <x v="7"/>
    <x v="4"/>
    <x v="4"/>
    <x v="4"/>
    <x v="3"/>
    <x v="112"/>
    <x v="101"/>
    <x v="30"/>
    <x v="108"/>
    <x v="105"/>
    <x v="107"/>
    <x v="0"/>
  </r>
  <r>
    <x v="0"/>
    <x v="7"/>
    <x v="7"/>
    <x v="6"/>
    <x v="6"/>
    <x v="6"/>
    <x v="4"/>
    <x v="103"/>
    <x v="25"/>
    <x v="99"/>
    <x v="109"/>
    <x v="106"/>
    <x v="55"/>
    <x v="0"/>
  </r>
  <r>
    <x v="0"/>
    <x v="7"/>
    <x v="7"/>
    <x v="15"/>
    <x v="15"/>
    <x v="15"/>
    <x v="5"/>
    <x v="105"/>
    <x v="102"/>
    <x v="68"/>
    <x v="110"/>
    <x v="107"/>
    <x v="85"/>
    <x v="6"/>
  </r>
  <r>
    <x v="0"/>
    <x v="7"/>
    <x v="7"/>
    <x v="16"/>
    <x v="16"/>
    <x v="16"/>
    <x v="6"/>
    <x v="106"/>
    <x v="103"/>
    <x v="100"/>
    <x v="111"/>
    <x v="107"/>
    <x v="85"/>
    <x v="0"/>
  </r>
  <r>
    <x v="0"/>
    <x v="7"/>
    <x v="7"/>
    <x v="2"/>
    <x v="2"/>
    <x v="2"/>
    <x v="7"/>
    <x v="108"/>
    <x v="104"/>
    <x v="99"/>
    <x v="109"/>
    <x v="108"/>
    <x v="34"/>
    <x v="0"/>
  </r>
  <r>
    <x v="0"/>
    <x v="7"/>
    <x v="7"/>
    <x v="8"/>
    <x v="8"/>
    <x v="8"/>
    <x v="8"/>
    <x v="113"/>
    <x v="95"/>
    <x v="101"/>
    <x v="112"/>
    <x v="109"/>
    <x v="108"/>
    <x v="0"/>
  </r>
  <r>
    <x v="0"/>
    <x v="7"/>
    <x v="7"/>
    <x v="5"/>
    <x v="5"/>
    <x v="5"/>
    <x v="9"/>
    <x v="114"/>
    <x v="105"/>
    <x v="46"/>
    <x v="113"/>
    <x v="110"/>
    <x v="109"/>
    <x v="0"/>
  </r>
  <r>
    <x v="0"/>
    <x v="7"/>
    <x v="7"/>
    <x v="10"/>
    <x v="10"/>
    <x v="10"/>
    <x v="10"/>
    <x v="115"/>
    <x v="106"/>
    <x v="56"/>
    <x v="114"/>
    <x v="103"/>
    <x v="47"/>
    <x v="0"/>
  </r>
  <r>
    <x v="0"/>
    <x v="7"/>
    <x v="7"/>
    <x v="7"/>
    <x v="7"/>
    <x v="7"/>
    <x v="11"/>
    <x v="116"/>
    <x v="107"/>
    <x v="102"/>
    <x v="115"/>
    <x v="71"/>
    <x v="32"/>
    <x v="0"/>
  </r>
  <r>
    <x v="0"/>
    <x v="7"/>
    <x v="7"/>
    <x v="9"/>
    <x v="9"/>
    <x v="9"/>
    <x v="12"/>
    <x v="117"/>
    <x v="61"/>
    <x v="103"/>
    <x v="116"/>
    <x v="98"/>
    <x v="8"/>
    <x v="0"/>
  </r>
  <r>
    <x v="0"/>
    <x v="7"/>
    <x v="7"/>
    <x v="14"/>
    <x v="14"/>
    <x v="14"/>
    <x v="13"/>
    <x v="118"/>
    <x v="108"/>
    <x v="70"/>
    <x v="55"/>
    <x v="111"/>
    <x v="73"/>
    <x v="0"/>
  </r>
  <r>
    <x v="0"/>
    <x v="7"/>
    <x v="7"/>
    <x v="34"/>
    <x v="34"/>
    <x v="34"/>
    <x v="13"/>
    <x v="118"/>
    <x v="108"/>
    <x v="51"/>
    <x v="117"/>
    <x v="105"/>
    <x v="107"/>
    <x v="0"/>
  </r>
  <r>
    <x v="0"/>
    <x v="7"/>
    <x v="7"/>
    <x v="32"/>
    <x v="32"/>
    <x v="32"/>
    <x v="14"/>
    <x v="119"/>
    <x v="49"/>
    <x v="56"/>
    <x v="114"/>
    <x v="60"/>
    <x v="110"/>
    <x v="6"/>
  </r>
  <r>
    <x v="0"/>
    <x v="7"/>
    <x v="7"/>
    <x v="22"/>
    <x v="22"/>
    <x v="22"/>
    <x v="15"/>
    <x v="120"/>
    <x v="9"/>
    <x v="56"/>
    <x v="114"/>
    <x v="60"/>
    <x v="110"/>
    <x v="0"/>
  </r>
  <r>
    <x v="0"/>
    <x v="7"/>
    <x v="7"/>
    <x v="18"/>
    <x v="18"/>
    <x v="18"/>
    <x v="15"/>
    <x v="120"/>
    <x v="9"/>
    <x v="62"/>
    <x v="14"/>
    <x v="44"/>
    <x v="111"/>
    <x v="0"/>
  </r>
  <r>
    <x v="0"/>
    <x v="7"/>
    <x v="7"/>
    <x v="24"/>
    <x v="24"/>
    <x v="24"/>
    <x v="15"/>
    <x v="120"/>
    <x v="9"/>
    <x v="65"/>
    <x v="65"/>
    <x v="105"/>
    <x v="107"/>
    <x v="6"/>
  </r>
  <r>
    <x v="0"/>
    <x v="7"/>
    <x v="7"/>
    <x v="23"/>
    <x v="23"/>
    <x v="23"/>
    <x v="15"/>
    <x v="120"/>
    <x v="9"/>
    <x v="53"/>
    <x v="118"/>
    <x v="110"/>
    <x v="109"/>
    <x v="0"/>
  </r>
  <r>
    <x v="0"/>
    <x v="8"/>
    <x v="8"/>
    <x v="0"/>
    <x v="0"/>
    <x v="0"/>
    <x v="0"/>
    <x v="121"/>
    <x v="109"/>
    <x v="104"/>
    <x v="119"/>
    <x v="112"/>
    <x v="112"/>
    <x v="0"/>
  </r>
  <r>
    <x v="0"/>
    <x v="8"/>
    <x v="8"/>
    <x v="1"/>
    <x v="1"/>
    <x v="1"/>
    <x v="1"/>
    <x v="122"/>
    <x v="110"/>
    <x v="105"/>
    <x v="120"/>
    <x v="60"/>
    <x v="113"/>
    <x v="0"/>
  </r>
  <r>
    <x v="0"/>
    <x v="8"/>
    <x v="8"/>
    <x v="6"/>
    <x v="6"/>
    <x v="6"/>
    <x v="2"/>
    <x v="123"/>
    <x v="111"/>
    <x v="106"/>
    <x v="121"/>
    <x v="86"/>
    <x v="94"/>
    <x v="0"/>
  </r>
  <r>
    <x v="0"/>
    <x v="8"/>
    <x v="8"/>
    <x v="2"/>
    <x v="2"/>
    <x v="2"/>
    <x v="3"/>
    <x v="124"/>
    <x v="112"/>
    <x v="106"/>
    <x v="121"/>
    <x v="113"/>
    <x v="71"/>
    <x v="0"/>
  </r>
  <r>
    <x v="0"/>
    <x v="8"/>
    <x v="8"/>
    <x v="3"/>
    <x v="3"/>
    <x v="3"/>
    <x v="4"/>
    <x v="125"/>
    <x v="113"/>
    <x v="54"/>
    <x v="122"/>
    <x v="79"/>
    <x v="114"/>
    <x v="0"/>
  </r>
  <r>
    <x v="0"/>
    <x v="8"/>
    <x v="8"/>
    <x v="4"/>
    <x v="4"/>
    <x v="4"/>
    <x v="5"/>
    <x v="80"/>
    <x v="114"/>
    <x v="107"/>
    <x v="4"/>
    <x v="60"/>
    <x v="113"/>
    <x v="0"/>
  </r>
  <r>
    <x v="0"/>
    <x v="8"/>
    <x v="8"/>
    <x v="8"/>
    <x v="8"/>
    <x v="8"/>
    <x v="5"/>
    <x v="80"/>
    <x v="114"/>
    <x v="108"/>
    <x v="123"/>
    <x v="86"/>
    <x v="94"/>
    <x v="6"/>
  </r>
  <r>
    <x v="0"/>
    <x v="8"/>
    <x v="8"/>
    <x v="15"/>
    <x v="15"/>
    <x v="15"/>
    <x v="7"/>
    <x v="126"/>
    <x v="115"/>
    <x v="109"/>
    <x v="124"/>
    <x v="114"/>
    <x v="115"/>
    <x v="0"/>
  </r>
  <r>
    <x v="0"/>
    <x v="8"/>
    <x v="8"/>
    <x v="16"/>
    <x v="16"/>
    <x v="16"/>
    <x v="7"/>
    <x v="126"/>
    <x v="115"/>
    <x v="95"/>
    <x v="125"/>
    <x v="47"/>
    <x v="116"/>
    <x v="0"/>
  </r>
  <r>
    <x v="0"/>
    <x v="8"/>
    <x v="8"/>
    <x v="5"/>
    <x v="5"/>
    <x v="5"/>
    <x v="9"/>
    <x v="82"/>
    <x v="116"/>
    <x v="110"/>
    <x v="23"/>
    <x v="113"/>
    <x v="71"/>
    <x v="0"/>
  </r>
  <r>
    <x v="0"/>
    <x v="8"/>
    <x v="8"/>
    <x v="14"/>
    <x v="14"/>
    <x v="14"/>
    <x v="10"/>
    <x v="127"/>
    <x v="29"/>
    <x v="62"/>
    <x v="35"/>
    <x v="92"/>
    <x v="117"/>
    <x v="0"/>
  </r>
  <r>
    <x v="0"/>
    <x v="8"/>
    <x v="8"/>
    <x v="22"/>
    <x v="22"/>
    <x v="22"/>
    <x v="11"/>
    <x v="96"/>
    <x v="10"/>
    <x v="95"/>
    <x v="125"/>
    <x v="115"/>
    <x v="15"/>
    <x v="0"/>
  </r>
  <r>
    <x v="0"/>
    <x v="8"/>
    <x v="8"/>
    <x v="36"/>
    <x v="36"/>
    <x v="36"/>
    <x v="12"/>
    <x v="128"/>
    <x v="117"/>
    <x v="56"/>
    <x v="77"/>
    <x v="46"/>
    <x v="118"/>
    <x v="0"/>
  </r>
  <r>
    <x v="0"/>
    <x v="8"/>
    <x v="8"/>
    <x v="7"/>
    <x v="7"/>
    <x v="7"/>
    <x v="12"/>
    <x v="128"/>
    <x v="117"/>
    <x v="111"/>
    <x v="31"/>
    <x v="64"/>
    <x v="119"/>
    <x v="0"/>
  </r>
  <r>
    <x v="0"/>
    <x v="8"/>
    <x v="8"/>
    <x v="34"/>
    <x v="34"/>
    <x v="34"/>
    <x v="19"/>
    <x v="103"/>
    <x v="118"/>
    <x v="77"/>
    <x v="18"/>
    <x v="116"/>
    <x v="33"/>
    <x v="0"/>
  </r>
  <r>
    <x v="0"/>
    <x v="8"/>
    <x v="8"/>
    <x v="20"/>
    <x v="20"/>
    <x v="20"/>
    <x v="14"/>
    <x v="105"/>
    <x v="51"/>
    <x v="51"/>
    <x v="126"/>
    <x v="102"/>
    <x v="46"/>
    <x v="0"/>
  </r>
  <r>
    <x v="0"/>
    <x v="8"/>
    <x v="8"/>
    <x v="23"/>
    <x v="23"/>
    <x v="23"/>
    <x v="15"/>
    <x v="129"/>
    <x v="52"/>
    <x v="35"/>
    <x v="127"/>
    <x v="109"/>
    <x v="120"/>
    <x v="0"/>
  </r>
  <r>
    <x v="0"/>
    <x v="8"/>
    <x v="8"/>
    <x v="32"/>
    <x v="32"/>
    <x v="32"/>
    <x v="16"/>
    <x v="106"/>
    <x v="14"/>
    <x v="50"/>
    <x v="76"/>
    <x v="115"/>
    <x v="15"/>
    <x v="0"/>
  </r>
  <r>
    <x v="0"/>
    <x v="8"/>
    <x v="8"/>
    <x v="13"/>
    <x v="13"/>
    <x v="13"/>
    <x v="17"/>
    <x v="130"/>
    <x v="119"/>
    <x v="50"/>
    <x v="76"/>
    <x v="102"/>
    <x v="46"/>
    <x v="0"/>
  </r>
  <r>
    <x v="0"/>
    <x v="8"/>
    <x v="8"/>
    <x v="9"/>
    <x v="9"/>
    <x v="9"/>
    <x v="17"/>
    <x v="130"/>
    <x v="119"/>
    <x v="30"/>
    <x v="128"/>
    <x v="104"/>
    <x v="121"/>
    <x v="0"/>
  </r>
  <r>
    <x v="0"/>
    <x v="9"/>
    <x v="9"/>
    <x v="0"/>
    <x v="0"/>
    <x v="0"/>
    <x v="0"/>
    <x v="131"/>
    <x v="120"/>
    <x v="90"/>
    <x v="129"/>
    <x v="117"/>
    <x v="122"/>
    <x v="0"/>
  </r>
  <r>
    <x v="0"/>
    <x v="9"/>
    <x v="9"/>
    <x v="1"/>
    <x v="1"/>
    <x v="1"/>
    <x v="1"/>
    <x v="112"/>
    <x v="121"/>
    <x v="112"/>
    <x v="130"/>
    <x v="76"/>
    <x v="123"/>
    <x v="0"/>
  </r>
  <r>
    <x v="0"/>
    <x v="9"/>
    <x v="9"/>
    <x v="3"/>
    <x v="3"/>
    <x v="3"/>
    <x v="2"/>
    <x v="132"/>
    <x v="122"/>
    <x v="93"/>
    <x v="131"/>
    <x v="104"/>
    <x v="19"/>
    <x v="0"/>
  </r>
  <r>
    <x v="0"/>
    <x v="9"/>
    <x v="9"/>
    <x v="15"/>
    <x v="15"/>
    <x v="15"/>
    <x v="3"/>
    <x v="116"/>
    <x v="123"/>
    <x v="70"/>
    <x v="79"/>
    <x v="118"/>
    <x v="124"/>
    <x v="0"/>
  </r>
  <r>
    <x v="0"/>
    <x v="9"/>
    <x v="9"/>
    <x v="6"/>
    <x v="6"/>
    <x v="6"/>
    <x v="4"/>
    <x v="133"/>
    <x v="124"/>
    <x v="103"/>
    <x v="132"/>
    <x v="113"/>
    <x v="125"/>
    <x v="0"/>
  </r>
  <r>
    <x v="0"/>
    <x v="9"/>
    <x v="9"/>
    <x v="2"/>
    <x v="2"/>
    <x v="2"/>
    <x v="5"/>
    <x v="120"/>
    <x v="41"/>
    <x v="71"/>
    <x v="133"/>
    <x v="119"/>
    <x v="24"/>
    <x v="0"/>
  </r>
  <r>
    <x v="0"/>
    <x v="9"/>
    <x v="9"/>
    <x v="18"/>
    <x v="18"/>
    <x v="18"/>
    <x v="6"/>
    <x v="134"/>
    <x v="43"/>
    <x v="100"/>
    <x v="134"/>
    <x v="120"/>
    <x v="13"/>
    <x v="0"/>
  </r>
  <r>
    <x v="0"/>
    <x v="9"/>
    <x v="9"/>
    <x v="4"/>
    <x v="4"/>
    <x v="4"/>
    <x v="7"/>
    <x v="135"/>
    <x v="95"/>
    <x v="102"/>
    <x v="135"/>
    <x v="79"/>
    <x v="126"/>
    <x v="0"/>
  </r>
  <r>
    <x v="0"/>
    <x v="9"/>
    <x v="9"/>
    <x v="30"/>
    <x v="30"/>
    <x v="30"/>
    <x v="8"/>
    <x v="136"/>
    <x v="45"/>
    <x v="65"/>
    <x v="65"/>
    <x v="44"/>
    <x v="45"/>
    <x v="0"/>
  </r>
  <r>
    <x v="0"/>
    <x v="9"/>
    <x v="9"/>
    <x v="34"/>
    <x v="34"/>
    <x v="34"/>
    <x v="8"/>
    <x v="136"/>
    <x v="45"/>
    <x v="62"/>
    <x v="136"/>
    <x v="97"/>
    <x v="61"/>
    <x v="0"/>
  </r>
  <r>
    <x v="0"/>
    <x v="9"/>
    <x v="9"/>
    <x v="8"/>
    <x v="8"/>
    <x v="8"/>
    <x v="8"/>
    <x v="136"/>
    <x v="45"/>
    <x v="32"/>
    <x v="137"/>
    <x v="113"/>
    <x v="125"/>
    <x v="0"/>
  </r>
  <r>
    <x v="0"/>
    <x v="9"/>
    <x v="9"/>
    <x v="23"/>
    <x v="23"/>
    <x v="23"/>
    <x v="11"/>
    <x v="137"/>
    <x v="107"/>
    <x v="109"/>
    <x v="138"/>
    <x v="67"/>
    <x v="22"/>
    <x v="0"/>
  </r>
  <r>
    <x v="0"/>
    <x v="9"/>
    <x v="9"/>
    <x v="21"/>
    <x v="21"/>
    <x v="21"/>
    <x v="12"/>
    <x v="138"/>
    <x v="47"/>
    <x v="56"/>
    <x v="13"/>
    <x v="97"/>
    <x v="61"/>
    <x v="0"/>
  </r>
  <r>
    <x v="0"/>
    <x v="9"/>
    <x v="9"/>
    <x v="16"/>
    <x v="16"/>
    <x v="16"/>
    <x v="12"/>
    <x v="138"/>
    <x v="47"/>
    <x v="65"/>
    <x v="65"/>
    <x v="86"/>
    <x v="127"/>
    <x v="0"/>
  </r>
  <r>
    <x v="0"/>
    <x v="9"/>
    <x v="9"/>
    <x v="28"/>
    <x v="28"/>
    <x v="28"/>
    <x v="19"/>
    <x v="139"/>
    <x v="61"/>
    <x v="65"/>
    <x v="65"/>
    <x v="71"/>
    <x v="117"/>
    <x v="0"/>
  </r>
  <r>
    <x v="0"/>
    <x v="9"/>
    <x v="9"/>
    <x v="37"/>
    <x v="37"/>
    <x v="37"/>
    <x v="14"/>
    <x v="140"/>
    <x v="62"/>
    <x v="65"/>
    <x v="65"/>
    <x v="121"/>
    <x v="128"/>
    <x v="0"/>
  </r>
  <r>
    <x v="0"/>
    <x v="9"/>
    <x v="9"/>
    <x v="22"/>
    <x v="22"/>
    <x v="22"/>
    <x v="15"/>
    <x v="141"/>
    <x v="11"/>
    <x v="56"/>
    <x v="13"/>
    <x v="52"/>
    <x v="129"/>
    <x v="0"/>
  </r>
  <r>
    <x v="0"/>
    <x v="9"/>
    <x v="9"/>
    <x v="13"/>
    <x v="13"/>
    <x v="13"/>
    <x v="15"/>
    <x v="141"/>
    <x v="11"/>
    <x v="56"/>
    <x v="13"/>
    <x v="52"/>
    <x v="129"/>
    <x v="0"/>
  </r>
  <r>
    <x v="0"/>
    <x v="9"/>
    <x v="9"/>
    <x v="24"/>
    <x v="24"/>
    <x v="24"/>
    <x v="15"/>
    <x v="141"/>
    <x v="11"/>
    <x v="56"/>
    <x v="13"/>
    <x v="52"/>
    <x v="129"/>
    <x v="0"/>
  </r>
  <r>
    <x v="0"/>
    <x v="9"/>
    <x v="9"/>
    <x v="5"/>
    <x v="5"/>
    <x v="5"/>
    <x v="15"/>
    <x v="141"/>
    <x v="11"/>
    <x v="61"/>
    <x v="139"/>
    <x v="98"/>
    <x v="49"/>
    <x v="0"/>
  </r>
  <r>
    <x v="0"/>
    <x v="10"/>
    <x v="10"/>
    <x v="1"/>
    <x v="1"/>
    <x v="1"/>
    <x v="0"/>
    <x v="142"/>
    <x v="125"/>
    <x v="113"/>
    <x v="140"/>
    <x v="76"/>
    <x v="113"/>
    <x v="0"/>
  </r>
  <r>
    <x v="0"/>
    <x v="10"/>
    <x v="10"/>
    <x v="0"/>
    <x v="0"/>
    <x v="0"/>
    <x v="1"/>
    <x v="143"/>
    <x v="126"/>
    <x v="114"/>
    <x v="141"/>
    <x v="122"/>
    <x v="130"/>
    <x v="0"/>
  </r>
  <r>
    <x v="0"/>
    <x v="10"/>
    <x v="10"/>
    <x v="3"/>
    <x v="3"/>
    <x v="3"/>
    <x v="2"/>
    <x v="69"/>
    <x v="127"/>
    <x v="115"/>
    <x v="142"/>
    <x v="119"/>
    <x v="3"/>
    <x v="0"/>
  </r>
  <r>
    <x v="0"/>
    <x v="10"/>
    <x v="10"/>
    <x v="6"/>
    <x v="6"/>
    <x v="6"/>
    <x v="3"/>
    <x v="101"/>
    <x v="128"/>
    <x v="116"/>
    <x v="143"/>
    <x v="67"/>
    <x v="131"/>
    <x v="0"/>
  </r>
  <r>
    <x v="0"/>
    <x v="10"/>
    <x v="10"/>
    <x v="8"/>
    <x v="8"/>
    <x v="8"/>
    <x v="4"/>
    <x v="95"/>
    <x v="129"/>
    <x v="112"/>
    <x v="144"/>
    <x v="113"/>
    <x v="25"/>
    <x v="0"/>
  </r>
  <r>
    <x v="0"/>
    <x v="10"/>
    <x v="10"/>
    <x v="38"/>
    <x v="38"/>
    <x v="38"/>
    <x v="5"/>
    <x v="129"/>
    <x v="130"/>
    <x v="112"/>
    <x v="144"/>
    <x v="123"/>
    <x v="132"/>
    <x v="0"/>
  </r>
  <r>
    <x v="0"/>
    <x v="10"/>
    <x v="10"/>
    <x v="11"/>
    <x v="11"/>
    <x v="11"/>
    <x v="6"/>
    <x v="108"/>
    <x v="131"/>
    <x v="61"/>
    <x v="70"/>
    <x v="124"/>
    <x v="133"/>
    <x v="0"/>
  </r>
  <r>
    <x v="0"/>
    <x v="10"/>
    <x v="10"/>
    <x v="32"/>
    <x v="32"/>
    <x v="32"/>
    <x v="7"/>
    <x v="144"/>
    <x v="132"/>
    <x v="62"/>
    <x v="145"/>
    <x v="96"/>
    <x v="134"/>
    <x v="0"/>
  </r>
  <r>
    <x v="0"/>
    <x v="10"/>
    <x v="10"/>
    <x v="4"/>
    <x v="4"/>
    <x v="4"/>
    <x v="8"/>
    <x v="145"/>
    <x v="104"/>
    <x v="117"/>
    <x v="146"/>
    <x v="104"/>
    <x v="135"/>
    <x v="0"/>
  </r>
  <r>
    <x v="0"/>
    <x v="10"/>
    <x v="10"/>
    <x v="13"/>
    <x v="13"/>
    <x v="13"/>
    <x v="9"/>
    <x v="116"/>
    <x v="133"/>
    <x v="70"/>
    <x v="88"/>
    <x v="118"/>
    <x v="42"/>
    <x v="0"/>
  </r>
  <r>
    <x v="0"/>
    <x v="10"/>
    <x v="10"/>
    <x v="14"/>
    <x v="14"/>
    <x v="14"/>
    <x v="9"/>
    <x v="116"/>
    <x v="133"/>
    <x v="51"/>
    <x v="147"/>
    <x v="124"/>
    <x v="133"/>
    <x v="0"/>
  </r>
  <r>
    <x v="0"/>
    <x v="10"/>
    <x v="10"/>
    <x v="2"/>
    <x v="2"/>
    <x v="2"/>
    <x v="11"/>
    <x v="133"/>
    <x v="96"/>
    <x v="118"/>
    <x v="148"/>
    <x v="108"/>
    <x v="136"/>
    <x v="0"/>
  </r>
  <r>
    <x v="0"/>
    <x v="10"/>
    <x v="10"/>
    <x v="18"/>
    <x v="18"/>
    <x v="18"/>
    <x v="12"/>
    <x v="119"/>
    <x v="134"/>
    <x v="62"/>
    <x v="145"/>
    <x v="105"/>
    <x v="137"/>
    <x v="0"/>
  </r>
  <r>
    <x v="0"/>
    <x v="10"/>
    <x v="10"/>
    <x v="39"/>
    <x v="39"/>
    <x v="39"/>
    <x v="12"/>
    <x v="119"/>
    <x v="134"/>
    <x v="33"/>
    <x v="149"/>
    <x v="79"/>
    <x v="19"/>
    <x v="0"/>
  </r>
  <r>
    <x v="0"/>
    <x v="10"/>
    <x v="10"/>
    <x v="17"/>
    <x v="17"/>
    <x v="17"/>
    <x v="19"/>
    <x v="120"/>
    <x v="29"/>
    <x v="62"/>
    <x v="145"/>
    <x v="44"/>
    <x v="61"/>
    <x v="0"/>
  </r>
  <r>
    <x v="0"/>
    <x v="10"/>
    <x v="10"/>
    <x v="22"/>
    <x v="22"/>
    <x v="22"/>
    <x v="19"/>
    <x v="120"/>
    <x v="29"/>
    <x v="62"/>
    <x v="145"/>
    <x v="44"/>
    <x v="61"/>
    <x v="0"/>
  </r>
  <r>
    <x v="0"/>
    <x v="10"/>
    <x v="10"/>
    <x v="16"/>
    <x v="16"/>
    <x v="16"/>
    <x v="15"/>
    <x v="134"/>
    <x v="31"/>
    <x v="62"/>
    <x v="145"/>
    <x v="86"/>
    <x v="138"/>
    <x v="0"/>
  </r>
  <r>
    <x v="0"/>
    <x v="10"/>
    <x v="10"/>
    <x v="23"/>
    <x v="23"/>
    <x v="23"/>
    <x v="15"/>
    <x v="134"/>
    <x v="31"/>
    <x v="103"/>
    <x v="150"/>
    <x v="123"/>
    <x v="132"/>
    <x v="0"/>
  </r>
  <r>
    <x v="0"/>
    <x v="10"/>
    <x v="10"/>
    <x v="15"/>
    <x v="15"/>
    <x v="15"/>
    <x v="17"/>
    <x v="136"/>
    <x v="12"/>
    <x v="56"/>
    <x v="17"/>
    <x v="86"/>
    <x v="138"/>
    <x v="0"/>
  </r>
  <r>
    <x v="0"/>
    <x v="10"/>
    <x v="10"/>
    <x v="37"/>
    <x v="37"/>
    <x v="37"/>
    <x v="18"/>
    <x v="137"/>
    <x v="87"/>
    <x v="65"/>
    <x v="65"/>
    <x v="94"/>
    <x v="139"/>
    <x v="0"/>
  </r>
  <r>
    <x v="0"/>
    <x v="10"/>
    <x v="10"/>
    <x v="34"/>
    <x v="34"/>
    <x v="34"/>
    <x v="18"/>
    <x v="137"/>
    <x v="87"/>
    <x v="95"/>
    <x v="151"/>
    <x v="125"/>
    <x v="106"/>
    <x v="0"/>
  </r>
  <r>
    <x v="0"/>
    <x v="11"/>
    <x v="11"/>
    <x v="0"/>
    <x v="0"/>
    <x v="0"/>
    <x v="0"/>
    <x v="146"/>
    <x v="135"/>
    <x v="119"/>
    <x v="23"/>
    <x v="126"/>
    <x v="140"/>
    <x v="0"/>
  </r>
  <r>
    <x v="0"/>
    <x v="11"/>
    <x v="11"/>
    <x v="1"/>
    <x v="1"/>
    <x v="1"/>
    <x v="1"/>
    <x v="147"/>
    <x v="136"/>
    <x v="84"/>
    <x v="152"/>
    <x v="120"/>
    <x v="141"/>
    <x v="0"/>
  </r>
  <r>
    <x v="0"/>
    <x v="11"/>
    <x v="11"/>
    <x v="3"/>
    <x v="3"/>
    <x v="3"/>
    <x v="2"/>
    <x v="148"/>
    <x v="137"/>
    <x v="120"/>
    <x v="153"/>
    <x v="67"/>
    <x v="114"/>
    <x v="0"/>
  </r>
  <r>
    <x v="0"/>
    <x v="11"/>
    <x v="11"/>
    <x v="8"/>
    <x v="8"/>
    <x v="8"/>
    <x v="3"/>
    <x v="129"/>
    <x v="138"/>
    <x v="121"/>
    <x v="154"/>
    <x v="113"/>
    <x v="67"/>
    <x v="0"/>
  </r>
  <r>
    <x v="0"/>
    <x v="11"/>
    <x v="11"/>
    <x v="11"/>
    <x v="11"/>
    <x v="11"/>
    <x v="4"/>
    <x v="130"/>
    <x v="139"/>
    <x v="39"/>
    <x v="155"/>
    <x v="107"/>
    <x v="142"/>
    <x v="0"/>
  </r>
  <r>
    <x v="0"/>
    <x v="11"/>
    <x v="11"/>
    <x v="6"/>
    <x v="6"/>
    <x v="6"/>
    <x v="5"/>
    <x v="108"/>
    <x v="123"/>
    <x v="30"/>
    <x v="75"/>
    <x v="106"/>
    <x v="143"/>
    <x v="0"/>
  </r>
  <r>
    <x v="0"/>
    <x v="11"/>
    <x v="11"/>
    <x v="38"/>
    <x v="38"/>
    <x v="38"/>
    <x v="6"/>
    <x v="144"/>
    <x v="140"/>
    <x v="99"/>
    <x v="156"/>
    <x v="123"/>
    <x v="132"/>
    <x v="0"/>
  </r>
  <r>
    <x v="0"/>
    <x v="11"/>
    <x v="11"/>
    <x v="15"/>
    <x v="15"/>
    <x v="15"/>
    <x v="7"/>
    <x v="114"/>
    <x v="141"/>
    <x v="50"/>
    <x v="34"/>
    <x v="96"/>
    <x v="144"/>
    <x v="0"/>
  </r>
  <r>
    <x v="0"/>
    <x v="11"/>
    <x v="11"/>
    <x v="13"/>
    <x v="13"/>
    <x v="13"/>
    <x v="8"/>
    <x v="115"/>
    <x v="131"/>
    <x v="62"/>
    <x v="28"/>
    <x v="118"/>
    <x v="145"/>
    <x v="0"/>
  </r>
  <r>
    <x v="0"/>
    <x v="11"/>
    <x v="11"/>
    <x v="4"/>
    <x v="4"/>
    <x v="4"/>
    <x v="9"/>
    <x v="133"/>
    <x v="142"/>
    <x v="71"/>
    <x v="157"/>
    <x v="104"/>
    <x v="146"/>
    <x v="0"/>
  </r>
  <r>
    <x v="0"/>
    <x v="11"/>
    <x v="11"/>
    <x v="10"/>
    <x v="10"/>
    <x v="10"/>
    <x v="10"/>
    <x v="149"/>
    <x v="143"/>
    <x v="50"/>
    <x v="34"/>
    <x v="118"/>
    <x v="145"/>
    <x v="0"/>
  </r>
  <r>
    <x v="0"/>
    <x v="11"/>
    <x v="11"/>
    <x v="14"/>
    <x v="14"/>
    <x v="14"/>
    <x v="10"/>
    <x v="149"/>
    <x v="143"/>
    <x v="62"/>
    <x v="28"/>
    <x v="64"/>
    <x v="147"/>
    <x v="0"/>
  </r>
  <r>
    <x v="0"/>
    <x v="11"/>
    <x v="11"/>
    <x v="16"/>
    <x v="16"/>
    <x v="16"/>
    <x v="12"/>
    <x v="118"/>
    <x v="95"/>
    <x v="62"/>
    <x v="28"/>
    <x v="60"/>
    <x v="148"/>
    <x v="0"/>
  </r>
  <r>
    <x v="0"/>
    <x v="11"/>
    <x v="11"/>
    <x v="32"/>
    <x v="32"/>
    <x v="32"/>
    <x v="13"/>
    <x v="150"/>
    <x v="144"/>
    <x v="65"/>
    <x v="65"/>
    <x v="111"/>
    <x v="149"/>
    <x v="0"/>
  </r>
  <r>
    <x v="0"/>
    <x v="11"/>
    <x v="11"/>
    <x v="7"/>
    <x v="7"/>
    <x v="7"/>
    <x v="19"/>
    <x v="134"/>
    <x v="145"/>
    <x v="62"/>
    <x v="28"/>
    <x v="86"/>
    <x v="150"/>
    <x v="0"/>
  </r>
  <r>
    <x v="0"/>
    <x v="11"/>
    <x v="11"/>
    <x v="39"/>
    <x v="39"/>
    <x v="39"/>
    <x v="19"/>
    <x v="134"/>
    <x v="145"/>
    <x v="32"/>
    <x v="158"/>
    <x v="104"/>
    <x v="146"/>
    <x v="0"/>
  </r>
  <r>
    <x v="0"/>
    <x v="11"/>
    <x v="11"/>
    <x v="22"/>
    <x v="22"/>
    <x v="22"/>
    <x v="15"/>
    <x v="136"/>
    <x v="86"/>
    <x v="56"/>
    <x v="159"/>
    <x v="86"/>
    <x v="150"/>
    <x v="0"/>
  </r>
  <r>
    <x v="0"/>
    <x v="11"/>
    <x v="11"/>
    <x v="5"/>
    <x v="5"/>
    <x v="5"/>
    <x v="16"/>
    <x v="137"/>
    <x v="62"/>
    <x v="71"/>
    <x v="157"/>
    <x v="127"/>
    <x v="151"/>
    <x v="0"/>
  </r>
  <r>
    <x v="0"/>
    <x v="11"/>
    <x v="11"/>
    <x v="40"/>
    <x v="40"/>
    <x v="40"/>
    <x v="17"/>
    <x v="138"/>
    <x v="9"/>
    <x v="56"/>
    <x v="159"/>
    <x v="97"/>
    <x v="152"/>
    <x v="0"/>
  </r>
  <r>
    <x v="0"/>
    <x v="11"/>
    <x v="11"/>
    <x v="19"/>
    <x v="19"/>
    <x v="19"/>
    <x v="18"/>
    <x v="140"/>
    <x v="14"/>
    <x v="62"/>
    <x v="28"/>
    <x v="52"/>
    <x v="153"/>
    <x v="0"/>
  </r>
  <r>
    <x v="0"/>
    <x v="12"/>
    <x v="12"/>
    <x v="1"/>
    <x v="1"/>
    <x v="1"/>
    <x v="0"/>
    <x v="151"/>
    <x v="146"/>
    <x v="79"/>
    <x v="160"/>
    <x v="64"/>
    <x v="154"/>
    <x v="0"/>
  </r>
  <r>
    <x v="0"/>
    <x v="12"/>
    <x v="12"/>
    <x v="0"/>
    <x v="0"/>
    <x v="0"/>
    <x v="1"/>
    <x v="152"/>
    <x v="147"/>
    <x v="122"/>
    <x v="161"/>
    <x v="128"/>
    <x v="155"/>
    <x v="0"/>
  </r>
  <r>
    <x v="0"/>
    <x v="12"/>
    <x v="12"/>
    <x v="3"/>
    <x v="3"/>
    <x v="3"/>
    <x v="2"/>
    <x v="153"/>
    <x v="3"/>
    <x v="123"/>
    <x v="162"/>
    <x v="86"/>
    <x v="156"/>
    <x v="0"/>
  </r>
  <r>
    <x v="0"/>
    <x v="12"/>
    <x v="12"/>
    <x v="2"/>
    <x v="2"/>
    <x v="2"/>
    <x v="3"/>
    <x v="154"/>
    <x v="148"/>
    <x v="124"/>
    <x v="163"/>
    <x v="121"/>
    <x v="157"/>
    <x v="0"/>
  </r>
  <r>
    <x v="0"/>
    <x v="12"/>
    <x v="12"/>
    <x v="4"/>
    <x v="4"/>
    <x v="4"/>
    <x v="4"/>
    <x v="155"/>
    <x v="149"/>
    <x v="125"/>
    <x v="164"/>
    <x v="129"/>
    <x v="158"/>
    <x v="0"/>
  </r>
  <r>
    <x v="0"/>
    <x v="12"/>
    <x v="12"/>
    <x v="6"/>
    <x v="6"/>
    <x v="6"/>
    <x v="5"/>
    <x v="55"/>
    <x v="41"/>
    <x v="126"/>
    <x v="165"/>
    <x v="52"/>
    <x v="2"/>
    <x v="0"/>
  </r>
  <r>
    <x v="0"/>
    <x v="12"/>
    <x v="12"/>
    <x v="7"/>
    <x v="7"/>
    <x v="7"/>
    <x v="6"/>
    <x v="156"/>
    <x v="59"/>
    <x v="127"/>
    <x v="166"/>
    <x v="114"/>
    <x v="159"/>
    <x v="0"/>
  </r>
  <r>
    <x v="0"/>
    <x v="12"/>
    <x v="12"/>
    <x v="5"/>
    <x v="5"/>
    <x v="5"/>
    <x v="7"/>
    <x v="157"/>
    <x v="42"/>
    <x v="128"/>
    <x v="167"/>
    <x v="130"/>
    <x v="68"/>
    <x v="0"/>
  </r>
  <r>
    <x v="0"/>
    <x v="12"/>
    <x v="12"/>
    <x v="12"/>
    <x v="12"/>
    <x v="12"/>
    <x v="8"/>
    <x v="158"/>
    <x v="150"/>
    <x v="98"/>
    <x v="54"/>
    <x v="72"/>
    <x v="160"/>
    <x v="0"/>
  </r>
  <r>
    <x v="0"/>
    <x v="12"/>
    <x v="12"/>
    <x v="9"/>
    <x v="9"/>
    <x v="9"/>
    <x v="9"/>
    <x v="159"/>
    <x v="151"/>
    <x v="129"/>
    <x v="168"/>
    <x v="97"/>
    <x v="161"/>
    <x v="0"/>
  </r>
  <r>
    <x v="0"/>
    <x v="12"/>
    <x v="12"/>
    <x v="8"/>
    <x v="8"/>
    <x v="8"/>
    <x v="10"/>
    <x v="160"/>
    <x v="46"/>
    <x v="130"/>
    <x v="116"/>
    <x v="121"/>
    <x v="157"/>
    <x v="0"/>
  </r>
  <r>
    <x v="0"/>
    <x v="12"/>
    <x v="12"/>
    <x v="18"/>
    <x v="18"/>
    <x v="18"/>
    <x v="11"/>
    <x v="111"/>
    <x v="152"/>
    <x v="103"/>
    <x v="169"/>
    <x v="131"/>
    <x v="162"/>
    <x v="0"/>
  </r>
  <r>
    <x v="0"/>
    <x v="12"/>
    <x v="12"/>
    <x v="10"/>
    <x v="10"/>
    <x v="10"/>
    <x v="12"/>
    <x v="88"/>
    <x v="153"/>
    <x v="70"/>
    <x v="38"/>
    <x v="61"/>
    <x v="163"/>
    <x v="0"/>
  </r>
  <r>
    <x v="0"/>
    <x v="12"/>
    <x v="12"/>
    <x v="14"/>
    <x v="14"/>
    <x v="14"/>
    <x v="13"/>
    <x v="143"/>
    <x v="154"/>
    <x v="32"/>
    <x v="145"/>
    <x v="132"/>
    <x v="127"/>
    <x v="0"/>
  </r>
  <r>
    <x v="0"/>
    <x v="12"/>
    <x v="12"/>
    <x v="41"/>
    <x v="41"/>
    <x v="41"/>
    <x v="19"/>
    <x v="161"/>
    <x v="63"/>
    <x v="76"/>
    <x v="170"/>
    <x v="100"/>
    <x v="4"/>
    <x v="0"/>
  </r>
  <r>
    <x v="0"/>
    <x v="12"/>
    <x v="12"/>
    <x v="40"/>
    <x v="40"/>
    <x v="40"/>
    <x v="14"/>
    <x v="125"/>
    <x v="50"/>
    <x v="131"/>
    <x v="171"/>
    <x v="114"/>
    <x v="159"/>
    <x v="0"/>
  </r>
  <r>
    <x v="0"/>
    <x v="12"/>
    <x v="12"/>
    <x v="11"/>
    <x v="11"/>
    <x v="11"/>
    <x v="14"/>
    <x v="125"/>
    <x v="50"/>
    <x v="118"/>
    <x v="155"/>
    <x v="90"/>
    <x v="164"/>
    <x v="0"/>
  </r>
  <r>
    <x v="0"/>
    <x v="12"/>
    <x v="12"/>
    <x v="19"/>
    <x v="19"/>
    <x v="19"/>
    <x v="16"/>
    <x v="65"/>
    <x v="31"/>
    <x v="91"/>
    <x v="172"/>
    <x v="102"/>
    <x v="12"/>
    <x v="0"/>
  </r>
  <r>
    <x v="0"/>
    <x v="12"/>
    <x v="12"/>
    <x v="17"/>
    <x v="17"/>
    <x v="17"/>
    <x v="17"/>
    <x v="80"/>
    <x v="65"/>
    <x v="38"/>
    <x v="173"/>
    <x v="66"/>
    <x v="165"/>
    <x v="0"/>
  </r>
  <r>
    <x v="0"/>
    <x v="12"/>
    <x v="12"/>
    <x v="16"/>
    <x v="16"/>
    <x v="16"/>
    <x v="18"/>
    <x v="162"/>
    <x v="13"/>
    <x v="111"/>
    <x v="147"/>
    <x v="72"/>
    <x v="160"/>
    <x v="0"/>
  </r>
  <r>
    <x v="0"/>
    <x v="13"/>
    <x v="13"/>
    <x v="1"/>
    <x v="1"/>
    <x v="1"/>
    <x v="0"/>
    <x v="60"/>
    <x v="155"/>
    <x v="132"/>
    <x v="174"/>
    <x v="79"/>
    <x v="166"/>
    <x v="0"/>
  </r>
  <r>
    <x v="0"/>
    <x v="13"/>
    <x v="13"/>
    <x v="2"/>
    <x v="2"/>
    <x v="2"/>
    <x v="1"/>
    <x v="163"/>
    <x v="156"/>
    <x v="133"/>
    <x v="175"/>
    <x v="113"/>
    <x v="167"/>
    <x v="0"/>
  </r>
  <r>
    <x v="0"/>
    <x v="13"/>
    <x v="13"/>
    <x v="3"/>
    <x v="3"/>
    <x v="3"/>
    <x v="2"/>
    <x v="89"/>
    <x v="157"/>
    <x v="134"/>
    <x v="176"/>
    <x v="109"/>
    <x v="2"/>
    <x v="0"/>
  </r>
  <r>
    <x v="0"/>
    <x v="13"/>
    <x v="13"/>
    <x v="4"/>
    <x v="4"/>
    <x v="4"/>
    <x v="3"/>
    <x v="164"/>
    <x v="158"/>
    <x v="98"/>
    <x v="177"/>
    <x v="60"/>
    <x v="168"/>
    <x v="0"/>
  </r>
  <r>
    <x v="0"/>
    <x v="13"/>
    <x v="13"/>
    <x v="5"/>
    <x v="5"/>
    <x v="5"/>
    <x v="4"/>
    <x v="162"/>
    <x v="159"/>
    <x v="135"/>
    <x v="178"/>
    <x v="106"/>
    <x v="157"/>
    <x v="0"/>
  </r>
  <r>
    <x v="0"/>
    <x v="13"/>
    <x v="13"/>
    <x v="12"/>
    <x v="12"/>
    <x v="12"/>
    <x v="5"/>
    <x v="165"/>
    <x v="23"/>
    <x v="136"/>
    <x v="179"/>
    <x v="73"/>
    <x v="169"/>
    <x v="6"/>
  </r>
  <r>
    <x v="0"/>
    <x v="13"/>
    <x v="13"/>
    <x v="6"/>
    <x v="6"/>
    <x v="6"/>
    <x v="6"/>
    <x v="100"/>
    <x v="160"/>
    <x v="66"/>
    <x v="180"/>
    <x v="113"/>
    <x v="167"/>
    <x v="0"/>
  </r>
  <r>
    <x v="0"/>
    <x v="13"/>
    <x v="13"/>
    <x v="7"/>
    <x v="7"/>
    <x v="7"/>
    <x v="7"/>
    <x v="81"/>
    <x v="161"/>
    <x v="118"/>
    <x v="181"/>
    <x v="115"/>
    <x v="170"/>
    <x v="0"/>
  </r>
  <r>
    <x v="0"/>
    <x v="13"/>
    <x v="13"/>
    <x v="0"/>
    <x v="0"/>
    <x v="0"/>
    <x v="8"/>
    <x v="74"/>
    <x v="70"/>
    <x v="109"/>
    <x v="182"/>
    <x v="53"/>
    <x v="171"/>
    <x v="0"/>
  </r>
  <r>
    <x v="0"/>
    <x v="13"/>
    <x v="13"/>
    <x v="9"/>
    <x v="9"/>
    <x v="9"/>
    <x v="9"/>
    <x v="166"/>
    <x v="94"/>
    <x v="112"/>
    <x v="150"/>
    <x v="130"/>
    <x v="59"/>
    <x v="0"/>
  </r>
  <r>
    <x v="0"/>
    <x v="13"/>
    <x v="13"/>
    <x v="18"/>
    <x v="18"/>
    <x v="18"/>
    <x v="10"/>
    <x v="132"/>
    <x v="71"/>
    <x v="102"/>
    <x v="183"/>
    <x v="73"/>
    <x v="169"/>
    <x v="0"/>
  </r>
  <r>
    <x v="0"/>
    <x v="13"/>
    <x v="13"/>
    <x v="42"/>
    <x v="42"/>
    <x v="42"/>
    <x v="11"/>
    <x v="96"/>
    <x v="162"/>
    <x v="38"/>
    <x v="136"/>
    <x v="133"/>
    <x v="172"/>
    <x v="0"/>
  </r>
  <r>
    <x v="0"/>
    <x v="13"/>
    <x v="13"/>
    <x v="28"/>
    <x v="28"/>
    <x v="28"/>
    <x v="12"/>
    <x v="129"/>
    <x v="163"/>
    <x v="32"/>
    <x v="184"/>
    <x v="64"/>
    <x v="141"/>
    <x v="0"/>
  </r>
  <r>
    <x v="0"/>
    <x v="13"/>
    <x v="13"/>
    <x v="41"/>
    <x v="41"/>
    <x v="41"/>
    <x v="12"/>
    <x v="129"/>
    <x v="163"/>
    <x v="109"/>
    <x v="182"/>
    <x v="111"/>
    <x v="173"/>
    <x v="0"/>
  </r>
  <r>
    <x v="0"/>
    <x v="13"/>
    <x v="13"/>
    <x v="11"/>
    <x v="11"/>
    <x v="11"/>
    <x v="12"/>
    <x v="129"/>
    <x v="163"/>
    <x v="77"/>
    <x v="62"/>
    <x v="96"/>
    <x v="110"/>
    <x v="0"/>
  </r>
  <r>
    <x v="0"/>
    <x v="13"/>
    <x v="13"/>
    <x v="8"/>
    <x v="8"/>
    <x v="8"/>
    <x v="14"/>
    <x v="144"/>
    <x v="117"/>
    <x v="119"/>
    <x v="185"/>
    <x v="134"/>
    <x v="174"/>
    <x v="6"/>
  </r>
  <r>
    <x v="0"/>
    <x v="13"/>
    <x v="13"/>
    <x v="15"/>
    <x v="15"/>
    <x v="15"/>
    <x v="15"/>
    <x v="114"/>
    <x v="87"/>
    <x v="56"/>
    <x v="77"/>
    <x v="101"/>
    <x v="150"/>
    <x v="0"/>
  </r>
  <r>
    <x v="0"/>
    <x v="13"/>
    <x v="13"/>
    <x v="23"/>
    <x v="23"/>
    <x v="23"/>
    <x v="16"/>
    <x v="116"/>
    <x v="33"/>
    <x v="30"/>
    <x v="186"/>
    <x v="108"/>
    <x v="62"/>
    <x v="0"/>
  </r>
  <r>
    <x v="0"/>
    <x v="13"/>
    <x v="13"/>
    <x v="13"/>
    <x v="13"/>
    <x v="13"/>
    <x v="17"/>
    <x v="117"/>
    <x v="164"/>
    <x v="39"/>
    <x v="187"/>
    <x v="60"/>
    <x v="168"/>
    <x v="0"/>
  </r>
  <r>
    <x v="0"/>
    <x v="13"/>
    <x v="13"/>
    <x v="10"/>
    <x v="10"/>
    <x v="10"/>
    <x v="18"/>
    <x v="167"/>
    <x v="165"/>
    <x v="70"/>
    <x v="188"/>
    <x v="135"/>
    <x v="64"/>
    <x v="0"/>
  </r>
  <r>
    <x v="0"/>
    <x v="13"/>
    <x v="13"/>
    <x v="17"/>
    <x v="17"/>
    <x v="17"/>
    <x v="18"/>
    <x v="167"/>
    <x v="165"/>
    <x v="95"/>
    <x v="145"/>
    <x v="44"/>
    <x v="23"/>
    <x v="0"/>
  </r>
  <r>
    <x v="0"/>
    <x v="14"/>
    <x v="14"/>
    <x v="0"/>
    <x v="0"/>
    <x v="0"/>
    <x v="0"/>
    <x v="168"/>
    <x v="166"/>
    <x v="137"/>
    <x v="189"/>
    <x v="136"/>
    <x v="175"/>
    <x v="0"/>
  </r>
  <r>
    <x v="0"/>
    <x v="14"/>
    <x v="14"/>
    <x v="1"/>
    <x v="1"/>
    <x v="1"/>
    <x v="1"/>
    <x v="169"/>
    <x v="167"/>
    <x v="138"/>
    <x v="190"/>
    <x v="73"/>
    <x v="146"/>
    <x v="0"/>
  </r>
  <r>
    <x v="0"/>
    <x v="14"/>
    <x v="14"/>
    <x v="3"/>
    <x v="3"/>
    <x v="3"/>
    <x v="2"/>
    <x v="170"/>
    <x v="100"/>
    <x v="139"/>
    <x v="191"/>
    <x v="125"/>
    <x v="3"/>
    <x v="0"/>
  </r>
  <r>
    <x v="0"/>
    <x v="14"/>
    <x v="14"/>
    <x v="2"/>
    <x v="2"/>
    <x v="2"/>
    <x v="3"/>
    <x v="171"/>
    <x v="168"/>
    <x v="140"/>
    <x v="192"/>
    <x v="106"/>
    <x v="176"/>
    <x v="0"/>
  </r>
  <r>
    <x v="0"/>
    <x v="14"/>
    <x v="14"/>
    <x v="4"/>
    <x v="4"/>
    <x v="4"/>
    <x v="4"/>
    <x v="172"/>
    <x v="158"/>
    <x v="141"/>
    <x v="180"/>
    <x v="137"/>
    <x v="177"/>
    <x v="0"/>
  </r>
  <r>
    <x v="0"/>
    <x v="14"/>
    <x v="14"/>
    <x v="5"/>
    <x v="5"/>
    <x v="5"/>
    <x v="5"/>
    <x v="173"/>
    <x v="169"/>
    <x v="142"/>
    <x v="23"/>
    <x v="102"/>
    <x v="1"/>
    <x v="0"/>
  </r>
  <r>
    <x v="0"/>
    <x v="14"/>
    <x v="14"/>
    <x v="6"/>
    <x v="6"/>
    <x v="6"/>
    <x v="6"/>
    <x v="174"/>
    <x v="170"/>
    <x v="143"/>
    <x v="193"/>
    <x v="120"/>
    <x v="2"/>
    <x v="0"/>
  </r>
  <r>
    <x v="0"/>
    <x v="14"/>
    <x v="14"/>
    <x v="7"/>
    <x v="7"/>
    <x v="7"/>
    <x v="7"/>
    <x v="122"/>
    <x v="45"/>
    <x v="107"/>
    <x v="194"/>
    <x v="138"/>
    <x v="138"/>
    <x v="0"/>
  </r>
  <r>
    <x v="0"/>
    <x v="14"/>
    <x v="14"/>
    <x v="11"/>
    <x v="11"/>
    <x v="11"/>
    <x v="8"/>
    <x v="158"/>
    <x v="48"/>
    <x v="30"/>
    <x v="195"/>
    <x v="139"/>
    <x v="178"/>
    <x v="0"/>
  </r>
  <r>
    <x v="0"/>
    <x v="14"/>
    <x v="14"/>
    <x v="9"/>
    <x v="9"/>
    <x v="9"/>
    <x v="9"/>
    <x v="175"/>
    <x v="163"/>
    <x v="144"/>
    <x v="196"/>
    <x v="79"/>
    <x v="179"/>
    <x v="0"/>
  </r>
  <r>
    <x v="0"/>
    <x v="14"/>
    <x v="14"/>
    <x v="28"/>
    <x v="28"/>
    <x v="28"/>
    <x v="10"/>
    <x v="63"/>
    <x v="64"/>
    <x v="145"/>
    <x v="197"/>
    <x v="69"/>
    <x v="168"/>
    <x v="0"/>
  </r>
  <r>
    <x v="0"/>
    <x v="14"/>
    <x v="14"/>
    <x v="14"/>
    <x v="14"/>
    <x v="14"/>
    <x v="11"/>
    <x v="111"/>
    <x v="171"/>
    <x v="109"/>
    <x v="125"/>
    <x v="140"/>
    <x v="180"/>
    <x v="0"/>
  </r>
  <r>
    <x v="0"/>
    <x v="14"/>
    <x v="14"/>
    <x v="15"/>
    <x v="15"/>
    <x v="15"/>
    <x v="12"/>
    <x v="176"/>
    <x v="12"/>
    <x v="32"/>
    <x v="187"/>
    <x v="140"/>
    <x v="180"/>
    <x v="0"/>
  </r>
  <r>
    <x v="0"/>
    <x v="14"/>
    <x v="14"/>
    <x v="12"/>
    <x v="12"/>
    <x v="12"/>
    <x v="13"/>
    <x v="142"/>
    <x v="65"/>
    <x v="78"/>
    <x v="198"/>
    <x v="126"/>
    <x v="181"/>
    <x v="0"/>
  </r>
  <r>
    <x v="0"/>
    <x v="14"/>
    <x v="14"/>
    <x v="8"/>
    <x v="8"/>
    <x v="8"/>
    <x v="13"/>
    <x v="142"/>
    <x v="65"/>
    <x v="63"/>
    <x v="199"/>
    <x v="97"/>
    <x v="131"/>
    <x v="6"/>
  </r>
  <r>
    <x v="0"/>
    <x v="14"/>
    <x v="14"/>
    <x v="10"/>
    <x v="10"/>
    <x v="10"/>
    <x v="14"/>
    <x v="89"/>
    <x v="34"/>
    <x v="70"/>
    <x v="200"/>
    <x v="141"/>
    <x v="182"/>
    <x v="0"/>
  </r>
  <r>
    <x v="0"/>
    <x v="14"/>
    <x v="14"/>
    <x v="19"/>
    <x v="19"/>
    <x v="19"/>
    <x v="15"/>
    <x v="177"/>
    <x v="119"/>
    <x v="146"/>
    <x v="31"/>
    <x v="133"/>
    <x v="183"/>
    <x v="0"/>
  </r>
  <r>
    <x v="0"/>
    <x v="14"/>
    <x v="14"/>
    <x v="43"/>
    <x v="43"/>
    <x v="43"/>
    <x v="16"/>
    <x v="66"/>
    <x v="88"/>
    <x v="50"/>
    <x v="201"/>
    <x v="142"/>
    <x v="87"/>
    <x v="0"/>
  </r>
  <r>
    <x v="0"/>
    <x v="14"/>
    <x v="14"/>
    <x v="17"/>
    <x v="17"/>
    <x v="17"/>
    <x v="17"/>
    <x v="79"/>
    <x v="172"/>
    <x v="38"/>
    <x v="159"/>
    <x v="143"/>
    <x v="46"/>
    <x v="0"/>
  </r>
  <r>
    <x v="0"/>
    <x v="14"/>
    <x v="14"/>
    <x v="13"/>
    <x v="13"/>
    <x v="13"/>
    <x v="18"/>
    <x v="90"/>
    <x v="164"/>
    <x v="67"/>
    <x v="202"/>
    <x v="69"/>
    <x v="168"/>
    <x v="0"/>
  </r>
  <r>
    <x v="0"/>
    <x v="15"/>
    <x v="15"/>
    <x v="0"/>
    <x v="0"/>
    <x v="0"/>
    <x v="0"/>
    <x v="62"/>
    <x v="173"/>
    <x v="37"/>
    <x v="203"/>
    <x v="100"/>
    <x v="184"/>
    <x v="0"/>
  </r>
  <r>
    <x v="0"/>
    <x v="15"/>
    <x v="15"/>
    <x v="2"/>
    <x v="2"/>
    <x v="2"/>
    <x v="1"/>
    <x v="175"/>
    <x v="174"/>
    <x v="147"/>
    <x v="204"/>
    <x v="106"/>
    <x v="143"/>
    <x v="0"/>
  </r>
  <r>
    <x v="0"/>
    <x v="15"/>
    <x v="15"/>
    <x v="1"/>
    <x v="1"/>
    <x v="1"/>
    <x v="2"/>
    <x v="161"/>
    <x v="175"/>
    <x v="134"/>
    <x v="205"/>
    <x v="104"/>
    <x v="185"/>
    <x v="0"/>
  </r>
  <r>
    <x v="0"/>
    <x v="15"/>
    <x v="15"/>
    <x v="3"/>
    <x v="3"/>
    <x v="3"/>
    <x v="3"/>
    <x v="79"/>
    <x v="176"/>
    <x v="148"/>
    <x v="206"/>
    <x v="98"/>
    <x v="108"/>
    <x v="0"/>
  </r>
  <r>
    <x v="0"/>
    <x v="15"/>
    <x v="15"/>
    <x v="4"/>
    <x v="4"/>
    <x v="4"/>
    <x v="4"/>
    <x v="94"/>
    <x v="92"/>
    <x v="149"/>
    <x v="23"/>
    <x v="113"/>
    <x v="186"/>
    <x v="0"/>
  </r>
  <r>
    <x v="0"/>
    <x v="15"/>
    <x v="15"/>
    <x v="5"/>
    <x v="5"/>
    <x v="5"/>
    <x v="5"/>
    <x v="132"/>
    <x v="177"/>
    <x v="149"/>
    <x v="23"/>
    <x v="98"/>
    <x v="108"/>
    <x v="0"/>
  </r>
  <r>
    <x v="0"/>
    <x v="15"/>
    <x v="15"/>
    <x v="7"/>
    <x v="7"/>
    <x v="7"/>
    <x v="6"/>
    <x v="109"/>
    <x v="178"/>
    <x v="150"/>
    <x v="207"/>
    <x v="120"/>
    <x v="141"/>
    <x v="0"/>
  </r>
  <r>
    <x v="0"/>
    <x v="15"/>
    <x v="15"/>
    <x v="9"/>
    <x v="9"/>
    <x v="9"/>
    <x v="6"/>
    <x v="109"/>
    <x v="178"/>
    <x v="99"/>
    <x v="208"/>
    <x v="93"/>
    <x v="187"/>
    <x v="0"/>
  </r>
  <r>
    <x v="0"/>
    <x v="15"/>
    <x v="15"/>
    <x v="18"/>
    <x v="18"/>
    <x v="18"/>
    <x v="8"/>
    <x v="117"/>
    <x v="179"/>
    <x v="39"/>
    <x v="37"/>
    <x v="60"/>
    <x v="188"/>
    <x v="0"/>
  </r>
  <r>
    <x v="0"/>
    <x v="15"/>
    <x v="15"/>
    <x v="6"/>
    <x v="6"/>
    <x v="6"/>
    <x v="9"/>
    <x v="118"/>
    <x v="30"/>
    <x v="117"/>
    <x v="209"/>
    <x v="93"/>
    <x v="187"/>
    <x v="0"/>
  </r>
  <r>
    <x v="0"/>
    <x v="15"/>
    <x v="15"/>
    <x v="14"/>
    <x v="14"/>
    <x v="14"/>
    <x v="10"/>
    <x v="150"/>
    <x v="171"/>
    <x v="70"/>
    <x v="103"/>
    <x v="44"/>
    <x v="178"/>
    <x v="0"/>
  </r>
  <r>
    <x v="0"/>
    <x v="15"/>
    <x v="15"/>
    <x v="10"/>
    <x v="10"/>
    <x v="10"/>
    <x v="11"/>
    <x v="134"/>
    <x v="180"/>
    <x v="56"/>
    <x v="93"/>
    <x v="44"/>
    <x v="178"/>
    <x v="0"/>
  </r>
  <r>
    <x v="0"/>
    <x v="15"/>
    <x v="15"/>
    <x v="13"/>
    <x v="13"/>
    <x v="13"/>
    <x v="11"/>
    <x v="134"/>
    <x v="180"/>
    <x v="62"/>
    <x v="88"/>
    <x v="86"/>
    <x v="61"/>
    <x v="0"/>
  </r>
  <r>
    <x v="0"/>
    <x v="15"/>
    <x v="15"/>
    <x v="35"/>
    <x v="35"/>
    <x v="35"/>
    <x v="13"/>
    <x v="136"/>
    <x v="16"/>
    <x v="51"/>
    <x v="13"/>
    <x v="121"/>
    <x v="189"/>
    <x v="0"/>
  </r>
  <r>
    <x v="0"/>
    <x v="15"/>
    <x v="15"/>
    <x v="15"/>
    <x v="15"/>
    <x v="15"/>
    <x v="13"/>
    <x v="136"/>
    <x v="16"/>
    <x v="62"/>
    <x v="88"/>
    <x v="97"/>
    <x v="152"/>
    <x v="0"/>
  </r>
  <r>
    <x v="0"/>
    <x v="15"/>
    <x v="15"/>
    <x v="32"/>
    <x v="32"/>
    <x v="32"/>
    <x v="14"/>
    <x v="137"/>
    <x v="18"/>
    <x v="56"/>
    <x v="93"/>
    <x v="71"/>
    <x v="139"/>
    <x v="0"/>
  </r>
  <r>
    <x v="0"/>
    <x v="15"/>
    <x v="15"/>
    <x v="19"/>
    <x v="19"/>
    <x v="19"/>
    <x v="14"/>
    <x v="137"/>
    <x v="18"/>
    <x v="38"/>
    <x v="210"/>
    <x v="134"/>
    <x v="19"/>
    <x v="0"/>
  </r>
  <r>
    <x v="0"/>
    <x v="15"/>
    <x v="15"/>
    <x v="12"/>
    <x v="12"/>
    <x v="12"/>
    <x v="16"/>
    <x v="138"/>
    <x v="181"/>
    <x v="61"/>
    <x v="211"/>
    <x v="134"/>
    <x v="19"/>
    <x v="0"/>
  </r>
  <r>
    <x v="0"/>
    <x v="15"/>
    <x v="15"/>
    <x v="11"/>
    <x v="11"/>
    <x v="11"/>
    <x v="16"/>
    <x v="138"/>
    <x v="181"/>
    <x v="61"/>
    <x v="211"/>
    <x v="134"/>
    <x v="19"/>
    <x v="0"/>
  </r>
  <r>
    <x v="0"/>
    <x v="15"/>
    <x v="15"/>
    <x v="44"/>
    <x v="44"/>
    <x v="44"/>
    <x v="18"/>
    <x v="139"/>
    <x v="182"/>
    <x v="89"/>
    <x v="212"/>
    <x v="134"/>
    <x v="19"/>
    <x v="0"/>
  </r>
  <r>
    <x v="0"/>
    <x v="16"/>
    <x v="16"/>
    <x v="0"/>
    <x v="0"/>
    <x v="0"/>
    <x v="0"/>
    <x v="178"/>
    <x v="183"/>
    <x v="151"/>
    <x v="213"/>
    <x v="69"/>
    <x v="190"/>
    <x v="0"/>
  </r>
  <r>
    <x v="0"/>
    <x v="16"/>
    <x v="16"/>
    <x v="1"/>
    <x v="1"/>
    <x v="1"/>
    <x v="1"/>
    <x v="179"/>
    <x v="184"/>
    <x v="15"/>
    <x v="214"/>
    <x v="60"/>
    <x v="191"/>
    <x v="0"/>
  </r>
  <r>
    <x v="0"/>
    <x v="16"/>
    <x v="16"/>
    <x v="2"/>
    <x v="2"/>
    <x v="2"/>
    <x v="2"/>
    <x v="173"/>
    <x v="185"/>
    <x v="152"/>
    <x v="215"/>
    <x v="106"/>
    <x v="192"/>
    <x v="0"/>
  </r>
  <r>
    <x v="0"/>
    <x v="16"/>
    <x v="16"/>
    <x v="5"/>
    <x v="5"/>
    <x v="5"/>
    <x v="3"/>
    <x v="50"/>
    <x v="186"/>
    <x v="153"/>
    <x v="42"/>
    <x v="125"/>
    <x v="55"/>
    <x v="0"/>
  </r>
  <r>
    <x v="0"/>
    <x v="16"/>
    <x v="16"/>
    <x v="3"/>
    <x v="3"/>
    <x v="3"/>
    <x v="4"/>
    <x v="180"/>
    <x v="187"/>
    <x v="153"/>
    <x v="42"/>
    <x v="134"/>
    <x v="167"/>
    <x v="0"/>
  </r>
  <r>
    <x v="0"/>
    <x v="16"/>
    <x v="16"/>
    <x v="4"/>
    <x v="4"/>
    <x v="4"/>
    <x v="5"/>
    <x v="156"/>
    <x v="188"/>
    <x v="154"/>
    <x v="216"/>
    <x v="86"/>
    <x v="193"/>
    <x v="0"/>
  </r>
  <r>
    <x v="0"/>
    <x v="16"/>
    <x v="16"/>
    <x v="7"/>
    <x v="7"/>
    <x v="7"/>
    <x v="6"/>
    <x v="142"/>
    <x v="103"/>
    <x v="83"/>
    <x v="217"/>
    <x v="46"/>
    <x v="77"/>
    <x v="0"/>
  </r>
  <r>
    <x v="0"/>
    <x v="16"/>
    <x v="16"/>
    <x v="11"/>
    <x v="11"/>
    <x v="11"/>
    <x v="7"/>
    <x v="66"/>
    <x v="189"/>
    <x v="71"/>
    <x v="218"/>
    <x v="114"/>
    <x v="194"/>
    <x v="0"/>
  </r>
  <r>
    <x v="0"/>
    <x v="16"/>
    <x v="16"/>
    <x v="8"/>
    <x v="8"/>
    <x v="8"/>
    <x v="8"/>
    <x v="147"/>
    <x v="46"/>
    <x v="155"/>
    <x v="116"/>
    <x v="109"/>
    <x v="195"/>
    <x v="0"/>
  </r>
  <r>
    <x v="0"/>
    <x v="16"/>
    <x v="16"/>
    <x v="9"/>
    <x v="9"/>
    <x v="9"/>
    <x v="9"/>
    <x v="81"/>
    <x v="84"/>
    <x v="115"/>
    <x v="219"/>
    <x v="67"/>
    <x v="196"/>
    <x v="6"/>
  </r>
  <r>
    <x v="0"/>
    <x v="16"/>
    <x v="16"/>
    <x v="19"/>
    <x v="19"/>
    <x v="19"/>
    <x v="10"/>
    <x v="70"/>
    <x v="75"/>
    <x v="156"/>
    <x v="220"/>
    <x v="96"/>
    <x v="104"/>
    <x v="0"/>
  </r>
  <r>
    <x v="0"/>
    <x v="16"/>
    <x v="16"/>
    <x v="6"/>
    <x v="6"/>
    <x v="6"/>
    <x v="11"/>
    <x v="72"/>
    <x v="108"/>
    <x v="110"/>
    <x v="221"/>
    <x v="108"/>
    <x v="197"/>
    <x v="0"/>
  </r>
  <r>
    <x v="0"/>
    <x v="16"/>
    <x v="16"/>
    <x v="14"/>
    <x v="14"/>
    <x v="14"/>
    <x v="12"/>
    <x v="74"/>
    <x v="31"/>
    <x v="55"/>
    <x v="222"/>
    <x v="129"/>
    <x v="198"/>
    <x v="0"/>
  </r>
  <r>
    <x v="0"/>
    <x v="16"/>
    <x v="16"/>
    <x v="12"/>
    <x v="12"/>
    <x v="12"/>
    <x v="13"/>
    <x v="83"/>
    <x v="171"/>
    <x v="157"/>
    <x v="151"/>
    <x v="58"/>
    <x v="164"/>
    <x v="0"/>
  </r>
  <r>
    <x v="0"/>
    <x v="16"/>
    <x v="16"/>
    <x v="16"/>
    <x v="16"/>
    <x v="16"/>
    <x v="19"/>
    <x v="112"/>
    <x v="13"/>
    <x v="61"/>
    <x v="125"/>
    <x v="53"/>
    <x v="107"/>
    <x v="0"/>
  </r>
  <r>
    <x v="0"/>
    <x v="16"/>
    <x v="16"/>
    <x v="45"/>
    <x v="45"/>
    <x v="45"/>
    <x v="19"/>
    <x v="112"/>
    <x v="13"/>
    <x v="158"/>
    <x v="223"/>
    <x v="63"/>
    <x v="43"/>
    <x v="0"/>
  </r>
  <r>
    <x v="0"/>
    <x v="16"/>
    <x v="16"/>
    <x v="15"/>
    <x v="15"/>
    <x v="15"/>
    <x v="15"/>
    <x v="181"/>
    <x v="172"/>
    <x v="100"/>
    <x v="224"/>
    <x v="115"/>
    <x v="138"/>
    <x v="0"/>
  </r>
  <r>
    <x v="0"/>
    <x v="16"/>
    <x v="16"/>
    <x v="42"/>
    <x v="42"/>
    <x v="42"/>
    <x v="16"/>
    <x v="105"/>
    <x v="190"/>
    <x v="68"/>
    <x v="60"/>
    <x v="133"/>
    <x v="199"/>
    <x v="0"/>
  </r>
  <r>
    <x v="0"/>
    <x v="16"/>
    <x v="16"/>
    <x v="41"/>
    <x v="41"/>
    <x v="41"/>
    <x v="17"/>
    <x v="108"/>
    <x v="191"/>
    <x v="111"/>
    <x v="27"/>
    <x v="71"/>
    <x v="185"/>
    <x v="0"/>
  </r>
  <r>
    <x v="0"/>
    <x v="16"/>
    <x v="16"/>
    <x v="46"/>
    <x v="46"/>
    <x v="46"/>
    <x v="18"/>
    <x v="109"/>
    <x v="192"/>
    <x v="32"/>
    <x v="225"/>
    <x v="44"/>
    <x v="44"/>
    <x v="0"/>
  </r>
  <r>
    <x v="0"/>
    <x v="16"/>
    <x v="16"/>
    <x v="13"/>
    <x v="13"/>
    <x v="13"/>
    <x v="18"/>
    <x v="109"/>
    <x v="192"/>
    <x v="62"/>
    <x v="34"/>
    <x v="107"/>
    <x v="102"/>
    <x v="0"/>
  </r>
  <r>
    <x v="0"/>
    <x v="16"/>
    <x v="16"/>
    <x v="33"/>
    <x v="33"/>
    <x v="33"/>
    <x v="18"/>
    <x v="109"/>
    <x v="192"/>
    <x v="62"/>
    <x v="34"/>
    <x v="107"/>
    <x v="102"/>
    <x v="0"/>
  </r>
  <r>
    <x v="0"/>
    <x v="16"/>
    <x v="16"/>
    <x v="35"/>
    <x v="35"/>
    <x v="35"/>
    <x v="18"/>
    <x v="109"/>
    <x v="192"/>
    <x v="62"/>
    <x v="34"/>
    <x v="107"/>
    <x v="102"/>
    <x v="0"/>
  </r>
  <r>
    <x v="0"/>
    <x v="17"/>
    <x v="17"/>
    <x v="1"/>
    <x v="1"/>
    <x v="1"/>
    <x v="0"/>
    <x v="182"/>
    <x v="193"/>
    <x v="159"/>
    <x v="226"/>
    <x v="135"/>
    <x v="44"/>
    <x v="0"/>
  </r>
  <r>
    <x v="0"/>
    <x v="17"/>
    <x v="17"/>
    <x v="2"/>
    <x v="2"/>
    <x v="2"/>
    <x v="1"/>
    <x v="183"/>
    <x v="194"/>
    <x v="160"/>
    <x v="227"/>
    <x v="104"/>
    <x v="3"/>
    <x v="0"/>
  </r>
  <r>
    <x v="0"/>
    <x v="17"/>
    <x v="17"/>
    <x v="0"/>
    <x v="0"/>
    <x v="0"/>
    <x v="2"/>
    <x v="184"/>
    <x v="195"/>
    <x v="161"/>
    <x v="216"/>
    <x v="62"/>
    <x v="200"/>
    <x v="0"/>
  </r>
  <r>
    <x v="0"/>
    <x v="17"/>
    <x v="17"/>
    <x v="3"/>
    <x v="3"/>
    <x v="3"/>
    <x v="3"/>
    <x v="185"/>
    <x v="196"/>
    <x v="162"/>
    <x v="228"/>
    <x v="106"/>
    <x v="71"/>
    <x v="0"/>
  </r>
  <r>
    <x v="0"/>
    <x v="17"/>
    <x v="17"/>
    <x v="4"/>
    <x v="4"/>
    <x v="4"/>
    <x v="4"/>
    <x v="186"/>
    <x v="197"/>
    <x v="163"/>
    <x v="229"/>
    <x v="64"/>
    <x v="113"/>
    <x v="0"/>
  </r>
  <r>
    <x v="0"/>
    <x v="17"/>
    <x v="17"/>
    <x v="5"/>
    <x v="5"/>
    <x v="5"/>
    <x v="5"/>
    <x v="187"/>
    <x v="4"/>
    <x v="96"/>
    <x v="230"/>
    <x v="76"/>
    <x v="201"/>
    <x v="0"/>
  </r>
  <r>
    <x v="0"/>
    <x v="17"/>
    <x v="17"/>
    <x v="6"/>
    <x v="6"/>
    <x v="6"/>
    <x v="6"/>
    <x v="188"/>
    <x v="160"/>
    <x v="126"/>
    <x v="231"/>
    <x v="67"/>
    <x v="176"/>
    <x v="0"/>
  </r>
  <r>
    <x v="0"/>
    <x v="17"/>
    <x v="17"/>
    <x v="8"/>
    <x v="8"/>
    <x v="8"/>
    <x v="7"/>
    <x v="189"/>
    <x v="80"/>
    <x v="164"/>
    <x v="232"/>
    <x v="52"/>
    <x v="108"/>
    <x v="0"/>
  </r>
  <r>
    <x v="0"/>
    <x v="17"/>
    <x v="17"/>
    <x v="7"/>
    <x v="7"/>
    <x v="7"/>
    <x v="8"/>
    <x v="89"/>
    <x v="151"/>
    <x v="114"/>
    <x v="233"/>
    <x v="137"/>
    <x v="202"/>
    <x v="0"/>
  </r>
  <r>
    <x v="0"/>
    <x v="17"/>
    <x v="17"/>
    <x v="9"/>
    <x v="9"/>
    <x v="9"/>
    <x v="9"/>
    <x v="177"/>
    <x v="133"/>
    <x v="37"/>
    <x v="234"/>
    <x v="76"/>
    <x v="201"/>
    <x v="6"/>
  </r>
  <r>
    <x v="0"/>
    <x v="17"/>
    <x v="17"/>
    <x v="13"/>
    <x v="13"/>
    <x v="13"/>
    <x v="10"/>
    <x v="80"/>
    <x v="72"/>
    <x v="71"/>
    <x v="155"/>
    <x v="74"/>
    <x v="203"/>
    <x v="0"/>
  </r>
  <r>
    <x v="0"/>
    <x v="17"/>
    <x v="17"/>
    <x v="16"/>
    <x v="16"/>
    <x v="16"/>
    <x v="11"/>
    <x v="147"/>
    <x v="48"/>
    <x v="46"/>
    <x v="235"/>
    <x v="144"/>
    <x v="15"/>
    <x v="0"/>
  </r>
  <r>
    <x v="0"/>
    <x v="17"/>
    <x v="17"/>
    <x v="19"/>
    <x v="19"/>
    <x v="19"/>
    <x v="12"/>
    <x v="190"/>
    <x v="179"/>
    <x v="165"/>
    <x v="236"/>
    <x v="135"/>
    <x v="44"/>
    <x v="0"/>
  </r>
  <r>
    <x v="0"/>
    <x v="17"/>
    <x v="17"/>
    <x v="11"/>
    <x v="11"/>
    <x v="11"/>
    <x v="13"/>
    <x v="100"/>
    <x v="85"/>
    <x v="119"/>
    <x v="211"/>
    <x v="144"/>
    <x v="15"/>
    <x v="0"/>
  </r>
  <r>
    <x v="0"/>
    <x v="17"/>
    <x v="17"/>
    <x v="15"/>
    <x v="15"/>
    <x v="15"/>
    <x v="19"/>
    <x v="93"/>
    <x v="52"/>
    <x v="100"/>
    <x v="237"/>
    <x v="145"/>
    <x v="87"/>
    <x v="0"/>
  </r>
  <r>
    <x v="0"/>
    <x v="17"/>
    <x v="17"/>
    <x v="10"/>
    <x v="10"/>
    <x v="10"/>
    <x v="14"/>
    <x v="83"/>
    <x v="32"/>
    <x v="51"/>
    <x v="238"/>
    <x v="146"/>
    <x v="204"/>
    <x v="0"/>
  </r>
  <r>
    <x v="0"/>
    <x v="17"/>
    <x v="17"/>
    <x v="40"/>
    <x v="40"/>
    <x v="40"/>
    <x v="15"/>
    <x v="166"/>
    <x v="33"/>
    <x v="102"/>
    <x v="239"/>
    <x v="100"/>
    <x v="141"/>
    <x v="0"/>
  </r>
  <r>
    <x v="0"/>
    <x v="17"/>
    <x v="17"/>
    <x v="17"/>
    <x v="17"/>
    <x v="17"/>
    <x v="16"/>
    <x v="112"/>
    <x v="119"/>
    <x v="39"/>
    <x v="30"/>
    <x v="137"/>
    <x v="202"/>
    <x v="0"/>
  </r>
  <r>
    <x v="0"/>
    <x v="17"/>
    <x v="17"/>
    <x v="28"/>
    <x v="28"/>
    <x v="28"/>
    <x v="16"/>
    <x v="112"/>
    <x v="119"/>
    <x v="55"/>
    <x v="240"/>
    <x v="115"/>
    <x v="199"/>
    <x v="0"/>
  </r>
  <r>
    <x v="0"/>
    <x v="17"/>
    <x v="17"/>
    <x v="14"/>
    <x v="14"/>
    <x v="14"/>
    <x v="18"/>
    <x v="127"/>
    <x v="198"/>
    <x v="89"/>
    <x v="187"/>
    <x v="147"/>
    <x v="36"/>
    <x v="0"/>
  </r>
  <r>
    <x v="0"/>
    <x v="18"/>
    <x v="18"/>
    <x v="0"/>
    <x v="0"/>
    <x v="0"/>
    <x v="0"/>
    <x v="191"/>
    <x v="199"/>
    <x v="166"/>
    <x v="241"/>
    <x v="70"/>
    <x v="205"/>
    <x v="0"/>
  </r>
  <r>
    <x v="0"/>
    <x v="18"/>
    <x v="18"/>
    <x v="1"/>
    <x v="1"/>
    <x v="1"/>
    <x v="1"/>
    <x v="53"/>
    <x v="200"/>
    <x v="167"/>
    <x v="242"/>
    <x v="104"/>
    <x v="206"/>
    <x v="0"/>
  </r>
  <r>
    <x v="0"/>
    <x v="18"/>
    <x v="18"/>
    <x v="2"/>
    <x v="2"/>
    <x v="2"/>
    <x v="2"/>
    <x v="158"/>
    <x v="201"/>
    <x v="74"/>
    <x v="243"/>
    <x v="119"/>
    <x v="101"/>
    <x v="0"/>
  </r>
  <r>
    <x v="0"/>
    <x v="18"/>
    <x v="18"/>
    <x v="3"/>
    <x v="3"/>
    <x v="3"/>
    <x v="3"/>
    <x v="111"/>
    <x v="202"/>
    <x v="164"/>
    <x v="244"/>
    <x v="93"/>
    <x v="197"/>
    <x v="0"/>
  </r>
  <r>
    <x v="0"/>
    <x v="18"/>
    <x v="18"/>
    <x v="4"/>
    <x v="4"/>
    <x v="4"/>
    <x v="4"/>
    <x v="67"/>
    <x v="101"/>
    <x v="168"/>
    <x v="245"/>
    <x v="52"/>
    <x v="207"/>
    <x v="0"/>
  </r>
  <r>
    <x v="0"/>
    <x v="18"/>
    <x v="18"/>
    <x v="6"/>
    <x v="6"/>
    <x v="6"/>
    <x v="5"/>
    <x v="83"/>
    <x v="203"/>
    <x v="107"/>
    <x v="246"/>
    <x v="93"/>
    <x v="197"/>
    <x v="0"/>
  </r>
  <r>
    <x v="0"/>
    <x v="18"/>
    <x v="18"/>
    <x v="7"/>
    <x v="7"/>
    <x v="7"/>
    <x v="6"/>
    <x v="96"/>
    <x v="45"/>
    <x v="157"/>
    <x v="247"/>
    <x v="64"/>
    <x v="90"/>
    <x v="0"/>
  </r>
  <r>
    <x v="0"/>
    <x v="18"/>
    <x v="18"/>
    <x v="28"/>
    <x v="28"/>
    <x v="28"/>
    <x v="7"/>
    <x v="105"/>
    <x v="47"/>
    <x v="102"/>
    <x v="183"/>
    <x v="99"/>
    <x v="162"/>
    <x v="0"/>
  </r>
  <r>
    <x v="0"/>
    <x v="18"/>
    <x v="18"/>
    <x v="5"/>
    <x v="5"/>
    <x v="5"/>
    <x v="8"/>
    <x v="129"/>
    <x v="145"/>
    <x v="145"/>
    <x v="248"/>
    <x v="67"/>
    <x v="208"/>
    <x v="0"/>
  </r>
  <r>
    <x v="0"/>
    <x v="18"/>
    <x v="18"/>
    <x v="9"/>
    <x v="9"/>
    <x v="9"/>
    <x v="9"/>
    <x v="106"/>
    <x v="74"/>
    <x v="145"/>
    <x v="248"/>
    <x v="110"/>
    <x v="209"/>
    <x v="6"/>
  </r>
  <r>
    <x v="0"/>
    <x v="18"/>
    <x v="18"/>
    <x v="11"/>
    <x v="11"/>
    <x v="11"/>
    <x v="10"/>
    <x v="130"/>
    <x v="204"/>
    <x v="89"/>
    <x v="249"/>
    <x v="118"/>
    <x v="76"/>
    <x v="0"/>
  </r>
  <r>
    <x v="0"/>
    <x v="18"/>
    <x v="18"/>
    <x v="21"/>
    <x v="21"/>
    <x v="21"/>
    <x v="11"/>
    <x v="145"/>
    <x v="76"/>
    <x v="100"/>
    <x v="117"/>
    <x v="148"/>
    <x v="107"/>
    <x v="0"/>
  </r>
  <r>
    <x v="0"/>
    <x v="18"/>
    <x v="18"/>
    <x v="40"/>
    <x v="40"/>
    <x v="40"/>
    <x v="12"/>
    <x v="115"/>
    <x v="65"/>
    <x v="68"/>
    <x v="28"/>
    <x v="111"/>
    <x v="79"/>
    <x v="0"/>
  </r>
  <r>
    <x v="0"/>
    <x v="18"/>
    <x v="18"/>
    <x v="19"/>
    <x v="19"/>
    <x v="19"/>
    <x v="12"/>
    <x v="115"/>
    <x v="65"/>
    <x v="94"/>
    <x v="250"/>
    <x v="97"/>
    <x v="210"/>
    <x v="0"/>
  </r>
  <r>
    <x v="0"/>
    <x v="18"/>
    <x v="18"/>
    <x v="13"/>
    <x v="13"/>
    <x v="13"/>
    <x v="19"/>
    <x v="133"/>
    <x v="14"/>
    <x v="89"/>
    <x v="249"/>
    <x v="94"/>
    <x v="211"/>
    <x v="0"/>
  </r>
  <r>
    <x v="0"/>
    <x v="18"/>
    <x v="18"/>
    <x v="33"/>
    <x v="33"/>
    <x v="33"/>
    <x v="19"/>
    <x v="133"/>
    <x v="14"/>
    <x v="62"/>
    <x v="251"/>
    <x v="124"/>
    <x v="202"/>
    <x v="0"/>
  </r>
  <r>
    <x v="0"/>
    <x v="18"/>
    <x v="18"/>
    <x v="12"/>
    <x v="12"/>
    <x v="12"/>
    <x v="15"/>
    <x v="149"/>
    <x v="33"/>
    <x v="111"/>
    <x v="220"/>
    <x v="76"/>
    <x v="135"/>
    <x v="0"/>
  </r>
  <r>
    <x v="0"/>
    <x v="18"/>
    <x v="18"/>
    <x v="43"/>
    <x v="43"/>
    <x v="43"/>
    <x v="15"/>
    <x v="149"/>
    <x v="33"/>
    <x v="65"/>
    <x v="65"/>
    <x v="99"/>
    <x v="162"/>
    <x v="0"/>
  </r>
  <r>
    <x v="0"/>
    <x v="18"/>
    <x v="18"/>
    <x v="17"/>
    <x v="17"/>
    <x v="17"/>
    <x v="17"/>
    <x v="117"/>
    <x v="18"/>
    <x v="70"/>
    <x v="188"/>
    <x v="64"/>
    <x v="90"/>
    <x v="0"/>
  </r>
  <r>
    <x v="0"/>
    <x v="18"/>
    <x v="18"/>
    <x v="47"/>
    <x v="47"/>
    <x v="47"/>
    <x v="17"/>
    <x v="117"/>
    <x v="18"/>
    <x v="111"/>
    <x v="220"/>
    <x v="79"/>
    <x v="154"/>
    <x v="0"/>
  </r>
  <r>
    <x v="0"/>
    <x v="19"/>
    <x v="19"/>
    <x v="1"/>
    <x v="1"/>
    <x v="1"/>
    <x v="0"/>
    <x v="192"/>
    <x v="205"/>
    <x v="55"/>
    <x v="252"/>
    <x v="123"/>
    <x v="191"/>
    <x v="0"/>
  </r>
  <r>
    <x v="0"/>
    <x v="19"/>
    <x v="19"/>
    <x v="3"/>
    <x v="3"/>
    <x v="3"/>
    <x v="1"/>
    <x v="193"/>
    <x v="206"/>
    <x v="38"/>
    <x v="253"/>
    <x v="127"/>
    <x v="151"/>
    <x v="0"/>
  </r>
  <r>
    <x v="0"/>
    <x v="19"/>
    <x v="19"/>
    <x v="42"/>
    <x v="42"/>
    <x v="42"/>
    <x v="2"/>
    <x v="194"/>
    <x v="146"/>
    <x v="70"/>
    <x v="254"/>
    <x v="113"/>
    <x v="212"/>
    <x v="0"/>
  </r>
  <r>
    <x v="0"/>
    <x v="19"/>
    <x v="19"/>
    <x v="48"/>
    <x v="48"/>
    <x v="48"/>
    <x v="3"/>
    <x v="195"/>
    <x v="207"/>
    <x v="56"/>
    <x v="255"/>
    <x v="98"/>
    <x v="213"/>
    <x v="0"/>
  </r>
  <r>
    <x v="0"/>
    <x v="19"/>
    <x v="19"/>
    <x v="5"/>
    <x v="5"/>
    <x v="5"/>
    <x v="3"/>
    <x v="195"/>
    <x v="207"/>
    <x v="68"/>
    <x v="143"/>
    <x v="127"/>
    <x v="151"/>
    <x v="0"/>
  </r>
  <r>
    <x v="0"/>
    <x v="19"/>
    <x v="19"/>
    <x v="2"/>
    <x v="2"/>
    <x v="2"/>
    <x v="5"/>
    <x v="196"/>
    <x v="208"/>
    <x v="95"/>
    <x v="256"/>
    <x v="127"/>
    <x v="151"/>
    <x v="0"/>
  </r>
  <r>
    <x v="0"/>
    <x v="19"/>
    <x v="19"/>
    <x v="43"/>
    <x v="43"/>
    <x v="43"/>
    <x v="5"/>
    <x v="196"/>
    <x v="208"/>
    <x v="65"/>
    <x v="65"/>
    <x v="67"/>
    <x v="214"/>
    <x v="0"/>
  </r>
  <r>
    <x v="0"/>
    <x v="19"/>
    <x v="19"/>
    <x v="19"/>
    <x v="19"/>
    <x v="19"/>
    <x v="7"/>
    <x v="197"/>
    <x v="188"/>
    <x v="51"/>
    <x v="257"/>
    <x v="123"/>
    <x v="191"/>
    <x v="0"/>
  </r>
  <r>
    <x v="0"/>
    <x v="19"/>
    <x v="19"/>
    <x v="41"/>
    <x v="41"/>
    <x v="41"/>
    <x v="8"/>
    <x v="198"/>
    <x v="124"/>
    <x v="62"/>
    <x v="90"/>
    <x v="123"/>
    <x v="191"/>
    <x v="0"/>
  </r>
  <r>
    <x v="0"/>
    <x v="19"/>
    <x v="19"/>
    <x v="7"/>
    <x v="7"/>
    <x v="7"/>
    <x v="8"/>
    <x v="198"/>
    <x v="124"/>
    <x v="70"/>
    <x v="254"/>
    <x v="93"/>
    <x v="72"/>
    <x v="0"/>
  </r>
  <r>
    <x v="0"/>
    <x v="19"/>
    <x v="19"/>
    <x v="10"/>
    <x v="10"/>
    <x v="10"/>
    <x v="10"/>
    <x v="199"/>
    <x v="26"/>
    <x v="50"/>
    <x v="258"/>
    <x v="108"/>
    <x v="215"/>
    <x v="0"/>
  </r>
  <r>
    <x v="0"/>
    <x v="19"/>
    <x v="19"/>
    <x v="12"/>
    <x v="12"/>
    <x v="12"/>
    <x v="10"/>
    <x v="199"/>
    <x v="26"/>
    <x v="62"/>
    <x v="90"/>
    <x v="127"/>
    <x v="151"/>
    <x v="0"/>
  </r>
  <r>
    <x v="0"/>
    <x v="19"/>
    <x v="19"/>
    <x v="9"/>
    <x v="9"/>
    <x v="9"/>
    <x v="10"/>
    <x v="199"/>
    <x v="26"/>
    <x v="62"/>
    <x v="90"/>
    <x v="127"/>
    <x v="151"/>
    <x v="0"/>
  </r>
  <r>
    <x v="0"/>
    <x v="19"/>
    <x v="19"/>
    <x v="14"/>
    <x v="14"/>
    <x v="14"/>
    <x v="13"/>
    <x v="200"/>
    <x v="108"/>
    <x v="65"/>
    <x v="65"/>
    <x v="108"/>
    <x v="215"/>
    <x v="0"/>
  </r>
  <r>
    <x v="0"/>
    <x v="19"/>
    <x v="19"/>
    <x v="47"/>
    <x v="47"/>
    <x v="47"/>
    <x v="13"/>
    <x v="200"/>
    <x v="108"/>
    <x v="56"/>
    <x v="255"/>
    <x v="123"/>
    <x v="191"/>
    <x v="0"/>
  </r>
  <r>
    <x v="0"/>
    <x v="19"/>
    <x v="19"/>
    <x v="49"/>
    <x v="49"/>
    <x v="49"/>
    <x v="13"/>
    <x v="200"/>
    <x v="108"/>
    <x v="50"/>
    <x v="258"/>
    <x v="93"/>
    <x v="72"/>
    <x v="0"/>
  </r>
  <r>
    <x v="0"/>
    <x v="19"/>
    <x v="19"/>
    <x v="50"/>
    <x v="50"/>
    <x v="50"/>
    <x v="13"/>
    <x v="200"/>
    <x v="108"/>
    <x v="70"/>
    <x v="254"/>
    <x v="127"/>
    <x v="151"/>
    <x v="0"/>
  </r>
  <r>
    <x v="0"/>
    <x v="19"/>
    <x v="19"/>
    <x v="0"/>
    <x v="0"/>
    <x v="0"/>
    <x v="13"/>
    <x v="200"/>
    <x v="108"/>
    <x v="50"/>
    <x v="258"/>
    <x v="93"/>
    <x v="72"/>
    <x v="0"/>
  </r>
  <r>
    <x v="0"/>
    <x v="19"/>
    <x v="19"/>
    <x v="51"/>
    <x v="51"/>
    <x v="51"/>
    <x v="13"/>
    <x v="200"/>
    <x v="108"/>
    <x v="70"/>
    <x v="254"/>
    <x v="127"/>
    <x v="151"/>
    <x v="0"/>
  </r>
  <r>
    <x v="0"/>
    <x v="19"/>
    <x v="19"/>
    <x v="45"/>
    <x v="45"/>
    <x v="45"/>
    <x v="13"/>
    <x v="200"/>
    <x v="108"/>
    <x v="56"/>
    <x v="255"/>
    <x v="123"/>
    <x v="191"/>
    <x v="0"/>
  </r>
  <r>
    <x v="0"/>
    <x v="19"/>
    <x v="19"/>
    <x v="34"/>
    <x v="34"/>
    <x v="34"/>
    <x v="13"/>
    <x v="200"/>
    <x v="108"/>
    <x v="56"/>
    <x v="255"/>
    <x v="123"/>
    <x v="191"/>
    <x v="0"/>
  </r>
  <r>
    <x v="0"/>
    <x v="19"/>
    <x v="19"/>
    <x v="52"/>
    <x v="52"/>
    <x v="52"/>
    <x v="13"/>
    <x v="200"/>
    <x v="108"/>
    <x v="65"/>
    <x v="65"/>
    <x v="93"/>
    <x v="72"/>
    <x v="0"/>
  </r>
  <r>
    <x v="0"/>
    <x v="19"/>
    <x v="19"/>
    <x v="23"/>
    <x v="23"/>
    <x v="23"/>
    <x v="13"/>
    <x v="200"/>
    <x v="108"/>
    <x v="70"/>
    <x v="254"/>
    <x v="127"/>
    <x v="151"/>
    <x v="0"/>
  </r>
  <r>
    <x v="0"/>
    <x v="19"/>
    <x v="19"/>
    <x v="53"/>
    <x v="53"/>
    <x v="53"/>
    <x v="13"/>
    <x v="200"/>
    <x v="108"/>
    <x v="65"/>
    <x v="65"/>
    <x v="127"/>
    <x v="151"/>
    <x v="0"/>
  </r>
  <r>
    <x v="0"/>
    <x v="20"/>
    <x v="20"/>
    <x v="0"/>
    <x v="0"/>
    <x v="0"/>
    <x v="0"/>
    <x v="201"/>
    <x v="209"/>
    <x v="10"/>
    <x v="259"/>
    <x v="103"/>
    <x v="216"/>
    <x v="0"/>
  </r>
  <r>
    <x v="0"/>
    <x v="20"/>
    <x v="20"/>
    <x v="1"/>
    <x v="1"/>
    <x v="1"/>
    <x v="1"/>
    <x v="161"/>
    <x v="210"/>
    <x v="134"/>
    <x v="260"/>
    <x v="104"/>
    <x v="119"/>
    <x v="0"/>
  </r>
  <r>
    <x v="0"/>
    <x v="20"/>
    <x v="20"/>
    <x v="3"/>
    <x v="3"/>
    <x v="3"/>
    <x v="2"/>
    <x v="91"/>
    <x v="211"/>
    <x v="110"/>
    <x v="261"/>
    <x v="119"/>
    <x v="22"/>
    <x v="0"/>
  </r>
  <r>
    <x v="0"/>
    <x v="20"/>
    <x v="20"/>
    <x v="2"/>
    <x v="2"/>
    <x v="2"/>
    <x v="3"/>
    <x v="202"/>
    <x v="157"/>
    <x v="165"/>
    <x v="262"/>
    <x v="108"/>
    <x v="195"/>
    <x v="0"/>
  </r>
  <r>
    <x v="0"/>
    <x v="20"/>
    <x v="20"/>
    <x v="10"/>
    <x v="10"/>
    <x v="10"/>
    <x v="4"/>
    <x v="114"/>
    <x v="212"/>
    <x v="65"/>
    <x v="65"/>
    <x v="107"/>
    <x v="217"/>
    <x v="0"/>
  </r>
  <r>
    <x v="0"/>
    <x v="20"/>
    <x v="20"/>
    <x v="5"/>
    <x v="5"/>
    <x v="5"/>
    <x v="5"/>
    <x v="115"/>
    <x v="40"/>
    <x v="30"/>
    <x v="263"/>
    <x v="110"/>
    <x v="2"/>
    <x v="0"/>
  </r>
  <r>
    <x v="0"/>
    <x v="20"/>
    <x v="20"/>
    <x v="6"/>
    <x v="6"/>
    <x v="6"/>
    <x v="6"/>
    <x v="116"/>
    <x v="213"/>
    <x v="117"/>
    <x v="264"/>
    <x v="98"/>
    <x v="186"/>
    <x v="0"/>
  </r>
  <r>
    <x v="0"/>
    <x v="20"/>
    <x v="20"/>
    <x v="7"/>
    <x v="7"/>
    <x v="7"/>
    <x v="7"/>
    <x v="133"/>
    <x v="214"/>
    <x v="55"/>
    <x v="265"/>
    <x v="121"/>
    <x v="218"/>
    <x v="0"/>
  </r>
  <r>
    <x v="0"/>
    <x v="20"/>
    <x v="20"/>
    <x v="8"/>
    <x v="8"/>
    <x v="8"/>
    <x v="8"/>
    <x v="120"/>
    <x v="72"/>
    <x v="71"/>
    <x v="266"/>
    <x v="119"/>
    <x v="22"/>
    <x v="0"/>
  </r>
  <r>
    <x v="0"/>
    <x v="20"/>
    <x v="20"/>
    <x v="4"/>
    <x v="4"/>
    <x v="4"/>
    <x v="9"/>
    <x v="150"/>
    <x v="47"/>
    <x v="34"/>
    <x v="267"/>
    <x v="119"/>
    <x v="22"/>
    <x v="0"/>
  </r>
  <r>
    <x v="0"/>
    <x v="20"/>
    <x v="20"/>
    <x v="9"/>
    <x v="9"/>
    <x v="9"/>
    <x v="10"/>
    <x v="135"/>
    <x v="134"/>
    <x v="53"/>
    <x v="268"/>
    <x v="123"/>
    <x v="219"/>
    <x v="0"/>
  </r>
  <r>
    <x v="0"/>
    <x v="20"/>
    <x v="20"/>
    <x v="12"/>
    <x v="12"/>
    <x v="12"/>
    <x v="11"/>
    <x v="136"/>
    <x v="108"/>
    <x v="77"/>
    <x v="74"/>
    <x v="130"/>
    <x v="220"/>
    <x v="6"/>
  </r>
  <r>
    <x v="0"/>
    <x v="20"/>
    <x v="20"/>
    <x v="53"/>
    <x v="53"/>
    <x v="53"/>
    <x v="11"/>
    <x v="136"/>
    <x v="108"/>
    <x v="65"/>
    <x v="65"/>
    <x v="93"/>
    <x v="34"/>
    <x v="4"/>
  </r>
  <r>
    <x v="0"/>
    <x v="20"/>
    <x v="20"/>
    <x v="11"/>
    <x v="11"/>
    <x v="11"/>
    <x v="13"/>
    <x v="138"/>
    <x v="10"/>
    <x v="39"/>
    <x v="269"/>
    <x v="125"/>
    <x v="165"/>
    <x v="0"/>
  </r>
  <r>
    <x v="0"/>
    <x v="20"/>
    <x v="20"/>
    <x v="47"/>
    <x v="47"/>
    <x v="47"/>
    <x v="13"/>
    <x v="138"/>
    <x v="10"/>
    <x v="100"/>
    <x v="270"/>
    <x v="63"/>
    <x v="221"/>
    <x v="0"/>
  </r>
  <r>
    <x v="0"/>
    <x v="20"/>
    <x v="20"/>
    <x v="28"/>
    <x v="28"/>
    <x v="28"/>
    <x v="14"/>
    <x v="139"/>
    <x v="118"/>
    <x v="95"/>
    <x v="271"/>
    <x v="63"/>
    <x v="221"/>
    <x v="0"/>
  </r>
  <r>
    <x v="0"/>
    <x v="20"/>
    <x v="20"/>
    <x v="15"/>
    <x v="15"/>
    <x v="15"/>
    <x v="14"/>
    <x v="139"/>
    <x v="118"/>
    <x v="70"/>
    <x v="60"/>
    <x v="120"/>
    <x v="178"/>
    <x v="0"/>
  </r>
  <r>
    <x v="0"/>
    <x v="20"/>
    <x v="20"/>
    <x v="14"/>
    <x v="14"/>
    <x v="14"/>
    <x v="16"/>
    <x v="140"/>
    <x v="15"/>
    <x v="56"/>
    <x v="30"/>
    <x v="83"/>
    <x v="204"/>
    <x v="0"/>
  </r>
  <r>
    <x v="0"/>
    <x v="20"/>
    <x v="20"/>
    <x v="13"/>
    <x v="13"/>
    <x v="13"/>
    <x v="17"/>
    <x v="203"/>
    <x v="18"/>
    <x v="51"/>
    <x v="222"/>
    <x v="130"/>
    <x v="220"/>
    <x v="0"/>
  </r>
  <r>
    <x v="0"/>
    <x v="20"/>
    <x v="20"/>
    <x v="41"/>
    <x v="41"/>
    <x v="41"/>
    <x v="17"/>
    <x v="203"/>
    <x v="18"/>
    <x v="89"/>
    <x v="124"/>
    <x v="113"/>
    <x v="222"/>
    <x v="0"/>
  </r>
  <r>
    <x v="0"/>
    <x v="20"/>
    <x v="20"/>
    <x v="16"/>
    <x v="16"/>
    <x v="16"/>
    <x v="17"/>
    <x v="203"/>
    <x v="18"/>
    <x v="56"/>
    <x v="30"/>
    <x v="52"/>
    <x v="51"/>
    <x v="0"/>
  </r>
  <r>
    <x v="0"/>
    <x v="20"/>
    <x v="20"/>
    <x v="23"/>
    <x v="23"/>
    <x v="23"/>
    <x v="17"/>
    <x v="203"/>
    <x v="18"/>
    <x v="33"/>
    <x v="272"/>
    <x v="93"/>
    <x v="34"/>
    <x v="0"/>
  </r>
  <r>
    <x v="0"/>
    <x v="21"/>
    <x v="21"/>
    <x v="0"/>
    <x v="0"/>
    <x v="0"/>
    <x v="0"/>
    <x v="162"/>
    <x v="215"/>
    <x v="155"/>
    <x v="273"/>
    <x v="106"/>
    <x v="73"/>
    <x v="0"/>
  </r>
  <r>
    <x v="0"/>
    <x v="21"/>
    <x v="21"/>
    <x v="1"/>
    <x v="1"/>
    <x v="1"/>
    <x v="1"/>
    <x v="107"/>
    <x v="216"/>
    <x v="99"/>
    <x v="274"/>
    <x v="119"/>
    <x v="223"/>
    <x v="0"/>
  </r>
  <r>
    <x v="0"/>
    <x v="21"/>
    <x v="21"/>
    <x v="3"/>
    <x v="3"/>
    <x v="3"/>
    <x v="2"/>
    <x v="109"/>
    <x v="217"/>
    <x v="145"/>
    <x v="275"/>
    <x v="123"/>
    <x v="176"/>
    <x v="0"/>
  </r>
  <r>
    <x v="0"/>
    <x v="21"/>
    <x v="21"/>
    <x v="7"/>
    <x v="7"/>
    <x v="7"/>
    <x v="3"/>
    <x v="137"/>
    <x v="218"/>
    <x v="89"/>
    <x v="276"/>
    <x v="79"/>
    <x v="224"/>
    <x v="6"/>
  </r>
  <r>
    <x v="0"/>
    <x v="21"/>
    <x v="21"/>
    <x v="2"/>
    <x v="2"/>
    <x v="2"/>
    <x v="4"/>
    <x v="140"/>
    <x v="219"/>
    <x v="67"/>
    <x v="277"/>
    <x v="123"/>
    <x v="176"/>
    <x v="0"/>
  </r>
  <r>
    <x v="0"/>
    <x v="21"/>
    <x v="21"/>
    <x v="4"/>
    <x v="4"/>
    <x v="4"/>
    <x v="5"/>
    <x v="141"/>
    <x v="59"/>
    <x v="55"/>
    <x v="278"/>
    <x v="110"/>
    <x v="135"/>
    <x v="0"/>
  </r>
  <r>
    <x v="0"/>
    <x v="21"/>
    <x v="21"/>
    <x v="6"/>
    <x v="6"/>
    <x v="6"/>
    <x v="5"/>
    <x v="141"/>
    <x v="59"/>
    <x v="32"/>
    <x v="279"/>
    <x v="93"/>
    <x v="121"/>
    <x v="0"/>
  </r>
  <r>
    <x v="0"/>
    <x v="21"/>
    <x v="21"/>
    <x v="17"/>
    <x v="17"/>
    <x v="17"/>
    <x v="7"/>
    <x v="204"/>
    <x v="220"/>
    <x v="62"/>
    <x v="271"/>
    <x v="79"/>
    <x v="224"/>
    <x v="0"/>
  </r>
  <r>
    <x v="0"/>
    <x v="21"/>
    <x v="21"/>
    <x v="54"/>
    <x v="54"/>
    <x v="54"/>
    <x v="7"/>
    <x v="204"/>
    <x v="220"/>
    <x v="70"/>
    <x v="147"/>
    <x v="76"/>
    <x v="82"/>
    <x v="0"/>
  </r>
  <r>
    <x v="0"/>
    <x v="21"/>
    <x v="21"/>
    <x v="5"/>
    <x v="5"/>
    <x v="5"/>
    <x v="9"/>
    <x v="192"/>
    <x v="72"/>
    <x v="102"/>
    <x v="196"/>
    <x v="93"/>
    <x v="121"/>
    <x v="0"/>
  </r>
  <r>
    <x v="0"/>
    <x v="21"/>
    <x v="21"/>
    <x v="15"/>
    <x v="15"/>
    <x v="15"/>
    <x v="10"/>
    <x v="205"/>
    <x v="60"/>
    <x v="50"/>
    <x v="10"/>
    <x v="76"/>
    <x v="82"/>
    <x v="0"/>
  </r>
  <r>
    <x v="0"/>
    <x v="21"/>
    <x v="21"/>
    <x v="9"/>
    <x v="9"/>
    <x v="9"/>
    <x v="10"/>
    <x v="205"/>
    <x v="60"/>
    <x v="38"/>
    <x v="52"/>
    <x v="93"/>
    <x v="121"/>
    <x v="0"/>
  </r>
  <r>
    <x v="0"/>
    <x v="21"/>
    <x v="21"/>
    <x v="13"/>
    <x v="13"/>
    <x v="13"/>
    <x v="12"/>
    <x v="206"/>
    <x v="29"/>
    <x v="51"/>
    <x v="212"/>
    <x v="113"/>
    <x v="128"/>
    <x v="0"/>
  </r>
  <r>
    <x v="0"/>
    <x v="21"/>
    <x v="21"/>
    <x v="18"/>
    <x v="18"/>
    <x v="18"/>
    <x v="12"/>
    <x v="206"/>
    <x v="29"/>
    <x v="62"/>
    <x v="271"/>
    <x v="106"/>
    <x v="73"/>
    <x v="0"/>
  </r>
  <r>
    <x v="0"/>
    <x v="21"/>
    <x v="21"/>
    <x v="12"/>
    <x v="12"/>
    <x v="12"/>
    <x v="19"/>
    <x v="193"/>
    <x v="9"/>
    <x v="100"/>
    <x v="280"/>
    <x v="119"/>
    <x v="223"/>
    <x v="0"/>
  </r>
  <r>
    <x v="0"/>
    <x v="21"/>
    <x v="21"/>
    <x v="10"/>
    <x v="10"/>
    <x v="10"/>
    <x v="14"/>
    <x v="194"/>
    <x v="180"/>
    <x v="50"/>
    <x v="10"/>
    <x v="104"/>
    <x v="148"/>
    <x v="0"/>
  </r>
  <r>
    <x v="0"/>
    <x v="21"/>
    <x v="21"/>
    <x v="41"/>
    <x v="41"/>
    <x v="41"/>
    <x v="14"/>
    <x v="194"/>
    <x v="180"/>
    <x v="68"/>
    <x v="134"/>
    <x v="108"/>
    <x v="49"/>
    <x v="0"/>
  </r>
  <r>
    <x v="0"/>
    <x v="21"/>
    <x v="21"/>
    <x v="51"/>
    <x v="51"/>
    <x v="51"/>
    <x v="16"/>
    <x v="207"/>
    <x v="34"/>
    <x v="68"/>
    <x v="134"/>
    <x v="93"/>
    <x v="121"/>
    <x v="0"/>
  </r>
  <r>
    <x v="0"/>
    <x v="21"/>
    <x v="21"/>
    <x v="32"/>
    <x v="32"/>
    <x v="32"/>
    <x v="17"/>
    <x v="208"/>
    <x v="221"/>
    <x v="62"/>
    <x v="271"/>
    <x v="67"/>
    <x v="123"/>
    <x v="0"/>
  </r>
  <r>
    <x v="0"/>
    <x v="21"/>
    <x v="21"/>
    <x v="11"/>
    <x v="11"/>
    <x v="11"/>
    <x v="17"/>
    <x v="208"/>
    <x v="221"/>
    <x v="39"/>
    <x v="19"/>
    <x v="110"/>
    <x v="135"/>
    <x v="0"/>
  </r>
  <r>
    <x v="0"/>
    <x v="21"/>
    <x v="21"/>
    <x v="47"/>
    <x v="47"/>
    <x v="47"/>
    <x v="17"/>
    <x v="208"/>
    <x v="221"/>
    <x v="68"/>
    <x v="134"/>
    <x v="123"/>
    <x v="176"/>
    <x v="0"/>
  </r>
  <r>
    <x v="0"/>
    <x v="22"/>
    <x v="22"/>
    <x v="2"/>
    <x v="2"/>
    <x v="2"/>
    <x v="0"/>
    <x v="149"/>
    <x v="222"/>
    <x v="30"/>
    <x v="281"/>
    <x v="123"/>
    <x v="41"/>
    <x v="0"/>
  </r>
  <r>
    <x v="0"/>
    <x v="22"/>
    <x v="22"/>
    <x v="1"/>
    <x v="1"/>
    <x v="1"/>
    <x v="1"/>
    <x v="167"/>
    <x v="223"/>
    <x v="131"/>
    <x v="0"/>
    <x v="93"/>
    <x v="206"/>
    <x v="0"/>
  </r>
  <r>
    <x v="0"/>
    <x v="22"/>
    <x v="22"/>
    <x v="0"/>
    <x v="0"/>
    <x v="0"/>
    <x v="2"/>
    <x v="118"/>
    <x v="224"/>
    <x v="94"/>
    <x v="282"/>
    <x v="130"/>
    <x v="225"/>
    <x v="0"/>
  </r>
  <r>
    <x v="0"/>
    <x v="22"/>
    <x v="22"/>
    <x v="3"/>
    <x v="3"/>
    <x v="3"/>
    <x v="2"/>
    <x v="118"/>
    <x v="224"/>
    <x v="131"/>
    <x v="0"/>
    <x v="123"/>
    <x v="41"/>
    <x v="0"/>
  </r>
  <r>
    <x v="0"/>
    <x v="22"/>
    <x v="22"/>
    <x v="5"/>
    <x v="5"/>
    <x v="5"/>
    <x v="4"/>
    <x v="209"/>
    <x v="129"/>
    <x v="32"/>
    <x v="283"/>
    <x v="123"/>
    <x v="41"/>
    <x v="0"/>
  </r>
  <r>
    <x v="0"/>
    <x v="22"/>
    <x v="22"/>
    <x v="47"/>
    <x v="47"/>
    <x v="47"/>
    <x v="5"/>
    <x v="205"/>
    <x v="114"/>
    <x v="68"/>
    <x v="284"/>
    <x v="67"/>
    <x v="87"/>
    <x v="0"/>
  </r>
  <r>
    <x v="0"/>
    <x v="22"/>
    <x v="22"/>
    <x v="12"/>
    <x v="12"/>
    <x v="12"/>
    <x v="6"/>
    <x v="206"/>
    <x v="70"/>
    <x v="77"/>
    <x v="209"/>
    <x v="110"/>
    <x v="210"/>
    <x v="0"/>
  </r>
  <r>
    <x v="0"/>
    <x v="22"/>
    <x v="22"/>
    <x v="4"/>
    <x v="4"/>
    <x v="4"/>
    <x v="7"/>
    <x v="193"/>
    <x v="116"/>
    <x v="61"/>
    <x v="285"/>
    <x v="123"/>
    <x v="41"/>
    <x v="0"/>
  </r>
  <r>
    <x v="0"/>
    <x v="22"/>
    <x v="22"/>
    <x v="6"/>
    <x v="6"/>
    <x v="6"/>
    <x v="7"/>
    <x v="193"/>
    <x v="116"/>
    <x v="38"/>
    <x v="286"/>
    <x v="127"/>
    <x v="151"/>
    <x v="0"/>
  </r>
  <r>
    <x v="0"/>
    <x v="22"/>
    <x v="22"/>
    <x v="7"/>
    <x v="7"/>
    <x v="7"/>
    <x v="9"/>
    <x v="207"/>
    <x v="225"/>
    <x v="51"/>
    <x v="12"/>
    <x v="67"/>
    <x v="87"/>
    <x v="0"/>
  </r>
  <r>
    <x v="0"/>
    <x v="22"/>
    <x v="22"/>
    <x v="55"/>
    <x v="55"/>
    <x v="55"/>
    <x v="9"/>
    <x v="207"/>
    <x v="225"/>
    <x v="70"/>
    <x v="11"/>
    <x v="109"/>
    <x v="171"/>
    <x v="0"/>
  </r>
  <r>
    <x v="0"/>
    <x v="22"/>
    <x v="22"/>
    <x v="19"/>
    <x v="19"/>
    <x v="19"/>
    <x v="9"/>
    <x v="207"/>
    <x v="225"/>
    <x v="70"/>
    <x v="11"/>
    <x v="109"/>
    <x v="171"/>
    <x v="0"/>
  </r>
  <r>
    <x v="0"/>
    <x v="22"/>
    <x v="22"/>
    <x v="18"/>
    <x v="18"/>
    <x v="18"/>
    <x v="12"/>
    <x v="208"/>
    <x v="152"/>
    <x v="62"/>
    <x v="211"/>
    <x v="67"/>
    <x v="87"/>
    <x v="0"/>
  </r>
  <r>
    <x v="0"/>
    <x v="22"/>
    <x v="22"/>
    <x v="56"/>
    <x v="56"/>
    <x v="56"/>
    <x v="13"/>
    <x v="195"/>
    <x v="31"/>
    <x v="39"/>
    <x v="287"/>
    <x v="108"/>
    <x v="226"/>
    <x v="0"/>
  </r>
  <r>
    <x v="0"/>
    <x v="22"/>
    <x v="22"/>
    <x v="46"/>
    <x v="46"/>
    <x v="46"/>
    <x v="13"/>
    <x v="195"/>
    <x v="31"/>
    <x v="39"/>
    <x v="287"/>
    <x v="108"/>
    <x v="226"/>
    <x v="0"/>
  </r>
  <r>
    <x v="0"/>
    <x v="22"/>
    <x v="22"/>
    <x v="50"/>
    <x v="50"/>
    <x v="50"/>
    <x v="13"/>
    <x v="195"/>
    <x v="31"/>
    <x v="51"/>
    <x v="12"/>
    <x v="110"/>
    <x v="210"/>
    <x v="0"/>
  </r>
  <r>
    <x v="0"/>
    <x v="22"/>
    <x v="22"/>
    <x v="45"/>
    <x v="45"/>
    <x v="45"/>
    <x v="13"/>
    <x v="195"/>
    <x v="31"/>
    <x v="39"/>
    <x v="287"/>
    <x v="108"/>
    <x v="226"/>
    <x v="0"/>
  </r>
  <r>
    <x v="0"/>
    <x v="22"/>
    <x v="22"/>
    <x v="40"/>
    <x v="40"/>
    <x v="40"/>
    <x v="16"/>
    <x v="210"/>
    <x v="52"/>
    <x v="51"/>
    <x v="12"/>
    <x v="108"/>
    <x v="226"/>
    <x v="0"/>
  </r>
  <r>
    <x v="0"/>
    <x v="22"/>
    <x v="22"/>
    <x v="14"/>
    <x v="14"/>
    <x v="14"/>
    <x v="16"/>
    <x v="210"/>
    <x v="52"/>
    <x v="51"/>
    <x v="12"/>
    <x v="108"/>
    <x v="226"/>
    <x v="0"/>
  </r>
  <r>
    <x v="0"/>
    <x v="22"/>
    <x v="22"/>
    <x v="28"/>
    <x v="28"/>
    <x v="28"/>
    <x v="16"/>
    <x v="210"/>
    <x v="52"/>
    <x v="51"/>
    <x v="12"/>
    <x v="108"/>
    <x v="226"/>
    <x v="0"/>
  </r>
  <r>
    <x v="0"/>
    <x v="22"/>
    <x v="22"/>
    <x v="11"/>
    <x v="11"/>
    <x v="11"/>
    <x v="16"/>
    <x v="210"/>
    <x v="52"/>
    <x v="62"/>
    <x v="211"/>
    <x v="110"/>
    <x v="210"/>
    <x v="0"/>
  </r>
  <r>
    <x v="0"/>
    <x v="22"/>
    <x v="22"/>
    <x v="9"/>
    <x v="9"/>
    <x v="9"/>
    <x v="16"/>
    <x v="210"/>
    <x v="52"/>
    <x v="100"/>
    <x v="288"/>
    <x v="127"/>
    <x v="151"/>
    <x v="0"/>
  </r>
  <r>
    <x v="0"/>
    <x v="22"/>
    <x v="22"/>
    <x v="57"/>
    <x v="57"/>
    <x v="57"/>
    <x v="16"/>
    <x v="210"/>
    <x v="52"/>
    <x v="65"/>
    <x v="65"/>
    <x v="93"/>
    <x v="206"/>
    <x v="4"/>
  </r>
  <r>
    <x v="0"/>
    <x v="23"/>
    <x v="23"/>
    <x v="1"/>
    <x v="1"/>
    <x v="1"/>
    <x v="0"/>
    <x v="211"/>
    <x v="226"/>
    <x v="169"/>
    <x v="289"/>
    <x v="71"/>
    <x v="226"/>
    <x v="0"/>
  </r>
  <r>
    <x v="0"/>
    <x v="23"/>
    <x v="23"/>
    <x v="2"/>
    <x v="2"/>
    <x v="2"/>
    <x v="1"/>
    <x v="131"/>
    <x v="186"/>
    <x v="73"/>
    <x v="290"/>
    <x v="106"/>
    <x v="2"/>
    <x v="0"/>
  </r>
  <r>
    <x v="0"/>
    <x v="23"/>
    <x v="23"/>
    <x v="3"/>
    <x v="3"/>
    <x v="3"/>
    <x v="2"/>
    <x v="55"/>
    <x v="227"/>
    <x v="170"/>
    <x v="291"/>
    <x v="98"/>
    <x v="101"/>
    <x v="0"/>
  </r>
  <r>
    <x v="0"/>
    <x v="23"/>
    <x v="23"/>
    <x v="0"/>
    <x v="0"/>
    <x v="0"/>
    <x v="3"/>
    <x v="62"/>
    <x v="228"/>
    <x v="134"/>
    <x v="292"/>
    <x v="116"/>
    <x v="15"/>
    <x v="0"/>
  </r>
  <r>
    <x v="0"/>
    <x v="23"/>
    <x v="23"/>
    <x v="5"/>
    <x v="5"/>
    <x v="5"/>
    <x v="4"/>
    <x v="65"/>
    <x v="229"/>
    <x v="37"/>
    <x v="229"/>
    <x v="52"/>
    <x v="91"/>
    <x v="0"/>
  </r>
  <r>
    <x v="0"/>
    <x v="23"/>
    <x v="23"/>
    <x v="8"/>
    <x v="8"/>
    <x v="8"/>
    <x v="5"/>
    <x v="67"/>
    <x v="103"/>
    <x v="171"/>
    <x v="293"/>
    <x v="98"/>
    <x v="101"/>
    <x v="0"/>
  </r>
  <r>
    <x v="0"/>
    <x v="23"/>
    <x v="23"/>
    <x v="4"/>
    <x v="4"/>
    <x v="4"/>
    <x v="6"/>
    <x v="68"/>
    <x v="203"/>
    <x v="108"/>
    <x v="294"/>
    <x v="125"/>
    <x v="227"/>
    <x v="0"/>
  </r>
  <r>
    <x v="0"/>
    <x v="23"/>
    <x v="23"/>
    <x v="10"/>
    <x v="10"/>
    <x v="10"/>
    <x v="7"/>
    <x v="190"/>
    <x v="93"/>
    <x v="51"/>
    <x v="295"/>
    <x v="66"/>
    <x v="228"/>
    <x v="0"/>
  </r>
  <r>
    <x v="0"/>
    <x v="23"/>
    <x v="23"/>
    <x v="6"/>
    <x v="6"/>
    <x v="6"/>
    <x v="8"/>
    <x v="69"/>
    <x v="42"/>
    <x v="98"/>
    <x v="296"/>
    <x v="113"/>
    <x v="3"/>
    <x v="0"/>
  </r>
  <r>
    <x v="0"/>
    <x v="23"/>
    <x v="23"/>
    <x v="13"/>
    <x v="13"/>
    <x v="13"/>
    <x v="9"/>
    <x v="102"/>
    <x v="72"/>
    <x v="89"/>
    <x v="297"/>
    <x v="137"/>
    <x v="28"/>
    <x v="0"/>
  </r>
  <r>
    <x v="0"/>
    <x v="23"/>
    <x v="23"/>
    <x v="7"/>
    <x v="7"/>
    <x v="7"/>
    <x v="10"/>
    <x v="166"/>
    <x v="73"/>
    <x v="71"/>
    <x v="220"/>
    <x v="101"/>
    <x v="35"/>
    <x v="0"/>
  </r>
  <r>
    <x v="0"/>
    <x v="23"/>
    <x v="23"/>
    <x v="55"/>
    <x v="55"/>
    <x v="55"/>
    <x v="11"/>
    <x v="148"/>
    <x v="179"/>
    <x v="99"/>
    <x v="298"/>
    <x v="83"/>
    <x v="125"/>
    <x v="0"/>
  </r>
  <r>
    <x v="0"/>
    <x v="23"/>
    <x v="23"/>
    <x v="46"/>
    <x v="46"/>
    <x v="46"/>
    <x v="12"/>
    <x v="95"/>
    <x v="154"/>
    <x v="33"/>
    <x v="299"/>
    <x v="96"/>
    <x v="36"/>
    <x v="0"/>
  </r>
  <r>
    <x v="0"/>
    <x v="23"/>
    <x v="23"/>
    <x v="11"/>
    <x v="11"/>
    <x v="11"/>
    <x v="13"/>
    <x v="128"/>
    <x v="64"/>
    <x v="55"/>
    <x v="171"/>
    <x v="101"/>
    <x v="35"/>
    <x v="0"/>
  </r>
  <r>
    <x v="0"/>
    <x v="23"/>
    <x v="23"/>
    <x v="17"/>
    <x v="17"/>
    <x v="17"/>
    <x v="19"/>
    <x v="104"/>
    <x v="12"/>
    <x v="56"/>
    <x v="33"/>
    <x v="100"/>
    <x v="229"/>
    <x v="0"/>
  </r>
  <r>
    <x v="0"/>
    <x v="23"/>
    <x v="23"/>
    <x v="14"/>
    <x v="14"/>
    <x v="14"/>
    <x v="14"/>
    <x v="105"/>
    <x v="65"/>
    <x v="70"/>
    <x v="69"/>
    <x v="115"/>
    <x v="87"/>
    <x v="0"/>
  </r>
  <r>
    <x v="0"/>
    <x v="23"/>
    <x v="23"/>
    <x v="9"/>
    <x v="9"/>
    <x v="9"/>
    <x v="15"/>
    <x v="106"/>
    <x v="32"/>
    <x v="172"/>
    <x v="300"/>
    <x v="108"/>
    <x v="230"/>
    <x v="0"/>
  </r>
  <r>
    <x v="0"/>
    <x v="23"/>
    <x v="23"/>
    <x v="28"/>
    <x v="28"/>
    <x v="28"/>
    <x v="16"/>
    <x v="108"/>
    <x v="18"/>
    <x v="68"/>
    <x v="239"/>
    <x v="99"/>
    <x v="168"/>
    <x v="0"/>
  </r>
  <r>
    <x v="0"/>
    <x v="23"/>
    <x v="23"/>
    <x v="18"/>
    <x v="18"/>
    <x v="18"/>
    <x v="16"/>
    <x v="108"/>
    <x v="18"/>
    <x v="55"/>
    <x v="171"/>
    <x v="111"/>
    <x v="231"/>
    <x v="0"/>
  </r>
  <r>
    <x v="0"/>
    <x v="23"/>
    <x v="23"/>
    <x v="19"/>
    <x v="19"/>
    <x v="19"/>
    <x v="16"/>
    <x v="108"/>
    <x v="18"/>
    <x v="34"/>
    <x v="301"/>
    <x v="120"/>
    <x v="232"/>
    <x v="0"/>
  </r>
  <r>
    <x v="0"/>
    <x v="24"/>
    <x v="24"/>
    <x v="0"/>
    <x v="0"/>
    <x v="0"/>
    <x v="0"/>
    <x v="94"/>
    <x v="230"/>
    <x v="172"/>
    <x v="302"/>
    <x v="79"/>
    <x v="233"/>
    <x v="0"/>
  </r>
  <r>
    <x v="0"/>
    <x v="24"/>
    <x v="24"/>
    <x v="3"/>
    <x v="3"/>
    <x v="3"/>
    <x v="1"/>
    <x v="96"/>
    <x v="231"/>
    <x v="69"/>
    <x v="303"/>
    <x v="110"/>
    <x v="186"/>
    <x v="0"/>
  </r>
  <r>
    <x v="0"/>
    <x v="24"/>
    <x v="24"/>
    <x v="2"/>
    <x v="2"/>
    <x v="2"/>
    <x v="2"/>
    <x v="128"/>
    <x v="232"/>
    <x v="173"/>
    <x v="304"/>
    <x v="123"/>
    <x v="234"/>
    <x v="0"/>
  </r>
  <r>
    <x v="0"/>
    <x v="24"/>
    <x v="24"/>
    <x v="1"/>
    <x v="1"/>
    <x v="1"/>
    <x v="2"/>
    <x v="128"/>
    <x v="232"/>
    <x v="149"/>
    <x v="305"/>
    <x v="93"/>
    <x v="68"/>
    <x v="0"/>
  </r>
  <r>
    <x v="0"/>
    <x v="24"/>
    <x v="24"/>
    <x v="5"/>
    <x v="5"/>
    <x v="5"/>
    <x v="4"/>
    <x v="118"/>
    <x v="157"/>
    <x v="119"/>
    <x v="306"/>
    <x v="108"/>
    <x v="235"/>
    <x v="0"/>
  </r>
  <r>
    <x v="0"/>
    <x v="24"/>
    <x v="24"/>
    <x v="4"/>
    <x v="4"/>
    <x v="4"/>
    <x v="5"/>
    <x v="135"/>
    <x v="22"/>
    <x v="109"/>
    <x v="307"/>
    <x v="109"/>
    <x v="168"/>
    <x v="0"/>
  </r>
  <r>
    <x v="0"/>
    <x v="24"/>
    <x v="24"/>
    <x v="9"/>
    <x v="9"/>
    <x v="9"/>
    <x v="6"/>
    <x v="138"/>
    <x v="233"/>
    <x v="150"/>
    <x v="308"/>
    <x v="123"/>
    <x v="234"/>
    <x v="0"/>
  </r>
  <r>
    <x v="0"/>
    <x v="24"/>
    <x v="24"/>
    <x v="7"/>
    <x v="7"/>
    <x v="7"/>
    <x v="7"/>
    <x v="204"/>
    <x v="234"/>
    <x v="89"/>
    <x v="92"/>
    <x v="67"/>
    <x v="236"/>
    <x v="0"/>
  </r>
  <r>
    <x v="0"/>
    <x v="24"/>
    <x v="24"/>
    <x v="19"/>
    <x v="19"/>
    <x v="19"/>
    <x v="7"/>
    <x v="204"/>
    <x v="234"/>
    <x v="95"/>
    <x v="235"/>
    <x v="106"/>
    <x v="237"/>
    <x v="0"/>
  </r>
  <r>
    <x v="0"/>
    <x v="24"/>
    <x v="24"/>
    <x v="10"/>
    <x v="10"/>
    <x v="10"/>
    <x v="9"/>
    <x v="192"/>
    <x v="75"/>
    <x v="56"/>
    <x v="309"/>
    <x v="76"/>
    <x v="171"/>
    <x v="0"/>
  </r>
  <r>
    <x v="0"/>
    <x v="24"/>
    <x v="24"/>
    <x v="46"/>
    <x v="46"/>
    <x v="46"/>
    <x v="10"/>
    <x v="205"/>
    <x v="153"/>
    <x v="95"/>
    <x v="235"/>
    <x v="109"/>
    <x v="168"/>
    <x v="0"/>
  </r>
  <r>
    <x v="0"/>
    <x v="24"/>
    <x v="24"/>
    <x v="54"/>
    <x v="54"/>
    <x v="54"/>
    <x v="10"/>
    <x v="205"/>
    <x v="153"/>
    <x v="56"/>
    <x v="309"/>
    <x v="134"/>
    <x v="203"/>
    <x v="6"/>
  </r>
  <r>
    <x v="0"/>
    <x v="24"/>
    <x v="24"/>
    <x v="42"/>
    <x v="42"/>
    <x v="42"/>
    <x v="12"/>
    <x v="206"/>
    <x v="10"/>
    <x v="65"/>
    <x v="65"/>
    <x v="76"/>
    <x v="171"/>
    <x v="0"/>
  </r>
  <r>
    <x v="0"/>
    <x v="24"/>
    <x v="24"/>
    <x v="17"/>
    <x v="17"/>
    <x v="17"/>
    <x v="13"/>
    <x v="193"/>
    <x v="65"/>
    <x v="50"/>
    <x v="238"/>
    <x v="134"/>
    <x v="203"/>
    <x v="0"/>
  </r>
  <r>
    <x v="0"/>
    <x v="24"/>
    <x v="24"/>
    <x v="40"/>
    <x v="40"/>
    <x v="40"/>
    <x v="13"/>
    <x v="193"/>
    <x v="65"/>
    <x v="70"/>
    <x v="240"/>
    <x v="106"/>
    <x v="237"/>
    <x v="0"/>
  </r>
  <r>
    <x v="0"/>
    <x v="24"/>
    <x v="24"/>
    <x v="12"/>
    <x v="12"/>
    <x v="12"/>
    <x v="14"/>
    <x v="194"/>
    <x v="34"/>
    <x v="77"/>
    <x v="310"/>
    <x v="93"/>
    <x v="68"/>
    <x v="0"/>
  </r>
  <r>
    <x v="0"/>
    <x v="24"/>
    <x v="24"/>
    <x v="51"/>
    <x v="51"/>
    <x v="51"/>
    <x v="14"/>
    <x v="194"/>
    <x v="34"/>
    <x v="100"/>
    <x v="170"/>
    <x v="110"/>
    <x v="186"/>
    <x v="0"/>
  </r>
  <r>
    <x v="0"/>
    <x v="24"/>
    <x v="24"/>
    <x v="45"/>
    <x v="45"/>
    <x v="45"/>
    <x v="14"/>
    <x v="194"/>
    <x v="34"/>
    <x v="89"/>
    <x v="92"/>
    <x v="123"/>
    <x v="234"/>
    <x v="0"/>
  </r>
  <r>
    <x v="0"/>
    <x v="24"/>
    <x v="24"/>
    <x v="58"/>
    <x v="58"/>
    <x v="58"/>
    <x v="17"/>
    <x v="207"/>
    <x v="235"/>
    <x v="65"/>
    <x v="65"/>
    <x v="104"/>
    <x v="137"/>
    <x v="0"/>
  </r>
  <r>
    <x v="0"/>
    <x v="24"/>
    <x v="24"/>
    <x v="47"/>
    <x v="47"/>
    <x v="47"/>
    <x v="17"/>
    <x v="207"/>
    <x v="235"/>
    <x v="39"/>
    <x v="74"/>
    <x v="119"/>
    <x v="238"/>
    <x v="0"/>
  </r>
  <r>
    <x v="0"/>
    <x v="24"/>
    <x v="24"/>
    <x v="18"/>
    <x v="18"/>
    <x v="18"/>
    <x v="17"/>
    <x v="207"/>
    <x v="235"/>
    <x v="70"/>
    <x v="240"/>
    <x v="109"/>
    <x v="168"/>
    <x v="0"/>
  </r>
  <r>
    <x v="0"/>
    <x v="24"/>
    <x v="24"/>
    <x v="6"/>
    <x v="6"/>
    <x v="6"/>
    <x v="17"/>
    <x v="207"/>
    <x v="235"/>
    <x v="89"/>
    <x v="92"/>
    <x v="127"/>
    <x v="151"/>
    <x v="0"/>
  </r>
  <r>
    <x v="0"/>
    <x v="25"/>
    <x v="25"/>
    <x v="0"/>
    <x v="0"/>
    <x v="0"/>
    <x v="0"/>
    <x v="107"/>
    <x v="236"/>
    <x v="46"/>
    <x v="311"/>
    <x v="104"/>
    <x v="239"/>
    <x v="0"/>
  </r>
  <r>
    <x v="0"/>
    <x v="25"/>
    <x v="25"/>
    <x v="1"/>
    <x v="1"/>
    <x v="1"/>
    <x v="1"/>
    <x v="117"/>
    <x v="206"/>
    <x v="174"/>
    <x v="312"/>
    <x v="67"/>
    <x v="240"/>
    <x v="0"/>
  </r>
  <r>
    <x v="0"/>
    <x v="25"/>
    <x v="25"/>
    <x v="3"/>
    <x v="3"/>
    <x v="3"/>
    <x v="2"/>
    <x v="138"/>
    <x v="237"/>
    <x v="34"/>
    <x v="313"/>
    <x v="127"/>
    <x v="151"/>
    <x v="0"/>
  </r>
  <r>
    <x v="0"/>
    <x v="25"/>
    <x v="25"/>
    <x v="2"/>
    <x v="2"/>
    <x v="2"/>
    <x v="3"/>
    <x v="140"/>
    <x v="238"/>
    <x v="111"/>
    <x v="314"/>
    <x v="127"/>
    <x v="151"/>
    <x v="0"/>
  </r>
  <r>
    <x v="0"/>
    <x v="25"/>
    <x v="25"/>
    <x v="5"/>
    <x v="5"/>
    <x v="5"/>
    <x v="4"/>
    <x v="205"/>
    <x v="159"/>
    <x v="102"/>
    <x v="315"/>
    <x v="123"/>
    <x v="192"/>
    <x v="0"/>
  </r>
  <r>
    <x v="0"/>
    <x v="25"/>
    <x v="25"/>
    <x v="46"/>
    <x v="46"/>
    <x v="46"/>
    <x v="5"/>
    <x v="194"/>
    <x v="115"/>
    <x v="100"/>
    <x v="316"/>
    <x v="110"/>
    <x v="220"/>
    <x v="0"/>
  </r>
  <r>
    <x v="0"/>
    <x v="25"/>
    <x v="25"/>
    <x v="18"/>
    <x v="18"/>
    <x v="18"/>
    <x v="5"/>
    <x v="194"/>
    <x v="115"/>
    <x v="39"/>
    <x v="317"/>
    <x v="67"/>
    <x v="240"/>
    <x v="0"/>
  </r>
  <r>
    <x v="0"/>
    <x v="25"/>
    <x v="25"/>
    <x v="7"/>
    <x v="7"/>
    <x v="7"/>
    <x v="7"/>
    <x v="207"/>
    <x v="142"/>
    <x v="100"/>
    <x v="316"/>
    <x v="108"/>
    <x v="241"/>
    <x v="0"/>
  </r>
  <r>
    <x v="0"/>
    <x v="25"/>
    <x v="25"/>
    <x v="40"/>
    <x v="40"/>
    <x v="40"/>
    <x v="8"/>
    <x v="208"/>
    <x v="44"/>
    <x v="51"/>
    <x v="287"/>
    <x v="119"/>
    <x v="29"/>
    <x v="0"/>
  </r>
  <r>
    <x v="0"/>
    <x v="25"/>
    <x v="25"/>
    <x v="42"/>
    <x v="42"/>
    <x v="42"/>
    <x v="8"/>
    <x v="208"/>
    <x v="44"/>
    <x v="50"/>
    <x v="126"/>
    <x v="113"/>
    <x v="242"/>
    <x v="0"/>
  </r>
  <r>
    <x v="0"/>
    <x v="25"/>
    <x v="25"/>
    <x v="56"/>
    <x v="56"/>
    <x v="56"/>
    <x v="10"/>
    <x v="195"/>
    <x v="225"/>
    <x v="39"/>
    <x v="317"/>
    <x v="108"/>
    <x v="241"/>
    <x v="0"/>
  </r>
  <r>
    <x v="0"/>
    <x v="25"/>
    <x v="25"/>
    <x v="28"/>
    <x v="28"/>
    <x v="28"/>
    <x v="10"/>
    <x v="195"/>
    <x v="225"/>
    <x v="39"/>
    <x v="317"/>
    <x v="108"/>
    <x v="241"/>
    <x v="0"/>
  </r>
  <r>
    <x v="0"/>
    <x v="25"/>
    <x v="25"/>
    <x v="15"/>
    <x v="15"/>
    <x v="15"/>
    <x v="10"/>
    <x v="195"/>
    <x v="225"/>
    <x v="65"/>
    <x v="65"/>
    <x v="113"/>
    <x v="242"/>
    <x v="0"/>
  </r>
  <r>
    <x v="0"/>
    <x v="25"/>
    <x v="25"/>
    <x v="6"/>
    <x v="6"/>
    <x v="6"/>
    <x v="10"/>
    <x v="195"/>
    <x v="225"/>
    <x v="68"/>
    <x v="318"/>
    <x v="127"/>
    <x v="151"/>
    <x v="0"/>
  </r>
  <r>
    <x v="0"/>
    <x v="25"/>
    <x v="25"/>
    <x v="41"/>
    <x v="41"/>
    <x v="41"/>
    <x v="19"/>
    <x v="210"/>
    <x v="204"/>
    <x v="51"/>
    <x v="287"/>
    <x v="108"/>
    <x v="241"/>
    <x v="0"/>
  </r>
  <r>
    <x v="0"/>
    <x v="25"/>
    <x v="25"/>
    <x v="47"/>
    <x v="47"/>
    <x v="47"/>
    <x v="19"/>
    <x v="210"/>
    <x v="204"/>
    <x v="56"/>
    <x v="225"/>
    <x v="67"/>
    <x v="240"/>
    <x v="0"/>
  </r>
  <r>
    <x v="0"/>
    <x v="25"/>
    <x v="25"/>
    <x v="4"/>
    <x v="4"/>
    <x v="4"/>
    <x v="19"/>
    <x v="210"/>
    <x v="204"/>
    <x v="39"/>
    <x v="317"/>
    <x v="93"/>
    <x v="125"/>
    <x v="0"/>
  </r>
  <r>
    <x v="0"/>
    <x v="25"/>
    <x v="25"/>
    <x v="8"/>
    <x v="8"/>
    <x v="8"/>
    <x v="19"/>
    <x v="210"/>
    <x v="204"/>
    <x v="100"/>
    <x v="316"/>
    <x v="127"/>
    <x v="151"/>
    <x v="0"/>
  </r>
  <r>
    <x v="0"/>
    <x v="25"/>
    <x v="25"/>
    <x v="13"/>
    <x v="13"/>
    <x v="13"/>
    <x v="17"/>
    <x v="196"/>
    <x v="171"/>
    <x v="51"/>
    <x v="287"/>
    <x v="93"/>
    <x v="125"/>
    <x v="0"/>
  </r>
  <r>
    <x v="0"/>
    <x v="25"/>
    <x v="25"/>
    <x v="50"/>
    <x v="50"/>
    <x v="50"/>
    <x v="17"/>
    <x v="196"/>
    <x v="171"/>
    <x v="70"/>
    <x v="319"/>
    <x v="110"/>
    <x v="220"/>
    <x v="0"/>
  </r>
  <r>
    <x v="0"/>
    <x v="26"/>
    <x v="26"/>
    <x v="1"/>
    <x v="1"/>
    <x v="1"/>
    <x v="0"/>
    <x v="137"/>
    <x v="239"/>
    <x v="34"/>
    <x v="320"/>
    <x v="123"/>
    <x v="235"/>
    <x v="0"/>
  </r>
  <r>
    <x v="0"/>
    <x v="26"/>
    <x v="26"/>
    <x v="3"/>
    <x v="3"/>
    <x v="3"/>
    <x v="1"/>
    <x v="203"/>
    <x v="184"/>
    <x v="109"/>
    <x v="321"/>
    <x v="123"/>
    <x v="235"/>
    <x v="0"/>
  </r>
  <r>
    <x v="0"/>
    <x v="26"/>
    <x v="26"/>
    <x v="0"/>
    <x v="0"/>
    <x v="0"/>
    <x v="2"/>
    <x v="209"/>
    <x v="224"/>
    <x v="89"/>
    <x v="322"/>
    <x v="67"/>
    <x v="243"/>
    <x v="0"/>
  </r>
  <r>
    <x v="0"/>
    <x v="26"/>
    <x v="26"/>
    <x v="59"/>
    <x v="59"/>
    <x v="59"/>
    <x v="3"/>
    <x v="205"/>
    <x v="240"/>
    <x v="65"/>
    <x v="65"/>
    <x v="130"/>
    <x v="244"/>
    <x v="0"/>
  </r>
  <r>
    <x v="0"/>
    <x v="26"/>
    <x v="26"/>
    <x v="2"/>
    <x v="2"/>
    <x v="2"/>
    <x v="4"/>
    <x v="206"/>
    <x v="241"/>
    <x v="102"/>
    <x v="323"/>
    <x v="127"/>
    <x v="151"/>
    <x v="0"/>
  </r>
  <r>
    <x v="0"/>
    <x v="26"/>
    <x v="26"/>
    <x v="4"/>
    <x v="4"/>
    <x v="4"/>
    <x v="5"/>
    <x v="207"/>
    <x v="242"/>
    <x v="68"/>
    <x v="324"/>
    <x v="93"/>
    <x v="245"/>
    <x v="0"/>
  </r>
  <r>
    <x v="0"/>
    <x v="26"/>
    <x v="26"/>
    <x v="5"/>
    <x v="5"/>
    <x v="5"/>
    <x v="5"/>
    <x v="207"/>
    <x v="242"/>
    <x v="89"/>
    <x v="322"/>
    <x v="127"/>
    <x v="151"/>
    <x v="0"/>
  </r>
  <r>
    <x v="0"/>
    <x v="26"/>
    <x v="26"/>
    <x v="9"/>
    <x v="9"/>
    <x v="9"/>
    <x v="7"/>
    <x v="208"/>
    <x v="243"/>
    <x v="77"/>
    <x v="97"/>
    <x v="127"/>
    <x v="151"/>
    <x v="0"/>
  </r>
  <r>
    <x v="0"/>
    <x v="26"/>
    <x v="26"/>
    <x v="7"/>
    <x v="7"/>
    <x v="7"/>
    <x v="8"/>
    <x v="195"/>
    <x v="124"/>
    <x v="51"/>
    <x v="325"/>
    <x v="110"/>
    <x v="246"/>
    <x v="0"/>
  </r>
  <r>
    <x v="0"/>
    <x v="26"/>
    <x v="26"/>
    <x v="47"/>
    <x v="47"/>
    <x v="47"/>
    <x v="9"/>
    <x v="196"/>
    <x v="43"/>
    <x v="50"/>
    <x v="326"/>
    <x v="67"/>
    <x v="243"/>
    <x v="0"/>
  </r>
  <r>
    <x v="0"/>
    <x v="26"/>
    <x v="26"/>
    <x v="60"/>
    <x v="60"/>
    <x v="60"/>
    <x v="9"/>
    <x v="196"/>
    <x v="43"/>
    <x v="65"/>
    <x v="65"/>
    <x v="98"/>
    <x v="247"/>
    <x v="0"/>
  </r>
  <r>
    <x v="0"/>
    <x v="26"/>
    <x v="26"/>
    <x v="28"/>
    <x v="28"/>
    <x v="28"/>
    <x v="11"/>
    <x v="197"/>
    <x v="47"/>
    <x v="70"/>
    <x v="327"/>
    <x v="108"/>
    <x v="160"/>
    <x v="0"/>
  </r>
  <r>
    <x v="0"/>
    <x v="26"/>
    <x v="26"/>
    <x v="11"/>
    <x v="11"/>
    <x v="11"/>
    <x v="11"/>
    <x v="197"/>
    <x v="47"/>
    <x v="70"/>
    <x v="327"/>
    <x v="108"/>
    <x v="160"/>
    <x v="0"/>
  </r>
  <r>
    <x v="0"/>
    <x v="26"/>
    <x v="26"/>
    <x v="6"/>
    <x v="6"/>
    <x v="6"/>
    <x v="11"/>
    <x v="197"/>
    <x v="47"/>
    <x v="51"/>
    <x v="325"/>
    <x v="123"/>
    <x v="235"/>
    <x v="0"/>
  </r>
  <r>
    <x v="0"/>
    <x v="26"/>
    <x v="26"/>
    <x v="10"/>
    <x v="10"/>
    <x v="10"/>
    <x v="19"/>
    <x v="198"/>
    <x v="76"/>
    <x v="65"/>
    <x v="65"/>
    <x v="119"/>
    <x v="248"/>
    <x v="0"/>
  </r>
  <r>
    <x v="0"/>
    <x v="26"/>
    <x v="26"/>
    <x v="13"/>
    <x v="13"/>
    <x v="13"/>
    <x v="19"/>
    <x v="198"/>
    <x v="76"/>
    <x v="50"/>
    <x v="326"/>
    <x v="110"/>
    <x v="246"/>
    <x v="0"/>
  </r>
  <r>
    <x v="0"/>
    <x v="26"/>
    <x v="26"/>
    <x v="18"/>
    <x v="18"/>
    <x v="18"/>
    <x v="19"/>
    <x v="198"/>
    <x v="76"/>
    <x v="50"/>
    <x v="326"/>
    <x v="110"/>
    <x v="246"/>
    <x v="0"/>
  </r>
  <r>
    <x v="0"/>
    <x v="26"/>
    <x v="26"/>
    <x v="45"/>
    <x v="45"/>
    <x v="45"/>
    <x v="19"/>
    <x v="198"/>
    <x v="76"/>
    <x v="51"/>
    <x v="325"/>
    <x v="127"/>
    <x v="151"/>
    <x v="0"/>
  </r>
  <r>
    <x v="0"/>
    <x v="26"/>
    <x v="26"/>
    <x v="43"/>
    <x v="43"/>
    <x v="43"/>
    <x v="19"/>
    <x v="198"/>
    <x v="76"/>
    <x v="65"/>
    <x v="65"/>
    <x v="110"/>
    <x v="246"/>
    <x v="0"/>
  </r>
  <r>
    <x v="0"/>
    <x v="26"/>
    <x v="26"/>
    <x v="19"/>
    <x v="19"/>
    <x v="19"/>
    <x v="19"/>
    <x v="198"/>
    <x v="76"/>
    <x v="56"/>
    <x v="328"/>
    <x v="93"/>
    <x v="245"/>
    <x v="0"/>
  </r>
  <r>
    <x v="0"/>
    <x v="27"/>
    <x v="27"/>
    <x v="0"/>
    <x v="0"/>
    <x v="0"/>
    <x v="0"/>
    <x v="212"/>
    <x v="244"/>
    <x v="106"/>
    <x v="72"/>
    <x v="44"/>
    <x v="249"/>
    <x v="0"/>
  </r>
  <r>
    <x v="0"/>
    <x v="27"/>
    <x v="27"/>
    <x v="1"/>
    <x v="1"/>
    <x v="1"/>
    <x v="1"/>
    <x v="213"/>
    <x v="245"/>
    <x v="113"/>
    <x v="1"/>
    <x v="52"/>
    <x v="220"/>
    <x v="0"/>
  </r>
  <r>
    <x v="0"/>
    <x v="27"/>
    <x v="27"/>
    <x v="8"/>
    <x v="8"/>
    <x v="8"/>
    <x v="2"/>
    <x v="162"/>
    <x v="246"/>
    <x v="135"/>
    <x v="329"/>
    <x v="106"/>
    <x v="250"/>
    <x v="0"/>
  </r>
  <r>
    <x v="0"/>
    <x v="27"/>
    <x v="27"/>
    <x v="3"/>
    <x v="3"/>
    <x v="3"/>
    <x v="3"/>
    <x v="71"/>
    <x v="247"/>
    <x v="175"/>
    <x v="323"/>
    <x v="119"/>
    <x v="84"/>
    <x v="0"/>
  </r>
  <r>
    <x v="0"/>
    <x v="27"/>
    <x v="27"/>
    <x v="6"/>
    <x v="6"/>
    <x v="6"/>
    <x v="4"/>
    <x v="214"/>
    <x v="39"/>
    <x v="175"/>
    <x v="323"/>
    <x v="108"/>
    <x v="109"/>
    <x v="0"/>
  </r>
  <r>
    <x v="0"/>
    <x v="27"/>
    <x v="27"/>
    <x v="2"/>
    <x v="2"/>
    <x v="2"/>
    <x v="5"/>
    <x v="106"/>
    <x v="248"/>
    <x v="172"/>
    <x v="330"/>
    <x v="108"/>
    <x v="109"/>
    <x v="0"/>
  </r>
  <r>
    <x v="0"/>
    <x v="27"/>
    <x v="27"/>
    <x v="11"/>
    <x v="11"/>
    <x v="11"/>
    <x v="6"/>
    <x v="145"/>
    <x v="93"/>
    <x v="89"/>
    <x v="331"/>
    <x v="135"/>
    <x v="190"/>
    <x v="0"/>
  </r>
  <r>
    <x v="0"/>
    <x v="27"/>
    <x v="27"/>
    <x v="7"/>
    <x v="7"/>
    <x v="7"/>
    <x v="7"/>
    <x v="115"/>
    <x v="178"/>
    <x v="94"/>
    <x v="49"/>
    <x v="97"/>
    <x v="162"/>
    <x v="0"/>
  </r>
  <r>
    <x v="0"/>
    <x v="27"/>
    <x v="27"/>
    <x v="4"/>
    <x v="4"/>
    <x v="4"/>
    <x v="8"/>
    <x v="133"/>
    <x v="151"/>
    <x v="71"/>
    <x v="325"/>
    <x v="104"/>
    <x v="44"/>
    <x v="0"/>
  </r>
  <r>
    <x v="0"/>
    <x v="27"/>
    <x v="27"/>
    <x v="14"/>
    <x v="14"/>
    <x v="14"/>
    <x v="9"/>
    <x v="118"/>
    <x v="234"/>
    <x v="70"/>
    <x v="224"/>
    <x v="111"/>
    <x v="98"/>
    <x v="0"/>
  </r>
  <r>
    <x v="0"/>
    <x v="27"/>
    <x v="27"/>
    <x v="16"/>
    <x v="16"/>
    <x v="16"/>
    <x v="10"/>
    <x v="120"/>
    <x v="179"/>
    <x v="68"/>
    <x v="87"/>
    <x v="121"/>
    <x v="61"/>
    <x v="0"/>
  </r>
  <r>
    <x v="0"/>
    <x v="27"/>
    <x v="27"/>
    <x v="10"/>
    <x v="10"/>
    <x v="10"/>
    <x v="11"/>
    <x v="150"/>
    <x v="86"/>
    <x v="62"/>
    <x v="332"/>
    <x v="94"/>
    <x v="251"/>
    <x v="0"/>
  </r>
  <r>
    <x v="0"/>
    <x v="27"/>
    <x v="27"/>
    <x v="18"/>
    <x v="18"/>
    <x v="18"/>
    <x v="11"/>
    <x v="150"/>
    <x v="86"/>
    <x v="39"/>
    <x v="89"/>
    <x v="71"/>
    <x v="252"/>
    <x v="0"/>
  </r>
  <r>
    <x v="0"/>
    <x v="27"/>
    <x v="27"/>
    <x v="13"/>
    <x v="13"/>
    <x v="13"/>
    <x v="13"/>
    <x v="134"/>
    <x v="154"/>
    <x v="70"/>
    <x v="224"/>
    <x v="94"/>
    <x v="251"/>
    <x v="0"/>
  </r>
  <r>
    <x v="0"/>
    <x v="27"/>
    <x v="27"/>
    <x v="23"/>
    <x v="23"/>
    <x v="23"/>
    <x v="13"/>
    <x v="134"/>
    <x v="154"/>
    <x v="34"/>
    <x v="333"/>
    <x v="110"/>
    <x v="68"/>
    <x v="0"/>
  </r>
  <r>
    <x v="0"/>
    <x v="27"/>
    <x v="27"/>
    <x v="46"/>
    <x v="46"/>
    <x v="46"/>
    <x v="14"/>
    <x v="135"/>
    <x v="31"/>
    <x v="68"/>
    <x v="87"/>
    <x v="125"/>
    <x v="253"/>
    <x v="0"/>
  </r>
  <r>
    <x v="0"/>
    <x v="27"/>
    <x v="27"/>
    <x v="5"/>
    <x v="5"/>
    <x v="5"/>
    <x v="14"/>
    <x v="135"/>
    <x v="31"/>
    <x v="150"/>
    <x v="186"/>
    <x v="110"/>
    <x v="68"/>
    <x v="0"/>
  </r>
  <r>
    <x v="0"/>
    <x v="27"/>
    <x v="27"/>
    <x v="17"/>
    <x v="17"/>
    <x v="17"/>
    <x v="16"/>
    <x v="137"/>
    <x v="12"/>
    <x v="50"/>
    <x v="334"/>
    <x v="86"/>
    <x v="246"/>
    <x v="0"/>
  </r>
  <r>
    <x v="0"/>
    <x v="27"/>
    <x v="27"/>
    <x v="32"/>
    <x v="32"/>
    <x v="32"/>
    <x v="16"/>
    <x v="137"/>
    <x v="12"/>
    <x v="62"/>
    <x v="332"/>
    <x v="121"/>
    <x v="61"/>
    <x v="0"/>
  </r>
  <r>
    <x v="0"/>
    <x v="27"/>
    <x v="27"/>
    <x v="31"/>
    <x v="31"/>
    <x v="31"/>
    <x v="16"/>
    <x v="137"/>
    <x v="12"/>
    <x v="51"/>
    <x v="326"/>
    <x v="120"/>
    <x v="128"/>
    <x v="0"/>
  </r>
  <r>
    <x v="0"/>
    <x v="27"/>
    <x v="27"/>
    <x v="9"/>
    <x v="9"/>
    <x v="9"/>
    <x v="16"/>
    <x v="137"/>
    <x v="12"/>
    <x v="157"/>
    <x v="335"/>
    <x v="108"/>
    <x v="109"/>
    <x v="0"/>
  </r>
  <r>
    <x v="0"/>
    <x v="27"/>
    <x v="27"/>
    <x v="39"/>
    <x v="39"/>
    <x v="39"/>
    <x v="16"/>
    <x v="137"/>
    <x v="12"/>
    <x v="109"/>
    <x v="54"/>
    <x v="67"/>
    <x v="235"/>
    <x v="0"/>
  </r>
  <r>
    <x v="0"/>
    <x v="28"/>
    <x v="28"/>
    <x v="3"/>
    <x v="3"/>
    <x v="3"/>
    <x v="0"/>
    <x v="204"/>
    <x v="249"/>
    <x v="94"/>
    <x v="336"/>
    <x v="123"/>
    <x v="254"/>
    <x v="0"/>
  </r>
  <r>
    <x v="0"/>
    <x v="28"/>
    <x v="28"/>
    <x v="1"/>
    <x v="1"/>
    <x v="1"/>
    <x v="1"/>
    <x v="192"/>
    <x v="250"/>
    <x v="94"/>
    <x v="336"/>
    <x v="127"/>
    <x v="151"/>
    <x v="0"/>
  </r>
  <r>
    <x v="0"/>
    <x v="28"/>
    <x v="28"/>
    <x v="2"/>
    <x v="2"/>
    <x v="2"/>
    <x v="2"/>
    <x v="208"/>
    <x v="186"/>
    <x v="68"/>
    <x v="337"/>
    <x v="123"/>
    <x v="254"/>
    <x v="0"/>
  </r>
  <r>
    <x v="0"/>
    <x v="28"/>
    <x v="28"/>
    <x v="12"/>
    <x v="12"/>
    <x v="12"/>
    <x v="3"/>
    <x v="210"/>
    <x v="251"/>
    <x v="65"/>
    <x v="65"/>
    <x v="98"/>
    <x v="255"/>
    <x v="6"/>
  </r>
  <r>
    <x v="0"/>
    <x v="28"/>
    <x v="28"/>
    <x v="18"/>
    <x v="18"/>
    <x v="18"/>
    <x v="3"/>
    <x v="210"/>
    <x v="251"/>
    <x v="62"/>
    <x v="338"/>
    <x v="110"/>
    <x v="144"/>
    <x v="0"/>
  </r>
  <r>
    <x v="0"/>
    <x v="28"/>
    <x v="28"/>
    <x v="42"/>
    <x v="42"/>
    <x v="42"/>
    <x v="3"/>
    <x v="210"/>
    <x v="251"/>
    <x v="65"/>
    <x v="65"/>
    <x v="109"/>
    <x v="256"/>
    <x v="0"/>
  </r>
  <r>
    <x v="0"/>
    <x v="28"/>
    <x v="28"/>
    <x v="46"/>
    <x v="46"/>
    <x v="46"/>
    <x v="6"/>
    <x v="197"/>
    <x v="25"/>
    <x v="70"/>
    <x v="333"/>
    <x v="108"/>
    <x v="28"/>
    <x v="0"/>
  </r>
  <r>
    <x v="0"/>
    <x v="28"/>
    <x v="28"/>
    <x v="53"/>
    <x v="53"/>
    <x v="53"/>
    <x v="6"/>
    <x v="197"/>
    <x v="25"/>
    <x v="65"/>
    <x v="65"/>
    <x v="127"/>
    <x v="151"/>
    <x v="0"/>
  </r>
  <r>
    <x v="0"/>
    <x v="28"/>
    <x v="28"/>
    <x v="43"/>
    <x v="43"/>
    <x v="43"/>
    <x v="6"/>
    <x v="197"/>
    <x v="25"/>
    <x v="65"/>
    <x v="65"/>
    <x v="93"/>
    <x v="33"/>
    <x v="0"/>
  </r>
  <r>
    <x v="0"/>
    <x v="28"/>
    <x v="28"/>
    <x v="10"/>
    <x v="10"/>
    <x v="10"/>
    <x v="9"/>
    <x v="198"/>
    <x v="178"/>
    <x v="65"/>
    <x v="65"/>
    <x v="119"/>
    <x v="257"/>
    <x v="0"/>
  </r>
  <r>
    <x v="0"/>
    <x v="28"/>
    <x v="28"/>
    <x v="47"/>
    <x v="47"/>
    <x v="47"/>
    <x v="9"/>
    <x v="198"/>
    <x v="178"/>
    <x v="62"/>
    <x v="338"/>
    <x v="123"/>
    <x v="254"/>
    <x v="0"/>
  </r>
  <r>
    <x v="0"/>
    <x v="28"/>
    <x v="28"/>
    <x v="7"/>
    <x v="7"/>
    <x v="7"/>
    <x v="9"/>
    <x v="198"/>
    <x v="178"/>
    <x v="56"/>
    <x v="49"/>
    <x v="108"/>
    <x v="28"/>
    <x v="0"/>
  </r>
  <r>
    <x v="0"/>
    <x v="28"/>
    <x v="28"/>
    <x v="45"/>
    <x v="45"/>
    <x v="45"/>
    <x v="9"/>
    <x v="198"/>
    <x v="178"/>
    <x v="62"/>
    <x v="338"/>
    <x v="123"/>
    <x v="254"/>
    <x v="0"/>
  </r>
  <r>
    <x v="0"/>
    <x v="28"/>
    <x v="28"/>
    <x v="4"/>
    <x v="4"/>
    <x v="4"/>
    <x v="9"/>
    <x v="198"/>
    <x v="178"/>
    <x v="70"/>
    <x v="333"/>
    <x v="93"/>
    <x v="33"/>
    <x v="0"/>
  </r>
  <r>
    <x v="0"/>
    <x v="28"/>
    <x v="28"/>
    <x v="61"/>
    <x v="61"/>
    <x v="61"/>
    <x v="9"/>
    <x v="198"/>
    <x v="178"/>
    <x v="62"/>
    <x v="338"/>
    <x v="123"/>
    <x v="254"/>
    <x v="0"/>
  </r>
  <r>
    <x v="0"/>
    <x v="28"/>
    <x v="28"/>
    <x v="5"/>
    <x v="5"/>
    <x v="5"/>
    <x v="9"/>
    <x v="198"/>
    <x v="178"/>
    <x v="51"/>
    <x v="339"/>
    <x v="127"/>
    <x v="151"/>
    <x v="0"/>
  </r>
  <r>
    <x v="0"/>
    <x v="28"/>
    <x v="28"/>
    <x v="13"/>
    <x v="13"/>
    <x v="13"/>
    <x v="15"/>
    <x v="199"/>
    <x v="61"/>
    <x v="65"/>
    <x v="65"/>
    <x v="110"/>
    <x v="144"/>
    <x v="0"/>
  </r>
  <r>
    <x v="0"/>
    <x v="28"/>
    <x v="28"/>
    <x v="28"/>
    <x v="28"/>
    <x v="28"/>
    <x v="15"/>
    <x v="199"/>
    <x v="61"/>
    <x v="50"/>
    <x v="340"/>
    <x v="108"/>
    <x v="28"/>
    <x v="0"/>
  </r>
  <r>
    <x v="0"/>
    <x v="28"/>
    <x v="28"/>
    <x v="41"/>
    <x v="41"/>
    <x v="41"/>
    <x v="15"/>
    <x v="199"/>
    <x v="61"/>
    <x v="56"/>
    <x v="49"/>
    <x v="93"/>
    <x v="33"/>
    <x v="0"/>
  </r>
  <r>
    <x v="0"/>
    <x v="28"/>
    <x v="28"/>
    <x v="0"/>
    <x v="0"/>
    <x v="0"/>
    <x v="15"/>
    <x v="199"/>
    <x v="61"/>
    <x v="56"/>
    <x v="49"/>
    <x v="93"/>
    <x v="33"/>
    <x v="0"/>
  </r>
  <r>
    <x v="0"/>
    <x v="28"/>
    <x v="28"/>
    <x v="6"/>
    <x v="6"/>
    <x v="6"/>
    <x v="15"/>
    <x v="199"/>
    <x v="61"/>
    <x v="62"/>
    <x v="338"/>
    <x v="127"/>
    <x v="151"/>
    <x v="0"/>
  </r>
  <r>
    <x v="0"/>
    <x v="29"/>
    <x v="29"/>
    <x v="2"/>
    <x v="2"/>
    <x v="2"/>
    <x v="0"/>
    <x v="94"/>
    <x v="252"/>
    <x v="90"/>
    <x v="341"/>
    <x v="123"/>
    <x v="179"/>
    <x v="0"/>
  </r>
  <r>
    <x v="0"/>
    <x v="29"/>
    <x v="29"/>
    <x v="0"/>
    <x v="0"/>
    <x v="0"/>
    <x v="1"/>
    <x v="128"/>
    <x v="253"/>
    <x v="99"/>
    <x v="290"/>
    <x v="104"/>
    <x v="258"/>
    <x v="0"/>
  </r>
  <r>
    <x v="0"/>
    <x v="29"/>
    <x v="29"/>
    <x v="1"/>
    <x v="1"/>
    <x v="1"/>
    <x v="2"/>
    <x v="108"/>
    <x v="254"/>
    <x v="99"/>
    <x v="290"/>
    <x v="108"/>
    <x v="143"/>
    <x v="0"/>
  </r>
  <r>
    <x v="0"/>
    <x v="29"/>
    <x v="29"/>
    <x v="3"/>
    <x v="3"/>
    <x v="3"/>
    <x v="3"/>
    <x v="117"/>
    <x v="255"/>
    <x v="30"/>
    <x v="314"/>
    <x v="127"/>
    <x v="151"/>
    <x v="0"/>
  </r>
  <r>
    <x v="0"/>
    <x v="29"/>
    <x v="29"/>
    <x v="5"/>
    <x v="5"/>
    <x v="5"/>
    <x v="4"/>
    <x v="137"/>
    <x v="256"/>
    <x v="34"/>
    <x v="231"/>
    <x v="123"/>
    <x v="179"/>
    <x v="0"/>
  </r>
  <r>
    <x v="0"/>
    <x v="29"/>
    <x v="29"/>
    <x v="4"/>
    <x v="4"/>
    <x v="4"/>
    <x v="5"/>
    <x v="139"/>
    <x v="169"/>
    <x v="94"/>
    <x v="150"/>
    <x v="98"/>
    <x v="165"/>
    <x v="0"/>
  </r>
  <r>
    <x v="0"/>
    <x v="29"/>
    <x v="29"/>
    <x v="10"/>
    <x v="10"/>
    <x v="10"/>
    <x v="6"/>
    <x v="203"/>
    <x v="257"/>
    <x v="70"/>
    <x v="89"/>
    <x v="52"/>
    <x v="259"/>
    <x v="0"/>
  </r>
  <r>
    <x v="0"/>
    <x v="29"/>
    <x v="29"/>
    <x v="21"/>
    <x v="21"/>
    <x v="21"/>
    <x v="7"/>
    <x v="206"/>
    <x v="258"/>
    <x v="50"/>
    <x v="10"/>
    <x v="79"/>
    <x v="260"/>
    <x v="0"/>
  </r>
  <r>
    <x v="0"/>
    <x v="29"/>
    <x v="29"/>
    <x v="7"/>
    <x v="7"/>
    <x v="7"/>
    <x v="7"/>
    <x v="206"/>
    <x v="258"/>
    <x v="39"/>
    <x v="342"/>
    <x v="109"/>
    <x v="10"/>
    <x v="0"/>
  </r>
  <r>
    <x v="0"/>
    <x v="29"/>
    <x v="29"/>
    <x v="46"/>
    <x v="46"/>
    <x v="46"/>
    <x v="9"/>
    <x v="193"/>
    <x v="179"/>
    <x v="77"/>
    <x v="343"/>
    <x v="108"/>
    <x v="143"/>
    <x v="0"/>
  </r>
  <r>
    <x v="0"/>
    <x v="29"/>
    <x v="29"/>
    <x v="12"/>
    <x v="12"/>
    <x v="12"/>
    <x v="9"/>
    <x v="193"/>
    <x v="179"/>
    <x v="95"/>
    <x v="344"/>
    <x v="67"/>
    <x v="141"/>
    <x v="0"/>
  </r>
  <r>
    <x v="0"/>
    <x v="29"/>
    <x v="29"/>
    <x v="6"/>
    <x v="6"/>
    <x v="6"/>
    <x v="9"/>
    <x v="193"/>
    <x v="179"/>
    <x v="61"/>
    <x v="345"/>
    <x v="123"/>
    <x v="179"/>
    <x v="0"/>
  </r>
  <r>
    <x v="0"/>
    <x v="29"/>
    <x v="29"/>
    <x v="19"/>
    <x v="19"/>
    <x v="19"/>
    <x v="9"/>
    <x v="193"/>
    <x v="179"/>
    <x v="89"/>
    <x v="346"/>
    <x v="93"/>
    <x v="161"/>
    <x v="0"/>
  </r>
  <r>
    <x v="0"/>
    <x v="29"/>
    <x v="29"/>
    <x v="11"/>
    <x v="11"/>
    <x v="11"/>
    <x v="13"/>
    <x v="194"/>
    <x v="62"/>
    <x v="95"/>
    <x v="344"/>
    <x v="119"/>
    <x v="261"/>
    <x v="0"/>
  </r>
  <r>
    <x v="0"/>
    <x v="29"/>
    <x v="29"/>
    <x v="47"/>
    <x v="47"/>
    <x v="47"/>
    <x v="13"/>
    <x v="194"/>
    <x v="62"/>
    <x v="100"/>
    <x v="233"/>
    <x v="110"/>
    <x v="12"/>
    <x v="0"/>
  </r>
  <r>
    <x v="0"/>
    <x v="29"/>
    <x v="29"/>
    <x v="54"/>
    <x v="54"/>
    <x v="54"/>
    <x v="14"/>
    <x v="207"/>
    <x v="171"/>
    <x v="51"/>
    <x v="328"/>
    <x v="67"/>
    <x v="141"/>
    <x v="0"/>
  </r>
  <r>
    <x v="0"/>
    <x v="29"/>
    <x v="29"/>
    <x v="9"/>
    <x v="9"/>
    <x v="9"/>
    <x v="15"/>
    <x v="208"/>
    <x v="15"/>
    <x v="100"/>
    <x v="233"/>
    <x v="93"/>
    <x v="161"/>
    <x v="0"/>
  </r>
  <r>
    <x v="0"/>
    <x v="29"/>
    <x v="29"/>
    <x v="40"/>
    <x v="40"/>
    <x v="40"/>
    <x v="16"/>
    <x v="195"/>
    <x v="164"/>
    <x v="39"/>
    <x v="342"/>
    <x v="108"/>
    <x v="143"/>
    <x v="0"/>
  </r>
  <r>
    <x v="0"/>
    <x v="29"/>
    <x v="29"/>
    <x v="13"/>
    <x v="13"/>
    <x v="13"/>
    <x v="16"/>
    <x v="195"/>
    <x v="164"/>
    <x v="62"/>
    <x v="27"/>
    <x v="119"/>
    <x v="261"/>
    <x v="0"/>
  </r>
  <r>
    <x v="0"/>
    <x v="29"/>
    <x v="29"/>
    <x v="62"/>
    <x v="62"/>
    <x v="62"/>
    <x v="16"/>
    <x v="195"/>
    <x v="164"/>
    <x v="56"/>
    <x v="332"/>
    <x v="98"/>
    <x v="165"/>
    <x v="0"/>
  </r>
  <r>
    <x v="0"/>
    <x v="29"/>
    <x v="29"/>
    <x v="55"/>
    <x v="55"/>
    <x v="55"/>
    <x v="16"/>
    <x v="195"/>
    <x v="164"/>
    <x v="62"/>
    <x v="27"/>
    <x v="119"/>
    <x v="261"/>
    <x v="0"/>
  </r>
  <r>
    <x v="0"/>
    <x v="29"/>
    <x v="29"/>
    <x v="35"/>
    <x v="35"/>
    <x v="35"/>
    <x v="16"/>
    <x v="195"/>
    <x v="164"/>
    <x v="50"/>
    <x v="10"/>
    <x v="109"/>
    <x v="10"/>
    <x v="0"/>
  </r>
  <r>
    <x v="0"/>
    <x v="29"/>
    <x v="29"/>
    <x v="15"/>
    <x v="15"/>
    <x v="15"/>
    <x v="16"/>
    <x v="195"/>
    <x v="164"/>
    <x v="56"/>
    <x v="332"/>
    <x v="98"/>
    <x v="165"/>
    <x v="0"/>
  </r>
  <r>
    <x v="0"/>
    <x v="29"/>
    <x v="29"/>
    <x v="51"/>
    <x v="51"/>
    <x v="51"/>
    <x v="16"/>
    <x v="195"/>
    <x v="164"/>
    <x v="62"/>
    <x v="27"/>
    <x v="119"/>
    <x v="261"/>
    <x v="0"/>
  </r>
  <r>
    <x v="0"/>
    <x v="29"/>
    <x v="29"/>
    <x v="34"/>
    <x v="34"/>
    <x v="34"/>
    <x v="16"/>
    <x v="195"/>
    <x v="164"/>
    <x v="62"/>
    <x v="27"/>
    <x v="119"/>
    <x v="261"/>
    <x v="0"/>
  </r>
  <r>
    <x v="0"/>
    <x v="29"/>
    <x v="29"/>
    <x v="8"/>
    <x v="8"/>
    <x v="8"/>
    <x v="16"/>
    <x v="195"/>
    <x v="164"/>
    <x v="100"/>
    <x v="233"/>
    <x v="127"/>
    <x v="151"/>
    <x v="0"/>
  </r>
  <r>
    <x v="0"/>
    <x v="29"/>
    <x v="29"/>
    <x v="53"/>
    <x v="53"/>
    <x v="53"/>
    <x v="16"/>
    <x v="195"/>
    <x v="164"/>
    <x v="65"/>
    <x v="65"/>
    <x v="127"/>
    <x v="151"/>
    <x v="0"/>
  </r>
  <r>
    <x v="0"/>
    <x v="30"/>
    <x v="30"/>
    <x v="2"/>
    <x v="2"/>
    <x v="2"/>
    <x v="0"/>
    <x v="113"/>
    <x v="259"/>
    <x v="35"/>
    <x v="347"/>
    <x v="127"/>
    <x v="151"/>
    <x v="0"/>
  </r>
  <r>
    <x v="0"/>
    <x v="30"/>
    <x v="30"/>
    <x v="1"/>
    <x v="1"/>
    <x v="1"/>
    <x v="1"/>
    <x v="133"/>
    <x v="260"/>
    <x v="46"/>
    <x v="348"/>
    <x v="123"/>
    <x v="262"/>
    <x v="0"/>
  </r>
  <r>
    <x v="0"/>
    <x v="30"/>
    <x v="30"/>
    <x v="0"/>
    <x v="0"/>
    <x v="0"/>
    <x v="2"/>
    <x v="149"/>
    <x v="199"/>
    <x v="118"/>
    <x v="349"/>
    <x v="123"/>
    <x v="262"/>
    <x v="0"/>
  </r>
  <r>
    <x v="0"/>
    <x v="30"/>
    <x v="30"/>
    <x v="3"/>
    <x v="3"/>
    <x v="3"/>
    <x v="3"/>
    <x v="138"/>
    <x v="247"/>
    <x v="34"/>
    <x v="350"/>
    <x v="127"/>
    <x v="151"/>
    <x v="0"/>
  </r>
  <r>
    <x v="0"/>
    <x v="30"/>
    <x v="30"/>
    <x v="5"/>
    <x v="5"/>
    <x v="5"/>
    <x v="4"/>
    <x v="140"/>
    <x v="228"/>
    <x v="109"/>
    <x v="45"/>
    <x v="93"/>
    <x v="254"/>
    <x v="0"/>
  </r>
  <r>
    <x v="0"/>
    <x v="30"/>
    <x v="30"/>
    <x v="6"/>
    <x v="6"/>
    <x v="6"/>
    <x v="5"/>
    <x v="205"/>
    <x v="140"/>
    <x v="38"/>
    <x v="351"/>
    <x v="93"/>
    <x v="254"/>
    <x v="0"/>
  </r>
  <r>
    <x v="0"/>
    <x v="30"/>
    <x v="30"/>
    <x v="46"/>
    <x v="46"/>
    <x v="46"/>
    <x v="6"/>
    <x v="193"/>
    <x v="213"/>
    <x v="100"/>
    <x v="352"/>
    <x v="119"/>
    <x v="107"/>
    <x v="0"/>
  </r>
  <r>
    <x v="0"/>
    <x v="30"/>
    <x v="30"/>
    <x v="19"/>
    <x v="19"/>
    <x v="19"/>
    <x v="6"/>
    <x v="193"/>
    <x v="213"/>
    <x v="89"/>
    <x v="353"/>
    <x v="93"/>
    <x v="254"/>
    <x v="0"/>
  </r>
  <r>
    <x v="0"/>
    <x v="30"/>
    <x v="30"/>
    <x v="4"/>
    <x v="4"/>
    <x v="4"/>
    <x v="8"/>
    <x v="194"/>
    <x v="189"/>
    <x v="89"/>
    <x v="353"/>
    <x v="123"/>
    <x v="262"/>
    <x v="0"/>
  </r>
  <r>
    <x v="0"/>
    <x v="30"/>
    <x v="30"/>
    <x v="7"/>
    <x v="7"/>
    <x v="7"/>
    <x v="9"/>
    <x v="207"/>
    <x v="46"/>
    <x v="100"/>
    <x v="352"/>
    <x v="108"/>
    <x v="21"/>
    <x v="0"/>
  </r>
  <r>
    <x v="0"/>
    <x v="30"/>
    <x v="30"/>
    <x v="8"/>
    <x v="8"/>
    <x v="8"/>
    <x v="10"/>
    <x v="208"/>
    <x v="145"/>
    <x v="68"/>
    <x v="354"/>
    <x v="123"/>
    <x v="262"/>
    <x v="0"/>
  </r>
  <r>
    <x v="0"/>
    <x v="30"/>
    <x v="30"/>
    <x v="59"/>
    <x v="59"/>
    <x v="59"/>
    <x v="10"/>
    <x v="208"/>
    <x v="145"/>
    <x v="65"/>
    <x v="65"/>
    <x v="106"/>
    <x v="257"/>
    <x v="0"/>
  </r>
  <r>
    <x v="0"/>
    <x v="30"/>
    <x v="30"/>
    <x v="12"/>
    <x v="12"/>
    <x v="12"/>
    <x v="12"/>
    <x v="195"/>
    <x v="154"/>
    <x v="51"/>
    <x v="182"/>
    <x v="110"/>
    <x v="33"/>
    <x v="0"/>
  </r>
  <r>
    <x v="0"/>
    <x v="30"/>
    <x v="30"/>
    <x v="47"/>
    <x v="47"/>
    <x v="47"/>
    <x v="12"/>
    <x v="195"/>
    <x v="154"/>
    <x v="51"/>
    <x v="182"/>
    <x v="110"/>
    <x v="33"/>
    <x v="0"/>
  </r>
  <r>
    <x v="0"/>
    <x v="30"/>
    <x v="30"/>
    <x v="11"/>
    <x v="11"/>
    <x v="11"/>
    <x v="19"/>
    <x v="210"/>
    <x v="12"/>
    <x v="95"/>
    <x v="355"/>
    <x v="123"/>
    <x v="262"/>
    <x v="0"/>
  </r>
  <r>
    <x v="0"/>
    <x v="30"/>
    <x v="30"/>
    <x v="18"/>
    <x v="18"/>
    <x v="18"/>
    <x v="19"/>
    <x v="210"/>
    <x v="12"/>
    <x v="62"/>
    <x v="299"/>
    <x v="110"/>
    <x v="33"/>
    <x v="0"/>
  </r>
  <r>
    <x v="0"/>
    <x v="30"/>
    <x v="30"/>
    <x v="9"/>
    <x v="9"/>
    <x v="9"/>
    <x v="19"/>
    <x v="210"/>
    <x v="12"/>
    <x v="100"/>
    <x v="352"/>
    <x v="127"/>
    <x v="151"/>
    <x v="0"/>
  </r>
  <r>
    <x v="0"/>
    <x v="30"/>
    <x v="30"/>
    <x v="52"/>
    <x v="52"/>
    <x v="52"/>
    <x v="19"/>
    <x v="210"/>
    <x v="12"/>
    <x v="65"/>
    <x v="65"/>
    <x v="123"/>
    <x v="262"/>
    <x v="6"/>
  </r>
  <r>
    <x v="0"/>
    <x v="30"/>
    <x v="30"/>
    <x v="10"/>
    <x v="10"/>
    <x v="10"/>
    <x v="17"/>
    <x v="196"/>
    <x v="261"/>
    <x v="65"/>
    <x v="65"/>
    <x v="98"/>
    <x v="98"/>
    <x v="0"/>
  </r>
  <r>
    <x v="0"/>
    <x v="30"/>
    <x v="30"/>
    <x v="40"/>
    <x v="40"/>
    <x v="40"/>
    <x v="17"/>
    <x v="196"/>
    <x v="261"/>
    <x v="50"/>
    <x v="35"/>
    <x v="67"/>
    <x v="28"/>
    <x v="0"/>
  </r>
  <r>
    <x v="0"/>
    <x v="30"/>
    <x v="30"/>
    <x v="13"/>
    <x v="13"/>
    <x v="13"/>
    <x v="17"/>
    <x v="196"/>
    <x v="261"/>
    <x v="56"/>
    <x v="239"/>
    <x v="119"/>
    <x v="107"/>
    <x v="0"/>
  </r>
  <r>
    <x v="0"/>
    <x v="30"/>
    <x v="30"/>
    <x v="63"/>
    <x v="63"/>
    <x v="63"/>
    <x v="17"/>
    <x v="196"/>
    <x v="261"/>
    <x v="50"/>
    <x v="35"/>
    <x v="67"/>
    <x v="28"/>
    <x v="0"/>
  </r>
  <r>
    <x v="0"/>
    <x v="30"/>
    <x v="30"/>
    <x v="42"/>
    <x v="42"/>
    <x v="42"/>
    <x v="17"/>
    <x v="196"/>
    <x v="261"/>
    <x v="50"/>
    <x v="35"/>
    <x v="67"/>
    <x v="28"/>
    <x v="0"/>
  </r>
  <r>
    <x v="0"/>
    <x v="30"/>
    <x v="30"/>
    <x v="51"/>
    <x v="51"/>
    <x v="51"/>
    <x v="17"/>
    <x v="196"/>
    <x v="261"/>
    <x v="95"/>
    <x v="355"/>
    <x v="127"/>
    <x v="151"/>
    <x v="0"/>
  </r>
  <r>
    <x v="0"/>
    <x v="30"/>
    <x v="30"/>
    <x v="64"/>
    <x v="64"/>
    <x v="64"/>
    <x v="17"/>
    <x v="196"/>
    <x v="261"/>
    <x v="51"/>
    <x v="182"/>
    <x v="93"/>
    <x v="254"/>
    <x v="0"/>
  </r>
  <r>
    <x v="0"/>
    <x v="30"/>
    <x v="30"/>
    <x v="43"/>
    <x v="43"/>
    <x v="43"/>
    <x v="17"/>
    <x v="196"/>
    <x v="261"/>
    <x v="65"/>
    <x v="65"/>
    <x v="98"/>
    <x v="98"/>
    <x v="0"/>
  </r>
  <r>
    <x v="0"/>
    <x v="31"/>
    <x v="31"/>
    <x v="0"/>
    <x v="0"/>
    <x v="0"/>
    <x v="0"/>
    <x v="64"/>
    <x v="262"/>
    <x v="113"/>
    <x v="356"/>
    <x v="130"/>
    <x v="263"/>
    <x v="0"/>
  </r>
  <r>
    <x v="0"/>
    <x v="31"/>
    <x v="31"/>
    <x v="2"/>
    <x v="2"/>
    <x v="2"/>
    <x v="1"/>
    <x v="202"/>
    <x v="263"/>
    <x v="91"/>
    <x v="357"/>
    <x v="127"/>
    <x v="151"/>
    <x v="0"/>
  </r>
  <r>
    <x v="0"/>
    <x v="31"/>
    <x v="31"/>
    <x v="1"/>
    <x v="1"/>
    <x v="1"/>
    <x v="2"/>
    <x v="114"/>
    <x v="264"/>
    <x v="176"/>
    <x v="358"/>
    <x v="108"/>
    <x v="264"/>
    <x v="0"/>
  </r>
  <r>
    <x v="0"/>
    <x v="31"/>
    <x v="31"/>
    <x v="3"/>
    <x v="3"/>
    <x v="3"/>
    <x v="3"/>
    <x v="116"/>
    <x v="265"/>
    <x v="46"/>
    <x v="359"/>
    <x v="93"/>
    <x v="5"/>
    <x v="0"/>
  </r>
  <r>
    <x v="0"/>
    <x v="31"/>
    <x v="31"/>
    <x v="4"/>
    <x v="4"/>
    <x v="4"/>
    <x v="4"/>
    <x v="140"/>
    <x v="123"/>
    <x v="32"/>
    <x v="150"/>
    <x v="110"/>
    <x v="265"/>
    <x v="0"/>
  </r>
  <r>
    <x v="0"/>
    <x v="31"/>
    <x v="31"/>
    <x v="5"/>
    <x v="5"/>
    <x v="5"/>
    <x v="5"/>
    <x v="203"/>
    <x v="266"/>
    <x v="109"/>
    <x v="64"/>
    <x v="123"/>
    <x v="101"/>
    <x v="0"/>
  </r>
  <r>
    <x v="0"/>
    <x v="31"/>
    <x v="31"/>
    <x v="6"/>
    <x v="6"/>
    <x v="6"/>
    <x v="5"/>
    <x v="203"/>
    <x v="266"/>
    <x v="32"/>
    <x v="150"/>
    <x v="108"/>
    <x v="264"/>
    <x v="0"/>
  </r>
  <r>
    <x v="0"/>
    <x v="31"/>
    <x v="31"/>
    <x v="12"/>
    <x v="12"/>
    <x v="12"/>
    <x v="7"/>
    <x v="204"/>
    <x v="214"/>
    <x v="77"/>
    <x v="360"/>
    <x v="98"/>
    <x v="266"/>
    <x v="0"/>
  </r>
  <r>
    <x v="0"/>
    <x v="31"/>
    <x v="31"/>
    <x v="7"/>
    <x v="7"/>
    <x v="7"/>
    <x v="7"/>
    <x v="204"/>
    <x v="214"/>
    <x v="95"/>
    <x v="361"/>
    <x v="106"/>
    <x v="267"/>
    <x v="0"/>
  </r>
  <r>
    <x v="0"/>
    <x v="31"/>
    <x v="31"/>
    <x v="8"/>
    <x v="8"/>
    <x v="8"/>
    <x v="9"/>
    <x v="206"/>
    <x v="162"/>
    <x v="38"/>
    <x v="362"/>
    <x v="127"/>
    <x v="151"/>
    <x v="0"/>
  </r>
  <r>
    <x v="0"/>
    <x v="31"/>
    <x v="31"/>
    <x v="46"/>
    <x v="46"/>
    <x v="46"/>
    <x v="10"/>
    <x v="208"/>
    <x v="14"/>
    <x v="51"/>
    <x v="363"/>
    <x v="119"/>
    <x v="211"/>
    <x v="0"/>
  </r>
  <r>
    <x v="0"/>
    <x v="31"/>
    <x v="31"/>
    <x v="47"/>
    <x v="47"/>
    <x v="47"/>
    <x v="10"/>
    <x v="208"/>
    <x v="14"/>
    <x v="62"/>
    <x v="249"/>
    <x v="67"/>
    <x v="268"/>
    <x v="0"/>
  </r>
  <r>
    <x v="0"/>
    <x v="31"/>
    <x v="31"/>
    <x v="18"/>
    <x v="18"/>
    <x v="18"/>
    <x v="10"/>
    <x v="208"/>
    <x v="14"/>
    <x v="95"/>
    <x v="361"/>
    <x v="108"/>
    <x v="264"/>
    <x v="0"/>
  </r>
  <r>
    <x v="0"/>
    <x v="31"/>
    <x v="31"/>
    <x v="42"/>
    <x v="42"/>
    <x v="42"/>
    <x v="10"/>
    <x v="208"/>
    <x v="14"/>
    <x v="65"/>
    <x v="65"/>
    <x v="106"/>
    <x v="267"/>
    <x v="0"/>
  </r>
  <r>
    <x v="0"/>
    <x v="31"/>
    <x v="31"/>
    <x v="40"/>
    <x v="40"/>
    <x v="40"/>
    <x v="19"/>
    <x v="195"/>
    <x v="164"/>
    <x v="39"/>
    <x v="364"/>
    <x v="108"/>
    <x v="264"/>
    <x v="0"/>
  </r>
  <r>
    <x v="0"/>
    <x v="31"/>
    <x v="31"/>
    <x v="14"/>
    <x v="14"/>
    <x v="14"/>
    <x v="19"/>
    <x v="195"/>
    <x v="164"/>
    <x v="70"/>
    <x v="222"/>
    <x v="67"/>
    <x v="268"/>
    <x v="0"/>
  </r>
  <r>
    <x v="0"/>
    <x v="31"/>
    <x v="31"/>
    <x v="35"/>
    <x v="35"/>
    <x v="35"/>
    <x v="19"/>
    <x v="195"/>
    <x v="164"/>
    <x v="70"/>
    <x v="222"/>
    <x v="67"/>
    <x v="268"/>
    <x v="0"/>
  </r>
  <r>
    <x v="0"/>
    <x v="31"/>
    <x v="31"/>
    <x v="45"/>
    <x v="45"/>
    <x v="45"/>
    <x v="19"/>
    <x v="195"/>
    <x v="164"/>
    <x v="100"/>
    <x v="247"/>
    <x v="123"/>
    <x v="101"/>
    <x v="0"/>
  </r>
  <r>
    <x v="0"/>
    <x v="31"/>
    <x v="31"/>
    <x v="34"/>
    <x v="34"/>
    <x v="34"/>
    <x v="19"/>
    <x v="195"/>
    <x v="164"/>
    <x v="56"/>
    <x v="309"/>
    <x v="98"/>
    <x v="266"/>
    <x v="0"/>
  </r>
  <r>
    <x v="0"/>
    <x v="31"/>
    <x v="31"/>
    <x v="23"/>
    <x v="23"/>
    <x v="23"/>
    <x v="19"/>
    <x v="195"/>
    <x v="164"/>
    <x v="39"/>
    <x v="364"/>
    <x v="108"/>
    <x v="264"/>
    <x v="0"/>
  </r>
  <r>
    <x v="0"/>
    <x v="32"/>
    <x v="32"/>
    <x v="1"/>
    <x v="1"/>
    <x v="1"/>
    <x v="0"/>
    <x v="205"/>
    <x v="267"/>
    <x v="102"/>
    <x v="365"/>
    <x v="123"/>
    <x v="183"/>
    <x v="0"/>
  </r>
  <r>
    <x v="0"/>
    <x v="32"/>
    <x v="32"/>
    <x v="3"/>
    <x v="3"/>
    <x v="3"/>
    <x v="1"/>
    <x v="195"/>
    <x v="237"/>
    <x v="100"/>
    <x v="321"/>
    <x v="123"/>
    <x v="183"/>
    <x v="0"/>
  </r>
  <r>
    <x v="0"/>
    <x v="32"/>
    <x v="32"/>
    <x v="10"/>
    <x v="10"/>
    <x v="10"/>
    <x v="2"/>
    <x v="210"/>
    <x v="268"/>
    <x v="50"/>
    <x v="19"/>
    <x v="98"/>
    <x v="269"/>
    <x v="0"/>
  </r>
  <r>
    <x v="0"/>
    <x v="32"/>
    <x v="32"/>
    <x v="42"/>
    <x v="42"/>
    <x v="42"/>
    <x v="2"/>
    <x v="210"/>
    <x v="268"/>
    <x v="56"/>
    <x v="366"/>
    <x v="67"/>
    <x v="270"/>
    <x v="0"/>
  </r>
  <r>
    <x v="0"/>
    <x v="32"/>
    <x v="32"/>
    <x v="5"/>
    <x v="5"/>
    <x v="5"/>
    <x v="4"/>
    <x v="196"/>
    <x v="269"/>
    <x v="51"/>
    <x v="84"/>
    <x v="93"/>
    <x v="46"/>
    <x v="0"/>
  </r>
  <r>
    <x v="0"/>
    <x v="32"/>
    <x v="32"/>
    <x v="12"/>
    <x v="12"/>
    <x v="12"/>
    <x v="5"/>
    <x v="197"/>
    <x v="242"/>
    <x v="56"/>
    <x v="366"/>
    <x v="110"/>
    <x v="271"/>
    <x v="0"/>
  </r>
  <r>
    <x v="0"/>
    <x v="32"/>
    <x v="32"/>
    <x v="2"/>
    <x v="2"/>
    <x v="2"/>
    <x v="5"/>
    <x v="197"/>
    <x v="242"/>
    <x v="39"/>
    <x v="367"/>
    <x v="127"/>
    <x v="151"/>
    <x v="0"/>
  </r>
  <r>
    <x v="0"/>
    <x v="32"/>
    <x v="32"/>
    <x v="28"/>
    <x v="28"/>
    <x v="28"/>
    <x v="7"/>
    <x v="198"/>
    <x v="161"/>
    <x v="70"/>
    <x v="64"/>
    <x v="93"/>
    <x v="46"/>
    <x v="0"/>
  </r>
  <r>
    <x v="0"/>
    <x v="32"/>
    <x v="32"/>
    <x v="14"/>
    <x v="14"/>
    <x v="14"/>
    <x v="8"/>
    <x v="199"/>
    <x v="143"/>
    <x v="50"/>
    <x v="19"/>
    <x v="108"/>
    <x v="163"/>
    <x v="0"/>
  </r>
  <r>
    <x v="0"/>
    <x v="32"/>
    <x v="32"/>
    <x v="11"/>
    <x v="11"/>
    <x v="11"/>
    <x v="8"/>
    <x v="199"/>
    <x v="143"/>
    <x v="65"/>
    <x v="65"/>
    <x v="110"/>
    <x v="271"/>
    <x v="0"/>
  </r>
  <r>
    <x v="0"/>
    <x v="32"/>
    <x v="32"/>
    <x v="65"/>
    <x v="65"/>
    <x v="65"/>
    <x v="8"/>
    <x v="199"/>
    <x v="143"/>
    <x v="65"/>
    <x v="65"/>
    <x v="110"/>
    <x v="271"/>
    <x v="0"/>
  </r>
  <r>
    <x v="0"/>
    <x v="32"/>
    <x v="32"/>
    <x v="66"/>
    <x v="66"/>
    <x v="66"/>
    <x v="8"/>
    <x v="199"/>
    <x v="143"/>
    <x v="50"/>
    <x v="19"/>
    <x v="108"/>
    <x v="163"/>
    <x v="0"/>
  </r>
  <r>
    <x v="0"/>
    <x v="32"/>
    <x v="32"/>
    <x v="43"/>
    <x v="43"/>
    <x v="43"/>
    <x v="8"/>
    <x v="199"/>
    <x v="143"/>
    <x v="65"/>
    <x v="65"/>
    <x v="108"/>
    <x v="163"/>
    <x v="6"/>
  </r>
  <r>
    <x v="0"/>
    <x v="32"/>
    <x v="32"/>
    <x v="17"/>
    <x v="17"/>
    <x v="17"/>
    <x v="13"/>
    <x v="200"/>
    <x v="204"/>
    <x v="50"/>
    <x v="19"/>
    <x v="93"/>
    <x v="46"/>
    <x v="0"/>
  </r>
  <r>
    <x v="0"/>
    <x v="32"/>
    <x v="32"/>
    <x v="67"/>
    <x v="67"/>
    <x v="67"/>
    <x v="13"/>
    <x v="200"/>
    <x v="204"/>
    <x v="50"/>
    <x v="19"/>
    <x v="93"/>
    <x v="46"/>
    <x v="0"/>
  </r>
  <r>
    <x v="0"/>
    <x v="32"/>
    <x v="32"/>
    <x v="13"/>
    <x v="13"/>
    <x v="13"/>
    <x v="13"/>
    <x v="200"/>
    <x v="204"/>
    <x v="65"/>
    <x v="65"/>
    <x v="108"/>
    <x v="163"/>
    <x v="0"/>
  </r>
  <r>
    <x v="0"/>
    <x v="32"/>
    <x v="32"/>
    <x v="68"/>
    <x v="68"/>
    <x v="68"/>
    <x v="13"/>
    <x v="200"/>
    <x v="204"/>
    <x v="50"/>
    <x v="19"/>
    <x v="93"/>
    <x v="46"/>
    <x v="0"/>
  </r>
  <r>
    <x v="0"/>
    <x v="32"/>
    <x v="32"/>
    <x v="48"/>
    <x v="48"/>
    <x v="48"/>
    <x v="13"/>
    <x v="200"/>
    <x v="204"/>
    <x v="56"/>
    <x v="366"/>
    <x v="123"/>
    <x v="183"/>
    <x v="0"/>
  </r>
  <r>
    <x v="0"/>
    <x v="32"/>
    <x v="32"/>
    <x v="41"/>
    <x v="41"/>
    <x v="41"/>
    <x v="13"/>
    <x v="200"/>
    <x v="204"/>
    <x v="50"/>
    <x v="19"/>
    <x v="93"/>
    <x v="46"/>
    <x v="0"/>
  </r>
  <r>
    <x v="0"/>
    <x v="32"/>
    <x v="32"/>
    <x v="0"/>
    <x v="0"/>
    <x v="0"/>
    <x v="13"/>
    <x v="200"/>
    <x v="204"/>
    <x v="65"/>
    <x v="65"/>
    <x v="93"/>
    <x v="46"/>
    <x v="0"/>
  </r>
  <r>
    <x v="0"/>
    <x v="32"/>
    <x v="32"/>
    <x v="4"/>
    <x v="4"/>
    <x v="4"/>
    <x v="13"/>
    <x v="200"/>
    <x v="204"/>
    <x v="70"/>
    <x v="64"/>
    <x v="127"/>
    <x v="151"/>
    <x v="0"/>
  </r>
  <r>
    <x v="0"/>
    <x v="32"/>
    <x v="32"/>
    <x v="37"/>
    <x v="37"/>
    <x v="37"/>
    <x v="13"/>
    <x v="200"/>
    <x v="204"/>
    <x v="65"/>
    <x v="65"/>
    <x v="108"/>
    <x v="163"/>
    <x v="0"/>
  </r>
  <r>
    <x v="0"/>
    <x v="33"/>
    <x v="33"/>
    <x v="1"/>
    <x v="1"/>
    <x v="1"/>
    <x v="0"/>
    <x v="96"/>
    <x v="270"/>
    <x v="173"/>
    <x v="242"/>
    <x v="93"/>
    <x v="8"/>
    <x v="0"/>
  </r>
  <r>
    <x v="0"/>
    <x v="33"/>
    <x v="33"/>
    <x v="2"/>
    <x v="2"/>
    <x v="2"/>
    <x v="1"/>
    <x v="107"/>
    <x v="271"/>
    <x v="93"/>
    <x v="368"/>
    <x v="127"/>
    <x v="151"/>
    <x v="0"/>
  </r>
  <r>
    <x v="0"/>
    <x v="33"/>
    <x v="33"/>
    <x v="3"/>
    <x v="3"/>
    <x v="3"/>
    <x v="2"/>
    <x v="114"/>
    <x v="201"/>
    <x v="121"/>
    <x v="291"/>
    <x v="127"/>
    <x v="151"/>
    <x v="0"/>
  </r>
  <r>
    <x v="0"/>
    <x v="33"/>
    <x v="33"/>
    <x v="54"/>
    <x v="54"/>
    <x v="54"/>
    <x v="3"/>
    <x v="117"/>
    <x v="272"/>
    <x v="77"/>
    <x v="369"/>
    <x v="71"/>
    <x v="272"/>
    <x v="6"/>
  </r>
  <r>
    <x v="0"/>
    <x v="33"/>
    <x v="33"/>
    <x v="0"/>
    <x v="0"/>
    <x v="0"/>
    <x v="3"/>
    <x v="117"/>
    <x v="272"/>
    <x v="55"/>
    <x v="168"/>
    <x v="52"/>
    <x v="273"/>
    <x v="0"/>
  </r>
  <r>
    <x v="0"/>
    <x v="33"/>
    <x v="33"/>
    <x v="7"/>
    <x v="7"/>
    <x v="7"/>
    <x v="5"/>
    <x v="215"/>
    <x v="23"/>
    <x v="77"/>
    <x v="369"/>
    <x v="134"/>
    <x v="274"/>
    <x v="0"/>
  </r>
  <r>
    <x v="0"/>
    <x v="33"/>
    <x v="33"/>
    <x v="5"/>
    <x v="5"/>
    <x v="5"/>
    <x v="5"/>
    <x v="215"/>
    <x v="23"/>
    <x v="67"/>
    <x v="370"/>
    <x v="93"/>
    <x v="8"/>
    <x v="0"/>
  </r>
  <r>
    <x v="0"/>
    <x v="33"/>
    <x v="33"/>
    <x v="4"/>
    <x v="4"/>
    <x v="4"/>
    <x v="7"/>
    <x v="141"/>
    <x v="273"/>
    <x v="32"/>
    <x v="371"/>
    <x v="93"/>
    <x v="8"/>
    <x v="0"/>
  </r>
  <r>
    <x v="0"/>
    <x v="33"/>
    <x v="33"/>
    <x v="9"/>
    <x v="9"/>
    <x v="9"/>
    <x v="7"/>
    <x v="141"/>
    <x v="273"/>
    <x v="109"/>
    <x v="372"/>
    <x v="127"/>
    <x v="151"/>
    <x v="0"/>
  </r>
  <r>
    <x v="0"/>
    <x v="33"/>
    <x v="33"/>
    <x v="40"/>
    <x v="40"/>
    <x v="40"/>
    <x v="9"/>
    <x v="204"/>
    <x v="42"/>
    <x v="39"/>
    <x v="124"/>
    <x v="104"/>
    <x v="275"/>
    <x v="0"/>
  </r>
  <r>
    <x v="0"/>
    <x v="33"/>
    <x v="33"/>
    <x v="36"/>
    <x v="36"/>
    <x v="36"/>
    <x v="10"/>
    <x v="205"/>
    <x v="106"/>
    <x v="56"/>
    <x v="187"/>
    <x v="79"/>
    <x v="276"/>
    <x v="0"/>
  </r>
  <r>
    <x v="0"/>
    <x v="33"/>
    <x v="33"/>
    <x v="42"/>
    <x v="42"/>
    <x v="42"/>
    <x v="11"/>
    <x v="206"/>
    <x v="8"/>
    <x v="56"/>
    <x v="187"/>
    <x v="134"/>
    <x v="274"/>
    <x v="0"/>
  </r>
  <r>
    <x v="0"/>
    <x v="33"/>
    <x v="33"/>
    <x v="51"/>
    <x v="51"/>
    <x v="51"/>
    <x v="11"/>
    <x v="206"/>
    <x v="8"/>
    <x v="68"/>
    <x v="373"/>
    <x v="119"/>
    <x v="123"/>
    <x v="0"/>
  </r>
  <r>
    <x v="0"/>
    <x v="33"/>
    <x v="33"/>
    <x v="19"/>
    <x v="19"/>
    <x v="19"/>
    <x v="11"/>
    <x v="206"/>
    <x v="8"/>
    <x v="68"/>
    <x v="373"/>
    <x v="119"/>
    <x v="123"/>
    <x v="0"/>
  </r>
  <r>
    <x v="0"/>
    <x v="33"/>
    <x v="33"/>
    <x v="69"/>
    <x v="69"/>
    <x v="69"/>
    <x v="19"/>
    <x v="194"/>
    <x v="97"/>
    <x v="56"/>
    <x v="187"/>
    <x v="106"/>
    <x v="277"/>
    <x v="0"/>
  </r>
  <r>
    <x v="0"/>
    <x v="33"/>
    <x v="33"/>
    <x v="45"/>
    <x v="45"/>
    <x v="45"/>
    <x v="19"/>
    <x v="194"/>
    <x v="97"/>
    <x v="89"/>
    <x v="374"/>
    <x v="123"/>
    <x v="99"/>
    <x v="0"/>
  </r>
  <r>
    <x v="0"/>
    <x v="33"/>
    <x v="33"/>
    <x v="34"/>
    <x v="34"/>
    <x v="34"/>
    <x v="19"/>
    <x v="194"/>
    <x v="97"/>
    <x v="56"/>
    <x v="187"/>
    <x v="106"/>
    <x v="277"/>
    <x v="0"/>
  </r>
  <r>
    <x v="0"/>
    <x v="33"/>
    <x v="33"/>
    <x v="8"/>
    <x v="8"/>
    <x v="8"/>
    <x v="19"/>
    <x v="194"/>
    <x v="97"/>
    <x v="89"/>
    <x v="374"/>
    <x v="123"/>
    <x v="99"/>
    <x v="0"/>
  </r>
  <r>
    <x v="0"/>
    <x v="33"/>
    <x v="33"/>
    <x v="70"/>
    <x v="70"/>
    <x v="70"/>
    <x v="17"/>
    <x v="207"/>
    <x v="12"/>
    <x v="62"/>
    <x v="195"/>
    <x v="98"/>
    <x v="50"/>
    <x v="0"/>
  </r>
  <r>
    <x v="0"/>
    <x v="33"/>
    <x v="33"/>
    <x v="6"/>
    <x v="6"/>
    <x v="6"/>
    <x v="17"/>
    <x v="207"/>
    <x v="12"/>
    <x v="89"/>
    <x v="374"/>
    <x v="127"/>
    <x v="151"/>
    <x v="0"/>
  </r>
  <r>
    <x v="0"/>
    <x v="34"/>
    <x v="34"/>
    <x v="1"/>
    <x v="1"/>
    <x v="1"/>
    <x v="0"/>
    <x v="190"/>
    <x v="274"/>
    <x v="115"/>
    <x v="375"/>
    <x v="106"/>
    <x v="278"/>
    <x v="0"/>
  </r>
  <r>
    <x v="0"/>
    <x v="34"/>
    <x v="34"/>
    <x v="2"/>
    <x v="2"/>
    <x v="2"/>
    <x v="1"/>
    <x v="71"/>
    <x v="275"/>
    <x v="98"/>
    <x v="376"/>
    <x v="98"/>
    <x v="25"/>
    <x v="0"/>
  </r>
  <r>
    <x v="0"/>
    <x v="34"/>
    <x v="34"/>
    <x v="4"/>
    <x v="4"/>
    <x v="4"/>
    <x v="2"/>
    <x v="92"/>
    <x v="195"/>
    <x v="158"/>
    <x v="377"/>
    <x v="86"/>
    <x v="28"/>
    <x v="0"/>
  </r>
  <r>
    <x v="0"/>
    <x v="34"/>
    <x v="34"/>
    <x v="5"/>
    <x v="5"/>
    <x v="5"/>
    <x v="3"/>
    <x v="127"/>
    <x v="276"/>
    <x v="149"/>
    <x v="161"/>
    <x v="109"/>
    <x v="254"/>
    <x v="0"/>
  </r>
  <r>
    <x v="0"/>
    <x v="34"/>
    <x v="34"/>
    <x v="3"/>
    <x v="3"/>
    <x v="3"/>
    <x v="4"/>
    <x v="96"/>
    <x v="277"/>
    <x v="78"/>
    <x v="378"/>
    <x v="119"/>
    <x v="201"/>
    <x v="0"/>
  </r>
  <r>
    <x v="0"/>
    <x v="34"/>
    <x v="34"/>
    <x v="6"/>
    <x v="6"/>
    <x v="6"/>
    <x v="5"/>
    <x v="145"/>
    <x v="123"/>
    <x v="176"/>
    <x v="379"/>
    <x v="119"/>
    <x v="201"/>
    <x v="0"/>
  </r>
  <r>
    <x v="0"/>
    <x v="34"/>
    <x v="34"/>
    <x v="8"/>
    <x v="8"/>
    <x v="8"/>
    <x v="6"/>
    <x v="114"/>
    <x v="266"/>
    <x v="118"/>
    <x v="229"/>
    <x v="67"/>
    <x v="108"/>
    <x v="0"/>
  </r>
  <r>
    <x v="0"/>
    <x v="34"/>
    <x v="34"/>
    <x v="0"/>
    <x v="0"/>
    <x v="0"/>
    <x v="7"/>
    <x v="119"/>
    <x v="150"/>
    <x v="62"/>
    <x v="53"/>
    <x v="105"/>
    <x v="279"/>
    <x v="0"/>
  </r>
  <r>
    <x v="0"/>
    <x v="34"/>
    <x v="34"/>
    <x v="7"/>
    <x v="7"/>
    <x v="7"/>
    <x v="8"/>
    <x v="150"/>
    <x v="96"/>
    <x v="61"/>
    <x v="380"/>
    <x v="52"/>
    <x v="32"/>
    <x v="0"/>
  </r>
  <r>
    <x v="0"/>
    <x v="34"/>
    <x v="34"/>
    <x v="34"/>
    <x v="34"/>
    <x v="34"/>
    <x v="9"/>
    <x v="136"/>
    <x v="73"/>
    <x v="68"/>
    <x v="381"/>
    <x v="52"/>
    <x v="32"/>
    <x v="0"/>
  </r>
  <r>
    <x v="0"/>
    <x v="34"/>
    <x v="34"/>
    <x v="18"/>
    <x v="18"/>
    <x v="18"/>
    <x v="10"/>
    <x v="137"/>
    <x v="152"/>
    <x v="100"/>
    <x v="382"/>
    <x v="52"/>
    <x v="32"/>
    <x v="0"/>
  </r>
  <r>
    <x v="0"/>
    <x v="34"/>
    <x v="34"/>
    <x v="9"/>
    <x v="9"/>
    <x v="9"/>
    <x v="10"/>
    <x v="137"/>
    <x v="152"/>
    <x v="67"/>
    <x v="383"/>
    <x v="119"/>
    <x v="201"/>
    <x v="0"/>
  </r>
  <r>
    <x v="0"/>
    <x v="34"/>
    <x v="34"/>
    <x v="41"/>
    <x v="41"/>
    <x v="41"/>
    <x v="12"/>
    <x v="138"/>
    <x v="108"/>
    <x v="38"/>
    <x v="310"/>
    <x v="104"/>
    <x v="53"/>
    <x v="0"/>
  </r>
  <r>
    <x v="0"/>
    <x v="34"/>
    <x v="34"/>
    <x v="39"/>
    <x v="39"/>
    <x v="39"/>
    <x v="13"/>
    <x v="139"/>
    <x v="63"/>
    <x v="94"/>
    <x v="384"/>
    <x v="98"/>
    <x v="25"/>
    <x v="0"/>
  </r>
  <r>
    <x v="0"/>
    <x v="34"/>
    <x v="34"/>
    <x v="11"/>
    <x v="11"/>
    <x v="11"/>
    <x v="19"/>
    <x v="215"/>
    <x v="77"/>
    <x v="39"/>
    <x v="81"/>
    <x v="63"/>
    <x v="33"/>
    <x v="0"/>
  </r>
  <r>
    <x v="0"/>
    <x v="34"/>
    <x v="34"/>
    <x v="10"/>
    <x v="10"/>
    <x v="10"/>
    <x v="14"/>
    <x v="140"/>
    <x v="11"/>
    <x v="70"/>
    <x v="385"/>
    <x v="125"/>
    <x v="15"/>
    <x v="0"/>
  </r>
  <r>
    <x v="0"/>
    <x v="34"/>
    <x v="34"/>
    <x v="17"/>
    <x v="17"/>
    <x v="17"/>
    <x v="14"/>
    <x v="140"/>
    <x v="11"/>
    <x v="65"/>
    <x v="65"/>
    <x v="121"/>
    <x v="229"/>
    <x v="0"/>
  </r>
  <r>
    <x v="0"/>
    <x v="34"/>
    <x v="34"/>
    <x v="46"/>
    <x v="46"/>
    <x v="46"/>
    <x v="16"/>
    <x v="203"/>
    <x v="52"/>
    <x v="39"/>
    <x v="81"/>
    <x v="76"/>
    <x v="280"/>
    <x v="0"/>
  </r>
  <r>
    <x v="0"/>
    <x v="34"/>
    <x v="34"/>
    <x v="23"/>
    <x v="23"/>
    <x v="23"/>
    <x v="16"/>
    <x v="203"/>
    <x v="52"/>
    <x v="94"/>
    <x v="384"/>
    <x v="110"/>
    <x v="262"/>
    <x v="0"/>
  </r>
  <r>
    <x v="0"/>
    <x v="34"/>
    <x v="34"/>
    <x v="28"/>
    <x v="28"/>
    <x v="28"/>
    <x v="18"/>
    <x v="141"/>
    <x v="33"/>
    <x v="62"/>
    <x v="53"/>
    <x v="130"/>
    <x v="92"/>
    <x v="0"/>
  </r>
  <r>
    <x v="0"/>
    <x v="35"/>
    <x v="35"/>
    <x v="1"/>
    <x v="1"/>
    <x v="1"/>
    <x v="0"/>
    <x v="93"/>
    <x v="278"/>
    <x v="64"/>
    <x v="386"/>
    <x v="93"/>
    <x v="68"/>
    <x v="0"/>
  </r>
  <r>
    <x v="0"/>
    <x v="35"/>
    <x v="35"/>
    <x v="2"/>
    <x v="2"/>
    <x v="2"/>
    <x v="1"/>
    <x v="166"/>
    <x v="279"/>
    <x v="120"/>
    <x v="387"/>
    <x v="109"/>
    <x v="104"/>
    <x v="0"/>
  </r>
  <r>
    <x v="0"/>
    <x v="35"/>
    <x v="35"/>
    <x v="0"/>
    <x v="0"/>
    <x v="0"/>
    <x v="2"/>
    <x v="128"/>
    <x v="90"/>
    <x v="35"/>
    <x v="388"/>
    <x v="134"/>
    <x v="48"/>
    <x v="0"/>
  </r>
  <r>
    <x v="0"/>
    <x v="35"/>
    <x v="35"/>
    <x v="3"/>
    <x v="3"/>
    <x v="3"/>
    <x v="3"/>
    <x v="103"/>
    <x v="185"/>
    <x v="93"/>
    <x v="120"/>
    <x v="119"/>
    <x v="238"/>
    <x v="0"/>
  </r>
  <r>
    <x v="0"/>
    <x v="35"/>
    <x v="35"/>
    <x v="5"/>
    <x v="5"/>
    <x v="5"/>
    <x v="4"/>
    <x v="117"/>
    <x v="280"/>
    <x v="119"/>
    <x v="389"/>
    <x v="119"/>
    <x v="238"/>
    <x v="0"/>
  </r>
  <r>
    <x v="0"/>
    <x v="35"/>
    <x v="35"/>
    <x v="4"/>
    <x v="4"/>
    <x v="4"/>
    <x v="5"/>
    <x v="119"/>
    <x v="281"/>
    <x v="157"/>
    <x v="390"/>
    <x v="113"/>
    <x v="253"/>
    <x v="0"/>
  </r>
  <r>
    <x v="0"/>
    <x v="35"/>
    <x v="35"/>
    <x v="6"/>
    <x v="6"/>
    <x v="6"/>
    <x v="6"/>
    <x v="134"/>
    <x v="4"/>
    <x v="157"/>
    <x v="390"/>
    <x v="67"/>
    <x v="281"/>
    <x v="0"/>
  </r>
  <r>
    <x v="0"/>
    <x v="35"/>
    <x v="35"/>
    <x v="7"/>
    <x v="7"/>
    <x v="7"/>
    <x v="7"/>
    <x v="138"/>
    <x v="219"/>
    <x v="95"/>
    <x v="342"/>
    <x v="52"/>
    <x v="282"/>
    <x v="0"/>
  </r>
  <r>
    <x v="0"/>
    <x v="35"/>
    <x v="35"/>
    <x v="28"/>
    <x v="28"/>
    <x v="28"/>
    <x v="8"/>
    <x v="139"/>
    <x v="58"/>
    <x v="39"/>
    <x v="391"/>
    <x v="52"/>
    <x v="282"/>
    <x v="0"/>
  </r>
  <r>
    <x v="0"/>
    <x v="35"/>
    <x v="35"/>
    <x v="8"/>
    <x v="8"/>
    <x v="8"/>
    <x v="9"/>
    <x v="140"/>
    <x v="178"/>
    <x v="33"/>
    <x v="168"/>
    <x v="93"/>
    <x v="68"/>
    <x v="0"/>
  </r>
  <r>
    <x v="0"/>
    <x v="35"/>
    <x v="35"/>
    <x v="47"/>
    <x v="47"/>
    <x v="47"/>
    <x v="10"/>
    <x v="209"/>
    <x v="258"/>
    <x v="77"/>
    <x v="380"/>
    <x v="109"/>
    <x v="104"/>
    <x v="0"/>
  </r>
  <r>
    <x v="0"/>
    <x v="35"/>
    <x v="35"/>
    <x v="14"/>
    <x v="14"/>
    <x v="14"/>
    <x v="11"/>
    <x v="192"/>
    <x v="29"/>
    <x v="56"/>
    <x v="60"/>
    <x v="76"/>
    <x v="115"/>
    <x v="0"/>
  </r>
  <r>
    <x v="0"/>
    <x v="35"/>
    <x v="35"/>
    <x v="18"/>
    <x v="18"/>
    <x v="18"/>
    <x v="11"/>
    <x v="192"/>
    <x v="29"/>
    <x v="51"/>
    <x v="81"/>
    <x v="104"/>
    <x v="162"/>
    <x v="0"/>
  </r>
  <r>
    <x v="0"/>
    <x v="35"/>
    <x v="35"/>
    <x v="9"/>
    <x v="9"/>
    <x v="9"/>
    <x v="11"/>
    <x v="192"/>
    <x v="29"/>
    <x v="102"/>
    <x v="345"/>
    <x v="93"/>
    <x v="68"/>
    <x v="0"/>
  </r>
  <r>
    <x v="0"/>
    <x v="35"/>
    <x v="35"/>
    <x v="57"/>
    <x v="57"/>
    <x v="57"/>
    <x v="11"/>
    <x v="192"/>
    <x v="29"/>
    <x v="65"/>
    <x v="65"/>
    <x v="119"/>
    <x v="238"/>
    <x v="8"/>
  </r>
  <r>
    <x v="0"/>
    <x v="35"/>
    <x v="35"/>
    <x v="11"/>
    <x v="11"/>
    <x v="11"/>
    <x v="14"/>
    <x v="205"/>
    <x v="31"/>
    <x v="39"/>
    <x v="391"/>
    <x v="113"/>
    <x v="253"/>
    <x v="0"/>
  </r>
  <r>
    <x v="0"/>
    <x v="35"/>
    <x v="35"/>
    <x v="17"/>
    <x v="17"/>
    <x v="17"/>
    <x v="15"/>
    <x v="193"/>
    <x v="14"/>
    <x v="50"/>
    <x v="69"/>
    <x v="134"/>
    <x v="48"/>
    <x v="0"/>
  </r>
  <r>
    <x v="0"/>
    <x v="35"/>
    <x v="35"/>
    <x v="46"/>
    <x v="46"/>
    <x v="46"/>
    <x v="15"/>
    <x v="193"/>
    <x v="14"/>
    <x v="39"/>
    <x v="391"/>
    <x v="98"/>
    <x v="80"/>
    <x v="0"/>
  </r>
  <r>
    <x v="0"/>
    <x v="35"/>
    <x v="35"/>
    <x v="13"/>
    <x v="13"/>
    <x v="13"/>
    <x v="15"/>
    <x v="193"/>
    <x v="14"/>
    <x v="70"/>
    <x v="16"/>
    <x v="106"/>
    <x v="128"/>
    <x v="0"/>
  </r>
  <r>
    <x v="0"/>
    <x v="35"/>
    <x v="35"/>
    <x v="45"/>
    <x v="45"/>
    <x v="45"/>
    <x v="15"/>
    <x v="193"/>
    <x v="14"/>
    <x v="77"/>
    <x v="380"/>
    <x v="108"/>
    <x v="235"/>
    <x v="0"/>
  </r>
  <r>
    <x v="0"/>
    <x v="35"/>
    <x v="35"/>
    <x v="19"/>
    <x v="19"/>
    <x v="19"/>
    <x v="15"/>
    <x v="193"/>
    <x v="14"/>
    <x v="100"/>
    <x v="31"/>
    <x v="119"/>
    <x v="238"/>
    <x v="0"/>
  </r>
  <r>
    <x v="0"/>
    <x v="36"/>
    <x v="36"/>
    <x v="2"/>
    <x v="2"/>
    <x v="2"/>
    <x v="0"/>
    <x v="134"/>
    <x v="282"/>
    <x v="174"/>
    <x v="58"/>
    <x v="127"/>
    <x v="151"/>
    <x v="0"/>
  </r>
  <r>
    <x v="0"/>
    <x v="36"/>
    <x v="36"/>
    <x v="1"/>
    <x v="1"/>
    <x v="1"/>
    <x v="1"/>
    <x v="215"/>
    <x v="283"/>
    <x v="109"/>
    <x v="392"/>
    <x v="108"/>
    <x v="92"/>
    <x v="0"/>
  </r>
  <r>
    <x v="0"/>
    <x v="36"/>
    <x v="36"/>
    <x v="0"/>
    <x v="0"/>
    <x v="0"/>
    <x v="2"/>
    <x v="203"/>
    <x v="237"/>
    <x v="38"/>
    <x v="393"/>
    <x v="67"/>
    <x v="82"/>
    <x v="0"/>
  </r>
  <r>
    <x v="0"/>
    <x v="36"/>
    <x v="36"/>
    <x v="3"/>
    <x v="3"/>
    <x v="3"/>
    <x v="3"/>
    <x v="204"/>
    <x v="284"/>
    <x v="94"/>
    <x v="394"/>
    <x v="123"/>
    <x v="201"/>
    <x v="0"/>
  </r>
  <r>
    <x v="0"/>
    <x v="36"/>
    <x v="36"/>
    <x v="4"/>
    <x v="4"/>
    <x v="4"/>
    <x v="4"/>
    <x v="192"/>
    <x v="285"/>
    <x v="38"/>
    <x v="393"/>
    <x v="108"/>
    <x v="92"/>
    <x v="0"/>
  </r>
  <r>
    <x v="0"/>
    <x v="36"/>
    <x v="36"/>
    <x v="9"/>
    <x v="9"/>
    <x v="9"/>
    <x v="5"/>
    <x v="207"/>
    <x v="57"/>
    <x v="77"/>
    <x v="277"/>
    <x v="123"/>
    <x v="201"/>
    <x v="0"/>
  </r>
  <r>
    <x v="0"/>
    <x v="36"/>
    <x v="36"/>
    <x v="32"/>
    <x v="32"/>
    <x v="32"/>
    <x v="6"/>
    <x v="210"/>
    <x v="220"/>
    <x v="70"/>
    <x v="19"/>
    <x v="119"/>
    <x v="133"/>
    <x v="0"/>
  </r>
  <r>
    <x v="0"/>
    <x v="36"/>
    <x v="36"/>
    <x v="46"/>
    <x v="46"/>
    <x v="46"/>
    <x v="6"/>
    <x v="210"/>
    <x v="220"/>
    <x v="56"/>
    <x v="271"/>
    <x v="67"/>
    <x v="82"/>
    <x v="0"/>
  </r>
  <r>
    <x v="0"/>
    <x v="36"/>
    <x v="36"/>
    <x v="7"/>
    <x v="7"/>
    <x v="7"/>
    <x v="6"/>
    <x v="210"/>
    <x v="220"/>
    <x v="51"/>
    <x v="185"/>
    <x v="108"/>
    <x v="92"/>
    <x v="0"/>
  </r>
  <r>
    <x v="0"/>
    <x v="36"/>
    <x v="36"/>
    <x v="5"/>
    <x v="5"/>
    <x v="5"/>
    <x v="6"/>
    <x v="210"/>
    <x v="220"/>
    <x v="95"/>
    <x v="196"/>
    <x v="123"/>
    <x v="201"/>
    <x v="0"/>
  </r>
  <r>
    <x v="0"/>
    <x v="36"/>
    <x v="36"/>
    <x v="6"/>
    <x v="6"/>
    <x v="6"/>
    <x v="6"/>
    <x v="210"/>
    <x v="220"/>
    <x v="95"/>
    <x v="196"/>
    <x v="123"/>
    <x v="201"/>
    <x v="0"/>
  </r>
  <r>
    <x v="0"/>
    <x v="36"/>
    <x v="36"/>
    <x v="13"/>
    <x v="13"/>
    <x v="13"/>
    <x v="11"/>
    <x v="196"/>
    <x v="74"/>
    <x v="56"/>
    <x v="271"/>
    <x v="119"/>
    <x v="133"/>
    <x v="0"/>
  </r>
  <r>
    <x v="0"/>
    <x v="36"/>
    <x v="36"/>
    <x v="11"/>
    <x v="11"/>
    <x v="11"/>
    <x v="11"/>
    <x v="196"/>
    <x v="74"/>
    <x v="70"/>
    <x v="19"/>
    <x v="110"/>
    <x v="107"/>
    <x v="0"/>
  </r>
  <r>
    <x v="0"/>
    <x v="36"/>
    <x v="36"/>
    <x v="51"/>
    <x v="51"/>
    <x v="51"/>
    <x v="11"/>
    <x v="196"/>
    <x v="74"/>
    <x v="51"/>
    <x v="185"/>
    <x v="93"/>
    <x v="278"/>
    <x v="0"/>
  </r>
  <r>
    <x v="0"/>
    <x v="36"/>
    <x v="36"/>
    <x v="45"/>
    <x v="45"/>
    <x v="45"/>
    <x v="11"/>
    <x v="196"/>
    <x v="74"/>
    <x v="70"/>
    <x v="19"/>
    <x v="110"/>
    <x v="107"/>
    <x v="0"/>
  </r>
  <r>
    <x v="0"/>
    <x v="36"/>
    <x v="36"/>
    <x v="19"/>
    <x v="19"/>
    <x v="19"/>
    <x v="11"/>
    <x v="196"/>
    <x v="74"/>
    <x v="70"/>
    <x v="19"/>
    <x v="110"/>
    <x v="107"/>
    <x v="0"/>
  </r>
  <r>
    <x v="0"/>
    <x v="36"/>
    <x v="36"/>
    <x v="10"/>
    <x v="10"/>
    <x v="10"/>
    <x v="15"/>
    <x v="197"/>
    <x v="77"/>
    <x v="50"/>
    <x v="15"/>
    <x v="119"/>
    <x v="133"/>
    <x v="0"/>
  </r>
  <r>
    <x v="0"/>
    <x v="36"/>
    <x v="36"/>
    <x v="42"/>
    <x v="42"/>
    <x v="42"/>
    <x v="15"/>
    <x v="197"/>
    <x v="77"/>
    <x v="50"/>
    <x v="15"/>
    <x v="119"/>
    <x v="133"/>
    <x v="0"/>
  </r>
  <r>
    <x v="0"/>
    <x v="36"/>
    <x v="36"/>
    <x v="34"/>
    <x v="34"/>
    <x v="34"/>
    <x v="15"/>
    <x v="197"/>
    <x v="77"/>
    <x v="70"/>
    <x v="19"/>
    <x v="108"/>
    <x v="92"/>
    <x v="0"/>
  </r>
  <r>
    <x v="0"/>
    <x v="36"/>
    <x v="36"/>
    <x v="64"/>
    <x v="64"/>
    <x v="64"/>
    <x v="15"/>
    <x v="197"/>
    <x v="77"/>
    <x v="51"/>
    <x v="185"/>
    <x v="123"/>
    <x v="201"/>
    <x v="0"/>
  </r>
  <r>
    <x v="0"/>
    <x v="36"/>
    <x v="36"/>
    <x v="39"/>
    <x v="39"/>
    <x v="39"/>
    <x v="15"/>
    <x v="197"/>
    <x v="77"/>
    <x v="39"/>
    <x v="298"/>
    <x v="127"/>
    <x v="151"/>
    <x v="0"/>
  </r>
  <r>
    <x v="0"/>
    <x v="36"/>
    <x v="36"/>
    <x v="53"/>
    <x v="53"/>
    <x v="53"/>
    <x v="15"/>
    <x v="197"/>
    <x v="77"/>
    <x v="65"/>
    <x v="65"/>
    <x v="93"/>
    <x v="278"/>
    <x v="0"/>
  </r>
  <r>
    <x v="0"/>
    <x v="37"/>
    <x v="37"/>
    <x v="1"/>
    <x v="1"/>
    <x v="1"/>
    <x v="0"/>
    <x v="198"/>
    <x v="286"/>
    <x v="51"/>
    <x v="395"/>
    <x v="127"/>
    <x v="151"/>
    <x v="0"/>
  </r>
  <r>
    <x v="0"/>
    <x v="37"/>
    <x v="37"/>
    <x v="42"/>
    <x v="42"/>
    <x v="42"/>
    <x v="1"/>
    <x v="200"/>
    <x v="287"/>
    <x v="50"/>
    <x v="396"/>
    <x v="93"/>
    <x v="283"/>
    <x v="0"/>
  </r>
  <r>
    <x v="0"/>
    <x v="37"/>
    <x v="37"/>
    <x v="7"/>
    <x v="7"/>
    <x v="7"/>
    <x v="1"/>
    <x v="200"/>
    <x v="287"/>
    <x v="70"/>
    <x v="397"/>
    <x v="127"/>
    <x v="151"/>
    <x v="0"/>
  </r>
  <r>
    <x v="0"/>
    <x v="37"/>
    <x v="37"/>
    <x v="10"/>
    <x v="10"/>
    <x v="10"/>
    <x v="3"/>
    <x v="216"/>
    <x v="101"/>
    <x v="65"/>
    <x v="65"/>
    <x v="93"/>
    <x v="283"/>
    <x v="0"/>
  </r>
  <r>
    <x v="0"/>
    <x v="37"/>
    <x v="37"/>
    <x v="17"/>
    <x v="17"/>
    <x v="17"/>
    <x v="3"/>
    <x v="216"/>
    <x v="101"/>
    <x v="65"/>
    <x v="65"/>
    <x v="93"/>
    <x v="283"/>
    <x v="0"/>
  </r>
  <r>
    <x v="0"/>
    <x v="37"/>
    <x v="37"/>
    <x v="14"/>
    <x v="14"/>
    <x v="14"/>
    <x v="3"/>
    <x v="216"/>
    <x v="101"/>
    <x v="50"/>
    <x v="396"/>
    <x v="123"/>
    <x v="242"/>
    <x v="0"/>
  </r>
  <r>
    <x v="0"/>
    <x v="37"/>
    <x v="37"/>
    <x v="47"/>
    <x v="47"/>
    <x v="47"/>
    <x v="3"/>
    <x v="216"/>
    <x v="101"/>
    <x v="56"/>
    <x v="398"/>
    <x v="127"/>
    <x v="151"/>
    <x v="0"/>
  </r>
  <r>
    <x v="0"/>
    <x v="37"/>
    <x v="37"/>
    <x v="50"/>
    <x v="50"/>
    <x v="50"/>
    <x v="3"/>
    <x v="216"/>
    <x v="101"/>
    <x v="56"/>
    <x v="398"/>
    <x v="127"/>
    <x v="151"/>
    <x v="0"/>
  </r>
  <r>
    <x v="0"/>
    <x v="37"/>
    <x v="37"/>
    <x v="51"/>
    <x v="51"/>
    <x v="51"/>
    <x v="3"/>
    <x v="216"/>
    <x v="101"/>
    <x v="50"/>
    <x v="396"/>
    <x v="123"/>
    <x v="242"/>
    <x v="0"/>
  </r>
  <r>
    <x v="0"/>
    <x v="37"/>
    <x v="37"/>
    <x v="2"/>
    <x v="2"/>
    <x v="2"/>
    <x v="3"/>
    <x v="216"/>
    <x v="101"/>
    <x v="56"/>
    <x v="398"/>
    <x v="127"/>
    <x v="151"/>
    <x v="0"/>
  </r>
  <r>
    <x v="0"/>
    <x v="37"/>
    <x v="37"/>
    <x v="3"/>
    <x v="3"/>
    <x v="3"/>
    <x v="3"/>
    <x v="216"/>
    <x v="101"/>
    <x v="56"/>
    <x v="398"/>
    <x v="127"/>
    <x v="151"/>
    <x v="0"/>
  </r>
  <r>
    <x v="0"/>
    <x v="37"/>
    <x v="37"/>
    <x v="52"/>
    <x v="52"/>
    <x v="52"/>
    <x v="3"/>
    <x v="216"/>
    <x v="101"/>
    <x v="65"/>
    <x v="65"/>
    <x v="127"/>
    <x v="151"/>
    <x v="0"/>
  </r>
  <r>
    <x v="0"/>
    <x v="37"/>
    <x v="37"/>
    <x v="8"/>
    <x v="8"/>
    <x v="8"/>
    <x v="3"/>
    <x v="216"/>
    <x v="101"/>
    <x v="56"/>
    <x v="398"/>
    <x v="127"/>
    <x v="151"/>
    <x v="0"/>
  </r>
  <r>
    <x v="0"/>
    <x v="37"/>
    <x v="37"/>
    <x v="53"/>
    <x v="53"/>
    <x v="53"/>
    <x v="3"/>
    <x v="216"/>
    <x v="101"/>
    <x v="65"/>
    <x v="65"/>
    <x v="127"/>
    <x v="151"/>
    <x v="0"/>
  </r>
  <r>
    <x v="0"/>
    <x v="37"/>
    <x v="37"/>
    <x v="71"/>
    <x v="71"/>
    <x v="71"/>
    <x v="3"/>
    <x v="216"/>
    <x v="101"/>
    <x v="65"/>
    <x v="65"/>
    <x v="93"/>
    <x v="283"/>
    <x v="0"/>
  </r>
  <r>
    <x v="0"/>
    <x v="37"/>
    <x v="37"/>
    <x v="72"/>
    <x v="72"/>
    <x v="72"/>
    <x v="3"/>
    <x v="216"/>
    <x v="101"/>
    <x v="65"/>
    <x v="65"/>
    <x v="123"/>
    <x v="242"/>
    <x v="0"/>
  </r>
  <r>
    <x v="0"/>
    <x v="37"/>
    <x v="37"/>
    <x v="40"/>
    <x v="40"/>
    <x v="40"/>
    <x v="15"/>
    <x v="217"/>
    <x v="97"/>
    <x v="65"/>
    <x v="65"/>
    <x v="123"/>
    <x v="242"/>
    <x v="0"/>
  </r>
  <r>
    <x v="0"/>
    <x v="37"/>
    <x v="37"/>
    <x v="67"/>
    <x v="67"/>
    <x v="67"/>
    <x v="15"/>
    <x v="217"/>
    <x v="97"/>
    <x v="50"/>
    <x v="396"/>
    <x v="127"/>
    <x v="151"/>
    <x v="0"/>
  </r>
  <r>
    <x v="0"/>
    <x v="37"/>
    <x v="37"/>
    <x v="56"/>
    <x v="56"/>
    <x v="56"/>
    <x v="15"/>
    <x v="217"/>
    <x v="97"/>
    <x v="50"/>
    <x v="396"/>
    <x v="127"/>
    <x v="151"/>
    <x v="0"/>
  </r>
  <r>
    <x v="0"/>
    <x v="37"/>
    <x v="37"/>
    <x v="46"/>
    <x v="46"/>
    <x v="46"/>
    <x v="15"/>
    <x v="217"/>
    <x v="97"/>
    <x v="65"/>
    <x v="65"/>
    <x v="123"/>
    <x v="242"/>
    <x v="0"/>
  </r>
  <r>
    <x v="0"/>
    <x v="37"/>
    <x v="37"/>
    <x v="13"/>
    <x v="13"/>
    <x v="13"/>
    <x v="15"/>
    <x v="217"/>
    <x v="97"/>
    <x v="65"/>
    <x v="65"/>
    <x v="123"/>
    <x v="242"/>
    <x v="0"/>
  </r>
  <r>
    <x v="0"/>
    <x v="37"/>
    <x v="37"/>
    <x v="73"/>
    <x v="73"/>
    <x v="73"/>
    <x v="15"/>
    <x v="217"/>
    <x v="97"/>
    <x v="50"/>
    <x v="396"/>
    <x v="127"/>
    <x v="151"/>
    <x v="0"/>
  </r>
  <r>
    <x v="0"/>
    <x v="37"/>
    <x v="37"/>
    <x v="74"/>
    <x v="74"/>
    <x v="74"/>
    <x v="15"/>
    <x v="217"/>
    <x v="97"/>
    <x v="65"/>
    <x v="65"/>
    <x v="123"/>
    <x v="242"/>
    <x v="0"/>
  </r>
  <r>
    <x v="0"/>
    <x v="37"/>
    <x v="37"/>
    <x v="75"/>
    <x v="75"/>
    <x v="75"/>
    <x v="15"/>
    <x v="217"/>
    <x v="97"/>
    <x v="65"/>
    <x v="65"/>
    <x v="127"/>
    <x v="151"/>
    <x v="0"/>
  </r>
  <r>
    <x v="0"/>
    <x v="37"/>
    <x v="37"/>
    <x v="76"/>
    <x v="76"/>
    <x v="76"/>
    <x v="15"/>
    <x v="217"/>
    <x v="97"/>
    <x v="65"/>
    <x v="65"/>
    <x v="127"/>
    <x v="151"/>
    <x v="0"/>
  </r>
  <r>
    <x v="0"/>
    <x v="37"/>
    <x v="37"/>
    <x v="30"/>
    <x v="30"/>
    <x v="30"/>
    <x v="15"/>
    <x v="217"/>
    <x v="97"/>
    <x v="65"/>
    <x v="65"/>
    <x v="123"/>
    <x v="242"/>
    <x v="0"/>
  </r>
  <r>
    <x v="0"/>
    <x v="37"/>
    <x v="37"/>
    <x v="77"/>
    <x v="77"/>
    <x v="77"/>
    <x v="15"/>
    <x v="217"/>
    <x v="97"/>
    <x v="65"/>
    <x v="65"/>
    <x v="123"/>
    <x v="242"/>
    <x v="0"/>
  </r>
  <r>
    <x v="0"/>
    <x v="37"/>
    <x v="37"/>
    <x v="78"/>
    <x v="78"/>
    <x v="78"/>
    <x v="15"/>
    <x v="217"/>
    <x v="97"/>
    <x v="65"/>
    <x v="65"/>
    <x v="127"/>
    <x v="151"/>
    <x v="0"/>
  </r>
  <r>
    <x v="0"/>
    <x v="37"/>
    <x v="37"/>
    <x v="28"/>
    <x v="28"/>
    <x v="28"/>
    <x v="15"/>
    <x v="217"/>
    <x v="97"/>
    <x v="50"/>
    <x v="396"/>
    <x v="127"/>
    <x v="151"/>
    <x v="0"/>
  </r>
  <r>
    <x v="0"/>
    <x v="37"/>
    <x v="37"/>
    <x v="79"/>
    <x v="79"/>
    <x v="79"/>
    <x v="15"/>
    <x v="217"/>
    <x v="97"/>
    <x v="65"/>
    <x v="65"/>
    <x v="123"/>
    <x v="242"/>
    <x v="0"/>
  </r>
  <r>
    <x v="0"/>
    <x v="37"/>
    <x v="37"/>
    <x v="80"/>
    <x v="80"/>
    <x v="80"/>
    <x v="15"/>
    <x v="217"/>
    <x v="97"/>
    <x v="50"/>
    <x v="396"/>
    <x v="127"/>
    <x v="151"/>
    <x v="0"/>
  </r>
  <r>
    <x v="0"/>
    <x v="37"/>
    <x v="37"/>
    <x v="44"/>
    <x v="44"/>
    <x v="44"/>
    <x v="15"/>
    <x v="217"/>
    <x v="97"/>
    <x v="65"/>
    <x v="65"/>
    <x v="123"/>
    <x v="242"/>
    <x v="0"/>
  </r>
  <r>
    <x v="0"/>
    <x v="37"/>
    <x v="37"/>
    <x v="49"/>
    <x v="49"/>
    <x v="49"/>
    <x v="15"/>
    <x v="217"/>
    <x v="97"/>
    <x v="65"/>
    <x v="65"/>
    <x v="123"/>
    <x v="242"/>
    <x v="0"/>
  </r>
  <r>
    <x v="0"/>
    <x v="37"/>
    <x v="37"/>
    <x v="55"/>
    <x v="55"/>
    <x v="55"/>
    <x v="15"/>
    <x v="217"/>
    <x v="97"/>
    <x v="50"/>
    <x v="396"/>
    <x v="127"/>
    <x v="151"/>
    <x v="0"/>
  </r>
  <r>
    <x v="0"/>
    <x v="37"/>
    <x v="37"/>
    <x v="35"/>
    <x v="35"/>
    <x v="35"/>
    <x v="15"/>
    <x v="217"/>
    <x v="97"/>
    <x v="65"/>
    <x v="65"/>
    <x v="123"/>
    <x v="242"/>
    <x v="0"/>
  </r>
  <r>
    <x v="0"/>
    <x v="37"/>
    <x v="37"/>
    <x v="0"/>
    <x v="0"/>
    <x v="0"/>
    <x v="15"/>
    <x v="217"/>
    <x v="97"/>
    <x v="65"/>
    <x v="65"/>
    <x v="127"/>
    <x v="151"/>
    <x v="0"/>
  </r>
  <r>
    <x v="0"/>
    <x v="37"/>
    <x v="37"/>
    <x v="81"/>
    <x v="81"/>
    <x v="81"/>
    <x v="15"/>
    <x v="217"/>
    <x v="97"/>
    <x v="65"/>
    <x v="65"/>
    <x v="123"/>
    <x v="242"/>
    <x v="0"/>
  </r>
  <r>
    <x v="0"/>
    <x v="37"/>
    <x v="37"/>
    <x v="5"/>
    <x v="5"/>
    <x v="5"/>
    <x v="15"/>
    <x v="217"/>
    <x v="97"/>
    <x v="50"/>
    <x v="396"/>
    <x v="127"/>
    <x v="151"/>
    <x v="0"/>
  </r>
  <r>
    <x v="0"/>
    <x v="37"/>
    <x v="37"/>
    <x v="64"/>
    <x v="64"/>
    <x v="64"/>
    <x v="15"/>
    <x v="217"/>
    <x v="97"/>
    <x v="50"/>
    <x v="396"/>
    <x v="127"/>
    <x v="151"/>
    <x v="0"/>
  </r>
  <r>
    <x v="0"/>
    <x v="37"/>
    <x v="37"/>
    <x v="82"/>
    <x v="82"/>
    <x v="82"/>
    <x v="15"/>
    <x v="217"/>
    <x v="97"/>
    <x v="65"/>
    <x v="65"/>
    <x v="127"/>
    <x v="151"/>
    <x v="0"/>
  </r>
  <r>
    <x v="0"/>
    <x v="37"/>
    <x v="37"/>
    <x v="23"/>
    <x v="23"/>
    <x v="23"/>
    <x v="15"/>
    <x v="217"/>
    <x v="97"/>
    <x v="50"/>
    <x v="396"/>
    <x v="127"/>
    <x v="151"/>
    <x v="0"/>
  </r>
  <r>
    <x v="0"/>
    <x v="37"/>
    <x v="37"/>
    <x v="6"/>
    <x v="6"/>
    <x v="6"/>
    <x v="15"/>
    <x v="217"/>
    <x v="97"/>
    <x v="50"/>
    <x v="396"/>
    <x v="127"/>
    <x v="151"/>
    <x v="0"/>
  </r>
  <r>
    <x v="0"/>
    <x v="37"/>
    <x v="37"/>
    <x v="43"/>
    <x v="43"/>
    <x v="43"/>
    <x v="15"/>
    <x v="217"/>
    <x v="97"/>
    <x v="65"/>
    <x v="65"/>
    <x v="123"/>
    <x v="242"/>
    <x v="0"/>
  </r>
  <r>
    <x v="0"/>
    <x v="37"/>
    <x v="37"/>
    <x v="19"/>
    <x v="19"/>
    <x v="19"/>
    <x v="15"/>
    <x v="217"/>
    <x v="97"/>
    <x v="50"/>
    <x v="396"/>
    <x v="127"/>
    <x v="151"/>
    <x v="0"/>
  </r>
  <r>
    <x v="0"/>
    <x v="37"/>
    <x v="37"/>
    <x v="83"/>
    <x v="83"/>
    <x v="83"/>
    <x v="15"/>
    <x v="217"/>
    <x v="97"/>
    <x v="50"/>
    <x v="396"/>
    <x v="127"/>
    <x v="151"/>
    <x v="0"/>
  </r>
  <r>
    <x v="0"/>
    <x v="37"/>
    <x v="37"/>
    <x v="60"/>
    <x v="60"/>
    <x v="60"/>
    <x v="15"/>
    <x v="217"/>
    <x v="97"/>
    <x v="65"/>
    <x v="65"/>
    <x v="123"/>
    <x v="242"/>
    <x v="0"/>
  </r>
  <r>
    <x v="0"/>
    <x v="38"/>
    <x v="38"/>
    <x v="1"/>
    <x v="1"/>
    <x v="1"/>
    <x v="0"/>
    <x v="116"/>
    <x v="288"/>
    <x v="46"/>
    <x v="399"/>
    <x v="93"/>
    <x v="67"/>
    <x v="0"/>
  </r>
  <r>
    <x v="0"/>
    <x v="38"/>
    <x v="38"/>
    <x v="0"/>
    <x v="0"/>
    <x v="0"/>
    <x v="1"/>
    <x v="133"/>
    <x v="289"/>
    <x v="53"/>
    <x v="400"/>
    <x v="106"/>
    <x v="284"/>
    <x v="0"/>
  </r>
  <r>
    <x v="0"/>
    <x v="38"/>
    <x v="38"/>
    <x v="3"/>
    <x v="3"/>
    <x v="3"/>
    <x v="2"/>
    <x v="134"/>
    <x v="290"/>
    <x v="174"/>
    <x v="401"/>
    <x v="127"/>
    <x v="151"/>
    <x v="0"/>
  </r>
  <r>
    <x v="0"/>
    <x v="38"/>
    <x v="38"/>
    <x v="2"/>
    <x v="2"/>
    <x v="2"/>
    <x v="3"/>
    <x v="136"/>
    <x v="291"/>
    <x v="71"/>
    <x v="402"/>
    <x v="123"/>
    <x v="68"/>
    <x v="0"/>
  </r>
  <r>
    <x v="0"/>
    <x v="38"/>
    <x v="38"/>
    <x v="4"/>
    <x v="4"/>
    <x v="4"/>
    <x v="4"/>
    <x v="141"/>
    <x v="292"/>
    <x v="94"/>
    <x v="403"/>
    <x v="108"/>
    <x v="191"/>
    <x v="0"/>
  </r>
  <r>
    <x v="0"/>
    <x v="38"/>
    <x v="38"/>
    <x v="12"/>
    <x v="12"/>
    <x v="12"/>
    <x v="5"/>
    <x v="206"/>
    <x v="293"/>
    <x v="77"/>
    <x v="404"/>
    <x v="110"/>
    <x v="285"/>
    <x v="0"/>
  </r>
  <r>
    <x v="0"/>
    <x v="38"/>
    <x v="38"/>
    <x v="11"/>
    <x v="11"/>
    <x v="11"/>
    <x v="6"/>
    <x v="194"/>
    <x v="213"/>
    <x v="62"/>
    <x v="405"/>
    <x v="109"/>
    <x v="286"/>
    <x v="0"/>
  </r>
  <r>
    <x v="0"/>
    <x v="38"/>
    <x v="38"/>
    <x v="5"/>
    <x v="5"/>
    <x v="5"/>
    <x v="7"/>
    <x v="207"/>
    <x v="43"/>
    <x v="68"/>
    <x v="396"/>
    <x v="93"/>
    <x v="67"/>
    <x v="0"/>
  </r>
  <r>
    <x v="0"/>
    <x v="38"/>
    <x v="38"/>
    <x v="9"/>
    <x v="9"/>
    <x v="9"/>
    <x v="7"/>
    <x v="207"/>
    <x v="43"/>
    <x v="68"/>
    <x v="396"/>
    <x v="93"/>
    <x v="67"/>
    <x v="0"/>
  </r>
  <r>
    <x v="0"/>
    <x v="38"/>
    <x v="38"/>
    <x v="40"/>
    <x v="40"/>
    <x v="40"/>
    <x v="9"/>
    <x v="208"/>
    <x v="28"/>
    <x v="51"/>
    <x v="247"/>
    <x v="119"/>
    <x v="103"/>
    <x v="0"/>
  </r>
  <r>
    <x v="0"/>
    <x v="38"/>
    <x v="38"/>
    <x v="41"/>
    <x v="41"/>
    <x v="41"/>
    <x v="9"/>
    <x v="208"/>
    <x v="28"/>
    <x v="95"/>
    <x v="406"/>
    <x v="108"/>
    <x v="191"/>
    <x v="0"/>
  </r>
  <r>
    <x v="0"/>
    <x v="38"/>
    <x v="38"/>
    <x v="6"/>
    <x v="6"/>
    <x v="6"/>
    <x v="9"/>
    <x v="208"/>
    <x v="28"/>
    <x v="77"/>
    <x v="404"/>
    <x v="127"/>
    <x v="151"/>
    <x v="0"/>
  </r>
  <r>
    <x v="0"/>
    <x v="38"/>
    <x v="38"/>
    <x v="10"/>
    <x v="10"/>
    <x v="10"/>
    <x v="12"/>
    <x v="195"/>
    <x v="61"/>
    <x v="56"/>
    <x v="89"/>
    <x v="98"/>
    <x v="42"/>
    <x v="0"/>
  </r>
  <r>
    <x v="0"/>
    <x v="38"/>
    <x v="38"/>
    <x v="28"/>
    <x v="28"/>
    <x v="28"/>
    <x v="12"/>
    <x v="195"/>
    <x v="61"/>
    <x v="70"/>
    <x v="87"/>
    <x v="67"/>
    <x v="287"/>
    <x v="0"/>
  </r>
  <r>
    <x v="0"/>
    <x v="38"/>
    <x v="38"/>
    <x v="18"/>
    <x v="18"/>
    <x v="18"/>
    <x v="12"/>
    <x v="195"/>
    <x v="61"/>
    <x v="56"/>
    <x v="89"/>
    <x v="98"/>
    <x v="42"/>
    <x v="0"/>
  </r>
  <r>
    <x v="0"/>
    <x v="38"/>
    <x v="38"/>
    <x v="7"/>
    <x v="7"/>
    <x v="7"/>
    <x v="14"/>
    <x v="210"/>
    <x v="31"/>
    <x v="70"/>
    <x v="87"/>
    <x v="119"/>
    <x v="103"/>
    <x v="0"/>
  </r>
  <r>
    <x v="0"/>
    <x v="38"/>
    <x v="38"/>
    <x v="46"/>
    <x v="46"/>
    <x v="46"/>
    <x v="15"/>
    <x v="196"/>
    <x v="294"/>
    <x v="56"/>
    <x v="89"/>
    <x v="119"/>
    <x v="103"/>
    <x v="0"/>
  </r>
  <r>
    <x v="0"/>
    <x v="38"/>
    <x v="38"/>
    <x v="47"/>
    <x v="47"/>
    <x v="47"/>
    <x v="15"/>
    <x v="196"/>
    <x v="294"/>
    <x v="70"/>
    <x v="87"/>
    <x v="110"/>
    <x v="285"/>
    <x v="0"/>
  </r>
  <r>
    <x v="0"/>
    <x v="38"/>
    <x v="38"/>
    <x v="58"/>
    <x v="58"/>
    <x v="58"/>
    <x v="17"/>
    <x v="197"/>
    <x v="182"/>
    <x v="50"/>
    <x v="224"/>
    <x v="119"/>
    <x v="103"/>
    <x v="0"/>
  </r>
  <r>
    <x v="0"/>
    <x v="38"/>
    <x v="38"/>
    <x v="84"/>
    <x v="84"/>
    <x v="84"/>
    <x v="17"/>
    <x v="197"/>
    <x v="182"/>
    <x v="56"/>
    <x v="89"/>
    <x v="110"/>
    <x v="285"/>
    <x v="0"/>
  </r>
  <r>
    <x v="0"/>
    <x v="38"/>
    <x v="38"/>
    <x v="42"/>
    <x v="42"/>
    <x v="42"/>
    <x v="17"/>
    <x v="197"/>
    <x v="182"/>
    <x v="65"/>
    <x v="65"/>
    <x v="67"/>
    <x v="287"/>
    <x v="0"/>
  </r>
  <r>
    <x v="0"/>
    <x v="38"/>
    <x v="38"/>
    <x v="49"/>
    <x v="49"/>
    <x v="49"/>
    <x v="17"/>
    <x v="197"/>
    <x v="182"/>
    <x v="70"/>
    <x v="87"/>
    <x v="108"/>
    <x v="191"/>
    <x v="0"/>
  </r>
  <r>
    <x v="0"/>
    <x v="38"/>
    <x v="38"/>
    <x v="51"/>
    <x v="51"/>
    <x v="51"/>
    <x v="17"/>
    <x v="197"/>
    <x v="182"/>
    <x v="56"/>
    <x v="89"/>
    <x v="110"/>
    <x v="285"/>
    <x v="0"/>
  </r>
  <r>
    <x v="0"/>
    <x v="38"/>
    <x v="38"/>
    <x v="34"/>
    <x v="34"/>
    <x v="34"/>
    <x v="17"/>
    <x v="197"/>
    <x v="182"/>
    <x v="50"/>
    <x v="224"/>
    <x v="119"/>
    <x v="103"/>
    <x v="0"/>
  </r>
  <r>
    <x v="0"/>
    <x v="38"/>
    <x v="38"/>
    <x v="39"/>
    <x v="39"/>
    <x v="39"/>
    <x v="17"/>
    <x v="197"/>
    <x v="182"/>
    <x v="62"/>
    <x v="405"/>
    <x v="93"/>
    <x v="67"/>
    <x v="0"/>
  </r>
  <r>
    <x v="0"/>
    <x v="38"/>
    <x v="38"/>
    <x v="23"/>
    <x v="23"/>
    <x v="23"/>
    <x v="17"/>
    <x v="197"/>
    <x v="182"/>
    <x v="51"/>
    <x v="247"/>
    <x v="123"/>
    <x v="68"/>
    <x v="0"/>
  </r>
  <r>
    <x v="0"/>
    <x v="39"/>
    <x v="39"/>
    <x v="0"/>
    <x v="0"/>
    <x v="0"/>
    <x v="0"/>
    <x v="132"/>
    <x v="295"/>
    <x v="69"/>
    <x v="407"/>
    <x v="109"/>
    <x v="194"/>
    <x v="0"/>
  </r>
  <r>
    <x v="0"/>
    <x v="39"/>
    <x v="39"/>
    <x v="1"/>
    <x v="1"/>
    <x v="1"/>
    <x v="1"/>
    <x v="109"/>
    <x v="296"/>
    <x v="145"/>
    <x v="106"/>
    <x v="123"/>
    <x v="71"/>
    <x v="0"/>
  </r>
  <r>
    <x v="0"/>
    <x v="39"/>
    <x v="39"/>
    <x v="4"/>
    <x v="4"/>
    <x v="4"/>
    <x v="2"/>
    <x v="144"/>
    <x v="297"/>
    <x v="53"/>
    <x v="408"/>
    <x v="63"/>
    <x v="288"/>
    <x v="0"/>
  </r>
  <r>
    <x v="0"/>
    <x v="39"/>
    <x v="39"/>
    <x v="2"/>
    <x v="2"/>
    <x v="2"/>
    <x v="3"/>
    <x v="135"/>
    <x v="238"/>
    <x v="71"/>
    <x v="409"/>
    <x v="93"/>
    <x v="25"/>
    <x v="0"/>
  </r>
  <r>
    <x v="0"/>
    <x v="39"/>
    <x v="39"/>
    <x v="51"/>
    <x v="51"/>
    <x v="51"/>
    <x v="4"/>
    <x v="137"/>
    <x v="298"/>
    <x v="55"/>
    <x v="146"/>
    <x v="106"/>
    <x v="289"/>
    <x v="0"/>
  </r>
  <r>
    <x v="0"/>
    <x v="39"/>
    <x v="39"/>
    <x v="3"/>
    <x v="3"/>
    <x v="3"/>
    <x v="5"/>
    <x v="140"/>
    <x v="299"/>
    <x v="109"/>
    <x v="410"/>
    <x v="93"/>
    <x v="25"/>
    <x v="0"/>
  </r>
  <r>
    <x v="0"/>
    <x v="39"/>
    <x v="39"/>
    <x v="6"/>
    <x v="6"/>
    <x v="6"/>
    <x v="6"/>
    <x v="204"/>
    <x v="300"/>
    <x v="94"/>
    <x v="51"/>
    <x v="123"/>
    <x v="71"/>
    <x v="0"/>
  </r>
  <r>
    <x v="0"/>
    <x v="39"/>
    <x v="39"/>
    <x v="7"/>
    <x v="7"/>
    <x v="7"/>
    <x v="7"/>
    <x v="205"/>
    <x v="301"/>
    <x v="68"/>
    <x v="149"/>
    <x v="67"/>
    <x v="137"/>
    <x v="0"/>
  </r>
  <r>
    <x v="0"/>
    <x v="39"/>
    <x v="39"/>
    <x v="41"/>
    <x v="41"/>
    <x v="41"/>
    <x v="8"/>
    <x v="193"/>
    <x v="150"/>
    <x v="100"/>
    <x v="411"/>
    <x v="119"/>
    <x v="79"/>
    <x v="0"/>
  </r>
  <r>
    <x v="0"/>
    <x v="39"/>
    <x v="39"/>
    <x v="42"/>
    <x v="42"/>
    <x v="42"/>
    <x v="9"/>
    <x v="207"/>
    <x v="84"/>
    <x v="50"/>
    <x v="17"/>
    <x v="106"/>
    <x v="289"/>
    <x v="0"/>
  </r>
  <r>
    <x v="0"/>
    <x v="39"/>
    <x v="39"/>
    <x v="5"/>
    <x v="5"/>
    <x v="5"/>
    <x v="9"/>
    <x v="207"/>
    <x v="84"/>
    <x v="77"/>
    <x v="298"/>
    <x v="123"/>
    <x v="71"/>
    <x v="0"/>
  </r>
  <r>
    <x v="0"/>
    <x v="39"/>
    <x v="39"/>
    <x v="8"/>
    <x v="8"/>
    <x v="8"/>
    <x v="9"/>
    <x v="207"/>
    <x v="84"/>
    <x v="89"/>
    <x v="221"/>
    <x v="127"/>
    <x v="151"/>
    <x v="0"/>
  </r>
  <r>
    <x v="0"/>
    <x v="39"/>
    <x v="39"/>
    <x v="9"/>
    <x v="9"/>
    <x v="9"/>
    <x v="12"/>
    <x v="208"/>
    <x v="153"/>
    <x v="100"/>
    <x v="411"/>
    <x v="93"/>
    <x v="25"/>
    <x v="0"/>
  </r>
  <r>
    <x v="0"/>
    <x v="39"/>
    <x v="39"/>
    <x v="11"/>
    <x v="11"/>
    <x v="11"/>
    <x v="13"/>
    <x v="195"/>
    <x v="171"/>
    <x v="70"/>
    <x v="412"/>
    <x v="67"/>
    <x v="137"/>
    <x v="0"/>
  </r>
  <r>
    <x v="0"/>
    <x v="39"/>
    <x v="39"/>
    <x v="47"/>
    <x v="47"/>
    <x v="47"/>
    <x v="13"/>
    <x v="195"/>
    <x v="171"/>
    <x v="39"/>
    <x v="70"/>
    <x v="108"/>
    <x v="44"/>
    <x v="0"/>
  </r>
  <r>
    <x v="0"/>
    <x v="39"/>
    <x v="39"/>
    <x v="18"/>
    <x v="18"/>
    <x v="18"/>
    <x v="13"/>
    <x v="195"/>
    <x v="171"/>
    <x v="70"/>
    <x v="412"/>
    <x v="67"/>
    <x v="137"/>
    <x v="0"/>
  </r>
  <r>
    <x v="0"/>
    <x v="39"/>
    <x v="39"/>
    <x v="85"/>
    <x v="85"/>
    <x v="85"/>
    <x v="13"/>
    <x v="195"/>
    <x v="171"/>
    <x v="51"/>
    <x v="19"/>
    <x v="110"/>
    <x v="106"/>
    <x v="0"/>
  </r>
  <r>
    <x v="0"/>
    <x v="39"/>
    <x v="39"/>
    <x v="45"/>
    <x v="45"/>
    <x v="45"/>
    <x v="13"/>
    <x v="195"/>
    <x v="171"/>
    <x v="95"/>
    <x v="7"/>
    <x v="93"/>
    <x v="25"/>
    <x v="0"/>
  </r>
  <r>
    <x v="0"/>
    <x v="39"/>
    <x v="39"/>
    <x v="48"/>
    <x v="48"/>
    <x v="48"/>
    <x v="17"/>
    <x v="210"/>
    <x v="33"/>
    <x v="62"/>
    <x v="218"/>
    <x v="110"/>
    <x v="106"/>
    <x v="0"/>
  </r>
  <r>
    <x v="0"/>
    <x v="39"/>
    <x v="39"/>
    <x v="23"/>
    <x v="23"/>
    <x v="23"/>
    <x v="17"/>
    <x v="210"/>
    <x v="33"/>
    <x v="100"/>
    <x v="411"/>
    <x v="127"/>
    <x v="151"/>
    <x v="0"/>
  </r>
  <r>
    <x v="0"/>
    <x v="40"/>
    <x v="40"/>
    <x v="0"/>
    <x v="0"/>
    <x v="0"/>
    <x v="0"/>
    <x v="112"/>
    <x v="302"/>
    <x v="172"/>
    <x v="413"/>
    <x v="63"/>
    <x v="258"/>
    <x v="0"/>
  </r>
  <r>
    <x v="0"/>
    <x v="40"/>
    <x v="40"/>
    <x v="1"/>
    <x v="1"/>
    <x v="1"/>
    <x v="1"/>
    <x v="202"/>
    <x v="303"/>
    <x v="173"/>
    <x v="131"/>
    <x v="110"/>
    <x v="290"/>
    <x v="0"/>
  </r>
  <r>
    <x v="0"/>
    <x v="40"/>
    <x v="40"/>
    <x v="3"/>
    <x v="3"/>
    <x v="3"/>
    <x v="2"/>
    <x v="106"/>
    <x v="304"/>
    <x v="172"/>
    <x v="413"/>
    <x v="108"/>
    <x v="235"/>
    <x v="0"/>
  </r>
  <r>
    <x v="0"/>
    <x v="40"/>
    <x v="40"/>
    <x v="10"/>
    <x v="10"/>
    <x v="10"/>
    <x v="3"/>
    <x v="116"/>
    <x v="305"/>
    <x v="50"/>
    <x v="10"/>
    <x v="103"/>
    <x v="291"/>
    <x v="0"/>
  </r>
  <r>
    <x v="0"/>
    <x v="40"/>
    <x v="40"/>
    <x v="46"/>
    <x v="46"/>
    <x v="46"/>
    <x v="4"/>
    <x v="118"/>
    <x v="55"/>
    <x v="109"/>
    <x v="414"/>
    <x v="79"/>
    <x v="170"/>
    <x v="0"/>
  </r>
  <r>
    <x v="0"/>
    <x v="40"/>
    <x v="40"/>
    <x v="2"/>
    <x v="2"/>
    <x v="2"/>
    <x v="5"/>
    <x v="150"/>
    <x v="68"/>
    <x v="103"/>
    <x v="415"/>
    <x v="93"/>
    <x v="3"/>
    <x v="0"/>
  </r>
  <r>
    <x v="0"/>
    <x v="40"/>
    <x v="40"/>
    <x v="6"/>
    <x v="6"/>
    <x v="6"/>
    <x v="6"/>
    <x v="135"/>
    <x v="306"/>
    <x v="53"/>
    <x v="416"/>
    <x v="123"/>
    <x v="234"/>
    <x v="0"/>
  </r>
  <r>
    <x v="0"/>
    <x v="40"/>
    <x v="40"/>
    <x v="7"/>
    <x v="7"/>
    <x v="7"/>
    <x v="7"/>
    <x v="139"/>
    <x v="307"/>
    <x v="95"/>
    <x v="344"/>
    <x v="63"/>
    <x v="258"/>
    <x v="0"/>
  </r>
  <r>
    <x v="0"/>
    <x v="40"/>
    <x v="40"/>
    <x v="4"/>
    <x v="4"/>
    <x v="4"/>
    <x v="8"/>
    <x v="140"/>
    <x v="308"/>
    <x v="94"/>
    <x v="150"/>
    <x v="119"/>
    <x v="250"/>
    <x v="0"/>
  </r>
  <r>
    <x v="0"/>
    <x v="40"/>
    <x v="40"/>
    <x v="5"/>
    <x v="5"/>
    <x v="5"/>
    <x v="8"/>
    <x v="140"/>
    <x v="308"/>
    <x v="33"/>
    <x v="417"/>
    <x v="108"/>
    <x v="235"/>
    <x v="0"/>
  </r>
  <r>
    <x v="0"/>
    <x v="40"/>
    <x v="40"/>
    <x v="8"/>
    <x v="8"/>
    <x v="8"/>
    <x v="10"/>
    <x v="209"/>
    <x v="309"/>
    <x v="55"/>
    <x v="418"/>
    <x v="108"/>
    <x v="235"/>
    <x v="0"/>
  </r>
  <r>
    <x v="0"/>
    <x v="40"/>
    <x v="40"/>
    <x v="53"/>
    <x v="53"/>
    <x v="53"/>
    <x v="11"/>
    <x v="204"/>
    <x v="310"/>
    <x v="65"/>
    <x v="65"/>
    <x v="123"/>
    <x v="234"/>
    <x v="0"/>
  </r>
  <r>
    <x v="0"/>
    <x v="40"/>
    <x v="40"/>
    <x v="9"/>
    <x v="9"/>
    <x v="9"/>
    <x v="12"/>
    <x v="192"/>
    <x v="84"/>
    <x v="89"/>
    <x v="346"/>
    <x v="119"/>
    <x v="250"/>
    <x v="0"/>
  </r>
  <r>
    <x v="0"/>
    <x v="40"/>
    <x v="40"/>
    <x v="11"/>
    <x v="11"/>
    <x v="11"/>
    <x v="13"/>
    <x v="205"/>
    <x v="85"/>
    <x v="56"/>
    <x v="332"/>
    <x v="79"/>
    <x v="170"/>
    <x v="0"/>
  </r>
  <r>
    <x v="0"/>
    <x v="40"/>
    <x v="40"/>
    <x v="19"/>
    <x v="19"/>
    <x v="19"/>
    <x v="13"/>
    <x v="205"/>
    <x v="85"/>
    <x v="39"/>
    <x v="342"/>
    <x v="113"/>
    <x v="160"/>
    <x v="0"/>
  </r>
  <r>
    <x v="0"/>
    <x v="40"/>
    <x v="40"/>
    <x v="17"/>
    <x v="17"/>
    <x v="17"/>
    <x v="14"/>
    <x v="206"/>
    <x v="63"/>
    <x v="70"/>
    <x v="89"/>
    <x v="104"/>
    <x v="266"/>
    <x v="0"/>
  </r>
  <r>
    <x v="0"/>
    <x v="40"/>
    <x v="40"/>
    <x v="40"/>
    <x v="40"/>
    <x v="40"/>
    <x v="14"/>
    <x v="206"/>
    <x v="63"/>
    <x v="62"/>
    <x v="27"/>
    <x v="106"/>
    <x v="202"/>
    <x v="0"/>
  </r>
  <r>
    <x v="0"/>
    <x v="40"/>
    <x v="40"/>
    <x v="28"/>
    <x v="28"/>
    <x v="28"/>
    <x v="16"/>
    <x v="194"/>
    <x v="32"/>
    <x v="62"/>
    <x v="27"/>
    <x v="109"/>
    <x v="104"/>
    <x v="0"/>
  </r>
  <r>
    <x v="0"/>
    <x v="40"/>
    <x v="40"/>
    <x v="47"/>
    <x v="47"/>
    <x v="47"/>
    <x v="16"/>
    <x v="194"/>
    <x v="32"/>
    <x v="51"/>
    <x v="328"/>
    <x v="98"/>
    <x v="158"/>
    <x v="0"/>
  </r>
  <r>
    <x v="0"/>
    <x v="40"/>
    <x v="40"/>
    <x v="34"/>
    <x v="34"/>
    <x v="34"/>
    <x v="16"/>
    <x v="194"/>
    <x v="32"/>
    <x v="70"/>
    <x v="89"/>
    <x v="113"/>
    <x v="160"/>
    <x v="0"/>
  </r>
  <r>
    <x v="0"/>
    <x v="41"/>
    <x v="41"/>
    <x v="1"/>
    <x v="1"/>
    <x v="1"/>
    <x v="0"/>
    <x v="73"/>
    <x v="311"/>
    <x v="177"/>
    <x v="419"/>
    <x v="134"/>
    <x v="74"/>
    <x v="0"/>
  </r>
  <r>
    <x v="0"/>
    <x v="41"/>
    <x v="41"/>
    <x v="0"/>
    <x v="0"/>
    <x v="0"/>
    <x v="1"/>
    <x v="92"/>
    <x v="312"/>
    <x v="172"/>
    <x v="420"/>
    <x v="94"/>
    <x v="292"/>
    <x v="0"/>
  </r>
  <r>
    <x v="0"/>
    <x v="41"/>
    <x v="41"/>
    <x v="3"/>
    <x v="3"/>
    <x v="3"/>
    <x v="2"/>
    <x v="112"/>
    <x v="313"/>
    <x v="146"/>
    <x v="421"/>
    <x v="110"/>
    <x v="293"/>
    <x v="0"/>
  </r>
  <r>
    <x v="0"/>
    <x v="41"/>
    <x v="41"/>
    <x v="8"/>
    <x v="8"/>
    <x v="8"/>
    <x v="3"/>
    <x v="115"/>
    <x v="314"/>
    <x v="101"/>
    <x v="422"/>
    <x v="67"/>
    <x v="294"/>
    <x v="0"/>
  </r>
  <r>
    <x v="0"/>
    <x v="41"/>
    <x v="41"/>
    <x v="6"/>
    <x v="6"/>
    <x v="6"/>
    <x v="4"/>
    <x v="119"/>
    <x v="315"/>
    <x v="119"/>
    <x v="423"/>
    <x v="93"/>
    <x v="295"/>
    <x v="0"/>
  </r>
  <r>
    <x v="0"/>
    <x v="41"/>
    <x v="41"/>
    <x v="2"/>
    <x v="2"/>
    <x v="2"/>
    <x v="5"/>
    <x v="135"/>
    <x v="161"/>
    <x v="53"/>
    <x v="424"/>
    <x v="123"/>
    <x v="296"/>
    <x v="0"/>
  </r>
  <r>
    <x v="0"/>
    <x v="41"/>
    <x v="41"/>
    <x v="5"/>
    <x v="5"/>
    <x v="5"/>
    <x v="6"/>
    <x v="140"/>
    <x v="178"/>
    <x v="32"/>
    <x v="425"/>
    <x v="110"/>
    <x v="293"/>
    <x v="0"/>
  </r>
  <r>
    <x v="0"/>
    <x v="41"/>
    <x v="41"/>
    <x v="7"/>
    <x v="7"/>
    <x v="7"/>
    <x v="7"/>
    <x v="141"/>
    <x v="46"/>
    <x v="51"/>
    <x v="426"/>
    <x v="76"/>
    <x v="149"/>
    <x v="0"/>
  </r>
  <r>
    <x v="0"/>
    <x v="41"/>
    <x v="41"/>
    <x v="40"/>
    <x v="40"/>
    <x v="40"/>
    <x v="8"/>
    <x v="204"/>
    <x v="74"/>
    <x v="50"/>
    <x v="238"/>
    <x v="63"/>
    <x v="297"/>
    <x v="0"/>
  </r>
  <r>
    <x v="0"/>
    <x v="41"/>
    <x v="41"/>
    <x v="18"/>
    <x v="18"/>
    <x v="18"/>
    <x v="8"/>
    <x v="204"/>
    <x v="74"/>
    <x v="95"/>
    <x v="381"/>
    <x v="106"/>
    <x v="160"/>
    <x v="0"/>
  </r>
  <r>
    <x v="0"/>
    <x v="41"/>
    <x v="41"/>
    <x v="46"/>
    <x v="46"/>
    <x v="46"/>
    <x v="10"/>
    <x v="192"/>
    <x v="29"/>
    <x v="68"/>
    <x v="427"/>
    <x v="98"/>
    <x v="265"/>
    <x v="0"/>
  </r>
  <r>
    <x v="0"/>
    <x v="41"/>
    <x v="41"/>
    <x v="4"/>
    <x v="4"/>
    <x v="4"/>
    <x v="10"/>
    <x v="192"/>
    <x v="29"/>
    <x v="61"/>
    <x v="346"/>
    <x v="110"/>
    <x v="293"/>
    <x v="0"/>
  </r>
  <r>
    <x v="0"/>
    <x v="41"/>
    <x v="41"/>
    <x v="11"/>
    <x v="11"/>
    <x v="11"/>
    <x v="12"/>
    <x v="205"/>
    <x v="31"/>
    <x v="39"/>
    <x v="250"/>
    <x v="113"/>
    <x v="129"/>
    <x v="0"/>
  </r>
  <r>
    <x v="0"/>
    <x v="41"/>
    <x v="41"/>
    <x v="9"/>
    <x v="9"/>
    <x v="9"/>
    <x v="12"/>
    <x v="205"/>
    <x v="31"/>
    <x v="55"/>
    <x v="36"/>
    <x v="127"/>
    <x v="151"/>
    <x v="0"/>
  </r>
  <r>
    <x v="0"/>
    <x v="41"/>
    <x v="41"/>
    <x v="17"/>
    <x v="17"/>
    <x v="17"/>
    <x v="19"/>
    <x v="206"/>
    <x v="11"/>
    <x v="50"/>
    <x v="238"/>
    <x v="79"/>
    <x v="287"/>
    <x v="0"/>
  </r>
  <r>
    <x v="0"/>
    <x v="41"/>
    <x v="41"/>
    <x v="32"/>
    <x v="32"/>
    <x v="32"/>
    <x v="19"/>
    <x v="206"/>
    <x v="11"/>
    <x v="56"/>
    <x v="173"/>
    <x v="134"/>
    <x v="74"/>
    <x v="0"/>
  </r>
  <r>
    <x v="0"/>
    <x v="41"/>
    <x v="41"/>
    <x v="34"/>
    <x v="34"/>
    <x v="34"/>
    <x v="19"/>
    <x v="206"/>
    <x v="11"/>
    <x v="39"/>
    <x v="250"/>
    <x v="109"/>
    <x v="280"/>
    <x v="0"/>
  </r>
  <r>
    <x v="0"/>
    <x v="41"/>
    <x v="41"/>
    <x v="39"/>
    <x v="39"/>
    <x v="39"/>
    <x v="19"/>
    <x v="206"/>
    <x v="11"/>
    <x v="95"/>
    <x v="381"/>
    <x v="98"/>
    <x v="265"/>
    <x v="0"/>
  </r>
  <r>
    <x v="0"/>
    <x v="41"/>
    <x v="41"/>
    <x v="16"/>
    <x v="16"/>
    <x v="16"/>
    <x v="17"/>
    <x v="193"/>
    <x v="32"/>
    <x v="56"/>
    <x v="173"/>
    <x v="104"/>
    <x v="111"/>
    <x v="0"/>
  </r>
  <r>
    <x v="0"/>
    <x v="41"/>
    <x v="41"/>
    <x v="37"/>
    <x v="37"/>
    <x v="37"/>
    <x v="17"/>
    <x v="193"/>
    <x v="32"/>
    <x v="56"/>
    <x v="173"/>
    <x v="106"/>
    <x v="160"/>
    <x v="0"/>
  </r>
  <r>
    <x v="0"/>
    <x v="41"/>
    <x v="41"/>
    <x v="19"/>
    <x v="19"/>
    <x v="19"/>
    <x v="17"/>
    <x v="193"/>
    <x v="32"/>
    <x v="51"/>
    <x v="426"/>
    <x v="109"/>
    <x v="280"/>
    <x v="0"/>
  </r>
  <r>
    <x v="0"/>
    <x v="42"/>
    <x v="42"/>
    <x v="0"/>
    <x v="0"/>
    <x v="0"/>
    <x v="0"/>
    <x v="72"/>
    <x v="316"/>
    <x v="91"/>
    <x v="428"/>
    <x v="52"/>
    <x v="298"/>
    <x v="0"/>
  </r>
  <r>
    <x v="0"/>
    <x v="42"/>
    <x v="42"/>
    <x v="1"/>
    <x v="1"/>
    <x v="1"/>
    <x v="1"/>
    <x v="103"/>
    <x v="253"/>
    <x v="93"/>
    <x v="429"/>
    <x v="119"/>
    <x v="30"/>
    <x v="0"/>
  </r>
  <r>
    <x v="0"/>
    <x v="42"/>
    <x v="42"/>
    <x v="3"/>
    <x v="3"/>
    <x v="3"/>
    <x v="2"/>
    <x v="117"/>
    <x v="317"/>
    <x v="30"/>
    <x v="430"/>
    <x v="127"/>
    <x v="151"/>
    <x v="0"/>
  </r>
  <r>
    <x v="0"/>
    <x v="42"/>
    <x v="42"/>
    <x v="2"/>
    <x v="2"/>
    <x v="2"/>
    <x v="3"/>
    <x v="119"/>
    <x v="79"/>
    <x v="119"/>
    <x v="431"/>
    <x v="93"/>
    <x v="161"/>
    <x v="0"/>
  </r>
  <r>
    <x v="0"/>
    <x v="42"/>
    <x v="42"/>
    <x v="4"/>
    <x v="4"/>
    <x v="4"/>
    <x v="4"/>
    <x v="120"/>
    <x v="298"/>
    <x v="157"/>
    <x v="432"/>
    <x v="109"/>
    <x v="252"/>
    <x v="0"/>
  </r>
  <r>
    <x v="0"/>
    <x v="42"/>
    <x v="42"/>
    <x v="7"/>
    <x v="7"/>
    <x v="7"/>
    <x v="5"/>
    <x v="141"/>
    <x v="69"/>
    <x v="61"/>
    <x v="433"/>
    <x v="98"/>
    <x v="139"/>
    <x v="0"/>
  </r>
  <r>
    <x v="0"/>
    <x v="42"/>
    <x v="42"/>
    <x v="6"/>
    <x v="6"/>
    <x v="6"/>
    <x v="5"/>
    <x v="141"/>
    <x v="69"/>
    <x v="32"/>
    <x v="434"/>
    <x v="93"/>
    <x v="161"/>
    <x v="0"/>
  </r>
  <r>
    <x v="0"/>
    <x v="42"/>
    <x v="42"/>
    <x v="5"/>
    <x v="5"/>
    <x v="5"/>
    <x v="7"/>
    <x v="204"/>
    <x v="132"/>
    <x v="38"/>
    <x v="435"/>
    <x v="110"/>
    <x v="299"/>
    <x v="0"/>
  </r>
  <r>
    <x v="0"/>
    <x v="42"/>
    <x v="42"/>
    <x v="11"/>
    <x v="11"/>
    <x v="11"/>
    <x v="8"/>
    <x v="192"/>
    <x v="178"/>
    <x v="39"/>
    <x v="436"/>
    <x v="106"/>
    <x v="224"/>
    <x v="0"/>
  </r>
  <r>
    <x v="0"/>
    <x v="42"/>
    <x v="42"/>
    <x v="18"/>
    <x v="18"/>
    <x v="18"/>
    <x v="9"/>
    <x v="205"/>
    <x v="133"/>
    <x v="100"/>
    <x v="437"/>
    <x v="98"/>
    <x v="139"/>
    <x v="0"/>
  </r>
  <r>
    <x v="0"/>
    <x v="42"/>
    <x v="42"/>
    <x v="8"/>
    <x v="8"/>
    <x v="8"/>
    <x v="10"/>
    <x v="206"/>
    <x v="107"/>
    <x v="77"/>
    <x v="438"/>
    <x v="110"/>
    <x v="299"/>
    <x v="0"/>
  </r>
  <r>
    <x v="0"/>
    <x v="42"/>
    <x v="42"/>
    <x v="41"/>
    <x v="41"/>
    <x v="41"/>
    <x v="11"/>
    <x v="193"/>
    <x v="60"/>
    <x v="68"/>
    <x v="439"/>
    <x v="110"/>
    <x v="299"/>
    <x v="0"/>
  </r>
  <r>
    <x v="0"/>
    <x v="42"/>
    <x v="42"/>
    <x v="15"/>
    <x v="15"/>
    <x v="15"/>
    <x v="12"/>
    <x v="194"/>
    <x v="153"/>
    <x v="70"/>
    <x v="440"/>
    <x v="113"/>
    <x v="133"/>
    <x v="0"/>
  </r>
  <r>
    <x v="0"/>
    <x v="42"/>
    <x v="42"/>
    <x v="59"/>
    <x v="59"/>
    <x v="59"/>
    <x v="12"/>
    <x v="194"/>
    <x v="153"/>
    <x v="65"/>
    <x v="65"/>
    <x v="134"/>
    <x v="300"/>
    <x v="0"/>
  </r>
  <r>
    <x v="0"/>
    <x v="42"/>
    <x v="42"/>
    <x v="17"/>
    <x v="17"/>
    <x v="17"/>
    <x v="19"/>
    <x v="207"/>
    <x v="64"/>
    <x v="50"/>
    <x v="188"/>
    <x v="106"/>
    <x v="224"/>
    <x v="0"/>
  </r>
  <r>
    <x v="0"/>
    <x v="42"/>
    <x v="42"/>
    <x v="42"/>
    <x v="42"/>
    <x v="42"/>
    <x v="19"/>
    <x v="207"/>
    <x v="64"/>
    <x v="50"/>
    <x v="188"/>
    <x v="106"/>
    <x v="224"/>
    <x v="0"/>
  </r>
  <r>
    <x v="0"/>
    <x v="42"/>
    <x v="42"/>
    <x v="9"/>
    <x v="9"/>
    <x v="9"/>
    <x v="19"/>
    <x v="207"/>
    <x v="64"/>
    <x v="89"/>
    <x v="441"/>
    <x v="127"/>
    <x v="151"/>
    <x v="0"/>
  </r>
  <r>
    <x v="0"/>
    <x v="42"/>
    <x v="42"/>
    <x v="37"/>
    <x v="37"/>
    <x v="37"/>
    <x v="19"/>
    <x v="207"/>
    <x v="64"/>
    <x v="50"/>
    <x v="188"/>
    <x v="106"/>
    <x v="224"/>
    <x v="0"/>
  </r>
  <r>
    <x v="0"/>
    <x v="42"/>
    <x v="42"/>
    <x v="19"/>
    <x v="19"/>
    <x v="19"/>
    <x v="19"/>
    <x v="207"/>
    <x v="64"/>
    <x v="95"/>
    <x v="70"/>
    <x v="110"/>
    <x v="299"/>
    <x v="0"/>
  </r>
  <r>
    <x v="0"/>
    <x v="42"/>
    <x v="42"/>
    <x v="10"/>
    <x v="10"/>
    <x v="10"/>
    <x v="18"/>
    <x v="208"/>
    <x v="294"/>
    <x v="50"/>
    <x v="188"/>
    <x v="113"/>
    <x v="133"/>
    <x v="0"/>
  </r>
  <r>
    <x v="0"/>
    <x v="42"/>
    <x v="42"/>
    <x v="32"/>
    <x v="32"/>
    <x v="32"/>
    <x v="18"/>
    <x v="208"/>
    <x v="294"/>
    <x v="70"/>
    <x v="440"/>
    <x v="98"/>
    <x v="139"/>
    <x v="0"/>
  </r>
  <r>
    <x v="0"/>
    <x v="42"/>
    <x v="42"/>
    <x v="47"/>
    <x v="47"/>
    <x v="47"/>
    <x v="18"/>
    <x v="208"/>
    <x v="294"/>
    <x v="100"/>
    <x v="437"/>
    <x v="93"/>
    <x v="161"/>
    <x v="0"/>
  </r>
  <r>
    <x v="0"/>
    <x v="42"/>
    <x v="42"/>
    <x v="23"/>
    <x v="23"/>
    <x v="23"/>
    <x v="18"/>
    <x v="208"/>
    <x v="294"/>
    <x v="77"/>
    <x v="438"/>
    <x v="127"/>
    <x v="151"/>
    <x v="0"/>
  </r>
  <r>
    <x v="0"/>
    <x v="43"/>
    <x v="43"/>
    <x v="0"/>
    <x v="0"/>
    <x v="0"/>
    <x v="0"/>
    <x v="167"/>
    <x v="318"/>
    <x v="33"/>
    <x v="442"/>
    <x v="130"/>
    <x v="287"/>
    <x v="0"/>
  </r>
  <r>
    <x v="0"/>
    <x v="43"/>
    <x v="43"/>
    <x v="1"/>
    <x v="1"/>
    <x v="1"/>
    <x v="1"/>
    <x v="120"/>
    <x v="319"/>
    <x v="71"/>
    <x v="443"/>
    <x v="119"/>
    <x v="67"/>
    <x v="0"/>
  </r>
  <r>
    <x v="0"/>
    <x v="43"/>
    <x v="43"/>
    <x v="10"/>
    <x v="10"/>
    <x v="10"/>
    <x v="2"/>
    <x v="137"/>
    <x v="320"/>
    <x v="65"/>
    <x v="65"/>
    <x v="94"/>
    <x v="301"/>
    <x v="0"/>
  </r>
  <r>
    <x v="0"/>
    <x v="43"/>
    <x v="43"/>
    <x v="16"/>
    <x v="16"/>
    <x v="16"/>
    <x v="3"/>
    <x v="139"/>
    <x v="229"/>
    <x v="39"/>
    <x v="288"/>
    <x v="52"/>
    <x v="302"/>
    <x v="0"/>
  </r>
  <r>
    <x v="0"/>
    <x v="43"/>
    <x v="43"/>
    <x v="19"/>
    <x v="19"/>
    <x v="19"/>
    <x v="3"/>
    <x v="139"/>
    <x v="229"/>
    <x v="68"/>
    <x v="285"/>
    <x v="76"/>
    <x v="117"/>
    <x v="0"/>
  </r>
  <r>
    <x v="0"/>
    <x v="43"/>
    <x v="43"/>
    <x v="14"/>
    <x v="14"/>
    <x v="14"/>
    <x v="5"/>
    <x v="203"/>
    <x v="219"/>
    <x v="70"/>
    <x v="211"/>
    <x v="52"/>
    <x v="302"/>
    <x v="0"/>
  </r>
  <r>
    <x v="0"/>
    <x v="43"/>
    <x v="43"/>
    <x v="11"/>
    <x v="11"/>
    <x v="11"/>
    <x v="5"/>
    <x v="203"/>
    <x v="219"/>
    <x v="39"/>
    <x v="288"/>
    <x v="76"/>
    <x v="117"/>
    <x v="0"/>
  </r>
  <r>
    <x v="0"/>
    <x v="43"/>
    <x v="43"/>
    <x v="3"/>
    <x v="3"/>
    <x v="3"/>
    <x v="5"/>
    <x v="203"/>
    <x v="219"/>
    <x v="109"/>
    <x v="388"/>
    <x v="123"/>
    <x v="303"/>
    <x v="0"/>
  </r>
  <r>
    <x v="0"/>
    <x v="43"/>
    <x v="43"/>
    <x v="6"/>
    <x v="6"/>
    <x v="6"/>
    <x v="8"/>
    <x v="141"/>
    <x v="93"/>
    <x v="32"/>
    <x v="444"/>
    <x v="93"/>
    <x v="101"/>
    <x v="0"/>
  </r>
  <r>
    <x v="0"/>
    <x v="43"/>
    <x v="43"/>
    <x v="13"/>
    <x v="13"/>
    <x v="13"/>
    <x v="9"/>
    <x v="192"/>
    <x v="45"/>
    <x v="65"/>
    <x v="65"/>
    <x v="63"/>
    <x v="304"/>
    <x v="0"/>
  </r>
  <r>
    <x v="0"/>
    <x v="43"/>
    <x v="43"/>
    <x v="41"/>
    <x v="41"/>
    <x v="41"/>
    <x v="10"/>
    <x v="205"/>
    <x v="258"/>
    <x v="51"/>
    <x v="445"/>
    <x v="106"/>
    <x v="285"/>
    <x v="0"/>
  </r>
  <r>
    <x v="0"/>
    <x v="43"/>
    <x v="43"/>
    <x v="32"/>
    <x v="32"/>
    <x v="32"/>
    <x v="11"/>
    <x v="206"/>
    <x v="75"/>
    <x v="56"/>
    <x v="98"/>
    <x v="134"/>
    <x v="305"/>
    <x v="0"/>
  </r>
  <r>
    <x v="0"/>
    <x v="43"/>
    <x v="43"/>
    <x v="86"/>
    <x v="86"/>
    <x v="86"/>
    <x v="11"/>
    <x v="206"/>
    <x v="75"/>
    <x v="56"/>
    <x v="98"/>
    <x v="134"/>
    <x v="305"/>
    <x v="0"/>
  </r>
  <r>
    <x v="0"/>
    <x v="43"/>
    <x v="43"/>
    <x v="8"/>
    <x v="8"/>
    <x v="8"/>
    <x v="11"/>
    <x v="206"/>
    <x v="75"/>
    <x v="61"/>
    <x v="446"/>
    <x v="93"/>
    <x v="101"/>
    <x v="0"/>
  </r>
  <r>
    <x v="0"/>
    <x v="43"/>
    <x v="43"/>
    <x v="18"/>
    <x v="18"/>
    <x v="18"/>
    <x v="19"/>
    <x v="193"/>
    <x v="154"/>
    <x v="70"/>
    <x v="211"/>
    <x v="106"/>
    <x v="285"/>
    <x v="0"/>
  </r>
  <r>
    <x v="0"/>
    <x v="43"/>
    <x v="43"/>
    <x v="23"/>
    <x v="23"/>
    <x v="23"/>
    <x v="19"/>
    <x v="193"/>
    <x v="154"/>
    <x v="77"/>
    <x v="417"/>
    <x v="108"/>
    <x v="306"/>
    <x v="0"/>
  </r>
  <r>
    <x v="0"/>
    <x v="43"/>
    <x v="43"/>
    <x v="17"/>
    <x v="17"/>
    <x v="17"/>
    <x v="15"/>
    <x v="194"/>
    <x v="117"/>
    <x v="50"/>
    <x v="88"/>
    <x v="104"/>
    <x v="36"/>
    <x v="0"/>
  </r>
  <r>
    <x v="0"/>
    <x v="43"/>
    <x v="43"/>
    <x v="7"/>
    <x v="7"/>
    <x v="7"/>
    <x v="15"/>
    <x v="194"/>
    <x v="117"/>
    <x v="62"/>
    <x v="220"/>
    <x v="109"/>
    <x v="119"/>
    <x v="0"/>
  </r>
  <r>
    <x v="0"/>
    <x v="43"/>
    <x v="43"/>
    <x v="4"/>
    <x v="4"/>
    <x v="4"/>
    <x v="15"/>
    <x v="194"/>
    <x v="117"/>
    <x v="100"/>
    <x v="447"/>
    <x v="110"/>
    <x v="5"/>
    <x v="0"/>
  </r>
  <r>
    <x v="0"/>
    <x v="43"/>
    <x v="43"/>
    <x v="31"/>
    <x v="31"/>
    <x v="31"/>
    <x v="18"/>
    <x v="207"/>
    <x v="294"/>
    <x v="50"/>
    <x v="88"/>
    <x v="106"/>
    <x v="285"/>
    <x v="0"/>
  </r>
  <r>
    <x v="0"/>
    <x v="44"/>
    <x v="44"/>
    <x v="1"/>
    <x v="1"/>
    <x v="1"/>
    <x v="0"/>
    <x v="108"/>
    <x v="321"/>
    <x v="99"/>
    <x v="58"/>
    <x v="108"/>
    <x v="295"/>
    <x v="0"/>
  </r>
  <r>
    <x v="0"/>
    <x v="44"/>
    <x v="44"/>
    <x v="3"/>
    <x v="3"/>
    <x v="3"/>
    <x v="1"/>
    <x v="116"/>
    <x v="21"/>
    <x v="101"/>
    <x v="448"/>
    <x v="119"/>
    <x v="83"/>
    <x v="0"/>
  </r>
  <r>
    <x v="0"/>
    <x v="44"/>
    <x v="44"/>
    <x v="14"/>
    <x v="14"/>
    <x v="14"/>
    <x v="2"/>
    <x v="134"/>
    <x v="25"/>
    <x v="56"/>
    <x v="37"/>
    <x v="44"/>
    <x v="307"/>
    <x v="0"/>
  </r>
  <r>
    <x v="0"/>
    <x v="44"/>
    <x v="44"/>
    <x v="2"/>
    <x v="2"/>
    <x v="2"/>
    <x v="2"/>
    <x v="134"/>
    <x v="25"/>
    <x v="174"/>
    <x v="449"/>
    <x v="127"/>
    <x v="151"/>
    <x v="0"/>
  </r>
  <r>
    <x v="0"/>
    <x v="44"/>
    <x v="44"/>
    <x v="46"/>
    <x v="46"/>
    <x v="46"/>
    <x v="4"/>
    <x v="135"/>
    <x v="102"/>
    <x v="51"/>
    <x v="12"/>
    <x v="97"/>
    <x v="249"/>
    <x v="0"/>
  </r>
  <r>
    <x v="0"/>
    <x v="44"/>
    <x v="44"/>
    <x v="13"/>
    <x v="13"/>
    <x v="13"/>
    <x v="4"/>
    <x v="135"/>
    <x v="102"/>
    <x v="62"/>
    <x v="211"/>
    <x v="71"/>
    <x v="97"/>
    <x v="0"/>
  </r>
  <r>
    <x v="0"/>
    <x v="44"/>
    <x v="44"/>
    <x v="19"/>
    <x v="19"/>
    <x v="19"/>
    <x v="4"/>
    <x v="135"/>
    <x v="102"/>
    <x v="77"/>
    <x v="209"/>
    <x v="52"/>
    <x v="202"/>
    <x v="0"/>
  </r>
  <r>
    <x v="0"/>
    <x v="44"/>
    <x v="44"/>
    <x v="59"/>
    <x v="59"/>
    <x v="59"/>
    <x v="7"/>
    <x v="136"/>
    <x v="131"/>
    <x v="65"/>
    <x v="65"/>
    <x v="44"/>
    <x v="307"/>
    <x v="0"/>
  </r>
  <r>
    <x v="0"/>
    <x v="44"/>
    <x v="44"/>
    <x v="10"/>
    <x v="10"/>
    <x v="10"/>
    <x v="8"/>
    <x v="137"/>
    <x v="213"/>
    <x v="50"/>
    <x v="103"/>
    <x v="86"/>
    <x v="308"/>
    <x v="0"/>
  </r>
  <r>
    <x v="0"/>
    <x v="44"/>
    <x v="44"/>
    <x v="32"/>
    <x v="32"/>
    <x v="32"/>
    <x v="8"/>
    <x v="137"/>
    <x v="213"/>
    <x v="70"/>
    <x v="11"/>
    <x v="97"/>
    <x v="249"/>
    <x v="0"/>
  </r>
  <r>
    <x v="0"/>
    <x v="44"/>
    <x v="44"/>
    <x v="31"/>
    <x v="31"/>
    <x v="31"/>
    <x v="10"/>
    <x v="139"/>
    <x v="189"/>
    <x v="56"/>
    <x v="37"/>
    <x v="121"/>
    <x v="28"/>
    <x v="0"/>
  </r>
  <r>
    <x v="0"/>
    <x v="44"/>
    <x v="44"/>
    <x v="17"/>
    <x v="17"/>
    <x v="17"/>
    <x v="11"/>
    <x v="215"/>
    <x v="95"/>
    <x v="50"/>
    <x v="103"/>
    <x v="121"/>
    <x v="28"/>
    <x v="0"/>
  </r>
  <r>
    <x v="0"/>
    <x v="44"/>
    <x v="44"/>
    <x v="86"/>
    <x v="86"/>
    <x v="86"/>
    <x v="11"/>
    <x v="215"/>
    <x v="95"/>
    <x v="65"/>
    <x v="65"/>
    <x v="97"/>
    <x v="249"/>
    <x v="0"/>
  </r>
  <r>
    <x v="0"/>
    <x v="44"/>
    <x v="44"/>
    <x v="6"/>
    <x v="6"/>
    <x v="6"/>
    <x v="11"/>
    <x v="215"/>
    <x v="95"/>
    <x v="67"/>
    <x v="415"/>
    <x v="93"/>
    <x v="136"/>
    <x v="0"/>
  </r>
  <r>
    <x v="0"/>
    <x v="44"/>
    <x v="44"/>
    <x v="11"/>
    <x v="11"/>
    <x v="11"/>
    <x v="19"/>
    <x v="140"/>
    <x v="46"/>
    <x v="51"/>
    <x v="12"/>
    <x v="63"/>
    <x v="268"/>
    <x v="0"/>
  </r>
  <r>
    <x v="0"/>
    <x v="44"/>
    <x v="44"/>
    <x v="87"/>
    <x v="87"/>
    <x v="87"/>
    <x v="14"/>
    <x v="141"/>
    <x v="73"/>
    <x v="50"/>
    <x v="103"/>
    <x v="125"/>
    <x v="29"/>
    <x v="0"/>
  </r>
  <r>
    <x v="0"/>
    <x v="44"/>
    <x v="44"/>
    <x v="5"/>
    <x v="5"/>
    <x v="5"/>
    <x v="15"/>
    <x v="209"/>
    <x v="85"/>
    <x v="32"/>
    <x v="283"/>
    <x v="123"/>
    <x v="309"/>
    <x v="0"/>
  </r>
  <r>
    <x v="0"/>
    <x v="44"/>
    <x v="44"/>
    <x v="40"/>
    <x v="40"/>
    <x v="40"/>
    <x v="16"/>
    <x v="204"/>
    <x v="49"/>
    <x v="65"/>
    <x v="65"/>
    <x v="52"/>
    <x v="202"/>
    <x v="0"/>
  </r>
  <r>
    <x v="0"/>
    <x v="44"/>
    <x v="44"/>
    <x v="18"/>
    <x v="18"/>
    <x v="18"/>
    <x v="16"/>
    <x v="204"/>
    <x v="49"/>
    <x v="62"/>
    <x v="211"/>
    <x v="79"/>
    <x v="310"/>
    <x v="0"/>
  </r>
  <r>
    <x v="0"/>
    <x v="44"/>
    <x v="44"/>
    <x v="42"/>
    <x v="42"/>
    <x v="42"/>
    <x v="16"/>
    <x v="204"/>
    <x v="49"/>
    <x v="70"/>
    <x v="11"/>
    <x v="76"/>
    <x v="33"/>
    <x v="0"/>
  </r>
  <r>
    <x v="0"/>
    <x v="45"/>
    <x v="45"/>
    <x v="1"/>
    <x v="1"/>
    <x v="1"/>
    <x v="0"/>
    <x v="104"/>
    <x v="199"/>
    <x v="93"/>
    <x v="450"/>
    <x v="110"/>
    <x v="154"/>
    <x v="0"/>
  </r>
  <r>
    <x v="0"/>
    <x v="45"/>
    <x v="45"/>
    <x v="3"/>
    <x v="3"/>
    <x v="3"/>
    <x v="1"/>
    <x v="130"/>
    <x v="232"/>
    <x v="145"/>
    <x v="451"/>
    <x v="108"/>
    <x v="108"/>
    <x v="0"/>
  </r>
  <r>
    <x v="0"/>
    <x v="45"/>
    <x v="45"/>
    <x v="10"/>
    <x v="10"/>
    <x v="10"/>
    <x v="2"/>
    <x v="135"/>
    <x v="196"/>
    <x v="65"/>
    <x v="65"/>
    <x v="105"/>
    <x v="311"/>
    <x v="0"/>
  </r>
  <r>
    <x v="0"/>
    <x v="45"/>
    <x v="45"/>
    <x v="19"/>
    <x v="19"/>
    <x v="19"/>
    <x v="3"/>
    <x v="139"/>
    <x v="139"/>
    <x v="102"/>
    <x v="371"/>
    <x v="113"/>
    <x v="65"/>
    <x v="0"/>
  </r>
  <r>
    <x v="0"/>
    <x v="45"/>
    <x v="45"/>
    <x v="4"/>
    <x v="4"/>
    <x v="4"/>
    <x v="4"/>
    <x v="140"/>
    <x v="80"/>
    <x v="33"/>
    <x v="23"/>
    <x v="108"/>
    <x v="108"/>
    <x v="0"/>
  </r>
  <r>
    <x v="0"/>
    <x v="45"/>
    <x v="45"/>
    <x v="12"/>
    <x v="12"/>
    <x v="12"/>
    <x v="5"/>
    <x v="141"/>
    <x v="203"/>
    <x v="89"/>
    <x v="452"/>
    <x v="109"/>
    <x v="102"/>
    <x v="0"/>
  </r>
  <r>
    <x v="0"/>
    <x v="45"/>
    <x v="45"/>
    <x v="39"/>
    <x v="39"/>
    <x v="39"/>
    <x v="5"/>
    <x v="141"/>
    <x v="203"/>
    <x v="55"/>
    <x v="453"/>
    <x v="110"/>
    <x v="154"/>
    <x v="0"/>
  </r>
  <r>
    <x v="0"/>
    <x v="45"/>
    <x v="45"/>
    <x v="16"/>
    <x v="16"/>
    <x v="16"/>
    <x v="7"/>
    <x v="209"/>
    <x v="104"/>
    <x v="62"/>
    <x v="328"/>
    <x v="76"/>
    <x v="224"/>
    <x v="0"/>
  </r>
  <r>
    <x v="0"/>
    <x v="45"/>
    <x v="45"/>
    <x v="17"/>
    <x v="17"/>
    <x v="17"/>
    <x v="8"/>
    <x v="192"/>
    <x v="220"/>
    <x v="62"/>
    <x v="328"/>
    <x v="134"/>
    <x v="312"/>
    <x v="0"/>
  </r>
  <r>
    <x v="0"/>
    <x v="45"/>
    <x v="45"/>
    <x v="40"/>
    <x v="40"/>
    <x v="40"/>
    <x v="8"/>
    <x v="192"/>
    <x v="220"/>
    <x v="95"/>
    <x v="454"/>
    <x v="113"/>
    <x v="65"/>
    <x v="0"/>
  </r>
  <r>
    <x v="0"/>
    <x v="45"/>
    <x v="45"/>
    <x v="14"/>
    <x v="14"/>
    <x v="14"/>
    <x v="8"/>
    <x v="192"/>
    <x v="220"/>
    <x v="70"/>
    <x v="249"/>
    <x v="79"/>
    <x v="277"/>
    <x v="0"/>
  </r>
  <r>
    <x v="0"/>
    <x v="45"/>
    <x v="45"/>
    <x v="11"/>
    <x v="11"/>
    <x v="11"/>
    <x v="8"/>
    <x v="192"/>
    <x v="220"/>
    <x v="62"/>
    <x v="328"/>
    <x v="134"/>
    <x v="312"/>
    <x v="0"/>
  </r>
  <r>
    <x v="0"/>
    <x v="45"/>
    <x v="45"/>
    <x v="0"/>
    <x v="0"/>
    <x v="0"/>
    <x v="8"/>
    <x v="192"/>
    <x v="220"/>
    <x v="100"/>
    <x v="199"/>
    <x v="109"/>
    <x v="102"/>
    <x v="0"/>
  </r>
  <r>
    <x v="0"/>
    <x v="45"/>
    <x v="45"/>
    <x v="6"/>
    <x v="6"/>
    <x v="6"/>
    <x v="8"/>
    <x v="192"/>
    <x v="220"/>
    <x v="94"/>
    <x v="455"/>
    <x v="127"/>
    <x v="151"/>
    <x v="0"/>
  </r>
  <r>
    <x v="0"/>
    <x v="45"/>
    <x v="45"/>
    <x v="13"/>
    <x v="13"/>
    <x v="13"/>
    <x v="19"/>
    <x v="205"/>
    <x v="225"/>
    <x v="56"/>
    <x v="326"/>
    <x v="79"/>
    <x v="277"/>
    <x v="0"/>
  </r>
  <r>
    <x v="0"/>
    <x v="45"/>
    <x v="45"/>
    <x v="47"/>
    <x v="47"/>
    <x v="47"/>
    <x v="19"/>
    <x v="205"/>
    <x v="225"/>
    <x v="51"/>
    <x v="456"/>
    <x v="106"/>
    <x v="75"/>
    <x v="0"/>
  </r>
  <r>
    <x v="0"/>
    <x v="45"/>
    <x v="45"/>
    <x v="53"/>
    <x v="53"/>
    <x v="53"/>
    <x v="19"/>
    <x v="205"/>
    <x v="225"/>
    <x v="65"/>
    <x v="65"/>
    <x v="127"/>
    <x v="151"/>
    <x v="0"/>
  </r>
  <r>
    <x v="0"/>
    <x v="45"/>
    <x v="45"/>
    <x v="18"/>
    <x v="18"/>
    <x v="18"/>
    <x v="16"/>
    <x v="206"/>
    <x v="74"/>
    <x v="39"/>
    <x v="247"/>
    <x v="109"/>
    <x v="102"/>
    <x v="0"/>
  </r>
  <r>
    <x v="0"/>
    <x v="45"/>
    <x v="45"/>
    <x v="8"/>
    <x v="8"/>
    <x v="8"/>
    <x v="17"/>
    <x v="193"/>
    <x v="153"/>
    <x v="61"/>
    <x v="457"/>
    <x v="123"/>
    <x v="234"/>
    <x v="0"/>
  </r>
  <r>
    <x v="0"/>
    <x v="45"/>
    <x v="45"/>
    <x v="34"/>
    <x v="34"/>
    <x v="34"/>
    <x v="18"/>
    <x v="194"/>
    <x v="77"/>
    <x v="100"/>
    <x v="199"/>
    <x v="110"/>
    <x v="154"/>
    <x v="0"/>
  </r>
  <r>
    <x v="0"/>
    <x v="46"/>
    <x v="46"/>
    <x v="0"/>
    <x v="0"/>
    <x v="0"/>
    <x v="0"/>
    <x v="115"/>
    <x v="322"/>
    <x v="131"/>
    <x v="458"/>
    <x v="98"/>
    <x v="313"/>
    <x v="0"/>
  </r>
  <r>
    <x v="0"/>
    <x v="46"/>
    <x v="46"/>
    <x v="1"/>
    <x v="1"/>
    <x v="1"/>
    <x v="1"/>
    <x v="204"/>
    <x v="271"/>
    <x v="32"/>
    <x v="459"/>
    <x v="127"/>
    <x v="151"/>
    <x v="0"/>
  </r>
  <r>
    <x v="0"/>
    <x v="46"/>
    <x v="46"/>
    <x v="3"/>
    <x v="3"/>
    <x v="3"/>
    <x v="2"/>
    <x v="208"/>
    <x v="323"/>
    <x v="77"/>
    <x v="460"/>
    <x v="127"/>
    <x v="151"/>
    <x v="0"/>
  </r>
  <r>
    <x v="0"/>
    <x v="46"/>
    <x v="46"/>
    <x v="11"/>
    <x v="11"/>
    <x v="11"/>
    <x v="3"/>
    <x v="210"/>
    <x v="123"/>
    <x v="50"/>
    <x v="28"/>
    <x v="98"/>
    <x v="313"/>
    <x v="0"/>
  </r>
  <r>
    <x v="0"/>
    <x v="46"/>
    <x v="46"/>
    <x v="10"/>
    <x v="10"/>
    <x v="10"/>
    <x v="4"/>
    <x v="197"/>
    <x v="324"/>
    <x v="65"/>
    <x v="65"/>
    <x v="67"/>
    <x v="242"/>
    <x v="0"/>
  </r>
  <r>
    <x v="0"/>
    <x v="46"/>
    <x v="46"/>
    <x v="40"/>
    <x v="40"/>
    <x v="40"/>
    <x v="4"/>
    <x v="197"/>
    <x v="324"/>
    <x v="50"/>
    <x v="28"/>
    <x v="119"/>
    <x v="314"/>
    <x v="0"/>
  </r>
  <r>
    <x v="0"/>
    <x v="46"/>
    <x v="46"/>
    <x v="67"/>
    <x v="67"/>
    <x v="67"/>
    <x v="6"/>
    <x v="198"/>
    <x v="74"/>
    <x v="65"/>
    <x v="65"/>
    <x v="119"/>
    <x v="314"/>
    <x v="0"/>
  </r>
  <r>
    <x v="0"/>
    <x v="46"/>
    <x v="46"/>
    <x v="87"/>
    <x v="87"/>
    <x v="87"/>
    <x v="6"/>
    <x v="198"/>
    <x v="74"/>
    <x v="56"/>
    <x v="461"/>
    <x v="108"/>
    <x v="14"/>
    <x v="0"/>
  </r>
  <r>
    <x v="0"/>
    <x v="46"/>
    <x v="46"/>
    <x v="56"/>
    <x v="56"/>
    <x v="56"/>
    <x v="6"/>
    <x v="198"/>
    <x v="74"/>
    <x v="50"/>
    <x v="28"/>
    <x v="110"/>
    <x v="240"/>
    <x v="0"/>
  </r>
  <r>
    <x v="0"/>
    <x v="46"/>
    <x v="46"/>
    <x v="14"/>
    <x v="14"/>
    <x v="14"/>
    <x v="6"/>
    <x v="198"/>
    <x v="74"/>
    <x v="56"/>
    <x v="461"/>
    <x v="108"/>
    <x v="14"/>
    <x v="0"/>
  </r>
  <r>
    <x v="0"/>
    <x v="46"/>
    <x v="46"/>
    <x v="21"/>
    <x v="21"/>
    <x v="21"/>
    <x v="6"/>
    <x v="198"/>
    <x v="74"/>
    <x v="50"/>
    <x v="28"/>
    <x v="110"/>
    <x v="240"/>
    <x v="0"/>
  </r>
  <r>
    <x v="0"/>
    <x v="46"/>
    <x v="46"/>
    <x v="44"/>
    <x v="44"/>
    <x v="44"/>
    <x v="6"/>
    <x v="198"/>
    <x v="74"/>
    <x v="50"/>
    <x v="28"/>
    <x v="110"/>
    <x v="240"/>
    <x v="0"/>
  </r>
  <r>
    <x v="0"/>
    <x v="46"/>
    <x v="46"/>
    <x v="41"/>
    <x v="41"/>
    <x v="41"/>
    <x v="6"/>
    <x v="198"/>
    <x v="74"/>
    <x v="70"/>
    <x v="310"/>
    <x v="123"/>
    <x v="156"/>
    <x v="6"/>
  </r>
  <r>
    <x v="0"/>
    <x v="46"/>
    <x v="46"/>
    <x v="51"/>
    <x v="51"/>
    <x v="51"/>
    <x v="6"/>
    <x v="198"/>
    <x v="74"/>
    <x v="70"/>
    <x v="310"/>
    <x v="93"/>
    <x v="241"/>
    <x v="0"/>
  </r>
  <r>
    <x v="0"/>
    <x v="46"/>
    <x v="46"/>
    <x v="45"/>
    <x v="45"/>
    <x v="45"/>
    <x v="6"/>
    <x v="198"/>
    <x v="74"/>
    <x v="51"/>
    <x v="135"/>
    <x v="127"/>
    <x v="151"/>
    <x v="0"/>
  </r>
  <r>
    <x v="0"/>
    <x v="46"/>
    <x v="46"/>
    <x v="64"/>
    <x v="64"/>
    <x v="64"/>
    <x v="6"/>
    <x v="198"/>
    <x v="74"/>
    <x v="62"/>
    <x v="462"/>
    <x v="123"/>
    <x v="156"/>
    <x v="0"/>
  </r>
  <r>
    <x v="0"/>
    <x v="46"/>
    <x v="46"/>
    <x v="39"/>
    <x v="39"/>
    <x v="39"/>
    <x v="6"/>
    <x v="198"/>
    <x v="74"/>
    <x v="62"/>
    <x v="462"/>
    <x v="123"/>
    <x v="156"/>
    <x v="0"/>
  </r>
  <r>
    <x v="0"/>
    <x v="46"/>
    <x v="46"/>
    <x v="17"/>
    <x v="17"/>
    <x v="17"/>
    <x v="16"/>
    <x v="199"/>
    <x v="65"/>
    <x v="50"/>
    <x v="28"/>
    <x v="108"/>
    <x v="14"/>
    <x v="0"/>
  </r>
  <r>
    <x v="0"/>
    <x v="46"/>
    <x v="46"/>
    <x v="31"/>
    <x v="31"/>
    <x v="31"/>
    <x v="16"/>
    <x v="199"/>
    <x v="65"/>
    <x v="50"/>
    <x v="28"/>
    <x v="108"/>
    <x v="14"/>
    <x v="0"/>
  </r>
  <r>
    <x v="0"/>
    <x v="46"/>
    <x v="46"/>
    <x v="13"/>
    <x v="13"/>
    <x v="13"/>
    <x v="16"/>
    <x v="199"/>
    <x v="65"/>
    <x v="65"/>
    <x v="65"/>
    <x v="110"/>
    <x v="240"/>
    <x v="0"/>
  </r>
  <r>
    <x v="0"/>
    <x v="46"/>
    <x v="46"/>
    <x v="28"/>
    <x v="28"/>
    <x v="28"/>
    <x v="16"/>
    <x v="199"/>
    <x v="65"/>
    <x v="70"/>
    <x v="310"/>
    <x v="123"/>
    <x v="156"/>
    <x v="0"/>
  </r>
  <r>
    <x v="0"/>
    <x v="46"/>
    <x v="46"/>
    <x v="4"/>
    <x v="4"/>
    <x v="4"/>
    <x v="16"/>
    <x v="199"/>
    <x v="65"/>
    <x v="70"/>
    <x v="310"/>
    <x v="123"/>
    <x v="156"/>
    <x v="0"/>
  </r>
  <r>
    <x v="0"/>
    <x v="47"/>
    <x v="47"/>
    <x v="37"/>
    <x v="37"/>
    <x v="37"/>
    <x v="0"/>
    <x v="200"/>
    <x v="325"/>
    <x v="65"/>
    <x v="65"/>
    <x v="93"/>
    <x v="315"/>
    <x v="0"/>
  </r>
  <r>
    <x v="0"/>
    <x v="47"/>
    <x v="47"/>
    <x v="13"/>
    <x v="13"/>
    <x v="13"/>
    <x v="1"/>
    <x v="216"/>
    <x v="326"/>
    <x v="50"/>
    <x v="463"/>
    <x v="123"/>
    <x v="37"/>
    <x v="0"/>
  </r>
  <r>
    <x v="0"/>
    <x v="47"/>
    <x v="47"/>
    <x v="88"/>
    <x v="88"/>
    <x v="88"/>
    <x v="1"/>
    <x v="216"/>
    <x v="326"/>
    <x v="65"/>
    <x v="65"/>
    <x v="93"/>
    <x v="315"/>
    <x v="0"/>
  </r>
  <r>
    <x v="0"/>
    <x v="47"/>
    <x v="47"/>
    <x v="89"/>
    <x v="89"/>
    <x v="89"/>
    <x v="1"/>
    <x v="216"/>
    <x v="326"/>
    <x v="65"/>
    <x v="65"/>
    <x v="93"/>
    <x v="315"/>
    <x v="0"/>
  </r>
  <r>
    <x v="0"/>
    <x v="47"/>
    <x v="47"/>
    <x v="3"/>
    <x v="3"/>
    <x v="3"/>
    <x v="1"/>
    <x v="216"/>
    <x v="326"/>
    <x v="56"/>
    <x v="464"/>
    <x v="127"/>
    <x v="151"/>
    <x v="0"/>
  </r>
  <r>
    <x v="0"/>
    <x v="47"/>
    <x v="47"/>
    <x v="82"/>
    <x v="82"/>
    <x v="82"/>
    <x v="1"/>
    <x v="216"/>
    <x v="326"/>
    <x v="65"/>
    <x v="65"/>
    <x v="127"/>
    <x v="151"/>
    <x v="0"/>
  </r>
  <r>
    <x v="0"/>
    <x v="47"/>
    <x v="47"/>
    <x v="43"/>
    <x v="43"/>
    <x v="43"/>
    <x v="1"/>
    <x v="216"/>
    <x v="326"/>
    <x v="65"/>
    <x v="65"/>
    <x v="93"/>
    <x v="315"/>
    <x v="0"/>
  </r>
  <r>
    <x v="0"/>
    <x v="47"/>
    <x v="47"/>
    <x v="10"/>
    <x v="10"/>
    <x v="10"/>
    <x v="7"/>
    <x v="217"/>
    <x v="327"/>
    <x v="65"/>
    <x v="65"/>
    <x v="123"/>
    <x v="37"/>
    <x v="0"/>
  </r>
  <r>
    <x v="0"/>
    <x v="47"/>
    <x v="47"/>
    <x v="40"/>
    <x v="40"/>
    <x v="40"/>
    <x v="7"/>
    <x v="217"/>
    <x v="327"/>
    <x v="65"/>
    <x v="65"/>
    <x v="123"/>
    <x v="37"/>
    <x v="0"/>
  </r>
  <r>
    <x v="0"/>
    <x v="47"/>
    <x v="47"/>
    <x v="67"/>
    <x v="67"/>
    <x v="67"/>
    <x v="7"/>
    <x v="217"/>
    <x v="327"/>
    <x v="65"/>
    <x v="65"/>
    <x v="123"/>
    <x v="37"/>
    <x v="0"/>
  </r>
  <r>
    <x v="0"/>
    <x v="47"/>
    <x v="47"/>
    <x v="90"/>
    <x v="90"/>
    <x v="90"/>
    <x v="7"/>
    <x v="217"/>
    <x v="327"/>
    <x v="65"/>
    <x v="65"/>
    <x v="123"/>
    <x v="37"/>
    <x v="0"/>
  </r>
  <r>
    <x v="0"/>
    <x v="47"/>
    <x v="47"/>
    <x v="63"/>
    <x v="63"/>
    <x v="63"/>
    <x v="7"/>
    <x v="217"/>
    <x v="327"/>
    <x v="65"/>
    <x v="65"/>
    <x v="123"/>
    <x v="37"/>
    <x v="0"/>
  </r>
  <r>
    <x v="0"/>
    <x v="47"/>
    <x v="47"/>
    <x v="38"/>
    <x v="38"/>
    <x v="38"/>
    <x v="7"/>
    <x v="217"/>
    <x v="327"/>
    <x v="65"/>
    <x v="65"/>
    <x v="123"/>
    <x v="37"/>
    <x v="0"/>
  </r>
  <r>
    <x v="0"/>
    <x v="47"/>
    <x v="47"/>
    <x v="78"/>
    <x v="78"/>
    <x v="78"/>
    <x v="7"/>
    <x v="217"/>
    <x v="327"/>
    <x v="65"/>
    <x v="65"/>
    <x v="123"/>
    <x v="37"/>
    <x v="0"/>
  </r>
  <r>
    <x v="0"/>
    <x v="47"/>
    <x v="47"/>
    <x v="36"/>
    <x v="36"/>
    <x v="36"/>
    <x v="7"/>
    <x v="217"/>
    <x v="327"/>
    <x v="65"/>
    <x v="65"/>
    <x v="123"/>
    <x v="37"/>
    <x v="0"/>
  </r>
  <r>
    <x v="0"/>
    <x v="47"/>
    <x v="47"/>
    <x v="91"/>
    <x v="91"/>
    <x v="91"/>
    <x v="7"/>
    <x v="217"/>
    <x v="327"/>
    <x v="50"/>
    <x v="463"/>
    <x v="127"/>
    <x v="151"/>
    <x v="0"/>
  </r>
  <r>
    <x v="0"/>
    <x v="47"/>
    <x v="47"/>
    <x v="41"/>
    <x v="41"/>
    <x v="41"/>
    <x v="7"/>
    <x v="217"/>
    <x v="327"/>
    <x v="65"/>
    <x v="65"/>
    <x v="123"/>
    <x v="37"/>
    <x v="0"/>
  </r>
  <r>
    <x v="0"/>
    <x v="47"/>
    <x v="47"/>
    <x v="84"/>
    <x v="84"/>
    <x v="84"/>
    <x v="7"/>
    <x v="217"/>
    <x v="327"/>
    <x v="65"/>
    <x v="65"/>
    <x v="123"/>
    <x v="37"/>
    <x v="0"/>
  </r>
  <r>
    <x v="0"/>
    <x v="47"/>
    <x v="47"/>
    <x v="42"/>
    <x v="42"/>
    <x v="42"/>
    <x v="7"/>
    <x v="217"/>
    <x v="327"/>
    <x v="65"/>
    <x v="65"/>
    <x v="123"/>
    <x v="37"/>
    <x v="0"/>
  </r>
  <r>
    <x v="0"/>
    <x v="47"/>
    <x v="47"/>
    <x v="50"/>
    <x v="50"/>
    <x v="50"/>
    <x v="7"/>
    <x v="217"/>
    <x v="327"/>
    <x v="50"/>
    <x v="463"/>
    <x v="127"/>
    <x v="151"/>
    <x v="0"/>
  </r>
  <r>
    <x v="0"/>
    <x v="47"/>
    <x v="47"/>
    <x v="0"/>
    <x v="0"/>
    <x v="0"/>
    <x v="7"/>
    <x v="217"/>
    <x v="327"/>
    <x v="65"/>
    <x v="65"/>
    <x v="123"/>
    <x v="37"/>
    <x v="0"/>
  </r>
  <r>
    <x v="0"/>
    <x v="47"/>
    <x v="47"/>
    <x v="45"/>
    <x v="45"/>
    <x v="45"/>
    <x v="7"/>
    <x v="217"/>
    <x v="327"/>
    <x v="50"/>
    <x v="463"/>
    <x v="127"/>
    <x v="151"/>
    <x v="0"/>
  </r>
  <r>
    <x v="0"/>
    <x v="47"/>
    <x v="47"/>
    <x v="4"/>
    <x v="4"/>
    <x v="4"/>
    <x v="7"/>
    <x v="217"/>
    <x v="327"/>
    <x v="50"/>
    <x v="463"/>
    <x v="127"/>
    <x v="151"/>
    <x v="0"/>
  </r>
  <r>
    <x v="0"/>
    <x v="47"/>
    <x v="47"/>
    <x v="2"/>
    <x v="2"/>
    <x v="2"/>
    <x v="7"/>
    <x v="217"/>
    <x v="327"/>
    <x v="50"/>
    <x v="463"/>
    <x v="127"/>
    <x v="151"/>
    <x v="0"/>
  </r>
  <r>
    <x v="0"/>
    <x v="47"/>
    <x v="47"/>
    <x v="19"/>
    <x v="19"/>
    <x v="19"/>
    <x v="7"/>
    <x v="217"/>
    <x v="327"/>
    <x v="65"/>
    <x v="65"/>
    <x v="123"/>
    <x v="37"/>
    <x v="0"/>
  </r>
  <r>
    <x v="0"/>
    <x v="48"/>
    <x v="48"/>
    <x v="1"/>
    <x v="1"/>
    <x v="1"/>
    <x v="0"/>
    <x v="203"/>
    <x v="328"/>
    <x v="67"/>
    <x v="465"/>
    <x v="127"/>
    <x v="151"/>
    <x v="0"/>
  </r>
  <r>
    <x v="0"/>
    <x v="48"/>
    <x v="48"/>
    <x v="12"/>
    <x v="12"/>
    <x v="12"/>
    <x v="1"/>
    <x v="205"/>
    <x v="329"/>
    <x v="61"/>
    <x v="466"/>
    <x v="108"/>
    <x v="316"/>
    <x v="0"/>
  </r>
  <r>
    <x v="0"/>
    <x v="48"/>
    <x v="48"/>
    <x v="3"/>
    <x v="3"/>
    <x v="3"/>
    <x v="2"/>
    <x v="207"/>
    <x v="232"/>
    <x v="89"/>
    <x v="467"/>
    <x v="127"/>
    <x v="151"/>
    <x v="0"/>
  </r>
  <r>
    <x v="0"/>
    <x v="48"/>
    <x v="48"/>
    <x v="7"/>
    <x v="7"/>
    <x v="7"/>
    <x v="3"/>
    <x v="195"/>
    <x v="330"/>
    <x v="95"/>
    <x v="424"/>
    <x v="93"/>
    <x v="224"/>
    <x v="0"/>
  </r>
  <r>
    <x v="0"/>
    <x v="48"/>
    <x v="48"/>
    <x v="0"/>
    <x v="0"/>
    <x v="0"/>
    <x v="3"/>
    <x v="195"/>
    <x v="330"/>
    <x v="100"/>
    <x v="468"/>
    <x v="123"/>
    <x v="30"/>
    <x v="0"/>
  </r>
  <r>
    <x v="0"/>
    <x v="48"/>
    <x v="48"/>
    <x v="47"/>
    <x v="47"/>
    <x v="47"/>
    <x v="5"/>
    <x v="210"/>
    <x v="202"/>
    <x v="56"/>
    <x v="31"/>
    <x v="67"/>
    <x v="317"/>
    <x v="0"/>
  </r>
  <r>
    <x v="0"/>
    <x v="48"/>
    <x v="48"/>
    <x v="42"/>
    <x v="42"/>
    <x v="42"/>
    <x v="5"/>
    <x v="210"/>
    <x v="202"/>
    <x v="56"/>
    <x v="31"/>
    <x v="67"/>
    <x v="317"/>
    <x v="0"/>
  </r>
  <r>
    <x v="0"/>
    <x v="48"/>
    <x v="48"/>
    <x v="49"/>
    <x v="49"/>
    <x v="49"/>
    <x v="7"/>
    <x v="196"/>
    <x v="331"/>
    <x v="39"/>
    <x v="469"/>
    <x v="123"/>
    <x v="30"/>
    <x v="0"/>
  </r>
  <r>
    <x v="0"/>
    <x v="48"/>
    <x v="48"/>
    <x v="17"/>
    <x v="17"/>
    <x v="17"/>
    <x v="8"/>
    <x v="197"/>
    <x v="138"/>
    <x v="56"/>
    <x v="31"/>
    <x v="110"/>
    <x v="318"/>
    <x v="0"/>
  </r>
  <r>
    <x v="0"/>
    <x v="48"/>
    <x v="48"/>
    <x v="56"/>
    <x v="56"/>
    <x v="56"/>
    <x v="9"/>
    <x v="198"/>
    <x v="332"/>
    <x v="62"/>
    <x v="219"/>
    <x v="123"/>
    <x v="30"/>
    <x v="0"/>
  </r>
  <r>
    <x v="0"/>
    <x v="48"/>
    <x v="48"/>
    <x v="46"/>
    <x v="46"/>
    <x v="46"/>
    <x v="9"/>
    <x v="198"/>
    <x v="332"/>
    <x v="62"/>
    <x v="219"/>
    <x v="123"/>
    <x v="30"/>
    <x v="0"/>
  </r>
  <r>
    <x v="0"/>
    <x v="48"/>
    <x v="48"/>
    <x v="92"/>
    <x v="92"/>
    <x v="92"/>
    <x v="9"/>
    <x v="198"/>
    <x v="332"/>
    <x v="70"/>
    <x v="92"/>
    <x v="93"/>
    <x v="224"/>
    <x v="0"/>
  </r>
  <r>
    <x v="0"/>
    <x v="48"/>
    <x v="48"/>
    <x v="43"/>
    <x v="43"/>
    <x v="43"/>
    <x v="9"/>
    <x v="198"/>
    <x v="332"/>
    <x v="50"/>
    <x v="62"/>
    <x v="108"/>
    <x v="316"/>
    <x v="0"/>
  </r>
  <r>
    <x v="0"/>
    <x v="48"/>
    <x v="48"/>
    <x v="10"/>
    <x v="10"/>
    <x v="10"/>
    <x v="13"/>
    <x v="199"/>
    <x v="95"/>
    <x v="65"/>
    <x v="65"/>
    <x v="110"/>
    <x v="318"/>
    <x v="0"/>
  </r>
  <r>
    <x v="0"/>
    <x v="48"/>
    <x v="48"/>
    <x v="40"/>
    <x v="40"/>
    <x v="40"/>
    <x v="13"/>
    <x v="199"/>
    <x v="95"/>
    <x v="56"/>
    <x v="31"/>
    <x v="93"/>
    <x v="224"/>
    <x v="0"/>
  </r>
  <r>
    <x v="0"/>
    <x v="48"/>
    <x v="48"/>
    <x v="82"/>
    <x v="82"/>
    <x v="82"/>
    <x v="13"/>
    <x v="199"/>
    <x v="95"/>
    <x v="65"/>
    <x v="65"/>
    <x v="127"/>
    <x v="151"/>
    <x v="0"/>
  </r>
  <r>
    <x v="0"/>
    <x v="48"/>
    <x v="48"/>
    <x v="67"/>
    <x v="67"/>
    <x v="67"/>
    <x v="15"/>
    <x v="200"/>
    <x v="9"/>
    <x v="56"/>
    <x v="31"/>
    <x v="123"/>
    <x v="30"/>
    <x v="0"/>
  </r>
  <r>
    <x v="0"/>
    <x v="48"/>
    <x v="48"/>
    <x v="13"/>
    <x v="13"/>
    <x v="13"/>
    <x v="15"/>
    <x v="200"/>
    <x v="9"/>
    <x v="70"/>
    <x v="92"/>
    <x v="127"/>
    <x v="151"/>
    <x v="0"/>
  </r>
  <r>
    <x v="0"/>
    <x v="48"/>
    <x v="48"/>
    <x v="54"/>
    <x v="54"/>
    <x v="54"/>
    <x v="15"/>
    <x v="200"/>
    <x v="9"/>
    <x v="65"/>
    <x v="65"/>
    <x v="108"/>
    <x v="316"/>
    <x v="0"/>
  </r>
  <r>
    <x v="0"/>
    <x v="48"/>
    <x v="48"/>
    <x v="5"/>
    <x v="5"/>
    <x v="5"/>
    <x v="15"/>
    <x v="200"/>
    <x v="9"/>
    <x v="56"/>
    <x v="31"/>
    <x v="123"/>
    <x v="30"/>
    <x v="0"/>
  </r>
  <r>
    <x v="0"/>
    <x v="48"/>
    <x v="48"/>
    <x v="23"/>
    <x v="23"/>
    <x v="23"/>
    <x v="15"/>
    <x v="200"/>
    <x v="9"/>
    <x v="56"/>
    <x v="31"/>
    <x v="123"/>
    <x v="30"/>
    <x v="0"/>
  </r>
  <r>
    <x v="0"/>
    <x v="48"/>
    <x v="48"/>
    <x v="83"/>
    <x v="83"/>
    <x v="83"/>
    <x v="15"/>
    <x v="200"/>
    <x v="9"/>
    <x v="70"/>
    <x v="92"/>
    <x v="127"/>
    <x v="151"/>
    <x v="0"/>
  </r>
  <r>
    <x v="0"/>
    <x v="49"/>
    <x v="49"/>
    <x v="0"/>
    <x v="0"/>
    <x v="0"/>
    <x v="0"/>
    <x v="208"/>
    <x v="333"/>
    <x v="68"/>
    <x v="470"/>
    <x v="123"/>
    <x v="14"/>
    <x v="0"/>
  </r>
  <r>
    <x v="0"/>
    <x v="49"/>
    <x v="49"/>
    <x v="1"/>
    <x v="1"/>
    <x v="1"/>
    <x v="1"/>
    <x v="195"/>
    <x v="334"/>
    <x v="68"/>
    <x v="470"/>
    <x v="127"/>
    <x v="151"/>
    <x v="0"/>
  </r>
  <r>
    <x v="0"/>
    <x v="49"/>
    <x v="49"/>
    <x v="12"/>
    <x v="12"/>
    <x v="12"/>
    <x v="2"/>
    <x v="196"/>
    <x v="211"/>
    <x v="62"/>
    <x v="112"/>
    <x v="108"/>
    <x v="318"/>
    <x v="0"/>
  </r>
  <r>
    <x v="0"/>
    <x v="49"/>
    <x v="49"/>
    <x v="3"/>
    <x v="3"/>
    <x v="3"/>
    <x v="3"/>
    <x v="197"/>
    <x v="335"/>
    <x v="39"/>
    <x v="471"/>
    <x v="127"/>
    <x v="151"/>
    <x v="0"/>
  </r>
  <r>
    <x v="0"/>
    <x v="49"/>
    <x v="49"/>
    <x v="40"/>
    <x v="40"/>
    <x v="40"/>
    <x v="4"/>
    <x v="198"/>
    <x v="256"/>
    <x v="56"/>
    <x v="454"/>
    <x v="108"/>
    <x v="318"/>
    <x v="0"/>
  </r>
  <r>
    <x v="0"/>
    <x v="49"/>
    <x v="49"/>
    <x v="42"/>
    <x v="42"/>
    <x v="42"/>
    <x v="4"/>
    <x v="198"/>
    <x v="256"/>
    <x v="50"/>
    <x v="111"/>
    <x v="110"/>
    <x v="283"/>
    <x v="0"/>
  </r>
  <r>
    <x v="0"/>
    <x v="49"/>
    <x v="49"/>
    <x v="2"/>
    <x v="2"/>
    <x v="2"/>
    <x v="4"/>
    <x v="198"/>
    <x v="256"/>
    <x v="51"/>
    <x v="472"/>
    <x v="127"/>
    <x v="151"/>
    <x v="0"/>
  </r>
  <r>
    <x v="0"/>
    <x v="49"/>
    <x v="49"/>
    <x v="72"/>
    <x v="72"/>
    <x v="72"/>
    <x v="4"/>
    <x v="198"/>
    <x v="256"/>
    <x v="65"/>
    <x v="65"/>
    <x v="93"/>
    <x v="242"/>
    <x v="0"/>
  </r>
  <r>
    <x v="0"/>
    <x v="49"/>
    <x v="49"/>
    <x v="17"/>
    <x v="17"/>
    <x v="17"/>
    <x v="8"/>
    <x v="199"/>
    <x v="5"/>
    <x v="56"/>
    <x v="454"/>
    <x v="93"/>
    <x v="242"/>
    <x v="0"/>
  </r>
  <r>
    <x v="0"/>
    <x v="49"/>
    <x v="49"/>
    <x v="34"/>
    <x v="34"/>
    <x v="34"/>
    <x v="8"/>
    <x v="199"/>
    <x v="5"/>
    <x v="56"/>
    <x v="454"/>
    <x v="93"/>
    <x v="242"/>
    <x v="0"/>
  </r>
  <r>
    <x v="0"/>
    <x v="49"/>
    <x v="49"/>
    <x v="8"/>
    <x v="8"/>
    <x v="8"/>
    <x v="8"/>
    <x v="199"/>
    <x v="5"/>
    <x v="62"/>
    <x v="112"/>
    <x v="127"/>
    <x v="151"/>
    <x v="0"/>
  </r>
  <r>
    <x v="0"/>
    <x v="49"/>
    <x v="49"/>
    <x v="6"/>
    <x v="6"/>
    <x v="6"/>
    <x v="8"/>
    <x v="199"/>
    <x v="5"/>
    <x v="62"/>
    <x v="112"/>
    <x v="127"/>
    <x v="151"/>
    <x v="0"/>
  </r>
  <r>
    <x v="0"/>
    <x v="49"/>
    <x v="49"/>
    <x v="13"/>
    <x v="13"/>
    <x v="13"/>
    <x v="12"/>
    <x v="200"/>
    <x v="105"/>
    <x v="50"/>
    <x v="111"/>
    <x v="93"/>
    <x v="242"/>
    <x v="0"/>
  </r>
  <r>
    <x v="0"/>
    <x v="49"/>
    <x v="49"/>
    <x v="14"/>
    <x v="14"/>
    <x v="14"/>
    <x v="12"/>
    <x v="200"/>
    <x v="105"/>
    <x v="56"/>
    <x v="454"/>
    <x v="123"/>
    <x v="14"/>
    <x v="0"/>
  </r>
  <r>
    <x v="0"/>
    <x v="49"/>
    <x v="49"/>
    <x v="44"/>
    <x v="44"/>
    <x v="44"/>
    <x v="12"/>
    <x v="200"/>
    <x v="105"/>
    <x v="70"/>
    <x v="473"/>
    <x v="127"/>
    <x v="151"/>
    <x v="0"/>
  </r>
  <r>
    <x v="0"/>
    <x v="49"/>
    <x v="49"/>
    <x v="47"/>
    <x v="47"/>
    <x v="47"/>
    <x v="12"/>
    <x v="200"/>
    <x v="105"/>
    <x v="50"/>
    <x v="111"/>
    <x v="93"/>
    <x v="242"/>
    <x v="0"/>
  </r>
  <r>
    <x v="0"/>
    <x v="49"/>
    <x v="49"/>
    <x v="51"/>
    <x v="51"/>
    <x v="51"/>
    <x v="12"/>
    <x v="200"/>
    <x v="105"/>
    <x v="56"/>
    <x v="454"/>
    <x v="123"/>
    <x v="14"/>
    <x v="0"/>
  </r>
  <r>
    <x v="0"/>
    <x v="49"/>
    <x v="49"/>
    <x v="10"/>
    <x v="10"/>
    <x v="10"/>
    <x v="16"/>
    <x v="216"/>
    <x v="15"/>
    <x v="56"/>
    <x v="454"/>
    <x v="127"/>
    <x v="151"/>
    <x v="0"/>
  </r>
  <r>
    <x v="0"/>
    <x v="49"/>
    <x v="49"/>
    <x v="56"/>
    <x v="56"/>
    <x v="56"/>
    <x v="16"/>
    <x v="216"/>
    <x v="15"/>
    <x v="56"/>
    <x v="454"/>
    <x v="127"/>
    <x v="151"/>
    <x v="0"/>
  </r>
  <r>
    <x v="0"/>
    <x v="49"/>
    <x v="49"/>
    <x v="31"/>
    <x v="31"/>
    <x v="31"/>
    <x v="16"/>
    <x v="216"/>
    <x v="15"/>
    <x v="50"/>
    <x v="111"/>
    <x v="123"/>
    <x v="14"/>
    <x v="0"/>
  </r>
  <r>
    <x v="0"/>
    <x v="49"/>
    <x v="49"/>
    <x v="54"/>
    <x v="54"/>
    <x v="54"/>
    <x v="16"/>
    <x v="216"/>
    <x v="15"/>
    <x v="65"/>
    <x v="65"/>
    <x v="93"/>
    <x v="242"/>
    <x v="0"/>
  </r>
  <r>
    <x v="0"/>
    <x v="49"/>
    <x v="49"/>
    <x v="93"/>
    <x v="93"/>
    <x v="93"/>
    <x v="16"/>
    <x v="216"/>
    <x v="15"/>
    <x v="56"/>
    <x v="454"/>
    <x v="127"/>
    <x v="151"/>
    <x v="0"/>
  </r>
  <r>
    <x v="0"/>
    <x v="49"/>
    <x v="49"/>
    <x v="36"/>
    <x v="36"/>
    <x v="36"/>
    <x v="16"/>
    <x v="216"/>
    <x v="15"/>
    <x v="65"/>
    <x v="65"/>
    <x v="93"/>
    <x v="242"/>
    <x v="0"/>
  </r>
  <r>
    <x v="0"/>
    <x v="49"/>
    <x v="49"/>
    <x v="21"/>
    <x v="21"/>
    <x v="21"/>
    <x v="16"/>
    <x v="216"/>
    <x v="15"/>
    <x v="65"/>
    <x v="65"/>
    <x v="93"/>
    <x v="242"/>
    <x v="0"/>
  </r>
  <r>
    <x v="0"/>
    <x v="49"/>
    <x v="49"/>
    <x v="94"/>
    <x v="94"/>
    <x v="94"/>
    <x v="16"/>
    <x v="216"/>
    <x v="15"/>
    <x v="65"/>
    <x v="65"/>
    <x v="93"/>
    <x v="242"/>
    <x v="0"/>
  </r>
  <r>
    <x v="0"/>
    <x v="49"/>
    <x v="49"/>
    <x v="68"/>
    <x v="68"/>
    <x v="68"/>
    <x v="16"/>
    <x v="216"/>
    <x v="15"/>
    <x v="56"/>
    <x v="454"/>
    <x v="127"/>
    <x v="151"/>
    <x v="0"/>
  </r>
  <r>
    <x v="0"/>
    <x v="49"/>
    <x v="49"/>
    <x v="48"/>
    <x v="48"/>
    <x v="48"/>
    <x v="16"/>
    <x v="216"/>
    <x v="15"/>
    <x v="50"/>
    <x v="111"/>
    <x v="123"/>
    <x v="14"/>
    <x v="0"/>
  </r>
  <r>
    <x v="0"/>
    <x v="49"/>
    <x v="49"/>
    <x v="92"/>
    <x v="92"/>
    <x v="92"/>
    <x v="16"/>
    <x v="216"/>
    <x v="15"/>
    <x v="50"/>
    <x v="111"/>
    <x v="123"/>
    <x v="14"/>
    <x v="0"/>
  </r>
  <r>
    <x v="0"/>
    <x v="49"/>
    <x v="49"/>
    <x v="49"/>
    <x v="49"/>
    <x v="49"/>
    <x v="16"/>
    <x v="216"/>
    <x v="15"/>
    <x v="50"/>
    <x v="111"/>
    <x v="123"/>
    <x v="14"/>
    <x v="0"/>
  </r>
  <r>
    <x v="0"/>
    <x v="49"/>
    <x v="49"/>
    <x v="7"/>
    <x v="7"/>
    <x v="7"/>
    <x v="16"/>
    <x v="216"/>
    <x v="15"/>
    <x v="56"/>
    <x v="454"/>
    <x v="127"/>
    <x v="151"/>
    <x v="0"/>
  </r>
  <r>
    <x v="0"/>
    <x v="49"/>
    <x v="49"/>
    <x v="95"/>
    <x v="95"/>
    <x v="95"/>
    <x v="16"/>
    <x v="216"/>
    <x v="15"/>
    <x v="56"/>
    <x v="454"/>
    <x v="127"/>
    <x v="151"/>
    <x v="0"/>
  </r>
  <r>
    <x v="0"/>
    <x v="49"/>
    <x v="49"/>
    <x v="16"/>
    <x v="16"/>
    <x v="16"/>
    <x v="16"/>
    <x v="216"/>
    <x v="15"/>
    <x v="50"/>
    <x v="111"/>
    <x v="123"/>
    <x v="14"/>
    <x v="0"/>
  </r>
  <r>
    <x v="0"/>
    <x v="49"/>
    <x v="49"/>
    <x v="45"/>
    <x v="45"/>
    <x v="45"/>
    <x v="16"/>
    <x v="216"/>
    <x v="15"/>
    <x v="56"/>
    <x v="454"/>
    <x v="127"/>
    <x v="151"/>
    <x v="0"/>
  </r>
  <r>
    <x v="0"/>
    <x v="49"/>
    <x v="49"/>
    <x v="5"/>
    <x v="5"/>
    <x v="5"/>
    <x v="16"/>
    <x v="216"/>
    <x v="15"/>
    <x v="56"/>
    <x v="454"/>
    <x v="127"/>
    <x v="151"/>
    <x v="0"/>
  </r>
  <r>
    <x v="0"/>
    <x v="49"/>
    <x v="49"/>
    <x v="39"/>
    <x v="39"/>
    <x v="39"/>
    <x v="16"/>
    <x v="216"/>
    <x v="15"/>
    <x v="56"/>
    <x v="454"/>
    <x v="127"/>
    <x v="151"/>
    <x v="0"/>
  </r>
  <r>
    <x v="0"/>
    <x v="49"/>
    <x v="49"/>
    <x v="23"/>
    <x v="23"/>
    <x v="23"/>
    <x v="16"/>
    <x v="216"/>
    <x v="15"/>
    <x v="56"/>
    <x v="454"/>
    <x v="127"/>
    <x v="151"/>
    <x v="0"/>
  </r>
  <r>
    <x v="0"/>
    <x v="49"/>
    <x v="49"/>
    <x v="43"/>
    <x v="43"/>
    <x v="43"/>
    <x v="16"/>
    <x v="216"/>
    <x v="15"/>
    <x v="65"/>
    <x v="65"/>
    <x v="93"/>
    <x v="242"/>
    <x v="0"/>
  </r>
  <r>
    <x v="0"/>
    <x v="49"/>
    <x v="49"/>
    <x v="19"/>
    <x v="19"/>
    <x v="19"/>
    <x v="16"/>
    <x v="216"/>
    <x v="15"/>
    <x v="50"/>
    <x v="111"/>
    <x v="123"/>
    <x v="14"/>
    <x v="0"/>
  </r>
  <r>
    <x v="0"/>
    <x v="50"/>
    <x v="50"/>
    <x v="51"/>
    <x v="51"/>
    <x v="51"/>
    <x v="0"/>
    <x v="195"/>
    <x v="325"/>
    <x v="95"/>
    <x v="474"/>
    <x v="93"/>
    <x v="319"/>
    <x v="0"/>
  </r>
  <r>
    <x v="0"/>
    <x v="50"/>
    <x v="50"/>
    <x v="1"/>
    <x v="1"/>
    <x v="1"/>
    <x v="1"/>
    <x v="197"/>
    <x v="326"/>
    <x v="39"/>
    <x v="348"/>
    <x v="127"/>
    <x v="151"/>
    <x v="0"/>
  </r>
  <r>
    <x v="0"/>
    <x v="50"/>
    <x v="50"/>
    <x v="3"/>
    <x v="3"/>
    <x v="3"/>
    <x v="2"/>
    <x v="198"/>
    <x v="336"/>
    <x v="51"/>
    <x v="475"/>
    <x v="127"/>
    <x v="151"/>
    <x v="0"/>
  </r>
  <r>
    <x v="0"/>
    <x v="50"/>
    <x v="50"/>
    <x v="40"/>
    <x v="40"/>
    <x v="40"/>
    <x v="3"/>
    <x v="199"/>
    <x v="187"/>
    <x v="70"/>
    <x v="216"/>
    <x v="123"/>
    <x v="320"/>
    <x v="0"/>
  </r>
  <r>
    <x v="0"/>
    <x v="50"/>
    <x v="50"/>
    <x v="5"/>
    <x v="5"/>
    <x v="5"/>
    <x v="3"/>
    <x v="199"/>
    <x v="187"/>
    <x v="62"/>
    <x v="162"/>
    <x v="127"/>
    <x v="151"/>
    <x v="0"/>
  </r>
  <r>
    <x v="0"/>
    <x v="50"/>
    <x v="50"/>
    <x v="10"/>
    <x v="10"/>
    <x v="10"/>
    <x v="5"/>
    <x v="200"/>
    <x v="327"/>
    <x v="65"/>
    <x v="65"/>
    <x v="108"/>
    <x v="321"/>
    <x v="0"/>
  </r>
  <r>
    <x v="0"/>
    <x v="50"/>
    <x v="50"/>
    <x v="54"/>
    <x v="54"/>
    <x v="54"/>
    <x v="5"/>
    <x v="200"/>
    <x v="327"/>
    <x v="65"/>
    <x v="65"/>
    <x v="108"/>
    <x v="321"/>
    <x v="0"/>
  </r>
  <r>
    <x v="0"/>
    <x v="50"/>
    <x v="50"/>
    <x v="18"/>
    <x v="18"/>
    <x v="18"/>
    <x v="5"/>
    <x v="200"/>
    <x v="327"/>
    <x v="56"/>
    <x v="476"/>
    <x v="123"/>
    <x v="320"/>
    <x v="0"/>
  </r>
  <r>
    <x v="0"/>
    <x v="50"/>
    <x v="50"/>
    <x v="31"/>
    <x v="31"/>
    <x v="31"/>
    <x v="8"/>
    <x v="216"/>
    <x v="324"/>
    <x v="56"/>
    <x v="476"/>
    <x v="127"/>
    <x v="151"/>
    <x v="0"/>
  </r>
  <r>
    <x v="0"/>
    <x v="50"/>
    <x v="50"/>
    <x v="13"/>
    <x v="13"/>
    <x v="13"/>
    <x v="8"/>
    <x v="216"/>
    <x v="324"/>
    <x v="50"/>
    <x v="327"/>
    <x v="123"/>
    <x v="320"/>
    <x v="0"/>
  </r>
  <r>
    <x v="0"/>
    <x v="50"/>
    <x v="50"/>
    <x v="96"/>
    <x v="96"/>
    <x v="96"/>
    <x v="8"/>
    <x v="216"/>
    <x v="324"/>
    <x v="65"/>
    <x v="65"/>
    <x v="93"/>
    <x v="319"/>
    <x v="0"/>
  </r>
  <r>
    <x v="0"/>
    <x v="50"/>
    <x v="50"/>
    <x v="73"/>
    <x v="73"/>
    <x v="73"/>
    <x v="8"/>
    <x v="216"/>
    <x v="324"/>
    <x v="50"/>
    <x v="327"/>
    <x v="123"/>
    <x v="320"/>
    <x v="0"/>
  </r>
  <r>
    <x v="0"/>
    <x v="50"/>
    <x v="50"/>
    <x v="48"/>
    <x v="48"/>
    <x v="48"/>
    <x v="8"/>
    <x v="216"/>
    <x v="324"/>
    <x v="56"/>
    <x v="476"/>
    <x v="127"/>
    <x v="151"/>
    <x v="0"/>
  </r>
  <r>
    <x v="0"/>
    <x v="50"/>
    <x v="50"/>
    <x v="41"/>
    <x v="41"/>
    <x v="41"/>
    <x v="8"/>
    <x v="216"/>
    <x v="324"/>
    <x v="56"/>
    <x v="476"/>
    <x v="127"/>
    <x v="151"/>
    <x v="0"/>
  </r>
  <r>
    <x v="0"/>
    <x v="50"/>
    <x v="50"/>
    <x v="12"/>
    <x v="12"/>
    <x v="12"/>
    <x v="8"/>
    <x v="216"/>
    <x v="324"/>
    <x v="50"/>
    <x v="327"/>
    <x v="123"/>
    <x v="320"/>
    <x v="0"/>
  </r>
  <r>
    <x v="0"/>
    <x v="50"/>
    <x v="50"/>
    <x v="49"/>
    <x v="49"/>
    <x v="49"/>
    <x v="8"/>
    <x v="216"/>
    <x v="324"/>
    <x v="56"/>
    <x v="476"/>
    <x v="127"/>
    <x v="151"/>
    <x v="0"/>
  </r>
  <r>
    <x v="0"/>
    <x v="50"/>
    <x v="50"/>
    <x v="0"/>
    <x v="0"/>
    <x v="0"/>
    <x v="8"/>
    <x v="216"/>
    <x v="324"/>
    <x v="65"/>
    <x v="65"/>
    <x v="93"/>
    <x v="319"/>
    <x v="0"/>
  </r>
  <r>
    <x v="0"/>
    <x v="50"/>
    <x v="50"/>
    <x v="4"/>
    <x v="4"/>
    <x v="4"/>
    <x v="8"/>
    <x v="216"/>
    <x v="324"/>
    <x v="56"/>
    <x v="476"/>
    <x v="127"/>
    <x v="151"/>
    <x v="0"/>
  </r>
  <r>
    <x v="0"/>
    <x v="50"/>
    <x v="50"/>
    <x v="2"/>
    <x v="2"/>
    <x v="2"/>
    <x v="8"/>
    <x v="216"/>
    <x v="324"/>
    <x v="56"/>
    <x v="476"/>
    <x v="127"/>
    <x v="151"/>
    <x v="0"/>
  </r>
  <r>
    <x v="0"/>
    <x v="50"/>
    <x v="50"/>
    <x v="8"/>
    <x v="8"/>
    <x v="8"/>
    <x v="8"/>
    <x v="216"/>
    <x v="324"/>
    <x v="56"/>
    <x v="476"/>
    <x v="127"/>
    <x v="151"/>
    <x v="0"/>
  </r>
  <r>
    <x v="0"/>
    <x v="51"/>
    <x v="51"/>
    <x v="3"/>
    <x v="3"/>
    <x v="3"/>
    <x v="0"/>
    <x v="195"/>
    <x v="337"/>
    <x v="68"/>
    <x v="477"/>
    <x v="127"/>
    <x v="151"/>
    <x v="0"/>
  </r>
  <r>
    <x v="0"/>
    <x v="51"/>
    <x v="51"/>
    <x v="1"/>
    <x v="1"/>
    <x v="1"/>
    <x v="0"/>
    <x v="195"/>
    <x v="337"/>
    <x v="68"/>
    <x v="477"/>
    <x v="127"/>
    <x v="151"/>
    <x v="0"/>
  </r>
  <r>
    <x v="0"/>
    <x v="51"/>
    <x v="51"/>
    <x v="2"/>
    <x v="2"/>
    <x v="2"/>
    <x v="2"/>
    <x v="210"/>
    <x v="193"/>
    <x v="100"/>
    <x v="478"/>
    <x v="127"/>
    <x v="151"/>
    <x v="0"/>
  </r>
  <r>
    <x v="0"/>
    <x v="51"/>
    <x v="51"/>
    <x v="40"/>
    <x v="40"/>
    <x v="40"/>
    <x v="3"/>
    <x v="199"/>
    <x v="101"/>
    <x v="70"/>
    <x v="479"/>
    <x v="123"/>
    <x v="110"/>
    <x v="0"/>
  </r>
  <r>
    <x v="0"/>
    <x v="51"/>
    <x v="51"/>
    <x v="47"/>
    <x v="47"/>
    <x v="47"/>
    <x v="3"/>
    <x v="199"/>
    <x v="101"/>
    <x v="70"/>
    <x v="479"/>
    <x v="123"/>
    <x v="110"/>
    <x v="0"/>
  </r>
  <r>
    <x v="0"/>
    <x v="51"/>
    <x v="51"/>
    <x v="7"/>
    <x v="7"/>
    <x v="7"/>
    <x v="3"/>
    <x v="199"/>
    <x v="101"/>
    <x v="70"/>
    <x v="479"/>
    <x v="123"/>
    <x v="110"/>
    <x v="0"/>
  </r>
  <r>
    <x v="0"/>
    <x v="51"/>
    <x v="51"/>
    <x v="5"/>
    <x v="5"/>
    <x v="5"/>
    <x v="3"/>
    <x v="199"/>
    <x v="101"/>
    <x v="62"/>
    <x v="480"/>
    <x v="127"/>
    <x v="151"/>
    <x v="0"/>
  </r>
  <r>
    <x v="0"/>
    <x v="51"/>
    <x v="51"/>
    <x v="17"/>
    <x v="17"/>
    <x v="17"/>
    <x v="7"/>
    <x v="200"/>
    <x v="6"/>
    <x v="50"/>
    <x v="481"/>
    <x v="93"/>
    <x v="322"/>
    <x v="0"/>
  </r>
  <r>
    <x v="0"/>
    <x v="51"/>
    <x v="51"/>
    <x v="22"/>
    <x v="22"/>
    <x v="22"/>
    <x v="7"/>
    <x v="200"/>
    <x v="6"/>
    <x v="70"/>
    <x v="479"/>
    <x v="127"/>
    <x v="151"/>
    <x v="0"/>
  </r>
  <r>
    <x v="0"/>
    <x v="51"/>
    <x v="51"/>
    <x v="68"/>
    <x v="68"/>
    <x v="68"/>
    <x v="7"/>
    <x v="200"/>
    <x v="6"/>
    <x v="56"/>
    <x v="482"/>
    <x v="123"/>
    <x v="110"/>
    <x v="0"/>
  </r>
  <r>
    <x v="0"/>
    <x v="51"/>
    <x v="51"/>
    <x v="42"/>
    <x v="42"/>
    <x v="42"/>
    <x v="7"/>
    <x v="200"/>
    <x v="6"/>
    <x v="50"/>
    <x v="481"/>
    <x v="93"/>
    <x v="322"/>
    <x v="0"/>
  </r>
  <r>
    <x v="0"/>
    <x v="51"/>
    <x v="51"/>
    <x v="49"/>
    <x v="49"/>
    <x v="49"/>
    <x v="7"/>
    <x v="200"/>
    <x v="6"/>
    <x v="56"/>
    <x v="482"/>
    <x v="123"/>
    <x v="110"/>
    <x v="0"/>
  </r>
  <r>
    <x v="0"/>
    <x v="51"/>
    <x v="51"/>
    <x v="35"/>
    <x v="35"/>
    <x v="35"/>
    <x v="7"/>
    <x v="200"/>
    <x v="6"/>
    <x v="65"/>
    <x v="65"/>
    <x v="108"/>
    <x v="323"/>
    <x v="0"/>
  </r>
  <r>
    <x v="0"/>
    <x v="51"/>
    <x v="51"/>
    <x v="51"/>
    <x v="51"/>
    <x v="51"/>
    <x v="7"/>
    <x v="200"/>
    <x v="6"/>
    <x v="50"/>
    <x v="481"/>
    <x v="93"/>
    <x v="322"/>
    <x v="0"/>
  </r>
  <r>
    <x v="0"/>
    <x v="51"/>
    <x v="51"/>
    <x v="9"/>
    <x v="9"/>
    <x v="9"/>
    <x v="7"/>
    <x v="200"/>
    <x v="6"/>
    <x v="70"/>
    <x v="479"/>
    <x v="127"/>
    <x v="151"/>
    <x v="0"/>
  </r>
  <r>
    <x v="0"/>
    <x v="51"/>
    <x v="51"/>
    <x v="32"/>
    <x v="32"/>
    <x v="32"/>
    <x v="14"/>
    <x v="216"/>
    <x v="97"/>
    <x v="50"/>
    <x v="481"/>
    <x v="123"/>
    <x v="110"/>
    <x v="0"/>
  </r>
  <r>
    <x v="0"/>
    <x v="51"/>
    <x v="51"/>
    <x v="46"/>
    <x v="46"/>
    <x v="46"/>
    <x v="14"/>
    <x v="216"/>
    <x v="97"/>
    <x v="56"/>
    <x v="482"/>
    <x v="127"/>
    <x v="151"/>
    <x v="0"/>
  </r>
  <r>
    <x v="0"/>
    <x v="51"/>
    <x v="51"/>
    <x v="13"/>
    <x v="13"/>
    <x v="13"/>
    <x v="14"/>
    <x v="216"/>
    <x v="97"/>
    <x v="65"/>
    <x v="65"/>
    <x v="93"/>
    <x v="322"/>
    <x v="0"/>
  </r>
  <r>
    <x v="0"/>
    <x v="51"/>
    <x v="51"/>
    <x v="14"/>
    <x v="14"/>
    <x v="14"/>
    <x v="14"/>
    <x v="216"/>
    <x v="97"/>
    <x v="50"/>
    <x v="481"/>
    <x v="123"/>
    <x v="110"/>
    <x v="0"/>
  </r>
  <r>
    <x v="0"/>
    <x v="51"/>
    <x v="51"/>
    <x v="93"/>
    <x v="93"/>
    <x v="93"/>
    <x v="14"/>
    <x v="216"/>
    <x v="97"/>
    <x v="56"/>
    <x v="482"/>
    <x v="127"/>
    <x v="151"/>
    <x v="0"/>
  </r>
  <r>
    <x v="0"/>
    <x v="51"/>
    <x v="51"/>
    <x v="97"/>
    <x v="97"/>
    <x v="97"/>
    <x v="14"/>
    <x v="216"/>
    <x v="97"/>
    <x v="65"/>
    <x v="65"/>
    <x v="93"/>
    <x v="322"/>
    <x v="0"/>
  </r>
  <r>
    <x v="0"/>
    <x v="51"/>
    <x v="51"/>
    <x v="28"/>
    <x v="28"/>
    <x v="28"/>
    <x v="14"/>
    <x v="216"/>
    <x v="97"/>
    <x v="50"/>
    <x v="481"/>
    <x v="123"/>
    <x v="110"/>
    <x v="0"/>
  </r>
  <r>
    <x v="0"/>
    <x v="51"/>
    <x v="51"/>
    <x v="41"/>
    <x v="41"/>
    <x v="41"/>
    <x v="14"/>
    <x v="216"/>
    <x v="97"/>
    <x v="65"/>
    <x v="65"/>
    <x v="93"/>
    <x v="322"/>
    <x v="0"/>
  </r>
  <r>
    <x v="0"/>
    <x v="51"/>
    <x v="51"/>
    <x v="0"/>
    <x v="0"/>
    <x v="0"/>
    <x v="14"/>
    <x v="216"/>
    <x v="97"/>
    <x v="50"/>
    <x v="481"/>
    <x v="123"/>
    <x v="110"/>
    <x v="0"/>
  </r>
  <r>
    <x v="0"/>
    <x v="51"/>
    <x v="51"/>
    <x v="16"/>
    <x v="16"/>
    <x v="16"/>
    <x v="14"/>
    <x v="216"/>
    <x v="97"/>
    <x v="56"/>
    <x v="482"/>
    <x v="127"/>
    <x v="151"/>
    <x v="0"/>
  </r>
  <r>
    <x v="0"/>
    <x v="51"/>
    <x v="51"/>
    <x v="4"/>
    <x v="4"/>
    <x v="4"/>
    <x v="14"/>
    <x v="216"/>
    <x v="97"/>
    <x v="56"/>
    <x v="482"/>
    <x v="127"/>
    <x v="151"/>
    <x v="0"/>
  </r>
  <r>
    <x v="0"/>
    <x v="51"/>
    <x v="51"/>
    <x v="61"/>
    <x v="61"/>
    <x v="61"/>
    <x v="14"/>
    <x v="216"/>
    <x v="97"/>
    <x v="56"/>
    <x v="482"/>
    <x v="127"/>
    <x v="151"/>
    <x v="0"/>
  </r>
  <r>
    <x v="0"/>
    <x v="51"/>
    <x v="51"/>
    <x v="39"/>
    <x v="39"/>
    <x v="39"/>
    <x v="14"/>
    <x v="216"/>
    <x v="97"/>
    <x v="56"/>
    <x v="482"/>
    <x v="127"/>
    <x v="151"/>
    <x v="0"/>
  </r>
  <r>
    <x v="0"/>
    <x v="51"/>
    <x v="51"/>
    <x v="19"/>
    <x v="19"/>
    <x v="19"/>
    <x v="14"/>
    <x v="216"/>
    <x v="97"/>
    <x v="56"/>
    <x v="482"/>
    <x v="127"/>
    <x v="151"/>
    <x v="0"/>
  </r>
  <r>
    <x v="0"/>
    <x v="52"/>
    <x v="52"/>
    <x v="1"/>
    <x v="1"/>
    <x v="1"/>
    <x v="0"/>
    <x v="136"/>
    <x v="338"/>
    <x v="71"/>
    <x v="483"/>
    <x v="123"/>
    <x v="208"/>
    <x v="0"/>
  </r>
  <r>
    <x v="0"/>
    <x v="52"/>
    <x v="52"/>
    <x v="3"/>
    <x v="3"/>
    <x v="3"/>
    <x v="1"/>
    <x v="141"/>
    <x v="284"/>
    <x v="32"/>
    <x v="484"/>
    <x v="93"/>
    <x v="96"/>
    <x v="0"/>
  </r>
  <r>
    <x v="0"/>
    <x v="52"/>
    <x v="52"/>
    <x v="19"/>
    <x v="19"/>
    <x v="19"/>
    <x v="2"/>
    <x v="209"/>
    <x v="339"/>
    <x v="38"/>
    <x v="485"/>
    <x v="119"/>
    <x v="305"/>
    <x v="0"/>
  </r>
  <r>
    <x v="0"/>
    <x v="52"/>
    <x v="52"/>
    <x v="4"/>
    <x v="4"/>
    <x v="4"/>
    <x v="3"/>
    <x v="204"/>
    <x v="208"/>
    <x v="61"/>
    <x v="486"/>
    <x v="119"/>
    <x v="305"/>
    <x v="0"/>
  </r>
  <r>
    <x v="0"/>
    <x v="52"/>
    <x v="52"/>
    <x v="59"/>
    <x v="59"/>
    <x v="59"/>
    <x v="3"/>
    <x v="204"/>
    <x v="208"/>
    <x v="65"/>
    <x v="65"/>
    <x v="52"/>
    <x v="324"/>
    <x v="0"/>
  </r>
  <r>
    <x v="0"/>
    <x v="52"/>
    <x v="52"/>
    <x v="10"/>
    <x v="10"/>
    <x v="10"/>
    <x v="5"/>
    <x v="193"/>
    <x v="22"/>
    <x v="50"/>
    <x v="385"/>
    <x v="134"/>
    <x v="292"/>
    <x v="0"/>
  </r>
  <r>
    <x v="0"/>
    <x v="52"/>
    <x v="52"/>
    <x v="14"/>
    <x v="14"/>
    <x v="14"/>
    <x v="5"/>
    <x v="193"/>
    <x v="22"/>
    <x v="62"/>
    <x v="223"/>
    <x v="113"/>
    <x v="325"/>
    <x v="0"/>
  </r>
  <r>
    <x v="0"/>
    <x v="52"/>
    <x v="52"/>
    <x v="40"/>
    <x v="40"/>
    <x v="40"/>
    <x v="7"/>
    <x v="194"/>
    <x v="248"/>
    <x v="95"/>
    <x v="487"/>
    <x v="119"/>
    <x v="305"/>
    <x v="0"/>
  </r>
  <r>
    <x v="0"/>
    <x v="52"/>
    <x v="52"/>
    <x v="34"/>
    <x v="34"/>
    <x v="34"/>
    <x v="8"/>
    <x v="207"/>
    <x v="219"/>
    <x v="100"/>
    <x v="488"/>
    <x v="108"/>
    <x v="326"/>
    <x v="0"/>
  </r>
  <r>
    <x v="0"/>
    <x v="52"/>
    <x v="52"/>
    <x v="13"/>
    <x v="13"/>
    <x v="13"/>
    <x v="9"/>
    <x v="208"/>
    <x v="59"/>
    <x v="62"/>
    <x v="223"/>
    <x v="67"/>
    <x v="327"/>
    <x v="0"/>
  </r>
  <r>
    <x v="0"/>
    <x v="52"/>
    <x v="52"/>
    <x v="11"/>
    <x v="11"/>
    <x v="11"/>
    <x v="9"/>
    <x v="208"/>
    <x v="59"/>
    <x v="62"/>
    <x v="223"/>
    <x v="67"/>
    <x v="327"/>
    <x v="0"/>
  </r>
  <r>
    <x v="0"/>
    <x v="52"/>
    <x v="52"/>
    <x v="0"/>
    <x v="0"/>
    <x v="0"/>
    <x v="9"/>
    <x v="208"/>
    <x v="59"/>
    <x v="65"/>
    <x v="65"/>
    <x v="106"/>
    <x v="328"/>
    <x v="0"/>
  </r>
  <r>
    <x v="0"/>
    <x v="52"/>
    <x v="52"/>
    <x v="17"/>
    <x v="17"/>
    <x v="17"/>
    <x v="12"/>
    <x v="195"/>
    <x v="309"/>
    <x v="56"/>
    <x v="489"/>
    <x v="98"/>
    <x v="320"/>
    <x v="0"/>
  </r>
  <r>
    <x v="0"/>
    <x v="52"/>
    <x v="52"/>
    <x v="37"/>
    <x v="37"/>
    <x v="37"/>
    <x v="12"/>
    <x v="195"/>
    <x v="309"/>
    <x v="65"/>
    <x v="65"/>
    <x v="109"/>
    <x v="248"/>
    <x v="0"/>
  </r>
  <r>
    <x v="0"/>
    <x v="52"/>
    <x v="52"/>
    <x v="41"/>
    <x v="41"/>
    <x v="41"/>
    <x v="19"/>
    <x v="210"/>
    <x v="84"/>
    <x v="95"/>
    <x v="487"/>
    <x v="123"/>
    <x v="208"/>
    <x v="0"/>
  </r>
  <r>
    <x v="0"/>
    <x v="52"/>
    <x v="52"/>
    <x v="7"/>
    <x v="7"/>
    <x v="7"/>
    <x v="19"/>
    <x v="210"/>
    <x v="84"/>
    <x v="56"/>
    <x v="489"/>
    <x v="67"/>
    <x v="327"/>
    <x v="0"/>
  </r>
  <r>
    <x v="0"/>
    <x v="52"/>
    <x v="52"/>
    <x v="8"/>
    <x v="8"/>
    <x v="8"/>
    <x v="19"/>
    <x v="210"/>
    <x v="84"/>
    <x v="95"/>
    <x v="487"/>
    <x v="123"/>
    <x v="208"/>
    <x v="0"/>
  </r>
  <r>
    <x v="0"/>
    <x v="52"/>
    <x v="52"/>
    <x v="32"/>
    <x v="32"/>
    <x v="32"/>
    <x v="16"/>
    <x v="196"/>
    <x v="63"/>
    <x v="70"/>
    <x v="490"/>
    <x v="110"/>
    <x v="329"/>
    <x v="0"/>
  </r>
  <r>
    <x v="0"/>
    <x v="52"/>
    <x v="52"/>
    <x v="58"/>
    <x v="58"/>
    <x v="58"/>
    <x v="16"/>
    <x v="196"/>
    <x v="63"/>
    <x v="56"/>
    <x v="489"/>
    <x v="119"/>
    <x v="305"/>
    <x v="0"/>
  </r>
  <r>
    <x v="0"/>
    <x v="52"/>
    <x v="52"/>
    <x v="12"/>
    <x v="12"/>
    <x v="12"/>
    <x v="16"/>
    <x v="196"/>
    <x v="63"/>
    <x v="62"/>
    <x v="223"/>
    <x v="108"/>
    <x v="326"/>
    <x v="0"/>
  </r>
  <r>
    <x v="0"/>
    <x v="52"/>
    <x v="52"/>
    <x v="16"/>
    <x v="16"/>
    <x v="16"/>
    <x v="16"/>
    <x v="196"/>
    <x v="63"/>
    <x v="56"/>
    <x v="489"/>
    <x v="119"/>
    <x v="305"/>
    <x v="0"/>
  </r>
  <r>
    <x v="0"/>
    <x v="53"/>
    <x v="53"/>
    <x v="12"/>
    <x v="12"/>
    <x v="12"/>
    <x v="0"/>
    <x v="196"/>
    <x v="340"/>
    <x v="51"/>
    <x v="491"/>
    <x v="93"/>
    <x v="330"/>
    <x v="0"/>
  </r>
  <r>
    <x v="0"/>
    <x v="53"/>
    <x v="53"/>
    <x v="3"/>
    <x v="3"/>
    <x v="3"/>
    <x v="1"/>
    <x v="197"/>
    <x v="341"/>
    <x v="39"/>
    <x v="492"/>
    <x v="127"/>
    <x v="151"/>
    <x v="0"/>
  </r>
  <r>
    <x v="0"/>
    <x v="53"/>
    <x v="53"/>
    <x v="10"/>
    <x v="10"/>
    <x v="10"/>
    <x v="2"/>
    <x v="199"/>
    <x v="342"/>
    <x v="65"/>
    <x v="65"/>
    <x v="110"/>
    <x v="331"/>
    <x v="0"/>
  </r>
  <r>
    <x v="0"/>
    <x v="53"/>
    <x v="53"/>
    <x v="45"/>
    <x v="45"/>
    <x v="45"/>
    <x v="2"/>
    <x v="199"/>
    <x v="342"/>
    <x v="62"/>
    <x v="367"/>
    <x v="127"/>
    <x v="151"/>
    <x v="0"/>
  </r>
  <r>
    <x v="0"/>
    <x v="53"/>
    <x v="53"/>
    <x v="1"/>
    <x v="1"/>
    <x v="1"/>
    <x v="2"/>
    <x v="199"/>
    <x v="342"/>
    <x v="62"/>
    <x v="367"/>
    <x v="127"/>
    <x v="151"/>
    <x v="0"/>
  </r>
  <r>
    <x v="0"/>
    <x v="53"/>
    <x v="53"/>
    <x v="17"/>
    <x v="17"/>
    <x v="17"/>
    <x v="5"/>
    <x v="200"/>
    <x v="323"/>
    <x v="65"/>
    <x v="65"/>
    <x v="108"/>
    <x v="214"/>
    <x v="0"/>
  </r>
  <r>
    <x v="0"/>
    <x v="53"/>
    <x v="53"/>
    <x v="40"/>
    <x v="40"/>
    <x v="40"/>
    <x v="5"/>
    <x v="200"/>
    <x v="323"/>
    <x v="70"/>
    <x v="493"/>
    <x v="127"/>
    <x v="151"/>
    <x v="0"/>
  </r>
  <r>
    <x v="0"/>
    <x v="53"/>
    <x v="53"/>
    <x v="42"/>
    <x v="42"/>
    <x v="42"/>
    <x v="5"/>
    <x v="200"/>
    <x v="323"/>
    <x v="50"/>
    <x v="494"/>
    <x v="93"/>
    <x v="330"/>
    <x v="0"/>
  </r>
  <r>
    <x v="0"/>
    <x v="53"/>
    <x v="53"/>
    <x v="51"/>
    <x v="51"/>
    <x v="51"/>
    <x v="5"/>
    <x v="200"/>
    <x v="323"/>
    <x v="56"/>
    <x v="64"/>
    <x v="123"/>
    <x v="72"/>
    <x v="0"/>
  </r>
  <r>
    <x v="0"/>
    <x v="53"/>
    <x v="53"/>
    <x v="67"/>
    <x v="67"/>
    <x v="67"/>
    <x v="9"/>
    <x v="216"/>
    <x v="93"/>
    <x v="50"/>
    <x v="494"/>
    <x v="123"/>
    <x v="72"/>
    <x v="0"/>
  </r>
  <r>
    <x v="0"/>
    <x v="53"/>
    <x v="53"/>
    <x v="13"/>
    <x v="13"/>
    <x v="13"/>
    <x v="9"/>
    <x v="216"/>
    <x v="93"/>
    <x v="50"/>
    <x v="494"/>
    <x v="123"/>
    <x v="72"/>
    <x v="0"/>
  </r>
  <r>
    <x v="0"/>
    <x v="53"/>
    <x v="53"/>
    <x v="54"/>
    <x v="54"/>
    <x v="54"/>
    <x v="9"/>
    <x v="216"/>
    <x v="93"/>
    <x v="65"/>
    <x v="65"/>
    <x v="93"/>
    <x v="330"/>
    <x v="0"/>
  </r>
  <r>
    <x v="0"/>
    <x v="53"/>
    <x v="53"/>
    <x v="97"/>
    <x v="97"/>
    <x v="97"/>
    <x v="9"/>
    <x v="216"/>
    <x v="93"/>
    <x v="65"/>
    <x v="65"/>
    <x v="93"/>
    <x v="330"/>
    <x v="0"/>
  </r>
  <r>
    <x v="0"/>
    <x v="53"/>
    <x v="53"/>
    <x v="70"/>
    <x v="70"/>
    <x v="70"/>
    <x v="9"/>
    <x v="216"/>
    <x v="93"/>
    <x v="50"/>
    <x v="494"/>
    <x v="123"/>
    <x v="72"/>
    <x v="0"/>
  </r>
  <r>
    <x v="0"/>
    <x v="53"/>
    <x v="53"/>
    <x v="36"/>
    <x v="36"/>
    <x v="36"/>
    <x v="9"/>
    <x v="216"/>
    <x v="93"/>
    <x v="50"/>
    <x v="494"/>
    <x v="123"/>
    <x v="72"/>
    <x v="0"/>
  </r>
  <r>
    <x v="0"/>
    <x v="53"/>
    <x v="53"/>
    <x v="68"/>
    <x v="68"/>
    <x v="68"/>
    <x v="9"/>
    <x v="216"/>
    <x v="93"/>
    <x v="50"/>
    <x v="494"/>
    <x v="123"/>
    <x v="72"/>
    <x v="0"/>
  </r>
  <r>
    <x v="0"/>
    <x v="53"/>
    <x v="53"/>
    <x v="7"/>
    <x v="7"/>
    <x v="7"/>
    <x v="9"/>
    <x v="216"/>
    <x v="93"/>
    <x v="56"/>
    <x v="64"/>
    <x v="127"/>
    <x v="151"/>
    <x v="0"/>
  </r>
  <r>
    <x v="0"/>
    <x v="53"/>
    <x v="53"/>
    <x v="34"/>
    <x v="34"/>
    <x v="34"/>
    <x v="9"/>
    <x v="216"/>
    <x v="93"/>
    <x v="50"/>
    <x v="494"/>
    <x v="123"/>
    <x v="72"/>
    <x v="0"/>
  </r>
  <r>
    <x v="0"/>
    <x v="53"/>
    <x v="53"/>
    <x v="19"/>
    <x v="19"/>
    <x v="19"/>
    <x v="9"/>
    <x v="216"/>
    <x v="93"/>
    <x v="65"/>
    <x v="65"/>
    <x v="93"/>
    <x v="330"/>
    <x v="0"/>
  </r>
  <r>
    <x v="0"/>
    <x v="53"/>
    <x v="53"/>
    <x v="32"/>
    <x v="32"/>
    <x v="32"/>
    <x v="18"/>
    <x v="217"/>
    <x v="165"/>
    <x v="50"/>
    <x v="494"/>
    <x v="127"/>
    <x v="151"/>
    <x v="0"/>
  </r>
  <r>
    <x v="0"/>
    <x v="53"/>
    <x v="53"/>
    <x v="46"/>
    <x v="46"/>
    <x v="46"/>
    <x v="18"/>
    <x v="217"/>
    <x v="165"/>
    <x v="50"/>
    <x v="494"/>
    <x v="127"/>
    <x v="151"/>
    <x v="0"/>
  </r>
  <r>
    <x v="0"/>
    <x v="53"/>
    <x v="53"/>
    <x v="31"/>
    <x v="31"/>
    <x v="31"/>
    <x v="18"/>
    <x v="217"/>
    <x v="165"/>
    <x v="65"/>
    <x v="65"/>
    <x v="123"/>
    <x v="72"/>
    <x v="0"/>
  </r>
  <r>
    <x v="0"/>
    <x v="53"/>
    <x v="53"/>
    <x v="14"/>
    <x v="14"/>
    <x v="14"/>
    <x v="18"/>
    <x v="217"/>
    <x v="165"/>
    <x v="65"/>
    <x v="65"/>
    <x v="123"/>
    <x v="72"/>
    <x v="0"/>
  </r>
  <r>
    <x v="0"/>
    <x v="53"/>
    <x v="53"/>
    <x v="89"/>
    <x v="89"/>
    <x v="89"/>
    <x v="18"/>
    <x v="217"/>
    <x v="165"/>
    <x v="65"/>
    <x v="65"/>
    <x v="123"/>
    <x v="72"/>
    <x v="0"/>
  </r>
  <r>
    <x v="0"/>
    <x v="53"/>
    <x v="53"/>
    <x v="96"/>
    <x v="96"/>
    <x v="96"/>
    <x v="18"/>
    <x v="217"/>
    <x v="165"/>
    <x v="65"/>
    <x v="65"/>
    <x v="123"/>
    <x v="72"/>
    <x v="0"/>
  </r>
  <r>
    <x v="0"/>
    <x v="53"/>
    <x v="53"/>
    <x v="98"/>
    <x v="98"/>
    <x v="98"/>
    <x v="18"/>
    <x v="217"/>
    <x v="165"/>
    <x v="50"/>
    <x v="494"/>
    <x v="127"/>
    <x v="151"/>
    <x v="0"/>
  </r>
  <r>
    <x v="0"/>
    <x v="53"/>
    <x v="53"/>
    <x v="99"/>
    <x v="99"/>
    <x v="99"/>
    <x v="18"/>
    <x v="217"/>
    <x v="165"/>
    <x v="65"/>
    <x v="65"/>
    <x v="123"/>
    <x v="72"/>
    <x v="0"/>
  </r>
  <r>
    <x v="0"/>
    <x v="53"/>
    <x v="53"/>
    <x v="62"/>
    <x v="62"/>
    <x v="62"/>
    <x v="18"/>
    <x v="217"/>
    <x v="165"/>
    <x v="65"/>
    <x v="65"/>
    <x v="123"/>
    <x v="72"/>
    <x v="0"/>
  </r>
  <r>
    <x v="0"/>
    <x v="53"/>
    <x v="53"/>
    <x v="100"/>
    <x v="100"/>
    <x v="100"/>
    <x v="18"/>
    <x v="217"/>
    <x v="165"/>
    <x v="65"/>
    <x v="65"/>
    <x v="123"/>
    <x v="72"/>
    <x v="0"/>
  </r>
  <r>
    <x v="0"/>
    <x v="53"/>
    <x v="53"/>
    <x v="92"/>
    <x v="92"/>
    <x v="92"/>
    <x v="18"/>
    <x v="217"/>
    <x v="165"/>
    <x v="50"/>
    <x v="494"/>
    <x v="127"/>
    <x v="151"/>
    <x v="0"/>
  </r>
  <r>
    <x v="0"/>
    <x v="53"/>
    <x v="53"/>
    <x v="101"/>
    <x v="101"/>
    <x v="101"/>
    <x v="18"/>
    <x v="217"/>
    <x v="165"/>
    <x v="50"/>
    <x v="494"/>
    <x v="127"/>
    <x v="151"/>
    <x v="0"/>
  </r>
  <r>
    <x v="0"/>
    <x v="53"/>
    <x v="53"/>
    <x v="47"/>
    <x v="47"/>
    <x v="47"/>
    <x v="18"/>
    <x v="217"/>
    <x v="165"/>
    <x v="65"/>
    <x v="65"/>
    <x v="123"/>
    <x v="72"/>
    <x v="0"/>
  </r>
  <r>
    <x v="0"/>
    <x v="53"/>
    <x v="53"/>
    <x v="18"/>
    <x v="18"/>
    <x v="18"/>
    <x v="18"/>
    <x v="217"/>
    <x v="165"/>
    <x v="65"/>
    <x v="65"/>
    <x v="123"/>
    <x v="72"/>
    <x v="0"/>
  </r>
  <r>
    <x v="0"/>
    <x v="53"/>
    <x v="53"/>
    <x v="49"/>
    <x v="49"/>
    <x v="49"/>
    <x v="18"/>
    <x v="217"/>
    <x v="165"/>
    <x v="50"/>
    <x v="494"/>
    <x v="127"/>
    <x v="151"/>
    <x v="0"/>
  </r>
  <r>
    <x v="0"/>
    <x v="53"/>
    <x v="53"/>
    <x v="50"/>
    <x v="50"/>
    <x v="50"/>
    <x v="18"/>
    <x v="217"/>
    <x v="165"/>
    <x v="50"/>
    <x v="494"/>
    <x v="127"/>
    <x v="151"/>
    <x v="0"/>
  </r>
  <r>
    <x v="0"/>
    <x v="53"/>
    <x v="53"/>
    <x v="55"/>
    <x v="55"/>
    <x v="55"/>
    <x v="18"/>
    <x v="217"/>
    <x v="165"/>
    <x v="65"/>
    <x v="65"/>
    <x v="123"/>
    <x v="72"/>
    <x v="0"/>
  </r>
  <r>
    <x v="0"/>
    <x v="53"/>
    <x v="53"/>
    <x v="4"/>
    <x v="4"/>
    <x v="4"/>
    <x v="18"/>
    <x v="217"/>
    <x v="165"/>
    <x v="50"/>
    <x v="494"/>
    <x v="127"/>
    <x v="151"/>
    <x v="0"/>
  </r>
  <r>
    <x v="0"/>
    <x v="53"/>
    <x v="53"/>
    <x v="61"/>
    <x v="61"/>
    <x v="61"/>
    <x v="18"/>
    <x v="217"/>
    <x v="165"/>
    <x v="50"/>
    <x v="494"/>
    <x v="127"/>
    <x v="151"/>
    <x v="0"/>
  </r>
  <r>
    <x v="0"/>
    <x v="53"/>
    <x v="53"/>
    <x v="5"/>
    <x v="5"/>
    <x v="5"/>
    <x v="18"/>
    <x v="217"/>
    <x v="165"/>
    <x v="50"/>
    <x v="494"/>
    <x v="127"/>
    <x v="151"/>
    <x v="0"/>
  </r>
  <r>
    <x v="0"/>
    <x v="53"/>
    <x v="53"/>
    <x v="2"/>
    <x v="2"/>
    <x v="2"/>
    <x v="18"/>
    <x v="217"/>
    <x v="165"/>
    <x v="50"/>
    <x v="494"/>
    <x v="127"/>
    <x v="151"/>
    <x v="0"/>
  </r>
  <r>
    <x v="0"/>
    <x v="53"/>
    <x v="53"/>
    <x v="9"/>
    <x v="9"/>
    <x v="9"/>
    <x v="18"/>
    <x v="217"/>
    <x v="165"/>
    <x v="50"/>
    <x v="494"/>
    <x v="127"/>
    <x v="151"/>
    <x v="0"/>
  </r>
  <r>
    <x v="0"/>
    <x v="53"/>
    <x v="53"/>
    <x v="102"/>
    <x v="102"/>
    <x v="102"/>
    <x v="18"/>
    <x v="217"/>
    <x v="165"/>
    <x v="50"/>
    <x v="494"/>
    <x v="127"/>
    <x v="151"/>
    <x v="0"/>
  </r>
  <r>
    <x v="0"/>
    <x v="53"/>
    <x v="53"/>
    <x v="37"/>
    <x v="37"/>
    <x v="37"/>
    <x v="18"/>
    <x v="217"/>
    <x v="165"/>
    <x v="65"/>
    <x v="65"/>
    <x v="123"/>
    <x v="72"/>
    <x v="0"/>
  </r>
  <r>
    <x v="0"/>
    <x v="53"/>
    <x v="53"/>
    <x v="103"/>
    <x v="103"/>
    <x v="103"/>
    <x v="18"/>
    <x v="217"/>
    <x v="165"/>
    <x v="65"/>
    <x v="65"/>
    <x v="123"/>
    <x v="72"/>
    <x v="0"/>
  </r>
  <r>
    <x v="0"/>
    <x v="53"/>
    <x v="53"/>
    <x v="39"/>
    <x v="39"/>
    <x v="39"/>
    <x v="18"/>
    <x v="217"/>
    <x v="165"/>
    <x v="50"/>
    <x v="494"/>
    <x v="127"/>
    <x v="151"/>
    <x v="0"/>
  </r>
  <r>
    <x v="0"/>
    <x v="53"/>
    <x v="53"/>
    <x v="8"/>
    <x v="8"/>
    <x v="8"/>
    <x v="18"/>
    <x v="217"/>
    <x v="165"/>
    <x v="65"/>
    <x v="65"/>
    <x v="123"/>
    <x v="72"/>
    <x v="0"/>
  </r>
  <r>
    <x v="0"/>
    <x v="53"/>
    <x v="53"/>
    <x v="23"/>
    <x v="23"/>
    <x v="23"/>
    <x v="18"/>
    <x v="217"/>
    <x v="165"/>
    <x v="50"/>
    <x v="494"/>
    <x v="127"/>
    <x v="151"/>
    <x v="0"/>
  </r>
  <r>
    <x v="0"/>
    <x v="53"/>
    <x v="53"/>
    <x v="43"/>
    <x v="43"/>
    <x v="43"/>
    <x v="18"/>
    <x v="217"/>
    <x v="165"/>
    <x v="65"/>
    <x v="65"/>
    <x v="123"/>
    <x v="72"/>
    <x v="0"/>
  </r>
  <r>
    <x v="0"/>
    <x v="53"/>
    <x v="53"/>
    <x v="59"/>
    <x v="59"/>
    <x v="59"/>
    <x v="18"/>
    <x v="217"/>
    <x v="165"/>
    <x v="65"/>
    <x v="65"/>
    <x v="123"/>
    <x v="72"/>
    <x v="0"/>
  </r>
  <r>
    <x v="0"/>
    <x v="53"/>
    <x v="53"/>
    <x v="83"/>
    <x v="83"/>
    <x v="83"/>
    <x v="18"/>
    <x v="217"/>
    <x v="165"/>
    <x v="50"/>
    <x v="494"/>
    <x v="127"/>
    <x v="151"/>
    <x v="0"/>
  </r>
  <r>
    <x v="0"/>
    <x v="53"/>
    <x v="53"/>
    <x v="26"/>
    <x v="26"/>
    <x v="26"/>
    <x v="18"/>
    <x v="217"/>
    <x v="165"/>
    <x v="50"/>
    <x v="494"/>
    <x v="127"/>
    <x v="151"/>
    <x v="0"/>
  </r>
  <r>
    <x v="0"/>
    <x v="54"/>
    <x v="54"/>
    <x v="1"/>
    <x v="1"/>
    <x v="1"/>
    <x v="0"/>
    <x v="136"/>
    <x v="36"/>
    <x v="34"/>
    <x v="313"/>
    <x v="93"/>
    <x v="135"/>
    <x v="0"/>
  </r>
  <r>
    <x v="0"/>
    <x v="54"/>
    <x v="54"/>
    <x v="3"/>
    <x v="3"/>
    <x v="3"/>
    <x v="1"/>
    <x v="138"/>
    <x v="343"/>
    <x v="34"/>
    <x v="313"/>
    <x v="127"/>
    <x v="151"/>
    <x v="0"/>
  </r>
  <r>
    <x v="0"/>
    <x v="54"/>
    <x v="54"/>
    <x v="0"/>
    <x v="0"/>
    <x v="0"/>
    <x v="2"/>
    <x v="140"/>
    <x v="272"/>
    <x v="33"/>
    <x v="495"/>
    <x v="108"/>
    <x v="332"/>
    <x v="0"/>
  </r>
  <r>
    <x v="0"/>
    <x v="54"/>
    <x v="54"/>
    <x v="2"/>
    <x v="2"/>
    <x v="2"/>
    <x v="2"/>
    <x v="140"/>
    <x v="272"/>
    <x v="111"/>
    <x v="314"/>
    <x v="127"/>
    <x v="151"/>
    <x v="0"/>
  </r>
  <r>
    <x v="0"/>
    <x v="54"/>
    <x v="54"/>
    <x v="54"/>
    <x v="54"/>
    <x v="54"/>
    <x v="4"/>
    <x v="141"/>
    <x v="344"/>
    <x v="50"/>
    <x v="126"/>
    <x v="125"/>
    <x v="333"/>
    <x v="0"/>
  </r>
  <r>
    <x v="0"/>
    <x v="54"/>
    <x v="54"/>
    <x v="12"/>
    <x v="12"/>
    <x v="12"/>
    <x v="5"/>
    <x v="205"/>
    <x v="345"/>
    <x v="89"/>
    <x v="496"/>
    <x v="110"/>
    <x v="39"/>
    <x v="0"/>
  </r>
  <r>
    <x v="0"/>
    <x v="54"/>
    <x v="54"/>
    <x v="19"/>
    <x v="19"/>
    <x v="19"/>
    <x v="5"/>
    <x v="205"/>
    <x v="345"/>
    <x v="95"/>
    <x v="497"/>
    <x v="109"/>
    <x v="215"/>
    <x v="0"/>
  </r>
  <r>
    <x v="0"/>
    <x v="54"/>
    <x v="54"/>
    <x v="17"/>
    <x v="17"/>
    <x v="17"/>
    <x v="7"/>
    <x v="194"/>
    <x v="346"/>
    <x v="39"/>
    <x v="317"/>
    <x v="67"/>
    <x v="334"/>
    <x v="0"/>
  </r>
  <r>
    <x v="0"/>
    <x v="54"/>
    <x v="54"/>
    <x v="40"/>
    <x v="40"/>
    <x v="40"/>
    <x v="7"/>
    <x v="194"/>
    <x v="346"/>
    <x v="95"/>
    <x v="497"/>
    <x v="119"/>
    <x v="266"/>
    <x v="0"/>
  </r>
  <r>
    <x v="0"/>
    <x v="54"/>
    <x v="54"/>
    <x v="34"/>
    <x v="34"/>
    <x v="34"/>
    <x v="9"/>
    <x v="207"/>
    <x v="82"/>
    <x v="77"/>
    <x v="498"/>
    <x v="123"/>
    <x v="121"/>
    <x v="0"/>
  </r>
  <r>
    <x v="0"/>
    <x v="54"/>
    <x v="54"/>
    <x v="59"/>
    <x v="59"/>
    <x v="59"/>
    <x v="10"/>
    <x v="208"/>
    <x v="324"/>
    <x v="65"/>
    <x v="65"/>
    <x v="109"/>
    <x v="215"/>
    <x v="0"/>
  </r>
  <r>
    <x v="0"/>
    <x v="54"/>
    <x v="54"/>
    <x v="10"/>
    <x v="10"/>
    <x v="10"/>
    <x v="11"/>
    <x v="195"/>
    <x v="72"/>
    <x v="50"/>
    <x v="126"/>
    <x v="109"/>
    <x v="215"/>
    <x v="0"/>
  </r>
  <r>
    <x v="0"/>
    <x v="54"/>
    <x v="54"/>
    <x v="46"/>
    <x v="46"/>
    <x v="46"/>
    <x v="11"/>
    <x v="195"/>
    <x v="72"/>
    <x v="68"/>
    <x v="318"/>
    <x v="127"/>
    <x v="151"/>
    <x v="0"/>
  </r>
  <r>
    <x v="0"/>
    <x v="54"/>
    <x v="54"/>
    <x v="41"/>
    <x v="41"/>
    <x v="41"/>
    <x v="11"/>
    <x v="195"/>
    <x v="72"/>
    <x v="100"/>
    <x v="316"/>
    <x v="123"/>
    <x v="121"/>
    <x v="0"/>
  </r>
  <r>
    <x v="0"/>
    <x v="54"/>
    <x v="54"/>
    <x v="7"/>
    <x v="7"/>
    <x v="7"/>
    <x v="11"/>
    <x v="195"/>
    <x v="72"/>
    <x v="70"/>
    <x v="319"/>
    <x v="67"/>
    <x v="334"/>
    <x v="0"/>
  </r>
  <r>
    <x v="0"/>
    <x v="54"/>
    <x v="54"/>
    <x v="13"/>
    <x v="13"/>
    <x v="13"/>
    <x v="14"/>
    <x v="210"/>
    <x v="85"/>
    <x v="50"/>
    <x v="126"/>
    <x v="98"/>
    <x v="82"/>
    <x v="0"/>
  </r>
  <r>
    <x v="0"/>
    <x v="54"/>
    <x v="54"/>
    <x v="36"/>
    <x v="36"/>
    <x v="36"/>
    <x v="14"/>
    <x v="210"/>
    <x v="85"/>
    <x v="62"/>
    <x v="182"/>
    <x v="110"/>
    <x v="39"/>
    <x v="0"/>
  </r>
  <r>
    <x v="0"/>
    <x v="54"/>
    <x v="54"/>
    <x v="92"/>
    <x v="92"/>
    <x v="92"/>
    <x v="14"/>
    <x v="210"/>
    <x v="85"/>
    <x v="51"/>
    <x v="287"/>
    <x v="108"/>
    <x v="332"/>
    <x v="0"/>
  </r>
  <r>
    <x v="0"/>
    <x v="54"/>
    <x v="54"/>
    <x v="51"/>
    <x v="51"/>
    <x v="51"/>
    <x v="14"/>
    <x v="210"/>
    <x v="85"/>
    <x v="51"/>
    <x v="287"/>
    <x v="108"/>
    <x v="332"/>
    <x v="0"/>
  </r>
  <r>
    <x v="0"/>
    <x v="54"/>
    <x v="54"/>
    <x v="62"/>
    <x v="62"/>
    <x v="62"/>
    <x v="18"/>
    <x v="196"/>
    <x v="347"/>
    <x v="50"/>
    <x v="126"/>
    <x v="67"/>
    <x v="334"/>
    <x v="0"/>
  </r>
  <r>
    <x v="0"/>
    <x v="54"/>
    <x v="54"/>
    <x v="11"/>
    <x v="11"/>
    <x v="11"/>
    <x v="18"/>
    <x v="196"/>
    <x v="347"/>
    <x v="56"/>
    <x v="225"/>
    <x v="119"/>
    <x v="266"/>
    <x v="0"/>
  </r>
  <r>
    <x v="0"/>
    <x v="54"/>
    <x v="54"/>
    <x v="42"/>
    <x v="42"/>
    <x v="42"/>
    <x v="18"/>
    <x v="196"/>
    <x v="347"/>
    <x v="50"/>
    <x v="126"/>
    <x v="67"/>
    <x v="334"/>
    <x v="0"/>
  </r>
  <r>
    <x v="0"/>
    <x v="54"/>
    <x v="54"/>
    <x v="45"/>
    <x v="45"/>
    <x v="45"/>
    <x v="18"/>
    <x v="196"/>
    <x v="347"/>
    <x v="95"/>
    <x v="497"/>
    <x v="127"/>
    <x v="151"/>
    <x v="0"/>
  </r>
  <r>
    <x v="0"/>
    <x v="54"/>
    <x v="54"/>
    <x v="8"/>
    <x v="8"/>
    <x v="8"/>
    <x v="18"/>
    <x v="196"/>
    <x v="347"/>
    <x v="95"/>
    <x v="497"/>
    <x v="127"/>
    <x v="151"/>
    <x v="0"/>
  </r>
  <r>
    <x v="0"/>
    <x v="54"/>
    <x v="54"/>
    <x v="6"/>
    <x v="6"/>
    <x v="6"/>
    <x v="18"/>
    <x v="196"/>
    <x v="347"/>
    <x v="95"/>
    <x v="497"/>
    <x v="127"/>
    <x v="151"/>
    <x v="0"/>
  </r>
  <r>
    <x v="0"/>
    <x v="55"/>
    <x v="55"/>
    <x v="1"/>
    <x v="1"/>
    <x v="1"/>
    <x v="0"/>
    <x v="134"/>
    <x v="348"/>
    <x v="174"/>
    <x v="499"/>
    <x v="127"/>
    <x v="151"/>
    <x v="0"/>
  </r>
  <r>
    <x v="0"/>
    <x v="55"/>
    <x v="55"/>
    <x v="2"/>
    <x v="2"/>
    <x v="2"/>
    <x v="1"/>
    <x v="139"/>
    <x v="349"/>
    <x v="111"/>
    <x v="500"/>
    <x v="93"/>
    <x v="125"/>
    <x v="0"/>
  </r>
  <r>
    <x v="0"/>
    <x v="55"/>
    <x v="55"/>
    <x v="0"/>
    <x v="0"/>
    <x v="0"/>
    <x v="2"/>
    <x v="203"/>
    <x v="350"/>
    <x v="94"/>
    <x v="501"/>
    <x v="93"/>
    <x v="125"/>
    <x v="0"/>
  </r>
  <r>
    <x v="0"/>
    <x v="55"/>
    <x v="55"/>
    <x v="3"/>
    <x v="3"/>
    <x v="3"/>
    <x v="2"/>
    <x v="203"/>
    <x v="350"/>
    <x v="109"/>
    <x v="502"/>
    <x v="123"/>
    <x v="192"/>
    <x v="0"/>
  </r>
  <r>
    <x v="0"/>
    <x v="55"/>
    <x v="55"/>
    <x v="10"/>
    <x v="10"/>
    <x v="10"/>
    <x v="4"/>
    <x v="194"/>
    <x v="102"/>
    <x v="70"/>
    <x v="91"/>
    <x v="113"/>
    <x v="242"/>
    <x v="0"/>
  </r>
  <r>
    <x v="0"/>
    <x v="55"/>
    <x v="55"/>
    <x v="12"/>
    <x v="12"/>
    <x v="12"/>
    <x v="4"/>
    <x v="194"/>
    <x v="102"/>
    <x v="77"/>
    <x v="29"/>
    <x v="93"/>
    <x v="125"/>
    <x v="0"/>
  </r>
  <r>
    <x v="0"/>
    <x v="55"/>
    <x v="55"/>
    <x v="51"/>
    <x v="51"/>
    <x v="51"/>
    <x v="4"/>
    <x v="194"/>
    <x v="102"/>
    <x v="95"/>
    <x v="503"/>
    <x v="119"/>
    <x v="29"/>
    <x v="0"/>
  </r>
  <r>
    <x v="0"/>
    <x v="55"/>
    <x v="55"/>
    <x v="5"/>
    <x v="5"/>
    <x v="5"/>
    <x v="4"/>
    <x v="194"/>
    <x v="102"/>
    <x v="100"/>
    <x v="504"/>
    <x v="110"/>
    <x v="220"/>
    <x v="0"/>
  </r>
  <r>
    <x v="0"/>
    <x v="55"/>
    <x v="55"/>
    <x v="4"/>
    <x v="4"/>
    <x v="4"/>
    <x v="8"/>
    <x v="207"/>
    <x v="132"/>
    <x v="77"/>
    <x v="29"/>
    <x v="123"/>
    <x v="192"/>
    <x v="0"/>
  </r>
  <r>
    <x v="0"/>
    <x v="55"/>
    <x v="55"/>
    <x v="17"/>
    <x v="17"/>
    <x v="17"/>
    <x v="9"/>
    <x v="208"/>
    <x v="351"/>
    <x v="62"/>
    <x v="505"/>
    <x v="67"/>
    <x v="240"/>
    <x v="0"/>
  </r>
  <r>
    <x v="0"/>
    <x v="55"/>
    <x v="55"/>
    <x v="40"/>
    <x v="40"/>
    <x v="40"/>
    <x v="9"/>
    <x v="208"/>
    <x v="351"/>
    <x v="62"/>
    <x v="505"/>
    <x v="67"/>
    <x v="240"/>
    <x v="0"/>
  </r>
  <r>
    <x v="0"/>
    <x v="55"/>
    <x v="55"/>
    <x v="13"/>
    <x v="13"/>
    <x v="13"/>
    <x v="9"/>
    <x v="208"/>
    <x v="351"/>
    <x v="56"/>
    <x v="62"/>
    <x v="109"/>
    <x v="142"/>
    <x v="0"/>
  </r>
  <r>
    <x v="0"/>
    <x v="55"/>
    <x v="55"/>
    <x v="11"/>
    <x v="11"/>
    <x v="11"/>
    <x v="9"/>
    <x v="208"/>
    <x v="351"/>
    <x v="56"/>
    <x v="62"/>
    <x v="109"/>
    <x v="142"/>
    <x v="0"/>
  </r>
  <r>
    <x v="0"/>
    <x v="55"/>
    <x v="55"/>
    <x v="41"/>
    <x v="41"/>
    <x v="41"/>
    <x v="13"/>
    <x v="195"/>
    <x v="72"/>
    <x v="95"/>
    <x v="503"/>
    <x v="93"/>
    <x v="125"/>
    <x v="0"/>
  </r>
  <r>
    <x v="0"/>
    <x v="55"/>
    <x v="55"/>
    <x v="7"/>
    <x v="7"/>
    <x v="7"/>
    <x v="13"/>
    <x v="195"/>
    <x v="72"/>
    <x v="70"/>
    <x v="91"/>
    <x v="67"/>
    <x v="240"/>
    <x v="0"/>
  </r>
  <r>
    <x v="0"/>
    <x v="55"/>
    <x v="55"/>
    <x v="19"/>
    <x v="19"/>
    <x v="19"/>
    <x v="13"/>
    <x v="195"/>
    <x v="72"/>
    <x v="95"/>
    <x v="503"/>
    <x v="93"/>
    <x v="125"/>
    <x v="0"/>
  </r>
  <r>
    <x v="0"/>
    <x v="55"/>
    <x v="55"/>
    <x v="47"/>
    <x v="47"/>
    <x v="47"/>
    <x v="15"/>
    <x v="210"/>
    <x v="85"/>
    <x v="62"/>
    <x v="505"/>
    <x v="110"/>
    <x v="220"/>
    <x v="0"/>
  </r>
  <r>
    <x v="0"/>
    <x v="55"/>
    <x v="55"/>
    <x v="46"/>
    <x v="46"/>
    <x v="46"/>
    <x v="16"/>
    <x v="196"/>
    <x v="347"/>
    <x v="56"/>
    <x v="62"/>
    <x v="119"/>
    <x v="29"/>
    <x v="0"/>
  </r>
  <r>
    <x v="0"/>
    <x v="55"/>
    <x v="55"/>
    <x v="44"/>
    <x v="44"/>
    <x v="44"/>
    <x v="16"/>
    <x v="196"/>
    <x v="347"/>
    <x v="51"/>
    <x v="223"/>
    <x v="93"/>
    <x v="125"/>
    <x v="0"/>
  </r>
  <r>
    <x v="0"/>
    <x v="55"/>
    <x v="55"/>
    <x v="9"/>
    <x v="9"/>
    <x v="9"/>
    <x v="16"/>
    <x v="196"/>
    <x v="347"/>
    <x v="95"/>
    <x v="503"/>
    <x v="127"/>
    <x v="151"/>
    <x v="0"/>
  </r>
  <r>
    <x v="0"/>
    <x v="56"/>
    <x v="56"/>
    <x v="1"/>
    <x v="1"/>
    <x v="1"/>
    <x v="0"/>
    <x v="208"/>
    <x v="352"/>
    <x v="68"/>
    <x v="506"/>
    <x v="123"/>
    <x v="113"/>
    <x v="0"/>
  </r>
  <r>
    <x v="0"/>
    <x v="56"/>
    <x v="56"/>
    <x v="5"/>
    <x v="5"/>
    <x v="5"/>
    <x v="1"/>
    <x v="196"/>
    <x v="39"/>
    <x v="95"/>
    <x v="507"/>
    <x v="127"/>
    <x v="151"/>
    <x v="0"/>
  </r>
  <r>
    <x v="0"/>
    <x v="56"/>
    <x v="56"/>
    <x v="3"/>
    <x v="3"/>
    <x v="3"/>
    <x v="2"/>
    <x v="197"/>
    <x v="331"/>
    <x v="39"/>
    <x v="508"/>
    <x v="127"/>
    <x v="151"/>
    <x v="0"/>
  </r>
  <r>
    <x v="0"/>
    <x v="56"/>
    <x v="56"/>
    <x v="13"/>
    <x v="13"/>
    <x v="13"/>
    <x v="3"/>
    <x v="198"/>
    <x v="92"/>
    <x v="50"/>
    <x v="102"/>
    <x v="110"/>
    <x v="335"/>
    <x v="0"/>
  </r>
  <r>
    <x v="0"/>
    <x v="56"/>
    <x v="56"/>
    <x v="12"/>
    <x v="12"/>
    <x v="12"/>
    <x v="3"/>
    <x v="198"/>
    <x v="92"/>
    <x v="51"/>
    <x v="471"/>
    <x v="127"/>
    <x v="151"/>
    <x v="0"/>
  </r>
  <r>
    <x v="0"/>
    <x v="56"/>
    <x v="56"/>
    <x v="4"/>
    <x v="4"/>
    <x v="4"/>
    <x v="3"/>
    <x v="198"/>
    <x v="92"/>
    <x v="62"/>
    <x v="138"/>
    <x v="123"/>
    <x v="113"/>
    <x v="0"/>
  </r>
  <r>
    <x v="0"/>
    <x v="56"/>
    <x v="56"/>
    <x v="46"/>
    <x v="46"/>
    <x v="46"/>
    <x v="6"/>
    <x v="199"/>
    <x v="40"/>
    <x v="56"/>
    <x v="166"/>
    <x v="93"/>
    <x v="178"/>
    <x v="0"/>
  </r>
  <r>
    <x v="0"/>
    <x v="56"/>
    <x v="56"/>
    <x v="42"/>
    <x v="42"/>
    <x v="42"/>
    <x v="6"/>
    <x v="199"/>
    <x v="40"/>
    <x v="65"/>
    <x v="65"/>
    <x v="110"/>
    <x v="335"/>
    <x v="0"/>
  </r>
  <r>
    <x v="0"/>
    <x v="56"/>
    <x v="56"/>
    <x v="49"/>
    <x v="49"/>
    <x v="49"/>
    <x v="6"/>
    <x v="199"/>
    <x v="40"/>
    <x v="62"/>
    <x v="138"/>
    <x v="127"/>
    <x v="151"/>
    <x v="0"/>
  </r>
  <r>
    <x v="0"/>
    <x v="56"/>
    <x v="56"/>
    <x v="51"/>
    <x v="51"/>
    <x v="51"/>
    <x v="6"/>
    <x v="199"/>
    <x v="40"/>
    <x v="62"/>
    <x v="138"/>
    <x v="127"/>
    <x v="151"/>
    <x v="0"/>
  </r>
  <r>
    <x v="0"/>
    <x v="56"/>
    <x v="56"/>
    <x v="2"/>
    <x v="2"/>
    <x v="2"/>
    <x v="6"/>
    <x v="199"/>
    <x v="40"/>
    <x v="62"/>
    <x v="138"/>
    <x v="127"/>
    <x v="151"/>
    <x v="0"/>
  </r>
  <r>
    <x v="0"/>
    <x v="56"/>
    <x v="56"/>
    <x v="9"/>
    <x v="9"/>
    <x v="9"/>
    <x v="6"/>
    <x v="199"/>
    <x v="40"/>
    <x v="70"/>
    <x v="80"/>
    <x v="123"/>
    <x v="113"/>
    <x v="0"/>
  </r>
  <r>
    <x v="0"/>
    <x v="56"/>
    <x v="56"/>
    <x v="32"/>
    <x v="32"/>
    <x v="32"/>
    <x v="12"/>
    <x v="200"/>
    <x v="145"/>
    <x v="65"/>
    <x v="65"/>
    <x v="108"/>
    <x v="142"/>
    <x v="0"/>
  </r>
  <r>
    <x v="0"/>
    <x v="56"/>
    <x v="56"/>
    <x v="54"/>
    <x v="54"/>
    <x v="54"/>
    <x v="12"/>
    <x v="200"/>
    <x v="145"/>
    <x v="65"/>
    <x v="65"/>
    <x v="108"/>
    <x v="142"/>
    <x v="0"/>
  </r>
  <r>
    <x v="0"/>
    <x v="56"/>
    <x v="56"/>
    <x v="92"/>
    <x v="92"/>
    <x v="92"/>
    <x v="12"/>
    <x v="200"/>
    <x v="145"/>
    <x v="50"/>
    <x v="102"/>
    <x v="93"/>
    <x v="178"/>
    <x v="0"/>
  </r>
  <r>
    <x v="0"/>
    <x v="56"/>
    <x v="56"/>
    <x v="45"/>
    <x v="45"/>
    <x v="45"/>
    <x v="12"/>
    <x v="200"/>
    <x v="145"/>
    <x v="50"/>
    <x v="102"/>
    <x v="93"/>
    <x v="178"/>
    <x v="0"/>
  </r>
  <r>
    <x v="0"/>
    <x v="56"/>
    <x v="56"/>
    <x v="37"/>
    <x v="37"/>
    <x v="37"/>
    <x v="12"/>
    <x v="200"/>
    <x v="145"/>
    <x v="50"/>
    <x v="102"/>
    <x v="123"/>
    <x v="113"/>
    <x v="0"/>
  </r>
  <r>
    <x v="0"/>
    <x v="56"/>
    <x v="56"/>
    <x v="52"/>
    <x v="52"/>
    <x v="52"/>
    <x v="12"/>
    <x v="200"/>
    <x v="145"/>
    <x v="65"/>
    <x v="65"/>
    <x v="127"/>
    <x v="151"/>
    <x v="0"/>
  </r>
  <r>
    <x v="0"/>
    <x v="56"/>
    <x v="56"/>
    <x v="6"/>
    <x v="6"/>
    <x v="6"/>
    <x v="12"/>
    <x v="200"/>
    <x v="145"/>
    <x v="70"/>
    <x v="80"/>
    <x v="127"/>
    <x v="151"/>
    <x v="0"/>
  </r>
  <r>
    <x v="0"/>
    <x v="56"/>
    <x v="56"/>
    <x v="19"/>
    <x v="19"/>
    <x v="19"/>
    <x v="12"/>
    <x v="200"/>
    <x v="145"/>
    <x v="65"/>
    <x v="65"/>
    <x v="108"/>
    <x v="142"/>
    <x v="0"/>
  </r>
  <r>
    <x v="0"/>
    <x v="56"/>
    <x v="56"/>
    <x v="104"/>
    <x v="104"/>
    <x v="104"/>
    <x v="12"/>
    <x v="200"/>
    <x v="145"/>
    <x v="50"/>
    <x v="102"/>
    <x v="93"/>
    <x v="178"/>
    <x v="0"/>
  </r>
  <r>
    <x v="0"/>
    <x v="57"/>
    <x v="57"/>
    <x v="1"/>
    <x v="1"/>
    <x v="1"/>
    <x v="0"/>
    <x v="204"/>
    <x v="353"/>
    <x v="94"/>
    <x v="509"/>
    <x v="123"/>
    <x v="55"/>
    <x v="0"/>
  </r>
  <r>
    <x v="0"/>
    <x v="57"/>
    <x v="57"/>
    <x v="2"/>
    <x v="2"/>
    <x v="2"/>
    <x v="1"/>
    <x v="193"/>
    <x v="354"/>
    <x v="38"/>
    <x v="302"/>
    <x v="127"/>
    <x v="151"/>
    <x v="0"/>
  </r>
  <r>
    <x v="0"/>
    <x v="57"/>
    <x v="57"/>
    <x v="7"/>
    <x v="7"/>
    <x v="7"/>
    <x v="2"/>
    <x v="207"/>
    <x v="321"/>
    <x v="70"/>
    <x v="360"/>
    <x v="98"/>
    <x v="336"/>
    <x v="6"/>
  </r>
  <r>
    <x v="0"/>
    <x v="57"/>
    <x v="57"/>
    <x v="5"/>
    <x v="5"/>
    <x v="5"/>
    <x v="3"/>
    <x v="208"/>
    <x v="355"/>
    <x v="100"/>
    <x v="510"/>
    <x v="93"/>
    <x v="337"/>
    <x v="0"/>
  </r>
  <r>
    <x v="0"/>
    <x v="57"/>
    <x v="57"/>
    <x v="3"/>
    <x v="3"/>
    <x v="3"/>
    <x v="3"/>
    <x v="208"/>
    <x v="355"/>
    <x v="77"/>
    <x v="511"/>
    <x v="127"/>
    <x v="151"/>
    <x v="0"/>
  </r>
  <r>
    <x v="0"/>
    <x v="57"/>
    <x v="57"/>
    <x v="0"/>
    <x v="0"/>
    <x v="0"/>
    <x v="5"/>
    <x v="195"/>
    <x v="242"/>
    <x v="62"/>
    <x v="179"/>
    <x v="110"/>
    <x v="338"/>
    <x v="0"/>
  </r>
  <r>
    <x v="0"/>
    <x v="57"/>
    <x v="57"/>
    <x v="40"/>
    <x v="40"/>
    <x v="40"/>
    <x v="6"/>
    <x v="210"/>
    <x v="92"/>
    <x v="62"/>
    <x v="179"/>
    <x v="110"/>
    <x v="338"/>
    <x v="0"/>
  </r>
  <r>
    <x v="0"/>
    <x v="57"/>
    <x v="57"/>
    <x v="13"/>
    <x v="13"/>
    <x v="13"/>
    <x v="6"/>
    <x v="210"/>
    <x v="92"/>
    <x v="70"/>
    <x v="360"/>
    <x v="119"/>
    <x v="260"/>
    <x v="0"/>
  </r>
  <r>
    <x v="0"/>
    <x v="57"/>
    <x v="57"/>
    <x v="46"/>
    <x v="46"/>
    <x v="46"/>
    <x v="8"/>
    <x v="196"/>
    <x v="25"/>
    <x v="62"/>
    <x v="179"/>
    <x v="108"/>
    <x v="127"/>
    <x v="0"/>
  </r>
  <r>
    <x v="0"/>
    <x v="57"/>
    <x v="57"/>
    <x v="4"/>
    <x v="4"/>
    <x v="4"/>
    <x v="8"/>
    <x v="196"/>
    <x v="25"/>
    <x v="39"/>
    <x v="512"/>
    <x v="123"/>
    <x v="55"/>
    <x v="0"/>
  </r>
  <r>
    <x v="0"/>
    <x v="57"/>
    <x v="57"/>
    <x v="37"/>
    <x v="37"/>
    <x v="37"/>
    <x v="10"/>
    <x v="197"/>
    <x v="143"/>
    <x v="65"/>
    <x v="65"/>
    <x v="119"/>
    <x v="260"/>
    <x v="0"/>
  </r>
  <r>
    <x v="0"/>
    <x v="57"/>
    <x v="57"/>
    <x v="43"/>
    <x v="43"/>
    <x v="43"/>
    <x v="10"/>
    <x v="197"/>
    <x v="143"/>
    <x v="65"/>
    <x v="65"/>
    <x v="119"/>
    <x v="260"/>
    <x v="0"/>
  </r>
  <r>
    <x v="0"/>
    <x v="57"/>
    <x v="57"/>
    <x v="41"/>
    <x v="41"/>
    <x v="41"/>
    <x v="12"/>
    <x v="198"/>
    <x v="162"/>
    <x v="62"/>
    <x v="179"/>
    <x v="123"/>
    <x v="55"/>
    <x v="0"/>
  </r>
  <r>
    <x v="0"/>
    <x v="57"/>
    <x v="57"/>
    <x v="47"/>
    <x v="47"/>
    <x v="47"/>
    <x v="12"/>
    <x v="198"/>
    <x v="162"/>
    <x v="70"/>
    <x v="360"/>
    <x v="93"/>
    <x v="337"/>
    <x v="0"/>
  </r>
  <r>
    <x v="0"/>
    <x v="57"/>
    <x v="57"/>
    <x v="9"/>
    <x v="9"/>
    <x v="9"/>
    <x v="12"/>
    <x v="198"/>
    <x v="162"/>
    <x v="62"/>
    <x v="179"/>
    <x v="127"/>
    <x v="151"/>
    <x v="6"/>
  </r>
  <r>
    <x v="0"/>
    <x v="57"/>
    <x v="57"/>
    <x v="17"/>
    <x v="17"/>
    <x v="17"/>
    <x v="14"/>
    <x v="199"/>
    <x v="64"/>
    <x v="65"/>
    <x v="65"/>
    <x v="110"/>
    <x v="338"/>
    <x v="0"/>
  </r>
  <r>
    <x v="0"/>
    <x v="57"/>
    <x v="57"/>
    <x v="67"/>
    <x v="67"/>
    <x v="67"/>
    <x v="14"/>
    <x v="199"/>
    <x v="64"/>
    <x v="65"/>
    <x v="65"/>
    <x v="110"/>
    <x v="338"/>
    <x v="0"/>
  </r>
  <r>
    <x v="0"/>
    <x v="57"/>
    <x v="57"/>
    <x v="12"/>
    <x v="12"/>
    <x v="12"/>
    <x v="14"/>
    <x v="199"/>
    <x v="64"/>
    <x v="56"/>
    <x v="513"/>
    <x v="93"/>
    <x v="337"/>
    <x v="0"/>
  </r>
  <r>
    <x v="0"/>
    <x v="57"/>
    <x v="57"/>
    <x v="18"/>
    <x v="18"/>
    <x v="18"/>
    <x v="14"/>
    <x v="199"/>
    <x v="64"/>
    <x v="50"/>
    <x v="514"/>
    <x v="108"/>
    <x v="127"/>
    <x v="0"/>
  </r>
  <r>
    <x v="0"/>
    <x v="57"/>
    <x v="57"/>
    <x v="61"/>
    <x v="61"/>
    <x v="61"/>
    <x v="14"/>
    <x v="199"/>
    <x v="64"/>
    <x v="70"/>
    <x v="360"/>
    <x v="123"/>
    <x v="55"/>
    <x v="0"/>
  </r>
  <r>
    <x v="0"/>
    <x v="57"/>
    <x v="57"/>
    <x v="52"/>
    <x v="52"/>
    <x v="52"/>
    <x v="14"/>
    <x v="199"/>
    <x v="64"/>
    <x v="65"/>
    <x v="65"/>
    <x v="127"/>
    <x v="151"/>
    <x v="0"/>
  </r>
  <r>
    <x v="0"/>
    <x v="57"/>
    <x v="57"/>
    <x v="6"/>
    <x v="6"/>
    <x v="6"/>
    <x v="14"/>
    <x v="199"/>
    <x v="64"/>
    <x v="62"/>
    <x v="179"/>
    <x v="127"/>
    <x v="151"/>
    <x v="0"/>
  </r>
  <r>
    <x v="0"/>
    <x v="58"/>
    <x v="58"/>
    <x v="3"/>
    <x v="3"/>
    <x v="3"/>
    <x v="0"/>
    <x v="195"/>
    <x v="356"/>
    <x v="68"/>
    <x v="515"/>
    <x v="127"/>
    <x v="151"/>
    <x v="0"/>
  </r>
  <r>
    <x v="0"/>
    <x v="58"/>
    <x v="58"/>
    <x v="12"/>
    <x v="12"/>
    <x v="12"/>
    <x v="1"/>
    <x v="210"/>
    <x v="0"/>
    <x v="100"/>
    <x v="516"/>
    <x v="127"/>
    <x v="151"/>
    <x v="0"/>
  </r>
  <r>
    <x v="0"/>
    <x v="58"/>
    <x v="58"/>
    <x v="1"/>
    <x v="1"/>
    <x v="1"/>
    <x v="1"/>
    <x v="210"/>
    <x v="0"/>
    <x v="100"/>
    <x v="516"/>
    <x v="127"/>
    <x v="151"/>
    <x v="0"/>
  </r>
  <r>
    <x v="0"/>
    <x v="58"/>
    <x v="58"/>
    <x v="51"/>
    <x v="51"/>
    <x v="51"/>
    <x v="3"/>
    <x v="198"/>
    <x v="110"/>
    <x v="62"/>
    <x v="517"/>
    <x v="123"/>
    <x v="35"/>
    <x v="0"/>
  </r>
  <r>
    <x v="0"/>
    <x v="58"/>
    <x v="58"/>
    <x v="10"/>
    <x v="10"/>
    <x v="10"/>
    <x v="4"/>
    <x v="199"/>
    <x v="158"/>
    <x v="50"/>
    <x v="518"/>
    <x v="108"/>
    <x v="339"/>
    <x v="0"/>
  </r>
  <r>
    <x v="0"/>
    <x v="58"/>
    <x v="58"/>
    <x v="54"/>
    <x v="54"/>
    <x v="54"/>
    <x v="4"/>
    <x v="199"/>
    <x v="158"/>
    <x v="65"/>
    <x v="65"/>
    <x v="110"/>
    <x v="340"/>
    <x v="0"/>
  </r>
  <r>
    <x v="0"/>
    <x v="58"/>
    <x v="58"/>
    <x v="34"/>
    <x v="34"/>
    <x v="34"/>
    <x v="4"/>
    <x v="199"/>
    <x v="158"/>
    <x v="56"/>
    <x v="36"/>
    <x v="93"/>
    <x v="341"/>
    <x v="0"/>
  </r>
  <r>
    <x v="0"/>
    <x v="58"/>
    <x v="58"/>
    <x v="13"/>
    <x v="13"/>
    <x v="13"/>
    <x v="7"/>
    <x v="200"/>
    <x v="357"/>
    <x v="65"/>
    <x v="65"/>
    <x v="108"/>
    <x v="339"/>
    <x v="0"/>
  </r>
  <r>
    <x v="0"/>
    <x v="58"/>
    <x v="58"/>
    <x v="45"/>
    <x v="45"/>
    <x v="45"/>
    <x v="7"/>
    <x v="200"/>
    <x v="357"/>
    <x v="70"/>
    <x v="519"/>
    <x v="127"/>
    <x v="151"/>
    <x v="0"/>
  </r>
  <r>
    <x v="0"/>
    <x v="58"/>
    <x v="58"/>
    <x v="5"/>
    <x v="5"/>
    <x v="5"/>
    <x v="7"/>
    <x v="200"/>
    <x v="357"/>
    <x v="56"/>
    <x v="36"/>
    <x v="123"/>
    <x v="35"/>
    <x v="0"/>
  </r>
  <r>
    <x v="0"/>
    <x v="58"/>
    <x v="58"/>
    <x v="2"/>
    <x v="2"/>
    <x v="2"/>
    <x v="7"/>
    <x v="200"/>
    <x v="357"/>
    <x v="70"/>
    <x v="519"/>
    <x v="127"/>
    <x v="151"/>
    <x v="0"/>
  </r>
  <r>
    <x v="0"/>
    <x v="58"/>
    <x v="58"/>
    <x v="6"/>
    <x v="6"/>
    <x v="6"/>
    <x v="7"/>
    <x v="200"/>
    <x v="357"/>
    <x v="50"/>
    <x v="518"/>
    <x v="93"/>
    <x v="341"/>
    <x v="0"/>
  </r>
  <r>
    <x v="0"/>
    <x v="58"/>
    <x v="58"/>
    <x v="40"/>
    <x v="40"/>
    <x v="40"/>
    <x v="12"/>
    <x v="216"/>
    <x v="134"/>
    <x v="65"/>
    <x v="65"/>
    <x v="93"/>
    <x v="341"/>
    <x v="0"/>
  </r>
  <r>
    <x v="0"/>
    <x v="58"/>
    <x v="58"/>
    <x v="67"/>
    <x v="67"/>
    <x v="67"/>
    <x v="12"/>
    <x v="216"/>
    <x v="134"/>
    <x v="65"/>
    <x v="65"/>
    <x v="93"/>
    <x v="341"/>
    <x v="0"/>
  </r>
  <r>
    <x v="0"/>
    <x v="58"/>
    <x v="58"/>
    <x v="38"/>
    <x v="38"/>
    <x v="38"/>
    <x v="12"/>
    <x v="216"/>
    <x v="134"/>
    <x v="50"/>
    <x v="518"/>
    <x v="123"/>
    <x v="35"/>
    <x v="0"/>
  </r>
  <r>
    <x v="0"/>
    <x v="58"/>
    <x v="58"/>
    <x v="36"/>
    <x v="36"/>
    <x v="36"/>
    <x v="12"/>
    <x v="216"/>
    <x v="134"/>
    <x v="50"/>
    <x v="518"/>
    <x v="123"/>
    <x v="35"/>
    <x v="0"/>
  </r>
  <r>
    <x v="0"/>
    <x v="58"/>
    <x v="58"/>
    <x v="28"/>
    <x v="28"/>
    <x v="28"/>
    <x v="12"/>
    <x v="216"/>
    <x v="134"/>
    <x v="65"/>
    <x v="65"/>
    <x v="93"/>
    <x v="341"/>
    <x v="0"/>
  </r>
  <r>
    <x v="0"/>
    <x v="58"/>
    <x v="58"/>
    <x v="84"/>
    <x v="84"/>
    <x v="84"/>
    <x v="12"/>
    <x v="216"/>
    <x v="134"/>
    <x v="50"/>
    <x v="518"/>
    <x v="123"/>
    <x v="35"/>
    <x v="0"/>
  </r>
  <r>
    <x v="0"/>
    <x v="58"/>
    <x v="58"/>
    <x v="42"/>
    <x v="42"/>
    <x v="42"/>
    <x v="12"/>
    <x v="216"/>
    <x v="134"/>
    <x v="65"/>
    <x v="65"/>
    <x v="93"/>
    <x v="341"/>
    <x v="0"/>
  </r>
  <r>
    <x v="0"/>
    <x v="58"/>
    <x v="58"/>
    <x v="49"/>
    <x v="49"/>
    <x v="49"/>
    <x v="12"/>
    <x v="216"/>
    <x v="134"/>
    <x v="56"/>
    <x v="36"/>
    <x v="127"/>
    <x v="151"/>
    <x v="0"/>
  </r>
  <r>
    <x v="0"/>
    <x v="58"/>
    <x v="58"/>
    <x v="7"/>
    <x v="7"/>
    <x v="7"/>
    <x v="12"/>
    <x v="216"/>
    <x v="134"/>
    <x v="56"/>
    <x v="36"/>
    <x v="127"/>
    <x v="151"/>
    <x v="0"/>
  </r>
  <r>
    <x v="0"/>
    <x v="58"/>
    <x v="58"/>
    <x v="55"/>
    <x v="55"/>
    <x v="55"/>
    <x v="12"/>
    <x v="216"/>
    <x v="134"/>
    <x v="50"/>
    <x v="518"/>
    <x v="123"/>
    <x v="35"/>
    <x v="0"/>
  </r>
  <r>
    <x v="0"/>
    <x v="58"/>
    <x v="58"/>
    <x v="8"/>
    <x v="8"/>
    <x v="8"/>
    <x v="12"/>
    <x v="216"/>
    <x v="134"/>
    <x v="56"/>
    <x v="36"/>
    <x v="127"/>
    <x v="151"/>
    <x v="0"/>
  </r>
  <r>
    <x v="0"/>
    <x v="58"/>
    <x v="58"/>
    <x v="26"/>
    <x v="26"/>
    <x v="26"/>
    <x v="12"/>
    <x v="216"/>
    <x v="134"/>
    <x v="65"/>
    <x v="65"/>
    <x v="93"/>
    <x v="341"/>
    <x v="0"/>
  </r>
  <r>
    <x v="0"/>
    <x v="59"/>
    <x v="59"/>
    <x v="0"/>
    <x v="0"/>
    <x v="0"/>
    <x v="0"/>
    <x v="197"/>
    <x v="136"/>
    <x v="51"/>
    <x v="491"/>
    <x v="127"/>
    <x v="151"/>
    <x v="0"/>
  </r>
  <r>
    <x v="0"/>
    <x v="59"/>
    <x v="59"/>
    <x v="12"/>
    <x v="12"/>
    <x v="12"/>
    <x v="1"/>
    <x v="198"/>
    <x v="20"/>
    <x v="56"/>
    <x v="64"/>
    <x v="108"/>
    <x v="342"/>
    <x v="0"/>
  </r>
  <r>
    <x v="0"/>
    <x v="59"/>
    <x v="59"/>
    <x v="3"/>
    <x v="3"/>
    <x v="3"/>
    <x v="1"/>
    <x v="198"/>
    <x v="20"/>
    <x v="51"/>
    <x v="491"/>
    <x v="127"/>
    <x v="151"/>
    <x v="0"/>
  </r>
  <r>
    <x v="0"/>
    <x v="59"/>
    <x v="59"/>
    <x v="17"/>
    <x v="17"/>
    <x v="17"/>
    <x v="3"/>
    <x v="199"/>
    <x v="358"/>
    <x v="65"/>
    <x v="65"/>
    <x v="110"/>
    <x v="343"/>
    <x v="0"/>
  </r>
  <r>
    <x v="0"/>
    <x v="59"/>
    <x v="59"/>
    <x v="28"/>
    <x v="28"/>
    <x v="28"/>
    <x v="3"/>
    <x v="199"/>
    <x v="358"/>
    <x v="62"/>
    <x v="367"/>
    <x v="127"/>
    <x v="151"/>
    <x v="0"/>
  </r>
  <r>
    <x v="0"/>
    <x v="59"/>
    <x v="59"/>
    <x v="61"/>
    <x v="61"/>
    <x v="61"/>
    <x v="3"/>
    <x v="199"/>
    <x v="358"/>
    <x v="62"/>
    <x v="367"/>
    <x v="127"/>
    <x v="151"/>
    <x v="0"/>
  </r>
  <r>
    <x v="0"/>
    <x v="59"/>
    <x v="59"/>
    <x v="5"/>
    <x v="5"/>
    <x v="5"/>
    <x v="3"/>
    <x v="199"/>
    <x v="358"/>
    <x v="62"/>
    <x v="367"/>
    <x v="127"/>
    <x v="151"/>
    <x v="0"/>
  </r>
  <r>
    <x v="0"/>
    <x v="59"/>
    <x v="59"/>
    <x v="1"/>
    <x v="1"/>
    <x v="1"/>
    <x v="3"/>
    <x v="199"/>
    <x v="358"/>
    <x v="62"/>
    <x v="367"/>
    <x v="127"/>
    <x v="151"/>
    <x v="0"/>
  </r>
  <r>
    <x v="0"/>
    <x v="59"/>
    <x v="59"/>
    <x v="10"/>
    <x v="10"/>
    <x v="10"/>
    <x v="8"/>
    <x v="200"/>
    <x v="359"/>
    <x v="65"/>
    <x v="65"/>
    <x v="108"/>
    <x v="342"/>
    <x v="0"/>
  </r>
  <r>
    <x v="0"/>
    <x v="59"/>
    <x v="59"/>
    <x v="96"/>
    <x v="96"/>
    <x v="96"/>
    <x v="8"/>
    <x v="200"/>
    <x v="359"/>
    <x v="65"/>
    <x v="65"/>
    <x v="108"/>
    <x v="342"/>
    <x v="0"/>
  </r>
  <r>
    <x v="0"/>
    <x v="59"/>
    <x v="59"/>
    <x v="21"/>
    <x v="21"/>
    <x v="21"/>
    <x v="8"/>
    <x v="200"/>
    <x v="359"/>
    <x v="65"/>
    <x v="65"/>
    <x v="108"/>
    <x v="342"/>
    <x v="0"/>
  </r>
  <r>
    <x v="0"/>
    <x v="59"/>
    <x v="59"/>
    <x v="52"/>
    <x v="52"/>
    <x v="52"/>
    <x v="8"/>
    <x v="200"/>
    <x v="359"/>
    <x v="65"/>
    <x v="65"/>
    <x v="127"/>
    <x v="151"/>
    <x v="0"/>
  </r>
  <r>
    <x v="0"/>
    <x v="59"/>
    <x v="59"/>
    <x v="40"/>
    <x v="40"/>
    <x v="40"/>
    <x v="12"/>
    <x v="216"/>
    <x v="47"/>
    <x v="50"/>
    <x v="494"/>
    <x v="123"/>
    <x v="220"/>
    <x v="0"/>
  </r>
  <r>
    <x v="0"/>
    <x v="59"/>
    <x v="59"/>
    <x v="105"/>
    <x v="105"/>
    <x v="105"/>
    <x v="12"/>
    <x v="216"/>
    <x v="47"/>
    <x v="50"/>
    <x v="494"/>
    <x v="123"/>
    <x v="220"/>
    <x v="0"/>
  </r>
  <r>
    <x v="0"/>
    <x v="59"/>
    <x v="59"/>
    <x v="13"/>
    <x v="13"/>
    <x v="13"/>
    <x v="12"/>
    <x v="216"/>
    <x v="47"/>
    <x v="65"/>
    <x v="65"/>
    <x v="93"/>
    <x v="142"/>
    <x v="0"/>
  </r>
  <r>
    <x v="0"/>
    <x v="59"/>
    <x v="59"/>
    <x v="48"/>
    <x v="48"/>
    <x v="48"/>
    <x v="12"/>
    <x v="216"/>
    <x v="47"/>
    <x v="50"/>
    <x v="494"/>
    <x v="123"/>
    <x v="220"/>
    <x v="0"/>
  </r>
  <r>
    <x v="0"/>
    <x v="59"/>
    <x v="59"/>
    <x v="84"/>
    <x v="84"/>
    <x v="84"/>
    <x v="12"/>
    <x v="216"/>
    <x v="47"/>
    <x v="65"/>
    <x v="65"/>
    <x v="93"/>
    <x v="142"/>
    <x v="0"/>
  </r>
  <r>
    <x v="0"/>
    <x v="59"/>
    <x v="59"/>
    <x v="49"/>
    <x v="49"/>
    <x v="49"/>
    <x v="12"/>
    <x v="216"/>
    <x v="47"/>
    <x v="56"/>
    <x v="64"/>
    <x v="127"/>
    <x v="151"/>
    <x v="0"/>
  </r>
  <r>
    <x v="0"/>
    <x v="59"/>
    <x v="59"/>
    <x v="7"/>
    <x v="7"/>
    <x v="7"/>
    <x v="12"/>
    <x v="216"/>
    <x v="47"/>
    <x v="50"/>
    <x v="494"/>
    <x v="123"/>
    <x v="220"/>
    <x v="0"/>
  </r>
  <r>
    <x v="0"/>
    <x v="59"/>
    <x v="59"/>
    <x v="45"/>
    <x v="45"/>
    <x v="45"/>
    <x v="12"/>
    <x v="216"/>
    <x v="47"/>
    <x v="50"/>
    <x v="494"/>
    <x v="123"/>
    <x v="220"/>
    <x v="0"/>
  </r>
  <r>
    <x v="0"/>
    <x v="59"/>
    <x v="59"/>
    <x v="2"/>
    <x v="2"/>
    <x v="2"/>
    <x v="12"/>
    <x v="216"/>
    <x v="47"/>
    <x v="56"/>
    <x v="64"/>
    <x v="127"/>
    <x v="151"/>
    <x v="0"/>
  </r>
  <r>
    <x v="0"/>
    <x v="59"/>
    <x v="59"/>
    <x v="103"/>
    <x v="103"/>
    <x v="103"/>
    <x v="12"/>
    <x v="216"/>
    <x v="47"/>
    <x v="65"/>
    <x v="65"/>
    <x v="93"/>
    <x v="142"/>
    <x v="0"/>
  </r>
  <r>
    <x v="0"/>
    <x v="59"/>
    <x v="59"/>
    <x v="43"/>
    <x v="43"/>
    <x v="43"/>
    <x v="12"/>
    <x v="216"/>
    <x v="47"/>
    <x v="65"/>
    <x v="65"/>
    <x v="93"/>
    <x v="142"/>
    <x v="0"/>
  </r>
  <r>
    <x v="0"/>
    <x v="59"/>
    <x v="59"/>
    <x v="19"/>
    <x v="19"/>
    <x v="19"/>
    <x v="12"/>
    <x v="216"/>
    <x v="47"/>
    <x v="65"/>
    <x v="65"/>
    <x v="93"/>
    <x v="142"/>
    <x v="0"/>
  </r>
  <r>
    <x v="0"/>
    <x v="59"/>
    <x v="59"/>
    <x v="26"/>
    <x v="26"/>
    <x v="26"/>
    <x v="12"/>
    <x v="216"/>
    <x v="47"/>
    <x v="65"/>
    <x v="65"/>
    <x v="93"/>
    <x v="142"/>
    <x v="0"/>
  </r>
  <r>
    <x v="0"/>
    <x v="59"/>
    <x v="59"/>
    <x v="57"/>
    <x v="57"/>
    <x v="57"/>
    <x v="12"/>
    <x v="216"/>
    <x v="47"/>
    <x v="65"/>
    <x v="65"/>
    <x v="127"/>
    <x v="151"/>
    <x v="0"/>
  </r>
  <r>
    <x v="0"/>
    <x v="60"/>
    <x v="60"/>
    <x v="3"/>
    <x v="3"/>
    <x v="3"/>
    <x v="0"/>
    <x v="210"/>
    <x v="360"/>
    <x v="100"/>
    <x v="520"/>
    <x v="127"/>
    <x v="151"/>
    <x v="0"/>
  </r>
  <r>
    <x v="0"/>
    <x v="60"/>
    <x v="60"/>
    <x v="1"/>
    <x v="1"/>
    <x v="1"/>
    <x v="0"/>
    <x v="210"/>
    <x v="360"/>
    <x v="100"/>
    <x v="520"/>
    <x v="127"/>
    <x v="151"/>
    <x v="0"/>
  </r>
  <r>
    <x v="0"/>
    <x v="60"/>
    <x v="60"/>
    <x v="42"/>
    <x v="42"/>
    <x v="42"/>
    <x v="2"/>
    <x v="197"/>
    <x v="361"/>
    <x v="50"/>
    <x v="437"/>
    <x v="119"/>
    <x v="344"/>
    <x v="0"/>
  </r>
  <r>
    <x v="0"/>
    <x v="60"/>
    <x v="60"/>
    <x v="40"/>
    <x v="40"/>
    <x v="40"/>
    <x v="3"/>
    <x v="199"/>
    <x v="277"/>
    <x v="50"/>
    <x v="437"/>
    <x v="108"/>
    <x v="345"/>
    <x v="0"/>
  </r>
  <r>
    <x v="0"/>
    <x v="60"/>
    <x v="60"/>
    <x v="51"/>
    <x v="51"/>
    <x v="51"/>
    <x v="3"/>
    <x v="199"/>
    <x v="277"/>
    <x v="56"/>
    <x v="521"/>
    <x v="93"/>
    <x v="215"/>
    <x v="0"/>
  </r>
  <r>
    <x v="0"/>
    <x v="60"/>
    <x v="60"/>
    <x v="43"/>
    <x v="43"/>
    <x v="43"/>
    <x v="3"/>
    <x v="199"/>
    <x v="277"/>
    <x v="65"/>
    <x v="65"/>
    <x v="108"/>
    <x v="345"/>
    <x v="0"/>
  </r>
  <r>
    <x v="0"/>
    <x v="60"/>
    <x v="60"/>
    <x v="10"/>
    <x v="10"/>
    <x v="10"/>
    <x v="6"/>
    <x v="200"/>
    <x v="362"/>
    <x v="50"/>
    <x v="437"/>
    <x v="93"/>
    <x v="215"/>
    <x v="0"/>
  </r>
  <r>
    <x v="0"/>
    <x v="60"/>
    <x v="60"/>
    <x v="13"/>
    <x v="13"/>
    <x v="13"/>
    <x v="6"/>
    <x v="200"/>
    <x v="362"/>
    <x v="65"/>
    <x v="65"/>
    <x v="108"/>
    <x v="345"/>
    <x v="0"/>
  </r>
  <r>
    <x v="0"/>
    <x v="60"/>
    <x v="60"/>
    <x v="47"/>
    <x v="47"/>
    <x v="47"/>
    <x v="6"/>
    <x v="200"/>
    <x v="362"/>
    <x v="50"/>
    <x v="437"/>
    <x v="93"/>
    <x v="215"/>
    <x v="0"/>
  </r>
  <r>
    <x v="0"/>
    <x v="60"/>
    <x v="60"/>
    <x v="55"/>
    <x v="55"/>
    <x v="55"/>
    <x v="6"/>
    <x v="200"/>
    <x v="362"/>
    <x v="56"/>
    <x v="521"/>
    <x v="123"/>
    <x v="39"/>
    <x v="0"/>
  </r>
  <r>
    <x v="0"/>
    <x v="60"/>
    <x v="60"/>
    <x v="5"/>
    <x v="5"/>
    <x v="5"/>
    <x v="6"/>
    <x v="200"/>
    <x v="362"/>
    <x v="70"/>
    <x v="522"/>
    <x v="127"/>
    <x v="151"/>
    <x v="0"/>
  </r>
  <r>
    <x v="0"/>
    <x v="60"/>
    <x v="60"/>
    <x v="2"/>
    <x v="2"/>
    <x v="2"/>
    <x v="6"/>
    <x v="200"/>
    <x v="362"/>
    <x v="70"/>
    <x v="522"/>
    <x v="127"/>
    <x v="151"/>
    <x v="0"/>
  </r>
  <r>
    <x v="0"/>
    <x v="60"/>
    <x v="60"/>
    <x v="8"/>
    <x v="8"/>
    <x v="8"/>
    <x v="6"/>
    <x v="200"/>
    <x v="362"/>
    <x v="70"/>
    <x v="522"/>
    <x v="127"/>
    <x v="151"/>
    <x v="0"/>
  </r>
  <r>
    <x v="0"/>
    <x v="60"/>
    <x v="60"/>
    <x v="46"/>
    <x v="46"/>
    <x v="46"/>
    <x v="13"/>
    <x v="216"/>
    <x v="8"/>
    <x v="50"/>
    <x v="437"/>
    <x v="123"/>
    <x v="39"/>
    <x v="0"/>
  </r>
  <r>
    <x v="0"/>
    <x v="60"/>
    <x v="60"/>
    <x v="54"/>
    <x v="54"/>
    <x v="54"/>
    <x v="13"/>
    <x v="216"/>
    <x v="8"/>
    <x v="65"/>
    <x v="65"/>
    <x v="93"/>
    <x v="215"/>
    <x v="0"/>
  </r>
  <r>
    <x v="0"/>
    <x v="60"/>
    <x v="60"/>
    <x v="106"/>
    <x v="106"/>
    <x v="106"/>
    <x v="13"/>
    <x v="216"/>
    <x v="8"/>
    <x v="65"/>
    <x v="65"/>
    <x v="93"/>
    <x v="215"/>
    <x v="0"/>
  </r>
  <r>
    <x v="0"/>
    <x v="60"/>
    <x v="60"/>
    <x v="107"/>
    <x v="107"/>
    <x v="107"/>
    <x v="13"/>
    <x v="216"/>
    <x v="8"/>
    <x v="65"/>
    <x v="65"/>
    <x v="93"/>
    <x v="215"/>
    <x v="0"/>
  </r>
  <r>
    <x v="0"/>
    <x v="60"/>
    <x v="60"/>
    <x v="69"/>
    <x v="69"/>
    <x v="69"/>
    <x v="13"/>
    <x v="216"/>
    <x v="8"/>
    <x v="65"/>
    <x v="65"/>
    <x v="93"/>
    <x v="215"/>
    <x v="0"/>
  </r>
  <r>
    <x v="0"/>
    <x v="60"/>
    <x v="60"/>
    <x v="28"/>
    <x v="28"/>
    <x v="28"/>
    <x v="13"/>
    <x v="216"/>
    <x v="8"/>
    <x v="56"/>
    <x v="521"/>
    <x v="127"/>
    <x v="151"/>
    <x v="0"/>
  </r>
  <r>
    <x v="0"/>
    <x v="60"/>
    <x v="60"/>
    <x v="68"/>
    <x v="68"/>
    <x v="68"/>
    <x v="13"/>
    <x v="216"/>
    <x v="8"/>
    <x v="65"/>
    <x v="65"/>
    <x v="93"/>
    <x v="215"/>
    <x v="0"/>
  </r>
  <r>
    <x v="0"/>
    <x v="60"/>
    <x v="60"/>
    <x v="48"/>
    <x v="48"/>
    <x v="48"/>
    <x v="13"/>
    <x v="216"/>
    <x v="8"/>
    <x v="50"/>
    <x v="437"/>
    <x v="127"/>
    <x v="151"/>
    <x v="6"/>
  </r>
  <r>
    <x v="0"/>
    <x v="60"/>
    <x v="60"/>
    <x v="7"/>
    <x v="7"/>
    <x v="7"/>
    <x v="13"/>
    <x v="216"/>
    <x v="8"/>
    <x v="56"/>
    <x v="521"/>
    <x v="127"/>
    <x v="151"/>
    <x v="0"/>
  </r>
  <r>
    <x v="0"/>
    <x v="60"/>
    <x v="60"/>
    <x v="82"/>
    <x v="82"/>
    <x v="82"/>
    <x v="13"/>
    <x v="216"/>
    <x v="8"/>
    <x v="65"/>
    <x v="65"/>
    <x v="127"/>
    <x v="151"/>
    <x v="0"/>
  </r>
  <r>
    <x v="0"/>
    <x v="60"/>
    <x v="60"/>
    <x v="6"/>
    <x v="6"/>
    <x v="6"/>
    <x v="13"/>
    <x v="216"/>
    <x v="8"/>
    <x v="56"/>
    <x v="521"/>
    <x v="127"/>
    <x v="151"/>
    <x v="0"/>
  </r>
  <r>
    <x v="0"/>
    <x v="60"/>
    <x v="60"/>
    <x v="59"/>
    <x v="59"/>
    <x v="59"/>
    <x v="13"/>
    <x v="216"/>
    <x v="8"/>
    <x v="65"/>
    <x v="65"/>
    <x v="93"/>
    <x v="215"/>
    <x v="0"/>
  </r>
  <r>
    <x v="0"/>
    <x v="60"/>
    <x v="60"/>
    <x v="72"/>
    <x v="72"/>
    <x v="72"/>
    <x v="13"/>
    <x v="216"/>
    <x v="8"/>
    <x v="65"/>
    <x v="65"/>
    <x v="93"/>
    <x v="215"/>
    <x v="0"/>
  </r>
  <r>
    <x v="0"/>
    <x v="60"/>
    <x v="60"/>
    <x v="26"/>
    <x v="26"/>
    <x v="26"/>
    <x v="13"/>
    <x v="216"/>
    <x v="8"/>
    <x v="65"/>
    <x v="65"/>
    <x v="93"/>
    <x v="215"/>
    <x v="0"/>
  </r>
  <r>
    <x v="0"/>
    <x v="61"/>
    <x v="61"/>
    <x v="51"/>
    <x v="51"/>
    <x v="51"/>
    <x v="0"/>
    <x v="205"/>
    <x v="363"/>
    <x v="102"/>
    <x v="523"/>
    <x v="123"/>
    <x v="150"/>
    <x v="0"/>
  </r>
  <r>
    <x v="0"/>
    <x v="61"/>
    <x v="61"/>
    <x v="12"/>
    <x v="12"/>
    <x v="12"/>
    <x v="1"/>
    <x v="210"/>
    <x v="193"/>
    <x v="51"/>
    <x v="471"/>
    <x v="108"/>
    <x v="346"/>
    <x v="0"/>
  </r>
  <r>
    <x v="0"/>
    <x v="61"/>
    <x v="61"/>
    <x v="2"/>
    <x v="2"/>
    <x v="2"/>
    <x v="1"/>
    <x v="210"/>
    <x v="193"/>
    <x v="95"/>
    <x v="507"/>
    <x v="123"/>
    <x v="150"/>
    <x v="0"/>
  </r>
  <r>
    <x v="0"/>
    <x v="61"/>
    <x v="61"/>
    <x v="54"/>
    <x v="54"/>
    <x v="54"/>
    <x v="3"/>
    <x v="196"/>
    <x v="361"/>
    <x v="62"/>
    <x v="138"/>
    <x v="108"/>
    <x v="346"/>
    <x v="0"/>
  </r>
  <r>
    <x v="0"/>
    <x v="61"/>
    <x v="61"/>
    <x v="3"/>
    <x v="3"/>
    <x v="3"/>
    <x v="4"/>
    <x v="197"/>
    <x v="287"/>
    <x v="39"/>
    <x v="508"/>
    <x v="127"/>
    <x v="151"/>
    <x v="0"/>
  </r>
  <r>
    <x v="0"/>
    <x v="61"/>
    <x v="61"/>
    <x v="0"/>
    <x v="0"/>
    <x v="0"/>
    <x v="5"/>
    <x v="198"/>
    <x v="364"/>
    <x v="62"/>
    <x v="138"/>
    <x v="127"/>
    <x v="151"/>
    <x v="0"/>
  </r>
  <r>
    <x v="0"/>
    <x v="61"/>
    <x v="61"/>
    <x v="5"/>
    <x v="5"/>
    <x v="5"/>
    <x v="5"/>
    <x v="198"/>
    <x v="364"/>
    <x v="51"/>
    <x v="471"/>
    <x v="127"/>
    <x v="151"/>
    <x v="0"/>
  </r>
  <r>
    <x v="0"/>
    <x v="61"/>
    <x v="61"/>
    <x v="1"/>
    <x v="1"/>
    <x v="1"/>
    <x v="5"/>
    <x v="198"/>
    <x v="364"/>
    <x v="51"/>
    <x v="471"/>
    <x v="127"/>
    <x v="151"/>
    <x v="0"/>
  </r>
  <r>
    <x v="0"/>
    <x v="61"/>
    <x v="61"/>
    <x v="85"/>
    <x v="85"/>
    <x v="85"/>
    <x v="8"/>
    <x v="199"/>
    <x v="101"/>
    <x v="62"/>
    <x v="138"/>
    <x v="127"/>
    <x v="151"/>
    <x v="0"/>
  </r>
  <r>
    <x v="0"/>
    <x v="61"/>
    <x v="61"/>
    <x v="13"/>
    <x v="13"/>
    <x v="13"/>
    <x v="9"/>
    <x v="200"/>
    <x v="6"/>
    <x v="65"/>
    <x v="65"/>
    <x v="108"/>
    <x v="346"/>
    <x v="0"/>
  </r>
  <r>
    <x v="0"/>
    <x v="61"/>
    <x v="61"/>
    <x v="69"/>
    <x v="69"/>
    <x v="69"/>
    <x v="9"/>
    <x v="200"/>
    <x v="6"/>
    <x v="56"/>
    <x v="166"/>
    <x v="123"/>
    <x v="150"/>
    <x v="0"/>
  </r>
  <r>
    <x v="0"/>
    <x v="61"/>
    <x v="61"/>
    <x v="47"/>
    <x v="47"/>
    <x v="47"/>
    <x v="9"/>
    <x v="200"/>
    <x v="6"/>
    <x v="56"/>
    <x v="166"/>
    <x v="123"/>
    <x v="150"/>
    <x v="0"/>
  </r>
  <r>
    <x v="0"/>
    <x v="61"/>
    <x v="61"/>
    <x v="42"/>
    <x v="42"/>
    <x v="42"/>
    <x v="9"/>
    <x v="200"/>
    <x v="6"/>
    <x v="50"/>
    <x v="102"/>
    <x v="93"/>
    <x v="37"/>
    <x v="0"/>
  </r>
  <r>
    <x v="0"/>
    <x v="61"/>
    <x v="61"/>
    <x v="45"/>
    <x v="45"/>
    <x v="45"/>
    <x v="9"/>
    <x v="200"/>
    <x v="6"/>
    <x v="70"/>
    <x v="80"/>
    <x v="127"/>
    <x v="151"/>
    <x v="0"/>
  </r>
  <r>
    <x v="0"/>
    <x v="61"/>
    <x v="61"/>
    <x v="4"/>
    <x v="4"/>
    <x v="4"/>
    <x v="9"/>
    <x v="200"/>
    <x v="6"/>
    <x v="70"/>
    <x v="80"/>
    <x v="127"/>
    <x v="151"/>
    <x v="0"/>
  </r>
  <r>
    <x v="0"/>
    <x v="61"/>
    <x v="61"/>
    <x v="61"/>
    <x v="61"/>
    <x v="61"/>
    <x v="9"/>
    <x v="200"/>
    <x v="6"/>
    <x v="56"/>
    <x v="166"/>
    <x v="123"/>
    <x v="150"/>
    <x v="0"/>
  </r>
  <r>
    <x v="0"/>
    <x v="61"/>
    <x v="61"/>
    <x v="97"/>
    <x v="97"/>
    <x v="97"/>
    <x v="15"/>
    <x v="216"/>
    <x v="97"/>
    <x v="65"/>
    <x v="65"/>
    <x v="93"/>
    <x v="37"/>
    <x v="0"/>
  </r>
  <r>
    <x v="0"/>
    <x v="61"/>
    <x v="61"/>
    <x v="68"/>
    <x v="68"/>
    <x v="68"/>
    <x v="15"/>
    <x v="216"/>
    <x v="97"/>
    <x v="65"/>
    <x v="65"/>
    <x v="93"/>
    <x v="37"/>
    <x v="0"/>
  </r>
  <r>
    <x v="0"/>
    <x v="61"/>
    <x v="61"/>
    <x v="80"/>
    <x v="80"/>
    <x v="80"/>
    <x v="15"/>
    <x v="216"/>
    <x v="97"/>
    <x v="50"/>
    <x v="102"/>
    <x v="123"/>
    <x v="150"/>
    <x v="0"/>
  </r>
  <r>
    <x v="0"/>
    <x v="61"/>
    <x v="61"/>
    <x v="18"/>
    <x v="18"/>
    <x v="18"/>
    <x v="15"/>
    <x v="216"/>
    <x v="97"/>
    <x v="56"/>
    <x v="166"/>
    <x v="127"/>
    <x v="151"/>
    <x v="0"/>
  </r>
  <r>
    <x v="0"/>
    <x v="61"/>
    <x v="61"/>
    <x v="65"/>
    <x v="65"/>
    <x v="65"/>
    <x v="15"/>
    <x v="216"/>
    <x v="97"/>
    <x v="65"/>
    <x v="65"/>
    <x v="93"/>
    <x v="37"/>
    <x v="0"/>
  </r>
  <r>
    <x v="0"/>
    <x v="61"/>
    <x v="61"/>
    <x v="108"/>
    <x v="108"/>
    <x v="108"/>
    <x v="15"/>
    <x v="216"/>
    <x v="97"/>
    <x v="50"/>
    <x v="102"/>
    <x v="123"/>
    <x v="150"/>
    <x v="0"/>
  </r>
  <r>
    <x v="0"/>
    <x v="61"/>
    <x v="61"/>
    <x v="72"/>
    <x v="72"/>
    <x v="72"/>
    <x v="15"/>
    <x v="216"/>
    <x v="97"/>
    <x v="65"/>
    <x v="65"/>
    <x v="123"/>
    <x v="150"/>
    <x v="0"/>
  </r>
  <r>
    <x v="0"/>
    <x v="61"/>
    <x v="61"/>
    <x v="109"/>
    <x v="109"/>
    <x v="109"/>
    <x v="15"/>
    <x v="216"/>
    <x v="97"/>
    <x v="65"/>
    <x v="65"/>
    <x v="93"/>
    <x v="37"/>
    <x v="0"/>
  </r>
  <r>
    <x v="0"/>
    <x v="61"/>
    <x v="61"/>
    <x v="83"/>
    <x v="83"/>
    <x v="83"/>
    <x v="15"/>
    <x v="216"/>
    <x v="97"/>
    <x v="56"/>
    <x v="166"/>
    <x v="127"/>
    <x v="151"/>
    <x v="0"/>
  </r>
  <r>
    <x v="0"/>
    <x v="62"/>
    <x v="62"/>
    <x v="1"/>
    <x v="1"/>
    <x v="1"/>
    <x v="0"/>
    <x v="194"/>
    <x v="365"/>
    <x v="61"/>
    <x v="524"/>
    <x v="127"/>
    <x v="151"/>
    <x v="0"/>
  </r>
  <r>
    <x v="0"/>
    <x v="62"/>
    <x v="62"/>
    <x v="0"/>
    <x v="0"/>
    <x v="0"/>
    <x v="1"/>
    <x v="196"/>
    <x v="211"/>
    <x v="39"/>
    <x v="525"/>
    <x v="123"/>
    <x v="102"/>
    <x v="0"/>
  </r>
  <r>
    <x v="0"/>
    <x v="62"/>
    <x v="62"/>
    <x v="2"/>
    <x v="2"/>
    <x v="2"/>
    <x v="1"/>
    <x v="196"/>
    <x v="211"/>
    <x v="95"/>
    <x v="526"/>
    <x v="127"/>
    <x v="151"/>
    <x v="0"/>
  </r>
  <r>
    <x v="0"/>
    <x v="62"/>
    <x v="62"/>
    <x v="3"/>
    <x v="3"/>
    <x v="3"/>
    <x v="1"/>
    <x v="196"/>
    <x v="211"/>
    <x v="95"/>
    <x v="526"/>
    <x v="127"/>
    <x v="151"/>
    <x v="0"/>
  </r>
  <r>
    <x v="0"/>
    <x v="62"/>
    <x v="62"/>
    <x v="4"/>
    <x v="4"/>
    <x v="4"/>
    <x v="4"/>
    <x v="197"/>
    <x v="335"/>
    <x v="51"/>
    <x v="527"/>
    <x v="123"/>
    <x v="102"/>
    <x v="0"/>
  </r>
  <r>
    <x v="0"/>
    <x v="62"/>
    <x v="62"/>
    <x v="17"/>
    <x v="17"/>
    <x v="17"/>
    <x v="5"/>
    <x v="199"/>
    <x v="5"/>
    <x v="50"/>
    <x v="528"/>
    <x v="108"/>
    <x v="347"/>
    <x v="0"/>
  </r>
  <r>
    <x v="0"/>
    <x v="62"/>
    <x v="62"/>
    <x v="18"/>
    <x v="18"/>
    <x v="18"/>
    <x v="5"/>
    <x v="199"/>
    <x v="5"/>
    <x v="70"/>
    <x v="447"/>
    <x v="123"/>
    <x v="102"/>
    <x v="0"/>
  </r>
  <r>
    <x v="0"/>
    <x v="62"/>
    <x v="62"/>
    <x v="84"/>
    <x v="84"/>
    <x v="84"/>
    <x v="5"/>
    <x v="199"/>
    <x v="5"/>
    <x v="62"/>
    <x v="529"/>
    <x v="127"/>
    <x v="151"/>
    <x v="0"/>
  </r>
  <r>
    <x v="0"/>
    <x v="62"/>
    <x v="62"/>
    <x v="45"/>
    <x v="45"/>
    <x v="45"/>
    <x v="5"/>
    <x v="199"/>
    <x v="5"/>
    <x v="56"/>
    <x v="530"/>
    <x v="93"/>
    <x v="348"/>
    <x v="0"/>
  </r>
  <r>
    <x v="0"/>
    <x v="62"/>
    <x v="62"/>
    <x v="8"/>
    <x v="8"/>
    <x v="8"/>
    <x v="5"/>
    <x v="199"/>
    <x v="5"/>
    <x v="62"/>
    <x v="529"/>
    <x v="127"/>
    <x v="151"/>
    <x v="0"/>
  </r>
  <r>
    <x v="0"/>
    <x v="62"/>
    <x v="62"/>
    <x v="40"/>
    <x v="40"/>
    <x v="40"/>
    <x v="10"/>
    <x v="200"/>
    <x v="105"/>
    <x v="50"/>
    <x v="528"/>
    <x v="93"/>
    <x v="348"/>
    <x v="0"/>
  </r>
  <r>
    <x v="0"/>
    <x v="62"/>
    <x v="62"/>
    <x v="46"/>
    <x v="46"/>
    <x v="46"/>
    <x v="10"/>
    <x v="200"/>
    <x v="105"/>
    <x v="56"/>
    <x v="530"/>
    <x v="123"/>
    <x v="102"/>
    <x v="0"/>
  </r>
  <r>
    <x v="0"/>
    <x v="62"/>
    <x v="62"/>
    <x v="14"/>
    <x v="14"/>
    <x v="14"/>
    <x v="10"/>
    <x v="200"/>
    <x v="105"/>
    <x v="56"/>
    <x v="530"/>
    <x v="123"/>
    <x v="102"/>
    <x v="0"/>
  </r>
  <r>
    <x v="0"/>
    <x v="62"/>
    <x v="62"/>
    <x v="28"/>
    <x v="28"/>
    <x v="28"/>
    <x v="10"/>
    <x v="200"/>
    <x v="105"/>
    <x v="65"/>
    <x v="65"/>
    <x v="108"/>
    <x v="347"/>
    <x v="0"/>
  </r>
  <r>
    <x v="0"/>
    <x v="62"/>
    <x v="62"/>
    <x v="5"/>
    <x v="5"/>
    <x v="5"/>
    <x v="10"/>
    <x v="200"/>
    <x v="105"/>
    <x v="70"/>
    <x v="447"/>
    <x v="127"/>
    <x v="151"/>
    <x v="0"/>
  </r>
  <r>
    <x v="0"/>
    <x v="62"/>
    <x v="62"/>
    <x v="9"/>
    <x v="9"/>
    <x v="9"/>
    <x v="10"/>
    <x v="200"/>
    <x v="105"/>
    <x v="70"/>
    <x v="447"/>
    <x v="127"/>
    <x v="151"/>
    <x v="0"/>
  </r>
  <r>
    <x v="0"/>
    <x v="62"/>
    <x v="62"/>
    <x v="19"/>
    <x v="19"/>
    <x v="19"/>
    <x v="10"/>
    <x v="200"/>
    <x v="105"/>
    <x v="56"/>
    <x v="530"/>
    <x v="123"/>
    <x v="102"/>
    <x v="0"/>
  </r>
  <r>
    <x v="0"/>
    <x v="62"/>
    <x v="62"/>
    <x v="10"/>
    <x v="10"/>
    <x v="10"/>
    <x v="16"/>
    <x v="216"/>
    <x v="15"/>
    <x v="65"/>
    <x v="65"/>
    <x v="93"/>
    <x v="348"/>
    <x v="0"/>
  </r>
  <r>
    <x v="0"/>
    <x v="62"/>
    <x v="62"/>
    <x v="110"/>
    <x v="110"/>
    <x v="110"/>
    <x v="16"/>
    <x v="216"/>
    <x v="15"/>
    <x v="65"/>
    <x v="65"/>
    <x v="93"/>
    <x v="348"/>
    <x v="0"/>
  </r>
  <r>
    <x v="0"/>
    <x v="62"/>
    <x v="62"/>
    <x v="32"/>
    <x v="32"/>
    <x v="32"/>
    <x v="16"/>
    <x v="216"/>
    <x v="15"/>
    <x v="50"/>
    <x v="528"/>
    <x v="123"/>
    <x v="102"/>
    <x v="0"/>
  </r>
  <r>
    <x v="0"/>
    <x v="62"/>
    <x v="62"/>
    <x v="67"/>
    <x v="67"/>
    <x v="67"/>
    <x v="16"/>
    <x v="216"/>
    <x v="15"/>
    <x v="65"/>
    <x v="65"/>
    <x v="93"/>
    <x v="348"/>
    <x v="0"/>
  </r>
  <r>
    <x v="0"/>
    <x v="62"/>
    <x v="62"/>
    <x v="13"/>
    <x v="13"/>
    <x v="13"/>
    <x v="16"/>
    <x v="216"/>
    <x v="15"/>
    <x v="65"/>
    <x v="65"/>
    <x v="93"/>
    <x v="348"/>
    <x v="0"/>
  </r>
  <r>
    <x v="0"/>
    <x v="62"/>
    <x v="62"/>
    <x v="73"/>
    <x v="73"/>
    <x v="73"/>
    <x v="16"/>
    <x v="216"/>
    <x v="15"/>
    <x v="50"/>
    <x v="528"/>
    <x v="123"/>
    <x v="102"/>
    <x v="0"/>
  </r>
  <r>
    <x v="0"/>
    <x v="62"/>
    <x v="62"/>
    <x v="111"/>
    <x v="111"/>
    <x v="111"/>
    <x v="16"/>
    <x v="216"/>
    <x v="15"/>
    <x v="56"/>
    <x v="530"/>
    <x v="127"/>
    <x v="151"/>
    <x v="0"/>
  </r>
  <r>
    <x v="0"/>
    <x v="62"/>
    <x v="62"/>
    <x v="75"/>
    <x v="75"/>
    <x v="75"/>
    <x v="16"/>
    <x v="216"/>
    <x v="15"/>
    <x v="65"/>
    <x v="65"/>
    <x v="127"/>
    <x v="151"/>
    <x v="0"/>
  </r>
  <r>
    <x v="0"/>
    <x v="62"/>
    <x v="62"/>
    <x v="112"/>
    <x v="112"/>
    <x v="112"/>
    <x v="16"/>
    <x v="216"/>
    <x v="15"/>
    <x v="50"/>
    <x v="528"/>
    <x v="123"/>
    <x v="102"/>
    <x v="0"/>
  </r>
  <r>
    <x v="0"/>
    <x v="62"/>
    <x v="62"/>
    <x v="12"/>
    <x v="12"/>
    <x v="12"/>
    <x v="16"/>
    <x v="216"/>
    <x v="15"/>
    <x v="50"/>
    <x v="528"/>
    <x v="123"/>
    <x v="102"/>
    <x v="0"/>
  </r>
  <r>
    <x v="0"/>
    <x v="62"/>
    <x v="62"/>
    <x v="11"/>
    <x v="11"/>
    <x v="11"/>
    <x v="16"/>
    <x v="216"/>
    <x v="15"/>
    <x v="65"/>
    <x v="65"/>
    <x v="93"/>
    <x v="348"/>
    <x v="0"/>
  </r>
  <r>
    <x v="0"/>
    <x v="62"/>
    <x v="62"/>
    <x v="101"/>
    <x v="101"/>
    <x v="101"/>
    <x v="16"/>
    <x v="216"/>
    <x v="15"/>
    <x v="56"/>
    <x v="530"/>
    <x v="127"/>
    <x v="151"/>
    <x v="0"/>
  </r>
  <r>
    <x v="0"/>
    <x v="62"/>
    <x v="62"/>
    <x v="47"/>
    <x v="47"/>
    <x v="47"/>
    <x v="16"/>
    <x v="216"/>
    <x v="15"/>
    <x v="56"/>
    <x v="530"/>
    <x v="127"/>
    <x v="151"/>
    <x v="0"/>
  </r>
  <r>
    <x v="0"/>
    <x v="62"/>
    <x v="62"/>
    <x v="113"/>
    <x v="113"/>
    <x v="113"/>
    <x v="16"/>
    <x v="216"/>
    <x v="15"/>
    <x v="50"/>
    <x v="528"/>
    <x v="123"/>
    <x v="102"/>
    <x v="0"/>
  </r>
  <r>
    <x v="0"/>
    <x v="62"/>
    <x v="62"/>
    <x v="114"/>
    <x v="114"/>
    <x v="114"/>
    <x v="16"/>
    <x v="216"/>
    <x v="15"/>
    <x v="65"/>
    <x v="65"/>
    <x v="93"/>
    <x v="348"/>
    <x v="0"/>
  </r>
  <r>
    <x v="0"/>
    <x v="62"/>
    <x v="62"/>
    <x v="42"/>
    <x v="42"/>
    <x v="42"/>
    <x v="16"/>
    <x v="216"/>
    <x v="15"/>
    <x v="65"/>
    <x v="65"/>
    <x v="93"/>
    <x v="348"/>
    <x v="0"/>
  </r>
  <r>
    <x v="0"/>
    <x v="62"/>
    <x v="62"/>
    <x v="49"/>
    <x v="49"/>
    <x v="49"/>
    <x v="16"/>
    <x v="216"/>
    <x v="15"/>
    <x v="56"/>
    <x v="530"/>
    <x v="127"/>
    <x v="151"/>
    <x v="0"/>
  </r>
  <r>
    <x v="0"/>
    <x v="62"/>
    <x v="62"/>
    <x v="7"/>
    <x v="7"/>
    <x v="7"/>
    <x v="16"/>
    <x v="216"/>
    <x v="15"/>
    <x v="50"/>
    <x v="528"/>
    <x v="123"/>
    <x v="102"/>
    <x v="0"/>
  </r>
  <r>
    <x v="0"/>
    <x v="62"/>
    <x v="62"/>
    <x v="51"/>
    <x v="51"/>
    <x v="51"/>
    <x v="16"/>
    <x v="216"/>
    <x v="15"/>
    <x v="56"/>
    <x v="530"/>
    <x v="127"/>
    <x v="151"/>
    <x v="0"/>
  </r>
  <r>
    <x v="0"/>
    <x v="62"/>
    <x v="62"/>
    <x v="103"/>
    <x v="103"/>
    <x v="103"/>
    <x v="16"/>
    <x v="216"/>
    <x v="15"/>
    <x v="56"/>
    <x v="530"/>
    <x v="127"/>
    <x v="151"/>
    <x v="0"/>
  </r>
  <r>
    <x v="0"/>
    <x v="62"/>
    <x v="62"/>
    <x v="52"/>
    <x v="52"/>
    <x v="52"/>
    <x v="16"/>
    <x v="216"/>
    <x v="15"/>
    <x v="65"/>
    <x v="65"/>
    <x v="127"/>
    <x v="151"/>
    <x v="0"/>
  </r>
  <r>
    <x v="0"/>
    <x v="62"/>
    <x v="62"/>
    <x v="39"/>
    <x v="39"/>
    <x v="39"/>
    <x v="16"/>
    <x v="216"/>
    <x v="15"/>
    <x v="56"/>
    <x v="530"/>
    <x v="127"/>
    <x v="151"/>
    <x v="0"/>
  </r>
  <r>
    <x v="0"/>
    <x v="62"/>
    <x v="62"/>
    <x v="6"/>
    <x v="6"/>
    <x v="6"/>
    <x v="16"/>
    <x v="216"/>
    <x v="15"/>
    <x v="56"/>
    <x v="530"/>
    <x v="127"/>
    <x v="151"/>
    <x v="0"/>
  </r>
  <r>
    <x v="0"/>
    <x v="62"/>
    <x v="62"/>
    <x v="53"/>
    <x v="53"/>
    <x v="53"/>
    <x v="16"/>
    <x v="216"/>
    <x v="15"/>
    <x v="65"/>
    <x v="65"/>
    <x v="127"/>
    <x v="151"/>
    <x v="0"/>
  </r>
  <r>
    <x v="0"/>
    <x v="63"/>
    <x v="63"/>
    <x v="3"/>
    <x v="3"/>
    <x v="3"/>
    <x v="0"/>
    <x v="193"/>
    <x v="366"/>
    <x v="38"/>
    <x v="378"/>
    <x v="127"/>
    <x v="151"/>
    <x v="0"/>
  </r>
  <r>
    <x v="0"/>
    <x v="63"/>
    <x v="63"/>
    <x v="1"/>
    <x v="1"/>
    <x v="1"/>
    <x v="1"/>
    <x v="194"/>
    <x v="367"/>
    <x v="61"/>
    <x v="531"/>
    <x v="127"/>
    <x v="151"/>
    <x v="0"/>
  </r>
  <r>
    <x v="0"/>
    <x v="63"/>
    <x v="63"/>
    <x v="40"/>
    <x v="40"/>
    <x v="40"/>
    <x v="2"/>
    <x v="208"/>
    <x v="55"/>
    <x v="39"/>
    <x v="532"/>
    <x v="110"/>
    <x v="243"/>
    <x v="0"/>
  </r>
  <r>
    <x v="0"/>
    <x v="63"/>
    <x v="63"/>
    <x v="2"/>
    <x v="2"/>
    <x v="2"/>
    <x v="2"/>
    <x v="208"/>
    <x v="55"/>
    <x v="77"/>
    <x v="533"/>
    <x v="127"/>
    <x v="151"/>
    <x v="0"/>
  </r>
  <r>
    <x v="0"/>
    <x v="63"/>
    <x v="63"/>
    <x v="0"/>
    <x v="0"/>
    <x v="0"/>
    <x v="4"/>
    <x v="195"/>
    <x v="368"/>
    <x v="100"/>
    <x v="123"/>
    <x v="127"/>
    <x v="151"/>
    <x v="0"/>
  </r>
  <r>
    <x v="0"/>
    <x v="63"/>
    <x v="63"/>
    <x v="12"/>
    <x v="12"/>
    <x v="12"/>
    <x v="5"/>
    <x v="210"/>
    <x v="139"/>
    <x v="95"/>
    <x v="534"/>
    <x v="123"/>
    <x v="232"/>
    <x v="0"/>
  </r>
  <r>
    <x v="0"/>
    <x v="63"/>
    <x v="63"/>
    <x v="42"/>
    <x v="42"/>
    <x v="42"/>
    <x v="5"/>
    <x v="210"/>
    <x v="139"/>
    <x v="65"/>
    <x v="65"/>
    <x v="109"/>
    <x v="291"/>
    <x v="0"/>
  </r>
  <r>
    <x v="0"/>
    <x v="63"/>
    <x v="63"/>
    <x v="5"/>
    <x v="5"/>
    <x v="5"/>
    <x v="5"/>
    <x v="210"/>
    <x v="139"/>
    <x v="100"/>
    <x v="123"/>
    <x v="127"/>
    <x v="151"/>
    <x v="0"/>
  </r>
  <r>
    <x v="0"/>
    <x v="63"/>
    <x v="63"/>
    <x v="46"/>
    <x v="46"/>
    <x v="46"/>
    <x v="8"/>
    <x v="196"/>
    <x v="102"/>
    <x v="51"/>
    <x v="435"/>
    <x v="93"/>
    <x v="160"/>
    <x v="0"/>
  </r>
  <r>
    <x v="0"/>
    <x v="63"/>
    <x v="63"/>
    <x v="13"/>
    <x v="13"/>
    <x v="13"/>
    <x v="8"/>
    <x v="196"/>
    <x v="102"/>
    <x v="50"/>
    <x v="535"/>
    <x v="67"/>
    <x v="349"/>
    <x v="0"/>
  </r>
  <r>
    <x v="0"/>
    <x v="63"/>
    <x v="63"/>
    <x v="36"/>
    <x v="36"/>
    <x v="36"/>
    <x v="8"/>
    <x v="196"/>
    <x v="102"/>
    <x v="56"/>
    <x v="102"/>
    <x v="119"/>
    <x v="292"/>
    <x v="0"/>
  </r>
  <r>
    <x v="0"/>
    <x v="63"/>
    <x v="63"/>
    <x v="28"/>
    <x v="28"/>
    <x v="28"/>
    <x v="8"/>
    <x v="196"/>
    <x v="102"/>
    <x v="95"/>
    <x v="534"/>
    <x v="127"/>
    <x v="151"/>
    <x v="0"/>
  </r>
  <r>
    <x v="0"/>
    <x v="63"/>
    <x v="63"/>
    <x v="51"/>
    <x v="51"/>
    <x v="51"/>
    <x v="8"/>
    <x v="196"/>
    <x v="102"/>
    <x v="39"/>
    <x v="532"/>
    <x v="123"/>
    <x v="232"/>
    <x v="0"/>
  </r>
  <r>
    <x v="0"/>
    <x v="63"/>
    <x v="63"/>
    <x v="41"/>
    <x v="41"/>
    <x v="41"/>
    <x v="13"/>
    <x v="197"/>
    <x v="369"/>
    <x v="62"/>
    <x v="217"/>
    <x v="93"/>
    <x v="160"/>
    <x v="0"/>
  </r>
  <r>
    <x v="0"/>
    <x v="63"/>
    <x v="63"/>
    <x v="14"/>
    <x v="14"/>
    <x v="14"/>
    <x v="19"/>
    <x v="198"/>
    <x v="84"/>
    <x v="56"/>
    <x v="102"/>
    <x v="108"/>
    <x v="147"/>
    <x v="0"/>
  </r>
  <r>
    <x v="0"/>
    <x v="63"/>
    <x v="63"/>
    <x v="18"/>
    <x v="18"/>
    <x v="18"/>
    <x v="19"/>
    <x v="198"/>
    <x v="84"/>
    <x v="50"/>
    <x v="535"/>
    <x v="110"/>
    <x v="243"/>
    <x v="0"/>
  </r>
  <r>
    <x v="0"/>
    <x v="63"/>
    <x v="63"/>
    <x v="4"/>
    <x v="4"/>
    <x v="4"/>
    <x v="19"/>
    <x v="198"/>
    <x v="84"/>
    <x v="62"/>
    <x v="217"/>
    <x v="123"/>
    <x v="232"/>
    <x v="0"/>
  </r>
  <r>
    <x v="0"/>
    <x v="63"/>
    <x v="63"/>
    <x v="6"/>
    <x v="6"/>
    <x v="6"/>
    <x v="19"/>
    <x v="198"/>
    <x v="84"/>
    <x v="51"/>
    <x v="435"/>
    <x v="127"/>
    <x v="151"/>
    <x v="0"/>
  </r>
  <r>
    <x v="0"/>
    <x v="63"/>
    <x v="63"/>
    <x v="53"/>
    <x v="53"/>
    <x v="53"/>
    <x v="19"/>
    <x v="198"/>
    <x v="84"/>
    <x v="65"/>
    <x v="65"/>
    <x v="127"/>
    <x v="151"/>
    <x v="0"/>
  </r>
  <r>
    <x v="0"/>
    <x v="63"/>
    <x v="63"/>
    <x v="10"/>
    <x v="10"/>
    <x v="10"/>
    <x v="18"/>
    <x v="199"/>
    <x v="12"/>
    <x v="65"/>
    <x v="65"/>
    <x v="110"/>
    <x v="243"/>
    <x v="0"/>
  </r>
  <r>
    <x v="0"/>
    <x v="63"/>
    <x v="63"/>
    <x v="68"/>
    <x v="68"/>
    <x v="68"/>
    <x v="18"/>
    <x v="199"/>
    <x v="12"/>
    <x v="50"/>
    <x v="535"/>
    <x v="108"/>
    <x v="147"/>
    <x v="0"/>
  </r>
  <r>
    <x v="0"/>
    <x v="63"/>
    <x v="63"/>
    <x v="80"/>
    <x v="80"/>
    <x v="80"/>
    <x v="18"/>
    <x v="199"/>
    <x v="12"/>
    <x v="70"/>
    <x v="536"/>
    <x v="123"/>
    <x v="232"/>
    <x v="0"/>
  </r>
  <r>
    <x v="0"/>
    <x v="63"/>
    <x v="63"/>
    <x v="7"/>
    <x v="7"/>
    <x v="7"/>
    <x v="18"/>
    <x v="199"/>
    <x v="12"/>
    <x v="56"/>
    <x v="102"/>
    <x v="93"/>
    <x v="160"/>
    <x v="0"/>
  </r>
  <r>
    <x v="0"/>
    <x v="63"/>
    <x v="63"/>
    <x v="45"/>
    <x v="45"/>
    <x v="45"/>
    <x v="18"/>
    <x v="199"/>
    <x v="12"/>
    <x v="70"/>
    <x v="536"/>
    <x v="123"/>
    <x v="232"/>
    <x v="0"/>
  </r>
  <r>
    <x v="0"/>
    <x v="63"/>
    <x v="63"/>
    <x v="34"/>
    <x v="34"/>
    <x v="34"/>
    <x v="18"/>
    <x v="199"/>
    <x v="12"/>
    <x v="70"/>
    <x v="536"/>
    <x v="123"/>
    <x v="232"/>
    <x v="0"/>
  </r>
  <r>
    <x v="0"/>
    <x v="63"/>
    <x v="63"/>
    <x v="52"/>
    <x v="52"/>
    <x v="52"/>
    <x v="18"/>
    <x v="199"/>
    <x v="12"/>
    <x v="65"/>
    <x v="65"/>
    <x v="127"/>
    <x v="151"/>
    <x v="0"/>
  </r>
  <r>
    <x v="0"/>
    <x v="63"/>
    <x v="63"/>
    <x v="43"/>
    <x v="43"/>
    <x v="43"/>
    <x v="18"/>
    <x v="199"/>
    <x v="12"/>
    <x v="65"/>
    <x v="65"/>
    <x v="108"/>
    <x v="147"/>
    <x v="0"/>
  </r>
  <r>
    <x v="0"/>
    <x v="64"/>
    <x v="64"/>
    <x v="51"/>
    <x v="51"/>
    <x v="51"/>
    <x v="0"/>
    <x v="210"/>
    <x v="370"/>
    <x v="39"/>
    <x v="537"/>
    <x v="93"/>
    <x v="350"/>
    <x v="0"/>
  </r>
  <r>
    <x v="0"/>
    <x v="64"/>
    <x v="64"/>
    <x v="12"/>
    <x v="12"/>
    <x v="12"/>
    <x v="1"/>
    <x v="198"/>
    <x v="371"/>
    <x v="62"/>
    <x v="538"/>
    <x v="123"/>
    <x v="351"/>
    <x v="0"/>
  </r>
  <r>
    <x v="0"/>
    <x v="64"/>
    <x v="64"/>
    <x v="54"/>
    <x v="54"/>
    <x v="54"/>
    <x v="2"/>
    <x v="199"/>
    <x v="325"/>
    <x v="62"/>
    <x v="538"/>
    <x v="127"/>
    <x v="151"/>
    <x v="0"/>
  </r>
  <r>
    <x v="0"/>
    <x v="64"/>
    <x v="64"/>
    <x v="1"/>
    <x v="1"/>
    <x v="1"/>
    <x v="3"/>
    <x v="200"/>
    <x v="312"/>
    <x v="70"/>
    <x v="387"/>
    <x v="127"/>
    <x v="151"/>
    <x v="0"/>
  </r>
  <r>
    <x v="0"/>
    <x v="64"/>
    <x v="64"/>
    <x v="40"/>
    <x v="40"/>
    <x v="40"/>
    <x v="4"/>
    <x v="216"/>
    <x v="372"/>
    <x v="56"/>
    <x v="408"/>
    <x v="127"/>
    <x v="151"/>
    <x v="0"/>
  </r>
  <r>
    <x v="0"/>
    <x v="64"/>
    <x v="64"/>
    <x v="17"/>
    <x v="17"/>
    <x v="17"/>
    <x v="5"/>
    <x v="217"/>
    <x v="58"/>
    <x v="65"/>
    <x v="65"/>
    <x v="123"/>
    <x v="351"/>
    <x v="0"/>
  </r>
  <r>
    <x v="0"/>
    <x v="64"/>
    <x v="64"/>
    <x v="32"/>
    <x v="32"/>
    <x v="32"/>
    <x v="5"/>
    <x v="217"/>
    <x v="58"/>
    <x v="50"/>
    <x v="168"/>
    <x v="127"/>
    <x v="151"/>
    <x v="0"/>
  </r>
  <r>
    <x v="0"/>
    <x v="64"/>
    <x v="64"/>
    <x v="67"/>
    <x v="67"/>
    <x v="67"/>
    <x v="5"/>
    <x v="217"/>
    <x v="58"/>
    <x v="50"/>
    <x v="168"/>
    <x v="127"/>
    <x v="151"/>
    <x v="0"/>
  </r>
  <r>
    <x v="0"/>
    <x v="64"/>
    <x v="64"/>
    <x v="13"/>
    <x v="13"/>
    <x v="13"/>
    <x v="5"/>
    <x v="217"/>
    <x v="58"/>
    <x v="65"/>
    <x v="65"/>
    <x v="123"/>
    <x v="351"/>
    <x v="0"/>
  </r>
  <r>
    <x v="0"/>
    <x v="64"/>
    <x v="64"/>
    <x v="76"/>
    <x v="76"/>
    <x v="76"/>
    <x v="5"/>
    <x v="217"/>
    <x v="58"/>
    <x v="65"/>
    <x v="65"/>
    <x v="127"/>
    <x v="151"/>
    <x v="0"/>
  </r>
  <r>
    <x v="0"/>
    <x v="64"/>
    <x v="64"/>
    <x v="38"/>
    <x v="38"/>
    <x v="38"/>
    <x v="5"/>
    <x v="217"/>
    <x v="58"/>
    <x v="65"/>
    <x v="65"/>
    <x v="123"/>
    <x v="351"/>
    <x v="0"/>
  </r>
  <r>
    <x v="0"/>
    <x v="64"/>
    <x v="64"/>
    <x v="36"/>
    <x v="36"/>
    <x v="36"/>
    <x v="5"/>
    <x v="217"/>
    <x v="58"/>
    <x v="65"/>
    <x v="65"/>
    <x v="123"/>
    <x v="351"/>
    <x v="0"/>
  </r>
  <r>
    <x v="0"/>
    <x v="64"/>
    <x v="64"/>
    <x v="68"/>
    <x v="68"/>
    <x v="68"/>
    <x v="5"/>
    <x v="217"/>
    <x v="58"/>
    <x v="50"/>
    <x v="168"/>
    <x v="127"/>
    <x v="151"/>
    <x v="0"/>
  </r>
  <r>
    <x v="0"/>
    <x v="64"/>
    <x v="64"/>
    <x v="114"/>
    <x v="114"/>
    <x v="114"/>
    <x v="5"/>
    <x v="217"/>
    <x v="58"/>
    <x v="50"/>
    <x v="168"/>
    <x v="127"/>
    <x v="151"/>
    <x v="0"/>
  </r>
  <r>
    <x v="0"/>
    <x v="64"/>
    <x v="64"/>
    <x v="42"/>
    <x v="42"/>
    <x v="42"/>
    <x v="5"/>
    <x v="217"/>
    <x v="58"/>
    <x v="65"/>
    <x v="65"/>
    <x v="123"/>
    <x v="351"/>
    <x v="0"/>
  </r>
  <r>
    <x v="0"/>
    <x v="64"/>
    <x v="64"/>
    <x v="49"/>
    <x v="49"/>
    <x v="49"/>
    <x v="5"/>
    <x v="217"/>
    <x v="58"/>
    <x v="50"/>
    <x v="168"/>
    <x v="127"/>
    <x v="151"/>
    <x v="0"/>
  </r>
  <r>
    <x v="0"/>
    <x v="64"/>
    <x v="64"/>
    <x v="20"/>
    <x v="20"/>
    <x v="20"/>
    <x v="5"/>
    <x v="217"/>
    <x v="58"/>
    <x v="65"/>
    <x v="65"/>
    <x v="123"/>
    <x v="351"/>
    <x v="0"/>
  </r>
  <r>
    <x v="0"/>
    <x v="64"/>
    <x v="64"/>
    <x v="115"/>
    <x v="115"/>
    <x v="115"/>
    <x v="5"/>
    <x v="217"/>
    <x v="58"/>
    <x v="65"/>
    <x v="65"/>
    <x v="123"/>
    <x v="351"/>
    <x v="0"/>
  </r>
  <r>
    <x v="0"/>
    <x v="64"/>
    <x v="64"/>
    <x v="116"/>
    <x v="116"/>
    <x v="116"/>
    <x v="5"/>
    <x v="217"/>
    <x v="58"/>
    <x v="65"/>
    <x v="65"/>
    <x v="123"/>
    <x v="351"/>
    <x v="0"/>
  </r>
  <r>
    <x v="0"/>
    <x v="64"/>
    <x v="64"/>
    <x v="117"/>
    <x v="117"/>
    <x v="117"/>
    <x v="5"/>
    <x v="217"/>
    <x v="58"/>
    <x v="65"/>
    <x v="65"/>
    <x v="123"/>
    <x v="351"/>
    <x v="0"/>
  </r>
  <r>
    <x v="0"/>
    <x v="64"/>
    <x v="64"/>
    <x v="45"/>
    <x v="45"/>
    <x v="45"/>
    <x v="5"/>
    <x v="217"/>
    <x v="58"/>
    <x v="50"/>
    <x v="168"/>
    <x v="127"/>
    <x v="151"/>
    <x v="0"/>
  </r>
  <r>
    <x v="0"/>
    <x v="64"/>
    <x v="64"/>
    <x v="4"/>
    <x v="4"/>
    <x v="4"/>
    <x v="5"/>
    <x v="217"/>
    <x v="58"/>
    <x v="50"/>
    <x v="168"/>
    <x v="127"/>
    <x v="151"/>
    <x v="0"/>
  </r>
  <r>
    <x v="0"/>
    <x v="64"/>
    <x v="64"/>
    <x v="3"/>
    <x v="3"/>
    <x v="3"/>
    <x v="5"/>
    <x v="217"/>
    <x v="58"/>
    <x v="50"/>
    <x v="168"/>
    <x v="127"/>
    <x v="151"/>
    <x v="0"/>
  </r>
  <r>
    <x v="0"/>
    <x v="64"/>
    <x v="64"/>
    <x v="64"/>
    <x v="64"/>
    <x v="64"/>
    <x v="5"/>
    <x v="217"/>
    <x v="58"/>
    <x v="65"/>
    <x v="65"/>
    <x v="123"/>
    <x v="351"/>
    <x v="0"/>
  </r>
  <r>
    <x v="0"/>
    <x v="64"/>
    <x v="64"/>
    <x v="39"/>
    <x v="39"/>
    <x v="39"/>
    <x v="5"/>
    <x v="217"/>
    <x v="58"/>
    <x v="50"/>
    <x v="168"/>
    <x v="127"/>
    <x v="151"/>
    <x v="0"/>
  </r>
  <r>
    <x v="0"/>
    <x v="64"/>
    <x v="64"/>
    <x v="23"/>
    <x v="23"/>
    <x v="23"/>
    <x v="5"/>
    <x v="217"/>
    <x v="58"/>
    <x v="50"/>
    <x v="168"/>
    <x v="127"/>
    <x v="151"/>
    <x v="0"/>
  </r>
  <r>
    <x v="0"/>
    <x v="64"/>
    <x v="64"/>
    <x v="59"/>
    <x v="59"/>
    <x v="59"/>
    <x v="5"/>
    <x v="217"/>
    <x v="58"/>
    <x v="65"/>
    <x v="65"/>
    <x v="123"/>
    <x v="351"/>
    <x v="0"/>
  </r>
  <r>
    <x v="0"/>
    <x v="65"/>
    <x v="65"/>
    <x v="41"/>
    <x v="41"/>
    <x v="41"/>
    <x v="0"/>
    <x v="198"/>
    <x v="373"/>
    <x v="62"/>
    <x v="378"/>
    <x v="123"/>
    <x v="348"/>
    <x v="0"/>
  </r>
  <r>
    <x v="0"/>
    <x v="65"/>
    <x v="65"/>
    <x v="45"/>
    <x v="45"/>
    <x v="45"/>
    <x v="0"/>
    <x v="198"/>
    <x v="373"/>
    <x v="51"/>
    <x v="539"/>
    <x v="127"/>
    <x v="151"/>
    <x v="0"/>
  </r>
  <r>
    <x v="0"/>
    <x v="65"/>
    <x v="65"/>
    <x v="54"/>
    <x v="54"/>
    <x v="54"/>
    <x v="2"/>
    <x v="199"/>
    <x v="291"/>
    <x v="65"/>
    <x v="65"/>
    <x v="110"/>
    <x v="350"/>
    <x v="0"/>
  </r>
  <r>
    <x v="0"/>
    <x v="65"/>
    <x v="65"/>
    <x v="1"/>
    <x v="1"/>
    <x v="1"/>
    <x v="2"/>
    <x v="199"/>
    <x v="291"/>
    <x v="62"/>
    <x v="378"/>
    <x v="127"/>
    <x v="151"/>
    <x v="0"/>
  </r>
  <r>
    <x v="0"/>
    <x v="65"/>
    <x v="65"/>
    <x v="17"/>
    <x v="17"/>
    <x v="17"/>
    <x v="4"/>
    <x v="200"/>
    <x v="374"/>
    <x v="65"/>
    <x v="65"/>
    <x v="108"/>
    <x v="352"/>
    <x v="0"/>
  </r>
  <r>
    <x v="0"/>
    <x v="65"/>
    <x v="65"/>
    <x v="13"/>
    <x v="13"/>
    <x v="13"/>
    <x v="4"/>
    <x v="200"/>
    <x v="374"/>
    <x v="50"/>
    <x v="380"/>
    <x v="93"/>
    <x v="351"/>
    <x v="0"/>
  </r>
  <r>
    <x v="0"/>
    <x v="65"/>
    <x v="65"/>
    <x v="2"/>
    <x v="2"/>
    <x v="2"/>
    <x v="4"/>
    <x v="200"/>
    <x v="374"/>
    <x v="70"/>
    <x v="379"/>
    <x v="127"/>
    <x v="151"/>
    <x v="0"/>
  </r>
  <r>
    <x v="0"/>
    <x v="65"/>
    <x v="65"/>
    <x v="14"/>
    <x v="14"/>
    <x v="14"/>
    <x v="7"/>
    <x v="216"/>
    <x v="102"/>
    <x v="56"/>
    <x v="540"/>
    <x v="127"/>
    <x v="151"/>
    <x v="0"/>
  </r>
  <r>
    <x v="0"/>
    <x v="65"/>
    <x v="65"/>
    <x v="36"/>
    <x v="36"/>
    <x v="36"/>
    <x v="7"/>
    <x v="216"/>
    <x v="102"/>
    <x v="56"/>
    <x v="540"/>
    <x v="127"/>
    <x v="151"/>
    <x v="0"/>
  </r>
  <r>
    <x v="0"/>
    <x v="65"/>
    <x v="65"/>
    <x v="68"/>
    <x v="68"/>
    <x v="68"/>
    <x v="7"/>
    <x v="216"/>
    <x v="102"/>
    <x v="56"/>
    <x v="540"/>
    <x v="127"/>
    <x v="151"/>
    <x v="0"/>
  </r>
  <r>
    <x v="0"/>
    <x v="65"/>
    <x v="65"/>
    <x v="92"/>
    <x v="92"/>
    <x v="92"/>
    <x v="7"/>
    <x v="216"/>
    <x v="102"/>
    <x v="56"/>
    <x v="540"/>
    <x v="127"/>
    <x v="151"/>
    <x v="0"/>
  </r>
  <r>
    <x v="0"/>
    <x v="65"/>
    <x v="65"/>
    <x v="42"/>
    <x v="42"/>
    <x v="42"/>
    <x v="7"/>
    <x v="216"/>
    <x v="102"/>
    <x v="50"/>
    <x v="380"/>
    <x v="123"/>
    <x v="348"/>
    <x v="0"/>
  </r>
  <r>
    <x v="0"/>
    <x v="65"/>
    <x v="65"/>
    <x v="7"/>
    <x v="7"/>
    <x v="7"/>
    <x v="7"/>
    <x v="216"/>
    <x v="102"/>
    <x v="56"/>
    <x v="540"/>
    <x v="127"/>
    <x v="151"/>
    <x v="0"/>
  </r>
  <r>
    <x v="0"/>
    <x v="65"/>
    <x v="65"/>
    <x v="0"/>
    <x v="0"/>
    <x v="0"/>
    <x v="7"/>
    <x v="216"/>
    <x v="102"/>
    <x v="65"/>
    <x v="65"/>
    <x v="93"/>
    <x v="351"/>
    <x v="0"/>
  </r>
  <r>
    <x v="0"/>
    <x v="65"/>
    <x v="65"/>
    <x v="4"/>
    <x v="4"/>
    <x v="4"/>
    <x v="7"/>
    <x v="216"/>
    <x v="102"/>
    <x v="50"/>
    <x v="380"/>
    <x v="123"/>
    <x v="348"/>
    <x v="0"/>
  </r>
  <r>
    <x v="0"/>
    <x v="65"/>
    <x v="65"/>
    <x v="61"/>
    <x v="61"/>
    <x v="61"/>
    <x v="7"/>
    <x v="216"/>
    <x v="102"/>
    <x v="56"/>
    <x v="540"/>
    <x v="127"/>
    <x v="151"/>
    <x v="0"/>
  </r>
  <r>
    <x v="0"/>
    <x v="65"/>
    <x v="65"/>
    <x v="5"/>
    <x v="5"/>
    <x v="5"/>
    <x v="7"/>
    <x v="216"/>
    <x v="102"/>
    <x v="56"/>
    <x v="540"/>
    <x v="127"/>
    <x v="151"/>
    <x v="0"/>
  </r>
  <r>
    <x v="0"/>
    <x v="65"/>
    <x v="65"/>
    <x v="3"/>
    <x v="3"/>
    <x v="3"/>
    <x v="7"/>
    <x v="216"/>
    <x v="102"/>
    <x v="56"/>
    <x v="540"/>
    <x v="127"/>
    <x v="151"/>
    <x v="0"/>
  </r>
  <r>
    <x v="0"/>
    <x v="65"/>
    <x v="65"/>
    <x v="40"/>
    <x v="40"/>
    <x v="40"/>
    <x v="17"/>
    <x v="217"/>
    <x v="261"/>
    <x v="65"/>
    <x v="65"/>
    <x v="123"/>
    <x v="348"/>
    <x v="0"/>
  </r>
  <r>
    <x v="0"/>
    <x v="65"/>
    <x v="65"/>
    <x v="32"/>
    <x v="32"/>
    <x v="32"/>
    <x v="17"/>
    <x v="217"/>
    <x v="261"/>
    <x v="50"/>
    <x v="380"/>
    <x v="127"/>
    <x v="151"/>
    <x v="0"/>
  </r>
  <r>
    <x v="0"/>
    <x v="65"/>
    <x v="65"/>
    <x v="56"/>
    <x v="56"/>
    <x v="56"/>
    <x v="17"/>
    <x v="217"/>
    <x v="261"/>
    <x v="50"/>
    <x v="380"/>
    <x v="127"/>
    <x v="151"/>
    <x v="0"/>
  </r>
  <r>
    <x v="0"/>
    <x v="65"/>
    <x v="65"/>
    <x v="46"/>
    <x v="46"/>
    <x v="46"/>
    <x v="17"/>
    <x v="217"/>
    <x v="261"/>
    <x v="50"/>
    <x v="380"/>
    <x v="127"/>
    <x v="151"/>
    <x v="0"/>
  </r>
  <r>
    <x v="0"/>
    <x v="65"/>
    <x v="65"/>
    <x v="111"/>
    <x v="111"/>
    <x v="111"/>
    <x v="17"/>
    <x v="217"/>
    <x v="261"/>
    <x v="65"/>
    <x v="65"/>
    <x v="123"/>
    <x v="348"/>
    <x v="0"/>
  </r>
  <r>
    <x v="0"/>
    <x v="65"/>
    <x v="65"/>
    <x v="118"/>
    <x v="118"/>
    <x v="118"/>
    <x v="17"/>
    <x v="217"/>
    <x v="261"/>
    <x v="50"/>
    <x v="380"/>
    <x v="127"/>
    <x v="151"/>
    <x v="0"/>
  </r>
  <r>
    <x v="0"/>
    <x v="65"/>
    <x v="65"/>
    <x v="99"/>
    <x v="99"/>
    <x v="99"/>
    <x v="17"/>
    <x v="217"/>
    <x v="261"/>
    <x v="65"/>
    <x v="65"/>
    <x v="123"/>
    <x v="348"/>
    <x v="0"/>
  </r>
  <r>
    <x v="0"/>
    <x v="65"/>
    <x v="65"/>
    <x v="76"/>
    <x v="76"/>
    <x v="76"/>
    <x v="17"/>
    <x v="217"/>
    <x v="261"/>
    <x v="65"/>
    <x v="65"/>
    <x v="127"/>
    <x v="151"/>
    <x v="0"/>
  </r>
  <r>
    <x v="0"/>
    <x v="65"/>
    <x v="65"/>
    <x v="119"/>
    <x v="119"/>
    <x v="119"/>
    <x v="17"/>
    <x v="217"/>
    <x v="261"/>
    <x v="65"/>
    <x v="65"/>
    <x v="123"/>
    <x v="348"/>
    <x v="0"/>
  </r>
  <r>
    <x v="0"/>
    <x v="65"/>
    <x v="65"/>
    <x v="38"/>
    <x v="38"/>
    <x v="38"/>
    <x v="17"/>
    <x v="217"/>
    <x v="261"/>
    <x v="65"/>
    <x v="65"/>
    <x v="123"/>
    <x v="348"/>
    <x v="0"/>
  </r>
  <r>
    <x v="0"/>
    <x v="65"/>
    <x v="65"/>
    <x v="62"/>
    <x v="62"/>
    <x v="62"/>
    <x v="17"/>
    <x v="217"/>
    <x v="261"/>
    <x v="65"/>
    <x v="65"/>
    <x v="123"/>
    <x v="348"/>
    <x v="0"/>
  </r>
  <r>
    <x v="0"/>
    <x v="65"/>
    <x v="65"/>
    <x v="120"/>
    <x v="120"/>
    <x v="120"/>
    <x v="17"/>
    <x v="217"/>
    <x v="261"/>
    <x v="65"/>
    <x v="65"/>
    <x v="123"/>
    <x v="348"/>
    <x v="0"/>
  </r>
  <r>
    <x v="0"/>
    <x v="65"/>
    <x v="65"/>
    <x v="69"/>
    <x v="69"/>
    <x v="69"/>
    <x v="17"/>
    <x v="217"/>
    <x v="261"/>
    <x v="65"/>
    <x v="65"/>
    <x v="123"/>
    <x v="348"/>
    <x v="0"/>
  </r>
  <r>
    <x v="0"/>
    <x v="65"/>
    <x v="65"/>
    <x v="112"/>
    <x v="112"/>
    <x v="112"/>
    <x v="17"/>
    <x v="217"/>
    <x v="261"/>
    <x v="50"/>
    <x v="380"/>
    <x v="127"/>
    <x v="151"/>
    <x v="0"/>
  </r>
  <r>
    <x v="0"/>
    <x v="65"/>
    <x v="65"/>
    <x v="94"/>
    <x v="94"/>
    <x v="94"/>
    <x v="17"/>
    <x v="217"/>
    <x v="261"/>
    <x v="65"/>
    <x v="65"/>
    <x v="123"/>
    <x v="348"/>
    <x v="0"/>
  </r>
  <r>
    <x v="0"/>
    <x v="65"/>
    <x v="65"/>
    <x v="80"/>
    <x v="80"/>
    <x v="80"/>
    <x v="17"/>
    <x v="217"/>
    <x v="261"/>
    <x v="50"/>
    <x v="380"/>
    <x v="127"/>
    <x v="151"/>
    <x v="0"/>
  </r>
  <r>
    <x v="0"/>
    <x v="65"/>
    <x v="65"/>
    <x v="44"/>
    <x v="44"/>
    <x v="44"/>
    <x v="17"/>
    <x v="217"/>
    <x v="261"/>
    <x v="65"/>
    <x v="65"/>
    <x v="123"/>
    <x v="348"/>
    <x v="0"/>
  </r>
  <r>
    <x v="0"/>
    <x v="65"/>
    <x v="65"/>
    <x v="12"/>
    <x v="12"/>
    <x v="12"/>
    <x v="17"/>
    <x v="217"/>
    <x v="261"/>
    <x v="50"/>
    <x v="380"/>
    <x v="127"/>
    <x v="151"/>
    <x v="0"/>
  </r>
  <r>
    <x v="0"/>
    <x v="65"/>
    <x v="65"/>
    <x v="11"/>
    <x v="11"/>
    <x v="11"/>
    <x v="17"/>
    <x v="217"/>
    <x v="261"/>
    <x v="50"/>
    <x v="380"/>
    <x v="127"/>
    <x v="151"/>
    <x v="0"/>
  </r>
  <r>
    <x v="0"/>
    <x v="65"/>
    <x v="65"/>
    <x v="47"/>
    <x v="47"/>
    <x v="47"/>
    <x v="17"/>
    <x v="217"/>
    <x v="261"/>
    <x v="50"/>
    <x v="380"/>
    <x v="127"/>
    <x v="151"/>
    <x v="0"/>
  </r>
  <r>
    <x v="0"/>
    <x v="65"/>
    <x v="65"/>
    <x v="18"/>
    <x v="18"/>
    <x v="18"/>
    <x v="17"/>
    <x v="217"/>
    <x v="261"/>
    <x v="50"/>
    <x v="380"/>
    <x v="127"/>
    <x v="151"/>
    <x v="0"/>
  </r>
  <r>
    <x v="0"/>
    <x v="65"/>
    <x v="65"/>
    <x v="49"/>
    <x v="49"/>
    <x v="49"/>
    <x v="17"/>
    <x v="217"/>
    <x v="261"/>
    <x v="50"/>
    <x v="380"/>
    <x v="127"/>
    <x v="151"/>
    <x v="0"/>
  </r>
  <r>
    <x v="0"/>
    <x v="65"/>
    <x v="65"/>
    <x v="50"/>
    <x v="50"/>
    <x v="50"/>
    <x v="17"/>
    <x v="217"/>
    <x v="261"/>
    <x v="50"/>
    <x v="380"/>
    <x v="127"/>
    <x v="151"/>
    <x v="0"/>
  </r>
  <r>
    <x v="0"/>
    <x v="65"/>
    <x v="65"/>
    <x v="15"/>
    <x v="15"/>
    <x v="15"/>
    <x v="17"/>
    <x v="217"/>
    <x v="261"/>
    <x v="65"/>
    <x v="65"/>
    <x v="123"/>
    <x v="348"/>
    <x v="0"/>
  </r>
  <r>
    <x v="0"/>
    <x v="65"/>
    <x v="65"/>
    <x v="121"/>
    <x v="121"/>
    <x v="121"/>
    <x v="17"/>
    <x v="217"/>
    <x v="261"/>
    <x v="50"/>
    <x v="380"/>
    <x v="127"/>
    <x v="151"/>
    <x v="0"/>
  </r>
  <r>
    <x v="0"/>
    <x v="65"/>
    <x v="65"/>
    <x v="51"/>
    <x v="51"/>
    <x v="51"/>
    <x v="17"/>
    <x v="217"/>
    <x v="261"/>
    <x v="50"/>
    <x v="380"/>
    <x v="127"/>
    <x v="151"/>
    <x v="0"/>
  </r>
  <r>
    <x v="0"/>
    <x v="65"/>
    <x v="65"/>
    <x v="122"/>
    <x v="122"/>
    <x v="122"/>
    <x v="17"/>
    <x v="217"/>
    <x v="261"/>
    <x v="65"/>
    <x v="65"/>
    <x v="123"/>
    <x v="348"/>
    <x v="0"/>
  </r>
  <r>
    <x v="0"/>
    <x v="65"/>
    <x v="65"/>
    <x v="64"/>
    <x v="64"/>
    <x v="64"/>
    <x v="17"/>
    <x v="217"/>
    <x v="261"/>
    <x v="65"/>
    <x v="65"/>
    <x v="123"/>
    <x v="348"/>
    <x v="0"/>
  </r>
  <r>
    <x v="0"/>
    <x v="65"/>
    <x v="65"/>
    <x v="123"/>
    <x v="123"/>
    <x v="123"/>
    <x v="17"/>
    <x v="217"/>
    <x v="261"/>
    <x v="50"/>
    <x v="380"/>
    <x v="127"/>
    <x v="151"/>
    <x v="0"/>
  </r>
  <r>
    <x v="0"/>
    <x v="65"/>
    <x v="65"/>
    <x v="8"/>
    <x v="8"/>
    <x v="8"/>
    <x v="17"/>
    <x v="217"/>
    <x v="261"/>
    <x v="50"/>
    <x v="380"/>
    <x v="127"/>
    <x v="151"/>
    <x v="0"/>
  </r>
  <r>
    <x v="0"/>
    <x v="65"/>
    <x v="65"/>
    <x v="23"/>
    <x v="23"/>
    <x v="23"/>
    <x v="17"/>
    <x v="217"/>
    <x v="261"/>
    <x v="50"/>
    <x v="380"/>
    <x v="127"/>
    <x v="151"/>
    <x v="0"/>
  </r>
  <r>
    <x v="0"/>
    <x v="65"/>
    <x v="65"/>
    <x v="124"/>
    <x v="124"/>
    <x v="124"/>
    <x v="17"/>
    <x v="217"/>
    <x v="261"/>
    <x v="65"/>
    <x v="65"/>
    <x v="127"/>
    <x v="151"/>
    <x v="0"/>
  </r>
  <r>
    <x v="0"/>
    <x v="65"/>
    <x v="65"/>
    <x v="72"/>
    <x v="72"/>
    <x v="72"/>
    <x v="17"/>
    <x v="217"/>
    <x v="261"/>
    <x v="65"/>
    <x v="65"/>
    <x v="127"/>
    <x v="151"/>
    <x v="0"/>
  </r>
  <r>
    <x v="0"/>
    <x v="65"/>
    <x v="65"/>
    <x v="19"/>
    <x v="19"/>
    <x v="19"/>
    <x v="17"/>
    <x v="217"/>
    <x v="261"/>
    <x v="65"/>
    <x v="65"/>
    <x v="123"/>
    <x v="348"/>
    <x v="0"/>
  </r>
  <r>
    <x v="0"/>
    <x v="66"/>
    <x v="66"/>
    <x v="0"/>
    <x v="0"/>
    <x v="0"/>
    <x v="0"/>
    <x v="198"/>
    <x v="375"/>
    <x v="51"/>
    <x v="140"/>
    <x v="127"/>
    <x v="151"/>
    <x v="0"/>
  </r>
  <r>
    <x v="0"/>
    <x v="66"/>
    <x v="66"/>
    <x v="41"/>
    <x v="41"/>
    <x v="41"/>
    <x v="1"/>
    <x v="199"/>
    <x v="376"/>
    <x v="62"/>
    <x v="541"/>
    <x v="127"/>
    <x v="151"/>
    <x v="0"/>
  </r>
  <r>
    <x v="0"/>
    <x v="66"/>
    <x v="66"/>
    <x v="42"/>
    <x v="42"/>
    <x v="42"/>
    <x v="1"/>
    <x v="199"/>
    <x v="376"/>
    <x v="50"/>
    <x v="542"/>
    <x v="108"/>
    <x v="317"/>
    <x v="0"/>
  </r>
  <r>
    <x v="0"/>
    <x v="66"/>
    <x v="66"/>
    <x v="55"/>
    <x v="55"/>
    <x v="55"/>
    <x v="3"/>
    <x v="200"/>
    <x v="2"/>
    <x v="56"/>
    <x v="5"/>
    <x v="123"/>
    <x v="224"/>
    <x v="0"/>
  </r>
  <r>
    <x v="0"/>
    <x v="66"/>
    <x v="66"/>
    <x v="125"/>
    <x v="125"/>
    <x v="125"/>
    <x v="3"/>
    <x v="200"/>
    <x v="2"/>
    <x v="65"/>
    <x v="65"/>
    <x v="108"/>
    <x v="317"/>
    <x v="0"/>
  </r>
  <r>
    <x v="0"/>
    <x v="66"/>
    <x v="66"/>
    <x v="3"/>
    <x v="3"/>
    <x v="3"/>
    <x v="3"/>
    <x v="200"/>
    <x v="2"/>
    <x v="70"/>
    <x v="42"/>
    <x v="127"/>
    <x v="151"/>
    <x v="0"/>
  </r>
  <r>
    <x v="0"/>
    <x v="66"/>
    <x v="66"/>
    <x v="1"/>
    <x v="1"/>
    <x v="1"/>
    <x v="3"/>
    <x v="200"/>
    <x v="2"/>
    <x v="70"/>
    <x v="42"/>
    <x v="127"/>
    <x v="151"/>
    <x v="0"/>
  </r>
  <r>
    <x v="0"/>
    <x v="66"/>
    <x v="66"/>
    <x v="44"/>
    <x v="44"/>
    <x v="44"/>
    <x v="7"/>
    <x v="216"/>
    <x v="25"/>
    <x v="50"/>
    <x v="542"/>
    <x v="123"/>
    <x v="224"/>
    <x v="0"/>
  </r>
  <r>
    <x v="0"/>
    <x v="66"/>
    <x v="66"/>
    <x v="7"/>
    <x v="7"/>
    <x v="7"/>
    <x v="7"/>
    <x v="216"/>
    <x v="25"/>
    <x v="50"/>
    <x v="542"/>
    <x v="123"/>
    <x v="224"/>
    <x v="0"/>
  </r>
  <r>
    <x v="0"/>
    <x v="66"/>
    <x v="66"/>
    <x v="126"/>
    <x v="126"/>
    <x v="126"/>
    <x v="7"/>
    <x v="216"/>
    <x v="25"/>
    <x v="56"/>
    <x v="5"/>
    <x v="127"/>
    <x v="151"/>
    <x v="0"/>
  </r>
  <r>
    <x v="0"/>
    <x v="66"/>
    <x v="66"/>
    <x v="51"/>
    <x v="51"/>
    <x v="51"/>
    <x v="7"/>
    <x v="216"/>
    <x v="25"/>
    <x v="50"/>
    <x v="542"/>
    <x v="123"/>
    <x v="224"/>
    <x v="0"/>
  </r>
  <r>
    <x v="0"/>
    <x v="66"/>
    <x v="66"/>
    <x v="4"/>
    <x v="4"/>
    <x v="4"/>
    <x v="7"/>
    <x v="216"/>
    <x v="25"/>
    <x v="50"/>
    <x v="542"/>
    <x v="123"/>
    <x v="224"/>
    <x v="0"/>
  </r>
  <r>
    <x v="0"/>
    <x v="66"/>
    <x v="66"/>
    <x v="37"/>
    <x v="37"/>
    <x v="37"/>
    <x v="7"/>
    <x v="216"/>
    <x v="25"/>
    <x v="65"/>
    <x v="65"/>
    <x v="93"/>
    <x v="318"/>
    <x v="0"/>
  </r>
  <r>
    <x v="0"/>
    <x v="66"/>
    <x v="66"/>
    <x v="8"/>
    <x v="8"/>
    <x v="8"/>
    <x v="7"/>
    <x v="216"/>
    <x v="25"/>
    <x v="56"/>
    <x v="5"/>
    <x v="127"/>
    <x v="151"/>
    <x v="0"/>
  </r>
  <r>
    <x v="0"/>
    <x v="66"/>
    <x v="66"/>
    <x v="43"/>
    <x v="43"/>
    <x v="43"/>
    <x v="7"/>
    <x v="216"/>
    <x v="25"/>
    <x v="65"/>
    <x v="65"/>
    <x v="93"/>
    <x v="318"/>
    <x v="0"/>
  </r>
  <r>
    <x v="0"/>
    <x v="66"/>
    <x v="66"/>
    <x v="10"/>
    <x v="10"/>
    <x v="10"/>
    <x v="14"/>
    <x v="217"/>
    <x v="33"/>
    <x v="65"/>
    <x v="65"/>
    <x v="123"/>
    <x v="224"/>
    <x v="0"/>
  </r>
  <r>
    <x v="0"/>
    <x v="66"/>
    <x v="66"/>
    <x v="17"/>
    <x v="17"/>
    <x v="17"/>
    <x v="14"/>
    <x v="217"/>
    <x v="33"/>
    <x v="65"/>
    <x v="65"/>
    <x v="123"/>
    <x v="224"/>
    <x v="0"/>
  </r>
  <r>
    <x v="0"/>
    <x v="66"/>
    <x v="66"/>
    <x v="32"/>
    <x v="32"/>
    <x v="32"/>
    <x v="14"/>
    <x v="217"/>
    <x v="33"/>
    <x v="65"/>
    <x v="65"/>
    <x v="123"/>
    <x v="224"/>
    <x v="0"/>
  </r>
  <r>
    <x v="0"/>
    <x v="66"/>
    <x v="66"/>
    <x v="87"/>
    <x v="87"/>
    <x v="87"/>
    <x v="14"/>
    <x v="217"/>
    <x v="33"/>
    <x v="65"/>
    <x v="65"/>
    <x v="123"/>
    <x v="224"/>
    <x v="0"/>
  </r>
  <r>
    <x v="0"/>
    <x v="66"/>
    <x v="66"/>
    <x v="56"/>
    <x v="56"/>
    <x v="56"/>
    <x v="14"/>
    <x v="217"/>
    <x v="33"/>
    <x v="50"/>
    <x v="542"/>
    <x v="127"/>
    <x v="151"/>
    <x v="0"/>
  </r>
  <r>
    <x v="0"/>
    <x v="66"/>
    <x v="66"/>
    <x v="46"/>
    <x v="46"/>
    <x v="46"/>
    <x v="14"/>
    <x v="217"/>
    <x v="33"/>
    <x v="50"/>
    <x v="542"/>
    <x v="127"/>
    <x v="151"/>
    <x v="0"/>
  </r>
  <r>
    <x v="0"/>
    <x v="66"/>
    <x v="66"/>
    <x v="31"/>
    <x v="31"/>
    <x v="31"/>
    <x v="14"/>
    <x v="217"/>
    <x v="33"/>
    <x v="65"/>
    <x v="65"/>
    <x v="123"/>
    <x v="224"/>
    <x v="0"/>
  </r>
  <r>
    <x v="0"/>
    <x v="66"/>
    <x v="66"/>
    <x v="13"/>
    <x v="13"/>
    <x v="13"/>
    <x v="14"/>
    <x v="217"/>
    <x v="33"/>
    <x v="65"/>
    <x v="65"/>
    <x v="123"/>
    <x v="224"/>
    <x v="0"/>
  </r>
  <r>
    <x v="0"/>
    <x v="66"/>
    <x v="66"/>
    <x v="14"/>
    <x v="14"/>
    <x v="14"/>
    <x v="14"/>
    <x v="217"/>
    <x v="33"/>
    <x v="65"/>
    <x v="65"/>
    <x v="123"/>
    <x v="224"/>
    <x v="0"/>
  </r>
  <r>
    <x v="0"/>
    <x v="66"/>
    <x v="66"/>
    <x v="127"/>
    <x v="127"/>
    <x v="127"/>
    <x v="14"/>
    <x v="217"/>
    <x v="33"/>
    <x v="65"/>
    <x v="65"/>
    <x v="123"/>
    <x v="224"/>
    <x v="0"/>
  </r>
  <r>
    <x v="0"/>
    <x v="66"/>
    <x v="66"/>
    <x v="63"/>
    <x v="63"/>
    <x v="63"/>
    <x v="14"/>
    <x v="217"/>
    <x v="33"/>
    <x v="50"/>
    <x v="542"/>
    <x v="127"/>
    <x v="151"/>
    <x v="0"/>
  </r>
  <r>
    <x v="0"/>
    <x v="66"/>
    <x v="66"/>
    <x v="89"/>
    <x v="89"/>
    <x v="89"/>
    <x v="14"/>
    <x v="217"/>
    <x v="33"/>
    <x v="65"/>
    <x v="65"/>
    <x v="127"/>
    <x v="151"/>
    <x v="0"/>
  </r>
  <r>
    <x v="0"/>
    <x v="66"/>
    <x v="66"/>
    <x v="128"/>
    <x v="128"/>
    <x v="128"/>
    <x v="14"/>
    <x v="217"/>
    <x v="33"/>
    <x v="50"/>
    <x v="542"/>
    <x v="127"/>
    <x v="151"/>
    <x v="0"/>
  </r>
  <r>
    <x v="0"/>
    <x v="66"/>
    <x v="66"/>
    <x v="78"/>
    <x v="78"/>
    <x v="78"/>
    <x v="14"/>
    <x v="217"/>
    <x v="33"/>
    <x v="65"/>
    <x v="65"/>
    <x v="123"/>
    <x v="224"/>
    <x v="0"/>
  </r>
  <r>
    <x v="0"/>
    <x v="66"/>
    <x v="66"/>
    <x v="21"/>
    <x v="21"/>
    <x v="21"/>
    <x v="14"/>
    <x v="217"/>
    <x v="33"/>
    <x v="65"/>
    <x v="65"/>
    <x v="123"/>
    <x v="224"/>
    <x v="0"/>
  </r>
  <r>
    <x v="0"/>
    <x v="66"/>
    <x v="66"/>
    <x v="48"/>
    <x v="48"/>
    <x v="48"/>
    <x v="14"/>
    <x v="217"/>
    <x v="33"/>
    <x v="65"/>
    <x v="65"/>
    <x v="123"/>
    <x v="224"/>
    <x v="0"/>
  </r>
  <r>
    <x v="0"/>
    <x v="66"/>
    <x v="66"/>
    <x v="80"/>
    <x v="80"/>
    <x v="80"/>
    <x v="14"/>
    <x v="217"/>
    <x v="33"/>
    <x v="50"/>
    <x v="542"/>
    <x v="127"/>
    <x v="151"/>
    <x v="0"/>
  </r>
  <r>
    <x v="0"/>
    <x v="66"/>
    <x v="66"/>
    <x v="12"/>
    <x v="12"/>
    <x v="12"/>
    <x v="14"/>
    <x v="217"/>
    <x v="33"/>
    <x v="50"/>
    <x v="542"/>
    <x v="127"/>
    <x v="151"/>
    <x v="0"/>
  </r>
  <r>
    <x v="0"/>
    <x v="66"/>
    <x v="66"/>
    <x v="11"/>
    <x v="11"/>
    <x v="11"/>
    <x v="14"/>
    <x v="217"/>
    <x v="33"/>
    <x v="65"/>
    <x v="65"/>
    <x v="123"/>
    <x v="224"/>
    <x v="0"/>
  </r>
  <r>
    <x v="0"/>
    <x v="66"/>
    <x v="66"/>
    <x v="47"/>
    <x v="47"/>
    <x v="47"/>
    <x v="14"/>
    <x v="217"/>
    <x v="33"/>
    <x v="65"/>
    <x v="65"/>
    <x v="123"/>
    <x v="224"/>
    <x v="0"/>
  </r>
  <r>
    <x v="0"/>
    <x v="66"/>
    <x v="66"/>
    <x v="18"/>
    <x v="18"/>
    <x v="18"/>
    <x v="14"/>
    <x v="217"/>
    <x v="33"/>
    <x v="50"/>
    <x v="542"/>
    <x v="127"/>
    <x v="151"/>
    <x v="0"/>
  </r>
  <r>
    <x v="0"/>
    <x v="66"/>
    <x v="66"/>
    <x v="49"/>
    <x v="49"/>
    <x v="49"/>
    <x v="14"/>
    <x v="217"/>
    <x v="33"/>
    <x v="50"/>
    <x v="542"/>
    <x v="127"/>
    <x v="151"/>
    <x v="0"/>
  </r>
  <r>
    <x v="0"/>
    <x v="66"/>
    <x v="66"/>
    <x v="65"/>
    <x v="65"/>
    <x v="65"/>
    <x v="14"/>
    <x v="217"/>
    <x v="33"/>
    <x v="65"/>
    <x v="65"/>
    <x v="123"/>
    <x v="224"/>
    <x v="0"/>
  </r>
  <r>
    <x v="0"/>
    <x v="66"/>
    <x v="66"/>
    <x v="129"/>
    <x v="129"/>
    <x v="129"/>
    <x v="14"/>
    <x v="217"/>
    <x v="33"/>
    <x v="50"/>
    <x v="542"/>
    <x v="127"/>
    <x v="151"/>
    <x v="0"/>
  </r>
  <r>
    <x v="0"/>
    <x v="66"/>
    <x v="66"/>
    <x v="16"/>
    <x v="16"/>
    <x v="16"/>
    <x v="14"/>
    <x v="217"/>
    <x v="33"/>
    <x v="65"/>
    <x v="65"/>
    <x v="127"/>
    <x v="151"/>
    <x v="0"/>
  </r>
  <r>
    <x v="0"/>
    <x v="66"/>
    <x v="66"/>
    <x v="130"/>
    <x v="130"/>
    <x v="130"/>
    <x v="14"/>
    <x v="217"/>
    <x v="33"/>
    <x v="50"/>
    <x v="542"/>
    <x v="127"/>
    <x v="151"/>
    <x v="0"/>
  </r>
  <r>
    <x v="0"/>
    <x v="66"/>
    <x v="66"/>
    <x v="117"/>
    <x v="117"/>
    <x v="117"/>
    <x v="14"/>
    <x v="217"/>
    <x v="33"/>
    <x v="65"/>
    <x v="65"/>
    <x v="127"/>
    <x v="151"/>
    <x v="0"/>
  </r>
  <r>
    <x v="0"/>
    <x v="66"/>
    <x v="66"/>
    <x v="131"/>
    <x v="131"/>
    <x v="131"/>
    <x v="14"/>
    <x v="217"/>
    <x v="33"/>
    <x v="50"/>
    <x v="542"/>
    <x v="127"/>
    <x v="151"/>
    <x v="0"/>
  </r>
  <r>
    <x v="0"/>
    <x v="66"/>
    <x v="66"/>
    <x v="61"/>
    <x v="61"/>
    <x v="61"/>
    <x v="14"/>
    <x v="217"/>
    <x v="33"/>
    <x v="65"/>
    <x v="65"/>
    <x v="123"/>
    <x v="224"/>
    <x v="0"/>
  </r>
  <r>
    <x v="0"/>
    <x v="66"/>
    <x v="66"/>
    <x v="5"/>
    <x v="5"/>
    <x v="5"/>
    <x v="14"/>
    <x v="217"/>
    <x v="33"/>
    <x v="50"/>
    <x v="542"/>
    <x v="127"/>
    <x v="151"/>
    <x v="0"/>
  </r>
  <r>
    <x v="0"/>
    <x v="66"/>
    <x v="66"/>
    <x v="9"/>
    <x v="9"/>
    <x v="9"/>
    <x v="14"/>
    <x v="217"/>
    <x v="33"/>
    <x v="50"/>
    <x v="542"/>
    <x v="127"/>
    <x v="151"/>
    <x v="0"/>
  </r>
  <r>
    <x v="0"/>
    <x v="66"/>
    <x v="66"/>
    <x v="123"/>
    <x v="123"/>
    <x v="123"/>
    <x v="14"/>
    <x v="217"/>
    <x v="33"/>
    <x v="65"/>
    <x v="65"/>
    <x v="127"/>
    <x v="151"/>
    <x v="6"/>
  </r>
  <r>
    <x v="0"/>
    <x v="66"/>
    <x v="66"/>
    <x v="6"/>
    <x v="6"/>
    <x v="6"/>
    <x v="14"/>
    <x v="217"/>
    <x v="33"/>
    <x v="50"/>
    <x v="542"/>
    <x v="127"/>
    <x v="151"/>
    <x v="0"/>
  </r>
  <r>
    <x v="0"/>
    <x v="66"/>
    <x v="66"/>
    <x v="53"/>
    <x v="53"/>
    <x v="53"/>
    <x v="14"/>
    <x v="217"/>
    <x v="33"/>
    <x v="65"/>
    <x v="65"/>
    <x v="127"/>
    <x v="151"/>
    <x v="0"/>
  </r>
  <r>
    <x v="0"/>
    <x v="66"/>
    <x v="66"/>
    <x v="59"/>
    <x v="59"/>
    <x v="59"/>
    <x v="14"/>
    <x v="217"/>
    <x v="33"/>
    <x v="65"/>
    <x v="65"/>
    <x v="123"/>
    <x v="224"/>
    <x v="0"/>
  </r>
  <r>
    <x v="0"/>
    <x v="66"/>
    <x v="66"/>
    <x v="72"/>
    <x v="72"/>
    <x v="72"/>
    <x v="14"/>
    <x v="217"/>
    <x v="33"/>
    <x v="65"/>
    <x v="65"/>
    <x v="127"/>
    <x v="151"/>
    <x v="0"/>
  </r>
  <r>
    <x v="0"/>
    <x v="66"/>
    <x v="66"/>
    <x v="19"/>
    <x v="19"/>
    <x v="19"/>
    <x v="14"/>
    <x v="217"/>
    <x v="33"/>
    <x v="65"/>
    <x v="65"/>
    <x v="123"/>
    <x v="224"/>
    <x v="0"/>
  </r>
  <r>
    <x v="0"/>
    <x v="66"/>
    <x v="66"/>
    <x v="83"/>
    <x v="83"/>
    <x v="83"/>
    <x v="14"/>
    <x v="217"/>
    <x v="33"/>
    <x v="50"/>
    <x v="542"/>
    <x v="127"/>
    <x v="151"/>
    <x v="0"/>
  </r>
  <r>
    <x v="0"/>
    <x v="66"/>
    <x v="66"/>
    <x v="132"/>
    <x v="132"/>
    <x v="132"/>
    <x v="14"/>
    <x v="217"/>
    <x v="33"/>
    <x v="65"/>
    <x v="65"/>
    <x v="127"/>
    <x v="151"/>
    <x v="6"/>
  </r>
  <r>
    <x v="0"/>
    <x v="67"/>
    <x v="67"/>
    <x v="10"/>
    <x v="10"/>
    <x v="10"/>
    <x v="0"/>
    <x v="196"/>
    <x v="361"/>
    <x v="50"/>
    <x v="461"/>
    <x v="67"/>
    <x v="353"/>
    <x v="0"/>
  </r>
  <r>
    <x v="0"/>
    <x v="67"/>
    <x v="67"/>
    <x v="57"/>
    <x v="57"/>
    <x v="57"/>
    <x v="1"/>
    <x v="197"/>
    <x v="287"/>
    <x v="65"/>
    <x v="65"/>
    <x v="127"/>
    <x v="151"/>
    <x v="0"/>
  </r>
  <r>
    <x v="0"/>
    <x v="67"/>
    <x v="67"/>
    <x v="12"/>
    <x v="12"/>
    <x v="12"/>
    <x v="2"/>
    <x v="198"/>
    <x v="364"/>
    <x v="70"/>
    <x v="543"/>
    <x v="93"/>
    <x v="130"/>
    <x v="0"/>
  </r>
  <r>
    <x v="0"/>
    <x v="67"/>
    <x v="67"/>
    <x v="51"/>
    <x v="51"/>
    <x v="51"/>
    <x v="2"/>
    <x v="198"/>
    <x v="364"/>
    <x v="62"/>
    <x v="389"/>
    <x v="123"/>
    <x v="86"/>
    <x v="0"/>
  </r>
  <r>
    <x v="0"/>
    <x v="67"/>
    <x v="67"/>
    <x v="43"/>
    <x v="43"/>
    <x v="43"/>
    <x v="2"/>
    <x v="198"/>
    <x v="364"/>
    <x v="65"/>
    <x v="65"/>
    <x v="127"/>
    <x v="151"/>
    <x v="0"/>
  </r>
  <r>
    <x v="0"/>
    <x v="67"/>
    <x v="67"/>
    <x v="41"/>
    <x v="41"/>
    <x v="41"/>
    <x v="5"/>
    <x v="199"/>
    <x v="101"/>
    <x v="56"/>
    <x v="462"/>
    <x v="93"/>
    <x v="130"/>
    <x v="0"/>
  </r>
  <r>
    <x v="0"/>
    <x v="67"/>
    <x v="67"/>
    <x v="42"/>
    <x v="42"/>
    <x v="42"/>
    <x v="5"/>
    <x v="199"/>
    <x v="101"/>
    <x v="50"/>
    <x v="461"/>
    <x v="108"/>
    <x v="354"/>
    <x v="0"/>
  </r>
  <r>
    <x v="0"/>
    <x v="67"/>
    <x v="67"/>
    <x v="4"/>
    <x v="4"/>
    <x v="4"/>
    <x v="5"/>
    <x v="199"/>
    <x v="101"/>
    <x v="70"/>
    <x v="543"/>
    <x v="123"/>
    <x v="86"/>
    <x v="0"/>
  </r>
  <r>
    <x v="0"/>
    <x v="67"/>
    <x v="67"/>
    <x v="3"/>
    <x v="3"/>
    <x v="3"/>
    <x v="5"/>
    <x v="199"/>
    <x v="101"/>
    <x v="62"/>
    <x v="389"/>
    <x v="127"/>
    <x v="151"/>
    <x v="0"/>
  </r>
  <r>
    <x v="0"/>
    <x v="67"/>
    <x v="67"/>
    <x v="40"/>
    <x v="40"/>
    <x v="40"/>
    <x v="9"/>
    <x v="200"/>
    <x v="6"/>
    <x v="70"/>
    <x v="543"/>
    <x v="127"/>
    <x v="151"/>
    <x v="0"/>
  </r>
  <r>
    <x v="0"/>
    <x v="67"/>
    <x v="67"/>
    <x v="14"/>
    <x v="14"/>
    <x v="14"/>
    <x v="9"/>
    <x v="200"/>
    <x v="6"/>
    <x v="56"/>
    <x v="462"/>
    <x v="123"/>
    <x v="86"/>
    <x v="0"/>
  </r>
  <r>
    <x v="0"/>
    <x v="67"/>
    <x v="67"/>
    <x v="44"/>
    <x v="44"/>
    <x v="44"/>
    <x v="9"/>
    <x v="200"/>
    <x v="6"/>
    <x v="56"/>
    <x v="462"/>
    <x v="123"/>
    <x v="86"/>
    <x v="0"/>
  </r>
  <r>
    <x v="0"/>
    <x v="67"/>
    <x v="67"/>
    <x v="47"/>
    <x v="47"/>
    <x v="47"/>
    <x v="9"/>
    <x v="200"/>
    <x v="6"/>
    <x v="50"/>
    <x v="461"/>
    <x v="93"/>
    <x v="130"/>
    <x v="0"/>
  </r>
  <r>
    <x v="0"/>
    <x v="67"/>
    <x v="67"/>
    <x v="7"/>
    <x v="7"/>
    <x v="7"/>
    <x v="9"/>
    <x v="200"/>
    <x v="6"/>
    <x v="56"/>
    <x v="462"/>
    <x v="123"/>
    <x v="86"/>
    <x v="0"/>
  </r>
  <r>
    <x v="0"/>
    <x v="67"/>
    <x v="67"/>
    <x v="8"/>
    <x v="8"/>
    <x v="8"/>
    <x v="9"/>
    <x v="200"/>
    <x v="6"/>
    <x v="70"/>
    <x v="543"/>
    <x v="127"/>
    <x v="151"/>
    <x v="0"/>
  </r>
  <r>
    <x v="0"/>
    <x v="67"/>
    <x v="67"/>
    <x v="56"/>
    <x v="56"/>
    <x v="56"/>
    <x v="14"/>
    <x v="216"/>
    <x v="97"/>
    <x v="56"/>
    <x v="462"/>
    <x v="127"/>
    <x v="151"/>
    <x v="0"/>
  </r>
  <r>
    <x v="0"/>
    <x v="67"/>
    <x v="67"/>
    <x v="46"/>
    <x v="46"/>
    <x v="46"/>
    <x v="14"/>
    <x v="216"/>
    <x v="97"/>
    <x v="56"/>
    <x v="462"/>
    <x v="127"/>
    <x v="151"/>
    <x v="0"/>
  </r>
  <r>
    <x v="0"/>
    <x v="67"/>
    <x v="67"/>
    <x v="13"/>
    <x v="13"/>
    <x v="13"/>
    <x v="14"/>
    <x v="216"/>
    <x v="97"/>
    <x v="65"/>
    <x v="65"/>
    <x v="93"/>
    <x v="130"/>
    <x v="0"/>
  </r>
  <r>
    <x v="0"/>
    <x v="67"/>
    <x v="67"/>
    <x v="90"/>
    <x v="90"/>
    <x v="90"/>
    <x v="14"/>
    <x v="216"/>
    <x v="97"/>
    <x v="65"/>
    <x v="65"/>
    <x v="127"/>
    <x v="151"/>
    <x v="6"/>
  </r>
  <r>
    <x v="0"/>
    <x v="67"/>
    <x v="67"/>
    <x v="58"/>
    <x v="58"/>
    <x v="58"/>
    <x v="14"/>
    <x v="216"/>
    <x v="97"/>
    <x v="65"/>
    <x v="65"/>
    <x v="93"/>
    <x v="130"/>
    <x v="0"/>
  </r>
  <r>
    <x v="0"/>
    <x v="67"/>
    <x v="67"/>
    <x v="28"/>
    <x v="28"/>
    <x v="28"/>
    <x v="14"/>
    <x v="216"/>
    <x v="97"/>
    <x v="65"/>
    <x v="65"/>
    <x v="93"/>
    <x v="130"/>
    <x v="0"/>
  </r>
  <r>
    <x v="0"/>
    <x v="67"/>
    <x v="67"/>
    <x v="68"/>
    <x v="68"/>
    <x v="68"/>
    <x v="14"/>
    <x v="216"/>
    <x v="97"/>
    <x v="65"/>
    <x v="65"/>
    <x v="127"/>
    <x v="151"/>
    <x v="0"/>
  </r>
  <r>
    <x v="0"/>
    <x v="67"/>
    <x v="67"/>
    <x v="80"/>
    <x v="80"/>
    <x v="80"/>
    <x v="14"/>
    <x v="216"/>
    <x v="97"/>
    <x v="50"/>
    <x v="461"/>
    <x v="123"/>
    <x v="86"/>
    <x v="0"/>
  </r>
  <r>
    <x v="0"/>
    <x v="67"/>
    <x v="67"/>
    <x v="0"/>
    <x v="0"/>
    <x v="0"/>
    <x v="14"/>
    <x v="216"/>
    <x v="97"/>
    <x v="56"/>
    <x v="462"/>
    <x v="127"/>
    <x v="151"/>
    <x v="0"/>
  </r>
  <r>
    <x v="0"/>
    <x v="67"/>
    <x v="67"/>
    <x v="24"/>
    <x v="24"/>
    <x v="24"/>
    <x v="14"/>
    <x v="216"/>
    <x v="97"/>
    <x v="50"/>
    <x v="461"/>
    <x v="127"/>
    <x v="151"/>
    <x v="6"/>
  </r>
  <r>
    <x v="0"/>
    <x v="67"/>
    <x v="67"/>
    <x v="125"/>
    <x v="125"/>
    <x v="125"/>
    <x v="14"/>
    <x v="216"/>
    <x v="97"/>
    <x v="56"/>
    <x v="462"/>
    <x v="127"/>
    <x v="151"/>
    <x v="0"/>
  </r>
  <r>
    <x v="0"/>
    <x v="67"/>
    <x v="67"/>
    <x v="129"/>
    <x v="129"/>
    <x v="129"/>
    <x v="14"/>
    <x v="216"/>
    <x v="97"/>
    <x v="56"/>
    <x v="462"/>
    <x v="127"/>
    <x v="151"/>
    <x v="0"/>
  </r>
  <r>
    <x v="0"/>
    <x v="67"/>
    <x v="67"/>
    <x v="45"/>
    <x v="45"/>
    <x v="45"/>
    <x v="14"/>
    <x v="216"/>
    <x v="97"/>
    <x v="56"/>
    <x v="462"/>
    <x v="127"/>
    <x v="151"/>
    <x v="0"/>
  </r>
  <r>
    <x v="0"/>
    <x v="67"/>
    <x v="67"/>
    <x v="61"/>
    <x v="61"/>
    <x v="61"/>
    <x v="14"/>
    <x v="216"/>
    <x v="97"/>
    <x v="56"/>
    <x v="462"/>
    <x v="127"/>
    <x v="151"/>
    <x v="0"/>
  </r>
  <r>
    <x v="0"/>
    <x v="67"/>
    <x v="67"/>
    <x v="5"/>
    <x v="5"/>
    <x v="5"/>
    <x v="14"/>
    <x v="216"/>
    <x v="97"/>
    <x v="56"/>
    <x v="462"/>
    <x v="127"/>
    <x v="151"/>
    <x v="0"/>
  </r>
  <r>
    <x v="0"/>
    <x v="67"/>
    <x v="67"/>
    <x v="2"/>
    <x v="2"/>
    <x v="2"/>
    <x v="14"/>
    <x v="216"/>
    <x v="97"/>
    <x v="56"/>
    <x v="462"/>
    <x v="127"/>
    <x v="151"/>
    <x v="0"/>
  </r>
  <r>
    <x v="0"/>
    <x v="67"/>
    <x v="67"/>
    <x v="9"/>
    <x v="9"/>
    <x v="9"/>
    <x v="14"/>
    <x v="216"/>
    <x v="97"/>
    <x v="50"/>
    <x v="461"/>
    <x v="123"/>
    <x v="86"/>
    <x v="0"/>
  </r>
  <r>
    <x v="0"/>
    <x v="67"/>
    <x v="67"/>
    <x v="37"/>
    <x v="37"/>
    <x v="37"/>
    <x v="14"/>
    <x v="216"/>
    <x v="97"/>
    <x v="65"/>
    <x v="65"/>
    <x v="93"/>
    <x v="130"/>
    <x v="0"/>
  </r>
  <r>
    <x v="0"/>
    <x v="67"/>
    <x v="67"/>
    <x v="23"/>
    <x v="23"/>
    <x v="23"/>
    <x v="14"/>
    <x v="216"/>
    <x v="97"/>
    <x v="56"/>
    <x v="462"/>
    <x v="127"/>
    <x v="151"/>
    <x v="0"/>
  </r>
  <r>
    <x v="0"/>
    <x v="67"/>
    <x v="67"/>
    <x v="53"/>
    <x v="53"/>
    <x v="53"/>
    <x v="14"/>
    <x v="216"/>
    <x v="97"/>
    <x v="65"/>
    <x v="65"/>
    <x v="127"/>
    <x v="151"/>
    <x v="0"/>
  </r>
  <r>
    <x v="0"/>
    <x v="67"/>
    <x v="67"/>
    <x v="72"/>
    <x v="72"/>
    <x v="72"/>
    <x v="14"/>
    <x v="216"/>
    <x v="97"/>
    <x v="65"/>
    <x v="65"/>
    <x v="123"/>
    <x v="86"/>
    <x v="0"/>
  </r>
  <r>
    <x v="0"/>
    <x v="68"/>
    <x v="68"/>
    <x v="51"/>
    <x v="51"/>
    <x v="51"/>
    <x v="0"/>
    <x v="138"/>
    <x v="377"/>
    <x v="109"/>
    <x v="544"/>
    <x v="119"/>
    <x v="355"/>
    <x v="0"/>
  </r>
  <r>
    <x v="0"/>
    <x v="68"/>
    <x v="68"/>
    <x v="41"/>
    <x v="41"/>
    <x v="41"/>
    <x v="1"/>
    <x v="196"/>
    <x v="378"/>
    <x v="51"/>
    <x v="480"/>
    <x v="93"/>
    <x v="150"/>
    <x v="0"/>
  </r>
  <r>
    <x v="0"/>
    <x v="68"/>
    <x v="68"/>
    <x v="4"/>
    <x v="4"/>
    <x v="4"/>
    <x v="1"/>
    <x v="196"/>
    <x v="378"/>
    <x v="39"/>
    <x v="486"/>
    <x v="123"/>
    <x v="19"/>
    <x v="0"/>
  </r>
  <r>
    <x v="0"/>
    <x v="68"/>
    <x v="68"/>
    <x v="9"/>
    <x v="9"/>
    <x v="9"/>
    <x v="3"/>
    <x v="197"/>
    <x v="379"/>
    <x v="39"/>
    <x v="486"/>
    <x v="127"/>
    <x v="151"/>
    <x v="0"/>
  </r>
  <r>
    <x v="0"/>
    <x v="68"/>
    <x v="68"/>
    <x v="45"/>
    <x v="45"/>
    <x v="45"/>
    <x v="4"/>
    <x v="198"/>
    <x v="24"/>
    <x v="51"/>
    <x v="480"/>
    <x v="127"/>
    <x v="151"/>
    <x v="0"/>
  </r>
  <r>
    <x v="0"/>
    <x v="68"/>
    <x v="68"/>
    <x v="10"/>
    <x v="10"/>
    <x v="10"/>
    <x v="5"/>
    <x v="199"/>
    <x v="380"/>
    <x v="65"/>
    <x v="65"/>
    <x v="110"/>
    <x v="37"/>
    <x v="0"/>
  </r>
  <r>
    <x v="0"/>
    <x v="68"/>
    <x v="68"/>
    <x v="55"/>
    <x v="55"/>
    <x v="55"/>
    <x v="5"/>
    <x v="199"/>
    <x v="380"/>
    <x v="50"/>
    <x v="489"/>
    <x v="108"/>
    <x v="356"/>
    <x v="0"/>
  </r>
  <r>
    <x v="0"/>
    <x v="68"/>
    <x v="68"/>
    <x v="20"/>
    <x v="20"/>
    <x v="20"/>
    <x v="5"/>
    <x v="199"/>
    <x v="380"/>
    <x v="65"/>
    <x v="65"/>
    <x v="110"/>
    <x v="37"/>
    <x v="0"/>
  </r>
  <r>
    <x v="0"/>
    <x v="68"/>
    <x v="68"/>
    <x v="133"/>
    <x v="133"/>
    <x v="133"/>
    <x v="5"/>
    <x v="199"/>
    <x v="380"/>
    <x v="70"/>
    <x v="545"/>
    <x v="123"/>
    <x v="19"/>
    <x v="0"/>
  </r>
  <r>
    <x v="0"/>
    <x v="68"/>
    <x v="68"/>
    <x v="131"/>
    <x v="131"/>
    <x v="131"/>
    <x v="5"/>
    <x v="199"/>
    <x v="380"/>
    <x v="70"/>
    <x v="545"/>
    <x v="123"/>
    <x v="19"/>
    <x v="0"/>
  </r>
  <r>
    <x v="0"/>
    <x v="68"/>
    <x v="68"/>
    <x v="2"/>
    <x v="2"/>
    <x v="2"/>
    <x v="5"/>
    <x v="199"/>
    <x v="380"/>
    <x v="70"/>
    <x v="545"/>
    <x v="123"/>
    <x v="19"/>
    <x v="0"/>
  </r>
  <r>
    <x v="0"/>
    <x v="68"/>
    <x v="68"/>
    <x v="3"/>
    <x v="3"/>
    <x v="3"/>
    <x v="5"/>
    <x v="199"/>
    <x v="380"/>
    <x v="62"/>
    <x v="488"/>
    <x v="127"/>
    <x v="151"/>
    <x v="0"/>
  </r>
  <r>
    <x v="0"/>
    <x v="68"/>
    <x v="68"/>
    <x v="8"/>
    <x v="8"/>
    <x v="8"/>
    <x v="5"/>
    <x v="199"/>
    <x v="380"/>
    <x v="56"/>
    <x v="223"/>
    <x v="93"/>
    <x v="150"/>
    <x v="0"/>
  </r>
  <r>
    <x v="0"/>
    <x v="68"/>
    <x v="68"/>
    <x v="26"/>
    <x v="26"/>
    <x v="26"/>
    <x v="5"/>
    <x v="199"/>
    <x v="380"/>
    <x v="50"/>
    <x v="489"/>
    <x v="108"/>
    <x v="356"/>
    <x v="0"/>
  </r>
  <r>
    <x v="0"/>
    <x v="68"/>
    <x v="68"/>
    <x v="127"/>
    <x v="127"/>
    <x v="127"/>
    <x v="19"/>
    <x v="200"/>
    <x v="30"/>
    <x v="56"/>
    <x v="223"/>
    <x v="123"/>
    <x v="19"/>
    <x v="0"/>
  </r>
  <r>
    <x v="0"/>
    <x v="68"/>
    <x v="68"/>
    <x v="134"/>
    <x v="134"/>
    <x v="134"/>
    <x v="19"/>
    <x v="200"/>
    <x v="30"/>
    <x v="50"/>
    <x v="489"/>
    <x v="93"/>
    <x v="150"/>
    <x v="0"/>
  </r>
  <r>
    <x v="0"/>
    <x v="68"/>
    <x v="68"/>
    <x v="47"/>
    <x v="47"/>
    <x v="47"/>
    <x v="19"/>
    <x v="200"/>
    <x v="30"/>
    <x v="50"/>
    <x v="489"/>
    <x v="93"/>
    <x v="150"/>
    <x v="0"/>
  </r>
  <r>
    <x v="0"/>
    <x v="68"/>
    <x v="68"/>
    <x v="42"/>
    <x v="42"/>
    <x v="42"/>
    <x v="19"/>
    <x v="200"/>
    <x v="30"/>
    <x v="65"/>
    <x v="65"/>
    <x v="108"/>
    <x v="356"/>
    <x v="0"/>
  </r>
  <r>
    <x v="0"/>
    <x v="68"/>
    <x v="68"/>
    <x v="5"/>
    <x v="5"/>
    <x v="5"/>
    <x v="19"/>
    <x v="200"/>
    <x v="30"/>
    <x v="70"/>
    <x v="545"/>
    <x v="127"/>
    <x v="151"/>
    <x v="0"/>
  </r>
  <r>
    <x v="0"/>
    <x v="68"/>
    <x v="68"/>
    <x v="1"/>
    <x v="1"/>
    <x v="1"/>
    <x v="19"/>
    <x v="200"/>
    <x v="30"/>
    <x v="70"/>
    <x v="545"/>
    <x v="127"/>
    <x v="151"/>
    <x v="0"/>
  </r>
  <r>
    <x v="0"/>
    <x v="68"/>
    <x v="68"/>
    <x v="123"/>
    <x v="123"/>
    <x v="123"/>
    <x v="19"/>
    <x v="200"/>
    <x v="30"/>
    <x v="56"/>
    <x v="223"/>
    <x v="123"/>
    <x v="19"/>
    <x v="0"/>
  </r>
  <r>
    <x v="0"/>
    <x v="68"/>
    <x v="68"/>
    <x v="6"/>
    <x v="6"/>
    <x v="6"/>
    <x v="19"/>
    <x v="200"/>
    <x v="30"/>
    <x v="70"/>
    <x v="545"/>
    <x v="127"/>
    <x v="151"/>
    <x v="0"/>
  </r>
  <r>
    <x v="0"/>
    <x v="69"/>
    <x v="69"/>
    <x v="45"/>
    <x v="45"/>
    <x v="45"/>
    <x v="0"/>
    <x v="198"/>
    <x v="250"/>
    <x v="51"/>
    <x v="546"/>
    <x v="127"/>
    <x v="151"/>
    <x v="0"/>
  </r>
  <r>
    <x v="0"/>
    <x v="69"/>
    <x v="69"/>
    <x v="9"/>
    <x v="9"/>
    <x v="9"/>
    <x v="0"/>
    <x v="198"/>
    <x v="250"/>
    <x v="62"/>
    <x v="547"/>
    <x v="123"/>
    <x v="357"/>
    <x v="0"/>
  </r>
  <r>
    <x v="0"/>
    <x v="69"/>
    <x v="69"/>
    <x v="41"/>
    <x v="41"/>
    <x v="41"/>
    <x v="2"/>
    <x v="199"/>
    <x v="381"/>
    <x v="62"/>
    <x v="547"/>
    <x v="127"/>
    <x v="151"/>
    <x v="0"/>
  </r>
  <r>
    <x v="0"/>
    <x v="69"/>
    <x v="69"/>
    <x v="42"/>
    <x v="42"/>
    <x v="42"/>
    <x v="3"/>
    <x v="200"/>
    <x v="39"/>
    <x v="65"/>
    <x v="65"/>
    <x v="108"/>
    <x v="350"/>
    <x v="0"/>
  </r>
  <r>
    <x v="0"/>
    <x v="69"/>
    <x v="69"/>
    <x v="4"/>
    <x v="4"/>
    <x v="4"/>
    <x v="3"/>
    <x v="200"/>
    <x v="39"/>
    <x v="65"/>
    <x v="65"/>
    <x v="108"/>
    <x v="350"/>
    <x v="0"/>
  </r>
  <r>
    <x v="0"/>
    <x v="69"/>
    <x v="69"/>
    <x v="135"/>
    <x v="135"/>
    <x v="135"/>
    <x v="3"/>
    <x v="200"/>
    <x v="39"/>
    <x v="70"/>
    <x v="548"/>
    <x v="127"/>
    <x v="151"/>
    <x v="0"/>
  </r>
  <r>
    <x v="0"/>
    <x v="69"/>
    <x v="69"/>
    <x v="43"/>
    <x v="43"/>
    <x v="43"/>
    <x v="3"/>
    <x v="200"/>
    <x v="39"/>
    <x v="65"/>
    <x v="65"/>
    <x v="108"/>
    <x v="350"/>
    <x v="0"/>
  </r>
  <r>
    <x v="0"/>
    <x v="69"/>
    <x v="69"/>
    <x v="105"/>
    <x v="105"/>
    <x v="105"/>
    <x v="7"/>
    <x v="216"/>
    <x v="161"/>
    <x v="50"/>
    <x v="549"/>
    <x v="123"/>
    <x v="357"/>
    <x v="0"/>
  </r>
  <r>
    <x v="0"/>
    <x v="69"/>
    <x v="69"/>
    <x v="46"/>
    <x v="46"/>
    <x v="46"/>
    <x v="7"/>
    <x v="216"/>
    <x v="161"/>
    <x v="56"/>
    <x v="263"/>
    <x v="127"/>
    <x v="151"/>
    <x v="0"/>
  </r>
  <r>
    <x v="0"/>
    <x v="69"/>
    <x v="69"/>
    <x v="62"/>
    <x v="62"/>
    <x v="62"/>
    <x v="7"/>
    <x v="216"/>
    <x v="161"/>
    <x v="50"/>
    <x v="549"/>
    <x v="123"/>
    <x v="357"/>
    <x v="0"/>
  </r>
  <r>
    <x v="0"/>
    <x v="69"/>
    <x v="69"/>
    <x v="48"/>
    <x v="48"/>
    <x v="48"/>
    <x v="7"/>
    <x v="216"/>
    <x v="161"/>
    <x v="50"/>
    <x v="549"/>
    <x v="123"/>
    <x v="357"/>
    <x v="0"/>
  </r>
  <r>
    <x v="0"/>
    <x v="69"/>
    <x v="69"/>
    <x v="12"/>
    <x v="12"/>
    <x v="12"/>
    <x v="7"/>
    <x v="216"/>
    <x v="161"/>
    <x v="56"/>
    <x v="263"/>
    <x v="127"/>
    <x v="151"/>
    <x v="0"/>
  </r>
  <r>
    <x v="0"/>
    <x v="69"/>
    <x v="69"/>
    <x v="49"/>
    <x v="49"/>
    <x v="49"/>
    <x v="7"/>
    <x v="216"/>
    <x v="161"/>
    <x v="56"/>
    <x v="263"/>
    <x v="127"/>
    <x v="151"/>
    <x v="0"/>
  </r>
  <r>
    <x v="0"/>
    <x v="69"/>
    <x v="69"/>
    <x v="133"/>
    <x v="133"/>
    <x v="133"/>
    <x v="7"/>
    <x v="216"/>
    <x v="161"/>
    <x v="56"/>
    <x v="263"/>
    <x v="127"/>
    <x v="151"/>
    <x v="0"/>
  </r>
  <r>
    <x v="0"/>
    <x v="69"/>
    <x v="69"/>
    <x v="117"/>
    <x v="117"/>
    <x v="117"/>
    <x v="7"/>
    <x v="216"/>
    <x v="161"/>
    <x v="50"/>
    <x v="549"/>
    <x v="123"/>
    <x v="357"/>
    <x v="0"/>
  </r>
  <r>
    <x v="0"/>
    <x v="69"/>
    <x v="69"/>
    <x v="2"/>
    <x v="2"/>
    <x v="2"/>
    <x v="7"/>
    <x v="216"/>
    <x v="161"/>
    <x v="56"/>
    <x v="263"/>
    <x v="127"/>
    <x v="151"/>
    <x v="0"/>
  </r>
  <r>
    <x v="0"/>
    <x v="69"/>
    <x v="69"/>
    <x v="37"/>
    <x v="37"/>
    <x v="37"/>
    <x v="7"/>
    <x v="216"/>
    <x v="161"/>
    <x v="50"/>
    <x v="549"/>
    <x v="127"/>
    <x v="151"/>
    <x v="0"/>
  </r>
  <r>
    <x v="0"/>
    <x v="69"/>
    <x v="69"/>
    <x v="3"/>
    <x v="3"/>
    <x v="3"/>
    <x v="7"/>
    <x v="216"/>
    <x v="161"/>
    <x v="56"/>
    <x v="263"/>
    <x v="127"/>
    <x v="151"/>
    <x v="0"/>
  </r>
  <r>
    <x v="0"/>
    <x v="69"/>
    <x v="69"/>
    <x v="1"/>
    <x v="1"/>
    <x v="1"/>
    <x v="7"/>
    <x v="216"/>
    <x v="161"/>
    <x v="56"/>
    <x v="263"/>
    <x v="127"/>
    <x v="151"/>
    <x v="0"/>
  </r>
  <r>
    <x v="0"/>
    <x v="69"/>
    <x v="69"/>
    <x v="82"/>
    <x v="82"/>
    <x v="82"/>
    <x v="7"/>
    <x v="216"/>
    <x v="161"/>
    <x v="50"/>
    <x v="549"/>
    <x v="127"/>
    <x v="151"/>
    <x v="0"/>
  </r>
  <r>
    <x v="0"/>
    <x v="70"/>
    <x v="70"/>
    <x v="0"/>
    <x v="0"/>
    <x v="0"/>
    <x v="0"/>
    <x v="196"/>
    <x v="382"/>
    <x v="39"/>
    <x v="550"/>
    <x v="127"/>
    <x v="151"/>
    <x v="0"/>
  </r>
  <r>
    <x v="0"/>
    <x v="70"/>
    <x v="70"/>
    <x v="51"/>
    <x v="51"/>
    <x v="51"/>
    <x v="1"/>
    <x v="197"/>
    <x v="383"/>
    <x v="70"/>
    <x v="378"/>
    <x v="108"/>
    <x v="358"/>
    <x v="0"/>
  </r>
  <r>
    <x v="0"/>
    <x v="70"/>
    <x v="70"/>
    <x v="37"/>
    <x v="37"/>
    <x v="37"/>
    <x v="1"/>
    <x v="197"/>
    <x v="383"/>
    <x v="65"/>
    <x v="65"/>
    <x v="119"/>
    <x v="359"/>
    <x v="0"/>
  </r>
  <r>
    <x v="0"/>
    <x v="70"/>
    <x v="70"/>
    <x v="41"/>
    <x v="41"/>
    <x v="41"/>
    <x v="3"/>
    <x v="198"/>
    <x v="384"/>
    <x v="62"/>
    <x v="551"/>
    <x v="123"/>
    <x v="142"/>
    <x v="0"/>
  </r>
  <r>
    <x v="0"/>
    <x v="70"/>
    <x v="70"/>
    <x v="42"/>
    <x v="42"/>
    <x v="42"/>
    <x v="4"/>
    <x v="199"/>
    <x v="352"/>
    <x v="65"/>
    <x v="65"/>
    <x v="110"/>
    <x v="360"/>
    <x v="0"/>
  </r>
  <r>
    <x v="0"/>
    <x v="70"/>
    <x v="70"/>
    <x v="12"/>
    <x v="12"/>
    <x v="12"/>
    <x v="5"/>
    <x v="200"/>
    <x v="385"/>
    <x v="56"/>
    <x v="245"/>
    <x v="123"/>
    <x v="142"/>
    <x v="0"/>
  </r>
  <r>
    <x v="0"/>
    <x v="70"/>
    <x v="70"/>
    <x v="133"/>
    <x v="133"/>
    <x v="133"/>
    <x v="5"/>
    <x v="200"/>
    <x v="385"/>
    <x v="50"/>
    <x v="384"/>
    <x v="93"/>
    <x v="343"/>
    <x v="0"/>
  </r>
  <r>
    <x v="0"/>
    <x v="70"/>
    <x v="70"/>
    <x v="45"/>
    <x v="45"/>
    <x v="45"/>
    <x v="5"/>
    <x v="200"/>
    <x v="385"/>
    <x v="70"/>
    <x v="378"/>
    <x v="127"/>
    <x v="151"/>
    <x v="0"/>
  </r>
  <r>
    <x v="0"/>
    <x v="70"/>
    <x v="70"/>
    <x v="4"/>
    <x v="4"/>
    <x v="4"/>
    <x v="5"/>
    <x v="200"/>
    <x v="385"/>
    <x v="70"/>
    <x v="378"/>
    <x v="127"/>
    <x v="151"/>
    <x v="0"/>
  </r>
  <r>
    <x v="0"/>
    <x v="70"/>
    <x v="70"/>
    <x v="2"/>
    <x v="2"/>
    <x v="2"/>
    <x v="5"/>
    <x v="200"/>
    <x v="385"/>
    <x v="70"/>
    <x v="378"/>
    <x v="127"/>
    <x v="151"/>
    <x v="0"/>
  </r>
  <r>
    <x v="0"/>
    <x v="70"/>
    <x v="70"/>
    <x v="90"/>
    <x v="90"/>
    <x v="90"/>
    <x v="10"/>
    <x v="216"/>
    <x v="92"/>
    <x v="50"/>
    <x v="384"/>
    <x v="123"/>
    <x v="142"/>
    <x v="0"/>
  </r>
  <r>
    <x v="0"/>
    <x v="70"/>
    <x v="70"/>
    <x v="76"/>
    <x v="76"/>
    <x v="76"/>
    <x v="10"/>
    <x v="216"/>
    <x v="92"/>
    <x v="65"/>
    <x v="65"/>
    <x v="123"/>
    <x v="142"/>
    <x v="0"/>
  </r>
  <r>
    <x v="0"/>
    <x v="70"/>
    <x v="70"/>
    <x v="48"/>
    <x v="48"/>
    <x v="48"/>
    <x v="10"/>
    <x v="216"/>
    <x v="92"/>
    <x v="56"/>
    <x v="245"/>
    <x v="127"/>
    <x v="151"/>
    <x v="0"/>
  </r>
  <r>
    <x v="0"/>
    <x v="70"/>
    <x v="70"/>
    <x v="5"/>
    <x v="5"/>
    <x v="5"/>
    <x v="10"/>
    <x v="216"/>
    <x v="92"/>
    <x v="50"/>
    <x v="384"/>
    <x v="123"/>
    <x v="142"/>
    <x v="0"/>
  </r>
  <r>
    <x v="0"/>
    <x v="70"/>
    <x v="70"/>
    <x v="8"/>
    <x v="8"/>
    <x v="8"/>
    <x v="10"/>
    <x v="216"/>
    <x v="92"/>
    <x v="50"/>
    <x v="384"/>
    <x v="123"/>
    <x v="142"/>
    <x v="0"/>
  </r>
  <r>
    <x v="0"/>
    <x v="70"/>
    <x v="70"/>
    <x v="83"/>
    <x v="83"/>
    <x v="83"/>
    <x v="10"/>
    <x v="216"/>
    <x v="92"/>
    <x v="65"/>
    <x v="65"/>
    <x v="93"/>
    <x v="343"/>
    <x v="0"/>
  </r>
  <r>
    <x v="0"/>
    <x v="70"/>
    <x v="70"/>
    <x v="10"/>
    <x v="10"/>
    <x v="10"/>
    <x v="15"/>
    <x v="217"/>
    <x v="64"/>
    <x v="65"/>
    <x v="65"/>
    <x v="123"/>
    <x v="142"/>
    <x v="0"/>
  </r>
  <r>
    <x v="0"/>
    <x v="70"/>
    <x v="70"/>
    <x v="14"/>
    <x v="14"/>
    <x v="14"/>
    <x v="15"/>
    <x v="217"/>
    <x v="64"/>
    <x v="65"/>
    <x v="65"/>
    <x v="123"/>
    <x v="142"/>
    <x v="0"/>
  </r>
  <r>
    <x v="0"/>
    <x v="70"/>
    <x v="70"/>
    <x v="136"/>
    <x v="136"/>
    <x v="136"/>
    <x v="15"/>
    <x v="217"/>
    <x v="64"/>
    <x v="50"/>
    <x v="384"/>
    <x v="127"/>
    <x v="151"/>
    <x v="0"/>
  </r>
  <r>
    <x v="0"/>
    <x v="70"/>
    <x v="70"/>
    <x v="137"/>
    <x v="137"/>
    <x v="137"/>
    <x v="15"/>
    <x v="217"/>
    <x v="64"/>
    <x v="50"/>
    <x v="384"/>
    <x v="127"/>
    <x v="151"/>
    <x v="0"/>
  </r>
  <r>
    <x v="0"/>
    <x v="70"/>
    <x v="70"/>
    <x v="36"/>
    <x v="36"/>
    <x v="36"/>
    <x v="15"/>
    <x v="217"/>
    <x v="64"/>
    <x v="65"/>
    <x v="65"/>
    <x v="123"/>
    <x v="142"/>
    <x v="0"/>
  </r>
  <r>
    <x v="0"/>
    <x v="70"/>
    <x v="70"/>
    <x v="28"/>
    <x v="28"/>
    <x v="28"/>
    <x v="15"/>
    <x v="217"/>
    <x v="64"/>
    <x v="50"/>
    <x v="384"/>
    <x v="127"/>
    <x v="151"/>
    <x v="0"/>
  </r>
  <r>
    <x v="0"/>
    <x v="70"/>
    <x v="70"/>
    <x v="11"/>
    <x v="11"/>
    <x v="11"/>
    <x v="15"/>
    <x v="217"/>
    <x v="64"/>
    <x v="50"/>
    <x v="384"/>
    <x v="127"/>
    <x v="151"/>
    <x v="0"/>
  </r>
  <r>
    <x v="0"/>
    <x v="70"/>
    <x v="70"/>
    <x v="49"/>
    <x v="49"/>
    <x v="49"/>
    <x v="15"/>
    <x v="217"/>
    <x v="64"/>
    <x v="50"/>
    <x v="384"/>
    <x v="127"/>
    <x v="151"/>
    <x v="0"/>
  </r>
  <r>
    <x v="0"/>
    <x v="70"/>
    <x v="70"/>
    <x v="138"/>
    <x v="138"/>
    <x v="138"/>
    <x v="15"/>
    <x v="217"/>
    <x v="64"/>
    <x v="50"/>
    <x v="384"/>
    <x v="127"/>
    <x v="151"/>
    <x v="0"/>
  </r>
  <r>
    <x v="0"/>
    <x v="70"/>
    <x v="70"/>
    <x v="3"/>
    <x v="3"/>
    <x v="3"/>
    <x v="15"/>
    <x v="217"/>
    <x v="64"/>
    <x v="50"/>
    <x v="384"/>
    <x v="127"/>
    <x v="151"/>
    <x v="0"/>
  </r>
  <r>
    <x v="0"/>
    <x v="70"/>
    <x v="70"/>
    <x v="1"/>
    <x v="1"/>
    <x v="1"/>
    <x v="15"/>
    <x v="217"/>
    <x v="64"/>
    <x v="50"/>
    <x v="384"/>
    <x v="127"/>
    <x v="151"/>
    <x v="0"/>
  </r>
  <r>
    <x v="0"/>
    <x v="70"/>
    <x v="70"/>
    <x v="23"/>
    <x v="23"/>
    <x v="23"/>
    <x v="15"/>
    <x v="217"/>
    <x v="64"/>
    <x v="65"/>
    <x v="65"/>
    <x v="123"/>
    <x v="142"/>
    <x v="0"/>
  </r>
  <r>
    <x v="0"/>
    <x v="70"/>
    <x v="70"/>
    <x v="43"/>
    <x v="43"/>
    <x v="43"/>
    <x v="15"/>
    <x v="217"/>
    <x v="64"/>
    <x v="65"/>
    <x v="65"/>
    <x v="127"/>
    <x v="151"/>
    <x v="0"/>
  </r>
  <r>
    <x v="0"/>
    <x v="70"/>
    <x v="70"/>
    <x v="104"/>
    <x v="104"/>
    <x v="104"/>
    <x v="15"/>
    <x v="217"/>
    <x v="64"/>
    <x v="50"/>
    <x v="384"/>
    <x v="127"/>
    <x v="151"/>
    <x v="0"/>
  </r>
  <r>
    <x v="0"/>
    <x v="70"/>
    <x v="70"/>
    <x v="26"/>
    <x v="26"/>
    <x v="26"/>
    <x v="15"/>
    <x v="217"/>
    <x v="64"/>
    <x v="65"/>
    <x v="65"/>
    <x v="123"/>
    <x v="142"/>
    <x v="0"/>
  </r>
  <r>
    <x v="0"/>
    <x v="71"/>
    <x v="71"/>
    <x v="48"/>
    <x v="48"/>
    <x v="48"/>
    <x v="0"/>
    <x v="199"/>
    <x v="386"/>
    <x v="62"/>
    <x v="541"/>
    <x v="127"/>
    <x v="151"/>
    <x v="0"/>
  </r>
  <r>
    <x v="0"/>
    <x v="71"/>
    <x v="71"/>
    <x v="4"/>
    <x v="4"/>
    <x v="4"/>
    <x v="0"/>
    <x v="199"/>
    <x v="386"/>
    <x v="62"/>
    <x v="541"/>
    <x v="127"/>
    <x v="151"/>
    <x v="0"/>
  </r>
  <r>
    <x v="0"/>
    <x v="71"/>
    <x v="71"/>
    <x v="12"/>
    <x v="12"/>
    <x v="12"/>
    <x v="2"/>
    <x v="200"/>
    <x v="387"/>
    <x v="56"/>
    <x v="5"/>
    <x v="123"/>
    <x v="142"/>
    <x v="0"/>
  </r>
  <r>
    <x v="0"/>
    <x v="71"/>
    <x v="71"/>
    <x v="42"/>
    <x v="42"/>
    <x v="42"/>
    <x v="2"/>
    <x v="200"/>
    <x v="387"/>
    <x v="65"/>
    <x v="65"/>
    <x v="108"/>
    <x v="358"/>
    <x v="0"/>
  </r>
  <r>
    <x v="0"/>
    <x v="71"/>
    <x v="71"/>
    <x v="49"/>
    <x v="49"/>
    <x v="49"/>
    <x v="2"/>
    <x v="200"/>
    <x v="387"/>
    <x v="70"/>
    <x v="42"/>
    <x v="127"/>
    <x v="151"/>
    <x v="0"/>
  </r>
  <r>
    <x v="0"/>
    <x v="71"/>
    <x v="71"/>
    <x v="1"/>
    <x v="1"/>
    <x v="1"/>
    <x v="2"/>
    <x v="200"/>
    <x v="387"/>
    <x v="70"/>
    <x v="42"/>
    <x v="127"/>
    <x v="151"/>
    <x v="0"/>
  </r>
  <r>
    <x v="0"/>
    <x v="71"/>
    <x v="71"/>
    <x v="59"/>
    <x v="59"/>
    <x v="59"/>
    <x v="2"/>
    <x v="200"/>
    <x v="387"/>
    <x v="65"/>
    <x v="65"/>
    <x v="108"/>
    <x v="358"/>
    <x v="0"/>
  </r>
  <r>
    <x v="0"/>
    <x v="71"/>
    <x v="71"/>
    <x v="40"/>
    <x v="40"/>
    <x v="40"/>
    <x v="7"/>
    <x v="216"/>
    <x v="388"/>
    <x v="50"/>
    <x v="542"/>
    <x v="123"/>
    <x v="142"/>
    <x v="0"/>
  </r>
  <r>
    <x v="0"/>
    <x v="71"/>
    <x v="71"/>
    <x v="41"/>
    <x v="41"/>
    <x v="41"/>
    <x v="7"/>
    <x v="216"/>
    <x v="388"/>
    <x v="56"/>
    <x v="5"/>
    <x v="127"/>
    <x v="151"/>
    <x v="0"/>
  </r>
  <r>
    <x v="0"/>
    <x v="71"/>
    <x v="71"/>
    <x v="139"/>
    <x v="139"/>
    <x v="139"/>
    <x v="7"/>
    <x v="216"/>
    <x v="388"/>
    <x v="65"/>
    <x v="65"/>
    <x v="93"/>
    <x v="343"/>
    <x v="0"/>
  </r>
  <r>
    <x v="0"/>
    <x v="71"/>
    <x v="71"/>
    <x v="133"/>
    <x v="133"/>
    <x v="133"/>
    <x v="7"/>
    <x v="216"/>
    <x v="388"/>
    <x v="50"/>
    <x v="542"/>
    <x v="123"/>
    <x v="142"/>
    <x v="0"/>
  </r>
  <r>
    <x v="0"/>
    <x v="71"/>
    <x v="71"/>
    <x v="45"/>
    <x v="45"/>
    <x v="45"/>
    <x v="7"/>
    <x v="216"/>
    <x v="388"/>
    <x v="56"/>
    <x v="5"/>
    <x v="127"/>
    <x v="151"/>
    <x v="0"/>
  </r>
  <r>
    <x v="0"/>
    <x v="71"/>
    <x v="71"/>
    <x v="5"/>
    <x v="5"/>
    <x v="5"/>
    <x v="7"/>
    <x v="216"/>
    <x v="388"/>
    <x v="56"/>
    <x v="5"/>
    <x v="127"/>
    <x v="151"/>
    <x v="0"/>
  </r>
  <r>
    <x v="0"/>
    <x v="71"/>
    <x v="71"/>
    <x v="9"/>
    <x v="9"/>
    <x v="9"/>
    <x v="7"/>
    <x v="216"/>
    <x v="388"/>
    <x v="50"/>
    <x v="542"/>
    <x v="123"/>
    <x v="142"/>
    <x v="0"/>
  </r>
  <r>
    <x v="0"/>
    <x v="71"/>
    <x v="71"/>
    <x v="37"/>
    <x v="37"/>
    <x v="37"/>
    <x v="7"/>
    <x v="216"/>
    <x v="388"/>
    <x v="50"/>
    <x v="542"/>
    <x v="123"/>
    <x v="142"/>
    <x v="0"/>
  </r>
  <r>
    <x v="0"/>
    <x v="71"/>
    <x v="71"/>
    <x v="140"/>
    <x v="140"/>
    <x v="140"/>
    <x v="14"/>
    <x v="217"/>
    <x v="10"/>
    <x v="65"/>
    <x v="65"/>
    <x v="123"/>
    <x v="142"/>
    <x v="0"/>
  </r>
  <r>
    <x v="0"/>
    <x v="71"/>
    <x v="71"/>
    <x v="32"/>
    <x v="32"/>
    <x v="32"/>
    <x v="14"/>
    <x v="217"/>
    <x v="10"/>
    <x v="65"/>
    <x v="65"/>
    <x v="123"/>
    <x v="142"/>
    <x v="0"/>
  </r>
  <r>
    <x v="0"/>
    <x v="71"/>
    <x v="71"/>
    <x v="13"/>
    <x v="13"/>
    <x v="13"/>
    <x v="14"/>
    <x v="217"/>
    <x v="10"/>
    <x v="65"/>
    <x v="65"/>
    <x v="123"/>
    <x v="142"/>
    <x v="0"/>
  </r>
  <r>
    <x v="0"/>
    <x v="71"/>
    <x v="71"/>
    <x v="14"/>
    <x v="14"/>
    <x v="14"/>
    <x v="14"/>
    <x v="217"/>
    <x v="10"/>
    <x v="65"/>
    <x v="65"/>
    <x v="123"/>
    <x v="142"/>
    <x v="0"/>
  </r>
  <r>
    <x v="0"/>
    <x v="71"/>
    <x v="71"/>
    <x v="96"/>
    <x v="96"/>
    <x v="96"/>
    <x v="14"/>
    <x v="217"/>
    <x v="10"/>
    <x v="65"/>
    <x v="65"/>
    <x v="123"/>
    <x v="142"/>
    <x v="0"/>
  </r>
  <r>
    <x v="0"/>
    <x v="71"/>
    <x v="71"/>
    <x v="137"/>
    <x v="137"/>
    <x v="137"/>
    <x v="14"/>
    <x v="217"/>
    <x v="10"/>
    <x v="50"/>
    <x v="542"/>
    <x v="127"/>
    <x v="151"/>
    <x v="0"/>
  </r>
  <r>
    <x v="0"/>
    <x v="71"/>
    <x v="71"/>
    <x v="76"/>
    <x v="76"/>
    <x v="76"/>
    <x v="14"/>
    <x v="217"/>
    <x v="10"/>
    <x v="65"/>
    <x v="65"/>
    <x v="127"/>
    <x v="151"/>
    <x v="0"/>
  </r>
  <r>
    <x v="0"/>
    <x v="71"/>
    <x v="71"/>
    <x v="119"/>
    <x v="119"/>
    <x v="119"/>
    <x v="14"/>
    <x v="217"/>
    <x v="10"/>
    <x v="65"/>
    <x v="65"/>
    <x v="123"/>
    <x v="142"/>
    <x v="0"/>
  </r>
  <r>
    <x v="0"/>
    <x v="71"/>
    <x v="71"/>
    <x v="77"/>
    <x v="77"/>
    <x v="77"/>
    <x v="14"/>
    <x v="217"/>
    <x v="10"/>
    <x v="65"/>
    <x v="65"/>
    <x v="123"/>
    <x v="142"/>
    <x v="0"/>
  </r>
  <r>
    <x v="0"/>
    <x v="71"/>
    <x v="71"/>
    <x v="78"/>
    <x v="78"/>
    <x v="78"/>
    <x v="14"/>
    <x v="217"/>
    <x v="10"/>
    <x v="65"/>
    <x v="65"/>
    <x v="123"/>
    <x v="142"/>
    <x v="0"/>
  </r>
  <r>
    <x v="0"/>
    <x v="71"/>
    <x v="71"/>
    <x v="36"/>
    <x v="36"/>
    <x v="36"/>
    <x v="14"/>
    <x v="217"/>
    <x v="10"/>
    <x v="50"/>
    <x v="542"/>
    <x v="127"/>
    <x v="151"/>
    <x v="0"/>
  </r>
  <r>
    <x v="0"/>
    <x v="71"/>
    <x v="71"/>
    <x v="33"/>
    <x v="33"/>
    <x v="33"/>
    <x v="14"/>
    <x v="217"/>
    <x v="10"/>
    <x v="65"/>
    <x v="65"/>
    <x v="123"/>
    <x v="142"/>
    <x v="0"/>
  </r>
  <r>
    <x v="0"/>
    <x v="71"/>
    <x v="71"/>
    <x v="21"/>
    <x v="21"/>
    <x v="21"/>
    <x v="14"/>
    <x v="217"/>
    <x v="10"/>
    <x v="65"/>
    <x v="65"/>
    <x v="123"/>
    <x v="142"/>
    <x v="0"/>
  </r>
  <r>
    <x v="0"/>
    <x v="71"/>
    <x v="71"/>
    <x v="141"/>
    <x v="141"/>
    <x v="141"/>
    <x v="14"/>
    <x v="217"/>
    <x v="10"/>
    <x v="50"/>
    <x v="542"/>
    <x v="127"/>
    <x v="151"/>
    <x v="0"/>
  </r>
  <r>
    <x v="0"/>
    <x v="71"/>
    <x v="71"/>
    <x v="44"/>
    <x v="44"/>
    <x v="44"/>
    <x v="14"/>
    <x v="217"/>
    <x v="10"/>
    <x v="50"/>
    <x v="542"/>
    <x v="127"/>
    <x v="151"/>
    <x v="0"/>
  </r>
  <r>
    <x v="0"/>
    <x v="71"/>
    <x v="71"/>
    <x v="47"/>
    <x v="47"/>
    <x v="47"/>
    <x v="14"/>
    <x v="217"/>
    <x v="10"/>
    <x v="50"/>
    <x v="542"/>
    <x v="127"/>
    <x v="151"/>
    <x v="0"/>
  </r>
  <r>
    <x v="0"/>
    <x v="71"/>
    <x v="71"/>
    <x v="18"/>
    <x v="18"/>
    <x v="18"/>
    <x v="14"/>
    <x v="217"/>
    <x v="10"/>
    <x v="65"/>
    <x v="65"/>
    <x v="123"/>
    <x v="142"/>
    <x v="0"/>
  </r>
  <r>
    <x v="0"/>
    <x v="71"/>
    <x v="71"/>
    <x v="85"/>
    <x v="85"/>
    <x v="85"/>
    <x v="14"/>
    <x v="217"/>
    <x v="10"/>
    <x v="50"/>
    <x v="542"/>
    <x v="127"/>
    <x v="151"/>
    <x v="0"/>
  </r>
  <r>
    <x v="0"/>
    <x v="71"/>
    <x v="71"/>
    <x v="35"/>
    <x v="35"/>
    <x v="35"/>
    <x v="14"/>
    <x v="217"/>
    <x v="10"/>
    <x v="50"/>
    <x v="542"/>
    <x v="127"/>
    <x v="151"/>
    <x v="0"/>
  </r>
  <r>
    <x v="0"/>
    <x v="71"/>
    <x v="71"/>
    <x v="0"/>
    <x v="0"/>
    <x v="0"/>
    <x v="14"/>
    <x v="217"/>
    <x v="10"/>
    <x v="50"/>
    <x v="542"/>
    <x v="127"/>
    <x v="151"/>
    <x v="0"/>
  </r>
  <r>
    <x v="0"/>
    <x v="71"/>
    <x v="71"/>
    <x v="142"/>
    <x v="142"/>
    <x v="142"/>
    <x v="14"/>
    <x v="217"/>
    <x v="10"/>
    <x v="65"/>
    <x v="65"/>
    <x v="123"/>
    <x v="142"/>
    <x v="0"/>
  </r>
  <r>
    <x v="0"/>
    <x v="71"/>
    <x v="71"/>
    <x v="51"/>
    <x v="51"/>
    <x v="51"/>
    <x v="14"/>
    <x v="217"/>
    <x v="10"/>
    <x v="50"/>
    <x v="542"/>
    <x v="127"/>
    <x v="151"/>
    <x v="0"/>
  </r>
  <r>
    <x v="0"/>
    <x v="71"/>
    <x v="71"/>
    <x v="131"/>
    <x v="131"/>
    <x v="131"/>
    <x v="14"/>
    <x v="217"/>
    <x v="10"/>
    <x v="50"/>
    <x v="542"/>
    <x v="127"/>
    <x v="151"/>
    <x v="0"/>
  </r>
  <r>
    <x v="0"/>
    <x v="71"/>
    <x v="71"/>
    <x v="34"/>
    <x v="34"/>
    <x v="34"/>
    <x v="14"/>
    <x v="217"/>
    <x v="10"/>
    <x v="50"/>
    <x v="542"/>
    <x v="127"/>
    <x v="151"/>
    <x v="0"/>
  </r>
  <r>
    <x v="0"/>
    <x v="71"/>
    <x v="71"/>
    <x v="3"/>
    <x v="3"/>
    <x v="3"/>
    <x v="14"/>
    <x v="217"/>
    <x v="10"/>
    <x v="50"/>
    <x v="542"/>
    <x v="127"/>
    <x v="151"/>
    <x v="0"/>
  </r>
  <r>
    <x v="0"/>
    <x v="71"/>
    <x v="71"/>
    <x v="82"/>
    <x v="82"/>
    <x v="82"/>
    <x v="14"/>
    <x v="217"/>
    <x v="10"/>
    <x v="65"/>
    <x v="65"/>
    <x v="123"/>
    <x v="142"/>
    <x v="0"/>
  </r>
  <r>
    <x v="0"/>
    <x v="71"/>
    <x v="71"/>
    <x v="8"/>
    <x v="8"/>
    <x v="8"/>
    <x v="14"/>
    <x v="217"/>
    <x v="10"/>
    <x v="50"/>
    <x v="542"/>
    <x v="127"/>
    <x v="151"/>
    <x v="0"/>
  </r>
  <r>
    <x v="0"/>
    <x v="71"/>
    <x v="71"/>
    <x v="19"/>
    <x v="19"/>
    <x v="19"/>
    <x v="14"/>
    <x v="217"/>
    <x v="10"/>
    <x v="50"/>
    <x v="542"/>
    <x v="127"/>
    <x v="151"/>
    <x v="0"/>
  </r>
  <r>
    <x v="0"/>
    <x v="71"/>
    <x v="71"/>
    <x v="83"/>
    <x v="83"/>
    <x v="83"/>
    <x v="14"/>
    <x v="217"/>
    <x v="10"/>
    <x v="50"/>
    <x v="542"/>
    <x v="127"/>
    <x v="151"/>
    <x v="0"/>
  </r>
  <r>
    <x v="0"/>
    <x v="71"/>
    <x v="71"/>
    <x v="26"/>
    <x v="26"/>
    <x v="26"/>
    <x v="14"/>
    <x v="217"/>
    <x v="10"/>
    <x v="65"/>
    <x v="65"/>
    <x v="123"/>
    <x v="142"/>
    <x v="0"/>
  </r>
  <r>
    <x v="0"/>
    <x v="72"/>
    <x v="72"/>
    <x v="0"/>
    <x v="0"/>
    <x v="0"/>
    <x v="0"/>
    <x v="197"/>
    <x v="389"/>
    <x v="62"/>
    <x v="552"/>
    <x v="93"/>
    <x v="349"/>
    <x v="0"/>
  </r>
  <r>
    <x v="0"/>
    <x v="72"/>
    <x v="72"/>
    <x v="1"/>
    <x v="1"/>
    <x v="1"/>
    <x v="1"/>
    <x v="198"/>
    <x v="390"/>
    <x v="51"/>
    <x v="553"/>
    <x v="127"/>
    <x v="151"/>
    <x v="0"/>
  </r>
  <r>
    <x v="0"/>
    <x v="72"/>
    <x v="72"/>
    <x v="12"/>
    <x v="12"/>
    <x v="12"/>
    <x v="2"/>
    <x v="199"/>
    <x v="207"/>
    <x v="62"/>
    <x v="552"/>
    <x v="127"/>
    <x v="151"/>
    <x v="0"/>
  </r>
  <r>
    <x v="0"/>
    <x v="72"/>
    <x v="72"/>
    <x v="3"/>
    <x v="3"/>
    <x v="3"/>
    <x v="2"/>
    <x v="199"/>
    <x v="207"/>
    <x v="62"/>
    <x v="552"/>
    <x v="127"/>
    <x v="151"/>
    <x v="0"/>
  </r>
  <r>
    <x v="0"/>
    <x v="72"/>
    <x v="72"/>
    <x v="17"/>
    <x v="17"/>
    <x v="17"/>
    <x v="4"/>
    <x v="200"/>
    <x v="292"/>
    <x v="50"/>
    <x v="554"/>
    <x v="93"/>
    <x v="349"/>
    <x v="0"/>
  </r>
  <r>
    <x v="0"/>
    <x v="72"/>
    <x v="72"/>
    <x v="36"/>
    <x v="36"/>
    <x v="36"/>
    <x v="4"/>
    <x v="200"/>
    <x v="292"/>
    <x v="50"/>
    <x v="554"/>
    <x v="93"/>
    <x v="349"/>
    <x v="0"/>
  </r>
  <r>
    <x v="0"/>
    <x v="72"/>
    <x v="72"/>
    <x v="49"/>
    <x v="49"/>
    <x v="49"/>
    <x v="4"/>
    <x v="200"/>
    <x v="292"/>
    <x v="56"/>
    <x v="555"/>
    <x v="123"/>
    <x v="147"/>
    <x v="0"/>
  </r>
  <r>
    <x v="0"/>
    <x v="72"/>
    <x v="72"/>
    <x v="45"/>
    <x v="45"/>
    <x v="45"/>
    <x v="4"/>
    <x v="200"/>
    <x v="292"/>
    <x v="70"/>
    <x v="556"/>
    <x v="127"/>
    <x v="151"/>
    <x v="0"/>
  </r>
  <r>
    <x v="0"/>
    <x v="72"/>
    <x v="72"/>
    <x v="2"/>
    <x v="2"/>
    <x v="2"/>
    <x v="4"/>
    <x v="200"/>
    <x v="292"/>
    <x v="70"/>
    <x v="556"/>
    <x v="127"/>
    <x v="151"/>
    <x v="0"/>
  </r>
  <r>
    <x v="0"/>
    <x v="72"/>
    <x v="72"/>
    <x v="19"/>
    <x v="19"/>
    <x v="19"/>
    <x v="4"/>
    <x v="200"/>
    <x v="292"/>
    <x v="50"/>
    <x v="554"/>
    <x v="93"/>
    <x v="349"/>
    <x v="0"/>
  </r>
  <r>
    <x v="0"/>
    <x v="72"/>
    <x v="72"/>
    <x v="10"/>
    <x v="10"/>
    <x v="10"/>
    <x v="10"/>
    <x v="216"/>
    <x v="212"/>
    <x v="65"/>
    <x v="65"/>
    <x v="93"/>
    <x v="349"/>
    <x v="0"/>
  </r>
  <r>
    <x v="0"/>
    <x v="72"/>
    <x v="72"/>
    <x v="32"/>
    <x v="32"/>
    <x v="32"/>
    <x v="10"/>
    <x v="216"/>
    <x v="212"/>
    <x v="56"/>
    <x v="555"/>
    <x v="127"/>
    <x v="151"/>
    <x v="0"/>
  </r>
  <r>
    <x v="0"/>
    <x v="72"/>
    <x v="72"/>
    <x v="114"/>
    <x v="114"/>
    <x v="114"/>
    <x v="10"/>
    <x v="216"/>
    <x v="212"/>
    <x v="56"/>
    <x v="555"/>
    <x v="127"/>
    <x v="151"/>
    <x v="0"/>
  </r>
  <r>
    <x v="0"/>
    <x v="72"/>
    <x v="72"/>
    <x v="15"/>
    <x v="15"/>
    <x v="15"/>
    <x v="10"/>
    <x v="216"/>
    <x v="212"/>
    <x v="65"/>
    <x v="65"/>
    <x v="93"/>
    <x v="349"/>
    <x v="0"/>
  </r>
  <r>
    <x v="0"/>
    <x v="72"/>
    <x v="72"/>
    <x v="125"/>
    <x v="125"/>
    <x v="125"/>
    <x v="10"/>
    <x v="216"/>
    <x v="212"/>
    <x v="65"/>
    <x v="65"/>
    <x v="93"/>
    <x v="349"/>
    <x v="0"/>
  </r>
  <r>
    <x v="0"/>
    <x v="72"/>
    <x v="72"/>
    <x v="51"/>
    <x v="51"/>
    <x v="51"/>
    <x v="10"/>
    <x v="216"/>
    <x v="212"/>
    <x v="50"/>
    <x v="554"/>
    <x v="123"/>
    <x v="147"/>
    <x v="0"/>
  </r>
  <r>
    <x v="0"/>
    <x v="72"/>
    <x v="72"/>
    <x v="5"/>
    <x v="5"/>
    <x v="5"/>
    <x v="10"/>
    <x v="216"/>
    <x v="212"/>
    <x v="56"/>
    <x v="555"/>
    <x v="127"/>
    <x v="151"/>
    <x v="0"/>
  </r>
  <r>
    <x v="0"/>
    <x v="72"/>
    <x v="72"/>
    <x v="9"/>
    <x v="9"/>
    <x v="9"/>
    <x v="10"/>
    <x v="216"/>
    <x v="212"/>
    <x v="50"/>
    <x v="554"/>
    <x v="123"/>
    <x v="147"/>
    <x v="0"/>
  </r>
  <r>
    <x v="0"/>
    <x v="72"/>
    <x v="72"/>
    <x v="37"/>
    <x v="37"/>
    <x v="37"/>
    <x v="10"/>
    <x v="216"/>
    <x v="212"/>
    <x v="65"/>
    <x v="65"/>
    <x v="123"/>
    <x v="147"/>
    <x v="0"/>
  </r>
  <r>
    <x v="0"/>
    <x v="72"/>
    <x v="72"/>
    <x v="40"/>
    <x v="40"/>
    <x v="40"/>
    <x v="18"/>
    <x v="217"/>
    <x v="172"/>
    <x v="50"/>
    <x v="554"/>
    <x v="127"/>
    <x v="151"/>
    <x v="0"/>
  </r>
  <r>
    <x v="0"/>
    <x v="72"/>
    <x v="72"/>
    <x v="31"/>
    <x v="31"/>
    <x v="31"/>
    <x v="18"/>
    <x v="217"/>
    <x v="172"/>
    <x v="65"/>
    <x v="65"/>
    <x v="123"/>
    <x v="147"/>
    <x v="0"/>
  </r>
  <r>
    <x v="0"/>
    <x v="72"/>
    <x v="72"/>
    <x v="13"/>
    <x v="13"/>
    <x v="13"/>
    <x v="18"/>
    <x v="217"/>
    <x v="172"/>
    <x v="65"/>
    <x v="65"/>
    <x v="123"/>
    <x v="147"/>
    <x v="0"/>
  </r>
  <r>
    <x v="0"/>
    <x v="72"/>
    <x v="72"/>
    <x v="14"/>
    <x v="14"/>
    <x v="14"/>
    <x v="18"/>
    <x v="217"/>
    <x v="172"/>
    <x v="65"/>
    <x v="65"/>
    <x v="123"/>
    <x v="147"/>
    <x v="0"/>
  </r>
  <r>
    <x v="0"/>
    <x v="72"/>
    <x v="72"/>
    <x v="143"/>
    <x v="143"/>
    <x v="143"/>
    <x v="18"/>
    <x v="217"/>
    <x v="172"/>
    <x v="50"/>
    <x v="554"/>
    <x v="127"/>
    <x v="151"/>
    <x v="0"/>
  </r>
  <r>
    <x v="0"/>
    <x v="72"/>
    <x v="72"/>
    <x v="97"/>
    <x v="97"/>
    <x v="97"/>
    <x v="18"/>
    <x v="217"/>
    <x v="172"/>
    <x v="65"/>
    <x v="65"/>
    <x v="123"/>
    <x v="147"/>
    <x v="0"/>
  </r>
  <r>
    <x v="0"/>
    <x v="72"/>
    <x v="72"/>
    <x v="144"/>
    <x v="144"/>
    <x v="144"/>
    <x v="18"/>
    <x v="217"/>
    <x v="172"/>
    <x v="65"/>
    <x v="65"/>
    <x v="123"/>
    <x v="147"/>
    <x v="0"/>
  </r>
  <r>
    <x v="0"/>
    <x v="72"/>
    <x v="72"/>
    <x v="145"/>
    <x v="145"/>
    <x v="145"/>
    <x v="18"/>
    <x v="217"/>
    <x v="172"/>
    <x v="65"/>
    <x v="65"/>
    <x v="123"/>
    <x v="147"/>
    <x v="0"/>
  </r>
  <r>
    <x v="0"/>
    <x v="72"/>
    <x v="72"/>
    <x v="98"/>
    <x v="98"/>
    <x v="98"/>
    <x v="18"/>
    <x v="217"/>
    <x v="172"/>
    <x v="65"/>
    <x v="65"/>
    <x v="123"/>
    <x v="147"/>
    <x v="0"/>
  </r>
  <r>
    <x v="0"/>
    <x v="72"/>
    <x v="72"/>
    <x v="76"/>
    <x v="76"/>
    <x v="76"/>
    <x v="18"/>
    <x v="217"/>
    <x v="172"/>
    <x v="65"/>
    <x v="65"/>
    <x v="127"/>
    <x v="151"/>
    <x v="0"/>
  </r>
  <r>
    <x v="0"/>
    <x v="72"/>
    <x v="72"/>
    <x v="38"/>
    <x v="38"/>
    <x v="38"/>
    <x v="18"/>
    <x v="217"/>
    <x v="172"/>
    <x v="65"/>
    <x v="65"/>
    <x v="123"/>
    <x v="147"/>
    <x v="0"/>
  </r>
  <r>
    <x v="0"/>
    <x v="72"/>
    <x v="72"/>
    <x v="62"/>
    <x v="62"/>
    <x v="62"/>
    <x v="18"/>
    <x v="217"/>
    <x v="172"/>
    <x v="65"/>
    <x v="65"/>
    <x v="123"/>
    <x v="147"/>
    <x v="0"/>
  </r>
  <r>
    <x v="0"/>
    <x v="72"/>
    <x v="72"/>
    <x v="78"/>
    <x v="78"/>
    <x v="78"/>
    <x v="18"/>
    <x v="217"/>
    <x v="172"/>
    <x v="65"/>
    <x v="65"/>
    <x v="123"/>
    <x v="147"/>
    <x v="0"/>
  </r>
  <r>
    <x v="0"/>
    <x v="72"/>
    <x v="72"/>
    <x v="58"/>
    <x v="58"/>
    <x v="58"/>
    <x v="18"/>
    <x v="217"/>
    <x v="172"/>
    <x v="50"/>
    <x v="554"/>
    <x v="127"/>
    <x v="151"/>
    <x v="0"/>
  </r>
  <r>
    <x v="0"/>
    <x v="72"/>
    <x v="72"/>
    <x v="28"/>
    <x v="28"/>
    <x v="28"/>
    <x v="18"/>
    <x v="217"/>
    <x v="172"/>
    <x v="50"/>
    <x v="554"/>
    <x v="127"/>
    <x v="151"/>
    <x v="0"/>
  </r>
  <r>
    <x v="0"/>
    <x v="72"/>
    <x v="72"/>
    <x v="48"/>
    <x v="48"/>
    <x v="48"/>
    <x v="18"/>
    <x v="217"/>
    <x v="172"/>
    <x v="50"/>
    <x v="554"/>
    <x v="127"/>
    <x v="151"/>
    <x v="0"/>
  </r>
  <r>
    <x v="0"/>
    <x v="72"/>
    <x v="72"/>
    <x v="80"/>
    <x v="80"/>
    <x v="80"/>
    <x v="18"/>
    <x v="217"/>
    <x v="172"/>
    <x v="50"/>
    <x v="554"/>
    <x v="127"/>
    <x v="151"/>
    <x v="0"/>
  </r>
  <r>
    <x v="0"/>
    <x v="72"/>
    <x v="72"/>
    <x v="44"/>
    <x v="44"/>
    <x v="44"/>
    <x v="18"/>
    <x v="217"/>
    <x v="172"/>
    <x v="65"/>
    <x v="65"/>
    <x v="123"/>
    <x v="147"/>
    <x v="0"/>
  </r>
  <r>
    <x v="0"/>
    <x v="72"/>
    <x v="72"/>
    <x v="41"/>
    <x v="41"/>
    <x v="41"/>
    <x v="18"/>
    <x v="217"/>
    <x v="172"/>
    <x v="50"/>
    <x v="554"/>
    <x v="127"/>
    <x v="151"/>
    <x v="0"/>
  </r>
  <r>
    <x v="0"/>
    <x v="72"/>
    <x v="72"/>
    <x v="47"/>
    <x v="47"/>
    <x v="47"/>
    <x v="18"/>
    <x v="217"/>
    <x v="172"/>
    <x v="65"/>
    <x v="65"/>
    <x v="123"/>
    <x v="147"/>
    <x v="0"/>
  </r>
  <r>
    <x v="0"/>
    <x v="72"/>
    <x v="72"/>
    <x v="18"/>
    <x v="18"/>
    <x v="18"/>
    <x v="18"/>
    <x v="217"/>
    <x v="172"/>
    <x v="65"/>
    <x v="65"/>
    <x v="123"/>
    <x v="147"/>
    <x v="0"/>
  </r>
  <r>
    <x v="0"/>
    <x v="72"/>
    <x v="72"/>
    <x v="7"/>
    <x v="7"/>
    <x v="7"/>
    <x v="18"/>
    <x v="217"/>
    <x v="172"/>
    <x v="50"/>
    <x v="554"/>
    <x v="127"/>
    <x v="151"/>
    <x v="0"/>
  </r>
  <r>
    <x v="0"/>
    <x v="72"/>
    <x v="72"/>
    <x v="130"/>
    <x v="130"/>
    <x v="130"/>
    <x v="18"/>
    <x v="217"/>
    <x v="172"/>
    <x v="65"/>
    <x v="65"/>
    <x v="123"/>
    <x v="147"/>
    <x v="0"/>
  </r>
  <r>
    <x v="0"/>
    <x v="72"/>
    <x v="72"/>
    <x v="4"/>
    <x v="4"/>
    <x v="4"/>
    <x v="18"/>
    <x v="217"/>
    <x v="172"/>
    <x v="50"/>
    <x v="554"/>
    <x v="127"/>
    <x v="151"/>
    <x v="0"/>
  </r>
  <r>
    <x v="0"/>
    <x v="72"/>
    <x v="72"/>
    <x v="61"/>
    <x v="61"/>
    <x v="61"/>
    <x v="18"/>
    <x v="217"/>
    <x v="172"/>
    <x v="50"/>
    <x v="554"/>
    <x v="127"/>
    <x v="151"/>
    <x v="0"/>
  </r>
  <r>
    <x v="0"/>
    <x v="72"/>
    <x v="72"/>
    <x v="34"/>
    <x v="34"/>
    <x v="34"/>
    <x v="18"/>
    <x v="217"/>
    <x v="172"/>
    <x v="50"/>
    <x v="554"/>
    <x v="127"/>
    <x v="151"/>
    <x v="0"/>
  </r>
  <r>
    <x v="0"/>
    <x v="72"/>
    <x v="72"/>
    <x v="39"/>
    <x v="39"/>
    <x v="39"/>
    <x v="18"/>
    <x v="217"/>
    <x v="172"/>
    <x v="65"/>
    <x v="65"/>
    <x v="123"/>
    <x v="147"/>
    <x v="0"/>
  </r>
  <r>
    <x v="0"/>
    <x v="72"/>
    <x v="72"/>
    <x v="8"/>
    <x v="8"/>
    <x v="8"/>
    <x v="18"/>
    <x v="217"/>
    <x v="172"/>
    <x v="50"/>
    <x v="554"/>
    <x v="127"/>
    <x v="151"/>
    <x v="0"/>
  </r>
  <r>
    <x v="0"/>
    <x v="72"/>
    <x v="72"/>
    <x v="6"/>
    <x v="6"/>
    <x v="6"/>
    <x v="18"/>
    <x v="217"/>
    <x v="172"/>
    <x v="50"/>
    <x v="554"/>
    <x v="127"/>
    <x v="151"/>
    <x v="0"/>
  </r>
  <r>
    <x v="0"/>
    <x v="72"/>
    <x v="72"/>
    <x v="60"/>
    <x v="60"/>
    <x v="60"/>
    <x v="18"/>
    <x v="217"/>
    <x v="172"/>
    <x v="65"/>
    <x v="65"/>
    <x v="123"/>
    <x v="147"/>
    <x v="0"/>
  </r>
  <r>
    <x v="0"/>
    <x v="73"/>
    <x v="73"/>
    <x v="0"/>
    <x v="0"/>
    <x v="0"/>
    <x v="0"/>
    <x v="166"/>
    <x v="391"/>
    <x v="93"/>
    <x v="557"/>
    <x v="76"/>
    <x v="361"/>
    <x v="0"/>
  </r>
  <r>
    <x v="0"/>
    <x v="73"/>
    <x v="73"/>
    <x v="51"/>
    <x v="51"/>
    <x v="51"/>
    <x v="1"/>
    <x v="120"/>
    <x v="392"/>
    <x v="32"/>
    <x v="558"/>
    <x v="79"/>
    <x v="362"/>
    <x v="0"/>
  </r>
  <r>
    <x v="0"/>
    <x v="73"/>
    <x v="73"/>
    <x v="2"/>
    <x v="2"/>
    <x v="2"/>
    <x v="2"/>
    <x v="139"/>
    <x v="240"/>
    <x v="67"/>
    <x v="559"/>
    <x v="108"/>
    <x v="363"/>
    <x v="0"/>
  </r>
  <r>
    <x v="0"/>
    <x v="73"/>
    <x v="73"/>
    <x v="1"/>
    <x v="1"/>
    <x v="1"/>
    <x v="3"/>
    <x v="140"/>
    <x v="393"/>
    <x v="109"/>
    <x v="560"/>
    <x v="93"/>
    <x v="81"/>
    <x v="0"/>
  </r>
  <r>
    <x v="0"/>
    <x v="73"/>
    <x v="73"/>
    <x v="4"/>
    <x v="4"/>
    <x v="4"/>
    <x v="4"/>
    <x v="203"/>
    <x v="276"/>
    <x v="77"/>
    <x v="264"/>
    <x v="106"/>
    <x v="364"/>
    <x v="0"/>
  </r>
  <r>
    <x v="0"/>
    <x v="73"/>
    <x v="73"/>
    <x v="5"/>
    <x v="5"/>
    <x v="5"/>
    <x v="5"/>
    <x v="209"/>
    <x v="394"/>
    <x v="38"/>
    <x v="561"/>
    <x v="119"/>
    <x v="15"/>
    <x v="0"/>
  </r>
  <r>
    <x v="0"/>
    <x v="73"/>
    <x v="73"/>
    <x v="8"/>
    <x v="8"/>
    <x v="8"/>
    <x v="6"/>
    <x v="205"/>
    <x v="395"/>
    <x v="89"/>
    <x v="208"/>
    <x v="110"/>
    <x v="153"/>
    <x v="0"/>
  </r>
  <r>
    <x v="0"/>
    <x v="73"/>
    <x v="73"/>
    <x v="6"/>
    <x v="6"/>
    <x v="6"/>
    <x v="7"/>
    <x v="194"/>
    <x v="203"/>
    <x v="61"/>
    <x v="232"/>
    <x v="127"/>
    <x v="151"/>
    <x v="0"/>
  </r>
  <r>
    <x v="0"/>
    <x v="73"/>
    <x v="73"/>
    <x v="9"/>
    <x v="9"/>
    <x v="9"/>
    <x v="8"/>
    <x v="207"/>
    <x v="26"/>
    <x v="68"/>
    <x v="404"/>
    <x v="93"/>
    <x v="81"/>
    <x v="0"/>
  </r>
  <r>
    <x v="0"/>
    <x v="73"/>
    <x v="73"/>
    <x v="17"/>
    <x v="17"/>
    <x v="17"/>
    <x v="9"/>
    <x v="195"/>
    <x v="145"/>
    <x v="65"/>
    <x v="65"/>
    <x v="113"/>
    <x v="365"/>
    <x v="0"/>
  </r>
  <r>
    <x v="0"/>
    <x v="73"/>
    <x v="73"/>
    <x v="133"/>
    <x v="133"/>
    <x v="133"/>
    <x v="9"/>
    <x v="195"/>
    <x v="145"/>
    <x v="95"/>
    <x v="354"/>
    <x v="93"/>
    <x v="81"/>
    <x v="0"/>
  </r>
  <r>
    <x v="0"/>
    <x v="73"/>
    <x v="73"/>
    <x v="19"/>
    <x v="19"/>
    <x v="19"/>
    <x v="9"/>
    <x v="195"/>
    <x v="145"/>
    <x v="62"/>
    <x v="562"/>
    <x v="119"/>
    <x v="15"/>
    <x v="0"/>
  </r>
  <r>
    <x v="0"/>
    <x v="73"/>
    <x v="73"/>
    <x v="20"/>
    <x v="20"/>
    <x v="20"/>
    <x v="12"/>
    <x v="210"/>
    <x v="49"/>
    <x v="65"/>
    <x v="65"/>
    <x v="109"/>
    <x v="366"/>
    <x v="0"/>
  </r>
  <r>
    <x v="0"/>
    <x v="73"/>
    <x v="73"/>
    <x v="45"/>
    <x v="45"/>
    <x v="45"/>
    <x v="12"/>
    <x v="210"/>
    <x v="49"/>
    <x v="39"/>
    <x v="272"/>
    <x v="93"/>
    <x v="81"/>
    <x v="0"/>
  </r>
  <r>
    <x v="0"/>
    <x v="73"/>
    <x v="73"/>
    <x v="34"/>
    <x v="34"/>
    <x v="34"/>
    <x v="12"/>
    <x v="210"/>
    <x v="49"/>
    <x v="56"/>
    <x v="269"/>
    <x v="67"/>
    <x v="100"/>
    <x v="0"/>
  </r>
  <r>
    <x v="0"/>
    <x v="73"/>
    <x v="73"/>
    <x v="3"/>
    <x v="3"/>
    <x v="3"/>
    <x v="12"/>
    <x v="210"/>
    <x v="49"/>
    <x v="100"/>
    <x v="267"/>
    <x v="127"/>
    <x v="151"/>
    <x v="0"/>
  </r>
  <r>
    <x v="0"/>
    <x v="73"/>
    <x v="73"/>
    <x v="59"/>
    <x v="59"/>
    <x v="59"/>
    <x v="12"/>
    <x v="210"/>
    <x v="49"/>
    <x v="65"/>
    <x v="65"/>
    <x v="109"/>
    <x v="366"/>
    <x v="0"/>
  </r>
  <r>
    <x v="0"/>
    <x v="73"/>
    <x v="73"/>
    <x v="24"/>
    <x v="24"/>
    <x v="24"/>
    <x v="16"/>
    <x v="196"/>
    <x v="13"/>
    <x v="65"/>
    <x v="65"/>
    <x v="98"/>
    <x v="249"/>
    <x v="0"/>
  </r>
  <r>
    <x v="0"/>
    <x v="73"/>
    <x v="73"/>
    <x v="46"/>
    <x v="46"/>
    <x v="46"/>
    <x v="17"/>
    <x v="197"/>
    <x v="235"/>
    <x v="70"/>
    <x v="328"/>
    <x v="108"/>
    <x v="363"/>
    <x v="0"/>
  </r>
  <r>
    <x v="0"/>
    <x v="73"/>
    <x v="73"/>
    <x v="41"/>
    <x v="41"/>
    <x v="41"/>
    <x v="17"/>
    <x v="197"/>
    <x v="235"/>
    <x v="62"/>
    <x v="562"/>
    <x v="93"/>
    <x v="81"/>
    <x v="0"/>
  </r>
  <r>
    <x v="0"/>
    <x v="73"/>
    <x v="73"/>
    <x v="7"/>
    <x v="7"/>
    <x v="7"/>
    <x v="17"/>
    <x v="197"/>
    <x v="235"/>
    <x v="70"/>
    <x v="328"/>
    <x v="108"/>
    <x v="363"/>
    <x v="0"/>
  </r>
  <r>
    <x v="0"/>
    <x v="73"/>
    <x v="73"/>
    <x v="15"/>
    <x v="15"/>
    <x v="15"/>
    <x v="17"/>
    <x v="197"/>
    <x v="235"/>
    <x v="70"/>
    <x v="328"/>
    <x v="108"/>
    <x v="363"/>
    <x v="0"/>
  </r>
  <r>
    <x v="0"/>
    <x v="73"/>
    <x v="73"/>
    <x v="64"/>
    <x v="64"/>
    <x v="64"/>
    <x v="17"/>
    <x v="197"/>
    <x v="235"/>
    <x v="70"/>
    <x v="328"/>
    <x v="108"/>
    <x v="363"/>
    <x v="0"/>
  </r>
  <r>
    <x v="0"/>
    <x v="73"/>
    <x v="73"/>
    <x v="26"/>
    <x v="26"/>
    <x v="26"/>
    <x v="17"/>
    <x v="197"/>
    <x v="235"/>
    <x v="65"/>
    <x v="65"/>
    <x v="67"/>
    <x v="100"/>
    <x v="0"/>
  </r>
  <r>
    <x v="0"/>
    <x v="74"/>
    <x v="74"/>
    <x v="51"/>
    <x v="51"/>
    <x v="51"/>
    <x v="0"/>
    <x v="197"/>
    <x v="396"/>
    <x v="70"/>
    <x v="563"/>
    <x v="108"/>
    <x v="357"/>
    <x v="0"/>
  </r>
  <r>
    <x v="0"/>
    <x v="74"/>
    <x v="74"/>
    <x v="42"/>
    <x v="42"/>
    <x v="42"/>
    <x v="1"/>
    <x v="198"/>
    <x v="397"/>
    <x v="65"/>
    <x v="65"/>
    <x v="119"/>
    <x v="367"/>
    <x v="0"/>
  </r>
  <r>
    <x v="0"/>
    <x v="74"/>
    <x v="74"/>
    <x v="0"/>
    <x v="0"/>
    <x v="0"/>
    <x v="1"/>
    <x v="198"/>
    <x v="397"/>
    <x v="70"/>
    <x v="563"/>
    <x v="123"/>
    <x v="261"/>
    <x v="0"/>
  </r>
  <r>
    <x v="0"/>
    <x v="74"/>
    <x v="74"/>
    <x v="117"/>
    <x v="117"/>
    <x v="117"/>
    <x v="1"/>
    <x v="198"/>
    <x v="397"/>
    <x v="65"/>
    <x v="65"/>
    <x v="119"/>
    <x v="367"/>
    <x v="0"/>
  </r>
  <r>
    <x v="0"/>
    <x v="74"/>
    <x v="74"/>
    <x v="57"/>
    <x v="57"/>
    <x v="57"/>
    <x v="1"/>
    <x v="198"/>
    <x v="397"/>
    <x v="65"/>
    <x v="65"/>
    <x v="127"/>
    <x v="151"/>
    <x v="0"/>
  </r>
  <r>
    <x v="0"/>
    <x v="74"/>
    <x v="74"/>
    <x v="17"/>
    <x v="17"/>
    <x v="17"/>
    <x v="5"/>
    <x v="199"/>
    <x v="398"/>
    <x v="65"/>
    <x v="65"/>
    <x v="110"/>
    <x v="368"/>
    <x v="0"/>
  </r>
  <r>
    <x v="0"/>
    <x v="74"/>
    <x v="74"/>
    <x v="3"/>
    <x v="3"/>
    <x v="3"/>
    <x v="5"/>
    <x v="199"/>
    <x v="398"/>
    <x v="62"/>
    <x v="226"/>
    <x v="127"/>
    <x v="151"/>
    <x v="0"/>
  </r>
  <r>
    <x v="0"/>
    <x v="74"/>
    <x v="74"/>
    <x v="1"/>
    <x v="1"/>
    <x v="1"/>
    <x v="5"/>
    <x v="199"/>
    <x v="398"/>
    <x v="62"/>
    <x v="226"/>
    <x v="127"/>
    <x v="151"/>
    <x v="0"/>
  </r>
  <r>
    <x v="0"/>
    <x v="74"/>
    <x v="74"/>
    <x v="46"/>
    <x v="46"/>
    <x v="46"/>
    <x v="8"/>
    <x v="200"/>
    <x v="24"/>
    <x v="50"/>
    <x v="462"/>
    <x v="93"/>
    <x v="70"/>
    <x v="0"/>
  </r>
  <r>
    <x v="0"/>
    <x v="74"/>
    <x v="74"/>
    <x v="14"/>
    <x v="14"/>
    <x v="14"/>
    <x v="8"/>
    <x v="200"/>
    <x v="24"/>
    <x v="50"/>
    <x v="462"/>
    <x v="93"/>
    <x v="70"/>
    <x v="0"/>
  </r>
  <r>
    <x v="0"/>
    <x v="74"/>
    <x v="74"/>
    <x v="146"/>
    <x v="146"/>
    <x v="146"/>
    <x v="8"/>
    <x v="200"/>
    <x v="24"/>
    <x v="65"/>
    <x v="65"/>
    <x v="108"/>
    <x v="357"/>
    <x v="0"/>
  </r>
  <r>
    <x v="0"/>
    <x v="74"/>
    <x v="74"/>
    <x v="53"/>
    <x v="53"/>
    <x v="53"/>
    <x v="8"/>
    <x v="200"/>
    <x v="24"/>
    <x v="65"/>
    <x v="65"/>
    <x v="127"/>
    <x v="151"/>
    <x v="0"/>
  </r>
  <r>
    <x v="0"/>
    <x v="74"/>
    <x v="74"/>
    <x v="43"/>
    <x v="43"/>
    <x v="43"/>
    <x v="8"/>
    <x v="200"/>
    <x v="24"/>
    <x v="65"/>
    <x v="65"/>
    <x v="127"/>
    <x v="151"/>
    <x v="0"/>
  </r>
  <r>
    <x v="0"/>
    <x v="74"/>
    <x v="74"/>
    <x v="19"/>
    <x v="19"/>
    <x v="19"/>
    <x v="8"/>
    <x v="200"/>
    <x v="24"/>
    <x v="56"/>
    <x v="389"/>
    <x v="123"/>
    <x v="261"/>
    <x v="0"/>
  </r>
  <r>
    <x v="0"/>
    <x v="74"/>
    <x v="74"/>
    <x v="83"/>
    <x v="83"/>
    <x v="83"/>
    <x v="8"/>
    <x v="200"/>
    <x v="24"/>
    <x v="56"/>
    <x v="389"/>
    <x v="123"/>
    <x v="261"/>
    <x v="0"/>
  </r>
  <r>
    <x v="0"/>
    <x v="74"/>
    <x v="74"/>
    <x v="10"/>
    <x v="10"/>
    <x v="10"/>
    <x v="14"/>
    <x v="216"/>
    <x v="84"/>
    <x v="65"/>
    <x v="65"/>
    <x v="93"/>
    <x v="70"/>
    <x v="0"/>
  </r>
  <r>
    <x v="0"/>
    <x v="74"/>
    <x v="74"/>
    <x v="56"/>
    <x v="56"/>
    <x v="56"/>
    <x v="14"/>
    <x v="216"/>
    <x v="84"/>
    <x v="65"/>
    <x v="65"/>
    <x v="93"/>
    <x v="70"/>
    <x v="0"/>
  </r>
  <r>
    <x v="0"/>
    <x v="74"/>
    <x v="74"/>
    <x v="147"/>
    <x v="147"/>
    <x v="147"/>
    <x v="14"/>
    <x v="216"/>
    <x v="84"/>
    <x v="50"/>
    <x v="462"/>
    <x v="123"/>
    <x v="261"/>
    <x v="0"/>
  </r>
  <r>
    <x v="0"/>
    <x v="74"/>
    <x v="74"/>
    <x v="62"/>
    <x v="62"/>
    <x v="62"/>
    <x v="14"/>
    <x v="216"/>
    <x v="84"/>
    <x v="65"/>
    <x v="65"/>
    <x v="123"/>
    <x v="261"/>
    <x v="6"/>
  </r>
  <r>
    <x v="0"/>
    <x v="74"/>
    <x v="74"/>
    <x v="36"/>
    <x v="36"/>
    <x v="36"/>
    <x v="14"/>
    <x v="216"/>
    <x v="84"/>
    <x v="65"/>
    <x v="65"/>
    <x v="93"/>
    <x v="70"/>
    <x v="0"/>
  </r>
  <r>
    <x v="0"/>
    <x v="74"/>
    <x v="74"/>
    <x v="21"/>
    <x v="21"/>
    <x v="21"/>
    <x v="14"/>
    <x v="216"/>
    <x v="84"/>
    <x v="65"/>
    <x v="65"/>
    <x v="93"/>
    <x v="70"/>
    <x v="0"/>
  </r>
  <r>
    <x v="0"/>
    <x v="74"/>
    <x v="74"/>
    <x v="44"/>
    <x v="44"/>
    <x v="44"/>
    <x v="14"/>
    <x v="216"/>
    <x v="84"/>
    <x v="56"/>
    <x v="389"/>
    <x v="127"/>
    <x v="151"/>
    <x v="0"/>
  </r>
  <r>
    <x v="0"/>
    <x v="74"/>
    <x v="74"/>
    <x v="84"/>
    <x v="84"/>
    <x v="84"/>
    <x v="14"/>
    <x v="216"/>
    <x v="84"/>
    <x v="65"/>
    <x v="65"/>
    <x v="93"/>
    <x v="70"/>
    <x v="0"/>
  </r>
  <r>
    <x v="0"/>
    <x v="74"/>
    <x v="74"/>
    <x v="9"/>
    <x v="9"/>
    <x v="9"/>
    <x v="14"/>
    <x v="216"/>
    <x v="84"/>
    <x v="56"/>
    <x v="389"/>
    <x v="127"/>
    <x v="151"/>
    <x v="0"/>
  </r>
  <r>
    <x v="0"/>
    <x v="74"/>
    <x v="74"/>
    <x v="34"/>
    <x v="34"/>
    <x v="34"/>
    <x v="14"/>
    <x v="216"/>
    <x v="84"/>
    <x v="65"/>
    <x v="65"/>
    <x v="93"/>
    <x v="70"/>
    <x v="0"/>
  </r>
  <r>
    <x v="0"/>
    <x v="74"/>
    <x v="74"/>
    <x v="52"/>
    <x v="52"/>
    <x v="52"/>
    <x v="14"/>
    <x v="216"/>
    <x v="84"/>
    <x v="65"/>
    <x v="65"/>
    <x v="127"/>
    <x v="151"/>
    <x v="0"/>
  </r>
  <r>
    <x v="0"/>
    <x v="74"/>
    <x v="74"/>
    <x v="23"/>
    <x v="23"/>
    <x v="23"/>
    <x v="14"/>
    <x v="216"/>
    <x v="84"/>
    <x v="50"/>
    <x v="462"/>
    <x v="123"/>
    <x v="261"/>
    <x v="0"/>
  </r>
  <r>
    <x v="0"/>
    <x v="75"/>
    <x v="75"/>
    <x v="0"/>
    <x v="0"/>
    <x v="0"/>
    <x v="0"/>
    <x v="144"/>
    <x v="399"/>
    <x v="118"/>
    <x v="564"/>
    <x v="113"/>
    <x v="369"/>
    <x v="0"/>
  </r>
  <r>
    <x v="0"/>
    <x v="75"/>
    <x v="75"/>
    <x v="2"/>
    <x v="2"/>
    <x v="2"/>
    <x v="0"/>
    <x v="144"/>
    <x v="399"/>
    <x v="136"/>
    <x v="565"/>
    <x v="119"/>
    <x v="240"/>
    <x v="0"/>
  </r>
  <r>
    <x v="0"/>
    <x v="75"/>
    <x v="75"/>
    <x v="1"/>
    <x v="1"/>
    <x v="1"/>
    <x v="2"/>
    <x v="136"/>
    <x v="352"/>
    <x v="71"/>
    <x v="401"/>
    <x v="123"/>
    <x v="201"/>
    <x v="0"/>
  </r>
  <r>
    <x v="0"/>
    <x v="75"/>
    <x v="75"/>
    <x v="3"/>
    <x v="3"/>
    <x v="3"/>
    <x v="3"/>
    <x v="141"/>
    <x v="400"/>
    <x v="109"/>
    <x v="566"/>
    <x v="127"/>
    <x v="151"/>
    <x v="0"/>
  </r>
  <r>
    <x v="0"/>
    <x v="75"/>
    <x v="75"/>
    <x v="6"/>
    <x v="6"/>
    <x v="6"/>
    <x v="4"/>
    <x v="194"/>
    <x v="57"/>
    <x v="61"/>
    <x v="567"/>
    <x v="127"/>
    <x v="151"/>
    <x v="0"/>
  </r>
  <r>
    <x v="0"/>
    <x v="75"/>
    <x v="75"/>
    <x v="42"/>
    <x v="42"/>
    <x v="42"/>
    <x v="5"/>
    <x v="208"/>
    <x v="142"/>
    <x v="50"/>
    <x v="60"/>
    <x v="113"/>
    <x v="369"/>
    <x v="0"/>
  </r>
  <r>
    <x v="0"/>
    <x v="75"/>
    <x v="75"/>
    <x v="37"/>
    <x v="37"/>
    <x v="37"/>
    <x v="5"/>
    <x v="208"/>
    <x v="142"/>
    <x v="65"/>
    <x v="65"/>
    <x v="106"/>
    <x v="342"/>
    <x v="0"/>
  </r>
  <r>
    <x v="0"/>
    <x v="75"/>
    <x v="75"/>
    <x v="46"/>
    <x v="46"/>
    <x v="46"/>
    <x v="7"/>
    <x v="195"/>
    <x v="401"/>
    <x v="95"/>
    <x v="568"/>
    <x v="93"/>
    <x v="222"/>
    <x v="0"/>
  </r>
  <r>
    <x v="0"/>
    <x v="75"/>
    <x v="75"/>
    <x v="7"/>
    <x v="7"/>
    <x v="7"/>
    <x v="7"/>
    <x v="195"/>
    <x v="401"/>
    <x v="39"/>
    <x v="569"/>
    <x v="108"/>
    <x v="310"/>
    <x v="0"/>
  </r>
  <r>
    <x v="0"/>
    <x v="75"/>
    <x v="75"/>
    <x v="15"/>
    <x v="15"/>
    <x v="15"/>
    <x v="7"/>
    <x v="195"/>
    <x v="401"/>
    <x v="39"/>
    <x v="569"/>
    <x v="108"/>
    <x v="310"/>
    <x v="0"/>
  </r>
  <r>
    <x v="0"/>
    <x v="75"/>
    <x v="75"/>
    <x v="51"/>
    <x v="51"/>
    <x v="51"/>
    <x v="7"/>
    <x v="195"/>
    <x v="401"/>
    <x v="51"/>
    <x v="255"/>
    <x v="110"/>
    <x v="165"/>
    <x v="0"/>
  </r>
  <r>
    <x v="0"/>
    <x v="75"/>
    <x v="75"/>
    <x v="45"/>
    <x v="45"/>
    <x v="45"/>
    <x v="7"/>
    <x v="195"/>
    <x v="401"/>
    <x v="95"/>
    <x v="568"/>
    <x v="93"/>
    <x v="222"/>
    <x v="0"/>
  </r>
  <r>
    <x v="0"/>
    <x v="75"/>
    <x v="75"/>
    <x v="5"/>
    <x v="5"/>
    <x v="5"/>
    <x v="7"/>
    <x v="195"/>
    <x v="401"/>
    <x v="100"/>
    <x v="209"/>
    <x v="123"/>
    <x v="201"/>
    <x v="0"/>
  </r>
  <r>
    <x v="0"/>
    <x v="75"/>
    <x v="75"/>
    <x v="10"/>
    <x v="10"/>
    <x v="10"/>
    <x v="13"/>
    <x v="210"/>
    <x v="234"/>
    <x v="65"/>
    <x v="65"/>
    <x v="109"/>
    <x v="216"/>
    <x v="0"/>
  </r>
  <r>
    <x v="0"/>
    <x v="75"/>
    <x v="75"/>
    <x v="13"/>
    <x v="13"/>
    <x v="13"/>
    <x v="13"/>
    <x v="210"/>
    <x v="234"/>
    <x v="70"/>
    <x v="197"/>
    <x v="119"/>
    <x v="240"/>
    <x v="0"/>
  </r>
  <r>
    <x v="0"/>
    <x v="75"/>
    <x v="75"/>
    <x v="12"/>
    <x v="12"/>
    <x v="12"/>
    <x v="13"/>
    <x v="210"/>
    <x v="234"/>
    <x v="39"/>
    <x v="569"/>
    <x v="93"/>
    <x v="222"/>
    <x v="0"/>
  </r>
  <r>
    <x v="0"/>
    <x v="75"/>
    <x v="75"/>
    <x v="40"/>
    <x v="40"/>
    <x v="40"/>
    <x v="15"/>
    <x v="196"/>
    <x v="154"/>
    <x v="70"/>
    <x v="197"/>
    <x v="110"/>
    <x v="165"/>
    <x v="0"/>
  </r>
  <r>
    <x v="0"/>
    <x v="75"/>
    <x v="75"/>
    <x v="4"/>
    <x v="4"/>
    <x v="4"/>
    <x v="15"/>
    <x v="196"/>
    <x v="154"/>
    <x v="62"/>
    <x v="12"/>
    <x v="108"/>
    <x v="310"/>
    <x v="0"/>
  </r>
  <r>
    <x v="0"/>
    <x v="75"/>
    <x v="75"/>
    <x v="28"/>
    <x v="28"/>
    <x v="28"/>
    <x v="17"/>
    <x v="197"/>
    <x v="87"/>
    <x v="62"/>
    <x v="12"/>
    <x v="93"/>
    <x v="222"/>
    <x v="0"/>
  </r>
  <r>
    <x v="0"/>
    <x v="75"/>
    <x v="75"/>
    <x v="41"/>
    <x v="41"/>
    <x v="41"/>
    <x v="17"/>
    <x v="197"/>
    <x v="87"/>
    <x v="62"/>
    <x v="12"/>
    <x v="93"/>
    <x v="222"/>
    <x v="0"/>
  </r>
  <r>
    <x v="0"/>
    <x v="75"/>
    <x v="75"/>
    <x v="47"/>
    <x v="47"/>
    <x v="47"/>
    <x v="17"/>
    <x v="197"/>
    <x v="87"/>
    <x v="56"/>
    <x v="269"/>
    <x v="110"/>
    <x v="165"/>
    <x v="0"/>
  </r>
  <r>
    <x v="0"/>
    <x v="76"/>
    <x v="76"/>
    <x v="51"/>
    <x v="51"/>
    <x v="51"/>
    <x v="0"/>
    <x v="198"/>
    <x v="402"/>
    <x v="51"/>
    <x v="570"/>
    <x v="127"/>
    <x v="151"/>
    <x v="0"/>
  </r>
  <r>
    <x v="0"/>
    <x v="76"/>
    <x v="76"/>
    <x v="14"/>
    <x v="14"/>
    <x v="14"/>
    <x v="1"/>
    <x v="199"/>
    <x v="403"/>
    <x v="50"/>
    <x v="64"/>
    <x v="108"/>
    <x v="370"/>
    <x v="0"/>
  </r>
  <r>
    <x v="0"/>
    <x v="76"/>
    <x v="76"/>
    <x v="40"/>
    <x v="40"/>
    <x v="40"/>
    <x v="2"/>
    <x v="200"/>
    <x v="404"/>
    <x v="50"/>
    <x v="64"/>
    <x v="93"/>
    <x v="283"/>
    <x v="0"/>
  </r>
  <r>
    <x v="0"/>
    <x v="76"/>
    <x v="76"/>
    <x v="7"/>
    <x v="7"/>
    <x v="7"/>
    <x v="2"/>
    <x v="200"/>
    <x v="404"/>
    <x v="50"/>
    <x v="64"/>
    <x v="93"/>
    <x v="283"/>
    <x v="0"/>
  </r>
  <r>
    <x v="0"/>
    <x v="76"/>
    <x v="76"/>
    <x v="3"/>
    <x v="3"/>
    <x v="3"/>
    <x v="2"/>
    <x v="200"/>
    <x v="404"/>
    <x v="70"/>
    <x v="492"/>
    <x v="127"/>
    <x v="151"/>
    <x v="0"/>
  </r>
  <r>
    <x v="0"/>
    <x v="76"/>
    <x v="76"/>
    <x v="46"/>
    <x v="46"/>
    <x v="46"/>
    <x v="5"/>
    <x v="216"/>
    <x v="405"/>
    <x v="50"/>
    <x v="64"/>
    <x v="123"/>
    <x v="242"/>
    <x v="0"/>
  </r>
  <r>
    <x v="0"/>
    <x v="76"/>
    <x v="76"/>
    <x v="148"/>
    <x v="148"/>
    <x v="148"/>
    <x v="5"/>
    <x v="216"/>
    <x v="405"/>
    <x v="65"/>
    <x v="65"/>
    <x v="93"/>
    <x v="283"/>
    <x v="0"/>
  </r>
  <r>
    <x v="0"/>
    <x v="76"/>
    <x v="76"/>
    <x v="48"/>
    <x v="48"/>
    <x v="48"/>
    <x v="5"/>
    <x v="216"/>
    <x v="405"/>
    <x v="56"/>
    <x v="367"/>
    <x v="127"/>
    <x v="151"/>
    <x v="0"/>
  </r>
  <r>
    <x v="0"/>
    <x v="76"/>
    <x v="76"/>
    <x v="12"/>
    <x v="12"/>
    <x v="12"/>
    <x v="5"/>
    <x v="216"/>
    <x v="405"/>
    <x v="50"/>
    <x v="64"/>
    <x v="123"/>
    <x v="242"/>
    <x v="0"/>
  </r>
  <r>
    <x v="0"/>
    <x v="76"/>
    <x v="76"/>
    <x v="0"/>
    <x v="0"/>
    <x v="0"/>
    <x v="5"/>
    <x v="216"/>
    <x v="405"/>
    <x v="56"/>
    <x v="367"/>
    <x v="127"/>
    <x v="151"/>
    <x v="0"/>
  </r>
  <r>
    <x v="0"/>
    <x v="76"/>
    <x v="76"/>
    <x v="37"/>
    <x v="37"/>
    <x v="37"/>
    <x v="5"/>
    <x v="216"/>
    <x v="405"/>
    <x v="65"/>
    <x v="65"/>
    <x v="93"/>
    <x v="283"/>
    <x v="0"/>
  </r>
  <r>
    <x v="0"/>
    <x v="76"/>
    <x v="76"/>
    <x v="52"/>
    <x v="52"/>
    <x v="52"/>
    <x v="5"/>
    <x v="216"/>
    <x v="405"/>
    <x v="65"/>
    <x v="65"/>
    <x v="127"/>
    <x v="151"/>
    <x v="0"/>
  </r>
  <r>
    <x v="0"/>
    <x v="76"/>
    <x v="76"/>
    <x v="10"/>
    <x v="10"/>
    <x v="10"/>
    <x v="12"/>
    <x v="217"/>
    <x v="45"/>
    <x v="65"/>
    <x v="65"/>
    <x v="123"/>
    <x v="242"/>
    <x v="0"/>
  </r>
  <r>
    <x v="0"/>
    <x v="76"/>
    <x v="76"/>
    <x v="17"/>
    <x v="17"/>
    <x v="17"/>
    <x v="12"/>
    <x v="217"/>
    <x v="45"/>
    <x v="65"/>
    <x v="65"/>
    <x v="123"/>
    <x v="242"/>
    <x v="0"/>
  </r>
  <r>
    <x v="0"/>
    <x v="76"/>
    <x v="76"/>
    <x v="67"/>
    <x v="67"/>
    <x v="67"/>
    <x v="12"/>
    <x v="217"/>
    <x v="45"/>
    <x v="50"/>
    <x v="64"/>
    <x v="127"/>
    <x v="151"/>
    <x v="0"/>
  </r>
  <r>
    <x v="0"/>
    <x v="76"/>
    <x v="76"/>
    <x v="87"/>
    <x v="87"/>
    <x v="87"/>
    <x v="12"/>
    <x v="217"/>
    <x v="45"/>
    <x v="65"/>
    <x v="65"/>
    <x v="123"/>
    <x v="242"/>
    <x v="0"/>
  </r>
  <r>
    <x v="0"/>
    <x v="76"/>
    <x v="76"/>
    <x v="149"/>
    <x v="149"/>
    <x v="149"/>
    <x v="12"/>
    <x v="217"/>
    <x v="45"/>
    <x v="65"/>
    <x v="65"/>
    <x v="123"/>
    <x v="242"/>
    <x v="0"/>
  </r>
  <r>
    <x v="0"/>
    <x v="76"/>
    <x v="76"/>
    <x v="150"/>
    <x v="150"/>
    <x v="150"/>
    <x v="12"/>
    <x v="217"/>
    <x v="45"/>
    <x v="65"/>
    <x v="65"/>
    <x v="123"/>
    <x v="242"/>
    <x v="0"/>
  </r>
  <r>
    <x v="0"/>
    <x v="76"/>
    <x v="76"/>
    <x v="151"/>
    <x v="75"/>
    <x v="151"/>
    <x v="12"/>
    <x v="217"/>
    <x v="45"/>
    <x v="65"/>
    <x v="65"/>
    <x v="123"/>
    <x v="242"/>
    <x v="0"/>
  </r>
  <r>
    <x v="0"/>
    <x v="76"/>
    <x v="76"/>
    <x v="75"/>
    <x v="75"/>
    <x v="75"/>
    <x v="12"/>
    <x v="217"/>
    <x v="45"/>
    <x v="65"/>
    <x v="65"/>
    <x v="127"/>
    <x v="151"/>
    <x v="0"/>
  </r>
  <r>
    <x v="0"/>
    <x v="76"/>
    <x v="76"/>
    <x v="134"/>
    <x v="134"/>
    <x v="134"/>
    <x v="12"/>
    <x v="217"/>
    <x v="45"/>
    <x v="65"/>
    <x v="65"/>
    <x v="123"/>
    <x v="242"/>
    <x v="0"/>
  </r>
  <r>
    <x v="0"/>
    <x v="76"/>
    <x v="76"/>
    <x v="152"/>
    <x v="151"/>
    <x v="152"/>
    <x v="12"/>
    <x v="217"/>
    <x v="45"/>
    <x v="65"/>
    <x v="65"/>
    <x v="123"/>
    <x v="242"/>
    <x v="0"/>
  </r>
  <r>
    <x v="0"/>
    <x v="76"/>
    <x v="76"/>
    <x v="153"/>
    <x v="152"/>
    <x v="153"/>
    <x v="12"/>
    <x v="217"/>
    <x v="45"/>
    <x v="65"/>
    <x v="65"/>
    <x v="123"/>
    <x v="242"/>
    <x v="0"/>
  </r>
  <r>
    <x v="0"/>
    <x v="76"/>
    <x v="76"/>
    <x v="68"/>
    <x v="68"/>
    <x v="68"/>
    <x v="12"/>
    <x v="217"/>
    <x v="45"/>
    <x v="50"/>
    <x v="64"/>
    <x v="127"/>
    <x v="151"/>
    <x v="0"/>
  </r>
  <r>
    <x v="0"/>
    <x v="76"/>
    <x v="76"/>
    <x v="80"/>
    <x v="80"/>
    <x v="80"/>
    <x v="12"/>
    <x v="217"/>
    <x v="45"/>
    <x v="50"/>
    <x v="64"/>
    <x v="127"/>
    <x v="151"/>
    <x v="0"/>
  </r>
  <r>
    <x v="0"/>
    <x v="76"/>
    <x v="76"/>
    <x v="92"/>
    <x v="92"/>
    <x v="92"/>
    <x v="12"/>
    <x v="217"/>
    <x v="45"/>
    <x v="50"/>
    <x v="64"/>
    <x v="127"/>
    <x v="151"/>
    <x v="0"/>
  </r>
  <r>
    <x v="0"/>
    <x v="76"/>
    <x v="76"/>
    <x v="44"/>
    <x v="44"/>
    <x v="44"/>
    <x v="12"/>
    <x v="217"/>
    <x v="45"/>
    <x v="50"/>
    <x v="64"/>
    <x v="127"/>
    <x v="151"/>
    <x v="0"/>
  </r>
  <r>
    <x v="0"/>
    <x v="76"/>
    <x v="76"/>
    <x v="47"/>
    <x v="47"/>
    <x v="47"/>
    <x v="12"/>
    <x v="217"/>
    <x v="45"/>
    <x v="50"/>
    <x v="64"/>
    <x v="127"/>
    <x v="151"/>
    <x v="0"/>
  </r>
  <r>
    <x v="0"/>
    <x v="76"/>
    <x v="76"/>
    <x v="35"/>
    <x v="35"/>
    <x v="35"/>
    <x v="12"/>
    <x v="217"/>
    <x v="45"/>
    <x v="65"/>
    <x v="65"/>
    <x v="123"/>
    <x v="242"/>
    <x v="0"/>
  </r>
  <r>
    <x v="0"/>
    <x v="76"/>
    <x v="76"/>
    <x v="117"/>
    <x v="117"/>
    <x v="117"/>
    <x v="12"/>
    <x v="217"/>
    <x v="45"/>
    <x v="65"/>
    <x v="65"/>
    <x v="123"/>
    <x v="242"/>
    <x v="0"/>
  </r>
  <r>
    <x v="0"/>
    <x v="76"/>
    <x v="76"/>
    <x v="1"/>
    <x v="1"/>
    <x v="1"/>
    <x v="12"/>
    <x v="217"/>
    <x v="45"/>
    <x v="50"/>
    <x v="64"/>
    <x v="127"/>
    <x v="151"/>
    <x v="0"/>
  </r>
  <r>
    <x v="0"/>
    <x v="76"/>
    <x v="76"/>
    <x v="23"/>
    <x v="23"/>
    <x v="23"/>
    <x v="12"/>
    <x v="217"/>
    <x v="45"/>
    <x v="50"/>
    <x v="64"/>
    <x v="127"/>
    <x v="151"/>
    <x v="0"/>
  </r>
  <r>
    <x v="0"/>
    <x v="76"/>
    <x v="76"/>
    <x v="43"/>
    <x v="43"/>
    <x v="43"/>
    <x v="12"/>
    <x v="217"/>
    <x v="45"/>
    <x v="65"/>
    <x v="65"/>
    <x v="127"/>
    <x v="151"/>
    <x v="0"/>
  </r>
  <r>
    <x v="0"/>
    <x v="77"/>
    <x v="77"/>
    <x v="12"/>
    <x v="12"/>
    <x v="12"/>
    <x v="0"/>
    <x v="200"/>
    <x v="406"/>
    <x v="70"/>
    <x v="571"/>
    <x v="127"/>
    <x v="151"/>
    <x v="0"/>
  </r>
  <r>
    <x v="0"/>
    <x v="77"/>
    <x v="77"/>
    <x v="51"/>
    <x v="51"/>
    <x v="51"/>
    <x v="0"/>
    <x v="200"/>
    <x v="406"/>
    <x v="56"/>
    <x v="313"/>
    <x v="123"/>
    <x v="214"/>
    <x v="0"/>
  </r>
  <r>
    <x v="0"/>
    <x v="77"/>
    <x v="77"/>
    <x v="68"/>
    <x v="68"/>
    <x v="68"/>
    <x v="2"/>
    <x v="216"/>
    <x v="223"/>
    <x v="50"/>
    <x v="572"/>
    <x v="123"/>
    <x v="214"/>
    <x v="0"/>
  </r>
  <r>
    <x v="0"/>
    <x v="77"/>
    <x v="77"/>
    <x v="49"/>
    <x v="49"/>
    <x v="49"/>
    <x v="2"/>
    <x v="216"/>
    <x v="223"/>
    <x v="56"/>
    <x v="313"/>
    <x v="127"/>
    <x v="151"/>
    <x v="0"/>
  </r>
  <r>
    <x v="0"/>
    <x v="77"/>
    <x v="77"/>
    <x v="2"/>
    <x v="2"/>
    <x v="2"/>
    <x v="2"/>
    <x v="216"/>
    <x v="223"/>
    <x v="56"/>
    <x v="313"/>
    <x v="127"/>
    <x v="151"/>
    <x v="0"/>
  </r>
  <r>
    <x v="0"/>
    <x v="77"/>
    <x v="77"/>
    <x v="3"/>
    <x v="3"/>
    <x v="3"/>
    <x v="2"/>
    <x v="216"/>
    <x v="223"/>
    <x v="56"/>
    <x v="313"/>
    <x v="127"/>
    <x v="151"/>
    <x v="0"/>
  </r>
  <r>
    <x v="0"/>
    <x v="77"/>
    <x v="77"/>
    <x v="10"/>
    <x v="10"/>
    <x v="10"/>
    <x v="6"/>
    <x v="217"/>
    <x v="407"/>
    <x v="65"/>
    <x v="65"/>
    <x v="123"/>
    <x v="214"/>
    <x v="0"/>
  </r>
  <r>
    <x v="0"/>
    <x v="77"/>
    <x v="77"/>
    <x v="87"/>
    <x v="87"/>
    <x v="87"/>
    <x v="6"/>
    <x v="217"/>
    <x v="407"/>
    <x v="65"/>
    <x v="65"/>
    <x v="123"/>
    <x v="214"/>
    <x v="0"/>
  </r>
  <r>
    <x v="0"/>
    <x v="77"/>
    <x v="77"/>
    <x v="14"/>
    <x v="14"/>
    <x v="14"/>
    <x v="6"/>
    <x v="217"/>
    <x v="407"/>
    <x v="65"/>
    <x v="65"/>
    <x v="123"/>
    <x v="214"/>
    <x v="0"/>
  </r>
  <r>
    <x v="0"/>
    <x v="77"/>
    <x v="77"/>
    <x v="54"/>
    <x v="54"/>
    <x v="54"/>
    <x v="6"/>
    <x v="217"/>
    <x v="407"/>
    <x v="50"/>
    <x v="572"/>
    <x v="127"/>
    <x v="151"/>
    <x v="0"/>
  </r>
  <r>
    <x v="0"/>
    <x v="77"/>
    <x v="77"/>
    <x v="75"/>
    <x v="75"/>
    <x v="75"/>
    <x v="6"/>
    <x v="217"/>
    <x v="407"/>
    <x v="65"/>
    <x v="65"/>
    <x v="127"/>
    <x v="151"/>
    <x v="0"/>
  </r>
  <r>
    <x v="0"/>
    <x v="77"/>
    <x v="77"/>
    <x v="30"/>
    <x v="30"/>
    <x v="30"/>
    <x v="6"/>
    <x v="217"/>
    <x v="407"/>
    <x v="65"/>
    <x v="65"/>
    <x v="123"/>
    <x v="214"/>
    <x v="0"/>
  </r>
  <r>
    <x v="0"/>
    <x v="77"/>
    <x v="77"/>
    <x v="80"/>
    <x v="80"/>
    <x v="80"/>
    <x v="6"/>
    <x v="217"/>
    <x v="407"/>
    <x v="50"/>
    <x v="572"/>
    <x v="127"/>
    <x v="151"/>
    <x v="0"/>
  </r>
  <r>
    <x v="0"/>
    <x v="77"/>
    <x v="77"/>
    <x v="41"/>
    <x v="41"/>
    <x v="41"/>
    <x v="6"/>
    <x v="217"/>
    <x v="407"/>
    <x v="50"/>
    <x v="572"/>
    <x v="127"/>
    <x v="151"/>
    <x v="0"/>
  </r>
  <r>
    <x v="0"/>
    <x v="77"/>
    <x v="77"/>
    <x v="42"/>
    <x v="42"/>
    <x v="42"/>
    <x v="6"/>
    <x v="217"/>
    <x v="407"/>
    <x v="65"/>
    <x v="65"/>
    <x v="123"/>
    <x v="214"/>
    <x v="0"/>
  </r>
  <r>
    <x v="0"/>
    <x v="77"/>
    <x v="77"/>
    <x v="7"/>
    <x v="7"/>
    <x v="7"/>
    <x v="6"/>
    <x v="217"/>
    <x v="407"/>
    <x v="50"/>
    <x v="572"/>
    <x v="127"/>
    <x v="151"/>
    <x v="0"/>
  </r>
  <r>
    <x v="0"/>
    <x v="77"/>
    <x v="77"/>
    <x v="0"/>
    <x v="0"/>
    <x v="0"/>
    <x v="6"/>
    <x v="217"/>
    <x v="407"/>
    <x v="65"/>
    <x v="65"/>
    <x v="123"/>
    <x v="214"/>
    <x v="0"/>
  </r>
  <r>
    <x v="0"/>
    <x v="77"/>
    <x v="77"/>
    <x v="117"/>
    <x v="117"/>
    <x v="117"/>
    <x v="6"/>
    <x v="217"/>
    <x v="407"/>
    <x v="65"/>
    <x v="65"/>
    <x v="123"/>
    <x v="214"/>
    <x v="0"/>
  </r>
  <r>
    <x v="0"/>
    <x v="77"/>
    <x v="77"/>
    <x v="45"/>
    <x v="45"/>
    <x v="45"/>
    <x v="6"/>
    <x v="217"/>
    <x v="407"/>
    <x v="50"/>
    <x v="572"/>
    <x v="127"/>
    <x v="151"/>
    <x v="0"/>
  </r>
  <r>
    <x v="0"/>
    <x v="77"/>
    <x v="77"/>
    <x v="4"/>
    <x v="4"/>
    <x v="4"/>
    <x v="6"/>
    <x v="217"/>
    <x v="407"/>
    <x v="65"/>
    <x v="65"/>
    <x v="123"/>
    <x v="214"/>
    <x v="0"/>
  </r>
  <r>
    <x v="0"/>
    <x v="77"/>
    <x v="77"/>
    <x v="61"/>
    <x v="61"/>
    <x v="61"/>
    <x v="6"/>
    <x v="217"/>
    <x v="407"/>
    <x v="65"/>
    <x v="65"/>
    <x v="123"/>
    <x v="214"/>
    <x v="0"/>
  </r>
  <r>
    <x v="0"/>
    <x v="77"/>
    <x v="77"/>
    <x v="5"/>
    <x v="5"/>
    <x v="5"/>
    <x v="6"/>
    <x v="217"/>
    <x v="407"/>
    <x v="50"/>
    <x v="572"/>
    <x v="127"/>
    <x v="151"/>
    <x v="0"/>
  </r>
  <r>
    <x v="0"/>
    <x v="77"/>
    <x v="77"/>
    <x v="9"/>
    <x v="9"/>
    <x v="9"/>
    <x v="6"/>
    <x v="217"/>
    <x v="407"/>
    <x v="50"/>
    <x v="572"/>
    <x v="127"/>
    <x v="151"/>
    <x v="0"/>
  </r>
  <r>
    <x v="0"/>
    <x v="77"/>
    <x v="77"/>
    <x v="1"/>
    <x v="1"/>
    <x v="1"/>
    <x v="6"/>
    <x v="217"/>
    <x v="407"/>
    <x v="50"/>
    <x v="572"/>
    <x v="127"/>
    <x v="151"/>
    <x v="0"/>
  </r>
  <r>
    <x v="0"/>
    <x v="77"/>
    <x v="77"/>
    <x v="23"/>
    <x v="23"/>
    <x v="23"/>
    <x v="6"/>
    <x v="217"/>
    <x v="407"/>
    <x v="50"/>
    <x v="572"/>
    <x v="127"/>
    <x v="151"/>
    <x v="0"/>
  </r>
  <r>
    <x v="0"/>
    <x v="77"/>
    <x v="77"/>
    <x v="43"/>
    <x v="43"/>
    <x v="43"/>
    <x v="6"/>
    <x v="217"/>
    <x v="407"/>
    <x v="65"/>
    <x v="65"/>
    <x v="123"/>
    <x v="214"/>
    <x v="0"/>
  </r>
  <r>
    <x v="0"/>
    <x v="77"/>
    <x v="77"/>
    <x v="71"/>
    <x v="71"/>
    <x v="71"/>
    <x v="6"/>
    <x v="217"/>
    <x v="407"/>
    <x v="65"/>
    <x v="65"/>
    <x v="123"/>
    <x v="214"/>
    <x v="0"/>
  </r>
  <r>
    <x v="0"/>
    <x v="77"/>
    <x v="77"/>
    <x v="72"/>
    <x v="72"/>
    <x v="72"/>
    <x v="6"/>
    <x v="217"/>
    <x v="407"/>
    <x v="50"/>
    <x v="572"/>
    <x v="127"/>
    <x v="151"/>
    <x v="0"/>
  </r>
  <r>
    <x v="0"/>
    <x v="77"/>
    <x v="77"/>
    <x v="19"/>
    <x v="19"/>
    <x v="19"/>
    <x v="6"/>
    <x v="217"/>
    <x v="407"/>
    <x v="50"/>
    <x v="572"/>
    <x v="127"/>
    <x v="151"/>
    <x v="0"/>
  </r>
  <r>
    <x v="0"/>
    <x v="78"/>
    <x v="78"/>
    <x v="51"/>
    <x v="51"/>
    <x v="51"/>
    <x v="0"/>
    <x v="210"/>
    <x v="408"/>
    <x v="39"/>
    <x v="573"/>
    <x v="93"/>
    <x v="371"/>
    <x v="0"/>
  </r>
  <r>
    <x v="0"/>
    <x v="78"/>
    <x v="78"/>
    <x v="42"/>
    <x v="42"/>
    <x v="42"/>
    <x v="1"/>
    <x v="197"/>
    <x v="341"/>
    <x v="70"/>
    <x v="574"/>
    <x v="108"/>
    <x v="372"/>
    <x v="0"/>
  </r>
  <r>
    <x v="0"/>
    <x v="78"/>
    <x v="78"/>
    <x v="12"/>
    <x v="12"/>
    <x v="12"/>
    <x v="2"/>
    <x v="198"/>
    <x v="348"/>
    <x v="51"/>
    <x v="401"/>
    <x v="127"/>
    <x v="151"/>
    <x v="0"/>
  </r>
  <r>
    <x v="0"/>
    <x v="78"/>
    <x v="78"/>
    <x v="49"/>
    <x v="49"/>
    <x v="49"/>
    <x v="3"/>
    <x v="199"/>
    <x v="342"/>
    <x v="62"/>
    <x v="575"/>
    <x v="127"/>
    <x v="151"/>
    <x v="0"/>
  </r>
  <r>
    <x v="0"/>
    <x v="78"/>
    <x v="78"/>
    <x v="4"/>
    <x v="4"/>
    <x v="4"/>
    <x v="3"/>
    <x v="199"/>
    <x v="342"/>
    <x v="62"/>
    <x v="575"/>
    <x v="127"/>
    <x v="151"/>
    <x v="0"/>
  </r>
  <r>
    <x v="0"/>
    <x v="78"/>
    <x v="78"/>
    <x v="123"/>
    <x v="123"/>
    <x v="123"/>
    <x v="3"/>
    <x v="199"/>
    <x v="342"/>
    <x v="62"/>
    <x v="575"/>
    <x v="127"/>
    <x v="151"/>
    <x v="0"/>
  </r>
  <r>
    <x v="0"/>
    <x v="78"/>
    <x v="78"/>
    <x v="17"/>
    <x v="17"/>
    <x v="17"/>
    <x v="6"/>
    <x v="200"/>
    <x v="323"/>
    <x v="56"/>
    <x v="90"/>
    <x v="123"/>
    <x v="366"/>
    <x v="0"/>
  </r>
  <r>
    <x v="0"/>
    <x v="78"/>
    <x v="78"/>
    <x v="54"/>
    <x v="54"/>
    <x v="54"/>
    <x v="6"/>
    <x v="200"/>
    <x v="323"/>
    <x v="65"/>
    <x v="65"/>
    <x v="93"/>
    <x v="371"/>
    <x v="6"/>
  </r>
  <r>
    <x v="0"/>
    <x v="78"/>
    <x v="78"/>
    <x v="41"/>
    <x v="41"/>
    <x v="41"/>
    <x v="6"/>
    <x v="200"/>
    <x v="323"/>
    <x v="56"/>
    <x v="90"/>
    <x v="123"/>
    <x v="366"/>
    <x v="0"/>
  </r>
  <r>
    <x v="0"/>
    <x v="78"/>
    <x v="78"/>
    <x v="45"/>
    <x v="45"/>
    <x v="45"/>
    <x v="6"/>
    <x v="200"/>
    <x v="323"/>
    <x v="56"/>
    <x v="90"/>
    <x v="123"/>
    <x v="366"/>
    <x v="0"/>
  </r>
  <r>
    <x v="0"/>
    <x v="78"/>
    <x v="78"/>
    <x v="2"/>
    <x v="2"/>
    <x v="2"/>
    <x v="6"/>
    <x v="200"/>
    <x v="323"/>
    <x v="70"/>
    <x v="574"/>
    <x v="127"/>
    <x v="151"/>
    <x v="0"/>
  </r>
  <r>
    <x v="0"/>
    <x v="78"/>
    <x v="78"/>
    <x v="1"/>
    <x v="1"/>
    <x v="1"/>
    <x v="6"/>
    <x v="200"/>
    <x v="323"/>
    <x v="70"/>
    <x v="574"/>
    <x v="127"/>
    <x v="151"/>
    <x v="0"/>
  </r>
  <r>
    <x v="0"/>
    <x v="78"/>
    <x v="78"/>
    <x v="107"/>
    <x v="107"/>
    <x v="107"/>
    <x v="12"/>
    <x v="216"/>
    <x v="93"/>
    <x v="65"/>
    <x v="65"/>
    <x v="93"/>
    <x v="371"/>
    <x v="0"/>
  </r>
  <r>
    <x v="0"/>
    <x v="78"/>
    <x v="78"/>
    <x v="36"/>
    <x v="36"/>
    <x v="36"/>
    <x v="12"/>
    <x v="216"/>
    <x v="93"/>
    <x v="65"/>
    <x v="65"/>
    <x v="93"/>
    <x v="371"/>
    <x v="0"/>
  </r>
  <r>
    <x v="0"/>
    <x v="78"/>
    <x v="78"/>
    <x v="28"/>
    <x v="28"/>
    <x v="28"/>
    <x v="12"/>
    <x v="216"/>
    <x v="93"/>
    <x v="50"/>
    <x v="255"/>
    <x v="123"/>
    <x v="366"/>
    <x v="0"/>
  </r>
  <r>
    <x v="0"/>
    <x v="78"/>
    <x v="78"/>
    <x v="7"/>
    <x v="7"/>
    <x v="7"/>
    <x v="12"/>
    <x v="216"/>
    <x v="93"/>
    <x v="56"/>
    <x v="90"/>
    <x v="127"/>
    <x v="151"/>
    <x v="0"/>
  </r>
  <r>
    <x v="0"/>
    <x v="78"/>
    <x v="78"/>
    <x v="117"/>
    <x v="117"/>
    <x v="117"/>
    <x v="12"/>
    <x v="216"/>
    <x v="93"/>
    <x v="56"/>
    <x v="90"/>
    <x v="127"/>
    <x v="151"/>
    <x v="0"/>
  </r>
  <r>
    <x v="0"/>
    <x v="78"/>
    <x v="78"/>
    <x v="61"/>
    <x v="61"/>
    <x v="61"/>
    <x v="12"/>
    <x v="216"/>
    <x v="93"/>
    <x v="65"/>
    <x v="65"/>
    <x v="93"/>
    <x v="371"/>
    <x v="0"/>
  </r>
  <r>
    <x v="0"/>
    <x v="78"/>
    <x v="78"/>
    <x v="102"/>
    <x v="102"/>
    <x v="102"/>
    <x v="12"/>
    <x v="216"/>
    <x v="93"/>
    <x v="50"/>
    <x v="255"/>
    <x v="123"/>
    <x v="366"/>
    <x v="0"/>
  </r>
  <r>
    <x v="0"/>
    <x v="78"/>
    <x v="78"/>
    <x v="37"/>
    <x v="37"/>
    <x v="37"/>
    <x v="12"/>
    <x v="216"/>
    <x v="93"/>
    <x v="65"/>
    <x v="65"/>
    <x v="123"/>
    <x v="366"/>
    <x v="0"/>
  </r>
  <r>
    <x v="0"/>
    <x v="78"/>
    <x v="78"/>
    <x v="53"/>
    <x v="53"/>
    <x v="53"/>
    <x v="12"/>
    <x v="216"/>
    <x v="93"/>
    <x v="65"/>
    <x v="65"/>
    <x v="127"/>
    <x v="151"/>
    <x v="0"/>
  </r>
  <r>
    <x v="0"/>
    <x v="79"/>
    <x v="79"/>
    <x v="3"/>
    <x v="3"/>
    <x v="3"/>
    <x v="0"/>
    <x v="196"/>
    <x v="250"/>
    <x v="95"/>
    <x v="576"/>
    <x v="127"/>
    <x v="151"/>
    <x v="0"/>
  </r>
  <r>
    <x v="0"/>
    <x v="79"/>
    <x v="79"/>
    <x v="42"/>
    <x v="42"/>
    <x v="42"/>
    <x v="1"/>
    <x v="197"/>
    <x v="352"/>
    <x v="56"/>
    <x v="447"/>
    <x v="110"/>
    <x v="358"/>
    <x v="0"/>
  </r>
  <r>
    <x v="0"/>
    <x v="79"/>
    <x v="79"/>
    <x v="1"/>
    <x v="1"/>
    <x v="1"/>
    <x v="2"/>
    <x v="198"/>
    <x v="409"/>
    <x v="51"/>
    <x v="577"/>
    <x v="127"/>
    <x v="151"/>
    <x v="0"/>
  </r>
  <r>
    <x v="0"/>
    <x v="79"/>
    <x v="79"/>
    <x v="123"/>
    <x v="123"/>
    <x v="123"/>
    <x v="3"/>
    <x v="199"/>
    <x v="410"/>
    <x v="62"/>
    <x v="525"/>
    <x v="127"/>
    <x v="151"/>
    <x v="0"/>
  </r>
  <r>
    <x v="0"/>
    <x v="79"/>
    <x v="79"/>
    <x v="67"/>
    <x v="67"/>
    <x v="67"/>
    <x v="4"/>
    <x v="200"/>
    <x v="92"/>
    <x v="56"/>
    <x v="447"/>
    <x v="123"/>
    <x v="240"/>
    <x v="0"/>
  </r>
  <r>
    <x v="0"/>
    <x v="79"/>
    <x v="79"/>
    <x v="13"/>
    <x v="13"/>
    <x v="13"/>
    <x v="4"/>
    <x v="200"/>
    <x v="92"/>
    <x v="56"/>
    <x v="447"/>
    <x v="123"/>
    <x v="240"/>
    <x v="0"/>
  </r>
  <r>
    <x v="0"/>
    <x v="79"/>
    <x v="79"/>
    <x v="12"/>
    <x v="12"/>
    <x v="12"/>
    <x v="4"/>
    <x v="200"/>
    <x v="92"/>
    <x v="70"/>
    <x v="446"/>
    <x v="127"/>
    <x v="151"/>
    <x v="0"/>
  </r>
  <r>
    <x v="0"/>
    <x v="79"/>
    <x v="79"/>
    <x v="2"/>
    <x v="2"/>
    <x v="2"/>
    <x v="4"/>
    <x v="200"/>
    <x v="92"/>
    <x v="70"/>
    <x v="446"/>
    <x v="127"/>
    <x v="151"/>
    <x v="0"/>
  </r>
  <r>
    <x v="0"/>
    <x v="79"/>
    <x v="79"/>
    <x v="37"/>
    <x v="37"/>
    <x v="37"/>
    <x v="4"/>
    <x v="200"/>
    <x v="92"/>
    <x v="65"/>
    <x v="65"/>
    <x v="93"/>
    <x v="342"/>
    <x v="0"/>
  </r>
  <r>
    <x v="0"/>
    <x v="79"/>
    <x v="79"/>
    <x v="43"/>
    <x v="43"/>
    <x v="43"/>
    <x v="4"/>
    <x v="200"/>
    <x v="92"/>
    <x v="65"/>
    <x v="65"/>
    <x v="127"/>
    <x v="151"/>
    <x v="0"/>
  </r>
  <r>
    <x v="0"/>
    <x v="79"/>
    <x v="79"/>
    <x v="40"/>
    <x v="40"/>
    <x v="40"/>
    <x v="10"/>
    <x v="216"/>
    <x v="96"/>
    <x v="50"/>
    <x v="220"/>
    <x v="123"/>
    <x v="240"/>
    <x v="0"/>
  </r>
  <r>
    <x v="0"/>
    <x v="79"/>
    <x v="79"/>
    <x v="56"/>
    <x v="56"/>
    <x v="56"/>
    <x v="10"/>
    <x v="216"/>
    <x v="96"/>
    <x v="50"/>
    <x v="220"/>
    <x v="123"/>
    <x v="240"/>
    <x v="0"/>
  </r>
  <r>
    <x v="0"/>
    <x v="79"/>
    <x v="79"/>
    <x v="46"/>
    <x v="46"/>
    <x v="46"/>
    <x v="10"/>
    <x v="216"/>
    <x v="96"/>
    <x v="50"/>
    <x v="220"/>
    <x v="123"/>
    <x v="240"/>
    <x v="0"/>
  </r>
  <r>
    <x v="0"/>
    <x v="79"/>
    <x v="79"/>
    <x v="54"/>
    <x v="54"/>
    <x v="54"/>
    <x v="10"/>
    <x v="216"/>
    <x v="96"/>
    <x v="50"/>
    <x v="220"/>
    <x v="123"/>
    <x v="240"/>
    <x v="0"/>
  </r>
  <r>
    <x v="0"/>
    <x v="79"/>
    <x v="79"/>
    <x v="70"/>
    <x v="70"/>
    <x v="70"/>
    <x v="10"/>
    <x v="216"/>
    <x v="96"/>
    <x v="65"/>
    <x v="65"/>
    <x v="93"/>
    <x v="342"/>
    <x v="0"/>
  </r>
  <r>
    <x v="0"/>
    <x v="79"/>
    <x v="79"/>
    <x v="79"/>
    <x v="79"/>
    <x v="79"/>
    <x v="10"/>
    <x v="216"/>
    <x v="96"/>
    <x v="56"/>
    <x v="447"/>
    <x v="127"/>
    <x v="151"/>
    <x v="0"/>
  </r>
  <r>
    <x v="0"/>
    <x v="79"/>
    <x v="79"/>
    <x v="92"/>
    <x v="92"/>
    <x v="92"/>
    <x v="10"/>
    <x v="216"/>
    <x v="96"/>
    <x v="65"/>
    <x v="65"/>
    <x v="93"/>
    <x v="342"/>
    <x v="0"/>
  </r>
  <r>
    <x v="0"/>
    <x v="79"/>
    <x v="79"/>
    <x v="41"/>
    <x v="41"/>
    <x v="41"/>
    <x v="10"/>
    <x v="216"/>
    <x v="96"/>
    <x v="50"/>
    <x v="220"/>
    <x v="123"/>
    <x v="240"/>
    <x v="0"/>
  </r>
  <r>
    <x v="0"/>
    <x v="79"/>
    <x v="79"/>
    <x v="113"/>
    <x v="113"/>
    <x v="113"/>
    <x v="10"/>
    <x v="216"/>
    <x v="96"/>
    <x v="50"/>
    <x v="220"/>
    <x v="123"/>
    <x v="240"/>
    <x v="0"/>
  </r>
  <r>
    <x v="0"/>
    <x v="79"/>
    <x v="79"/>
    <x v="18"/>
    <x v="18"/>
    <x v="18"/>
    <x v="10"/>
    <x v="216"/>
    <x v="96"/>
    <x v="50"/>
    <x v="220"/>
    <x v="123"/>
    <x v="240"/>
    <x v="0"/>
  </r>
  <r>
    <x v="0"/>
    <x v="79"/>
    <x v="79"/>
    <x v="7"/>
    <x v="7"/>
    <x v="7"/>
    <x v="10"/>
    <x v="216"/>
    <x v="96"/>
    <x v="50"/>
    <x v="220"/>
    <x v="123"/>
    <x v="240"/>
    <x v="0"/>
  </r>
  <r>
    <x v="0"/>
    <x v="79"/>
    <x v="79"/>
    <x v="0"/>
    <x v="0"/>
    <x v="0"/>
    <x v="10"/>
    <x v="216"/>
    <x v="96"/>
    <x v="50"/>
    <x v="220"/>
    <x v="123"/>
    <x v="240"/>
    <x v="0"/>
  </r>
  <r>
    <x v="0"/>
    <x v="79"/>
    <x v="79"/>
    <x v="51"/>
    <x v="51"/>
    <x v="51"/>
    <x v="10"/>
    <x v="216"/>
    <x v="96"/>
    <x v="56"/>
    <x v="447"/>
    <x v="127"/>
    <x v="151"/>
    <x v="0"/>
  </r>
  <r>
    <x v="0"/>
    <x v="79"/>
    <x v="79"/>
    <x v="4"/>
    <x v="4"/>
    <x v="4"/>
    <x v="10"/>
    <x v="216"/>
    <x v="96"/>
    <x v="56"/>
    <x v="447"/>
    <x v="127"/>
    <x v="151"/>
    <x v="0"/>
  </r>
  <r>
    <x v="0"/>
    <x v="79"/>
    <x v="79"/>
    <x v="5"/>
    <x v="5"/>
    <x v="5"/>
    <x v="10"/>
    <x v="216"/>
    <x v="96"/>
    <x v="56"/>
    <x v="447"/>
    <x v="127"/>
    <x v="151"/>
    <x v="0"/>
  </r>
  <r>
    <x v="0"/>
    <x v="79"/>
    <x v="79"/>
    <x v="23"/>
    <x v="23"/>
    <x v="23"/>
    <x v="10"/>
    <x v="216"/>
    <x v="96"/>
    <x v="56"/>
    <x v="447"/>
    <x v="127"/>
    <x v="151"/>
    <x v="0"/>
  </r>
  <r>
    <x v="0"/>
    <x v="79"/>
    <x v="79"/>
    <x v="6"/>
    <x v="6"/>
    <x v="6"/>
    <x v="10"/>
    <x v="216"/>
    <x v="96"/>
    <x v="56"/>
    <x v="447"/>
    <x v="127"/>
    <x v="151"/>
    <x v="0"/>
  </r>
  <r>
    <x v="0"/>
    <x v="79"/>
    <x v="79"/>
    <x v="26"/>
    <x v="26"/>
    <x v="26"/>
    <x v="10"/>
    <x v="216"/>
    <x v="96"/>
    <x v="56"/>
    <x v="447"/>
    <x v="127"/>
    <x v="151"/>
    <x v="0"/>
  </r>
  <r>
    <x v="0"/>
    <x v="80"/>
    <x v="80"/>
    <x v="0"/>
    <x v="0"/>
    <x v="0"/>
    <x v="0"/>
    <x v="198"/>
    <x v="250"/>
    <x v="65"/>
    <x v="65"/>
    <x v="110"/>
    <x v="373"/>
    <x v="0"/>
  </r>
  <r>
    <x v="0"/>
    <x v="80"/>
    <x v="80"/>
    <x v="4"/>
    <x v="4"/>
    <x v="4"/>
    <x v="1"/>
    <x v="199"/>
    <x v="381"/>
    <x v="70"/>
    <x v="375"/>
    <x v="123"/>
    <x v="165"/>
    <x v="0"/>
  </r>
  <r>
    <x v="0"/>
    <x v="80"/>
    <x v="80"/>
    <x v="107"/>
    <x v="107"/>
    <x v="107"/>
    <x v="2"/>
    <x v="200"/>
    <x v="39"/>
    <x v="65"/>
    <x v="65"/>
    <x v="108"/>
    <x v="272"/>
    <x v="0"/>
  </r>
  <r>
    <x v="0"/>
    <x v="80"/>
    <x v="80"/>
    <x v="36"/>
    <x v="36"/>
    <x v="36"/>
    <x v="2"/>
    <x v="200"/>
    <x v="39"/>
    <x v="50"/>
    <x v="540"/>
    <x v="93"/>
    <x v="216"/>
    <x v="0"/>
  </r>
  <r>
    <x v="0"/>
    <x v="80"/>
    <x v="80"/>
    <x v="3"/>
    <x v="3"/>
    <x v="3"/>
    <x v="2"/>
    <x v="200"/>
    <x v="39"/>
    <x v="70"/>
    <x v="375"/>
    <x v="127"/>
    <x v="151"/>
    <x v="0"/>
  </r>
  <r>
    <x v="0"/>
    <x v="80"/>
    <x v="80"/>
    <x v="1"/>
    <x v="1"/>
    <x v="1"/>
    <x v="2"/>
    <x v="200"/>
    <x v="39"/>
    <x v="70"/>
    <x v="375"/>
    <x v="127"/>
    <x v="151"/>
    <x v="0"/>
  </r>
  <r>
    <x v="0"/>
    <x v="80"/>
    <x v="80"/>
    <x v="57"/>
    <x v="57"/>
    <x v="57"/>
    <x v="2"/>
    <x v="200"/>
    <x v="39"/>
    <x v="65"/>
    <x v="65"/>
    <x v="93"/>
    <x v="216"/>
    <x v="6"/>
  </r>
  <r>
    <x v="0"/>
    <x v="80"/>
    <x v="80"/>
    <x v="10"/>
    <x v="10"/>
    <x v="10"/>
    <x v="7"/>
    <x v="216"/>
    <x v="161"/>
    <x v="65"/>
    <x v="65"/>
    <x v="93"/>
    <x v="216"/>
    <x v="0"/>
  </r>
  <r>
    <x v="0"/>
    <x v="80"/>
    <x v="80"/>
    <x v="110"/>
    <x v="110"/>
    <x v="110"/>
    <x v="7"/>
    <x v="216"/>
    <x v="161"/>
    <x v="65"/>
    <x v="65"/>
    <x v="93"/>
    <x v="216"/>
    <x v="0"/>
  </r>
  <r>
    <x v="0"/>
    <x v="80"/>
    <x v="80"/>
    <x v="154"/>
    <x v="153"/>
    <x v="154"/>
    <x v="7"/>
    <x v="216"/>
    <x v="161"/>
    <x v="65"/>
    <x v="65"/>
    <x v="93"/>
    <x v="216"/>
    <x v="0"/>
  </r>
  <r>
    <x v="0"/>
    <x v="80"/>
    <x v="80"/>
    <x v="12"/>
    <x v="12"/>
    <x v="12"/>
    <x v="7"/>
    <x v="216"/>
    <x v="161"/>
    <x v="56"/>
    <x v="378"/>
    <x v="127"/>
    <x v="151"/>
    <x v="0"/>
  </r>
  <r>
    <x v="0"/>
    <x v="80"/>
    <x v="80"/>
    <x v="42"/>
    <x v="42"/>
    <x v="42"/>
    <x v="7"/>
    <x v="216"/>
    <x v="161"/>
    <x v="65"/>
    <x v="65"/>
    <x v="93"/>
    <x v="216"/>
    <x v="0"/>
  </r>
  <r>
    <x v="0"/>
    <x v="80"/>
    <x v="80"/>
    <x v="49"/>
    <x v="49"/>
    <x v="49"/>
    <x v="7"/>
    <x v="216"/>
    <x v="161"/>
    <x v="50"/>
    <x v="540"/>
    <x v="123"/>
    <x v="165"/>
    <x v="0"/>
  </r>
  <r>
    <x v="0"/>
    <x v="80"/>
    <x v="80"/>
    <x v="131"/>
    <x v="131"/>
    <x v="131"/>
    <x v="7"/>
    <x v="216"/>
    <x v="161"/>
    <x v="50"/>
    <x v="540"/>
    <x v="123"/>
    <x v="165"/>
    <x v="0"/>
  </r>
  <r>
    <x v="0"/>
    <x v="80"/>
    <x v="80"/>
    <x v="5"/>
    <x v="5"/>
    <x v="5"/>
    <x v="7"/>
    <x v="216"/>
    <x v="161"/>
    <x v="56"/>
    <x v="378"/>
    <x v="127"/>
    <x v="151"/>
    <x v="0"/>
  </r>
  <r>
    <x v="0"/>
    <x v="80"/>
    <x v="80"/>
    <x v="6"/>
    <x v="6"/>
    <x v="6"/>
    <x v="7"/>
    <x v="216"/>
    <x v="161"/>
    <x v="56"/>
    <x v="378"/>
    <x v="127"/>
    <x v="151"/>
    <x v="0"/>
  </r>
  <r>
    <x v="0"/>
    <x v="80"/>
    <x v="80"/>
    <x v="53"/>
    <x v="53"/>
    <x v="53"/>
    <x v="7"/>
    <x v="216"/>
    <x v="161"/>
    <x v="65"/>
    <x v="65"/>
    <x v="123"/>
    <x v="165"/>
    <x v="6"/>
  </r>
  <r>
    <x v="0"/>
    <x v="80"/>
    <x v="80"/>
    <x v="43"/>
    <x v="43"/>
    <x v="43"/>
    <x v="7"/>
    <x v="216"/>
    <x v="161"/>
    <x v="65"/>
    <x v="65"/>
    <x v="93"/>
    <x v="216"/>
    <x v="0"/>
  </r>
  <r>
    <x v="0"/>
    <x v="80"/>
    <x v="80"/>
    <x v="19"/>
    <x v="19"/>
    <x v="19"/>
    <x v="7"/>
    <x v="216"/>
    <x v="161"/>
    <x v="65"/>
    <x v="65"/>
    <x v="93"/>
    <x v="216"/>
    <x v="0"/>
  </r>
  <r>
    <x v="0"/>
    <x v="80"/>
    <x v="80"/>
    <x v="155"/>
    <x v="154"/>
    <x v="155"/>
    <x v="18"/>
    <x v="217"/>
    <x v="13"/>
    <x v="65"/>
    <x v="65"/>
    <x v="123"/>
    <x v="165"/>
    <x v="0"/>
  </r>
  <r>
    <x v="0"/>
    <x v="80"/>
    <x v="80"/>
    <x v="32"/>
    <x v="32"/>
    <x v="32"/>
    <x v="18"/>
    <x v="217"/>
    <x v="13"/>
    <x v="65"/>
    <x v="65"/>
    <x v="123"/>
    <x v="165"/>
    <x v="0"/>
  </r>
  <r>
    <x v="0"/>
    <x v="80"/>
    <x v="80"/>
    <x v="56"/>
    <x v="56"/>
    <x v="56"/>
    <x v="18"/>
    <x v="217"/>
    <x v="13"/>
    <x v="50"/>
    <x v="540"/>
    <x v="127"/>
    <x v="151"/>
    <x v="0"/>
  </r>
  <r>
    <x v="0"/>
    <x v="80"/>
    <x v="80"/>
    <x v="46"/>
    <x v="46"/>
    <x v="46"/>
    <x v="18"/>
    <x v="217"/>
    <x v="13"/>
    <x v="50"/>
    <x v="540"/>
    <x v="127"/>
    <x v="151"/>
    <x v="0"/>
  </r>
  <r>
    <x v="0"/>
    <x v="80"/>
    <x v="80"/>
    <x v="14"/>
    <x v="14"/>
    <x v="14"/>
    <x v="18"/>
    <x v="217"/>
    <x v="13"/>
    <x v="50"/>
    <x v="540"/>
    <x v="127"/>
    <x v="151"/>
    <x v="0"/>
  </r>
  <r>
    <x v="0"/>
    <x v="80"/>
    <x v="80"/>
    <x v="156"/>
    <x v="155"/>
    <x v="156"/>
    <x v="18"/>
    <x v="217"/>
    <x v="13"/>
    <x v="65"/>
    <x v="65"/>
    <x v="123"/>
    <x v="165"/>
    <x v="0"/>
  </r>
  <r>
    <x v="0"/>
    <x v="80"/>
    <x v="80"/>
    <x v="97"/>
    <x v="97"/>
    <x v="97"/>
    <x v="18"/>
    <x v="217"/>
    <x v="13"/>
    <x v="65"/>
    <x v="65"/>
    <x v="123"/>
    <x v="165"/>
    <x v="0"/>
  </r>
  <r>
    <x v="0"/>
    <x v="80"/>
    <x v="80"/>
    <x v="144"/>
    <x v="144"/>
    <x v="144"/>
    <x v="18"/>
    <x v="217"/>
    <x v="13"/>
    <x v="65"/>
    <x v="65"/>
    <x v="123"/>
    <x v="165"/>
    <x v="0"/>
  </r>
  <r>
    <x v="0"/>
    <x v="80"/>
    <x v="80"/>
    <x v="76"/>
    <x v="76"/>
    <x v="76"/>
    <x v="18"/>
    <x v="217"/>
    <x v="13"/>
    <x v="65"/>
    <x v="65"/>
    <x v="127"/>
    <x v="151"/>
    <x v="0"/>
  </r>
  <r>
    <x v="0"/>
    <x v="80"/>
    <x v="80"/>
    <x v="157"/>
    <x v="156"/>
    <x v="157"/>
    <x v="18"/>
    <x v="217"/>
    <x v="13"/>
    <x v="65"/>
    <x v="65"/>
    <x v="123"/>
    <x v="165"/>
    <x v="0"/>
  </r>
  <r>
    <x v="0"/>
    <x v="80"/>
    <x v="80"/>
    <x v="78"/>
    <x v="78"/>
    <x v="78"/>
    <x v="18"/>
    <x v="217"/>
    <x v="13"/>
    <x v="65"/>
    <x v="65"/>
    <x v="123"/>
    <x v="165"/>
    <x v="0"/>
  </r>
  <r>
    <x v="0"/>
    <x v="80"/>
    <x v="80"/>
    <x v="158"/>
    <x v="157"/>
    <x v="158"/>
    <x v="18"/>
    <x v="217"/>
    <x v="13"/>
    <x v="50"/>
    <x v="540"/>
    <x v="127"/>
    <x v="151"/>
    <x v="0"/>
  </r>
  <r>
    <x v="0"/>
    <x v="80"/>
    <x v="80"/>
    <x v="48"/>
    <x v="48"/>
    <x v="48"/>
    <x v="18"/>
    <x v="217"/>
    <x v="13"/>
    <x v="65"/>
    <x v="65"/>
    <x v="123"/>
    <x v="165"/>
    <x v="0"/>
  </r>
  <r>
    <x v="0"/>
    <x v="80"/>
    <x v="80"/>
    <x v="44"/>
    <x v="44"/>
    <x v="44"/>
    <x v="18"/>
    <x v="217"/>
    <x v="13"/>
    <x v="50"/>
    <x v="540"/>
    <x v="127"/>
    <x v="151"/>
    <x v="0"/>
  </r>
  <r>
    <x v="0"/>
    <x v="80"/>
    <x v="80"/>
    <x v="41"/>
    <x v="41"/>
    <x v="41"/>
    <x v="18"/>
    <x v="217"/>
    <x v="13"/>
    <x v="65"/>
    <x v="65"/>
    <x v="123"/>
    <x v="165"/>
    <x v="0"/>
  </r>
  <r>
    <x v="0"/>
    <x v="80"/>
    <x v="80"/>
    <x v="84"/>
    <x v="84"/>
    <x v="84"/>
    <x v="18"/>
    <x v="217"/>
    <x v="13"/>
    <x v="65"/>
    <x v="65"/>
    <x v="123"/>
    <x v="165"/>
    <x v="0"/>
  </r>
  <r>
    <x v="0"/>
    <x v="80"/>
    <x v="80"/>
    <x v="55"/>
    <x v="55"/>
    <x v="55"/>
    <x v="18"/>
    <x v="217"/>
    <x v="13"/>
    <x v="65"/>
    <x v="65"/>
    <x v="123"/>
    <x v="165"/>
    <x v="0"/>
  </r>
  <r>
    <x v="0"/>
    <x v="80"/>
    <x v="80"/>
    <x v="15"/>
    <x v="15"/>
    <x v="15"/>
    <x v="18"/>
    <x v="217"/>
    <x v="13"/>
    <x v="65"/>
    <x v="65"/>
    <x v="123"/>
    <x v="165"/>
    <x v="0"/>
  </r>
  <r>
    <x v="0"/>
    <x v="80"/>
    <x v="80"/>
    <x v="125"/>
    <x v="125"/>
    <x v="125"/>
    <x v="18"/>
    <x v="217"/>
    <x v="13"/>
    <x v="65"/>
    <x v="65"/>
    <x v="123"/>
    <x v="165"/>
    <x v="0"/>
  </r>
  <r>
    <x v="0"/>
    <x v="80"/>
    <x v="80"/>
    <x v="95"/>
    <x v="95"/>
    <x v="95"/>
    <x v="18"/>
    <x v="217"/>
    <x v="13"/>
    <x v="50"/>
    <x v="540"/>
    <x v="127"/>
    <x v="151"/>
    <x v="0"/>
  </r>
  <r>
    <x v="0"/>
    <x v="80"/>
    <x v="80"/>
    <x v="45"/>
    <x v="45"/>
    <x v="45"/>
    <x v="18"/>
    <x v="217"/>
    <x v="13"/>
    <x v="65"/>
    <x v="65"/>
    <x v="123"/>
    <x v="165"/>
    <x v="0"/>
  </r>
  <r>
    <x v="0"/>
    <x v="80"/>
    <x v="80"/>
    <x v="37"/>
    <x v="37"/>
    <x v="37"/>
    <x v="18"/>
    <x v="217"/>
    <x v="13"/>
    <x v="65"/>
    <x v="65"/>
    <x v="123"/>
    <x v="165"/>
    <x v="0"/>
  </r>
  <r>
    <x v="0"/>
    <x v="80"/>
    <x v="80"/>
    <x v="34"/>
    <x v="34"/>
    <x v="34"/>
    <x v="18"/>
    <x v="217"/>
    <x v="13"/>
    <x v="50"/>
    <x v="540"/>
    <x v="127"/>
    <x v="151"/>
    <x v="0"/>
  </r>
  <r>
    <x v="0"/>
    <x v="80"/>
    <x v="80"/>
    <x v="23"/>
    <x v="23"/>
    <x v="23"/>
    <x v="18"/>
    <x v="217"/>
    <x v="13"/>
    <x v="50"/>
    <x v="540"/>
    <x v="127"/>
    <x v="151"/>
    <x v="0"/>
  </r>
  <r>
    <x v="0"/>
    <x v="80"/>
    <x v="80"/>
    <x v="159"/>
    <x v="75"/>
    <x v="159"/>
    <x v="18"/>
    <x v="217"/>
    <x v="13"/>
    <x v="65"/>
    <x v="65"/>
    <x v="123"/>
    <x v="165"/>
    <x v="0"/>
  </r>
  <r>
    <x v="0"/>
    <x v="80"/>
    <x v="80"/>
    <x v="59"/>
    <x v="59"/>
    <x v="59"/>
    <x v="18"/>
    <x v="217"/>
    <x v="13"/>
    <x v="65"/>
    <x v="65"/>
    <x v="123"/>
    <x v="165"/>
    <x v="0"/>
  </r>
  <r>
    <x v="0"/>
    <x v="80"/>
    <x v="80"/>
    <x v="72"/>
    <x v="72"/>
    <x v="72"/>
    <x v="18"/>
    <x v="217"/>
    <x v="13"/>
    <x v="65"/>
    <x v="65"/>
    <x v="123"/>
    <x v="165"/>
    <x v="0"/>
  </r>
  <r>
    <x v="0"/>
    <x v="81"/>
    <x v="81"/>
    <x v="0"/>
    <x v="0"/>
    <x v="0"/>
    <x v="0"/>
    <x v="106"/>
    <x v="411"/>
    <x v="176"/>
    <x v="578"/>
    <x v="106"/>
    <x v="374"/>
    <x v="0"/>
  </r>
  <r>
    <x v="0"/>
    <x v="81"/>
    <x v="81"/>
    <x v="3"/>
    <x v="3"/>
    <x v="3"/>
    <x v="1"/>
    <x v="134"/>
    <x v="412"/>
    <x v="103"/>
    <x v="579"/>
    <x v="123"/>
    <x v="3"/>
    <x v="0"/>
  </r>
  <r>
    <x v="0"/>
    <x v="81"/>
    <x v="81"/>
    <x v="1"/>
    <x v="1"/>
    <x v="1"/>
    <x v="2"/>
    <x v="135"/>
    <x v="413"/>
    <x v="150"/>
    <x v="143"/>
    <x v="110"/>
    <x v="129"/>
    <x v="0"/>
  </r>
  <r>
    <x v="0"/>
    <x v="81"/>
    <x v="81"/>
    <x v="2"/>
    <x v="2"/>
    <x v="2"/>
    <x v="3"/>
    <x v="209"/>
    <x v="414"/>
    <x v="32"/>
    <x v="580"/>
    <x v="123"/>
    <x v="3"/>
    <x v="0"/>
  </r>
  <r>
    <x v="0"/>
    <x v="81"/>
    <x v="81"/>
    <x v="36"/>
    <x v="36"/>
    <x v="36"/>
    <x v="4"/>
    <x v="193"/>
    <x v="257"/>
    <x v="70"/>
    <x v="212"/>
    <x v="106"/>
    <x v="374"/>
    <x v="0"/>
  </r>
  <r>
    <x v="0"/>
    <x v="81"/>
    <x v="81"/>
    <x v="12"/>
    <x v="12"/>
    <x v="12"/>
    <x v="4"/>
    <x v="193"/>
    <x v="257"/>
    <x v="77"/>
    <x v="581"/>
    <x v="108"/>
    <x v="375"/>
    <x v="0"/>
  </r>
  <r>
    <x v="0"/>
    <x v="81"/>
    <x v="81"/>
    <x v="7"/>
    <x v="7"/>
    <x v="7"/>
    <x v="4"/>
    <x v="193"/>
    <x v="257"/>
    <x v="39"/>
    <x v="185"/>
    <x v="98"/>
    <x v="308"/>
    <x v="0"/>
  </r>
  <r>
    <x v="0"/>
    <x v="81"/>
    <x v="81"/>
    <x v="6"/>
    <x v="6"/>
    <x v="6"/>
    <x v="4"/>
    <x v="193"/>
    <x v="257"/>
    <x v="61"/>
    <x v="582"/>
    <x v="123"/>
    <x v="3"/>
    <x v="0"/>
  </r>
  <r>
    <x v="0"/>
    <x v="81"/>
    <x v="81"/>
    <x v="160"/>
    <x v="158"/>
    <x v="160"/>
    <x v="8"/>
    <x v="194"/>
    <x v="212"/>
    <x v="89"/>
    <x v="583"/>
    <x v="123"/>
    <x v="3"/>
    <x v="0"/>
  </r>
  <r>
    <x v="0"/>
    <x v="81"/>
    <x v="81"/>
    <x v="41"/>
    <x v="41"/>
    <x v="41"/>
    <x v="9"/>
    <x v="208"/>
    <x v="95"/>
    <x v="39"/>
    <x v="185"/>
    <x v="110"/>
    <x v="129"/>
    <x v="0"/>
  </r>
  <r>
    <x v="0"/>
    <x v="81"/>
    <x v="81"/>
    <x v="43"/>
    <x v="43"/>
    <x v="43"/>
    <x v="9"/>
    <x v="208"/>
    <x v="95"/>
    <x v="65"/>
    <x v="65"/>
    <x v="113"/>
    <x v="376"/>
    <x v="0"/>
  </r>
  <r>
    <x v="0"/>
    <x v="81"/>
    <x v="81"/>
    <x v="46"/>
    <x v="46"/>
    <x v="46"/>
    <x v="11"/>
    <x v="195"/>
    <x v="234"/>
    <x v="68"/>
    <x v="278"/>
    <x v="127"/>
    <x v="151"/>
    <x v="0"/>
  </r>
  <r>
    <x v="0"/>
    <x v="81"/>
    <x v="81"/>
    <x v="42"/>
    <x v="42"/>
    <x v="42"/>
    <x v="11"/>
    <x v="195"/>
    <x v="234"/>
    <x v="56"/>
    <x v="79"/>
    <x v="98"/>
    <x v="308"/>
    <x v="0"/>
  </r>
  <r>
    <x v="0"/>
    <x v="81"/>
    <x v="81"/>
    <x v="9"/>
    <x v="9"/>
    <x v="9"/>
    <x v="11"/>
    <x v="195"/>
    <x v="234"/>
    <x v="39"/>
    <x v="185"/>
    <x v="108"/>
    <x v="375"/>
    <x v="0"/>
  </r>
  <r>
    <x v="0"/>
    <x v="81"/>
    <x v="81"/>
    <x v="40"/>
    <x v="40"/>
    <x v="40"/>
    <x v="19"/>
    <x v="210"/>
    <x v="108"/>
    <x v="56"/>
    <x v="79"/>
    <x v="67"/>
    <x v="169"/>
    <x v="0"/>
  </r>
  <r>
    <x v="0"/>
    <x v="81"/>
    <x v="81"/>
    <x v="44"/>
    <x v="44"/>
    <x v="44"/>
    <x v="19"/>
    <x v="210"/>
    <x v="108"/>
    <x v="70"/>
    <x v="212"/>
    <x v="119"/>
    <x v="118"/>
    <x v="0"/>
  </r>
  <r>
    <x v="0"/>
    <x v="81"/>
    <x v="81"/>
    <x v="47"/>
    <x v="47"/>
    <x v="47"/>
    <x v="19"/>
    <x v="210"/>
    <x v="108"/>
    <x v="70"/>
    <x v="212"/>
    <x v="119"/>
    <x v="118"/>
    <x v="0"/>
  </r>
  <r>
    <x v="0"/>
    <x v="81"/>
    <x v="81"/>
    <x v="18"/>
    <x v="18"/>
    <x v="18"/>
    <x v="19"/>
    <x v="210"/>
    <x v="108"/>
    <x v="65"/>
    <x v="65"/>
    <x v="109"/>
    <x v="124"/>
    <x v="0"/>
  </r>
  <r>
    <x v="0"/>
    <x v="81"/>
    <x v="81"/>
    <x v="4"/>
    <x v="4"/>
    <x v="4"/>
    <x v="19"/>
    <x v="210"/>
    <x v="108"/>
    <x v="39"/>
    <x v="185"/>
    <x v="93"/>
    <x v="227"/>
    <x v="0"/>
  </r>
  <r>
    <x v="0"/>
    <x v="81"/>
    <x v="81"/>
    <x v="54"/>
    <x v="54"/>
    <x v="54"/>
    <x v="18"/>
    <x v="196"/>
    <x v="12"/>
    <x v="50"/>
    <x v="55"/>
    <x v="67"/>
    <x v="169"/>
    <x v="0"/>
  </r>
  <r>
    <x v="0"/>
    <x v="81"/>
    <x v="81"/>
    <x v="28"/>
    <x v="28"/>
    <x v="28"/>
    <x v="18"/>
    <x v="196"/>
    <x v="12"/>
    <x v="50"/>
    <x v="55"/>
    <x v="67"/>
    <x v="169"/>
    <x v="0"/>
  </r>
  <r>
    <x v="0"/>
    <x v="81"/>
    <x v="81"/>
    <x v="5"/>
    <x v="5"/>
    <x v="5"/>
    <x v="18"/>
    <x v="196"/>
    <x v="12"/>
    <x v="39"/>
    <x v="185"/>
    <x v="123"/>
    <x v="3"/>
    <x v="0"/>
  </r>
  <r>
    <x v="0"/>
    <x v="82"/>
    <x v="82"/>
    <x v="51"/>
    <x v="51"/>
    <x v="51"/>
    <x v="0"/>
    <x v="199"/>
    <x v="415"/>
    <x v="70"/>
    <x v="584"/>
    <x v="123"/>
    <x v="283"/>
    <x v="0"/>
  </r>
  <r>
    <x v="0"/>
    <x v="82"/>
    <x v="82"/>
    <x v="10"/>
    <x v="10"/>
    <x v="10"/>
    <x v="1"/>
    <x v="216"/>
    <x v="416"/>
    <x v="65"/>
    <x v="65"/>
    <x v="93"/>
    <x v="377"/>
    <x v="0"/>
  </r>
  <r>
    <x v="0"/>
    <x v="82"/>
    <x v="82"/>
    <x v="42"/>
    <x v="42"/>
    <x v="42"/>
    <x v="1"/>
    <x v="216"/>
    <x v="416"/>
    <x v="50"/>
    <x v="491"/>
    <x v="123"/>
    <x v="283"/>
    <x v="0"/>
  </r>
  <r>
    <x v="0"/>
    <x v="82"/>
    <x v="82"/>
    <x v="17"/>
    <x v="17"/>
    <x v="17"/>
    <x v="3"/>
    <x v="217"/>
    <x v="186"/>
    <x v="65"/>
    <x v="65"/>
    <x v="123"/>
    <x v="283"/>
    <x v="0"/>
  </r>
  <r>
    <x v="0"/>
    <x v="82"/>
    <x v="82"/>
    <x v="73"/>
    <x v="73"/>
    <x v="73"/>
    <x v="3"/>
    <x v="217"/>
    <x v="186"/>
    <x v="50"/>
    <x v="491"/>
    <x v="127"/>
    <x v="151"/>
    <x v="0"/>
  </r>
  <r>
    <x v="0"/>
    <x v="82"/>
    <x v="82"/>
    <x v="97"/>
    <x v="97"/>
    <x v="97"/>
    <x v="3"/>
    <x v="217"/>
    <x v="186"/>
    <x v="65"/>
    <x v="65"/>
    <x v="123"/>
    <x v="283"/>
    <x v="0"/>
  </r>
  <r>
    <x v="0"/>
    <x v="82"/>
    <x v="82"/>
    <x v="76"/>
    <x v="76"/>
    <x v="76"/>
    <x v="3"/>
    <x v="217"/>
    <x v="186"/>
    <x v="65"/>
    <x v="65"/>
    <x v="127"/>
    <x v="151"/>
    <x v="0"/>
  </r>
  <r>
    <x v="0"/>
    <x v="82"/>
    <x v="82"/>
    <x v="38"/>
    <x v="38"/>
    <x v="38"/>
    <x v="3"/>
    <x v="217"/>
    <x v="186"/>
    <x v="65"/>
    <x v="65"/>
    <x v="123"/>
    <x v="283"/>
    <x v="0"/>
  </r>
  <r>
    <x v="0"/>
    <x v="82"/>
    <x v="82"/>
    <x v="58"/>
    <x v="58"/>
    <x v="58"/>
    <x v="3"/>
    <x v="217"/>
    <x v="186"/>
    <x v="65"/>
    <x v="65"/>
    <x v="123"/>
    <x v="283"/>
    <x v="0"/>
  </r>
  <r>
    <x v="0"/>
    <x v="82"/>
    <x v="82"/>
    <x v="21"/>
    <x v="21"/>
    <x v="21"/>
    <x v="3"/>
    <x v="217"/>
    <x v="186"/>
    <x v="65"/>
    <x v="65"/>
    <x v="123"/>
    <x v="283"/>
    <x v="0"/>
  </r>
  <r>
    <x v="0"/>
    <x v="82"/>
    <x v="82"/>
    <x v="7"/>
    <x v="7"/>
    <x v="7"/>
    <x v="3"/>
    <x v="217"/>
    <x v="186"/>
    <x v="50"/>
    <x v="491"/>
    <x v="127"/>
    <x v="151"/>
    <x v="0"/>
  </r>
  <r>
    <x v="0"/>
    <x v="82"/>
    <x v="82"/>
    <x v="161"/>
    <x v="159"/>
    <x v="161"/>
    <x v="3"/>
    <x v="217"/>
    <x v="186"/>
    <x v="50"/>
    <x v="491"/>
    <x v="127"/>
    <x v="151"/>
    <x v="0"/>
  </r>
  <r>
    <x v="0"/>
    <x v="82"/>
    <x v="82"/>
    <x v="4"/>
    <x v="4"/>
    <x v="4"/>
    <x v="3"/>
    <x v="217"/>
    <x v="186"/>
    <x v="65"/>
    <x v="65"/>
    <x v="123"/>
    <x v="283"/>
    <x v="0"/>
  </r>
  <r>
    <x v="0"/>
    <x v="82"/>
    <x v="82"/>
    <x v="5"/>
    <x v="5"/>
    <x v="5"/>
    <x v="3"/>
    <x v="217"/>
    <x v="186"/>
    <x v="50"/>
    <x v="491"/>
    <x v="127"/>
    <x v="151"/>
    <x v="0"/>
  </r>
  <r>
    <x v="0"/>
    <x v="82"/>
    <x v="82"/>
    <x v="9"/>
    <x v="9"/>
    <x v="9"/>
    <x v="3"/>
    <x v="217"/>
    <x v="186"/>
    <x v="65"/>
    <x v="65"/>
    <x v="123"/>
    <x v="283"/>
    <x v="0"/>
  </r>
  <r>
    <x v="0"/>
    <x v="82"/>
    <x v="82"/>
    <x v="3"/>
    <x v="3"/>
    <x v="3"/>
    <x v="3"/>
    <x v="217"/>
    <x v="186"/>
    <x v="50"/>
    <x v="491"/>
    <x v="127"/>
    <x v="151"/>
    <x v="0"/>
  </r>
  <r>
    <x v="0"/>
    <x v="82"/>
    <x v="82"/>
    <x v="72"/>
    <x v="72"/>
    <x v="72"/>
    <x v="3"/>
    <x v="217"/>
    <x v="186"/>
    <x v="65"/>
    <x v="65"/>
    <x v="127"/>
    <x v="151"/>
    <x v="0"/>
  </r>
  <r>
    <x v="0"/>
    <x v="82"/>
    <x v="82"/>
    <x v="19"/>
    <x v="19"/>
    <x v="19"/>
    <x v="3"/>
    <x v="217"/>
    <x v="186"/>
    <x v="50"/>
    <x v="491"/>
    <x v="127"/>
    <x v="151"/>
    <x v="0"/>
  </r>
  <r>
    <x v="0"/>
    <x v="82"/>
    <x v="82"/>
    <x v="26"/>
    <x v="26"/>
    <x v="26"/>
    <x v="3"/>
    <x v="217"/>
    <x v="186"/>
    <x v="65"/>
    <x v="65"/>
    <x v="123"/>
    <x v="283"/>
    <x v="0"/>
  </r>
  <r>
    <x v="0"/>
    <x v="83"/>
    <x v="83"/>
    <x v="1"/>
    <x v="1"/>
    <x v="1"/>
    <x v="0"/>
    <x v="208"/>
    <x v="417"/>
    <x v="77"/>
    <x v="585"/>
    <x v="127"/>
    <x v="151"/>
    <x v="0"/>
  </r>
  <r>
    <x v="0"/>
    <x v="83"/>
    <x v="83"/>
    <x v="2"/>
    <x v="2"/>
    <x v="2"/>
    <x v="1"/>
    <x v="210"/>
    <x v="418"/>
    <x v="95"/>
    <x v="586"/>
    <x v="123"/>
    <x v="241"/>
    <x v="0"/>
  </r>
  <r>
    <x v="0"/>
    <x v="83"/>
    <x v="83"/>
    <x v="10"/>
    <x v="10"/>
    <x v="10"/>
    <x v="2"/>
    <x v="198"/>
    <x v="228"/>
    <x v="65"/>
    <x v="65"/>
    <x v="119"/>
    <x v="324"/>
    <x v="0"/>
  </r>
  <r>
    <x v="0"/>
    <x v="83"/>
    <x v="83"/>
    <x v="4"/>
    <x v="4"/>
    <x v="4"/>
    <x v="2"/>
    <x v="198"/>
    <x v="228"/>
    <x v="62"/>
    <x v="84"/>
    <x v="123"/>
    <x v="241"/>
    <x v="0"/>
  </r>
  <r>
    <x v="0"/>
    <x v="83"/>
    <x v="83"/>
    <x v="3"/>
    <x v="3"/>
    <x v="3"/>
    <x v="2"/>
    <x v="198"/>
    <x v="228"/>
    <x v="51"/>
    <x v="563"/>
    <x v="127"/>
    <x v="151"/>
    <x v="0"/>
  </r>
  <r>
    <x v="0"/>
    <x v="83"/>
    <x v="83"/>
    <x v="19"/>
    <x v="19"/>
    <x v="19"/>
    <x v="2"/>
    <x v="198"/>
    <x v="228"/>
    <x v="65"/>
    <x v="65"/>
    <x v="119"/>
    <x v="324"/>
    <x v="0"/>
  </r>
  <r>
    <x v="0"/>
    <x v="83"/>
    <x v="83"/>
    <x v="14"/>
    <x v="14"/>
    <x v="14"/>
    <x v="6"/>
    <x v="199"/>
    <x v="419"/>
    <x v="50"/>
    <x v="194"/>
    <x v="108"/>
    <x v="242"/>
    <x v="0"/>
  </r>
  <r>
    <x v="0"/>
    <x v="83"/>
    <x v="83"/>
    <x v="11"/>
    <x v="11"/>
    <x v="11"/>
    <x v="6"/>
    <x v="199"/>
    <x v="419"/>
    <x v="56"/>
    <x v="487"/>
    <x v="93"/>
    <x v="240"/>
    <x v="0"/>
  </r>
  <r>
    <x v="0"/>
    <x v="83"/>
    <x v="83"/>
    <x v="0"/>
    <x v="0"/>
    <x v="0"/>
    <x v="6"/>
    <x v="199"/>
    <x v="419"/>
    <x v="70"/>
    <x v="587"/>
    <x v="123"/>
    <x v="241"/>
    <x v="0"/>
  </r>
  <r>
    <x v="0"/>
    <x v="83"/>
    <x v="83"/>
    <x v="16"/>
    <x v="16"/>
    <x v="16"/>
    <x v="6"/>
    <x v="199"/>
    <x v="419"/>
    <x v="65"/>
    <x v="65"/>
    <x v="108"/>
    <x v="242"/>
    <x v="6"/>
  </r>
  <r>
    <x v="0"/>
    <x v="83"/>
    <x v="83"/>
    <x v="6"/>
    <x v="6"/>
    <x v="6"/>
    <x v="6"/>
    <x v="199"/>
    <x v="419"/>
    <x v="62"/>
    <x v="84"/>
    <x v="127"/>
    <x v="151"/>
    <x v="0"/>
  </r>
  <r>
    <x v="0"/>
    <x v="83"/>
    <x v="83"/>
    <x v="32"/>
    <x v="32"/>
    <x v="32"/>
    <x v="11"/>
    <x v="200"/>
    <x v="104"/>
    <x v="50"/>
    <x v="194"/>
    <x v="93"/>
    <x v="240"/>
    <x v="0"/>
  </r>
  <r>
    <x v="0"/>
    <x v="83"/>
    <x v="83"/>
    <x v="36"/>
    <x v="36"/>
    <x v="36"/>
    <x v="11"/>
    <x v="200"/>
    <x v="104"/>
    <x v="65"/>
    <x v="65"/>
    <x v="108"/>
    <x v="242"/>
    <x v="0"/>
  </r>
  <r>
    <x v="0"/>
    <x v="83"/>
    <x v="83"/>
    <x v="7"/>
    <x v="7"/>
    <x v="7"/>
    <x v="11"/>
    <x v="200"/>
    <x v="104"/>
    <x v="50"/>
    <x v="194"/>
    <x v="93"/>
    <x v="240"/>
    <x v="0"/>
  </r>
  <r>
    <x v="0"/>
    <x v="83"/>
    <x v="83"/>
    <x v="9"/>
    <x v="9"/>
    <x v="9"/>
    <x v="11"/>
    <x v="200"/>
    <x v="104"/>
    <x v="70"/>
    <x v="587"/>
    <x v="127"/>
    <x v="151"/>
    <x v="0"/>
  </r>
  <r>
    <x v="0"/>
    <x v="83"/>
    <x v="83"/>
    <x v="37"/>
    <x v="37"/>
    <x v="37"/>
    <x v="11"/>
    <x v="200"/>
    <x v="104"/>
    <x v="65"/>
    <x v="65"/>
    <x v="93"/>
    <x v="240"/>
    <x v="0"/>
  </r>
  <r>
    <x v="0"/>
    <x v="83"/>
    <x v="83"/>
    <x v="82"/>
    <x v="82"/>
    <x v="82"/>
    <x v="11"/>
    <x v="200"/>
    <x v="104"/>
    <x v="65"/>
    <x v="65"/>
    <x v="123"/>
    <x v="241"/>
    <x v="6"/>
  </r>
  <r>
    <x v="0"/>
    <x v="83"/>
    <x v="83"/>
    <x v="17"/>
    <x v="17"/>
    <x v="17"/>
    <x v="16"/>
    <x v="216"/>
    <x v="77"/>
    <x v="65"/>
    <x v="65"/>
    <x v="93"/>
    <x v="240"/>
    <x v="0"/>
  </r>
  <r>
    <x v="0"/>
    <x v="83"/>
    <x v="83"/>
    <x v="162"/>
    <x v="160"/>
    <x v="162"/>
    <x v="16"/>
    <x v="216"/>
    <x v="77"/>
    <x v="65"/>
    <x v="65"/>
    <x v="93"/>
    <x v="240"/>
    <x v="0"/>
  </r>
  <r>
    <x v="0"/>
    <x v="83"/>
    <x v="83"/>
    <x v="56"/>
    <x v="56"/>
    <x v="56"/>
    <x v="16"/>
    <x v="216"/>
    <x v="77"/>
    <x v="65"/>
    <x v="65"/>
    <x v="93"/>
    <x v="240"/>
    <x v="0"/>
  </r>
  <r>
    <x v="0"/>
    <x v="83"/>
    <x v="83"/>
    <x v="13"/>
    <x v="13"/>
    <x v="13"/>
    <x v="16"/>
    <x v="216"/>
    <x v="77"/>
    <x v="50"/>
    <x v="194"/>
    <x v="123"/>
    <x v="241"/>
    <x v="0"/>
  </r>
  <r>
    <x v="0"/>
    <x v="83"/>
    <x v="83"/>
    <x v="127"/>
    <x v="127"/>
    <x v="127"/>
    <x v="16"/>
    <x v="216"/>
    <x v="77"/>
    <x v="65"/>
    <x v="65"/>
    <x v="93"/>
    <x v="240"/>
    <x v="0"/>
  </r>
  <r>
    <x v="0"/>
    <x v="83"/>
    <x v="83"/>
    <x v="63"/>
    <x v="63"/>
    <x v="63"/>
    <x v="16"/>
    <x v="216"/>
    <x v="77"/>
    <x v="65"/>
    <x v="65"/>
    <x v="93"/>
    <x v="240"/>
    <x v="0"/>
  </r>
  <r>
    <x v="0"/>
    <x v="83"/>
    <x v="83"/>
    <x v="86"/>
    <x v="86"/>
    <x v="86"/>
    <x v="16"/>
    <x v="216"/>
    <x v="77"/>
    <x v="65"/>
    <x v="65"/>
    <x v="93"/>
    <x v="240"/>
    <x v="0"/>
  </r>
  <r>
    <x v="0"/>
    <x v="83"/>
    <x v="83"/>
    <x v="163"/>
    <x v="161"/>
    <x v="163"/>
    <x v="16"/>
    <x v="216"/>
    <x v="77"/>
    <x v="65"/>
    <x v="65"/>
    <x v="93"/>
    <x v="240"/>
    <x v="0"/>
  </r>
  <r>
    <x v="0"/>
    <x v="83"/>
    <x v="83"/>
    <x v="78"/>
    <x v="78"/>
    <x v="78"/>
    <x v="16"/>
    <x v="216"/>
    <x v="77"/>
    <x v="65"/>
    <x v="65"/>
    <x v="123"/>
    <x v="241"/>
    <x v="6"/>
  </r>
  <r>
    <x v="0"/>
    <x v="83"/>
    <x v="83"/>
    <x v="84"/>
    <x v="84"/>
    <x v="84"/>
    <x v="16"/>
    <x v="216"/>
    <x v="77"/>
    <x v="56"/>
    <x v="487"/>
    <x v="127"/>
    <x v="151"/>
    <x v="0"/>
  </r>
  <r>
    <x v="0"/>
    <x v="83"/>
    <x v="83"/>
    <x v="5"/>
    <x v="5"/>
    <x v="5"/>
    <x v="16"/>
    <x v="216"/>
    <x v="77"/>
    <x v="50"/>
    <x v="194"/>
    <x v="123"/>
    <x v="241"/>
    <x v="0"/>
  </r>
  <r>
    <x v="0"/>
    <x v="83"/>
    <x v="83"/>
    <x v="64"/>
    <x v="64"/>
    <x v="64"/>
    <x v="16"/>
    <x v="216"/>
    <x v="77"/>
    <x v="56"/>
    <x v="487"/>
    <x v="127"/>
    <x v="151"/>
    <x v="0"/>
  </r>
  <r>
    <x v="0"/>
    <x v="83"/>
    <x v="83"/>
    <x v="8"/>
    <x v="8"/>
    <x v="8"/>
    <x v="16"/>
    <x v="216"/>
    <x v="77"/>
    <x v="56"/>
    <x v="487"/>
    <x v="127"/>
    <x v="151"/>
    <x v="0"/>
  </r>
  <r>
    <x v="0"/>
    <x v="84"/>
    <x v="84"/>
    <x v="10"/>
    <x v="10"/>
    <x v="10"/>
    <x v="0"/>
    <x v="210"/>
    <x v="420"/>
    <x v="65"/>
    <x v="65"/>
    <x v="109"/>
    <x v="378"/>
    <x v="0"/>
  </r>
  <r>
    <x v="0"/>
    <x v="84"/>
    <x v="84"/>
    <x v="0"/>
    <x v="0"/>
    <x v="0"/>
    <x v="0"/>
    <x v="210"/>
    <x v="420"/>
    <x v="62"/>
    <x v="588"/>
    <x v="93"/>
    <x v="320"/>
    <x v="0"/>
  </r>
  <r>
    <x v="0"/>
    <x v="84"/>
    <x v="84"/>
    <x v="42"/>
    <x v="42"/>
    <x v="42"/>
    <x v="2"/>
    <x v="199"/>
    <x v="421"/>
    <x v="65"/>
    <x v="65"/>
    <x v="110"/>
    <x v="319"/>
    <x v="0"/>
  </r>
  <r>
    <x v="0"/>
    <x v="84"/>
    <x v="84"/>
    <x v="5"/>
    <x v="5"/>
    <x v="5"/>
    <x v="2"/>
    <x v="199"/>
    <x v="421"/>
    <x v="62"/>
    <x v="588"/>
    <x v="127"/>
    <x v="151"/>
    <x v="0"/>
  </r>
  <r>
    <x v="0"/>
    <x v="84"/>
    <x v="84"/>
    <x v="1"/>
    <x v="1"/>
    <x v="1"/>
    <x v="2"/>
    <x v="199"/>
    <x v="421"/>
    <x v="62"/>
    <x v="588"/>
    <x v="127"/>
    <x v="151"/>
    <x v="0"/>
  </r>
  <r>
    <x v="0"/>
    <x v="84"/>
    <x v="84"/>
    <x v="56"/>
    <x v="56"/>
    <x v="56"/>
    <x v="5"/>
    <x v="200"/>
    <x v="40"/>
    <x v="56"/>
    <x v="112"/>
    <x v="123"/>
    <x v="231"/>
    <x v="0"/>
  </r>
  <r>
    <x v="0"/>
    <x v="84"/>
    <x v="84"/>
    <x v="46"/>
    <x v="46"/>
    <x v="46"/>
    <x v="5"/>
    <x v="200"/>
    <x v="40"/>
    <x v="56"/>
    <x v="112"/>
    <x v="123"/>
    <x v="231"/>
    <x v="0"/>
  </r>
  <r>
    <x v="0"/>
    <x v="84"/>
    <x v="84"/>
    <x v="22"/>
    <x v="22"/>
    <x v="22"/>
    <x v="5"/>
    <x v="200"/>
    <x v="40"/>
    <x v="56"/>
    <x v="112"/>
    <x v="123"/>
    <x v="231"/>
    <x v="0"/>
  </r>
  <r>
    <x v="0"/>
    <x v="84"/>
    <x v="84"/>
    <x v="13"/>
    <x v="13"/>
    <x v="13"/>
    <x v="5"/>
    <x v="200"/>
    <x v="40"/>
    <x v="50"/>
    <x v="454"/>
    <x v="93"/>
    <x v="320"/>
    <x v="0"/>
  </r>
  <r>
    <x v="0"/>
    <x v="84"/>
    <x v="84"/>
    <x v="44"/>
    <x v="44"/>
    <x v="44"/>
    <x v="5"/>
    <x v="200"/>
    <x v="40"/>
    <x v="56"/>
    <x v="112"/>
    <x v="123"/>
    <x v="231"/>
    <x v="0"/>
  </r>
  <r>
    <x v="0"/>
    <x v="84"/>
    <x v="84"/>
    <x v="7"/>
    <x v="7"/>
    <x v="7"/>
    <x v="5"/>
    <x v="200"/>
    <x v="40"/>
    <x v="56"/>
    <x v="112"/>
    <x v="123"/>
    <x v="231"/>
    <x v="0"/>
  </r>
  <r>
    <x v="0"/>
    <x v="84"/>
    <x v="84"/>
    <x v="4"/>
    <x v="4"/>
    <x v="4"/>
    <x v="5"/>
    <x v="200"/>
    <x v="40"/>
    <x v="56"/>
    <x v="112"/>
    <x v="123"/>
    <x v="231"/>
    <x v="0"/>
  </r>
  <r>
    <x v="0"/>
    <x v="84"/>
    <x v="84"/>
    <x v="2"/>
    <x v="2"/>
    <x v="2"/>
    <x v="5"/>
    <x v="200"/>
    <x v="40"/>
    <x v="56"/>
    <x v="112"/>
    <x v="123"/>
    <x v="231"/>
    <x v="0"/>
  </r>
  <r>
    <x v="0"/>
    <x v="84"/>
    <x v="84"/>
    <x v="8"/>
    <x v="8"/>
    <x v="8"/>
    <x v="5"/>
    <x v="200"/>
    <x v="40"/>
    <x v="70"/>
    <x v="471"/>
    <x v="127"/>
    <x v="151"/>
    <x v="0"/>
  </r>
  <r>
    <x v="0"/>
    <x v="84"/>
    <x v="84"/>
    <x v="6"/>
    <x v="6"/>
    <x v="6"/>
    <x v="5"/>
    <x v="200"/>
    <x v="40"/>
    <x v="70"/>
    <x v="471"/>
    <x v="127"/>
    <x v="151"/>
    <x v="0"/>
  </r>
  <r>
    <x v="0"/>
    <x v="84"/>
    <x v="84"/>
    <x v="53"/>
    <x v="53"/>
    <x v="53"/>
    <x v="5"/>
    <x v="200"/>
    <x v="40"/>
    <x v="65"/>
    <x v="65"/>
    <x v="127"/>
    <x v="151"/>
    <x v="0"/>
  </r>
  <r>
    <x v="0"/>
    <x v="84"/>
    <x v="84"/>
    <x v="43"/>
    <x v="43"/>
    <x v="43"/>
    <x v="5"/>
    <x v="200"/>
    <x v="40"/>
    <x v="65"/>
    <x v="65"/>
    <x v="93"/>
    <x v="320"/>
    <x v="0"/>
  </r>
  <r>
    <x v="0"/>
    <x v="84"/>
    <x v="84"/>
    <x v="59"/>
    <x v="59"/>
    <x v="59"/>
    <x v="5"/>
    <x v="200"/>
    <x v="40"/>
    <x v="65"/>
    <x v="65"/>
    <x v="108"/>
    <x v="379"/>
    <x v="0"/>
  </r>
  <r>
    <x v="0"/>
    <x v="84"/>
    <x v="84"/>
    <x v="67"/>
    <x v="67"/>
    <x v="67"/>
    <x v="17"/>
    <x v="216"/>
    <x v="62"/>
    <x v="65"/>
    <x v="65"/>
    <x v="93"/>
    <x v="320"/>
    <x v="0"/>
  </r>
  <r>
    <x v="0"/>
    <x v="84"/>
    <x v="84"/>
    <x v="14"/>
    <x v="14"/>
    <x v="14"/>
    <x v="17"/>
    <x v="216"/>
    <x v="62"/>
    <x v="65"/>
    <x v="65"/>
    <x v="93"/>
    <x v="320"/>
    <x v="0"/>
  </r>
  <r>
    <x v="0"/>
    <x v="84"/>
    <x v="84"/>
    <x v="89"/>
    <x v="89"/>
    <x v="89"/>
    <x v="17"/>
    <x v="216"/>
    <x v="62"/>
    <x v="65"/>
    <x v="65"/>
    <x v="93"/>
    <x v="320"/>
    <x v="0"/>
  </r>
  <r>
    <x v="0"/>
    <x v="84"/>
    <x v="84"/>
    <x v="97"/>
    <x v="97"/>
    <x v="97"/>
    <x v="17"/>
    <x v="216"/>
    <x v="62"/>
    <x v="65"/>
    <x v="65"/>
    <x v="93"/>
    <x v="320"/>
    <x v="0"/>
  </r>
  <r>
    <x v="0"/>
    <x v="84"/>
    <x v="84"/>
    <x v="164"/>
    <x v="162"/>
    <x v="164"/>
    <x v="17"/>
    <x v="216"/>
    <x v="62"/>
    <x v="65"/>
    <x v="65"/>
    <x v="93"/>
    <x v="320"/>
    <x v="0"/>
  </r>
  <r>
    <x v="0"/>
    <x v="84"/>
    <x v="84"/>
    <x v="28"/>
    <x v="28"/>
    <x v="28"/>
    <x v="17"/>
    <x v="216"/>
    <x v="62"/>
    <x v="50"/>
    <x v="454"/>
    <x v="123"/>
    <x v="231"/>
    <x v="0"/>
  </r>
  <r>
    <x v="0"/>
    <x v="84"/>
    <x v="84"/>
    <x v="47"/>
    <x v="47"/>
    <x v="47"/>
    <x v="17"/>
    <x v="216"/>
    <x v="62"/>
    <x v="50"/>
    <x v="454"/>
    <x v="123"/>
    <x v="231"/>
    <x v="0"/>
  </r>
  <r>
    <x v="0"/>
    <x v="84"/>
    <x v="84"/>
    <x v="125"/>
    <x v="125"/>
    <x v="125"/>
    <x v="17"/>
    <x v="216"/>
    <x v="62"/>
    <x v="65"/>
    <x v="65"/>
    <x v="93"/>
    <x v="320"/>
    <x v="0"/>
  </r>
  <r>
    <x v="0"/>
    <x v="84"/>
    <x v="84"/>
    <x v="3"/>
    <x v="3"/>
    <x v="3"/>
    <x v="17"/>
    <x v="216"/>
    <x v="62"/>
    <x v="56"/>
    <x v="112"/>
    <x v="127"/>
    <x v="151"/>
    <x v="0"/>
  </r>
  <r>
    <x v="0"/>
    <x v="84"/>
    <x v="84"/>
    <x v="52"/>
    <x v="52"/>
    <x v="52"/>
    <x v="17"/>
    <x v="216"/>
    <x v="62"/>
    <x v="65"/>
    <x v="65"/>
    <x v="127"/>
    <x v="151"/>
    <x v="0"/>
  </r>
  <r>
    <x v="0"/>
    <x v="85"/>
    <x v="85"/>
    <x v="1"/>
    <x v="1"/>
    <x v="1"/>
    <x v="0"/>
    <x v="197"/>
    <x v="422"/>
    <x v="39"/>
    <x v="589"/>
    <x v="127"/>
    <x v="151"/>
    <x v="0"/>
  </r>
  <r>
    <x v="0"/>
    <x v="85"/>
    <x v="85"/>
    <x v="3"/>
    <x v="3"/>
    <x v="3"/>
    <x v="1"/>
    <x v="199"/>
    <x v="423"/>
    <x v="62"/>
    <x v="524"/>
    <x v="127"/>
    <x v="151"/>
    <x v="0"/>
  </r>
  <r>
    <x v="0"/>
    <x v="85"/>
    <x v="85"/>
    <x v="17"/>
    <x v="17"/>
    <x v="17"/>
    <x v="2"/>
    <x v="216"/>
    <x v="196"/>
    <x v="50"/>
    <x v="447"/>
    <x v="123"/>
    <x v="357"/>
    <x v="0"/>
  </r>
  <r>
    <x v="0"/>
    <x v="85"/>
    <x v="85"/>
    <x v="162"/>
    <x v="160"/>
    <x v="162"/>
    <x v="2"/>
    <x v="216"/>
    <x v="196"/>
    <x v="56"/>
    <x v="525"/>
    <x v="127"/>
    <x v="151"/>
    <x v="0"/>
  </r>
  <r>
    <x v="0"/>
    <x v="85"/>
    <x v="85"/>
    <x v="46"/>
    <x v="46"/>
    <x v="46"/>
    <x v="2"/>
    <x v="216"/>
    <x v="196"/>
    <x v="56"/>
    <x v="525"/>
    <x v="127"/>
    <x v="151"/>
    <x v="0"/>
  </r>
  <r>
    <x v="0"/>
    <x v="85"/>
    <x v="85"/>
    <x v="68"/>
    <x v="68"/>
    <x v="68"/>
    <x v="2"/>
    <x v="216"/>
    <x v="196"/>
    <x v="65"/>
    <x v="65"/>
    <x v="93"/>
    <x v="380"/>
    <x v="0"/>
  </r>
  <r>
    <x v="0"/>
    <x v="85"/>
    <x v="85"/>
    <x v="47"/>
    <x v="47"/>
    <x v="47"/>
    <x v="2"/>
    <x v="216"/>
    <x v="196"/>
    <x v="65"/>
    <x v="65"/>
    <x v="93"/>
    <x v="380"/>
    <x v="0"/>
  </r>
  <r>
    <x v="0"/>
    <x v="85"/>
    <x v="85"/>
    <x v="18"/>
    <x v="18"/>
    <x v="18"/>
    <x v="2"/>
    <x v="216"/>
    <x v="196"/>
    <x v="56"/>
    <x v="525"/>
    <x v="127"/>
    <x v="151"/>
    <x v="0"/>
  </r>
  <r>
    <x v="0"/>
    <x v="85"/>
    <x v="85"/>
    <x v="66"/>
    <x v="66"/>
    <x v="66"/>
    <x v="2"/>
    <x v="216"/>
    <x v="196"/>
    <x v="65"/>
    <x v="65"/>
    <x v="127"/>
    <x v="151"/>
    <x v="1"/>
  </r>
  <r>
    <x v="0"/>
    <x v="85"/>
    <x v="85"/>
    <x v="82"/>
    <x v="82"/>
    <x v="82"/>
    <x v="2"/>
    <x v="216"/>
    <x v="196"/>
    <x v="65"/>
    <x v="65"/>
    <x v="127"/>
    <x v="151"/>
    <x v="0"/>
  </r>
  <r>
    <x v="0"/>
    <x v="85"/>
    <x v="85"/>
    <x v="43"/>
    <x v="43"/>
    <x v="43"/>
    <x v="2"/>
    <x v="216"/>
    <x v="196"/>
    <x v="65"/>
    <x v="65"/>
    <x v="93"/>
    <x v="380"/>
    <x v="0"/>
  </r>
  <r>
    <x v="0"/>
    <x v="85"/>
    <x v="85"/>
    <x v="72"/>
    <x v="72"/>
    <x v="72"/>
    <x v="2"/>
    <x v="216"/>
    <x v="196"/>
    <x v="50"/>
    <x v="447"/>
    <x v="127"/>
    <x v="151"/>
    <x v="0"/>
  </r>
  <r>
    <x v="0"/>
    <x v="85"/>
    <x v="85"/>
    <x v="155"/>
    <x v="154"/>
    <x v="155"/>
    <x v="12"/>
    <x v="217"/>
    <x v="85"/>
    <x v="65"/>
    <x v="65"/>
    <x v="123"/>
    <x v="357"/>
    <x v="0"/>
  </r>
  <r>
    <x v="0"/>
    <x v="85"/>
    <x v="85"/>
    <x v="10"/>
    <x v="10"/>
    <x v="10"/>
    <x v="12"/>
    <x v="217"/>
    <x v="85"/>
    <x v="65"/>
    <x v="65"/>
    <x v="123"/>
    <x v="357"/>
    <x v="0"/>
  </r>
  <r>
    <x v="0"/>
    <x v="85"/>
    <x v="85"/>
    <x v="87"/>
    <x v="87"/>
    <x v="87"/>
    <x v="12"/>
    <x v="217"/>
    <x v="85"/>
    <x v="65"/>
    <x v="65"/>
    <x v="123"/>
    <x v="357"/>
    <x v="0"/>
  </r>
  <r>
    <x v="0"/>
    <x v="85"/>
    <x v="85"/>
    <x v="56"/>
    <x v="56"/>
    <x v="56"/>
    <x v="12"/>
    <x v="217"/>
    <x v="85"/>
    <x v="50"/>
    <x v="447"/>
    <x v="127"/>
    <x v="151"/>
    <x v="0"/>
  </r>
  <r>
    <x v="0"/>
    <x v="85"/>
    <x v="85"/>
    <x v="14"/>
    <x v="14"/>
    <x v="14"/>
    <x v="12"/>
    <x v="217"/>
    <x v="85"/>
    <x v="50"/>
    <x v="447"/>
    <x v="127"/>
    <x v="151"/>
    <x v="0"/>
  </r>
  <r>
    <x v="0"/>
    <x v="85"/>
    <x v="85"/>
    <x v="165"/>
    <x v="163"/>
    <x v="165"/>
    <x v="12"/>
    <x v="217"/>
    <x v="85"/>
    <x v="50"/>
    <x v="447"/>
    <x v="127"/>
    <x v="151"/>
    <x v="0"/>
  </r>
  <r>
    <x v="0"/>
    <x v="85"/>
    <x v="85"/>
    <x v="127"/>
    <x v="127"/>
    <x v="127"/>
    <x v="12"/>
    <x v="217"/>
    <x v="85"/>
    <x v="50"/>
    <x v="447"/>
    <x v="127"/>
    <x v="151"/>
    <x v="0"/>
  </r>
  <r>
    <x v="0"/>
    <x v="85"/>
    <x v="85"/>
    <x v="63"/>
    <x v="63"/>
    <x v="63"/>
    <x v="12"/>
    <x v="217"/>
    <x v="85"/>
    <x v="50"/>
    <x v="447"/>
    <x v="127"/>
    <x v="151"/>
    <x v="0"/>
  </r>
  <r>
    <x v="0"/>
    <x v="85"/>
    <x v="85"/>
    <x v="111"/>
    <x v="111"/>
    <x v="111"/>
    <x v="12"/>
    <x v="217"/>
    <x v="85"/>
    <x v="65"/>
    <x v="65"/>
    <x v="123"/>
    <x v="357"/>
    <x v="0"/>
  </r>
  <r>
    <x v="0"/>
    <x v="85"/>
    <x v="85"/>
    <x v="166"/>
    <x v="164"/>
    <x v="166"/>
    <x v="12"/>
    <x v="217"/>
    <x v="85"/>
    <x v="65"/>
    <x v="65"/>
    <x v="123"/>
    <x v="357"/>
    <x v="0"/>
  </r>
  <r>
    <x v="0"/>
    <x v="85"/>
    <x v="85"/>
    <x v="167"/>
    <x v="165"/>
    <x v="167"/>
    <x v="12"/>
    <x v="217"/>
    <x v="85"/>
    <x v="65"/>
    <x v="65"/>
    <x v="123"/>
    <x v="357"/>
    <x v="0"/>
  </r>
  <r>
    <x v="0"/>
    <x v="85"/>
    <x v="85"/>
    <x v="75"/>
    <x v="75"/>
    <x v="75"/>
    <x v="12"/>
    <x v="217"/>
    <x v="85"/>
    <x v="65"/>
    <x v="65"/>
    <x v="127"/>
    <x v="151"/>
    <x v="0"/>
  </r>
  <r>
    <x v="0"/>
    <x v="85"/>
    <x v="85"/>
    <x v="30"/>
    <x v="30"/>
    <x v="30"/>
    <x v="12"/>
    <x v="217"/>
    <x v="85"/>
    <x v="65"/>
    <x v="65"/>
    <x v="123"/>
    <x v="357"/>
    <x v="0"/>
  </r>
  <r>
    <x v="0"/>
    <x v="85"/>
    <x v="85"/>
    <x v="62"/>
    <x v="62"/>
    <x v="62"/>
    <x v="12"/>
    <x v="217"/>
    <x v="85"/>
    <x v="65"/>
    <x v="65"/>
    <x v="123"/>
    <x v="357"/>
    <x v="0"/>
  </r>
  <r>
    <x v="0"/>
    <x v="85"/>
    <x v="85"/>
    <x v="58"/>
    <x v="58"/>
    <x v="58"/>
    <x v="12"/>
    <x v="217"/>
    <x v="85"/>
    <x v="65"/>
    <x v="65"/>
    <x v="123"/>
    <x v="357"/>
    <x v="0"/>
  </r>
  <r>
    <x v="0"/>
    <x v="85"/>
    <x v="85"/>
    <x v="21"/>
    <x v="21"/>
    <x v="21"/>
    <x v="12"/>
    <x v="217"/>
    <x v="85"/>
    <x v="50"/>
    <x v="447"/>
    <x v="127"/>
    <x v="151"/>
    <x v="0"/>
  </r>
  <r>
    <x v="0"/>
    <x v="85"/>
    <x v="85"/>
    <x v="28"/>
    <x v="28"/>
    <x v="28"/>
    <x v="12"/>
    <x v="217"/>
    <x v="85"/>
    <x v="50"/>
    <x v="447"/>
    <x v="127"/>
    <x v="151"/>
    <x v="0"/>
  </r>
  <r>
    <x v="0"/>
    <x v="85"/>
    <x v="85"/>
    <x v="79"/>
    <x v="79"/>
    <x v="79"/>
    <x v="12"/>
    <x v="217"/>
    <x v="85"/>
    <x v="50"/>
    <x v="447"/>
    <x v="127"/>
    <x v="151"/>
    <x v="0"/>
  </r>
  <r>
    <x v="0"/>
    <x v="85"/>
    <x v="85"/>
    <x v="92"/>
    <x v="92"/>
    <x v="92"/>
    <x v="12"/>
    <x v="217"/>
    <x v="85"/>
    <x v="50"/>
    <x v="447"/>
    <x v="127"/>
    <x v="151"/>
    <x v="0"/>
  </r>
  <r>
    <x v="0"/>
    <x v="85"/>
    <x v="85"/>
    <x v="44"/>
    <x v="44"/>
    <x v="44"/>
    <x v="12"/>
    <x v="217"/>
    <x v="85"/>
    <x v="65"/>
    <x v="65"/>
    <x v="123"/>
    <x v="357"/>
    <x v="0"/>
  </r>
  <r>
    <x v="0"/>
    <x v="85"/>
    <x v="85"/>
    <x v="114"/>
    <x v="114"/>
    <x v="114"/>
    <x v="12"/>
    <x v="217"/>
    <x v="85"/>
    <x v="50"/>
    <x v="447"/>
    <x v="127"/>
    <x v="151"/>
    <x v="0"/>
  </r>
  <r>
    <x v="0"/>
    <x v="85"/>
    <x v="85"/>
    <x v="84"/>
    <x v="84"/>
    <x v="84"/>
    <x v="12"/>
    <x v="217"/>
    <x v="85"/>
    <x v="50"/>
    <x v="447"/>
    <x v="127"/>
    <x v="151"/>
    <x v="0"/>
  </r>
  <r>
    <x v="0"/>
    <x v="85"/>
    <x v="85"/>
    <x v="50"/>
    <x v="50"/>
    <x v="50"/>
    <x v="12"/>
    <x v="217"/>
    <x v="85"/>
    <x v="65"/>
    <x v="65"/>
    <x v="123"/>
    <x v="357"/>
    <x v="0"/>
  </r>
  <r>
    <x v="0"/>
    <x v="85"/>
    <x v="85"/>
    <x v="7"/>
    <x v="7"/>
    <x v="7"/>
    <x v="12"/>
    <x v="217"/>
    <x v="85"/>
    <x v="50"/>
    <x v="447"/>
    <x v="127"/>
    <x v="151"/>
    <x v="0"/>
  </r>
  <r>
    <x v="0"/>
    <x v="85"/>
    <x v="85"/>
    <x v="0"/>
    <x v="0"/>
    <x v="0"/>
    <x v="12"/>
    <x v="217"/>
    <x v="85"/>
    <x v="65"/>
    <x v="65"/>
    <x v="123"/>
    <x v="357"/>
    <x v="0"/>
  </r>
  <r>
    <x v="0"/>
    <x v="85"/>
    <x v="85"/>
    <x v="24"/>
    <x v="24"/>
    <x v="24"/>
    <x v="12"/>
    <x v="217"/>
    <x v="85"/>
    <x v="65"/>
    <x v="65"/>
    <x v="127"/>
    <x v="151"/>
    <x v="0"/>
  </r>
  <r>
    <x v="0"/>
    <x v="85"/>
    <x v="85"/>
    <x v="4"/>
    <x v="4"/>
    <x v="4"/>
    <x v="12"/>
    <x v="217"/>
    <x v="85"/>
    <x v="50"/>
    <x v="447"/>
    <x v="127"/>
    <x v="151"/>
    <x v="0"/>
  </r>
  <r>
    <x v="0"/>
    <x v="85"/>
    <x v="85"/>
    <x v="53"/>
    <x v="53"/>
    <x v="53"/>
    <x v="12"/>
    <x v="217"/>
    <x v="85"/>
    <x v="65"/>
    <x v="65"/>
    <x v="127"/>
    <x v="151"/>
    <x v="0"/>
  </r>
  <r>
    <x v="0"/>
    <x v="85"/>
    <x v="85"/>
    <x v="59"/>
    <x v="59"/>
    <x v="59"/>
    <x v="12"/>
    <x v="217"/>
    <x v="85"/>
    <x v="65"/>
    <x v="65"/>
    <x v="123"/>
    <x v="357"/>
    <x v="0"/>
  </r>
  <r>
    <x v="0"/>
    <x v="85"/>
    <x v="85"/>
    <x v="109"/>
    <x v="109"/>
    <x v="109"/>
    <x v="12"/>
    <x v="217"/>
    <x v="85"/>
    <x v="65"/>
    <x v="65"/>
    <x v="123"/>
    <x v="357"/>
    <x v="0"/>
  </r>
  <r>
    <x v="0"/>
    <x v="85"/>
    <x v="85"/>
    <x v="57"/>
    <x v="57"/>
    <x v="57"/>
    <x v="12"/>
    <x v="217"/>
    <x v="85"/>
    <x v="65"/>
    <x v="65"/>
    <x v="127"/>
    <x v="151"/>
    <x v="0"/>
  </r>
  <r>
    <x v="0"/>
    <x v="85"/>
    <x v="85"/>
    <x v="168"/>
    <x v="166"/>
    <x v="168"/>
    <x v="12"/>
    <x v="217"/>
    <x v="85"/>
    <x v="65"/>
    <x v="65"/>
    <x v="127"/>
    <x v="151"/>
    <x v="0"/>
  </r>
  <r>
    <x v="0"/>
    <x v="86"/>
    <x v="86"/>
    <x v="12"/>
    <x v="12"/>
    <x v="12"/>
    <x v="0"/>
    <x v="196"/>
    <x v="376"/>
    <x v="56"/>
    <x v="487"/>
    <x v="119"/>
    <x v="381"/>
    <x v="0"/>
  </r>
  <r>
    <x v="0"/>
    <x v="86"/>
    <x v="86"/>
    <x v="3"/>
    <x v="3"/>
    <x v="3"/>
    <x v="0"/>
    <x v="196"/>
    <x v="376"/>
    <x v="95"/>
    <x v="586"/>
    <x v="127"/>
    <x v="151"/>
    <x v="0"/>
  </r>
  <r>
    <x v="0"/>
    <x v="86"/>
    <x v="86"/>
    <x v="14"/>
    <x v="14"/>
    <x v="14"/>
    <x v="2"/>
    <x v="199"/>
    <x v="92"/>
    <x v="50"/>
    <x v="194"/>
    <x v="108"/>
    <x v="382"/>
    <x v="0"/>
  </r>
  <r>
    <x v="0"/>
    <x v="86"/>
    <x v="86"/>
    <x v="47"/>
    <x v="47"/>
    <x v="47"/>
    <x v="2"/>
    <x v="199"/>
    <x v="92"/>
    <x v="56"/>
    <x v="487"/>
    <x v="93"/>
    <x v="27"/>
    <x v="0"/>
  </r>
  <r>
    <x v="0"/>
    <x v="86"/>
    <x v="86"/>
    <x v="42"/>
    <x v="42"/>
    <x v="42"/>
    <x v="2"/>
    <x v="199"/>
    <x v="92"/>
    <x v="65"/>
    <x v="65"/>
    <x v="110"/>
    <x v="383"/>
    <x v="0"/>
  </r>
  <r>
    <x v="0"/>
    <x v="86"/>
    <x v="86"/>
    <x v="4"/>
    <x v="4"/>
    <x v="4"/>
    <x v="2"/>
    <x v="199"/>
    <x v="92"/>
    <x v="62"/>
    <x v="84"/>
    <x v="127"/>
    <x v="151"/>
    <x v="0"/>
  </r>
  <r>
    <x v="0"/>
    <x v="86"/>
    <x v="86"/>
    <x v="37"/>
    <x v="37"/>
    <x v="37"/>
    <x v="2"/>
    <x v="199"/>
    <x v="92"/>
    <x v="65"/>
    <x v="65"/>
    <x v="108"/>
    <x v="382"/>
    <x v="0"/>
  </r>
  <r>
    <x v="0"/>
    <x v="86"/>
    <x v="86"/>
    <x v="1"/>
    <x v="1"/>
    <x v="1"/>
    <x v="2"/>
    <x v="199"/>
    <x v="92"/>
    <x v="70"/>
    <x v="587"/>
    <x v="123"/>
    <x v="265"/>
    <x v="0"/>
  </r>
  <r>
    <x v="0"/>
    <x v="86"/>
    <x v="86"/>
    <x v="83"/>
    <x v="83"/>
    <x v="83"/>
    <x v="2"/>
    <x v="199"/>
    <x v="92"/>
    <x v="56"/>
    <x v="487"/>
    <x v="93"/>
    <x v="27"/>
    <x v="0"/>
  </r>
  <r>
    <x v="0"/>
    <x v="86"/>
    <x v="86"/>
    <x v="111"/>
    <x v="111"/>
    <x v="111"/>
    <x v="9"/>
    <x v="200"/>
    <x v="143"/>
    <x v="65"/>
    <x v="65"/>
    <x v="108"/>
    <x v="382"/>
    <x v="0"/>
  </r>
  <r>
    <x v="0"/>
    <x v="86"/>
    <x v="86"/>
    <x v="97"/>
    <x v="97"/>
    <x v="97"/>
    <x v="9"/>
    <x v="200"/>
    <x v="143"/>
    <x v="65"/>
    <x v="65"/>
    <x v="108"/>
    <x v="382"/>
    <x v="0"/>
  </r>
  <r>
    <x v="0"/>
    <x v="86"/>
    <x v="86"/>
    <x v="33"/>
    <x v="33"/>
    <x v="33"/>
    <x v="9"/>
    <x v="200"/>
    <x v="143"/>
    <x v="65"/>
    <x v="65"/>
    <x v="108"/>
    <x v="382"/>
    <x v="0"/>
  </r>
  <r>
    <x v="0"/>
    <x v="86"/>
    <x v="86"/>
    <x v="8"/>
    <x v="8"/>
    <x v="8"/>
    <x v="9"/>
    <x v="200"/>
    <x v="143"/>
    <x v="70"/>
    <x v="587"/>
    <x v="127"/>
    <x v="151"/>
    <x v="0"/>
  </r>
  <r>
    <x v="0"/>
    <x v="86"/>
    <x v="86"/>
    <x v="23"/>
    <x v="23"/>
    <x v="23"/>
    <x v="9"/>
    <x v="200"/>
    <x v="143"/>
    <x v="70"/>
    <x v="587"/>
    <x v="127"/>
    <x v="151"/>
    <x v="0"/>
  </r>
  <r>
    <x v="0"/>
    <x v="86"/>
    <x v="86"/>
    <x v="26"/>
    <x v="26"/>
    <x v="26"/>
    <x v="9"/>
    <x v="200"/>
    <x v="143"/>
    <x v="65"/>
    <x v="65"/>
    <x v="108"/>
    <x v="382"/>
    <x v="0"/>
  </r>
  <r>
    <x v="0"/>
    <x v="86"/>
    <x v="86"/>
    <x v="17"/>
    <x v="17"/>
    <x v="17"/>
    <x v="14"/>
    <x v="216"/>
    <x v="64"/>
    <x v="50"/>
    <x v="194"/>
    <x v="123"/>
    <x v="265"/>
    <x v="0"/>
  </r>
  <r>
    <x v="0"/>
    <x v="86"/>
    <x v="86"/>
    <x v="46"/>
    <x v="46"/>
    <x v="46"/>
    <x v="14"/>
    <x v="216"/>
    <x v="64"/>
    <x v="50"/>
    <x v="194"/>
    <x v="123"/>
    <x v="265"/>
    <x v="0"/>
  </r>
  <r>
    <x v="0"/>
    <x v="86"/>
    <x v="86"/>
    <x v="13"/>
    <x v="13"/>
    <x v="13"/>
    <x v="14"/>
    <x v="216"/>
    <x v="64"/>
    <x v="65"/>
    <x v="65"/>
    <x v="93"/>
    <x v="27"/>
    <x v="0"/>
  </r>
  <r>
    <x v="0"/>
    <x v="86"/>
    <x v="86"/>
    <x v="63"/>
    <x v="63"/>
    <x v="63"/>
    <x v="14"/>
    <x v="216"/>
    <x v="64"/>
    <x v="65"/>
    <x v="65"/>
    <x v="93"/>
    <x v="27"/>
    <x v="0"/>
  </r>
  <r>
    <x v="0"/>
    <x v="86"/>
    <x v="86"/>
    <x v="62"/>
    <x v="62"/>
    <x v="62"/>
    <x v="14"/>
    <x v="216"/>
    <x v="64"/>
    <x v="65"/>
    <x v="65"/>
    <x v="93"/>
    <x v="27"/>
    <x v="0"/>
  </r>
  <r>
    <x v="0"/>
    <x v="86"/>
    <x v="86"/>
    <x v="28"/>
    <x v="28"/>
    <x v="28"/>
    <x v="14"/>
    <x v="216"/>
    <x v="64"/>
    <x v="56"/>
    <x v="487"/>
    <x v="127"/>
    <x v="151"/>
    <x v="0"/>
  </r>
  <r>
    <x v="0"/>
    <x v="86"/>
    <x v="86"/>
    <x v="41"/>
    <x v="41"/>
    <x v="41"/>
    <x v="14"/>
    <x v="216"/>
    <x v="64"/>
    <x v="56"/>
    <x v="487"/>
    <x v="127"/>
    <x v="151"/>
    <x v="0"/>
  </r>
  <r>
    <x v="0"/>
    <x v="86"/>
    <x v="86"/>
    <x v="11"/>
    <x v="11"/>
    <x v="11"/>
    <x v="14"/>
    <x v="216"/>
    <x v="64"/>
    <x v="56"/>
    <x v="487"/>
    <x v="127"/>
    <x v="151"/>
    <x v="0"/>
  </r>
  <r>
    <x v="0"/>
    <x v="86"/>
    <x v="86"/>
    <x v="49"/>
    <x v="49"/>
    <x v="49"/>
    <x v="14"/>
    <x v="216"/>
    <x v="64"/>
    <x v="56"/>
    <x v="487"/>
    <x v="127"/>
    <x v="151"/>
    <x v="0"/>
  </r>
  <r>
    <x v="0"/>
    <x v="86"/>
    <x v="86"/>
    <x v="7"/>
    <x v="7"/>
    <x v="7"/>
    <x v="14"/>
    <x v="216"/>
    <x v="64"/>
    <x v="50"/>
    <x v="194"/>
    <x v="123"/>
    <x v="265"/>
    <x v="0"/>
  </r>
  <r>
    <x v="0"/>
    <x v="86"/>
    <x v="86"/>
    <x v="0"/>
    <x v="0"/>
    <x v="0"/>
    <x v="14"/>
    <x v="216"/>
    <x v="64"/>
    <x v="50"/>
    <x v="194"/>
    <x v="123"/>
    <x v="265"/>
    <x v="0"/>
  </r>
  <r>
    <x v="0"/>
    <x v="86"/>
    <x v="86"/>
    <x v="16"/>
    <x v="16"/>
    <x v="16"/>
    <x v="14"/>
    <x v="216"/>
    <x v="64"/>
    <x v="65"/>
    <x v="65"/>
    <x v="93"/>
    <x v="27"/>
    <x v="0"/>
  </r>
  <r>
    <x v="0"/>
    <x v="86"/>
    <x v="86"/>
    <x v="45"/>
    <x v="45"/>
    <x v="45"/>
    <x v="14"/>
    <x v="216"/>
    <x v="64"/>
    <x v="56"/>
    <x v="487"/>
    <x v="127"/>
    <x v="151"/>
    <x v="0"/>
  </r>
  <r>
    <x v="0"/>
    <x v="86"/>
    <x v="86"/>
    <x v="9"/>
    <x v="9"/>
    <x v="9"/>
    <x v="14"/>
    <x v="216"/>
    <x v="64"/>
    <x v="50"/>
    <x v="194"/>
    <x v="123"/>
    <x v="265"/>
    <x v="0"/>
  </r>
  <r>
    <x v="0"/>
    <x v="86"/>
    <x v="86"/>
    <x v="53"/>
    <x v="53"/>
    <x v="53"/>
    <x v="14"/>
    <x v="216"/>
    <x v="64"/>
    <x v="65"/>
    <x v="65"/>
    <x v="127"/>
    <x v="151"/>
    <x v="1"/>
  </r>
  <r>
    <x v="0"/>
    <x v="86"/>
    <x v="86"/>
    <x v="43"/>
    <x v="43"/>
    <x v="43"/>
    <x v="14"/>
    <x v="216"/>
    <x v="64"/>
    <x v="65"/>
    <x v="65"/>
    <x v="123"/>
    <x v="265"/>
    <x v="0"/>
  </r>
  <r>
    <x v="0"/>
    <x v="86"/>
    <x v="86"/>
    <x v="19"/>
    <x v="19"/>
    <x v="19"/>
    <x v="14"/>
    <x v="216"/>
    <x v="64"/>
    <x v="50"/>
    <x v="194"/>
    <x v="123"/>
    <x v="265"/>
    <x v="0"/>
  </r>
  <r>
    <x v="0"/>
    <x v="87"/>
    <x v="87"/>
    <x v="2"/>
    <x v="2"/>
    <x v="2"/>
    <x v="0"/>
    <x v="204"/>
    <x v="260"/>
    <x v="94"/>
    <x v="590"/>
    <x v="123"/>
    <x v="174"/>
    <x v="0"/>
  </r>
  <r>
    <x v="0"/>
    <x v="87"/>
    <x v="87"/>
    <x v="0"/>
    <x v="0"/>
    <x v="0"/>
    <x v="1"/>
    <x v="205"/>
    <x v="126"/>
    <x v="100"/>
    <x v="591"/>
    <x v="67"/>
    <x v="216"/>
    <x v="0"/>
  </r>
  <r>
    <x v="0"/>
    <x v="87"/>
    <x v="87"/>
    <x v="5"/>
    <x v="5"/>
    <x v="5"/>
    <x v="2"/>
    <x v="194"/>
    <x v="387"/>
    <x v="77"/>
    <x v="592"/>
    <x v="93"/>
    <x v="384"/>
    <x v="0"/>
  </r>
  <r>
    <x v="0"/>
    <x v="87"/>
    <x v="87"/>
    <x v="3"/>
    <x v="3"/>
    <x v="3"/>
    <x v="3"/>
    <x v="208"/>
    <x v="424"/>
    <x v="77"/>
    <x v="592"/>
    <x v="127"/>
    <x v="151"/>
    <x v="0"/>
  </r>
  <r>
    <x v="0"/>
    <x v="87"/>
    <x v="87"/>
    <x v="1"/>
    <x v="1"/>
    <x v="1"/>
    <x v="3"/>
    <x v="208"/>
    <x v="424"/>
    <x v="68"/>
    <x v="593"/>
    <x v="123"/>
    <x v="174"/>
    <x v="0"/>
  </r>
  <r>
    <x v="0"/>
    <x v="87"/>
    <x v="87"/>
    <x v="9"/>
    <x v="9"/>
    <x v="9"/>
    <x v="5"/>
    <x v="210"/>
    <x v="388"/>
    <x v="95"/>
    <x v="389"/>
    <x v="123"/>
    <x v="174"/>
    <x v="0"/>
  </r>
  <r>
    <x v="0"/>
    <x v="87"/>
    <x v="87"/>
    <x v="46"/>
    <x v="46"/>
    <x v="46"/>
    <x v="6"/>
    <x v="197"/>
    <x v="214"/>
    <x v="62"/>
    <x v="8"/>
    <x v="93"/>
    <x v="384"/>
    <x v="0"/>
  </r>
  <r>
    <x v="0"/>
    <x v="87"/>
    <x v="87"/>
    <x v="41"/>
    <x v="41"/>
    <x v="41"/>
    <x v="6"/>
    <x v="197"/>
    <x v="214"/>
    <x v="62"/>
    <x v="8"/>
    <x v="93"/>
    <x v="384"/>
    <x v="0"/>
  </r>
  <r>
    <x v="0"/>
    <x v="87"/>
    <x v="87"/>
    <x v="12"/>
    <x v="12"/>
    <x v="12"/>
    <x v="8"/>
    <x v="198"/>
    <x v="72"/>
    <x v="56"/>
    <x v="70"/>
    <x v="108"/>
    <x v="165"/>
    <x v="0"/>
  </r>
  <r>
    <x v="0"/>
    <x v="87"/>
    <x v="87"/>
    <x v="7"/>
    <x v="7"/>
    <x v="7"/>
    <x v="8"/>
    <x v="198"/>
    <x v="72"/>
    <x v="50"/>
    <x v="594"/>
    <x v="110"/>
    <x v="69"/>
    <x v="0"/>
  </r>
  <r>
    <x v="0"/>
    <x v="87"/>
    <x v="87"/>
    <x v="15"/>
    <x v="15"/>
    <x v="15"/>
    <x v="8"/>
    <x v="198"/>
    <x v="72"/>
    <x v="50"/>
    <x v="594"/>
    <x v="110"/>
    <x v="69"/>
    <x v="0"/>
  </r>
  <r>
    <x v="0"/>
    <x v="87"/>
    <x v="87"/>
    <x v="4"/>
    <x v="4"/>
    <x v="4"/>
    <x v="8"/>
    <x v="198"/>
    <x v="72"/>
    <x v="62"/>
    <x v="8"/>
    <x v="123"/>
    <x v="174"/>
    <x v="0"/>
  </r>
  <r>
    <x v="0"/>
    <x v="87"/>
    <x v="87"/>
    <x v="43"/>
    <x v="43"/>
    <x v="43"/>
    <x v="8"/>
    <x v="198"/>
    <x v="72"/>
    <x v="65"/>
    <x v="65"/>
    <x v="108"/>
    <x v="165"/>
    <x v="0"/>
  </r>
  <r>
    <x v="0"/>
    <x v="87"/>
    <x v="87"/>
    <x v="19"/>
    <x v="19"/>
    <x v="19"/>
    <x v="8"/>
    <x v="198"/>
    <x v="72"/>
    <x v="50"/>
    <x v="594"/>
    <x v="110"/>
    <x v="69"/>
    <x v="0"/>
  </r>
  <r>
    <x v="0"/>
    <x v="87"/>
    <x v="87"/>
    <x v="86"/>
    <x v="86"/>
    <x v="86"/>
    <x v="19"/>
    <x v="199"/>
    <x v="10"/>
    <x v="65"/>
    <x v="65"/>
    <x v="110"/>
    <x v="69"/>
    <x v="0"/>
  </r>
  <r>
    <x v="0"/>
    <x v="87"/>
    <x v="87"/>
    <x v="33"/>
    <x v="33"/>
    <x v="33"/>
    <x v="19"/>
    <x v="199"/>
    <x v="10"/>
    <x v="50"/>
    <x v="594"/>
    <x v="108"/>
    <x v="165"/>
    <x v="0"/>
  </r>
  <r>
    <x v="0"/>
    <x v="87"/>
    <x v="87"/>
    <x v="47"/>
    <x v="47"/>
    <x v="47"/>
    <x v="19"/>
    <x v="199"/>
    <x v="10"/>
    <x v="50"/>
    <x v="594"/>
    <x v="108"/>
    <x v="165"/>
    <x v="0"/>
  </r>
  <r>
    <x v="0"/>
    <x v="87"/>
    <x v="87"/>
    <x v="18"/>
    <x v="18"/>
    <x v="18"/>
    <x v="19"/>
    <x v="199"/>
    <x v="10"/>
    <x v="50"/>
    <x v="594"/>
    <x v="108"/>
    <x v="165"/>
    <x v="0"/>
  </r>
  <r>
    <x v="0"/>
    <x v="87"/>
    <x v="87"/>
    <x v="42"/>
    <x v="42"/>
    <x v="42"/>
    <x v="19"/>
    <x v="199"/>
    <x v="10"/>
    <x v="65"/>
    <x v="65"/>
    <x v="110"/>
    <x v="69"/>
    <x v="0"/>
  </r>
  <r>
    <x v="0"/>
    <x v="87"/>
    <x v="87"/>
    <x v="6"/>
    <x v="6"/>
    <x v="6"/>
    <x v="19"/>
    <x v="199"/>
    <x v="10"/>
    <x v="70"/>
    <x v="482"/>
    <x v="123"/>
    <x v="174"/>
    <x v="0"/>
  </r>
  <r>
    <x v="0"/>
    <x v="88"/>
    <x v="88"/>
    <x v="0"/>
    <x v="0"/>
    <x v="0"/>
    <x v="0"/>
    <x v="139"/>
    <x v="417"/>
    <x v="67"/>
    <x v="595"/>
    <x v="93"/>
    <x v="231"/>
    <x v="0"/>
  </r>
  <r>
    <x v="0"/>
    <x v="88"/>
    <x v="88"/>
    <x v="1"/>
    <x v="1"/>
    <x v="1"/>
    <x v="1"/>
    <x v="204"/>
    <x v="425"/>
    <x v="94"/>
    <x v="596"/>
    <x v="123"/>
    <x v="385"/>
    <x v="0"/>
  </r>
  <r>
    <x v="0"/>
    <x v="88"/>
    <x v="88"/>
    <x v="3"/>
    <x v="3"/>
    <x v="3"/>
    <x v="2"/>
    <x v="193"/>
    <x v="127"/>
    <x v="38"/>
    <x v="597"/>
    <x v="127"/>
    <x v="151"/>
    <x v="0"/>
  </r>
  <r>
    <x v="0"/>
    <x v="88"/>
    <x v="88"/>
    <x v="2"/>
    <x v="2"/>
    <x v="2"/>
    <x v="3"/>
    <x v="194"/>
    <x v="2"/>
    <x v="61"/>
    <x v="176"/>
    <x v="127"/>
    <x v="151"/>
    <x v="0"/>
  </r>
  <r>
    <x v="0"/>
    <x v="88"/>
    <x v="88"/>
    <x v="19"/>
    <x v="19"/>
    <x v="19"/>
    <x v="4"/>
    <x v="208"/>
    <x v="426"/>
    <x v="51"/>
    <x v="545"/>
    <x v="119"/>
    <x v="348"/>
    <x v="0"/>
  </r>
  <r>
    <x v="0"/>
    <x v="88"/>
    <x v="88"/>
    <x v="18"/>
    <x v="18"/>
    <x v="18"/>
    <x v="5"/>
    <x v="195"/>
    <x v="427"/>
    <x v="56"/>
    <x v="91"/>
    <x v="98"/>
    <x v="369"/>
    <x v="0"/>
  </r>
  <r>
    <x v="0"/>
    <x v="88"/>
    <x v="88"/>
    <x v="41"/>
    <x v="41"/>
    <x v="41"/>
    <x v="6"/>
    <x v="210"/>
    <x v="25"/>
    <x v="62"/>
    <x v="92"/>
    <x v="108"/>
    <x v="17"/>
    <x v="6"/>
  </r>
  <r>
    <x v="0"/>
    <x v="88"/>
    <x v="88"/>
    <x v="47"/>
    <x v="47"/>
    <x v="47"/>
    <x v="6"/>
    <x v="210"/>
    <x v="25"/>
    <x v="39"/>
    <x v="598"/>
    <x v="93"/>
    <x v="231"/>
    <x v="0"/>
  </r>
  <r>
    <x v="0"/>
    <x v="88"/>
    <x v="88"/>
    <x v="10"/>
    <x v="10"/>
    <x v="10"/>
    <x v="8"/>
    <x v="196"/>
    <x v="83"/>
    <x v="50"/>
    <x v="16"/>
    <x v="67"/>
    <x v="379"/>
    <x v="0"/>
  </r>
  <r>
    <x v="0"/>
    <x v="88"/>
    <x v="88"/>
    <x v="4"/>
    <x v="4"/>
    <x v="4"/>
    <x v="8"/>
    <x v="196"/>
    <x v="83"/>
    <x v="51"/>
    <x v="545"/>
    <x v="93"/>
    <x v="231"/>
    <x v="0"/>
  </r>
  <r>
    <x v="0"/>
    <x v="88"/>
    <x v="88"/>
    <x v="11"/>
    <x v="11"/>
    <x v="11"/>
    <x v="10"/>
    <x v="197"/>
    <x v="46"/>
    <x v="50"/>
    <x v="16"/>
    <x v="119"/>
    <x v="348"/>
    <x v="0"/>
  </r>
  <r>
    <x v="0"/>
    <x v="88"/>
    <x v="88"/>
    <x v="42"/>
    <x v="42"/>
    <x v="42"/>
    <x v="10"/>
    <x v="197"/>
    <x v="46"/>
    <x v="56"/>
    <x v="91"/>
    <x v="110"/>
    <x v="320"/>
    <x v="0"/>
  </r>
  <r>
    <x v="0"/>
    <x v="88"/>
    <x v="88"/>
    <x v="7"/>
    <x v="7"/>
    <x v="7"/>
    <x v="10"/>
    <x v="197"/>
    <x v="46"/>
    <x v="70"/>
    <x v="115"/>
    <x v="108"/>
    <x v="17"/>
    <x v="0"/>
  </r>
  <r>
    <x v="0"/>
    <x v="88"/>
    <x v="88"/>
    <x v="17"/>
    <x v="17"/>
    <x v="17"/>
    <x v="13"/>
    <x v="198"/>
    <x v="153"/>
    <x v="56"/>
    <x v="91"/>
    <x v="108"/>
    <x v="17"/>
    <x v="0"/>
  </r>
  <r>
    <x v="0"/>
    <x v="88"/>
    <x v="88"/>
    <x v="40"/>
    <x v="40"/>
    <x v="40"/>
    <x v="13"/>
    <x v="198"/>
    <x v="153"/>
    <x v="56"/>
    <x v="91"/>
    <x v="108"/>
    <x v="17"/>
    <x v="0"/>
  </r>
  <r>
    <x v="0"/>
    <x v="88"/>
    <x v="88"/>
    <x v="14"/>
    <x v="14"/>
    <x v="14"/>
    <x v="13"/>
    <x v="198"/>
    <x v="153"/>
    <x v="56"/>
    <x v="91"/>
    <x v="108"/>
    <x v="17"/>
    <x v="0"/>
  </r>
  <r>
    <x v="0"/>
    <x v="88"/>
    <x v="88"/>
    <x v="45"/>
    <x v="45"/>
    <x v="45"/>
    <x v="13"/>
    <x v="198"/>
    <x v="153"/>
    <x v="62"/>
    <x v="92"/>
    <x v="123"/>
    <x v="385"/>
    <x v="0"/>
  </r>
  <r>
    <x v="0"/>
    <x v="88"/>
    <x v="88"/>
    <x v="5"/>
    <x v="5"/>
    <x v="5"/>
    <x v="13"/>
    <x v="198"/>
    <x v="153"/>
    <x v="70"/>
    <x v="115"/>
    <x v="93"/>
    <x v="231"/>
    <x v="0"/>
  </r>
  <r>
    <x v="0"/>
    <x v="88"/>
    <x v="88"/>
    <x v="9"/>
    <x v="9"/>
    <x v="9"/>
    <x v="13"/>
    <x v="198"/>
    <x v="153"/>
    <x v="70"/>
    <x v="115"/>
    <x v="93"/>
    <x v="231"/>
    <x v="0"/>
  </r>
  <r>
    <x v="0"/>
    <x v="88"/>
    <x v="88"/>
    <x v="6"/>
    <x v="6"/>
    <x v="6"/>
    <x v="13"/>
    <x v="198"/>
    <x v="153"/>
    <x v="62"/>
    <x v="92"/>
    <x v="123"/>
    <x v="385"/>
    <x v="0"/>
  </r>
  <r>
    <x v="0"/>
    <x v="89"/>
    <x v="89"/>
    <x v="49"/>
    <x v="49"/>
    <x v="49"/>
    <x v="0"/>
    <x v="199"/>
    <x v="352"/>
    <x v="62"/>
    <x v="599"/>
    <x v="127"/>
    <x v="151"/>
    <x v="0"/>
  </r>
  <r>
    <x v="0"/>
    <x v="89"/>
    <x v="89"/>
    <x v="5"/>
    <x v="5"/>
    <x v="5"/>
    <x v="0"/>
    <x v="199"/>
    <x v="352"/>
    <x v="70"/>
    <x v="397"/>
    <x v="123"/>
    <x v="240"/>
    <x v="0"/>
  </r>
  <r>
    <x v="0"/>
    <x v="89"/>
    <x v="89"/>
    <x v="17"/>
    <x v="17"/>
    <x v="17"/>
    <x v="2"/>
    <x v="200"/>
    <x v="385"/>
    <x v="65"/>
    <x v="65"/>
    <x v="108"/>
    <x v="283"/>
    <x v="0"/>
  </r>
  <r>
    <x v="0"/>
    <x v="89"/>
    <x v="89"/>
    <x v="12"/>
    <x v="12"/>
    <x v="12"/>
    <x v="2"/>
    <x v="200"/>
    <x v="385"/>
    <x v="56"/>
    <x v="398"/>
    <x v="123"/>
    <x v="240"/>
    <x v="0"/>
  </r>
  <r>
    <x v="0"/>
    <x v="89"/>
    <x v="89"/>
    <x v="0"/>
    <x v="0"/>
    <x v="0"/>
    <x v="2"/>
    <x v="200"/>
    <x v="385"/>
    <x v="70"/>
    <x v="397"/>
    <x v="127"/>
    <x v="151"/>
    <x v="0"/>
  </r>
  <r>
    <x v="0"/>
    <x v="89"/>
    <x v="89"/>
    <x v="37"/>
    <x v="37"/>
    <x v="37"/>
    <x v="2"/>
    <x v="200"/>
    <x v="385"/>
    <x v="65"/>
    <x v="65"/>
    <x v="108"/>
    <x v="283"/>
    <x v="0"/>
  </r>
  <r>
    <x v="0"/>
    <x v="89"/>
    <x v="89"/>
    <x v="59"/>
    <x v="59"/>
    <x v="59"/>
    <x v="2"/>
    <x v="200"/>
    <x v="385"/>
    <x v="65"/>
    <x v="65"/>
    <x v="108"/>
    <x v="283"/>
    <x v="0"/>
  </r>
  <r>
    <x v="0"/>
    <x v="89"/>
    <x v="89"/>
    <x v="40"/>
    <x v="40"/>
    <x v="40"/>
    <x v="7"/>
    <x v="216"/>
    <x v="92"/>
    <x v="65"/>
    <x v="65"/>
    <x v="93"/>
    <x v="342"/>
    <x v="0"/>
  </r>
  <r>
    <x v="0"/>
    <x v="89"/>
    <x v="89"/>
    <x v="41"/>
    <x v="41"/>
    <x v="41"/>
    <x v="7"/>
    <x v="216"/>
    <x v="92"/>
    <x v="50"/>
    <x v="396"/>
    <x v="123"/>
    <x v="240"/>
    <x v="0"/>
  </r>
  <r>
    <x v="0"/>
    <x v="89"/>
    <x v="89"/>
    <x v="18"/>
    <x v="18"/>
    <x v="18"/>
    <x v="7"/>
    <x v="216"/>
    <x v="92"/>
    <x v="65"/>
    <x v="65"/>
    <x v="93"/>
    <x v="342"/>
    <x v="0"/>
  </r>
  <r>
    <x v="0"/>
    <x v="89"/>
    <x v="89"/>
    <x v="4"/>
    <x v="4"/>
    <x v="4"/>
    <x v="7"/>
    <x v="216"/>
    <x v="92"/>
    <x v="56"/>
    <x v="398"/>
    <x v="127"/>
    <x v="151"/>
    <x v="0"/>
  </r>
  <r>
    <x v="0"/>
    <x v="89"/>
    <x v="89"/>
    <x v="1"/>
    <x v="1"/>
    <x v="1"/>
    <x v="7"/>
    <x v="216"/>
    <x v="92"/>
    <x v="56"/>
    <x v="398"/>
    <x v="127"/>
    <x v="151"/>
    <x v="0"/>
  </r>
  <r>
    <x v="0"/>
    <x v="89"/>
    <x v="89"/>
    <x v="8"/>
    <x v="8"/>
    <x v="8"/>
    <x v="7"/>
    <x v="216"/>
    <x v="92"/>
    <x v="56"/>
    <x v="398"/>
    <x v="127"/>
    <x v="151"/>
    <x v="0"/>
  </r>
  <r>
    <x v="0"/>
    <x v="89"/>
    <x v="89"/>
    <x v="32"/>
    <x v="32"/>
    <x v="32"/>
    <x v="13"/>
    <x v="217"/>
    <x v="64"/>
    <x v="50"/>
    <x v="396"/>
    <x v="127"/>
    <x v="151"/>
    <x v="0"/>
  </r>
  <r>
    <x v="0"/>
    <x v="89"/>
    <x v="89"/>
    <x v="162"/>
    <x v="160"/>
    <x v="162"/>
    <x v="13"/>
    <x v="217"/>
    <x v="64"/>
    <x v="50"/>
    <x v="396"/>
    <x v="127"/>
    <x v="151"/>
    <x v="0"/>
  </r>
  <r>
    <x v="0"/>
    <x v="89"/>
    <x v="89"/>
    <x v="105"/>
    <x v="105"/>
    <x v="105"/>
    <x v="13"/>
    <x v="217"/>
    <x v="64"/>
    <x v="50"/>
    <x v="396"/>
    <x v="127"/>
    <x v="151"/>
    <x v="0"/>
  </r>
  <r>
    <x v="0"/>
    <x v="89"/>
    <x v="89"/>
    <x v="56"/>
    <x v="56"/>
    <x v="56"/>
    <x v="13"/>
    <x v="217"/>
    <x v="64"/>
    <x v="65"/>
    <x v="65"/>
    <x v="123"/>
    <x v="240"/>
    <x v="0"/>
  </r>
  <r>
    <x v="0"/>
    <x v="89"/>
    <x v="89"/>
    <x v="46"/>
    <x v="46"/>
    <x v="46"/>
    <x v="13"/>
    <x v="217"/>
    <x v="64"/>
    <x v="50"/>
    <x v="396"/>
    <x v="127"/>
    <x v="151"/>
    <x v="0"/>
  </r>
  <r>
    <x v="0"/>
    <x v="89"/>
    <x v="89"/>
    <x v="31"/>
    <x v="31"/>
    <x v="31"/>
    <x v="13"/>
    <x v="217"/>
    <x v="64"/>
    <x v="50"/>
    <x v="396"/>
    <x v="127"/>
    <x v="151"/>
    <x v="0"/>
  </r>
  <r>
    <x v="0"/>
    <x v="89"/>
    <x v="89"/>
    <x v="13"/>
    <x v="13"/>
    <x v="13"/>
    <x v="13"/>
    <x v="217"/>
    <x v="64"/>
    <x v="65"/>
    <x v="65"/>
    <x v="123"/>
    <x v="240"/>
    <x v="0"/>
  </r>
  <r>
    <x v="0"/>
    <x v="89"/>
    <x v="89"/>
    <x v="14"/>
    <x v="14"/>
    <x v="14"/>
    <x v="13"/>
    <x v="217"/>
    <x v="64"/>
    <x v="65"/>
    <x v="65"/>
    <x v="123"/>
    <x v="240"/>
    <x v="0"/>
  </r>
  <r>
    <x v="0"/>
    <x v="89"/>
    <x v="89"/>
    <x v="63"/>
    <x v="63"/>
    <x v="63"/>
    <x v="13"/>
    <x v="217"/>
    <x v="64"/>
    <x v="65"/>
    <x v="65"/>
    <x v="123"/>
    <x v="240"/>
    <x v="0"/>
  </r>
  <r>
    <x v="0"/>
    <x v="89"/>
    <x v="89"/>
    <x v="154"/>
    <x v="153"/>
    <x v="154"/>
    <x v="13"/>
    <x v="217"/>
    <x v="64"/>
    <x v="65"/>
    <x v="65"/>
    <x v="123"/>
    <x v="240"/>
    <x v="0"/>
  </r>
  <r>
    <x v="0"/>
    <x v="89"/>
    <x v="89"/>
    <x v="89"/>
    <x v="89"/>
    <x v="89"/>
    <x v="13"/>
    <x v="217"/>
    <x v="64"/>
    <x v="65"/>
    <x v="65"/>
    <x v="123"/>
    <x v="240"/>
    <x v="0"/>
  </r>
  <r>
    <x v="0"/>
    <x v="89"/>
    <x v="89"/>
    <x v="96"/>
    <x v="96"/>
    <x v="96"/>
    <x v="13"/>
    <x v="217"/>
    <x v="64"/>
    <x v="65"/>
    <x v="65"/>
    <x v="123"/>
    <x v="240"/>
    <x v="0"/>
  </r>
  <r>
    <x v="0"/>
    <x v="89"/>
    <x v="89"/>
    <x v="93"/>
    <x v="93"/>
    <x v="93"/>
    <x v="13"/>
    <x v="217"/>
    <x v="64"/>
    <x v="50"/>
    <x v="396"/>
    <x v="127"/>
    <x v="151"/>
    <x v="0"/>
  </r>
  <r>
    <x v="0"/>
    <x v="89"/>
    <x v="89"/>
    <x v="97"/>
    <x v="97"/>
    <x v="97"/>
    <x v="13"/>
    <x v="217"/>
    <x v="64"/>
    <x v="65"/>
    <x v="65"/>
    <x v="123"/>
    <x v="240"/>
    <x v="0"/>
  </r>
  <r>
    <x v="0"/>
    <x v="89"/>
    <x v="89"/>
    <x v="169"/>
    <x v="167"/>
    <x v="169"/>
    <x v="13"/>
    <x v="217"/>
    <x v="64"/>
    <x v="50"/>
    <x v="396"/>
    <x v="127"/>
    <x v="151"/>
    <x v="0"/>
  </r>
  <r>
    <x v="0"/>
    <x v="89"/>
    <x v="89"/>
    <x v="147"/>
    <x v="147"/>
    <x v="147"/>
    <x v="13"/>
    <x v="217"/>
    <x v="64"/>
    <x v="65"/>
    <x v="65"/>
    <x v="123"/>
    <x v="240"/>
    <x v="0"/>
  </r>
  <r>
    <x v="0"/>
    <x v="89"/>
    <x v="89"/>
    <x v="78"/>
    <x v="78"/>
    <x v="78"/>
    <x v="13"/>
    <x v="217"/>
    <x v="64"/>
    <x v="65"/>
    <x v="65"/>
    <x v="123"/>
    <x v="240"/>
    <x v="0"/>
  </r>
  <r>
    <x v="0"/>
    <x v="89"/>
    <x v="89"/>
    <x v="170"/>
    <x v="168"/>
    <x v="170"/>
    <x v="13"/>
    <x v="217"/>
    <x v="64"/>
    <x v="65"/>
    <x v="65"/>
    <x v="123"/>
    <x v="240"/>
    <x v="0"/>
  </r>
  <r>
    <x v="0"/>
    <x v="89"/>
    <x v="89"/>
    <x v="94"/>
    <x v="94"/>
    <x v="94"/>
    <x v="13"/>
    <x v="217"/>
    <x v="64"/>
    <x v="50"/>
    <x v="396"/>
    <x v="127"/>
    <x v="151"/>
    <x v="0"/>
  </r>
  <r>
    <x v="0"/>
    <x v="89"/>
    <x v="89"/>
    <x v="68"/>
    <x v="68"/>
    <x v="68"/>
    <x v="13"/>
    <x v="217"/>
    <x v="64"/>
    <x v="50"/>
    <x v="396"/>
    <x v="127"/>
    <x v="151"/>
    <x v="0"/>
  </r>
  <r>
    <x v="0"/>
    <x v="89"/>
    <x v="89"/>
    <x v="80"/>
    <x v="80"/>
    <x v="80"/>
    <x v="13"/>
    <x v="217"/>
    <x v="64"/>
    <x v="65"/>
    <x v="65"/>
    <x v="123"/>
    <x v="240"/>
    <x v="0"/>
  </r>
  <r>
    <x v="0"/>
    <x v="89"/>
    <x v="89"/>
    <x v="84"/>
    <x v="84"/>
    <x v="84"/>
    <x v="13"/>
    <x v="217"/>
    <x v="64"/>
    <x v="65"/>
    <x v="65"/>
    <x v="123"/>
    <x v="240"/>
    <x v="0"/>
  </r>
  <r>
    <x v="0"/>
    <x v="89"/>
    <x v="89"/>
    <x v="7"/>
    <x v="7"/>
    <x v="7"/>
    <x v="13"/>
    <x v="217"/>
    <x v="64"/>
    <x v="65"/>
    <x v="65"/>
    <x v="123"/>
    <x v="240"/>
    <x v="0"/>
  </r>
  <r>
    <x v="0"/>
    <x v="89"/>
    <x v="89"/>
    <x v="45"/>
    <x v="45"/>
    <x v="45"/>
    <x v="13"/>
    <x v="217"/>
    <x v="64"/>
    <x v="50"/>
    <x v="396"/>
    <x v="127"/>
    <x v="151"/>
    <x v="0"/>
  </r>
  <r>
    <x v="0"/>
    <x v="89"/>
    <x v="89"/>
    <x v="131"/>
    <x v="131"/>
    <x v="131"/>
    <x v="13"/>
    <x v="217"/>
    <x v="64"/>
    <x v="50"/>
    <x v="396"/>
    <x v="127"/>
    <x v="151"/>
    <x v="0"/>
  </r>
  <r>
    <x v="0"/>
    <x v="89"/>
    <x v="89"/>
    <x v="3"/>
    <x v="3"/>
    <x v="3"/>
    <x v="13"/>
    <x v="217"/>
    <x v="64"/>
    <x v="50"/>
    <x v="396"/>
    <x v="127"/>
    <x v="151"/>
    <x v="0"/>
  </r>
  <r>
    <x v="0"/>
    <x v="89"/>
    <x v="89"/>
    <x v="103"/>
    <x v="103"/>
    <x v="103"/>
    <x v="13"/>
    <x v="217"/>
    <x v="64"/>
    <x v="50"/>
    <x v="396"/>
    <x v="127"/>
    <x v="151"/>
    <x v="0"/>
  </r>
  <r>
    <x v="0"/>
    <x v="89"/>
    <x v="89"/>
    <x v="64"/>
    <x v="64"/>
    <x v="64"/>
    <x v="13"/>
    <x v="217"/>
    <x v="64"/>
    <x v="50"/>
    <x v="396"/>
    <x v="127"/>
    <x v="151"/>
    <x v="0"/>
  </r>
  <r>
    <x v="0"/>
    <x v="89"/>
    <x v="89"/>
    <x v="171"/>
    <x v="169"/>
    <x v="171"/>
    <x v="13"/>
    <x v="217"/>
    <x v="64"/>
    <x v="65"/>
    <x v="65"/>
    <x v="123"/>
    <x v="240"/>
    <x v="0"/>
  </r>
  <r>
    <x v="0"/>
    <x v="89"/>
    <x v="89"/>
    <x v="52"/>
    <x v="52"/>
    <x v="52"/>
    <x v="13"/>
    <x v="217"/>
    <x v="64"/>
    <x v="65"/>
    <x v="65"/>
    <x v="127"/>
    <x v="151"/>
    <x v="0"/>
  </r>
  <r>
    <x v="0"/>
    <x v="89"/>
    <x v="89"/>
    <x v="159"/>
    <x v="75"/>
    <x v="159"/>
    <x v="13"/>
    <x v="217"/>
    <x v="64"/>
    <x v="65"/>
    <x v="65"/>
    <x v="123"/>
    <x v="240"/>
    <x v="0"/>
  </r>
  <r>
    <x v="0"/>
    <x v="89"/>
    <x v="89"/>
    <x v="72"/>
    <x v="72"/>
    <x v="72"/>
    <x v="13"/>
    <x v="217"/>
    <x v="64"/>
    <x v="65"/>
    <x v="65"/>
    <x v="123"/>
    <x v="240"/>
    <x v="0"/>
  </r>
  <r>
    <x v="0"/>
    <x v="89"/>
    <x v="89"/>
    <x v="19"/>
    <x v="19"/>
    <x v="19"/>
    <x v="13"/>
    <x v="217"/>
    <x v="64"/>
    <x v="65"/>
    <x v="65"/>
    <x v="123"/>
    <x v="240"/>
    <x v="0"/>
  </r>
  <r>
    <x v="0"/>
    <x v="89"/>
    <x v="89"/>
    <x v="172"/>
    <x v="170"/>
    <x v="172"/>
    <x v="13"/>
    <x v="217"/>
    <x v="64"/>
    <x v="65"/>
    <x v="65"/>
    <x v="123"/>
    <x v="240"/>
    <x v="0"/>
  </r>
  <r>
    <x v="0"/>
    <x v="89"/>
    <x v="89"/>
    <x v="60"/>
    <x v="60"/>
    <x v="60"/>
    <x v="13"/>
    <x v="217"/>
    <x v="64"/>
    <x v="65"/>
    <x v="65"/>
    <x v="123"/>
    <x v="240"/>
    <x v="0"/>
  </r>
  <r>
    <x v="0"/>
    <x v="90"/>
    <x v="90"/>
    <x v="42"/>
    <x v="42"/>
    <x v="42"/>
    <x v="0"/>
    <x v="200"/>
    <x v="428"/>
    <x v="65"/>
    <x v="65"/>
    <x v="108"/>
    <x v="386"/>
    <x v="0"/>
  </r>
  <r>
    <x v="0"/>
    <x v="90"/>
    <x v="90"/>
    <x v="44"/>
    <x v="44"/>
    <x v="44"/>
    <x v="1"/>
    <x v="216"/>
    <x v="429"/>
    <x v="65"/>
    <x v="65"/>
    <x v="93"/>
    <x v="387"/>
    <x v="0"/>
  </r>
  <r>
    <x v="0"/>
    <x v="90"/>
    <x v="90"/>
    <x v="45"/>
    <x v="45"/>
    <x v="45"/>
    <x v="1"/>
    <x v="216"/>
    <x v="429"/>
    <x v="50"/>
    <x v="600"/>
    <x v="123"/>
    <x v="388"/>
    <x v="0"/>
  </r>
  <r>
    <x v="0"/>
    <x v="90"/>
    <x v="90"/>
    <x v="4"/>
    <x v="4"/>
    <x v="4"/>
    <x v="1"/>
    <x v="216"/>
    <x v="429"/>
    <x v="65"/>
    <x v="65"/>
    <x v="93"/>
    <x v="387"/>
    <x v="0"/>
  </r>
  <r>
    <x v="0"/>
    <x v="90"/>
    <x v="90"/>
    <x v="1"/>
    <x v="1"/>
    <x v="1"/>
    <x v="1"/>
    <x v="216"/>
    <x v="429"/>
    <x v="56"/>
    <x v="463"/>
    <x v="127"/>
    <x v="151"/>
    <x v="0"/>
  </r>
  <r>
    <x v="0"/>
    <x v="90"/>
    <x v="90"/>
    <x v="8"/>
    <x v="8"/>
    <x v="8"/>
    <x v="1"/>
    <x v="216"/>
    <x v="429"/>
    <x v="56"/>
    <x v="463"/>
    <x v="127"/>
    <x v="151"/>
    <x v="0"/>
  </r>
  <r>
    <x v="0"/>
    <x v="90"/>
    <x v="90"/>
    <x v="19"/>
    <x v="19"/>
    <x v="19"/>
    <x v="1"/>
    <x v="216"/>
    <x v="429"/>
    <x v="65"/>
    <x v="65"/>
    <x v="93"/>
    <x v="387"/>
    <x v="0"/>
  </r>
  <r>
    <x v="0"/>
    <x v="90"/>
    <x v="90"/>
    <x v="155"/>
    <x v="154"/>
    <x v="155"/>
    <x v="7"/>
    <x v="217"/>
    <x v="81"/>
    <x v="65"/>
    <x v="65"/>
    <x v="123"/>
    <x v="388"/>
    <x v="0"/>
  </r>
  <r>
    <x v="0"/>
    <x v="90"/>
    <x v="90"/>
    <x v="10"/>
    <x v="10"/>
    <x v="10"/>
    <x v="7"/>
    <x v="217"/>
    <x v="81"/>
    <x v="65"/>
    <x v="65"/>
    <x v="123"/>
    <x v="388"/>
    <x v="0"/>
  </r>
  <r>
    <x v="0"/>
    <x v="90"/>
    <x v="90"/>
    <x v="17"/>
    <x v="17"/>
    <x v="17"/>
    <x v="7"/>
    <x v="217"/>
    <x v="81"/>
    <x v="65"/>
    <x v="65"/>
    <x v="123"/>
    <x v="388"/>
    <x v="0"/>
  </r>
  <r>
    <x v="0"/>
    <x v="90"/>
    <x v="90"/>
    <x v="56"/>
    <x v="56"/>
    <x v="56"/>
    <x v="7"/>
    <x v="217"/>
    <x v="81"/>
    <x v="50"/>
    <x v="600"/>
    <x v="127"/>
    <x v="151"/>
    <x v="0"/>
  </r>
  <r>
    <x v="0"/>
    <x v="90"/>
    <x v="90"/>
    <x v="31"/>
    <x v="31"/>
    <x v="31"/>
    <x v="7"/>
    <x v="217"/>
    <x v="81"/>
    <x v="65"/>
    <x v="65"/>
    <x v="123"/>
    <x v="388"/>
    <x v="0"/>
  </r>
  <r>
    <x v="0"/>
    <x v="90"/>
    <x v="90"/>
    <x v="14"/>
    <x v="14"/>
    <x v="14"/>
    <x v="7"/>
    <x v="217"/>
    <x v="81"/>
    <x v="65"/>
    <x v="65"/>
    <x v="123"/>
    <x v="388"/>
    <x v="0"/>
  </r>
  <r>
    <x v="0"/>
    <x v="90"/>
    <x v="90"/>
    <x v="127"/>
    <x v="127"/>
    <x v="127"/>
    <x v="7"/>
    <x v="217"/>
    <x v="81"/>
    <x v="65"/>
    <x v="65"/>
    <x v="123"/>
    <x v="388"/>
    <x v="0"/>
  </r>
  <r>
    <x v="0"/>
    <x v="90"/>
    <x v="90"/>
    <x v="154"/>
    <x v="153"/>
    <x v="154"/>
    <x v="7"/>
    <x v="217"/>
    <x v="81"/>
    <x v="65"/>
    <x v="65"/>
    <x v="123"/>
    <x v="388"/>
    <x v="0"/>
  </r>
  <r>
    <x v="0"/>
    <x v="90"/>
    <x v="90"/>
    <x v="173"/>
    <x v="171"/>
    <x v="173"/>
    <x v="7"/>
    <x v="217"/>
    <x v="81"/>
    <x v="50"/>
    <x v="600"/>
    <x v="127"/>
    <x v="151"/>
    <x v="0"/>
  </r>
  <r>
    <x v="0"/>
    <x v="90"/>
    <x v="90"/>
    <x v="74"/>
    <x v="74"/>
    <x v="74"/>
    <x v="7"/>
    <x v="217"/>
    <x v="81"/>
    <x v="65"/>
    <x v="65"/>
    <x v="123"/>
    <x v="388"/>
    <x v="0"/>
  </r>
  <r>
    <x v="0"/>
    <x v="90"/>
    <x v="90"/>
    <x v="86"/>
    <x v="86"/>
    <x v="86"/>
    <x v="7"/>
    <x v="217"/>
    <x v="81"/>
    <x v="50"/>
    <x v="600"/>
    <x v="127"/>
    <x v="151"/>
    <x v="0"/>
  </r>
  <r>
    <x v="0"/>
    <x v="90"/>
    <x v="90"/>
    <x v="174"/>
    <x v="172"/>
    <x v="174"/>
    <x v="7"/>
    <x v="217"/>
    <x v="81"/>
    <x v="65"/>
    <x v="65"/>
    <x v="123"/>
    <x v="388"/>
    <x v="0"/>
  </r>
  <r>
    <x v="0"/>
    <x v="90"/>
    <x v="90"/>
    <x v="175"/>
    <x v="173"/>
    <x v="175"/>
    <x v="7"/>
    <x v="217"/>
    <x v="81"/>
    <x v="65"/>
    <x v="65"/>
    <x v="123"/>
    <x v="388"/>
    <x v="0"/>
  </r>
  <r>
    <x v="0"/>
    <x v="90"/>
    <x v="90"/>
    <x v="33"/>
    <x v="33"/>
    <x v="33"/>
    <x v="7"/>
    <x v="217"/>
    <x v="81"/>
    <x v="65"/>
    <x v="65"/>
    <x v="123"/>
    <x v="388"/>
    <x v="0"/>
  </r>
  <r>
    <x v="0"/>
    <x v="90"/>
    <x v="90"/>
    <x v="134"/>
    <x v="134"/>
    <x v="134"/>
    <x v="7"/>
    <x v="217"/>
    <x v="81"/>
    <x v="50"/>
    <x v="600"/>
    <x v="127"/>
    <x v="151"/>
    <x v="0"/>
  </r>
  <r>
    <x v="0"/>
    <x v="90"/>
    <x v="90"/>
    <x v="28"/>
    <x v="28"/>
    <x v="28"/>
    <x v="7"/>
    <x v="217"/>
    <x v="81"/>
    <x v="50"/>
    <x v="600"/>
    <x v="127"/>
    <x v="151"/>
    <x v="0"/>
  </r>
  <r>
    <x v="0"/>
    <x v="90"/>
    <x v="90"/>
    <x v="41"/>
    <x v="41"/>
    <x v="41"/>
    <x v="7"/>
    <x v="217"/>
    <x v="81"/>
    <x v="65"/>
    <x v="65"/>
    <x v="123"/>
    <x v="388"/>
    <x v="0"/>
  </r>
  <r>
    <x v="0"/>
    <x v="90"/>
    <x v="90"/>
    <x v="12"/>
    <x v="12"/>
    <x v="12"/>
    <x v="7"/>
    <x v="217"/>
    <x v="81"/>
    <x v="65"/>
    <x v="65"/>
    <x v="123"/>
    <x v="388"/>
    <x v="0"/>
  </r>
  <r>
    <x v="0"/>
    <x v="90"/>
    <x v="90"/>
    <x v="18"/>
    <x v="18"/>
    <x v="18"/>
    <x v="7"/>
    <x v="217"/>
    <x v="81"/>
    <x v="50"/>
    <x v="600"/>
    <x v="127"/>
    <x v="151"/>
    <x v="0"/>
  </r>
  <r>
    <x v="0"/>
    <x v="90"/>
    <x v="90"/>
    <x v="49"/>
    <x v="49"/>
    <x v="49"/>
    <x v="7"/>
    <x v="217"/>
    <x v="81"/>
    <x v="50"/>
    <x v="600"/>
    <x v="127"/>
    <x v="151"/>
    <x v="0"/>
  </r>
  <r>
    <x v="0"/>
    <x v="90"/>
    <x v="90"/>
    <x v="139"/>
    <x v="139"/>
    <x v="139"/>
    <x v="7"/>
    <x v="217"/>
    <x v="81"/>
    <x v="50"/>
    <x v="600"/>
    <x v="127"/>
    <x v="151"/>
    <x v="0"/>
  </r>
  <r>
    <x v="0"/>
    <x v="90"/>
    <x v="90"/>
    <x v="131"/>
    <x v="131"/>
    <x v="131"/>
    <x v="7"/>
    <x v="217"/>
    <x v="81"/>
    <x v="65"/>
    <x v="65"/>
    <x v="123"/>
    <x v="388"/>
    <x v="0"/>
  </r>
  <r>
    <x v="0"/>
    <x v="90"/>
    <x v="90"/>
    <x v="3"/>
    <x v="3"/>
    <x v="3"/>
    <x v="7"/>
    <x v="217"/>
    <x v="81"/>
    <x v="50"/>
    <x v="600"/>
    <x v="127"/>
    <x v="151"/>
    <x v="0"/>
  </r>
  <r>
    <x v="0"/>
    <x v="90"/>
    <x v="90"/>
    <x v="82"/>
    <x v="82"/>
    <x v="82"/>
    <x v="7"/>
    <x v="217"/>
    <x v="81"/>
    <x v="65"/>
    <x v="65"/>
    <x v="127"/>
    <x v="151"/>
    <x v="0"/>
  </r>
  <r>
    <x v="0"/>
    <x v="90"/>
    <x v="90"/>
    <x v="52"/>
    <x v="52"/>
    <x v="52"/>
    <x v="7"/>
    <x v="217"/>
    <x v="81"/>
    <x v="65"/>
    <x v="65"/>
    <x v="127"/>
    <x v="151"/>
    <x v="0"/>
  </r>
  <r>
    <x v="0"/>
    <x v="90"/>
    <x v="90"/>
    <x v="6"/>
    <x v="6"/>
    <x v="6"/>
    <x v="7"/>
    <x v="217"/>
    <x v="81"/>
    <x v="50"/>
    <x v="600"/>
    <x v="127"/>
    <x v="151"/>
    <x v="0"/>
  </r>
  <r>
    <x v="0"/>
    <x v="90"/>
    <x v="90"/>
    <x v="72"/>
    <x v="72"/>
    <x v="72"/>
    <x v="7"/>
    <x v="217"/>
    <x v="81"/>
    <x v="65"/>
    <x v="65"/>
    <x v="123"/>
    <x v="388"/>
    <x v="0"/>
  </r>
  <r>
    <x v="0"/>
    <x v="90"/>
    <x v="90"/>
    <x v="83"/>
    <x v="83"/>
    <x v="83"/>
    <x v="7"/>
    <x v="217"/>
    <x v="81"/>
    <x v="50"/>
    <x v="600"/>
    <x v="127"/>
    <x v="151"/>
    <x v="0"/>
  </r>
  <r>
    <x v="0"/>
    <x v="91"/>
    <x v="91"/>
    <x v="17"/>
    <x v="17"/>
    <x v="17"/>
    <x v="0"/>
    <x v="197"/>
    <x v="389"/>
    <x v="65"/>
    <x v="65"/>
    <x v="67"/>
    <x v="389"/>
    <x v="0"/>
  </r>
  <r>
    <x v="0"/>
    <x v="91"/>
    <x v="91"/>
    <x v="3"/>
    <x v="3"/>
    <x v="3"/>
    <x v="0"/>
    <x v="197"/>
    <x v="389"/>
    <x v="39"/>
    <x v="601"/>
    <x v="127"/>
    <x v="151"/>
    <x v="0"/>
  </r>
  <r>
    <x v="0"/>
    <x v="91"/>
    <x v="91"/>
    <x v="10"/>
    <x v="10"/>
    <x v="10"/>
    <x v="2"/>
    <x v="199"/>
    <x v="207"/>
    <x v="50"/>
    <x v="602"/>
    <x v="108"/>
    <x v="346"/>
    <x v="0"/>
  </r>
  <r>
    <x v="0"/>
    <x v="91"/>
    <x v="91"/>
    <x v="0"/>
    <x v="0"/>
    <x v="0"/>
    <x v="2"/>
    <x v="199"/>
    <x v="207"/>
    <x v="62"/>
    <x v="491"/>
    <x v="127"/>
    <x v="151"/>
    <x v="0"/>
  </r>
  <r>
    <x v="0"/>
    <x v="91"/>
    <x v="91"/>
    <x v="162"/>
    <x v="160"/>
    <x v="162"/>
    <x v="4"/>
    <x v="200"/>
    <x v="292"/>
    <x v="65"/>
    <x v="65"/>
    <x v="108"/>
    <x v="346"/>
    <x v="0"/>
  </r>
  <r>
    <x v="0"/>
    <x v="91"/>
    <x v="91"/>
    <x v="46"/>
    <x v="46"/>
    <x v="46"/>
    <x v="4"/>
    <x v="200"/>
    <x v="292"/>
    <x v="56"/>
    <x v="587"/>
    <x v="123"/>
    <x v="150"/>
    <x v="0"/>
  </r>
  <r>
    <x v="0"/>
    <x v="91"/>
    <x v="91"/>
    <x v="84"/>
    <x v="84"/>
    <x v="84"/>
    <x v="4"/>
    <x v="200"/>
    <x v="292"/>
    <x v="70"/>
    <x v="603"/>
    <x v="127"/>
    <x v="151"/>
    <x v="0"/>
  </r>
  <r>
    <x v="0"/>
    <x v="91"/>
    <x v="91"/>
    <x v="45"/>
    <x v="45"/>
    <x v="45"/>
    <x v="4"/>
    <x v="200"/>
    <x v="292"/>
    <x v="56"/>
    <x v="587"/>
    <x v="123"/>
    <x v="150"/>
    <x v="0"/>
  </r>
  <r>
    <x v="0"/>
    <x v="91"/>
    <x v="91"/>
    <x v="1"/>
    <x v="1"/>
    <x v="1"/>
    <x v="4"/>
    <x v="200"/>
    <x v="292"/>
    <x v="56"/>
    <x v="587"/>
    <x v="123"/>
    <x v="150"/>
    <x v="0"/>
  </r>
  <r>
    <x v="0"/>
    <x v="91"/>
    <x v="91"/>
    <x v="26"/>
    <x v="26"/>
    <x v="26"/>
    <x v="4"/>
    <x v="200"/>
    <x v="292"/>
    <x v="50"/>
    <x v="602"/>
    <x v="93"/>
    <x v="37"/>
    <x v="0"/>
  </r>
  <r>
    <x v="0"/>
    <x v="91"/>
    <x v="91"/>
    <x v="56"/>
    <x v="56"/>
    <x v="56"/>
    <x v="10"/>
    <x v="216"/>
    <x v="212"/>
    <x v="65"/>
    <x v="65"/>
    <x v="93"/>
    <x v="37"/>
    <x v="0"/>
  </r>
  <r>
    <x v="0"/>
    <x v="91"/>
    <x v="91"/>
    <x v="22"/>
    <x v="22"/>
    <x v="22"/>
    <x v="10"/>
    <x v="216"/>
    <x v="212"/>
    <x v="56"/>
    <x v="587"/>
    <x v="127"/>
    <x v="151"/>
    <x v="0"/>
  </r>
  <r>
    <x v="0"/>
    <x v="91"/>
    <x v="91"/>
    <x v="48"/>
    <x v="48"/>
    <x v="48"/>
    <x v="10"/>
    <x v="216"/>
    <x v="212"/>
    <x v="50"/>
    <x v="602"/>
    <x v="123"/>
    <x v="150"/>
    <x v="0"/>
  </r>
  <r>
    <x v="0"/>
    <x v="91"/>
    <x v="91"/>
    <x v="12"/>
    <x v="12"/>
    <x v="12"/>
    <x v="10"/>
    <x v="216"/>
    <x v="212"/>
    <x v="56"/>
    <x v="587"/>
    <x v="127"/>
    <x v="151"/>
    <x v="0"/>
  </r>
  <r>
    <x v="0"/>
    <x v="91"/>
    <x v="91"/>
    <x v="15"/>
    <x v="15"/>
    <x v="15"/>
    <x v="10"/>
    <x v="216"/>
    <x v="212"/>
    <x v="50"/>
    <x v="602"/>
    <x v="123"/>
    <x v="150"/>
    <x v="0"/>
  </r>
  <r>
    <x v="0"/>
    <x v="91"/>
    <x v="91"/>
    <x v="8"/>
    <x v="8"/>
    <x v="8"/>
    <x v="10"/>
    <x v="216"/>
    <x v="212"/>
    <x v="56"/>
    <x v="587"/>
    <x v="127"/>
    <x v="151"/>
    <x v="0"/>
  </r>
  <r>
    <x v="0"/>
    <x v="91"/>
    <x v="91"/>
    <x v="19"/>
    <x v="19"/>
    <x v="19"/>
    <x v="10"/>
    <x v="216"/>
    <x v="212"/>
    <x v="65"/>
    <x v="65"/>
    <x v="93"/>
    <x v="37"/>
    <x v="0"/>
  </r>
  <r>
    <x v="0"/>
    <x v="91"/>
    <x v="91"/>
    <x v="40"/>
    <x v="40"/>
    <x v="40"/>
    <x v="16"/>
    <x v="217"/>
    <x v="172"/>
    <x v="65"/>
    <x v="65"/>
    <x v="123"/>
    <x v="150"/>
    <x v="0"/>
  </r>
  <r>
    <x v="0"/>
    <x v="91"/>
    <x v="91"/>
    <x v="87"/>
    <x v="87"/>
    <x v="87"/>
    <x v="16"/>
    <x v="217"/>
    <x v="172"/>
    <x v="65"/>
    <x v="65"/>
    <x v="123"/>
    <x v="150"/>
    <x v="0"/>
  </r>
  <r>
    <x v="0"/>
    <x v="91"/>
    <x v="91"/>
    <x v="13"/>
    <x v="13"/>
    <x v="13"/>
    <x v="16"/>
    <x v="217"/>
    <x v="172"/>
    <x v="65"/>
    <x v="65"/>
    <x v="123"/>
    <x v="150"/>
    <x v="0"/>
  </r>
  <r>
    <x v="0"/>
    <x v="91"/>
    <x v="91"/>
    <x v="148"/>
    <x v="148"/>
    <x v="148"/>
    <x v="16"/>
    <x v="217"/>
    <x v="172"/>
    <x v="65"/>
    <x v="65"/>
    <x v="123"/>
    <x v="150"/>
    <x v="0"/>
  </r>
  <r>
    <x v="0"/>
    <x v="91"/>
    <x v="91"/>
    <x v="90"/>
    <x v="90"/>
    <x v="90"/>
    <x v="16"/>
    <x v="217"/>
    <x v="172"/>
    <x v="65"/>
    <x v="65"/>
    <x v="123"/>
    <x v="150"/>
    <x v="0"/>
  </r>
  <r>
    <x v="0"/>
    <x v="91"/>
    <x v="91"/>
    <x v="107"/>
    <x v="107"/>
    <x v="107"/>
    <x v="16"/>
    <x v="217"/>
    <x v="172"/>
    <x v="65"/>
    <x v="65"/>
    <x v="123"/>
    <x v="150"/>
    <x v="0"/>
  </r>
  <r>
    <x v="0"/>
    <x v="91"/>
    <x v="91"/>
    <x v="146"/>
    <x v="146"/>
    <x v="146"/>
    <x v="16"/>
    <x v="217"/>
    <x v="172"/>
    <x v="65"/>
    <x v="65"/>
    <x v="123"/>
    <x v="150"/>
    <x v="0"/>
  </r>
  <r>
    <x v="0"/>
    <x v="91"/>
    <x v="91"/>
    <x v="176"/>
    <x v="174"/>
    <x v="176"/>
    <x v="16"/>
    <x v="217"/>
    <x v="172"/>
    <x v="50"/>
    <x v="602"/>
    <x v="127"/>
    <x v="151"/>
    <x v="0"/>
  </r>
  <r>
    <x v="0"/>
    <x v="91"/>
    <x v="91"/>
    <x v="177"/>
    <x v="175"/>
    <x v="177"/>
    <x v="16"/>
    <x v="217"/>
    <x v="172"/>
    <x v="50"/>
    <x v="602"/>
    <x v="127"/>
    <x v="151"/>
    <x v="0"/>
  </r>
  <r>
    <x v="0"/>
    <x v="91"/>
    <x v="91"/>
    <x v="86"/>
    <x v="86"/>
    <x v="86"/>
    <x v="16"/>
    <x v="217"/>
    <x v="172"/>
    <x v="65"/>
    <x v="65"/>
    <x v="123"/>
    <x v="150"/>
    <x v="0"/>
  </r>
  <r>
    <x v="0"/>
    <x v="91"/>
    <x v="91"/>
    <x v="147"/>
    <x v="147"/>
    <x v="147"/>
    <x v="16"/>
    <x v="217"/>
    <x v="172"/>
    <x v="65"/>
    <x v="65"/>
    <x v="123"/>
    <x v="150"/>
    <x v="0"/>
  </r>
  <r>
    <x v="0"/>
    <x v="91"/>
    <x v="91"/>
    <x v="178"/>
    <x v="176"/>
    <x v="178"/>
    <x v="16"/>
    <x v="217"/>
    <x v="172"/>
    <x v="65"/>
    <x v="65"/>
    <x v="123"/>
    <x v="150"/>
    <x v="0"/>
  </r>
  <r>
    <x v="0"/>
    <x v="91"/>
    <x v="91"/>
    <x v="36"/>
    <x v="36"/>
    <x v="36"/>
    <x v="16"/>
    <x v="217"/>
    <x v="172"/>
    <x v="65"/>
    <x v="65"/>
    <x v="123"/>
    <x v="150"/>
    <x v="0"/>
  </r>
  <r>
    <x v="0"/>
    <x v="91"/>
    <x v="91"/>
    <x v="58"/>
    <x v="58"/>
    <x v="58"/>
    <x v="16"/>
    <x v="217"/>
    <x v="172"/>
    <x v="65"/>
    <x v="65"/>
    <x v="123"/>
    <x v="150"/>
    <x v="0"/>
  </r>
  <r>
    <x v="0"/>
    <x v="91"/>
    <x v="91"/>
    <x v="164"/>
    <x v="162"/>
    <x v="164"/>
    <x v="16"/>
    <x v="217"/>
    <x v="172"/>
    <x v="65"/>
    <x v="65"/>
    <x v="123"/>
    <x v="150"/>
    <x v="0"/>
  </r>
  <r>
    <x v="0"/>
    <x v="91"/>
    <x v="91"/>
    <x v="33"/>
    <x v="33"/>
    <x v="33"/>
    <x v="16"/>
    <x v="217"/>
    <x v="172"/>
    <x v="65"/>
    <x v="65"/>
    <x v="123"/>
    <x v="150"/>
    <x v="0"/>
  </r>
  <r>
    <x v="0"/>
    <x v="91"/>
    <x v="91"/>
    <x v="28"/>
    <x v="28"/>
    <x v="28"/>
    <x v="16"/>
    <x v="217"/>
    <x v="172"/>
    <x v="65"/>
    <x v="65"/>
    <x v="123"/>
    <x v="150"/>
    <x v="0"/>
  </r>
  <r>
    <x v="0"/>
    <x v="91"/>
    <x v="91"/>
    <x v="179"/>
    <x v="75"/>
    <x v="179"/>
    <x v="16"/>
    <x v="217"/>
    <x v="172"/>
    <x v="65"/>
    <x v="65"/>
    <x v="123"/>
    <x v="150"/>
    <x v="0"/>
  </r>
  <r>
    <x v="0"/>
    <x v="91"/>
    <x v="91"/>
    <x v="11"/>
    <x v="11"/>
    <x v="11"/>
    <x v="16"/>
    <x v="217"/>
    <x v="172"/>
    <x v="65"/>
    <x v="65"/>
    <x v="123"/>
    <x v="150"/>
    <x v="0"/>
  </r>
  <r>
    <x v="0"/>
    <x v="91"/>
    <x v="91"/>
    <x v="113"/>
    <x v="113"/>
    <x v="113"/>
    <x v="16"/>
    <x v="217"/>
    <x v="172"/>
    <x v="65"/>
    <x v="65"/>
    <x v="123"/>
    <x v="150"/>
    <x v="0"/>
  </r>
  <r>
    <x v="0"/>
    <x v="91"/>
    <x v="91"/>
    <x v="114"/>
    <x v="114"/>
    <x v="114"/>
    <x v="16"/>
    <x v="217"/>
    <x v="172"/>
    <x v="50"/>
    <x v="602"/>
    <x v="127"/>
    <x v="151"/>
    <x v="0"/>
  </r>
  <r>
    <x v="0"/>
    <x v="91"/>
    <x v="91"/>
    <x v="49"/>
    <x v="49"/>
    <x v="49"/>
    <x v="16"/>
    <x v="217"/>
    <x v="172"/>
    <x v="65"/>
    <x v="65"/>
    <x v="123"/>
    <x v="150"/>
    <x v="0"/>
  </r>
  <r>
    <x v="0"/>
    <x v="91"/>
    <x v="91"/>
    <x v="50"/>
    <x v="50"/>
    <x v="50"/>
    <x v="16"/>
    <x v="217"/>
    <x v="172"/>
    <x v="50"/>
    <x v="602"/>
    <x v="127"/>
    <x v="151"/>
    <x v="0"/>
  </r>
  <r>
    <x v="0"/>
    <x v="91"/>
    <x v="91"/>
    <x v="108"/>
    <x v="108"/>
    <x v="108"/>
    <x v="16"/>
    <x v="217"/>
    <x v="172"/>
    <x v="65"/>
    <x v="65"/>
    <x v="123"/>
    <x v="150"/>
    <x v="0"/>
  </r>
  <r>
    <x v="0"/>
    <x v="91"/>
    <x v="91"/>
    <x v="4"/>
    <x v="4"/>
    <x v="4"/>
    <x v="16"/>
    <x v="217"/>
    <x v="172"/>
    <x v="50"/>
    <x v="602"/>
    <x v="127"/>
    <x v="151"/>
    <x v="0"/>
  </r>
  <r>
    <x v="0"/>
    <x v="91"/>
    <x v="91"/>
    <x v="61"/>
    <x v="61"/>
    <x v="61"/>
    <x v="16"/>
    <x v="217"/>
    <x v="172"/>
    <x v="50"/>
    <x v="602"/>
    <x v="127"/>
    <x v="151"/>
    <x v="0"/>
  </r>
  <r>
    <x v="0"/>
    <x v="91"/>
    <x v="91"/>
    <x v="5"/>
    <x v="5"/>
    <x v="5"/>
    <x v="16"/>
    <x v="217"/>
    <x v="172"/>
    <x v="50"/>
    <x v="602"/>
    <x v="127"/>
    <x v="151"/>
    <x v="0"/>
  </r>
  <r>
    <x v="0"/>
    <x v="91"/>
    <x v="91"/>
    <x v="9"/>
    <x v="9"/>
    <x v="9"/>
    <x v="16"/>
    <x v="217"/>
    <x v="172"/>
    <x v="50"/>
    <x v="602"/>
    <x v="127"/>
    <x v="151"/>
    <x v="0"/>
  </r>
  <r>
    <x v="0"/>
    <x v="91"/>
    <x v="91"/>
    <x v="37"/>
    <x v="37"/>
    <x v="37"/>
    <x v="16"/>
    <x v="217"/>
    <x v="172"/>
    <x v="65"/>
    <x v="65"/>
    <x v="127"/>
    <x v="151"/>
    <x v="0"/>
  </r>
  <r>
    <x v="0"/>
    <x v="91"/>
    <x v="91"/>
    <x v="180"/>
    <x v="177"/>
    <x v="180"/>
    <x v="16"/>
    <x v="217"/>
    <x v="172"/>
    <x v="50"/>
    <x v="602"/>
    <x v="127"/>
    <x v="151"/>
    <x v="0"/>
  </r>
  <r>
    <x v="0"/>
    <x v="91"/>
    <x v="91"/>
    <x v="6"/>
    <x v="6"/>
    <x v="6"/>
    <x v="16"/>
    <x v="217"/>
    <x v="172"/>
    <x v="50"/>
    <x v="602"/>
    <x v="127"/>
    <x v="151"/>
    <x v="0"/>
  </r>
  <r>
    <x v="0"/>
    <x v="91"/>
    <x v="91"/>
    <x v="181"/>
    <x v="178"/>
    <x v="181"/>
    <x v="16"/>
    <x v="217"/>
    <x v="172"/>
    <x v="65"/>
    <x v="65"/>
    <x v="123"/>
    <x v="150"/>
    <x v="0"/>
  </r>
  <r>
    <x v="0"/>
    <x v="91"/>
    <x v="91"/>
    <x v="83"/>
    <x v="83"/>
    <x v="83"/>
    <x v="16"/>
    <x v="217"/>
    <x v="172"/>
    <x v="50"/>
    <x v="602"/>
    <x v="127"/>
    <x v="151"/>
    <x v="0"/>
  </r>
  <r>
    <x v="0"/>
    <x v="92"/>
    <x v="92"/>
    <x v="1"/>
    <x v="1"/>
    <x v="1"/>
    <x v="0"/>
    <x v="198"/>
    <x v="430"/>
    <x v="62"/>
    <x v="329"/>
    <x v="123"/>
    <x v="134"/>
    <x v="0"/>
  </r>
  <r>
    <x v="0"/>
    <x v="92"/>
    <x v="92"/>
    <x v="3"/>
    <x v="3"/>
    <x v="3"/>
    <x v="1"/>
    <x v="199"/>
    <x v="431"/>
    <x v="62"/>
    <x v="329"/>
    <x v="127"/>
    <x v="151"/>
    <x v="0"/>
  </r>
  <r>
    <x v="0"/>
    <x v="92"/>
    <x v="92"/>
    <x v="8"/>
    <x v="8"/>
    <x v="8"/>
    <x v="1"/>
    <x v="199"/>
    <x v="431"/>
    <x v="62"/>
    <x v="329"/>
    <x v="127"/>
    <x v="151"/>
    <x v="0"/>
  </r>
  <r>
    <x v="0"/>
    <x v="92"/>
    <x v="92"/>
    <x v="17"/>
    <x v="17"/>
    <x v="17"/>
    <x v="3"/>
    <x v="200"/>
    <x v="432"/>
    <x v="65"/>
    <x v="65"/>
    <x v="108"/>
    <x v="390"/>
    <x v="0"/>
  </r>
  <r>
    <x v="0"/>
    <x v="92"/>
    <x v="92"/>
    <x v="44"/>
    <x v="44"/>
    <x v="44"/>
    <x v="3"/>
    <x v="200"/>
    <x v="432"/>
    <x v="50"/>
    <x v="604"/>
    <x v="93"/>
    <x v="272"/>
    <x v="0"/>
  </r>
  <r>
    <x v="0"/>
    <x v="92"/>
    <x v="92"/>
    <x v="47"/>
    <x v="47"/>
    <x v="47"/>
    <x v="3"/>
    <x v="200"/>
    <x v="432"/>
    <x v="70"/>
    <x v="84"/>
    <x v="127"/>
    <x v="151"/>
    <x v="0"/>
  </r>
  <r>
    <x v="0"/>
    <x v="92"/>
    <x v="92"/>
    <x v="42"/>
    <x v="42"/>
    <x v="42"/>
    <x v="3"/>
    <x v="200"/>
    <x v="432"/>
    <x v="65"/>
    <x v="65"/>
    <x v="108"/>
    <x v="390"/>
    <x v="0"/>
  </r>
  <r>
    <x v="0"/>
    <x v="92"/>
    <x v="92"/>
    <x v="5"/>
    <x v="5"/>
    <x v="5"/>
    <x v="3"/>
    <x v="200"/>
    <x v="432"/>
    <x v="70"/>
    <x v="84"/>
    <x v="127"/>
    <x v="151"/>
    <x v="0"/>
  </r>
  <r>
    <x v="0"/>
    <x v="92"/>
    <x v="92"/>
    <x v="2"/>
    <x v="2"/>
    <x v="2"/>
    <x v="3"/>
    <x v="200"/>
    <x v="432"/>
    <x v="70"/>
    <x v="84"/>
    <x v="127"/>
    <x v="151"/>
    <x v="0"/>
  </r>
  <r>
    <x v="0"/>
    <x v="92"/>
    <x v="92"/>
    <x v="40"/>
    <x v="40"/>
    <x v="40"/>
    <x v="9"/>
    <x v="216"/>
    <x v="69"/>
    <x v="50"/>
    <x v="604"/>
    <x v="123"/>
    <x v="134"/>
    <x v="0"/>
  </r>
  <r>
    <x v="0"/>
    <x v="92"/>
    <x v="92"/>
    <x v="79"/>
    <x v="79"/>
    <x v="79"/>
    <x v="9"/>
    <x v="216"/>
    <x v="69"/>
    <x v="56"/>
    <x v="47"/>
    <x v="127"/>
    <x v="151"/>
    <x v="0"/>
  </r>
  <r>
    <x v="0"/>
    <x v="92"/>
    <x v="92"/>
    <x v="94"/>
    <x v="94"/>
    <x v="94"/>
    <x v="9"/>
    <x v="216"/>
    <x v="69"/>
    <x v="65"/>
    <x v="65"/>
    <x v="93"/>
    <x v="272"/>
    <x v="0"/>
  </r>
  <r>
    <x v="0"/>
    <x v="92"/>
    <x v="92"/>
    <x v="11"/>
    <x v="11"/>
    <x v="11"/>
    <x v="9"/>
    <x v="216"/>
    <x v="69"/>
    <x v="50"/>
    <x v="604"/>
    <x v="123"/>
    <x v="134"/>
    <x v="0"/>
  </r>
  <r>
    <x v="0"/>
    <x v="92"/>
    <x v="92"/>
    <x v="18"/>
    <x v="18"/>
    <x v="18"/>
    <x v="9"/>
    <x v="216"/>
    <x v="69"/>
    <x v="56"/>
    <x v="47"/>
    <x v="127"/>
    <x v="151"/>
    <x v="0"/>
  </r>
  <r>
    <x v="0"/>
    <x v="92"/>
    <x v="92"/>
    <x v="50"/>
    <x v="50"/>
    <x v="50"/>
    <x v="9"/>
    <x v="216"/>
    <x v="69"/>
    <x v="56"/>
    <x v="47"/>
    <x v="127"/>
    <x v="151"/>
    <x v="0"/>
  </r>
  <r>
    <x v="0"/>
    <x v="92"/>
    <x v="92"/>
    <x v="43"/>
    <x v="43"/>
    <x v="43"/>
    <x v="9"/>
    <x v="216"/>
    <x v="69"/>
    <x v="65"/>
    <x v="65"/>
    <x v="127"/>
    <x v="151"/>
    <x v="0"/>
  </r>
  <r>
    <x v="0"/>
    <x v="92"/>
    <x v="92"/>
    <x v="72"/>
    <x v="72"/>
    <x v="72"/>
    <x v="9"/>
    <x v="216"/>
    <x v="69"/>
    <x v="65"/>
    <x v="65"/>
    <x v="123"/>
    <x v="134"/>
    <x v="0"/>
  </r>
  <r>
    <x v="0"/>
    <x v="92"/>
    <x v="92"/>
    <x v="10"/>
    <x v="10"/>
    <x v="10"/>
    <x v="16"/>
    <x v="217"/>
    <x v="119"/>
    <x v="65"/>
    <x v="65"/>
    <x v="123"/>
    <x v="134"/>
    <x v="0"/>
  </r>
  <r>
    <x v="0"/>
    <x v="92"/>
    <x v="92"/>
    <x v="67"/>
    <x v="67"/>
    <x v="67"/>
    <x v="16"/>
    <x v="217"/>
    <x v="119"/>
    <x v="50"/>
    <x v="604"/>
    <x v="127"/>
    <x v="151"/>
    <x v="0"/>
  </r>
  <r>
    <x v="0"/>
    <x v="92"/>
    <x v="92"/>
    <x v="87"/>
    <x v="87"/>
    <x v="87"/>
    <x v="16"/>
    <x v="217"/>
    <x v="119"/>
    <x v="65"/>
    <x v="65"/>
    <x v="123"/>
    <x v="134"/>
    <x v="0"/>
  </r>
  <r>
    <x v="0"/>
    <x v="92"/>
    <x v="92"/>
    <x v="162"/>
    <x v="160"/>
    <x v="162"/>
    <x v="16"/>
    <x v="217"/>
    <x v="119"/>
    <x v="65"/>
    <x v="65"/>
    <x v="123"/>
    <x v="134"/>
    <x v="0"/>
  </r>
  <r>
    <x v="0"/>
    <x v="92"/>
    <x v="92"/>
    <x v="105"/>
    <x v="105"/>
    <x v="105"/>
    <x v="16"/>
    <x v="217"/>
    <x v="119"/>
    <x v="50"/>
    <x v="604"/>
    <x v="127"/>
    <x v="151"/>
    <x v="0"/>
  </r>
  <r>
    <x v="0"/>
    <x v="92"/>
    <x v="92"/>
    <x v="56"/>
    <x v="56"/>
    <x v="56"/>
    <x v="16"/>
    <x v="217"/>
    <x v="119"/>
    <x v="50"/>
    <x v="604"/>
    <x v="127"/>
    <x v="151"/>
    <x v="0"/>
  </r>
  <r>
    <x v="0"/>
    <x v="92"/>
    <x v="92"/>
    <x v="46"/>
    <x v="46"/>
    <x v="46"/>
    <x v="16"/>
    <x v="217"/>
    <x v="119"/>
    <x v="65"/>
    <x v="65"/>
    <x v="123"/>
    <x v="134"/>
    <x v="0"/>
  </r>
  <r>
    <x v="0"/>
    <x v="92"/>
    <x v="92"/>
    <x v="13"/>
    <x v="13"/>
    <x v="13"/>
    <x v="16"/>
    <x v="217"/>
    <x v="119"/>
    <x v="65"/>
    <x v="65"/>
    <x v="123"/>
    <x v="134"/>
    <x v="0"/>
  </r>
  <r>
    <x v="0"/>
    <x v="92"/>
    <x v="92"/>
    <x v="14"/>
    <x v="14"/>
    <x v="14"/>
    <x v="16"/>
    <x v="217"/>
    <x v="119"/>
    <x v="65"/>
    <x v="65"/>
    <x v="123"/>
    <x v="134"/>
    <x v="0"/>
  </r>
  <r>
    <x v="0"/>
    <x v="92"/>
    <x v="92"/>
    <x v="148"/>
    <x v="148"/>
    <x v="148"/>
    <x v="16"/>
    <x v="217"/>
    <x v="119"/>
    <x v="65"/>
    <x v="65"/>
    <x v="123"/>
    <x v="134"/>
    <x v="0"/>
  </r>
  <r>
    <x v="0"/>
    <x v="92"/>
    <x v="92"/>
    <x v="90"/>
    <x v="90"/>
    <x v="90"/>
    <x v="16"/>
    <x v="217"/>
    <x v="119"/>
    <x v="65"/>
    <x v="65"/>
    <x v="127"/>
    <x v="151"/>
    <x v="0"/>
  </r>
  <r>
    <x v="0"/>
    <x v="92"/>
    <x v="92"/>
    <x v="63"/>
    <x v="63"/>
    <x v="63"/>
    <x v="16"/>
    <x v="217"/>
    <x v="119"/>
    <x v="50"/>
    <x v="604"/>
    <x v="127"/>
    <x v="151"/>
    <x v="0"/>
  </r>
  <r>
    <x v="0"/>
    <x v="92"/>
    <x v="92"/>
    <x v="136"/>
    <x v="136"/>
    <x v="136"/>
    <x v="16"/>
    <x v="217"/>
    <x v="119"/>
    <x v="65"/>
    <x v="65"/>
    <x v="123"/>
    <x v="134"/>
    <x v="0"/>
  </r>
  <r>
    <x v="0"/>
    <x v="92"/>
    <x v="92"/>
    <x v="111"/>
    <x v="111"/>
    <x v="111"/>
    <x v="16"/>
    <x v="217"/>
    <x v="119"/>
    <x v="50"/>
    <x v="604"/>
    <x v="127"/>
    <x v="151"/>
    <x v="0"/>
  </r>
  <r>
    <x v="0"/>
    <x v="92"/>
    <x v="92"/>
    <x v="169"/>
    <x v="167"/>
    <x v="169"/>
    <x v="16"/>
    <x v="217"/>
    <x v="119"/>
    <x v="65"/>
    <x v="65"/>
    <x v="123"/>
    <x v="134"/>
    <x v="0"/>
  </r>
  <r>
    <x v="0"/>
    <x v="92"/>
    <x v="92"/>
    <x v="182"/>
    <x v="179"/>
    <x v="182"/>
    <x v="16"/>
    <x v="217"/>
    <x v="119"/>
    <x v="65"/>
    <x v="65"/>
    <x v="123"/>
    <x v="134"/>
    <x v="0"/>
  </r>
  <r>
    <x v="0"/>
    <x v="92"/>
    <x v="92"/>
    <x v="76"/>
    <x v="76"/>
    <x v="76"/>
    <x v="16"/>
    <x v="217"/>
    <x v="119"/>
    <x v="65"/>
    <x v="65"/>
    <x v="127"/>
    <x v="151"/>
    <x v="0"/>
  </r>
  <r>
    <x v="0"/>
    <x v="92"/>
    <x v="92"/>
    <x v="77"/>
    <x v="77"/>
    <x v="77"/>
    <x v="16"/>
    <x v="217"/>
    <x v="119"/>
    <x v="65"/>
    <x v="65"/>
    <x v="123"/>
    <x v="134"/>
    <x v="0"/>
  </r>
  <r>
    <x v="0"/>
    <x v="92"/>
    <x v="92"/>
    <x v="183"/>
    <x v="180"/>
    <x v="183"/>
    <x v="16"/>
    <x v="217"/>
    <x v="119"/>
    <x v="65"/>
    <x v="65"/>
    <x v="123"/>
    <x v="134"/>
    <x v="0"/>
  </r>
  <r>
    <x v="0"/>
    <x v="92"/>
    <x v="92"/>
    <x v="28"/>
    <x v="28"/>
    <x v="28"/>
    <x v="16"/>
    <x v="217"/>
    <x v="119"/>
    <x v="50"/>
    <x v="604"/>
    <x v="127"/>
    <x v="151"/>
    <x v="0"/>
  </r>
  <r>
    <x v="0"/>
    <x v="92"/>
    <x v="92"/>
    <x v="114"/>
    <x v="114"/>
    <x v="114"/>
    <x v="16"/>
    <x v="217"/>
    <x v="119"/>
    <x v="65"/>
    <x v="65"/>
    <x v="123"/>
    <x v="134"/>
    <x v="0"/>
  </r>
  <r>
    <x v="0"/>
    <x v="92"/>
    <x v="92"/>
    <x v="7"/>
    <x v="7"/>
    <x v="7"/>
    <x v="16"/>
    <x v="217"/>
    <x v="119"/>
    <x v="50"/>
    <x v="604"/>
    <x v="127"/>
    <x v="151"/>
    <x v="0"/>
  </r>
  <r>
    <x v="0"/>
    <x v="92"/>
    <x v="92"/>
    <x v="16"/>
    <x v="16"/>
    <x v="16"/>
    <x v="16"/>
    <x v="217"/>
    <x v="119"/>
    <x v="65"/>
    <x v="65"/>
    <x v="123"/>
    <x v="134"/>
    <x v="0"/>
  </r>
  <r>
    <x v="0"/>
    <x v="92"/>
    <x v="92"/>
    <x v="121"/>
    <x v="121"/>
    <x v="121"/>
    <x v="16"/>
    <x v="217"/>
    <x v="119"/>
    <x v="50"/>
    <x v="604"/>
    <x v="127"/>
    <x v="151"/>
    <x v="0"/>
  </r>
  <r>
    <x v="0"/>
    <x v="92"/>
    <x v="92"/>
    <x v="51"/>
    <x v="51"/>
    <x v="51"/>
    <x v="16"/>
    <x v="217"/>
    <x v="119"/>
    <x v="50"/>
    <x v="604"/>
    <x v="127"/>
    <x v="151"/>
    <x v="0"/>
  </r>
  <r>
    <x v="0"/>
    <x v="92"/>
    <x v="92"/>
    <x v="4"/>
    <x v="4"/>
    <x v="4"/>
    <x v="16"/>
    <x v="217"/>
    <x v="119"/>
    <x v="50"/>
    <x v="604"/>
    <x v="127"/>
    <x v="151"/>
    <x v="0"/>
  </r>
  <r>
    <x v="0"/>
    <x v="92"/>
    <x v="92"/>
    <x v="61"/>
    <x v="61"/>
    <x v="61"/>
    <x v="16"/>
    <x v="217"/>
    <x v="119"/>
    <x v="50"/>
    <x v="604"/>
    <x v="127"/>
    <x v="151"/>
    <x v="0"/>
  </r>
  <r>
    <x v="0"/>
    <x v="92"/>
    <x v="92"/>
    <x v="9"/>
    <x v="9"/>
    <x v="9"/>
    <x v="16"/>
    <x v="217"/>
    <x v="119"/>
    <x v="50"/>
    <x v="604"/>
    <x v="127"/>
    <x v="151"/>
    <x v="0"/>
  </r>
  <r>
    <x v="0"/>
    <x v="92"/>
    <x v="92"/>
    <x v="123"/>
    <x v="123"/>
    <x v="123"/>
    <x v="16"/>
    <x v="217"/>
    <x v="119"/>
    <x v="50"/>
    <x v="604"/>
    <x v="127"/>
    <x v="151"/>
    <x v="0"/>
  </r>
  <r>
    <x v="0"/>
    <x v="92"/>
    <x v="92"/>
    <x v="52"/>
    <x v="52"/>
    <x v="52"/>
    <x v="16"/>
    <x v="217"/>
    <x v="119"/>
    <x v="65"/>
    <x v="65"/>
    <x v="127"/>
    <x v="151"/>
    <x v="0"/>
  </r>
  <r>
    <x v="0"/>
    <x v="92"/>
    <x v="92"/>
    <x v="39"/>
    <x v="39"/>
    <x v="39"/>
    <x v="16"/>
    <x v="217"/>
    <x v="119"/>
    <x v="50"/>
    <x v="604"/>
    <x v="127"/>
    <x v="151"/>
    <x v="0"/>
  </r>
  <r>
    <x v="0"/>
    <x v="92"/>
    <x v="92"/>
    <x v="23"/>
    <x v="23"/>
    <x v="23"/>
    <x v="16"/>
    <x v="217"/>
    <x v="119"/>
    <x v="65"/>
    <x v="65"/>
    <x v="123"/>
    <x v="134"/>
    <x v="0"/>
  </r>
  <r>
    <x v="0"/>
    <x v="92"/>
    <x v="92"/>
    <x v="6"/>
    <x v="6"/>
    <x v="6"/>
    <x v="16"/>
    <x v="217"/>
    <x v="119"/>
    <x v="50"/>
    <x v="604"/>
    <x v="127"/>
    <x v="151"/>
    <x v="0"/>
  </r>
  <r>
    <x v="0"/>
    <x v="92"/>
    <x v="92"/>
    <x v="59"/>
    <x v="59"/>
    <x v="59"/>
    <x v="16"/>
    <x v="217"/>
    <x v="119"/>
    <x v="65"/>
    <x v="65"/>
    <x v="123"/>
    <x v="134"/>
    <x v="0"/>
  </r>
  <r>
    <x v="0"/>
    <x v="93"/>
    <x v="93"/>
    <x v="1"/>
    <x v="1"/>
    <x v="1"/>
    <x v="0"/>
    <x v="197"/>
    <x v="399"/>
    <x v="51"/>
    <x v="483"/>
    <x v="123"/>
    <x v="369"/>
    <x v="0"/>
  </r>
  <r>
    <x v="0"/>
    <x v="93"/>
    <x v="93"/>
    <x v="5"/>
    <x v="5"/>
    <x v="5"/>
    <x v="1"/>
    <x v="198"/>
    <x v="433"/>
    <x v="51"/>
    <x v="483"/>
    <x v="127"/>
    <x v="151"/>
    <x v="0"/>
  </r>
  <r>
    <x v="0"/>
    <x v="93"/>
    <x v="93"/>
    <x v="11"/>
    <x v="11"/>
    <x v="11"/>
    <x v="2"/>
    <x v="200"/>
    <x v="349"/>
    <x v="70"/>
    <x v="593"/>
    <x v="127"/>
    <x v="151"/>
    <x v="0"/>
  </r>
  <r>
    <x v="0"/>
    <x v="93"/>
    <x v="93"/>
    <x v="2"/>
    <x v="2"/>
    <x v="2"/>
    <x v="2"/>
    <x v="200"/>
    <x v="349"/>
    <x v="70"/>
    <x v="593"/>
    <x v="127"/>
    <x v="151"/>
    <x v="0"/>
  </r>
  <r>
    <x v="0"/>
    <x v="93"/>
    <x v="93"/>
    <x v="3"/>
    <x v="3"/>
    <x v="3"/>
    <x v="2"/>
    <x v="200"/>
    <x v="349"/>
    <x v="70"/>
    <x v="593"/>
    <x v="127"/>
    <x v="151"/>
    <x v="0"/>
  </r>
  <r>
    <x v="0"/>
    <x v="93"/>
    <x v="93"/>
    <x v="56"/>
    <x v="56"/>
    <x v="56"/>
    <x v="5"/>
    <x v="216"/>
    <x v="434"/>
    <x v="56"/>
    <x v="480"/>
    <x v="127"/>
    <x v="151"/>
    <x v="0"/>
  </r>
  <r>
    <x v="0"/>
    <x v="93"/>
    <x v="93"/>
    <x v="55"/>
    <x v="55"/>
    <x v="55"/>
    <x v="5"/>
    <x v="216"/>
    <x v="434"/>
    <x v="56"/>
    <x v="480"/>
    <x v="127"/>
    <x v="151"/>
    <x v="0"/>
  </r>
  <r>
    <x v="0"/>
    <x v="93"/>
    <x v="93"/>
    <x v="0"/>
    <x v="0"/>
    <x v="0"/>
    <x v="5"/>
    <x v="216"/>
    <x v="434"/>
    <x v="50"/>
    <x v="482"/>
    <x v="123"/>
    <x v="369"/>
    <x v="0"/>
  </r>
  <r>
    <x v="0"/>
    <x v="93"/>
    <x v="93"/>
    <x v="4"/>
    <x v="4"/>
    <x v="4"/>
    <x v="5"/>
    <x v="216"/>
    <x v="434"/>
    <x v="56"/>
    <x v="480"/>
    <x v="127"/>
    <x v="151"/>
    <x v="0"/>
  </r>
  <r>
    <x v="0"/>
    <x v="93"/>
    <x v="93"/>
    <x v="23"/>
    <x v="23"/>
    <x v="23"/>
    <x v="5"/>
    <x v="216"/>
    <x v="434"/>
    <x v="50"/>
    <x v="482"/>
    <x v="127"/>
    <x v="151"/>
    <x v="0"/>
  </r>
  <r>
    <x v="0"/>
    <x v="93"/>
    <x v="93"/>
    <x v="6"/>
    <x v="6"/>
    <x v="6"/>
    <x v="5"/>
    <x v="216"/>
    <x v="434"/>
    <x v="56"/>
    <x v="480"/>
    <x v="127"/>
    <x v="151"/>
    <x v="0"/>
  </r>
  <r>
    <x v="0"/>
    <x v="93"/>
    <x v="93"/>
    <x v="43"/>
    <x v="43"/>
    <x v="43"/>
    <x v="5"/>
    <x v="216"/>
    <x v="434"/>
    <x v="65"/>
    <x v="65"/>
    <x v="93"/>
    <x v="390"/>
    <x v="0"/>
  </r>
  <r>
    <x v="0"/>
    <x v="93"/>
    <x v="93"/>
    <x v="40"/>
    <x v="40"/>
    <x v="40"/>
    <x v="12"/>
    <x v="217"/>
    <x v="154"/>
    <x v="65"/>
    <x v="65"/>
    <x v="123"/>
    <x v="369"/>
    <x v="0"/>
  </r>
  <r>
    <x v="0"/>
    <x v="93"/>
    <x v="93"/>
    <x v="32"/>
    <x v="32"/>
    <x v="32"/>
    <x v="12"/>
    <x v="217"/>
    <x v="154"/>
    <x v="65"/>
    <x v="65"/>
    <x v="123"/>
    <x v="369"/>
    <x v="0"/>
  </r>
  <r>
    <x v="0"/>
    <x v="93"/>
    <x v="93"/>
    <x v="13"/>
    <x v="13"/>
    <x v="13"/>
    <x v="12"/>
    <x v="217"/>
    <x v="154"/>
    <x v="65"/>
    <x v="65"/>
    <x v="123"/>
    <x v="369"/>
    <x v="0"/>
  </r>
  <r>
    <x v="0"/>
    <x v="93"/>
    <x v="93"/>
    <x v="106"/>
    <x v="106"/>
    <x v="106"/>
    <x v="12"/>
    <x v="217"/>
    <x v="154"/>
    <x v="65"/>
    <x v="65"/>
    <x v="127"/>
    <x v="151"/>
    <x v="6"/>
  </r>
  <r>
    <x v="0"/>
    <x v="93"/>
    <x v="93"/>
    <x v="96"/>
    <x v="96"/>
    <x v="96"/>
    <x v="12"/>
    <x v="217"/>
    <x v="154"/>
    <x v="65"/>
    <x v="65"/>
    <x v="123"/>
    <x v="369"/>
    <x v="0"/>
  </r>
  <r>
    <x v="0"/>
    <x v="93"/>
    <x v="93"/>
    <x v="169"/>
    <x v="167"/>
    <x v="169"/>
    <x v="12"/>
    <x v="217"/>
    <x v="154"/>
    <x v="65"/>
    <x v="65"/>
    <x v="123"/>
    <x v="369"/>
    <x v="0"/>
  </r>
  <r>
    <x v="0"/>
    <x v="93"/>
    <x v="93"/>
    <x v="86"/>
    <x v="86"/>
    <x v="86"/>
    <x v="12"/>
    <x v="217"/>
    <x v="154"/>
    <x v="50"/>
    <x v="482"/>
    <x v="127"/>
    <x v="151"/>
    <x v="0"/>
  </r>
  <r>
    <x v="0"/>
    <x v="93"/>
    <x v="93"/>
    <x v="76"/>
    <x v="76"/>
    <x v="76"/>
    <x v="12"/>
    <x v="217"/>
    <x v="154"/>
    <x v="65"/>
    <x v="65"/>
    <x v="127"/>
    <x v="151"/>
    <x v="0"/>
  </r>
  <r>
    <x v="0"/>
    <x v="93"/>
    <x v="93"/>
    <x v="184"/>
    <x v="181"/>
    <x v="184"/>
    <x v="12"/>
    <x v="217"/>
    <x v="154"/>
    <x v="65"/>
    <x v="65"/>
    <x v="123"/>
    <x v="369"/>
    <x v="0"/>
  </r>
  <r>
    <x v="0"/>
    <x v="93"/>
    <x v="93"/>
    <x v="62"/>
    <x v="62"/>
    <x v="62"/>
    <x v="12"/>
    <x v="217"/>
    <x v="154"/>
    <x v="50"/>
    <x v="482"/>
    <x v="127"/>
    <x v="151"/>
    <x v="0"/>
  </r>
  <r>
    <x v="0"/>
    <x v="93"/>
    <x v="93"/>
    <x v="36"/>
    <x v="36"/>
    <x v="36"/>
    <x v="12"/>
    <x v="217"/>
    <x v="154"/>
    <x v="65"/>
    <x v="65"/>
    <x v="123"/>
    <x v="369"/>
    <x v="0"/>
  </r>
  <r>
    <x v="0"/>
    <x v="93"/>
    <x v="93"/>
    <x v="158"/>
    <x v="157"/>
    <x v="158"/>
    <x v="12"/>
    <x v="217"/>
    <x v="154"/>
    <x v="50"/>
    <x v="482"/>
    <x v="127"/>
    <x v="151"/>
    <x v="0"/>
  </r>
  <r>
    <x v="0"/>
    <x v="93"/>
    <x v="93"/>
    <x v="134"/>
    <x v="134"/>
    <x v="134"/>
    <x v="12"/>
    <x v="217"/>
    <x v="154"/>
    <x v="65"/>
    <x v="65"/>
    <x v="123"/>
    <x v="369"/>
    <x v="0"/>
  </r>
  <r>
    <x v="0"/>
    <x v="93"/>
    <x v="93"/>
    <x v="44"/>
    <x v="44"/>
    <x v="44"/>
    <x v="12"/>
    <x v="217"/>
    <x v="154"/>
    <x v="50"/>
    <x v="482"/>
    <x v="127"/>
    <x v="151"/>
    <x v="0"/>
  </r>
  <r>
    <x v="0"/>
    <x v="93"/>
    <x v="93"/>
    <x v="41"/>
    <x v="41"/>
    <x v="41"/>
    <x v="12"/>
    <x v="217"/>
    <x v="154"/>
    <x v="50"/>
    <x v="482"/>
    <x v="127"/>
    <x v="151"/>
    <x v="0"/>
  </r>
  <r>
    <x v="0"/>
    <x v="93"/>
    <x v="93"/>
    <x v="12"/>
    <x v="12"/>
    <x v="12"/>
    <x v="12"/>
    <x v="217"/>
    <x v="154"/>
    <x v="50"/>
    <x v="482"/>
    <x v="127"/>
    <x v="151"/>
    <x v="0"/>
  </r>
  <r>
    <x v="0"/>
    <x v="93"/>
    <x v="93"/>
    <x v="101"/>
    <x v="101"/>
    <x v="101"/>
    <x v="12"/>
    <x v="217"/>
    <x v="154"/>
    <x v="50"/>
    <x v="482"/>
    <x v="127"/>
    <x v="151"/>
    <x v="0"/>
  </r>
  <r>
    <x v="0"/>
    <x v="93"/>
    <x v="93"/>
    <x v="47"/>
    <x v="47"/>
    <x v="47"/>
    <x v="12"/>
    <x v="217"/>
    <x v="154"/>
    <x v="50"/>
    <x v="482"/>
    <x v="127"/>
    <x v="151"/>
    <x v="0"/>
  </r>
  <r>
    <x v="0"/>
    <x v="93"/>
    <x v="93"/>
    <x v="113"/>
    <x v="113"/>
    <x v="113"/>
    <x v="12"/>
    <x v="217"/>
    <x v="154"/>
    <x v="50"/>
    <x v="482"/>
    <x v="127"/>
    <x v="151"/>
    <x v="0"/>
  </r>
  <r>
    <x v="0"/>
    <x v="93"/>
    <x v="93"/>
    <x v="114"/>
    <x v="114"/>
    <x v="114"/>
    <x v="12"/>
    <x v="217"/>
    <x v="154"/>
    <x v="65"/>
    <x v="65"/>
    <x v="123"/>
    <x v="369"/>
    <x v="0"/>
  </r>
  <r>
    <x v="0"/>
    <x v="93"/>
    <x v="93"/>
    <x v="18"/>
    <x v="18"/>
    <x v="18"/>
    <x v="12"/>
    <x v="217"/>
    <x v="154"/>
    <x v="65"/>
    <x v="65"/>
    <x v="123"/>
    <x v="369"/>
    <x v="0"/>
  </r>
  <r>
    <x v="0"/>
    <x v="93"/>
    <x v="93"/>
    <x v="84"/>
    <x v="84"/>
    <x v="84"/>
    <x v="12"/>
    <x v="217"/>
    <x v="154"/>
    <x v="50"/>
    <x v="482"/>
    <x v="127"/>
    <x v="151"/>
    <x v="0"/>
  </r>
  <r>
    <x v="0"/>
    <x v="93"/>
    <x v="93"/>
    <x v="125"/>
    <x v="125"/>
    <x v="125"/>
    <x v="12"/>
    <x v="217"/>
    <x v="154"/>
    <x v="65"/>
    <x v="65"/>
    <x v="123"/>
    <x v="369"/>
    <x v="0"/>
  </r>
  <r>
    <x v="0"/>
    <x v="93"/>
    <x v="93"/>
    <x v="16"/>
    <x v="16"/>
    <x v="16"/>
    <x v="12"/>
    <x v="217"/>
    <x v="154"/>
    <x v="65"/>
    <x v="65"/>
    <x v="123"/>
    <x v="369"/>
    <x v="0"/>
  </r>
  <r>
    <x v="0"/>
    <x v="93"/>
    <x v="93"/>
    <x v="121"/>
    <x v="121"/>
    <x v="121"/>
    <x v="12"/>
    <x v="217"/>
    <x v="154"/>
    <x v="50"/>
    <x v="482"/>
    <x v="127"/>
    <x v="151"/>
    <x v="0"/>
  </r>
  <r>
    <x v="0"/>
    <x v="93"/>
    <x v="93"/>
    <x v="61"/>
    <x v="61"/>
    <x v="61"/>
    <x v="12"/>
    <x v="217"/>
    <x v="154"/>
    <x v="50"/>
    <x v="482"/>
    <x v="127"/>
    <x v="151"/>
    <x v="0"/>
  </r>
  <r>
    <x v="0"/>
    <x v="93"/>
    <x v="93"/>
    <x v="34"/>
    <x v="34"/>
    <x v="34"/>
    <x v="12"/>
    <x v="217"/>
    <x v="154"/>
    <x v="50"/>
    <x v="482"/>
    <x v="127"/>
    <x v="151"/>
    <x v="0"/>
  </r>
  <r>
    <x v="0"/>
    <x v="93"/>
    <x v="93"/>
    <x v="123"/>
    <x v="123"/>
    <x v="123"/>
    <x v="12"/>
    <x v="217"/>
    <x v="154"/>
    <x v="65"/>
    <x v="65"/>
    <x v="123"/>
    <x v="369"/>
    <x v="0"/>
  </r>
  <r>
    <x v="0"/>
    <x v="93"/>
    <x v="93"/>
    <x v="52"/>
    <x v="52"/>
    <x v="52"/>
    <x v="12"/>
    <x v="217"/>
    <x v="154"/>
    <x v="65"/>
    <x v="65"/>
    <x v="123"/>
    <x v="369"/>
    <x v="0"/>
  </r>
  <r>
    <x v="0"/>
    <x v="93"/>
    <x v="93"/>
    <x v="71"/>
    <x v="71"/>
    <x v="71"/>
    <x v="12"/>
    <x v="217"/>
    <x v="154"/>
    <x v="65"/>
    <x v="65"/>
    <x v="123"/>
    <x v="369"/>
    <x v="0"/>
  </r>
  <r>
    <x v="0"/>
    <x v="93"/>
    <x v="93"/>
    <x v="72"/>
    <x v="72"/>
    <x v="72"/>
    <x v="12"/>
    <x v="217"/>
    <x v="154"/>
    <x v="65"/>
    <x v="65"/>
    <x v="123"/>
    <x v="369"/>
    <x v="0"/>
  </r>
  <r>
    <x v="0"/>
    <x v="94"/>
    <x v="94"/>
    <x v="1"/>
    <x v="1"/>
    <x v="1"/>
    <x v="0"/>
    <x v="199"/>
    <x v="435"/>
    <x v="62"/>
    <x v="605"/>
    <x v="127"/>
    <x v="151"/>
    <x v="0"/>
  </r>
  <r>
    <x v="0"/>
    <x v="94"/>
    <x v="94"/>
    <x v="10"/>
    <x v="10"/>
    <x v="10"/>
    <x v="1"/>
    <x v="200"/>
    <x v="390"/>
    <x v="50"/>
    <x v="479"/>
    <x v="93"/>
    <x v="391"/>
    <x v="0"/>
  </r>
  <r>
    <x v="0"/>
    <x v="94"/>
    <x v="94"/>
    <x v="3"/>
    <x v="3"/>
    <x v="3"/>
    <x v="1"/>
    <x v="200"/>
    <x v="390"/>
    <x v="70"/>
    <x v="477"/>
    <x v="127"/>
    <x v="151"/>
    <x v="0"/>
  </r>
  <r>
    <x v="0"/>
    <x v="94"/>
    <x v="94"/>
    <x v="19"/>
    <x v="19"/>
    <x v="19"/>
    <x v="1"/>
    <x v="200"/>
    <x v="390"/>
    <x v="50"/>
    <x v="479"/>
    <x v="93"/>
    <x v="391"/>
    <x v="0"/>
  </r>
  <r>
    <x v="0"/>
    <x v="94"/>
    <x v="94"/>
    <x v="36"/>
    <x v="36"/>
    <x v="36"/>
    <x v="4"/>
    <x v="216"/>
    <x v="202"/>
    <x v="65"/>
    <x v="65"/>
    <x v="93"/>
    <x v="391"/>
    <x v="0"/>
  </r>
  <r>
    <x v="0"/>
    <x v="94"/>
    <x v="94"/>
    <x v="47"/>
    <x v="47"/>
    <x v="47"/>
    <x v="4"/>
    <x v="216"/>
    <x v="202"/>
    <x v="56"/>
    <x v="593"/>
    <x v="127"/>
    <x v="151"/>
    <x v="0"/>
  </r>
  <r>
    <x v="0"/>
    <x v="94"/>
    <x v="94"/>
    <x v="51"/>
    <x v="51"/>
    <x v="51"/>
    <x v="4"/>
    <x v="216"/>
    <x v="202"/>
    <x v="56"/>
    <x v="593"/>
    <x v="127"/>
    <x v="151"/>
    <x v="0"/>
  </r>
  <r>
    <x v="0"/>
    <x v="94"/>
    <x v="94"/>
    <x v="6"/>
    <x v="6"/>
    <x v="6"/>
    <x v="4"/>
    <x v="216"/>
    <x v="202"/>
    <x v="56"/>
    <x v="593"/>
    <x v="127"/>
    <x v="151"/>
    <x v="0"/>
  </r>
  <r>
    <x v="0"/>
    <x v="94"/>
    <x v="94"/>
    <x v="17"/>
    <x v="17"/>
    <x v="17"/>
    <x v="8"/>
    <x v="217"/>
    <x v="95"/>
    <x v="65"/>
    <x v="65"/>
    <x v="123"/>
    <x v="392"/>
    <x v="0"/>
  </r>
  <r>
    <x v="0"/>
    <x v="94"/>
    <x v="94"/>
    <x v="40"/>
    <x v="40"/>
    <x v="40"/>
    <x v="8"/>
    <x v="217"/>
    <x v="95"/>
    <x v="65"/>
    <x v="65"/>
    <x v="123"/>
    <x v="392"/>
    <x v="0"/>
  </r>
  <r>
    <x v="0"/>
    <x v="94"/>
    <x v="94"/>
    <x v="32"/>
    <x v="32"/>
    <x v="32"/>
    <x v="8"/>
    <x v="217"/>
    <x v="95"/>
    <x v="65"/>
    <x v="65"/>
    <x v="123"/>
    <x v="392"/>
    <x v="0"/>
  </r>
  <r>
    <x v="0"/>
    <x v="94"/>
    <x v="94"/>
    <x v="67"/>
    <x v="67"/>
    <x v="67"/>
    <x v="8"/>
    <x v="217"/>
    <x v="95"/>
    <x v="65"/>
    <x v="65"/>
    <x v="123"/>
    <x v="392"/>
    <x v="0"/>
  </r>
  <r>
    <x v="0"/>
    <x v="94"/>
    <x v="94"/>
    <x v="105"/>
    <x v="105"/>
    <x v="105"/>
    <x v="8"/>
    <x v="217"/>
    <x v="95"/>
    <x v="50"/>
    <x v="479"/>
    <x v="127"/>
    <x v="151"/>
    <x v="0"/>
  </r>
  <r>
    <x v="0"/>
    <x v="94"/>
    <x v="94"/>
    <x v="46"/>
    <x v="46"/>
    <x v="46"/>
    <x v="8"/>
    <x v="217"/>
    <x v="95"/>
    <x v="65"/>
    <x v="65"/>
    <x v="123"/>
    <x v="392"/>
    <x v="0"/>
  </r>
  <r>
    <x v="0"/>
    <x v="94"/>
    <x v="94"/>
    <x v="13"/>
    <x v="13"/>
    <x v="13"/>
    <x v="8"/>
    <x v="217"/>
    <x v="95"/>
    <x v="50"/>
    <x v="479"/>
    <x v="127"/>
    <x v="151"/>
    <x v="0"/>
  </r>
  <r>
    <x v="0"/>
    <x v="94"/>
    <x v="94"/>
    <x v="90"/>
    <x v="90"/>
    <x v="90"/>
    <x v="8"/>
    <x v="217"/>
    <x v="95"/>
    <x v="50"/>
    <x v="479"/>
    <x v="127"/>
    <x v="151"/>
    <x v="0"/>
  </r>
  <r>
    <x v="0"/>
    <x v="94"/>
    <x v="94"/>
    <x v="119"/>
    <x v="119"/>
    <x v="119"/>
    <x v="8"/>
    <x v="217"/>
    <x v="95"/>
    <x v="65"/>
    <x v="65"/>
    <x v="123"/>
    <x v="392"/>
    <x v="0"/>
  </r>
  <r>
    <x v="0"/>
    <x v="94"/>
    <x v="94"/>
    <x v="38"/>
    <x v="38"/>
    <x v="38"/>
    <x v="8"/>
    <x v="217"/>
    <x v="95"/>
    <x v="65"/>
    <x v="65"/>
    <x v="123"/>
    <x v="392"/>
    <x v="0"/>
  </r>
  <r>
    <x v="0"/>
    <x v="94"/>
    <x v="94"/>
    <x v="62"/>
    <x v="62"/>
    <x v="62"/>
    <x v="8"/>
    <x v="217"/>
    <x v="95"/>
    <x v="65"/>
    <x v="65"/>
    <x v="123"/>
    <x v="392"/>
    <x v="0"/>
  </r>
  <r>
    <x v="0"/>
    <x v="94"/>
    <x v="94"/>
    <x v="100"/>
    <x v="100"/>
    <x v="100"/>
    <x v="8"/>
    <x v="217"/>
    <x v="95"/>
    <x v="65"/>
    <x v="65"/>
    <x v="123"/>
    <x v="392"/>
    <x v="0"/>
  </r>
  <r>
    <x v="0"/>
    <x v="94"/>
    <x v="94"/>
    <x v="21"/>
    <x v="21"/>
    <x v="21"/>
    <x v="8"/>
    <x v="217"/>
    <x v="95"/>
    <x v="65"/>
    <x v="65"/>
    <x v="123"/>
    <x v="392"/>
    <x v="0"/>
  </r>
  <r>
    <x v="0"/>
    <x v="94"/>
    <x v="94"/>
    <x v="141"/>
    <x v="141"/>
    <x v="141"/>
    <x v="8"/>
    <x v="217"/>
    <x v="95"/>
    <x v="50"/>
    <x v="479"/>
    <x v="127"/>
    <x v="151"/>
    <x v="0"/>
  </r>
  <r>
    <x v="0"/>
    <x v="94"/>
    <x v="94"/>
    <x v="44"/>
    <x v="44"/>
    <x v="44"/>
    <x v="8"/>
    <x v="217"/>
    <x v="95"/>
    <x v="50"/>
    <x v="479"/>
    <x v="127"/>
    <x v="151"/>
    <x v="0"/>
  </r>
  <r>
    <x v="0"/>
    <x v="94"/>
    <x v="94"/>
    <x v="11"/>
    <x v="11"/>
    <x v="11"/>
    <x v="8"/>
    <x v="217"/>
    <x v="95"/>
    <x v="65"/>
    <x v="65"/>
    <x v="123"/>
    <x v="392"/>
    <x v="0"/>
  </r>
  <r>
    <x v="0"/>
    <x v="94"/>
    <x v="94"/>
    <x v="114"/>
    <x v="114"/>
    <x v="114"/>
    <x v="8"/>
    <x v="217"/>
    <x v="95"/>
    <x v="65"/>
    <x v="65"/>
    <x v="123"/>
    <x v="392"/>
    <x v="0"/>
  </r>
  <r>
    <x v="0"/>
    <x v="94"/>
    <x v="94"/>
    <x v="84"/>
    <x v="84"/>
    <x v="84"/>
    <x v="8"/>
    <x v="217"/>
    <x v="95"/>
    <x v="65"/>
    <x v="65"/>
    <x v="123"/>
    <x v="392"/>
    <x v="0"/>
  </r>
  <r>
    <x v="0"/>
    <x v="94"/>
    <x v="94"/>
    <x v="42"/>
    <x v="42"/>
    <x v="42"/>
    <x v="8"/>
    <x v="217"/>
    <x v="95"/>
    <x v="65"/>
    <x v="65"/>
    <x v="123"/>
    <x v="392"/>
    <x v="0"/>
  </r>
  <r>
    <x v="0"/>
    <x v="94"/>
    <x v="94"/>
    <x v="49"/>
    <x v="49"/>
    <x v="49"/>
    <x v="8"/>
    <x v="217"/>
    <x v="95"/>
    <x v="65"/>
    <x v="65"/>
    <x v="123"/>
    <x v="392"/>
    <x v="0"/>
  </r>
  <r>
    <x v="0"/>
    <x v="94"/>
    <x v="94"/>
    <x v="7"/>
    <x v="7"/>
    <x v="7"/>
    <x v="8"/>
    <x v="217"/>
    <x v="95"/>
    <x v="50"/>
    <x v="479"/>
    <x v="127"/>
    <x v="151"/>
    <x v="0"/>
  </r>
  <r>
    <x v="0"/>
    <x v="94"/>
    <x v="94"/>
    <x v="129"/>
    <x v="129"/>
    <x v="129"/>
    <x v="8"/>
    <x v="217"/>
    <x v="95"/>
    <x v="50"/>
    <x v="479"/>
    <x v="127"/>
    <x v="151"/>
    <x v="0"/>
  </r>
  <r>
    <x v="0"/>
    <x v="94"/>
    <x v="94"/>
    <x v="121"/>
    <x v="121"/>
    <x v="121"/>
    <x v="8"/>
    <x v="217"/>
    <x v="95"/>
    <x v="50"/>
    <x v="479"/>
    <x v="127"/>
    <x v="151"/>
    <x v="0"/>
  </r>
  <r>
    <x v="0"/>
    <x v="94"/>
    <x v="94"/>
    <x v="131"/>
    <x v="131"/>
    <x v="131"/>
    <x v="8"/>
    <x v="217"/>
    <x v="95"/>
    <x v="65"/>
    <x v="65"/>
    <x v="123"/>
    <x v="392"/>
    <x v="0"/>
  </r>
  <r>
    <x v="0"/>
    <x v="94"/>
    <x v="94"/>
    <x v="61"/>
    <x v="61"/>
    <x v="61"/>
    <x v="8"/>
    <x v="217"/>
    <x v="95"/>
    <x v="50"/>
    <x v="479"/>
    <x v="127"/>
    <x v="151"/>
    <x v="0"/>
  </r>
  <r>
    <x v="0"/>
    <x v="94"/>
    <x v="94"/>
    <x v="5"/>
    <x v="5"/>
    <x v="5"/>
    <x v="8"/>
    <x v="217"/>
    <x v="95"/>
    <x v="50"/>
    <x v="479"/>
    <x v="127"/>
    <x v="151"/>
    <x v="0"/>
  </r>
  <r>
    <x v="0"/>
    <x v="94"/>
    <x v="94"/>
    <x v="2"/>
    <x v="2"/>
    <x v="2"/>
    <x v="8"/>
    <x v="217"/>
    <x v="95"/>
    <x v="50"/>
    <x v="479"/>
    <x v="127"/>
    <x v="151"/>
    <x v="0"/>
  </r>
  <r>
    <x v="0"/>
    <x v="94"/>
    <x v="94"/>
    <x v="34"/>
    <x v="34"/>
    <x v="34"/>
    <x v="8"/>
    <x v="217"/>
    <x v="95"/>
    <x v="65"/>
    <x v="65"/>
    <x v="123"/>
    <x v="392"/>
    <x v="0"/>
  </r>
  <r>
    <x v="0"/>
    <x v="94"/>
    <x v="94"/>
    <x v="185"/>
    <x v="182"/>
    <x v="185"/>
    <x v="8"/>
    <x v="217"/>
    <x v="95"/>
    <x v="50"/>
    <x v="479"/>
    <x v="127"/>
    <x v="151"/>
    <x v="0"/>
  </r>
  <r>
    <x v="0"/>
    <x v="94"/>
    <x v="94"/>
    <x v="23"/>
    <x v="23"/>
    <x v="23"/>
    <x v="8"/>
    <x v="217"/>
    <x v="95"/>
    <x v="50"/>
    <x v="479"/>
    <x v="127"/>
    <x v="151"/>
    <x v="0"/>
  </r>
  <r>
    <x v="0"/>
    <x v="95"/>
    <x v="95"/>
    <x v="42"/>
    <x v="42"/>
    <x v="42"/>
    <x v="0"/>
    <x v="200"/>
    <x v="436"/>
    <x v="56"/>
    <x v="563"/>
    <x v="123"/>
    <x v="214"/>
    <x v="0"/>
  </r>
  <r>
    <x v="0"/>
    <x v="95"/>
    <x v="95"/>
    <x v="1"/>
    <x v="1"/>
    <x v="1"/>
    <x v="0"/>
    <x v="200"/>
    <x v="436"/>
    <x v="70"/>
    <x v="463"/>
    <x v="127"/>
    <x v="151"/>
    <x v="0"/>
  </r>
  <r>
    <x v="0"/>
    <x v="95"/>
    <x v="95"/>
    <x v="10"/>
    <x v="10"/>
    <x v="10"/>
    <x v="2"/>
    <x v="216"/>
    <x v="376"/>
    <x v="65"/>
    <x v="65"/>
    <x v="93"/>
    <x v="393"/>
    <x v="0"/>
  </r>
  <r>
    <x v="0"/>
    <x v="95"/>
    <x v="95"/>
    <x v="4"/>
    <x v="4"/>
    <x v="4"/>
    <x v="2"/>
    <x v="216"/>
    <x v="376"/>
    <x v="56"/>
    <x v="563"/>
    <x v="127"/>
    <x v="151"/>
    <x v="0"/>
  </r>
  <r>
    <x v="0"/>
    <x v="95"/>
    <x v="95"/>
    <x v="5"/>
    <x v="5"/>
    <x v="5"/>
    <x v="2"/>
    <x v="216"/>
    <x v="376"/>
    <x v="56"/>
    <x v="563"/>
    <x v="127"/>
    <x v="151"/>
    <x v="0"/>
  </r>
  <r>
    <x v="0"/>
    <x v="95"/>
    <x v="95"/>
    <x v="2"/>
    <x v="2"/>
    <x v="2"/>
    <x v="2"/>
    <x v="216"/>
    <x v="376"/>
    <x v="56"/>
    <x v="563"/>
    <x v="127"/>
    <x v="151"/>
    <x v="0"/>
  </r>
  <r>
    <x v="0"/>
    <x v="95"/>
    <x v="95"/>
    <x v="3"/>
    <x v="3"/>
    <x v="3"/>
    <x v="2"/>
    <x v="216"/>
    <x v="376"/>
    <x v="56"/>
    <x v="563"/>
    <x v="127"/>
    <x v="151"/>
    <x v="0"/>
  </r>
  <r>
    <x v="0"/>
    <x v="95"/>
    <x v="95"/>
    <x v="6"/>
    <x v="6"/>
    <x v="6"/>
    <x v="2"/>
    <x v="216"/>
    <x v="376"/>
    <x v="56"/>
    <x v="563"/>
    <x v="127"/>
    <x v="151"/>
    <x v="0"/>
  </r>
  <r>
    <x v="0"/>
    <x v="95"/>
    <x v="95"/>
    <x v="83"/>
    <x v="83"/>
    <x v="83"/>
    <x v="2"/>
    <x v="216"/>
    <x v="376"/>
    <x v="50"/>
    <x v="543"/>
    <x v="123"/>
    <x v="214"/>
    <x v="0"/>
  </r>
  <r>
    <x v="0"/>
    <x v="95"/>
    <x v="95"/>
    <x v="140"/>
    <x v="140"/>
    <x v="140"/>
    <x v="9"/>
    <x v="217"/>
    <x v="25"/>
    <x v="50"/>
    <x v="543"/>
    <x v="127"/>
    <x v="151"/>
    <x v="0"/>
  </r>
  <r>
    <x v="0"/>
    <x v="95"/>
    <x v="95"/>
    <x v="155"/>
    <x v="154"/>
    <x v="155"/>
    <x v="9"/>
    <x v="217"/>
    <x v="25"/>
    <x v="65"/>
    <x v="65"/>
    <x v="123"/>
    <x v="214"/>
    <x v="0"/>
  </r>
  <r>
    <x v="0"/>
    <x v="95"/>
    <x v="95"/>
    <x v="17"/>
    <x v="17"/>
    <x v="17"/>
    <x v="9"/>
    <x v="217"/>
    <x v="25"/>
    <x v="50"/>
    <x v="543"/>
    <x v="127"/>
    <x v="151"/>
    <x v="0"/>
  </r>
  <r>
    <x v="0"/>
    <x v="95"/>
    <x v="95"/>
    <x v="40"/>
    <x v="40"/>
    <x v="40"/>
    <x v="9"/>
    <x v="217"/>
    <x v="25"/>
    <x v="65"/>
    <x v="65"/>
    <x v="123"/>
    <x v="214"/>
    <x v="0"/>
  </r>
  <r>
    <x v="0"/>
    <x v="95"/>
    <x v="95"/>
    <x v="56"/>
    <x v="56"/>
    <x v="56"/>
    <x v="9"/>
    <x v="217"/>
    <x v="25"/>
    <x v="50"/>
    <x v="543"/>
    <x v="127"/>
    <x v="151"/>
    <x v="0"/>
  </r>
  <r>
    <x v="0"/>
    <x v="95"/>
    <x v="95"/>
    <x v="76"/>
    <x v="76"/>
    <x v="76"/>
    <x v="9"/>
    <x v="217"/>
    <x v="25"/>
    <x v="65"/>
    <x v="65"/>
    <x v="127"/>
    <x v="151"/>
    <x v="0"/>
  </r>
  <r>
    <x v="0"/>
    <x v="95"/>
    <x v="95"/>
    <x v="38"/>
    <x v="38"/>
    <x v="38"/>
    <x v="9"/>
    <x v="217"/>
    <x v="25"/>
    <x v="65"/>
    <x v="65"/>
    <x v="123"/>
    <x v="214"/>
    <x v="0"/>
  </r>
  <r>
    <x v="0"/>
    <x v="95"/>
    <x v="95"/>
    <x v="44"/>
    <x v="44"/>
    <x v="44"/>
    <x v="9"/>
    <x v="217"/>
    <x v="25"/>
    <x v="50"/>
    <x v="543"/>
    <x v="127"/>
    <x v="151"/>
    <x v="0"/>
  </r>
  <r>
    <x v="0"/>
    <x v="95"/>
    <x v="95"/>
    <x v="12"/>
    <x v="12"/>
    <x v="12"/>
    <x v="9"/>
    <x v="217"/>
    <x v="25"/>
    <x v="65"/>
    <x v="65"/>
    <x v="123"/>
    <x v="214"/>
    <x v="0"/>
  </r>
  <r>
    <x v="0"/>
    <x v="95"/>
    <x v="95"/>
    <x v="11"/>
    <x v="11"/>
    <x v="11"/>
    <x v="9"/>
    <x v="217"/>
    <x v="25"/>
    <x v="65"/>
    <x v="65"/>
    <x v="123"/>
    <x v="214"/>
    <x v="0"/>
  </r>
  <r>
    <x v="0"/>
    <x v="95"/>
    <x v="95"/>
    <x v="113"/>
    <x v="113"/>
    <x v="113"/>
    <x v="9"/>
    <x v="217"/>
    <x v="25"/>
    <x v="65"/>
    <x v="65"/>
    <x v="123"/>
    <x v="214"/>
    <x v="0"/>
  </r>
  <r>
    <x v="0"/>
    <x v="95"/>
    <x v="95"/>
    <x v="114"/>
    <x v="114"/>
    <x v="114"/>
    <x v="9"/>
    <x v="217"/>
    <x v="25"/>
    <x v="50"/>
    <x v="543"/>
    <x v="127"/>
    <x v="151"/>
    <x v="0"/>
  </r>
  <r>
    <x v="0"/>
    <x v="95"/>
    <x v="95"/>
    <x v="18"/>
    <x v="18"/>
    <x v="18"/>
    <x v="9"/>
    <x v="217"/>
    <x v="25"/>
    <x v="50"/>
    <x v="543"/>
    <x v="127"/>
    <x v="151"/>
    <x v="0"/>
  </r>
  <r>
    <x v="0"/>
    <x v="95"/>
    <x v="95"/>
    <x v="84"/>
    <x v="84"/>
    <x v="84"/>
    <x v="9"/>
    <x v="217"/>
    <x v="25"/>
    <x v="65"/>
    <x v="65"/>
    <x v="123"/>
    <x v="214"/>
    <x v="0"/>
  </r>
  <r>
    <x v="0"/>
    <x v="95"/>
    <x v="95"/>
    <x v="49"/>
    <x v="49"/>
    <x v="49"/>
    <x v="9"/>
    <x v="217"/>
    <x v="25"/>
    <x v="50"/>
    <x v="543"/>
    <x v="127"/>
    <x v="151"/>
    <x v="0"/>
  </r>
  <r>
    <x v="0"/>
    <x v="95"/>
    <x v="95"/>
    <x v="0"/>
    <x v="0"/>
    <x v="0"/>
    <x v="9"/>
    <x v="217"/>
    <x v="25"/>
    <x v="65"/>
    <x v="65"/>
    <x v="123"/>
    <x v="214"/>
    <x v="0"/>
  </r>
  <r>
    <x v="0"/>
    <x v="95"/>
    <x v="95"/>
    <x v="125"/>
    <x v="125"/>
    <x v="125"/>
    <x v="9"/>
    <x v="217"/>
    <x v="25"/>
    <x v="65"/>
    <x v="65"/>
    <x v="123"/>
    <x v="214"/>
    <x v="0"/>
  </r>
  <r>
    <x v="0"/>
    <x v="95"/>
    <x v="95"/>
    <x v="23"/>
    <x v="23"/>
    <x v="23"/>
    <x v="9"/>
    <x v="217"/>
    <x v="25"/>
    <x v="50"/>
    <x v="543"/>
    <x v="127"/>
    <x v="151"/>
    <x v="0"/>
  </r>
  <r>
    <x v="0"/>
    <x v="95"/>
    <x v="95"/>
    <x v="43"/>
    <x v="43"/>
    <x v="43"/>
    <x v="9"/>
    <x v="217"/>
    <x v="25"/>
    <x v="65"/>
    <x v="65"/>
    <x v="127"/>
    <x v="151"/>
    <x v="0"/>
  </r>
  <r>
    <x v="0"/>
    <x v="95"/>
    <x v="95"/>
    <x v="57"/>
    <x v="57"/>
    <x v="57"/>
    <x v="9"/>
    <x v="217"/>
    <x v="25"/>
    <x v="65"/>
    <x v="65"/>
    <x v="127"/>
    <x v="151"/>
    <x v="0"/>
  </r>
  <r>
    <x v="0"/>
    <x v="96"/>
    <x v="96"/>
    <x v="1"/>
    <x v="1"/>
    <x v="1"/>
    <x v="0"/>
    <x v="196"/>
    <x v="437"/>
    <x v="95"/>
    <x v="586"/>
    <x v="127"/>
    <x v="151"/>
    <x v="0"/>
  </r>
  <r>
    <x v="0"/>
    <x v="96"/>
    <x v="96"/>
    <x v="2"/>
    <x v="2"/>
    <x v="2"/>
    <x v="1"/>
    <x v="197"/>
    <x v="184"/>
    <x v="39"/>
    <x v="491"/>
    <x v="127"/>
    <x v="151"/>
    <x v="0"/>
  </r>
  <r>
    <x v="0"/>
    <x v="96"/>
    <x v="96"/>
    <x v="44"/>
    <x v="44"/>
    <x v="44"/>
    <x v="2"/>
    <x v="199"/>
    <x v="100"/>
    <x v="70"/>
    <x v="587"/>
    <x v="123"/>
    <x v="279"/>
    <x v="0"/>
  </r>
  <r>
    <x v="0"/>
    <x v="96"/>
    <x v="96"/>
    <x v="5"/>
    <x v="5"/>
    <x v="5"/>
    <x v="2"/>
    <x v="199"/>
    <x v="100"/>
    <x v="62"/>
    <x v="84"/>
    <x v="127"/>
    <x v="151"/>
    <x v="0"/>
  </r>
  <r>
    <x v="0"/>
    <x v="96"/>
    <x v="96"/>
    <x v="52"/>
    <x v="52"/>
    <x v="52"/>
    <x v="2"/>
    <x v="199"/>
    <x v="100"/>
    <x v="65"/>
    <x v="65"/>
    <x v="127"/>
    <x v="151"/>
    <x v="0"/>
  </r>
  <r>
    <x v="0"/>
    <x v="96"/>
    <x v="96"/>
    <x v="17"/>
    <x v="17"/>
    <x v="17"/>
    <x v="5"/>
    <x v="200"/>
    <x v="306"/>
    <x v="65"/>
    <x v="65"/>
    <x v="108"/>
    <x v="315"/>
    <x v="0"/>
  </r>
  <r>
    <x v="0"/>
    <x v="96"/>
    <x v="96"/>
    <x v="7"/>
    <x v="7"/>
    <x v="7"/>
    <x v="5"/>
    <x v="200"/>
    <x v="306"/>
    <x v="56"/>
    <x v="487"/>
    <x v="123"/>
    <x v="279"/>
    <x v="0"/>
  </r>
  <r>
    <x v="0"/>
    <x v="96"/>
    <x v="96"/>
    <x v="45"/>
    <x v="45"/>
    <x v="45"/>
    <x v="5"/>
    <x v="200"/>
    <x v="306"/>
    <x v="70"/>
    <x v="587"/>
    <x v="127"/>
    <x v="151"/>
    <x v="0"/>
  </r>
  <r>
    <x v="0"/>
    <x v="96"/>
    <x v="96"/>
    <x v="60"/>
    <x v="60"/>
    <x v="60"/>
    <x v="5"/>
    <x v="200"/>
    <x v="306"/>
    <x v="65"/>
    <x v="65"/>
    <x v="108"/>
    <x v="315"/>
    <x v="0"/>
  </r>
  <r>
    <x v="0"/>
    <x v="96"/>
    <x v="96"/>
    <x v="87"/>
    <x v="87"/>
    <x v="87"/>
    <x v="9"/>
    <x v="216"/>
    <x v="309"/>
    <x v="50"/>
    <x v="194"/>
    <x v="123"/>
    <x v="279"/>
    <x v="0"/>
  </r>
  <r>
    <x v="0"/>
    <x v="96"/>
    <x v="96"/>
    <x v="46"/>
    <x v="46"/>
    <x v="46"/>
    <x v="9"/>
    <x v="216"/>
    <x v="309"/>
    <x v="50"/>
    <x v="194"/>
    <x v="123"/>
    <x v="279"/>
    <x v="0"/>
  </r>
  <r>
    <x v="0"/>
    <x v="96"/>
    <x v="96"/>
    <x v="22"/>
    <x v="22"/>
    <x v="22"/>
    <x v="9"/>
    <x v="216"/>
    <x v="309"/>
    <x v="50"/>
    <x v="194"/>
    <x v="123"/>
    <x v="279"/>
    <x v="0"/>
  </r>
  <r>
    <x v="0"/>
    <x v="96"/>
    <x v="96"/>
    <x v="13"/>
    <x v="13"/>
    <x v="13"/>
    <x v="9"/>
    <x v="216"/>
    <x v="309"/>
    <x v="65"/>
    <x v="65"/>
    <x v="93"/>
    <x v="394"/>
    <x v="0"/>
  </r>
  <r>
    <x v="0"/>
    <x v="96"/>
    <x v="96"/>
    <x v="93"/>
    <x v="93"/>
    <x v="93"/>
    <x v="9"/>
    <x v="216"/>
    <x v="309"/>
    <x v="56"/>
    <x v="487"/>
    <x v="127"/>
    <x v="151"/>
    <x v="0"/>
  </r>
  <r>
    <x v="0"/>
    <x v="96"/>
    <x v="96"/>
    <x v="77"/>
    <x v="77"/>
    <x v="77"/>
    <x v="9"/>
    <x v="216"/>
    <x v="309"/>
    <x v="65"/>
    <x v="65"/>
    <x v="93"/>
    <x v="394"/>
    <x v="0"/>
  </r>
  <r>
    <x v="0"/>
    <x v="96"/>
    <x v="96"/>
    <x v="18"/>
    <x v="18"/>
    <x v="18"/>
    <x v="9"/>
    <x v="216"/>
    <x v="309"/>
    <x v="50"/>
    <x v="194"/>
    <x v="123"/>
    <x v="279"/>
    <x v="0"/>
  </r>
  <r>
    <x v="0"/>
    <x v="96"/>
    <x v="96"/>
    <x v="42"/>
    <x v="42"/>
    <x v="42"/>
    <x v="9"/>
    <x v="216"/>
    <x v="309"/>
    <x v="50"/>
    <x v="194"/>
    <x v="123"/>
    <x v="279"/>
    <x v="0"/>
  </r>
  <r>
    <x v="0"/>
    <x v="96"/>
    <x v="96"/>
    <x v="4"/>
    <x v="4"/>
    <x v="4"/>
    <x v="9"/>
    <x v="216"/>
    <x v="309"/>
    <x v="56"/>
    <x v="487"/>
    <x v="127"/>
    <x v="151"/>
    <x v="0"/>
  </r>
  <r>
    <x v="0"/>
    <x v="96"/>
    <x v="96"/>
    <x v="131"/>
    <x v="131"/>
    <x v="131"/>
    <x v="9"/>
    <x v="216"/>
    <x v="309"/>
    <x v="56"/>
    <x v="487"/>
    <x v="127"/>
    <x v="151"/>
    <x v="0"/>
  </r>
  <r>
    <x v="0"/>
    <x v="96"/>
    <x v="96"/>
    <x v="3"/>
    <x v="3"/>
    <x v="3"/>
    <x v="9"/>
    <x v="216"/>
    <x v="309"/>
    <x v="56"/>
    <x v="487"/>
    <x v="127"/>
    <x v="151"/>
    <x v="0"/>
  </r>
  <r>
    <x v="0"/>
    <x v="96"/>
    <x v="96"/>
    <x v="82"/>
    <x v="82"/>
    <x v="82"/>
    <x v="9"/>
    <x v="216"/>
    <x v="309"/>
    <x v="65"/>
    <x v="65"/>
    <x v="127"/>
    <x v="151"/>
    <x v="0"/>
  </r>
  <r>
    <x v="0"/>
    <x v="96"/>
    <x v="96"/>
    <x v="8"/>
    <x v="8"/>
    <x v="8"/>
    <x v="9"/>
    <x v="216"/>
    <x v="309"/>
    <x v="56"/>
    <x v="487"/>
    <x v="127"/>
    <x v="151"/>
    <x v="0"/>
  </r>
  <r>
    <x v="0"/>
    <x v="97"/>
    <x v="97"/>
    <x v="31"/>
    <x v="31"/>
    <x v="31"/>
    <x v="0"/>
    <x v="198"/>
    <x v="168"/>
    <x v="62"/>
    <x v="606"/>
    <x v="123"/>
    <x v="231"/>
    <x v="0"/>
  </r>
  <r>
    <x v="0"/>
    <x v="97"/>
    <x v="97"/>
    <x v="55"/>
    <x v="55"/>
    <x v="55"/>
    <x v="0"/>
    <x v="198"/>
    <x v="168"/>
    <x v="70"/>
    <x v="572"/>
    <x v="93"/>
    <x v="320"/>
    <x v="0"/>
  </r>
  <r>
    <x v="0"/>
    <x v="97"/>
    <x v="97"/>
    <x v="1"/>
    <x v="1"/>
    <x v="1"/>
    <x v="0"/>
    <x v="198"/>
    <x v="168"/>
    <x v="51"/>
    <x v="607"/>
    <x v="127"/>
    <x v="151"/>
    <x v="0"/>
  </r>
  <r>
    <x v="0"/>
    <x v="97"/>
    <x v="97"/>
    <x v="10"/>
    <x v="10"/>
    <x v="10"/>
    <x v="3"/>
    <x v="199"/>
    <x v="22"/>
    <x v="65"/>
    <x v="65"/>
    <x v="110"/>
    <x v="319"/>
    <x v="0"/>
  </r>
  <r>
    <x v="0"/>
    <x v="97"/>
    <x v="97"/>
    <x v="17"/>
    <x v="17"/>
    <x v="17"/>
    <x v="3"/>
    <x v="199"/>
    <x v="22"/>
    <x v="50"/>
    <x v="182"/>
    <x v="108"/>
    <x v="379"/>
    <x v="0"/>
  </r>
  <r>
    <x v="0"/>
    <x v="97"/>
    <x v="97"/>
    <x v="13"/>
    <x v="13"/>
    <x v="13"/>
    <x v="3"/>
    <x v="199"/>
    <x v="22"/>
    <x v="62"/>
    <x v="606"/>
    <x v="127"/>
    <x v="151"/>
    <x v="0"/>
  </r>
  <r>
    <x v="0"/>
    <x v="97"/>
    <x v="97"/>
    <x v="64"/>
    <x v="64"/>
    <x v="64"/>
    <x v="3"/>
    <x v="199"/>
    <x v="22"/>
    <x v="50"/>
    <x v="182"/>
    <x v="93"/>
    <x v="320"/>
    <x v="0"/>
  </r>
  <r>
    <x v="0"/>
    <x v="97"/>
    <x v="97"/>
    <x v="6"/>
    <x v="6"/>
    <x v="6"/>
    <x v="3"/>
    <x v="199"/>
    <x v="22"/>
    <x v="70"/>
    <x v="572"/>
    <x v="123"/>
    <x v="231"/>
    <x v="0"/>
  </r>
  <r>
    <x v="0"/>
    <x v="97"/>
    <x v="97"/>
    <x v="53"/>
    <x v="53"/>
    <x v="53"/>
    <x v="3"/>
    <x v="199"/>
    <x v="22"/>
    <x v="65"/>
    <x v="65"/>
    <x v="110"/>
    <x v="319"/>
    <x v="0"/>
  </r>
  <r>
    <x v="0"/>
    <x v="97"/>
    <x v="97"/>
    <x v="14"/>
    <x v="14"/>
    <x v="14"/>
    <x v="9"/>
    <x v="200"/>
    <x v="94"/>
    <x v="65"/>
    <x v="65"/>
    <x v="108"/>
    <x v="379"/>
    <x v="0"/>
  </r>
  <r>
    <x v="0"/>
    <x v="97"/>
    <x v="97"/>
    <x v="12"/>
    <x v="12"/>
    <x v="12"/>
    <x v="9"/>
    <x v="200"/>
    <x v="94"/>
    <x v="70"/>
    <x v="572"/>
    <x v="127"/>
    <x v="151"/>
    <x v="0"/>
  </r>
  <r>
    <x v="0"/>
    <x v="97"/>
    <x v="97"/>
    <x v="42"/>
    <x v="42"/>
    <x v="42"/>
    <x v="9"/>
    <x v="200"/>
    <x v="94"/>
    <x v="50"/>
    <x v="182"/>
    <x v="93"/>
    <x v="320"/>
    <x v="0"/>
  </r>
  <r>
    <x v="0"/>
    <x v="97"/>
    <x v="97"/>
    <x v="7"/>
    <x v="7"/>
    <x v="7"/>
    <x v="9"/>
    <x v="200"/>
    <x v="94"/>
    <x v="56"/>
    <x v="316"/>
    <x v="123"/>
    <x v="231"/>
    <x v="0"/>
  </r>
  <r>
    <x v="0"/>
    <x v="97"/>
    <x v="97"/>
    <x v="4"/>
    <x v="4"/>
    <x v="4"/>
    <x v="9"/>
    <x v="200"/>
    <x v="94"/>
    <x v="50"/>
    <x v="182"/>
    <x v="93"/>
    <x v="320"/>
    <x v="0"/>
  </r>
  <r>
    <x v="0"/>
    <x v="97"/>
    <x v="97"/>
    <x v="2"/>
    <x v="2"/>
    <x v="2"/>
    <x v="9"/>
    <x v="200"/>
    <x v="94"/>
    <x v="70"/>
    <x v="572"/>
    <x v="127"/>
    <x v="151"/>
    <x v="0"/>
  </r>
  <r>
    <x v="0"/>
    <x v="97"/>
    <x v="97"/>
    <x v="3"/>
    <x v="3"/>
    <x v="3"/>
    <x v="9"/>
    <x v="200"/>
    <x v="94"/>
    <x v="70"/>
    <x v="572"/>
    <x v="127"/>
    <x v="151"/>
    <x v="0"/>
  </r>
  <r>
    <x v="0"/>
    <x v="97"/>
    <x v="97"/>
    <x v="40"/>
    <x v="40"/>
    <x v="40"/>
    <x v="15"/>
    <x v="216"/>
    <x v="171"/>
    <x v="50"/>
    <x v="182"/>
    <x v="123"/>
    <x v="231"/>
    <x v="0"/>
  </r>
  <r>
    <x v="0"/>
    <x v="97"/>
    <x v="97"/>
    <x v="32"/>
    <x v="32"/>
    <x v="32"/>
    <x v="15"/>
    <x v="216"/>
    <x v="171"/>
    <x v="65"/>
    <x v="65"/>
    <x v="93"/>
    <x v="320"/>
    <x v="0"/>
  </r>
  <r>
    <x v="0"/>
    <x v="97"/>
    <x v="97"/>
    <x v="67"/>
    <x v="67"/>
    <x v="67"/>
    <x v="15"/>
    <x v="216"/>
    <x v="171"/>
    <x v="56"/>
    <x v="316"/>
    <x v="127"/>
    <x v="151"/>
    <x v="0"/>
  </r>
  <r>
    <x v="0"/>
    <x v="97"/>
    <x v="97"/>
    <x v="56"/>
    <x v="56"/>
    <x v="56"/>
    <x v="15"/>
    <x v="216"/>
    <x v="171"/>
    <x v="50"/>
    <x v="182"/>
    <x v="123"/>
    <x v="231"/>
    <x v="0"/>
  </r>
  <r>
    <x v="0"/>
    <x v="97"/>
    <x v="97"/>
    <x v="46"/>
    <x v="46"/>
    <x v="46"/>
    <x v="15"/>
    <x v="216"/>
    <x v="171"/>
    <x v="65"/>
    <x v="65"/>
    <x v="93"/>
    <x v="320"/>
    <x v="0"/>
  </r>
  <r>
    <x v="0"/>
    <x v="97"/>
    <x v="97"/>
    <x v="127"/>
    <x v="127"/>
    <x v="127"/>
    <x v="15"/>
    <x v="216"/>
    <x v="171"/>
    <x v="65"/>
    <x v="65"/>
    <x v="93"/>
    <x v="320"/>
    <x v="0"/>
  </r>
  <r>
    <x v="0"/>
    <x v="97"/>
    <x v="97"/>
    <x v="144"/>
    <x v="144"/>
    <x v="144"/>
    <x v="15"/>
    <x v="216"/>
    <x v="171"/>
    <x v="65"/>
    <x v="65"/>
    <x v="93"/>
    <x v="320"/>
    <x v="0"/>
  </r>
  <r>
    <x v="0"/>
    <x v="97"/>
    <x v="97"/>
    <x v="186"/>
    <x v="183"/>
    <x v="186"/>
    <x v="15"/>
    <x v="216"/>
    <x v="171"/>
    <x v="50"/>
    <x v="182"/>
    <x v="123"/>
    <x v="231"/>
    <x v="0"/>
  </r>
  <r>
    <x v="0"/>
    <x v="97"/>
    <x v="97"/>
    <x v="58"/>
    <x v="58"/>
    <x v="58"/>
    <x v="15"/>
    <x v="216"/>
    <x v="171"/>
    <x v="56"/>
    <x v="316"/>
    <x v="127"/>
    <x v="151"/>
    <x v="0"/>
  </r>
  <r>
    <x v="0"/>
    <x v="97"/>
    <x v="97"/>
    <x v="33"/>
    <x v="33"/>
    <x v="33"/>
    <x v="15"/>
    <x v="216"/>
    <x v="171"/>
    <x v="65"/>
    <x v="65"/>
    <x v="93"/>
    <x v="320"/>
    <x v="0"/>
  </r>
  <r>
    <x v="0"/>
    <x v="97"/>
    <x v="97"/>
    <x v="21"/>
    <x v="21"/>
    <x v="21"/>
    <x v="15"/>
    <x v="216"/>
    <x v="171"/>
    <x v="50"/>
    <x v="182"/>
    <x v="123"/>
    <x v="231"/>
    <x v="0"/>
  </r>
  <r>
    <x v="0"/>
    <x v="97"/>
    <x v="97"/>
    <x v="11"/>
    <x v="11"/>
    <x v="11"/>
    <x v="15"/>
    <x v="216"/>
    <x v="171"/>
    <x v="50"/>
    <x v="182"/>
    <x v="123"/>
    <x v="231"/>
    <x v="0"/>
  </r>
  <r>
    <x v="0"/>
    <x v="97"/>
    <x v="97"/>
    <x v="84"/>
    <x v="84"/>
    <x v="84"/>
    <x v="15"/>
    <x v="216"/>
    <x v="171"/>
    <x v="65"/>
    <x v="65"/>
    <x v="93"/>
    <x v="320"/>
    <x v="0"/>
  </r>
  <r>
    <x v="0"/>
    <x v="97"/>
    <x v="97"/>
    <x v="49"/>
    <x v="49"/>
    <x v="49"/>
    <x v="15"/>
    <x v="216"/>
    <x v="171"/>
    <x v="56"/>
    <x v="316"/>
    <x v="127"/>
    <x v="151"/>
    <x v="0"/>
  </r>
  <r>
    <x v="0"/>
    <x v="97"/>
    <x v="97"/>
    <x v="24"/>
    <x v="24"/>
    <x v="24"/>
    <x v="15"/>
    <x v="216"/>
    <x v="171"/>
    <x v="50"/>
    <x v="182"/>
    <x v="123"/>
    <x v="231"/>
    <x v="0"/>
  </r>
  <r>
    <x v="0"/>
    <x v="97"/>
    <x v="97"/>
    <x v="16"/>
    <x v="16"/>
    <x v="16"/>
    <x v="15"/>
    <x v="216"/>
    <x v="171"/>
    <x v="56"/>
    <x v="316"/>
    <x v="127"/>
    <x v="151"/>
    <x v="0"/>
  </r>
  <r>
    <x v="0"/>
    <x v="97"/>
    <x v="97"/>
    <x v="45"/>
    <x v="45"/>
    <x v="45"/>
    <x v="15"/>
    <x v="216"/>
    <x v="171"/>
    <x v="56"/>
    <x v="316"/>
    <x v="127"/>
    <x v="151"/>
    <x v="0"/>
  </r>
  <r>
    <x v="0"/>
    <x v="97"/>
    <x v="97"/>
    <x v="19"/>
    <x v="19"/>
    <x v="19"/>
    <x v="15"/>
    <x v="216"/>
    <x v="171"/>
    <x v="65"/>
    <x v="65"/>
    <x v="93"/>
    <x v="320"/>
    <x v="0"/>
  </r>
  <r>
    <x v="0"/>
    <x v="97"/>
    <x v="97"/>
    <x v="83"/>
    <x v="83"/>
    <x v="83"/>
    <x v="15"/>
    <x v="216"/>
    <x v="171"/>
    <x v="50"/>
    <x v="182"/>
    <x v="123"/>
    <x v="231"/>
    <x v="0"/>
  </r>
  <r>
    <x v="0"/>
    <x v="97"/>
    <x v="97"/>
    <x v="187"/>
    <x v="184"/>
    <x v="187"/>
    <x v="15"/>
    <x v="216"/>
    <x v="171"/>
    <x v="50"/>
    <x v="182"/>
    <x v="123"/>
    <x v="231"/>
    <x v="0"/>
  </r>
  <r>
    <x v="0"/>
    <x v="98"/>
    <x v="98"/>
    <x v="1"/>
    <x v="1"/>
    <x v="1"/>
    <x v="0"/>
    <x v="195"/>
    <x v="438"/>
    <x v="100"/>
    <x v="516"/>
    <x v="123"/>
    <x v="125"/>
    <x v="0"/>
  </r>
  <r>
    <x v="0"/>
    <x v="98"/>
    <x v="98"/>
    <x v="73"/>
    <x v="73"/>
    <x v="73"/>
    <x v="1"/>
    <x v="197"/>
    <x v="439"/>
    <x v="50"/>
    <x v="518"/>
    <x v="119"/>
    <x v="395"/>
    <x v="0"/>
  </r>
  <r>
    <x v="0"/>
    <x v="98"/>
    <x v="98"/>
    <x v="3"/>
    <x v="3"/>
    <x v="3"/>
    <x v="1"/>
    <x v="197"/>
    <x v="439"/>
    <x v="39"/>
    <x v="608"/>
    <x v="127"/>
    <x v="151"/>
    <x v="0"/>
  </r>
  <r>
    <x v="0"/>
    <x v="98"/>
    <x v="98"/>
    <x v="39"/>
    <x v="39"/>
    <x v="39"/>
    <x v="1"/>
    <x v="197"/>
    <x v="439"/>
    <x v="62"/>
    <x v="517"/>
    <x v="93"/>
    <x v="36"/>
    <x v="0"/>
  </r>
  <r>
    <x v="0"/>
    <x v="98"/>
    <x v="98"/>
    <x v="40"/>
    <x v="40"/>
    <x v="40"/>
    <x v="4"/>
    <x v="198"/>
    <x v="112"/>
    <x v="65"/>
    <x v="65"/>
    <x v="119"/>
    <x v="395"/>
    <x v="0"/>
  </r>
  <r>
    <x v="0"/>
    <x v="98"/>
    <x v="98"/>
    <x v="41"/>
    <x v="41"/>
    <x v="41"/>
    <x v="4"/>
    <x v="198"/>
    <x v="112"/>
    <x v="50"/>
    <x v="518"/>
    <x v="110"/>
    <x v="396"/>
    <x v="0"/>
  </r>
  <r>
    <x v="0"/>
    <x v="98"/>
    <x v="98"/>
    <x v="7"/>
    <x v="7"/>
    <x v="7"/>
    <x v="4"/>
    <x v="198"/>
    <x v="112"/>
    <x v="56"/>
    <x v="36"/>
    <x v="108"/>
    <x v="233"/>
    <x v="0"/>
  </r>
  <r>
    <x v="0"/>
    <x v="98"/>
    <x v="98"/>
    <x v="4"/>
    <x v="4"/>
    <x v="4"/>
    <x v="4"/>
    <x v="198"/>
    <x v="112"/>
    <x v="56"/>
    <x v="36"/>
    <x v="108"/>
    <x v="233"/>
    <x v="0"/>
  </r>
  <r>
    <x v="0"/>
    <x v="98"/>
    <x v="98"/>
    <x v="6"/>
    <x v="6"/>
    <x v="6"/>
    <x v="4"/>
    <x v="198"/>
    <x v="112"/>
    <x v="62"/>
    <x v="517"/>
    <x v="123"/>
    <x v="125"/>
    <x v="0"/>
  </r>
  <r>
    <x v="0"/>
    <x v="98"/>
    <x v="98"/>
    <x v="67"/>
    <x v="67"/>
    <x v="67"/>
    <x v="9"/>
    <x v="199"/>
    <x v="213"/>
    <x v="50"/>
    <x v="518"/>
    <x v="108"/>
    <x v="233"/>
    <x v="0"/>
  </r>
  <r>
    <x v="0"/>
    <x v="98"/>
    <x v="98"/>
    <x v="46"/>
    <x v="46"/>
    <x v="46"/>
    <x v="9"/>
    <x v="199"/>
    <x v="213"/>
    <x v="50"/>
    <x v="518"/>
    <x v="108"/>
    <x v="233"/>
    <x v="0"/>
  </r>
  <r>
    <x v="0"/>
    <x v="98"/>
    <x v="98"/>
    <x v="0"/>
    <x v="0"/>
    <x v="0"/>
    <x v="9"/>
    <x v="199"/>
    <x v="213"/>
    <x v="56"/>
    <x v="36"/>
    <x v="93"/>
    <x v="36"/>
    <x v="0"/>
  </r>
  <r>
    <x v="0"/>
    <x v="98"/>
    <x v="98"/>
    <x v="131"/>
    <x v="131"/>
    <x v="131"/>
    <x v="9"/>
    <x v="199"/>
    <x v="213"/>
    <x v="62"/>
    <x v="517"/>
    <x v="127"/>
    <x v="151"/>
    <x v="0"/>
  </r>
  <r>
    <x v="0"/>
    <x v="98"/>
    <x v="98"/>
    <x v="5"/>
    <x v="5"/>
    <x v="5"/>
    <x v="9"/>
    <x v="199"/>
    <x v="213"/>
    <x v="62"/>
    <x v="517"/>
    <x v="127"/>
    <x v="151"/>
    <x v="0"/>
  </r>
  <r>
    <x v="0"/>
    <x v="98"/>
    <x v="98"/>
    <x v="34"/>
    <x v="34"/>
    <x v="34"/>
    <x v="9"/>
    <x v="199"/>
    <x v="213"/>
    <x v="65"/>
    <x v="65"/>
    <x v="110"/>
    <x v="396"/>
    <x v="0"/>
  </r>
  <r>
    <x v="0"/>
    <x v="98"/>
    <x v="98"/>
    <x v="32"/>
    <x v="32"/>
    <x v="32"/>
    <x v="14"/>
    <x v="200"/>
    <x v="74"/>
    <x v="50"/>
    <x v="518"/>
    <x v="93"/>
    <x v="36"/>
    <x v="0"/>
  </r>
  <r>
    <x v="0"/>
    <x v="98"/>
    <x v="98"/>
    <x v="22"/>
    <x v="22"/>
    <x v="22"/>
    <x v="14"/>
    <x v="200"/>
    <x v="74"/>
    <x v="50"/>
    <x v="518"/>
    <x v="93"/>
    <x v="36"/>
    <x v="0"/>
  </r>
  <r>
    <x v="0"/>
    <x v="98"/>
    <x v="98"/>
    <x v="13"/>
    <x v="13"/>
    <x v="13"/>
    <x v="14"/>
    <x v="200"/>
    <x v="74"/>
    <x v="50"/>
    <x v="518"/>
    <x v="93"/>
    <x v="36"/>
    <x v="0"/>
  </r>
  <r>
    <x v="0"/>
    <x v="98"/>
    <x v="98"/>
    <x v="14"/>
    <x v="14"/>
    <x v="14"/>
    <x v="14"/>
    <x v="200"/>
    <x v="74"/>
    <x v="50"/>
    <x v="518"/>
    <x v="93"/>
    <x v="36"/>
    <x v="0"/>
  </r>
  <r>
    <x v="0"/>
    <x v="98"/>
    <x v="98"/>
    <x v="18"/>
    <x v="18"/>
    <x v="18"/>
    <x v="14"/>
    <x v="200"/>
    <x v="74"/>
    <x v="50"/>
    <x v="518"/>
    <x v="93"/>
    <x v="36"/>
    <x v="0"/>
  </r>
  <r>
    <x v="0"/>
    <x v="98"/>
    <x v="98"/>
    <x v="108"/>
    <x v="108"/>
    <x v="108"/>
    <x v="14"/>
    <x v="200"/>
    <x v="74"/>
    <x v="65"/>
    <x v="65"/>
    <x v="108"/>
    <x v="233"/>
    <x v="0"/>
  </r>
  <r>
    <x v="0"/>
    <x v="98"/>
    <x v="98"/>
    <x v="9"/>
    <x v="9"/>
    <x v="9"/>
    <x v="14"/>
    <x v="200"/>
    <x v="74"/>
    <x v="50"/>
    <x v="518"/>
    <x v="93"/>
    <x v="36"/>
    <x v="0"/>
  </r>
  <r>
    <x v="0"/>
    <x v="98"/>
    <x v="98"/>
    <x v="64"/>
    <x v="64"/>
    <x v="64"/>
    <x v="14"/>
    <x v="200"/>
    <x v="74"/>
    <x v="56"/>
    <x v="36"/>
    <x v="123"/>
    <x v="125"/>
    <x v="0"/>
  </r>
  <r>
    <x v="0"/>
    <x v="98"/>
    <x v="98"/>
    <x v="53"/>
    <x v="53"/>
    <x v="53"/>
    <x v="14"/>
    <x v="200"/>
    <x v="74"/>
    <x v="50"/>
    <x v="518"/>
    <x v="123"/>
    <x v="125"/>
    <x v="0"/>
  </r>
  <r>
    <x v="0"/>
    <x v="98"/>
    <x v="98"/>
    <x v="43"/>
    <x v="43"/>
    <x v="43"/>
    <x v="14"/>
    <x v="200"/>
    <x v="74"/>
    <x v="65"/>
    <x v="65"/>
    <x v="93"/>
    <x v="36"/>
    <x v="0"/>
  </r>
  <r>
    <x v="0"/>
    <x v="98"/>
    <x v="98"/>
    <x v="19"/>
    <x v="19"/>
    <x v="19"/>
    <x v="14"/>
    <x v="200"/>
    <x v="74"/>
    <x v="50"/>
    <x v="518"/>
    <x v="93"/>
    <x v="36"/>
    <x v="0"/>
  </r>
  <r>
    <x v="0"/>
    <x v="99"/>
    <x v="99"/>
    <x v="0"/>
    <x v="0"/>
    <x v="0"/>
    <x v="0"/>
    <x v="195"/>
    <x v="303"/>
    <x v="68"/>
    <x v="609"/>
    <x v="127"/>
    <x v="151"/>
    <x v="0"/>
  </r>
  <r>
    <x v="0"/>
    <x v="99"/>
    <x v="99"/>
    <x v="41"/>
    <x v="41"/>
    <x v="41"/>
    <x v="1"/>
    <x v="198"/>
    <x v="440"/>
    <x v="70"/>
    <x v="610"/>
    <x v="93"/>
    <x v="320"/>
    <x v="0"/>
  </r>
  <r>
    <x v="0"/>
    <x v="99"/>
    <x v="99"/>
    <x v="12"/>
    <x v="12"/>
    <x v="12"/>
    <x v="1"/>
    <x v="198"/>
    <x v="440"/>
    <x v="70"/>
    <x v="610"/>
    <x v="93"/>
    <x v="320"/>
    <x v="0"/>
  </r>
  <r>
    <x v="0"/>
    <x v="99"/>
    <x v="99"/>
    <x v="55"/>
    <x v="55"/>
    <x v="55"/>
    <x v="1"/>
    <x v="198"/>
    <x v="440"/>
    <x v="70"/>
    <x v="610"/>
    <x v="93"/>
    <x v="320"/>
    <x v="0"/>
  </r>
  <r>
    <x v="0"/>
    <x v="99"/>
    <x v="99"/>
    <x v="1"/>
    <x v="1"/>
    <x v="1"/>
    <x v="1"/>
    <x v="198"/>
    <x v="440"/>
    <x v="51"/>
    <x v="444"/>
    <x v="127"/>
    <x v="151"/>
    <x v="0"/>
  </r>
  <r>
    <x v="0"/>
    <x v="99"/>
    <x v="99"/>
    <x v="10"/>
    <x v="10"/>
    <x v="10"/>
    <x v="5"/>
    <x v="199"/>
    <x v="359"/>
    <x v="65"/>
    <x v="65"/>
    <x v="110"/>
    <x v="319"/>
    <x v="0"/>
  </r>
  <r>
    <x v="0"/>
    <x v="99"/>
    <x v="99"/>
    <x v="146"/>
    <x v="146"/>
    <x v="146"/>
    <x v="5"/>
    <x v="199"/>
    <x v="359"/>
    <x v="65"/>
    <x v="65"/>
    <x v="110"/>
    <x v="319"/>
    <x v="0"/>
  </r>
  <r>
    <x v="0"/>
    <x v="99"/>
    <x v="99"/>
    <x v="51"/>
    <x v="51"/>
    <x v="51"/>
    <x v="5"/>
    <x v="199"/>
    <x v="359"/>
    <x v="70"/>
    <x v="610"/>
    <x v="123"/>
    <x v="231"/>
    <x v="0"/>
  </r>
  <r>
    <x v="0"/>
    <x v="99"/>
    <x v="99"/>
    <x v="2"/>
    <x v="2"/>
    <x v="2"/>
    <x v="5"/>
    <x v="199"/>
    <x v="359"/>
    <x v="62"/>
    <x v="611"/>
    <x v="127"/>
    <x v="151"/>
    <x v="0"/>
  </r>
  <r>
    <x v="0"/>
    <x v="99"/>
    <x v="99"/>
    <x v="3"/>
    <x v="3"/>
    <x v="3"/>
    <x v="5"/>
    <x v="199"/>
    <x v="359"/>
    <x v="62"/>
    <x v="611"/>
    <x v="127"/>
    <x v="151"/>
    <x v="0"/>
  </r>
  <r>
    <x v="0"/>
    <x v="99"/>
    <x v="99"/>
    <x v="158"/>
    <x v="157"/>
    <x v="158"/>
    <x v="10"/>
    <x v="200"/>
    <x v="151"/>
    <x v="50"/>
    <x v="436"/>
    <x v="93"/>
    <x v="320"/>
    <x v="0"/>
  </r>
  <r>
    <x v="0"/>
    <x v="99"/>
    <x v="99"/>
    <x v="113"/>
    <x v="113"/>
    <x v="113"/>
    <x v="10"/>
    <x v="200"/>
    <x v="151"/>
    <x v="56"/>
    <x v="362"/>
    <x v="123"/>
    <x v="231"/>
    <x v="0"/>
  </r>
  <r>
    <x v="0"/>
    <x v="99"/>
    <x v="99"/>
    <x v="5"/>
    <x v="5"/>
    <x v="5"/>
    <x v="10"/>
    <x v="200"/>
    <x v="151"/>
    <x v="70"/>
    <x v="610"/>
    <x v="127"/>
    <x v="151"/>
    <x v="0"/>
  </r>
  <r>
    <x v="0"/>
    <x v="99"/>
    <x v="99"/>
    <x v="52"/>
    <x v="52"/>
    <x v="52"/>
    <x v="10"/>
    <x v="200"/>
    <x v="151"/>
    <x v="65"/>
    <x v="65"/>
    <x v="93"/>
    <x v="320"/>
    <x v="0"/>
  </r>
  <r>
    <x v="0"/>
    <x v="99"/>
    <x v="99"/>
    <x v="43"/>
    <x v="43"/>
    <x v="43"/>
    <x v="10"/>
    <x v="200"/>
    <x v="151"/>
    <x v="65"/>
    <x v="65"/>
    <x v="93"/>
    <x v="320"/>
    <x v="0"/>
  </r>
  <r>
    <x v="0"/>
    <x v="99"/>
    <x v="99"/>
    <x v="17"/>
    <x v="17"/>
    <x v="17"/>
    <x v="14"/>
    <x v="216"/>
    <x v="87"/>
    <x v="50"/>
    <x v="436"/>
    <x v="123"/>
    <x v="231"/>
    <x v="0"/>
  </r>
  <r>
    <x v="0"/>
    <x v="99"/>
    <x v="99"/>
    <x v="56"/>
    <x v="56"/>
    <x v="56"/>
    <x v="14"/>
    <x v="216"/>
    <x v="87"/>
    <x v="65"/>
    <x v="65"/>
    <x v="93"/>
    <x v="320"/>
    <x v="0"/>
  </r>
  <r>
    <x v="0"/>
    <x v="99"/>
    <x v="99"/>
    <x v="31"/>
    <x v="31"/>
    <x v="31"/>
    <x v="14"/>
    <x v="216"/>
    <x v="87"/>
    <x v="50"/>
    <x v="436"/>
    <x v="123"/>
    <x v="231"/>
    <x v="0"/>
  </r>
  <r>
    <x v="0"/>
    <x v="99"/>
    <x v="99"/>
    <x v="13"/>
    <x v="13"/>
    <x v="13"/>
    <x v="14"/>
    <x v="216"/>
    <x v="87"/>
    <x v="65"/>
    <x v="65"/>
    <x v="93"/>
    <x v="320"/>
    <x v="0"/>
  </r>
  <r>
    <x v="0"/>
    <x v="99"/>
    <x v="99"/>
    <x v="73"/>
    <x v="73"/>
    <x v="73"/>
    <x v="14"/>
    <x v="216"/>
    <x v="87"/>
    <x v="50"/>
    <x v="436"/>
    <x v="123"/>
    <x v="231"/>
    <x v="0"/>
  </r>
  <r>
    <x v="0"/>
    <x v="99"/>
    <x v="99"/>
    <x v="97"/>
    <x v="97"/>
    <x v="97"/>
    <x v="14"/>
    <x v="216"/>
    <x v="87"/>
    <x v="65"/>
    <x v="65"/>
    <x v="93"/>
    <x v="320"/>
    <x v="0"/>
  </r>
  <r>
    <x v="0"/>
    <x v="99"/>
    <x v="99"/>
    <x v="144"/>
    <x v="144"/>
    <x v="144"/>
    <x v="14"/>
    <x v="216"/>
    <x v="87"/>
    <x v="65"/>
    <x v="65"/>
    <x v="93"/>
    <x v="320"/>
    <x v="0"/>
  </r>
  <r>
    <x v="0"/>
    <x v="99"/>
    <x v="99"/>
    <x v="36"/>
    <x v="36"/>
    <x v="36"/>
    <x v="14"/>
    <x v="216"/>
    <x v="87"/>
    <x v="65"/>
    <x v="65"/>
    <x v="93"/>
    <x v="320"/>
    <x v="0"/>
  </r>
  <r>
    <x v="0"/>
    <x v="99"/>
    <x v="99"/>
    <x v="58"/>
    <x v="58"/>
    <x v="58"/>
    <x v="14"/>
    <x v="216"/>
    <x v="87"/>
    <x v="50"/>
    <x v="436"/>
    <x v="123"/>
    <x v="231"/>
    <x v="0"/>
  </r>
  <r>
    <x v="0"/>
    <x v="99"/>
    <x v="99"/>
    <x v="11"/>
    <x v="11"/>
    <x v="11"/>
    <x v="14"/>
    <x v="216"/>
    <x v="87"/>
    <x v="56"/>
    <x v="362"/>
    <x v="127"/>
    <x v="151"/>
    <x v="0"/>
  </r>
  <r>
    <x v="0"/>
    <x v="99"/>
    <x v="99"/>
    <x v="47"/>
    <x v="47"/>
    <x v="47"/>
    <x v="14"/>
    <x v="216"/>
    <x v="87"/>
    <x v="50"/>
    <x v="436"/>
    <x v="123"/>
    <x v="231"/>
    <x v="0"/>
  </r>
  <r>
    <x v="0"/>
    <x v="99"/>
    <x v="99"/>
    <x v="18"/>
    <x v="18"/>
    <x v="18"/>
    <x v="14"/>
    <x v="216"/>
    <x v="87"/>
    <x v="50"/>
    <x v="436"/>
    <x v="123"/>
    <x v="231"/>
    <x v="0"/>
  </r>
  <r>
    <x v="0"/>
    <x v="99"/>
    <x v="99"/>
    <x v="49"/>
    <x v="49"/>
    <x v="49"/>
    <x v="14"/>
    <x v="216"/>
    <x v="87"/>
    <x v="50"/>
    <x v="436"/>
    <x v="123"/>
    <x v="231"/>
    <x v="0"/>
  </r>
  <r>
    <x v="0"/>
    <x v="99"/>
    <x v="99"/>
    <x v="85"/>
    <x v="85"/>
    <x v="85"/>
    <x v="14"/>
    <x v="216"/>
    <x v="87"/>
    <x v="56"/>
    <x v="362"/>
    <x v="127"/>
    <x v="151"/>
    <x v="0"/>
  </r>
  <r>
    <x v="0"/>
    <x v="99"/>
    <x v="99"/>
    <x v="50"/>
    <x v="50"/>
    <x v="50"/>
    <x v="14"/>
    <x v="216"/>
    <x v="87"/>
    <x v="56"/>
    <x v="362"/>
    <x v="127"/>
    <x v="151"/>
    <x v="0"/>
  </r>
  <r>
    <x v="0"/>
    <x v="99"/>
    <x v="99"/>
    <x v="24"/>
    <x v="24"/>
    <x v="24"/>
    <x v="14"/>
    <x v="216"/>
    <x v="87"/>
    <x v="50"/>
    <x v="436"/>
    <x v="123"/>
    <x v="231"/>
    <x v="0"/>
  </r>
  <r>
    <x v="0"/>
    <x v="99"/>
    <x v="99"/>
    <x v="188"/>
    <x v="185"/>
    <x v="188"/>
    <x v="14"/>
    <x v="216"/>
    <x v="87"/>
    <x v="65"/>
    <x v="65"/>
    <x v="93"/>
    <x v="320"/>
    <x v="0"/>
  </r>
  <r>
    <x v="0"/>
    <x v="99"/>
    <x v="99"/>
    <x v="125"/>
    <x v="125"/>
    <x v="125"/>
    <x v="14"/>
    <x v="216"/>
    <x v="87"/>
    <x v="65"/>
    <x v="65"/>
    <x v="93"/>
    <x v="320"/>
    <x v="0"/>
  </r>
  <r>
    <x v="0"/>
    <x v="99"/>
    <x v="99"/>
    <x v="16"/>
    <x v="16"/>
    <x v="16"/>
    <x v="14"/>
    <x v="216"/>
    <x v="87"/>
    <x v="56"/>
    <x v="362"/>
    <x v="127"/>
    <x v="151"/>
    <x v="0"/>
  </r>
  <r>
    <x v="0"/>
    <x v="99"/>
    <x v="99"/>
    <x v="82"/>
    <x v="82"/>
    <x v="82"/>
    <x v="14"/>
    <x v="216"/>
    <x v="87"/>
    <x v="65"/>
    <x v="65"/>
    <x v="123"/>
    <x v="231"/>
    <x v="0"/>
  </r>
  <r>
    <x v="0"/>
    <x v="99"/>
    <x v="99"/>
    <x v="8"/>
    <x v="8"/>
    <x v="8"/>
    <x v="14"/>
    <x v="216"/>
    <x v="87"/>
    <x v="56"/>
    <x v="362"/>
    <x v="127"/>
    <x v="151"/>
    <x v="0"/>
  </r>
  <r>
    <x v="0"/>
    <x v="99"/>
    <x v="99"/>
    <x v="6"/>
    <x v="6"/>
    <x v="6"/>
    <x v="14"/>
    <x v="216"/>
    <x v="87"/>
    <x v="56"/>
    <x v="362"/>
    <x v="127"/>
    <x v="151"/>
    <x v="0"/>
  </r>
  <r>
    <x v="0"/>
    <x v="100"/>
    <x v="100"/>
    <x v="10"/>
    <x v="10"/>
    <x v="10"/>
    <x v="0"/>
    <x v="199"/>
    <x v="441"/>
    <x v="50"/>
    <x v="602"/>
    <x v="108"/>
    <x v="397"/>
    <x v="0"/>
  </r>
  <r>
    <x v="0"/>
    <x v="100"/>
    <x v="100"/>
    <x v="17"/>
    <x v="17"/>
    <x v="17"/>
    <x v="0"/>
    <x v="199"/>
    <x v="441"/>
    <x v="65"/>
    <x v="65"/>
    <x v="110"/>
    <x v="391"/>
    <x v="0"/>
  </r>
  <r>
    <x v="0"/>
    <x v="100"/>
    <x v="100"/>
    <x v="42"/>
    <x v="42"/>
    <x v="42"/>
    <x v="0"/>
    <x v="199"/>
    <x v="441"/>
    <x v="50"/>
    <x v="602"/>
    <x v="108"/>
    <x v="397"/>
    <x v="0"/>
  </r>
  <r>
    <x v="0"/>
    <x v="100"/>
    <x v="100"/>
    <x v="55"/>
    <x v="55"/>
    <x v="55"/>
    <x v="0"/>
    <x v="199"/>
    <x v="441"/>
    <x v="50"/>
    <x v="602"/>
    <x v="108"/>
    <x v="397"/>
    <x v="0"/>
  </r>
  <r>
    <x v="0"/>
    <x v="100"/>
    <x v="100"/>
    <x v="6"/>
    <x v="6"/>
    <x v="6"/>
    <x v="0"/>
    <x v="199"/>
    <x v="441"/>
    <x v="62"/>
    <x v="491"/>
    <x v="127"/>
    <x v="151"/>
    <x v="0"/>
  </r>
  <r>
    <x v="0"/>
    <x v="100"/>
    <x v="100"/>
    <x v="14"/>
    <x v="14"/>
    <x v="14"/>
    <x v="5"/>
    <x v="200"/>
    <x v="196"/>
    <x v="70"/>
    <x v="603"/>
    <x v="127"/>
    <x v="151"/>
    <x v="0"/>
  </r>
  <r>
    <x v="0"/>
    <x v="100"/>
    <x v="100"/>
    <x v="9"/>
    <x v="9"/>
    <x v="9"/>
    <x v="5"/>
    <x v="200"/>
    <x v="196"/>
    <x v="56"/>
    <x v="587"/>
    <x v="123"/>
    <x v="128"/>
    <x v="0"/>
  </r>
  <r>
    <x v="0"/>
    <x v="100"/>
    <x v="100"/>
    <x v="3"/>
    <x v="3"/>
    <x v="3"/>
    <x v="5"/>
    <x v="200"/>
    <x v="196"/>
    <x v="70"/>
    <x v="603"/>
    <x v="127"/>
    <x v="151"/>
    <x v="0"/>
  </r>
  <r>
    <x v="0"/>
    <x v="100"/>
    <x v="100"/>
    <x v="162"/>
    <x v="160"/>
    <x v="162"/>
    <x v="8"/>
    <x v="216"/>
    <x v="59"/>
    <x v="50"/>
    <x v="602"/>
    <x v="123"/>
    <x v="128"/>
    <x v="0"/>
  </r>
  <r>
    <x v="0"/>
    <x v="100"/>
    <x v="100"/>
    <x v="46"/>
    <x v="46"/>
    <x v="46"/>
    <x v="8"/>
    <x v="216"/>
    <x v="59"/>
    <x v="50"/>
    <x v="602"/>
    <x v="123"/>
    <x v="128"/>
    <x v="0"/>
  </r>
  <r>
    <x v="0"/>
    <x v="100"/>
    <x v="100"/>
    <x v="13"/>
    <x v="13"/>
    <x v="13"/>
    <x v="8"/>
    <x v="216"/>
    <x v="59"/>
    <x v="65"/>
    <x v="65"/>
    <x v="93"/>
    <x v="392"/>
    <x v="0"/>
  </r>
  <r>
    <x v="0"/>
    <x v="100"/>
    <x v="100"/>
    <x v="96"/>
    <x v="96"/>
    <x v="96"/>
    <x v="8"/>
    <x v="216"/>
    <x v="59"/>
    <x v="65"/>
    <x v="65"/>
    <x v="93"/>
    <x v="392"/>
    <x v="0"/>
  </r>
  <r>
    <x v="0"/>
    <x v="100"/>
    <x v="100"/>
    <x v="41"/>
    <x v="41"/>
    <x v="41"/>
    <x v="8"/>
    <x v="216"/>
    <x v="59"/>
    <x v="50"/>
    <x v="602"/>
    <x v="123"/>
    <x v="128"/>
    <x v="0"/>
  </r>
  <r>
    <x v="0"/>
    <x v="100"/>
    <x v="100"/>
    <x v="11"/>
    <x v="11"/>
    <x v="11"/>
    <x v="8"/>
    <x v="216"/>
    <x v="59"/>
    <x v="65"/>
    <x v="65"/>
    <x v="93"/>
    <x v="392"/>
    <x v="0"/>
  </r>
  <r>
    <x v="0"/>
    <x v="100"/>
    <x v="100"/>
    <x v="84"/>
    <x v="84"/>
    <x v="84"/>
    <x v="8"/>
    <x v="216"/>
    <x v="59"/>
    <x v="65"/>
    <x v="65"/>
    <x v="93"/>
    <x v="392"/>
    <x v="0"/>
  </r>
  <r>
    <x v="0"/>
    <x v="100"/>
    <x v="100"/>
    <x v="49"/>
    <x v="49"/>
    <x v="49"/>
    <x v="8"/>
    <x v="216"/>
    <x v="59"/>
    <x v="56"/>
    <x v="587"/>
    <x v="127"/>
    <x v="151"/>
    <x v="0"/>
  </r>
  <r>
    <x v="0"/>
    <x v="100"/>
    <x v="100"/>
    <x v="1"/>
    <x v="1"/>
    <x v="1"/>
    <x v="8"/>
    <x v="216"/>
    <x v="59"/>
    <x v="56"/>
    <x v="587"/>
    <x v="127"/>
    <x v="151"/>
    <x v="0"/>
  </r>
  <r>
    <x v="0"/>
    <x v="100"/>
    <x v="100"/>
    <x v="64"/>
    <x v="64"/>
    <x v="64"/>
    <x v="8"/>
    <x v="216"/>
    <x v="59"/>
    <x v="56"/>
    <x v="587"/>
    <x v="127"/>
    <x v="151"/>
    <x v="0"/>
  </r>
  <r>
    <x v="0"/>
    <x v="100"/>
    <x v="100"/>
    <x v="82"/>
    <x v="82"/>
    <x v="82"/>
    <x v="8"/>
    <x v="216"/>
    <x v="59"/>
    <x v="65"/>
    <x v="65"/>
    <x v="127"/>
    <x v="151"/>
    <x v="0"/>
  </r>
  <r>
    <x v="0"/>
    <x v="100"/>
    <x v="100"/>
    <x v="110"/>
    <x v="110"/>
    <x v="110"/>
    <x v="18"/>
    <x v="217"/>
    <x v="442"/>
    <x v="65"/>
    <x v="65"/>
    <x v="123"/>
    <x v="128"/>
    <x v="0"/>
  </r>
  <r>
    <x v="0"/>
    <x v="100"/>
    <x v="100"/>
    <x v="67"/>
    <x v="67"/>
    <x v="67"/>
    <x v="18"/>
    <x v="217"/>
    <x v="442"/>
    <x v="65"/>
    <x v="65"/>
    <x v="123"/>
    <x v="128"/>
    <x v="0"/>
  </r>
  <r>
    <x v="0"/>
    <x v="100"/>
    <x v="100"/>
    <x v="105"/>
    <x v="105"/>
    <x v="105"/>
    <x v="18"/>
    <x v="217"/>
    <x v="442"/>
    <x v="50"/>
    <x v="602"/>
    <x v="127"/>
    <x v="151"/>
    <x v="0"/>
  </r>
  <r>
    <x v="0"/>
    <x v="100"/>
    <x v="100"/>
    <x v="22"/>
    <x v="22"/>
    <x v="22"/>
    <x v="18"/>
    <x v="217"/>
    <x v="442"/>
    <x v="50"/>
    <x v="602"/>
    <x v="127"/>
    <x v="151"/>
    <x v="0"/>
  </r>
  <r>
    <x v="0"/>
    <x v="100"/>
    <x v="100"/>
    <x v="31"/>
    <x v="31"/>
    <x v="31"/>
    <x v="18"/>
    <x v="217"/>
    <x v="442"/>
    <x v="65"/>
    <x v="65"/>
    <x v="123"/>
    <x v="128"/>
    <x v="0"/>
  </r>
  <r>
    <x v="0"/>
    <x v="100"/>
    <x v="100"/>
    <x v="106"/>
    <x v="106"/>
    <x v="106"/>
    <x v="18"/>
    <x v="217"/>
    <x v="442"/>
    <x v="65"/>
    <x v="65"/>
    <x v="123"/>
    <x v="128"/>
    <x v="0"/>
  </r>
  <r>
    <x v="0"/>
    <x v="100"/>
    <x v="100"/>
    <x v="93"/>
    <x v="93"/>
    <x v="93"/>
    <x v="18"/>
    <x v="217"/>
    <x v="442"/>
    <x v="50"/>
    <x v="602"/>
    <x v="127"/>
    <x v="151"/>
    <x v="0"/>
  </r>
  <r>
    <x v="0"/>
    <x v="100"/>
    <x v="100"/>
    <x v="97"/>
    <x v="97"/>
    <x v="97"/>
    <x v="18"/>
    <x v="217"/>
    <x v="442"/>
    <x v="65"/>
    <x v="65"/>
    <x v="123"/>
    <x v="128"/>
    <x v="0"/>
  </r>
  <r>
    <x v="0"/>
    <x v="100"/>
    <x v="100"/>
    <x v="144"/>
    <x v="144"/>
    <x v="144"/>
    <x v="18"/>
    <x v="217"/>
    <x v="442"/>
    <x v="65"/>
    <x v="65"/>
    <x v="123"/>
    <x v="128"/>
    <x v="0"/>
  </r>
  <r>
    <x v="0"/>
    <x v="100"/>
    <x v="100"/>
    <x v="118"/>
    <x v="118"/>
    <x v="118"/>
    <x v="18"/>
    <x v="217"/>
    <x v="442"/>
    <x v="65"/>
    <x v="65"/>
    <x v="123"/>
    <x v="128"/>
    <x v="0"/>
  </r>
  <r>
    <x v="0"/>
    <x v="100"/>
    <x v="100"/>
    <x v="86"/>
    <x v="86"/>
    <x v="86"/>
    <x v="18"/>
    <x v="217"/>
    <x v="442"/>
    <x v="65"/>
    <x v="65"/>
    <x v="123"/>
    <x v="128"/>
    <x v="0"/>
  </r>
  <r>
    <x v="0"/>
    <x v="100"/>
    <x v="100"/>
    <x v="76"/>
    <x v="76"/>
    <x v="76"/>
    <x v="18"/>
    <x v="217"/>
    <x v="442"/>
    <x v="65"/>
    <x v="65"/>
    <x v="127"/>
    <x v="151"/>
    <x v="0"/>
  </r>
  <r>
    <x v="0"/>
    <x v="100"/>
    <x v="100"/>
    <x v="189"/>
    <x v="186"/>
    <x v="189"/>
    <x v="18"/>
    <x v="217"/>
    <x v="442"/>
    <x v="50"/>
    <x v="602"/>
    <x v="127"/>
    <x v="151"/>
    <x v="0"/>
  </r>
  <r>
    <x v="0"/>
    <x v="100"/>
    <x v="100"/>
    <x v="190"/>
    <x v="187"/>
    <x v="190"/>
    <x v="18"/>
    <x v="217"/>
    <x v="442"/>
    <x v="50"/>
    <x v="602"/>
    <x v="127"/>
    <x v="151"/>
    <x v="0"/>
  </r>
  <r>
    <x v="0"/>
    <x v="100"/>
    <x v="100"/>
    <x v="36"/>
    <x v="36"/>
    <x v="36"/>
    <x v="18"/>
    <x v="217"/>
    <x v="442"/>
    <x v="65"/>
    <x v="65"/>
    <x v="123"/>
    <x v="128"/>
    <x v="0"/>
  </r>
  <r>
    <x v="0"/>
    <x v="100"/>
    <x v="100"/>
    <x v="58"/>
    <x v="58"/>
    <x v="58"/>
    <x v="18"/>
    <x v="217"/>
    <x v="442"/>
    <x v="65"/>
    <x v="65"/>
    <x v="123"/>
    <x v="128"/>
    <x v="0"/>
  </r>
  <r>
    <x v="0"/>
    <x v="100"/>
    <x v="100"/>
    <x v="91"/>
    <x v="91"/>
    <x v="91"/>
    <x v="18"/>
    <x v="217"/>
    <x v="442"/>
    <x v="65"/>
    <x v="65"/>
    <x v="123"/>
    <x v="128"/>
    <x v="0"/>
  </r>
  <r>
    <x v="0"/>
    <x v="100"/>
    <x v="100"/>
    <x v="134"/>
    <x v="134"/>
    <x v="134"/>
    <x v="18"/>
    <x v="217"/>
    <x v="442"/>
    <x v="65"/>
    <x v="65"/>
    <x v="123"/>
    <x v="128"/>
    <x v="0"/>
  </r>
  <r>
    <x v="0"/>
    <x v="100"/>
    <x v="100"/>
    <x v="191"/>
    <x v="188"/>
    <x v="191"/>
    <x v="18"/>
    <x v="217"/>
    <x v="442"/>
    <x v="65"/>
    <x v="65"/>
    <x v="123"/>
    <x v="128"/>
    <x v="0"/>
  </r>
  <r>
    <x v="0"/>
    <x v="100"/>
    <x v="100"/>
    <x v="28"/>
    <x v="28"/>
    <x v="28"/>
    <x v="18"/>
    <x v="217"/>
    <x v="442"/>
    <x v="50"/>
    <x v="602"/>
    <x v="127"/>
    <x v="151"/>
    <x v="0"/>
  </r>
  <r>
    <x v="0"/>
    <x v="100"/>
    <x v="100"/>
    <x v="44"/>
    <x v="44"/>
    <x v="44"/>
    <x v="18"/>
    <x v="217"/>
    <x v="442"/>
    <x v="50"/>
    <x v="602"/>
    <x v="127"/>
    <x v="151"/>
    <x v="0"/>
  </r>
  <r>
    <x v="0"/>
    <x v="100"/>
    <x v="100"/>
    <x v="12"/>
    <x v="12"/>
    <x v="12"/>
    <x v="18"/>
    <x v="217"/>
    <x v="442"/>
    <x v="65"/>
    <x v="65"/>
    <x v="123"/>
    <x v="128"/>
    <x v="0"/>
  </r>
  <r>
    <x v="0"/>
    <x v="100"/>
    <x v="100"/>
    <x v="47"/>
    <x v="47"/>
    <x v="47"/>
    <x v="18"/>
    <x v="217"/>
    <x v="442"/>
    <x v="50"/>
    <x v="602"/>
    <x v="127"/>
    <x v="151"/>
    <x v="0"/>
  </r>
  <r>
    <x v="0"/>
    <x v="100"/>
    <x v="100"/>
    <x v="114"/>
    <x v="114"/>
    <x v="114"/>
    <x v="18"/>
    <x v="217"/>
    <x v="442"/>
    <x v="50"/>
    <x v="602"/>
    <x v="127"/>
    <x v="151"/>
    <x v="0"/>
  </r>
  <r>
    <x v="0"/>
    <x v="100"/>
    <x v="100"/>
    <x v="18"/>
    <x v="18"/>
    <x v="18"/>
    <x v="18"/>
    <x v="217"/>
    <x v="442"/>
    <x v="65"/>
    <x v="65"/>
    <x v="123"/>
    <x v="128"/>
    <x v="0"/>
  </r>
  <r>
    <x v="0"/>
    <x v="100"/>
    <x v="100"/>
    <x v="15"/>
    <x v="15"/>
    <x v="15"/>
    <x v="18"/>
    <x v="217"/>
    <x v="442"/>
    <x v="65"/>
    <x v="65"/>
    <x v="123"/>
    <x v="128"/>
    <x v="0"/>
  </r>
  <r>
    <x v="0"/>
    <x v="100"/>
    <x v="100"/>
    <x v="0"/>
    <x v="0"/>
    <x v="0"/>
    <x v="18"/>
    <x v="217"/>
    <x v="442"/>
    <x v="65"/>
    <x v="65"/>
    <x v="127"/>
    <x v="151"/>
    <x v="0"/>
  </r>
  <r>
    <x v="0"/>
    <x v="100"/>
    <x v="100"/>
    <x v="108"/>
    <x v="108"/>
    <x v="108"/>
    <x v="18"/>
    <x v="217"/>
    <x v="442"/>
    <x v="50"/>
    <x v="602"/>
    <x v="127"/>
    <x v="151"/>
    <x v="0"/>
  </r>
  <r>
    <x v="0"/>
    <x v="100"/>
    <x v="100"/>
    <x v="126"/>
    <x v="126"/>
    <x v="126"/>
    <x v="18"/>
    <x v="217"/>
    <x v="442"/>
    <x v="50"/>
    <x v="602"/>
    <x v="127"/>
    <x v="151"/>
    <x v="0"/>
  </r>
  <r>
    <x v="0"/>
    <x v="100"/>
    <x v="100"/>
    <x v="16"/>
    <x v="16"/>
    <x v="16"/>
    <x v="18"/>
    <x v="217"/>
    <x v="442"/>
    <x v="50"/>
    <x v="602"/>
    <x v="127"/>
    <x v="151"/>
    <x v="0"/>
  </r>
  <r>
    <x v="0"/>
    <x v="100"/>
    <x v="100"/>
    <x v="130"/>
    <x v="130"/>
    <x v="130"/>
    <x v="18"/>
    <x v="217"/>
    <x v="442"/>
    <x v="65"/>
    <x v="65"/>
    <x v="127"/>
    <x v="151"/>
    <x v="0"/>
  </r>
  <r>
    <x v="0"/>
    <x v="100"/>
    <x v="100"/>
    <x v="45"/>
    <x v="45"/>
    <x v="45"/>
    <x v="18"/>
    <x v="217"/>
    <x v="442"/>
    <x v="65"/>
    <x v="65"/>
    <x v="123"/>
    <x v="128"/>
    <x v="0"/>
  </r>
  <r>
    <x v="0"/>
    <x v="100"/>
    <x v="100"/>
    <x v="5"/>
    <x v="5"/>
    <x v="5"/>
    <x v="18"/>
    <x v="217"/>
    <x v="442"/>
    <x v="65"/>
    <x v="65"/>
    <x v="123"/>
    <x v="128"/>
    <x v="0"/>
  </r>
  <r>
    <x v="0"/>
    <x v="100"/>
    <x v="100"/>
    <x v="37"/>
    <x v="37"/>
    <x v="37"/>
    <x v="18"/>
    <x v="217"/>
    <x v="442"/>
    <x v="65"/>
    <x v="65"/>
    <x v="123"/>
    <x v="128"/>
    <x v="0"/>
  </r>
  <r>
    <x v="0"/>
    <x v="100"/>
    <x v="100"/>
    <x v="34"/>
    <x v="34"/>
    <x v="34"/>
    <x v="18"/>
    <x v="217"/>
    <x v="442"/>
    <x v="50"/>
    <x v="602"/>
    <x v="127"/>
    <x v="151"/>
    <x v="0"/>
  </r>
  <r>
    <x v="0"/>
    <x v="100"/>
    <x v="100"/>
    <x v="29"/>
    <x v="29"/>
    <x v="29"/>
    <x v="18"/>
    <x v="217"/>
    <x v="442"/>
    <x v="50"/>
    <x v="602"/>
    <x v="127"/>
    <x v="151"/>
    <x v="0"/>
  </r>
  <r>
    <x v="0"/>
    <x v="100"/>
    <x v="100"/>
    <x v="52"/>
    <x v="52"/>
    <x v="52"/>
    <x v="18"/>
    <x v="217"/>
    <x v="442"/>
    <x v="65"/>
    <x v="65"/>
    <x v="127"/>
    <x v="151"/>
    <x v="0"/>
  </r>
  <r>
    <x v="0"/>
    <x v="100"/>
    <x v="100"/>
    <x v="8"/>
    <x v="8"/>
    <x v="8"/>
    <x v="18"/>
    <x v="217"/>
    <x v="442"/>
    <x v="50"/>
    <x v="602"/>
    <x v="127"/>
    <x v="151"/>
    <x v="0"/>
  </r>
  <r>
    <x v="0"/>
    <x v="100"/>
    <x v="100"/>
    <x v="181"/>
    <x v="178"/>
    <x v="181"/>
    <x v="18"/>
    <x v="217"/>
    <x v="442"/>
    <x v="50"/>
    <x v="602"/>
    <x v="127"/>
    <x v="151"/>
    <x v="0"/>
  </r>
  <r>
    <x v="0"/>
    <x v="100"/>
    <x v="100"/>
    <x v="59"/>
    <x v="59"/>
    <x v="59"/>
    <x v="18"/>
    <x v="217"/>
    <x v="442"/>
    <x v="65"/>
    <x v="65"/>
    <x v="123"/>
    <x v="128"/>
    <x v="0"/>
  </r>
  <r>
    <x v="0"/>
    <x v="100"/>
    <x v="100"/>
    <x v="19"/>
    <x v="19"/>
    <x v="19"/>
    <x v="18"/>
    <x v="217"/>
    <x v="442"/>
    <x v="65"/>
    <x v="65"/>
    <x v="123"/>
    <x v="128"/>
    <x v="0"/>
  </r>
  <r>
    <x v="0"/>
    <x v="100"/>
    <x v="100"/>
    <x v="172"/>
    <x v="170"/>
    <x v="172"/>
    <x v="18"/>
    <x v="217"/>
    <x v="442"/>
    <x v="65"/>
    <x v="65"/>
    <x v="127"/>
    <x v="151"/>
    <x v="6"/>
  </r>
  <r>
    <x v="0"/>
    <x v="101"/>
    <x v="101"/>
    <x v="10"/>
    <x v="10"/>
    <x v="10"/>
    <x v="0"/>
    <x v="200"/>
    <x v="186"/>
    <x v="65"/>
    <x v="65"/>
    <x v="108"/>
    <x v="398"/>
    <x v="0"/>
  </r>
  <r>
    <x v="0"/>
    <x v="101"/>
    <x v="101"/>
    <x v="42"/>
    <x v="42"/>
    <x v="42"/>
    <x v="0"/>
    <x v="200"/>
    <x v="186"/>
    <x v="65"/>
    <x v="65"/>
    <x v="108"/>
    <x v="398"/>
    <x v="0"/>
  </r>
  <r>
    <x v="0"/>
    <x v="101"/>
    <x v="101"/>
    <x v="45"/>
    <x v="45"/>
    <x v="45"/>
    <x v="0"/>
    <x v="200"/>
    <x v="186"/>
    <x v="56"/>
    <x v="486"/>
    <x v="123"/>
    <x v="147"/>
    <x v="0"/>
  </r>
  <r>
    <x v="0"/>
    <x v="101"/>
    <x v="101"/>
    <x v="3"/>
    <x v="3"/>
    <x v="3"/>
    <x v="0"/>
    <x v="200"/>
    <x v="186"/>
    <x v="70"/>
    <x v="612"/>
    <x v="127"/>
    <x v="151"/>
    <x v="0"/>
  </r>
  <r>
    <x v="0"/>
    <x v="101"/>
    <x v="101"/>
    <x v="1"/>
    <x v="1"/>
    <x v="1"/>
    <x v="0"/>
    <x v="200"/>
    <x v="186"/>
    <x v="70"/>
    <x v="612"/>
    <x v="127"/>
    <x v="151"/>
    <x v="0"/>
  </r>
  <r>
    <x v="0"/>
    <x v="101"/>
    <x v="101"/>
    <x v="31"/>
    <x v="31"/>
    <x v="31"/>
    <x v="5"/>
    <x v="216"/>
    <x v="443"/>
    <x v="65"/>
    <x v="65"/>
    <x v="93"/>
    <x v="349"/>
    <x v="0"/>
  </r>
  <r>
    <x v="0"/>
    <x v="101"/>
    <x v="101"/>
    <x v="192"/>
    <x v="189"/>
    <x v="192"/>
    <x v="5"/>
    <x v="216"/>
    <x v="443"/>
    <x v="65"/>
    <x v="65"/>
    <x v="93"/>
    <x v="349"/>
    <x v="0"/>
  </r>
  <r>
    <x v="0"/>
    <x v="101"/>
    <x v="101"/>
    <x v="12"/>
    <x v="12"/>
    <x v="12"/>
    <x v="5"/>
    <x v="216"/>
    <x v="443"/>
    <x v="50"/>
    <x v="545"/>
    <x v="123"/>
    <x v="147"/>
    <x v="0"/>
  </r>
  <r>
    <x v="0"/>
    <x v="101"/>
    <x v="101"/>
    <x v="55"/>
    <x v="55"/>
    <x v="55"/>
    <x v="5"/>
    <x v="216"/>
    <x v="443"/>
    <x v="56"/>
    <x v="486"/>
    <x v="127"/>
    <x v="151"/>
    <x v="0"/>
  </r>
  <r>
    <x v="0"/>
    <x v="101"/>
    <x v="101"/>
    <x v="2"/>
    <x v="2"/>
    <x v="2"/>
    <x v="5"/>
    <x v="216"/>
    <x v="443"/>
    <x v="56"/>
    <x v="486"/>
    <x v="127"/>
    <x v="151"/>
    <x v="0"/>
  </r>
  <r>
    <x v="0"/>
    <x v="101"/>
    <x v="101"/>
    <x v="9"/>
    <x v="9"/>
    <x v="9"/>
    <x v="5"/>
    <x v="216"/>
    <x v="443"/>
    <x v="56"/>
    <x v="486"/>
    <x v="127"/>
    <x v="151"/>
    <x v="0"/>
  </r>
  <r>
    <x v="0"/>
    <x v="101"/>
    <x v="101"/>
    <x v="6"/>
    <x v="6"/>
    <x v="6"/>
    <x v="5"/>
    <x v="216"/>
    <x v="443"/>
    <x v="56"/>
    <x v="486"/>
    <x v="127"/>
    <x v="151"/>
    <x v="0"/>
  </r>
  <r>
    <x v="0"/>
    <x v="101"/>
    <x v="101"/>
    <x v="19"/>
    <x v="19"/>
    <x v="19"/>
    <x v="5"/>
    <x v="216"/>
    <x v="443"/>
    <x v="65"/>
    <x v="65"/>
    <x v="93"/>
    <x v="349"/>
    <x v="0"/>
  </r>
  <r>
    <x v="0"/>
    <x v="101"/>
    <x v="101"/>
    <x v="110"/>
    <x v="110"/>
    <x v="110"/>
    <x v="13"/>
    <x v="217"/>
    <x v="118"/>
    <x v="65"/>
    <x v="65"/>
    <x v="123"/>
    <x v="147"/>
    <x v="0"/>
  </r>
  <r>
    <x v="0"/>
    <x v="101"/>
    <x v="101"/>
    <x v="17"/>
    <x v="17"/>
    <x v="17"/>
    <x v="13"/>
    <x v="217"/>
    <x v="118"/>
    <x v="65"/>
    <x v="65"/>
    <x v="123"/>
    <x v="147"/>
    <x v="0"/>
  </r>
  <r>
    <x v="0"/>
    <x v="101"/>
    <x v="101"/>
    <x v="87"/>
    <x v="87"/>
    <x v="87"/>
    <x v="13"/>
    <x v="217"/>
    <x v="118"/>
    <x v="65"/>
    <x v="65"/>
    <x v="123"/>
    <x v="147"/>
    <x v="0"/>
  </r>
  <r>
    <x v="0"/>
    <x v="101"/>
    <x v="101"/>
    <x v="162"/>
    <x v="160"/>
    <x v="162"/>
    <x v="13"/>
    <x v="217"/>
    <x v="118"/>
    <x v="50"/>
    <x v="545"/>
    <x v="127"/>
    <x v="151"/>
    <x v="0"/>
  </r>
  <r>
    <x v="0"/>
    <x v="101"/>
    <x v="101"/>
    <x v="46"/>
    <x v="46"/>
    <x v="46"/>
    <x v="13"/>
    <x v="217"/>
    <x v="118"/>
    <x v="50"/>
    <x v="545"/>
    <x v="127"/>
    <x v="151"/>
    <x v="0"/>
  </r>
  <r>
    <x v="0"/>
    <x v="101"/>
    <x v="101"/>
    <x v="13"/>
    <x v="13"/>
    <x v="13"/>
    <x v="13"/>
    <x v="217"/>
    <x v="118"/>
    <x v="65"/>
    <x v="65"/>
    <x v="123"/>
    <x v="147"/>
    <x v="0"/>
  </r>
  <r>
    <x v="0"/>
    <x v="101"/>
    <x v="101"/>
    <x v="14"/>
    <x v="14"/>
    <x v="14"/>
    <x v="13"/>
    <x v="217"/>
    <x v="118"/>
    <x v="50"/>
    <x v="545"/>
    <x v="127"/>
    <x v="151"/>
    <x v="0"/>
  </r>
  <r>
    <x v="0"/>
    <x v="101"/>
    <x v="101"/>
    <x v="90"/>
    <x v="90"/>
    <x v="90"/>
    <x v="13"/>
    <x v="217"/>
    <x v="118"/>
    <x v="50"/>
    <x v="545"/>
    <x v="127"/>
    <x v="151"/>
    <x v="0"/>
  </r>
  <r>
    <x v="0"/>
    <x v="101"/>
    <x v="101"/>
    <x v="63"/>
    <x v="63"/>
    <x v="63"/>
    <x v="13"/>
    <x v="217"/>
    <x v="118"/>
    <x v="50"/>
    <x v="545"/>
    <x v="127"/>
    <x v="151"/>
    <x v="0"/>
  </r>
  <r>
    <x v="0"/>
    <x v="101"/>
    <x v="101"/>
    <x v="193"/>
    <x v="190"/>
    <x v="193"/>
    <x v="13"/>
    <x v="217"/>
    <x v="118"/>
    <x v="65"/>
    <x v="65"/>
    <x v="123"/>
    <x v="147"/>
    <x v="0"/>
  </r>
  <r>
    <x v="0"/>
    <x v="101"/>
    <x v="101"/>
    <x v="97"/>
    <x v="97"/>
    <x v="97"/>
    <x v="13"/>
    <x v="217"/>
    <x v="118"/>
    <x v="65"/>
    <x v="65"/>
    <x v="123"/>
    <x v="147"/>
    <x v="0"/>
  </r>
  <r>
    <x v="0"/>
    <x v="101"/>
    <x v="101"/>
    <x v="144"/>
    <x v="144"/>
    <x v="144"/>
    <x v="13"/>
    <x v="217"/>
    <x v="118"/>
    <x v="65"/>
    <x v="65"/>
    <x v="123"/>
    <x v="147"/>
    <x v="0"/>
  </r>
  <r>
    <x v="0"/>
    <x v="101"/>
    <x v="101"/>
    <x v="177"/>
    <x v="175"/>
    <x v="177"/>
    <x v="13"/>
    <x v="217"/>
    <x v="118"/>
    <x v="50"/>
    <x v="545"/>
    <x v="127"/>
    <x v="151"/>
    <x v="0"/>
  </r>
  <r>
    <x v="0"/>
    <x v="101"/>
    <x v="101"/>
    <x v="75"/>
    <x v="75"/>
    <x v="75"/>
    <x v="13"/>
    <x v="217"/>
    <x v="118"/>
    <x v="65"/>
    <x v="65"/>
    <x v="127"/>
    <x v="151"/>
    <x v="0"/>
  </r>
  <r>
    <x v="0"/>
    <x v="101"/>
    <x v="101"/>
    <x v="119"/>
    <x v="119"/>
    <x v="119"/>
    <x v="13"/>
    <x v="217"/>
    <x v="118"/>
    <x v="65"/>
    <x v="65"/>
    <x v="123"/>
    <x v="147"/>
    <x v="0"/>
  </r>
  <r>
    <x v="0"/>
    <x v="101"/>
    <x v="101"/>
    <x v="178"/>
    <x v="176"/>
    <x v="178"/>
    <x v="13"/>
    <x v="217"/>
    <x v="118"/>
    <x v="65"/>
    <x v="65"/>
    <x v="123"/>
    <x v="147"/>
    <x v="0"/>
  </r>
  <r>
    <x v="0"/>
    <x v="101"/>
    <x v="101"/>
    <x v="62"/>
    <x v="62"/>
    <x v="62"/>
    <x v="13"/>
    <x v="217"/>
    <x v="118"/>
    <x v="65"/>
    <x v="65"/>
    <x v="123"/>
    <x v="147"/>
    <x v="0"/>
  </r>
  <r>
    <x v="0"/>
    <x v="101"/>
    <x v="101"/>
    <x v="36"/>
    <x v="36"/>
    <x v="36"/>
    <x v="13"/>
    <x v="217"/>
    <x v="118"/>
    <x v="65"/>
    <x v="65"/>
    <x v="123"/>
    <x v="147"/>
    <x v="0"/>
  </r>
  <r>
    <x v="0"/>
    <x v="101"/>
    <x v="101"/>
    <x v="58"/>
    <x v="58"/>
    <x v="58"/>
    <x v="13"/>
    <x v="217"/>
    <x v="118"/>
    <x v="65"/>
    <x v="65"/>
    <x v="123"/>
    <x v="147"/>
    <x v="0"/>
  </r>
  <r>
    <x v="0"/>
    <x v="101"/>
    <x v="101"/>
    <x v="158"/>
    <x v="157"/>
    <x v="158"/>
    <x v="13"/>
    <x v="217"/>
    <x v="118"/>
    <x v="50"/>
    <x v="545"/>
    <x v="127"/>
    <x v="151"/>
    <x v="0"/>
  </r>
  <r>
    <x v="0"/>
    <x v="101"/>
    <x v="101"/>
    <x v="112"/>
    <x v="112"/>
    <x v="112"/>
    <x v="13"/>
    <x v="217"/>
    <x v="118"/>
    <x v="50"/>
    <x v="545"/>
    <x v="127"/>
    <x v="151"/>
    <x v="0"/>
  </r>
  <r>
    <x v="0"/>
    <x v="101"/>
    <x v="101"/>
    <x v="28"/>
    <x v="28"/>
    <x v="28"/>
    <x v="13"/>
    <x v="217"/>
    <x v="118"/>
    <x v="50"/>
    <x v="545"/>
    <x v="127"/>
    <x v="151"/>
    <x v="0"/>
  </r>
  <r>
    <x v="0"/>
    <x v="101"/>
    <x v="101"/>
    <x v="44"/>
    <x v="44"/>
    <x v="44"/>
    <x v="13"/>
    <x v="217"/>
    <x v="118"/>
    <x v="50"/>
    <x v="545"/>
    <x v="127"/>
    <x v="151"/>
    <x v="0"/>
  </r>
  <r>
    <x v="0"/>
    <x v="101"/>
    <x v="101"/>
    <x v="47"/>
    <x v="47"/>
    <x v="47"/>
    <x v="13"/>
    <x v="217"/>
    <x v="118"/>
    <x v="50"/>
    <x v="545"/>
    <x v="127"/>
    <x v="151"/>
    <x v="0"/>
  </r>
  <r>
    <x v="0"/>
    <x v="101"/>
    <x v="101"/>
    <x v="18"/>
    <x v="18"/>
    <x v="18"/>
    <x v="13"/>
    <x v="217"/>
    <x v="118"/>
    <x v="65"/>
    <x v="65"/>
    <x v="123"/>
    <x v="147"/>
    <x v="0"/>
  </r>
  <r>
    <x v="0"/>
    <x v="101"/>
    <x v="101"/>
    <x v="7"/>
    <x v="7"/>
    <x v="7"/>
    <x v="13"/>
    <x v="217"/>
    <x v="118"/>
    <x v="65"/>
    <x v="65"/>
    <x v="123"/>
    <x v="147"/>
    <x v="0"/>
  </r>
  <r>
    <x v="0"/>
    <x v="101"/>
    <x v="101"/>
    <x v="161"/>
    <x v="159"/>
    <x v="161"/>
    <x v="13"/>
    <x v="217"/>
    <x v="118"/>
    <x v="50"/>
    <x v="545"/>
    <x v="127"/>
    <x v="151"/>
    <x v="0"/>
  </r>
  <r>
    <x v="0"/>
    <x v="101"/>
    <x v="101"/>
    <x v="126"/>
    <x v="126"/>
    <x v="126"/>
    <x v="13"/>
    <x v="217"/>
    <x v="118"/>
    <x v="50"/>
    <x v="545"/>
    <x v="127"/>
    <x v="151"/>
    <x v="0"/>
  </r>
  <r>
    <x v="0"/>
    <x v="101"/>
    <x v="101"/>
    <x v="194"/>
    <x v="191"/>
    <x v="194"/>
    <x v="13"/>
    <x v="217"/>
    <x v="118"/>
    <x v="50"/>
    <x v="545"/>
    <x v="127"/>
    <x v="151"/>
    <x v="0"/>
  </r>
  <r>
    <x v="0"/>
    <x v="101"/>
    <x v="101"/>
    <x v="130"/>
    <x v="130"/>
    <x v="130"/>
    <x v="13"/>
    <x v="217"/>
    <x v="118"/>
    <x v="65"/>
    <x v="65"/>
    <x v="123"/>
    <x v="147"/>
    <x v="0"/>
  </r>
  <r>
    <x v="0"/>
    <x v="101"/>
    <x v="101"/>
    <x v="4"/>
    <x v="4"/>
    <x v="4"/>
    <x v="13"/>
    <x v="217"/>
    <x v="118"/>
    <x v="50"/>
    <x v="545"/>
    <x v="127"/>
    <x v="151"/>
    <x v="0"/>
  </r>
  <r>
    <x v="0"/>
    <x v="101"/>
    <x v="101"/>
    <x v="5"/>
    <x v="5"/>
    <x v="5"/>
    <x v="13"/>
    <x v="217"/>
    <x v="118"/>
    <x v="50"/>
    <x v="545"/>
    <x v="127"/>
    <x v="151"/>
    <x v="0"/>
  </r>
  <r>
    <x v="0"/>
    <x v="101"/>
    <x v="101"/>
    <x v="103"/>
    <x v="103"/>
    <x v="103"/>
    <x v="13"/>
    <x v="217"/>
    <x v="118"/>
    <x v="65"/>
    <x v="65"/>
    <x v="123"/>
    <x v="147"/>
    <x v="0"/>
  </r>
  <r>
    <x v="0"/>
    <x v="101"/>
    <x v="101"/>
    <x v="64"/>
    <x v="64"/>
    <x v="64"/>
    <x v="13"/>
    <x v="217"/>
    <x v="118"/>
    <x v="65"/>
    <x v="65"/>
    <x v="123"/>
    <x v="147"/>
    <x v="0"/>
  </r>
  <r>
    <x v="0"/>
    <x v="101"/>
    <x v="101"/>
    <x v="82"/>
    <x v="82"/>
    <x v="82"/>
    <x v="13"/>
    <x v="217"/>
    <x v="118"/>
    <x v="65"/>
    <x v="65"/>
    <x v="127"/>
    <x v="151"/>
    <x v="6"/>
  </r>
  <r>
    <x v="0"/>
    <x v="101"/>
    <x v="101"/>
    <x v="8"/>
    <x v="8"/>
    <x v="8"/>
    <x v="13"/>
    <x v="217"/>
    <x v="118"/>
    <x v="50"/>
    <x v="545"/>
    <x v="127"/>
    <x v="151"/>
    <x v="0"/>
  </r>
  <r>
    <x v="0"/>
    <x v="101"/>
    <x v="101"/>
    <x v="23"/>
    <x v="23"/>
    <x v="23"/>
    <x v="13"/>
    <x v="217"/>
    <x v="118"/>
    <x v="50"/>
    <x v="545"/>
    <x v="127"/>
    <x v="151"/>
    <x v="0"/>
  </r>
  <r>
    <x v="0"/>
    <x v="101"/>
    <x v="101"/>
    <x v="43"/>
    <x v="43"/>
    <x v="43"/>
    <x v="13"/>
    <x v="217"/>
    <x v="118"/>
    <x v="65"/>
    <x v="65"/>
    <x v="127"/>
    <x v="151"/>
    <x v="0"/>
  </r>
  <r>
    <x v="0"/>
    <x v="101"/>
    <x v="101"/>
    <x v="72"/>
    <x v="72"/>
    <x v="72"/>
    <x v="13"/>
    <x v="217"/>
    <x v="118"/>
    <x v="65"/>
    <x v="65"/>
    <x v="123"/>
    <x v="147"/>
    <x v="0"/>
  </r>
  <r>
    <x v="0"/>
    <x v="101"/>
    <x v="101"/>
    <x v="83"/>
    <x v="83"/>
    <x v="83"/>
    <x v="13"/>
    <x v="217"/>
    <x v="118"/>
    <x v="65"/>
    <x v="65"/>
    <x v="123"/>
    <x v="147"/>
    <x v="0"/>
  </r>
  <r>
    <x v="0"/>
    <x v="101"/>
    <x v="101"/>
    <x v="60"/>
    <x v="60"/>
    <x v="60"/>
    <x v="13"/>
    <x v="217"/>
    <x v="118"/>
    <x v="65"/>
    <x v="65"/>
    <x v="123"/>
    <x v="147"/>
    <x v="0"/>
  </r>
  <r>
    <x v="0"/>
    <x v="102"/>
    <x v="102"/>
    <x v="51"/>
    <x v="51"/>
    <x v="51"/>
    <x v="0"/>
    <x v="210"/>
    <x v="375"/>
    <x v="51"/>
    <x v="444"/>
    <x v="108"/>
    <x v="399"/>
    <x v="0"/>
  </r>
  <r>
    <x v="0"/>
    <x v="102"/>
    <x v="102"/>
    <x v="4"/>
    <x v="4"/>
    <x v="4"/>
    <x v="1"/>
    <x v="197"/>
    <x v="444"/>
    <x v="62"/>
    <x v="611"/>
    <x v="93"/>
    <x v="328"/>
    <x v="0"/>
  </r>
  <r>
    <x v="0"/>
    <x v="102"/>
    <x v="102"/>
    <x v="1"/>
    <x v="1"/>
    <x v="1"/>
    <x v="1"/>
    <x v="197"/>
    <x v="444"/>
    <x v="39"/>
    <x v="22"/>
    <x v="127"/>
    <x v="151"/>
    <x v="0"/>
  </r>
  <r>
    <x v="0"/>
    <x v="102"/>
    <x v="102"/>
    <x v="7"/>
    <x v="7"/>
    <x v="7"/>
    <x v="3"/>
    <x v="198"/>
    <x v="318"/>
    <x v="62"/>
    <x v="611"/>
    <x v="123"/>
    <x v="305"/>
    <x v="0"/>
  </r>
  <r>
    <x v="0"/>
    <x v="102"/>
    <x v="102"/>
    <x v="2"/>
    <x v="2"/>
    <x v="2"/>
    <x v="3"/>
    <x v="198"/>
    <x v="318"/>
    <x v="51"/>
    <x v="444"/>
    <x v="127"/>
    <x v="151"/>
    <x v="0"/>
  </r>
  <r>
    <x v="0"/>
    <x v="102"/>
    <x v="102"/>
    <x v="3"/>
    <x v="3"/>
    <x v="3"/>
    <x v="5"/>
    <x v="199"/>
    <x v="426"/>
    <x v="62"/>
    <x v="611"/>
    <x v="127"/>
    <x v="151"/>
    <x v="0"/>
  </r>
  <r>
    <x v="0"/>
    <x v="102"/>
    <x v="102"/>
    <x v="43"/>
    <x v="43"/>
    <x v="43"/>
    <x v="5"/>
    <x v="199"/>
    <x v="426"/>
    <x v="65"/>
    <x v="65"/>
    <x v="110"/>
    <x v="400"/>
    <x v="0"/>
  </r>
  <r>
    <x v="0"/>
    <x v="102"/>
    <x v="102"/>
    <x v="63"/>
    <x v="63"/>
    <x v="63"/>
    <x v="7"/>
    <x v="200"/>
    <x v="301"/>
    <x v="65"/>
    <x v="65"/>
    <x v="108"/>
    <x v="399"/>
    <x v="0"/>
  </r>
  <r>
    <x v="0"/>
    <x v="102"/>
    <x v="102"/>
    <x v="41"/>
    <x v="41"/>
    <x v="41"/>
    <x v="7"/>
    <x v="200"/>
    <x v="301"/>
    <x v="70"/>
    <x v="610"/>
    <x v="127"/>
    <x v="151"/>
    <x v="0"/>
  </r>
  <r>
    <x v="0"/>
    <x v="102"/>
    <x v="102"/>
    <x v="12"/>
    <x v="12"/>
    <x v="12"/>
    <x v="7"/>
    <x v="200"/>
    <x v="301"/>
    <x v="56"/>
    <x v="362"/>
    <x v="123"/>
    <x v="305"/>
    <x v="0"/>
  </r>
  <r>
    <x v="0"/>
    <x v="102"/>
    <x v="102"/>
    <x v="47"/>
    <x v="47"/>
    <x v="47"/>
    <x v="7"/>
    <x v="200"/>
    <x v="301"/>
    <x v="50"/>
    <x v="436"/>
    <x v="93"/>
    <x v="328"/>
    <x v="0"/>
  </r>
  <r>
    <x v="0"/>
    <x v="102"/>
    <x v="102"/>
    <x v="42"/>
    <x v="42"/>
    <x v="42"/>
    <x v="7"/>
    <x v="200"/>
    <x v="301"/>
    <x v="65"/>
    <x v="65"/>
    <x v="108"/>
    <x v="399"/>
    <x v="0"/>
  </r>
  <r>
    <x v="0"/>
    <x v="102"/>
    <x v="102"/>
    <x v="45"/>
    <x v="45"/>
    <x v="45"/>
    <x v="7"/>
    <x v="200"/>
    <x v="301"/>
    <x v="70"/>
    <x v="610"/>
    <x v="127"/>
    <x v="151"/>
    <x v="0"/>
  </r>
  <r>
    <x v="0"/>
    <x v="102"/>
    <x v="102"/>
    <x v="9"/>
    <x v="9"/>
    <x v="9"/>
    <x v="7"/>
    <x v="200"/>
    <x v="301"/>
    <x v="70"/>
    <x v="610"/>
    <x v="127"/>
    <x v="151"/>
    <x v="0"/>
  </r>
  <r>
    <x v="0"/>
    <x v="102"/>
    <x v="102"/>
    <x v="13"/>
    <x v="13"/>
    <x v="13"/>
    <x v="19"/>
    <x v="216"/>
    <x v="153"/>
    <x v="50"/>
    <x v="436"/>
    <x v="123"/>
    <x v="305"/>
    <x v="0"/>
  </r>
  <r>
    <x v="0"/>
    <x v="102"/>
    <x v="102"/>
    <x v="96"/>
    <x v="96"/>
    <x v="96"/>
    <x v="19"/>
    <x v="216"/>
    <x v="153"/>
    <x v="65"/>
    <x v="65"/>
    <x v="93"/>
    <x v="328"/>
    <x v="0"/>
  </r>
  <r>
    <x v="0"/>
    <x v="102"/>
    <x v="102"/>
    <x v="93"/>
    <x v="93"/>
    <x v="93"/>
    <x v="19"/>
    <x v="216"/>
    <x v="153"/>
    <x v="56"/>
    <x v="362"/>
    <x v="127"/>
    <x v="151"/>
    <x v="0"/>
  </r>
  <r>
    <x v="0"/>
    <x v="102"/>
    <x v="102"/>
    <x v="97"/>
    <x v="97"/>
    <x v="97"/>
    <x v="19"/>
    <x v="216"/>
    <x v="153"/>
    <x v="65"/>
    <x v="65"/>
    <x v="93"/>
    <x v="328"/>
    <x v="0"/>
  </r>
  <r>
    <x v="0"/>
    <x v="102"/>
    <x v="102"/>
    <x v="49"/>
    <x v="49"/>
    <x v="49"/>
    <x v="19"/>
    <x v="216"/>
    <x v="153"/>
    <x v="50"/>
    <x v="436"/>
    <x v="123"/>
    <x v="305"/>
    <x v="0"/>
  </r>
  <r>
    <x v="0"/>
    <x v="102"/>
    <x v="102"/>
    <x v="0"/>
    <x v="0"/>
    <x v="0"/>
    <x v="19"/>
    <x v="216"/>
    <x v="153"/>
    <x v="56"/>
    <x v="362"/>
    <x v="127"/>
    <x v="151"/>
    <x v="0"/>
  </r>
  <r>
    <x v="0"/>
    <x v="102"/>
    <x v="102"/>
    <x v="108"/>
    <x v="108"/>
    <x v="108"/>
    <x v="19"/>
    <x v="216"/>
    <x v="153"/>
    <x v="50"/>
    <x v="436"/>
    <x v="123"/>
    <x v="305"/>
    <x v="0"/>
  </r>
  <r>
    <x v="0"/>
    <x v="102"/>
    <x v="102"/>
    <x v="121"/>
    <x v="121"/>
    <x v="121"/>
    <x v="19"/>
    <x v="216"/>
    <x v="153"/>
    <x v="50"/>
    <x v="436"/>
    <x v="123"/>
    <x v="305"/>
    <x v="0"/>
  </r>
  <r>
    <x v="0"/>
    <x v="102"/>
    <x v="102"/>
    <x v="52"/>
    <x v="52"/>
    <x v="52"/>
    <x v="19"/>
    <x v="216"/>
    <x v="153"/>
    <x v="65"/>
    <x v="65"/>
    <x v="127"/>
    <x v="151"/>
    <x v="0"/>
  </r>
  <r>
    <x v="0"/>
    <x v="102"/>
    <x v="102"/>
    <x v="23"/>
    <x v="23"/>
    <x v="23"/>
    <x v="19"/>
    <x v="216"/>
    <x v="153"/>
    <x v="56"/>
    <x v="362"/>
    <x v="127"/>
    <x v="151"/>
    <x v="0"/>
  </r>
  <r>
    <x v="0"/>
    <x v="102"/>
    <x v="102"/>
    <x v="6"/>
    <x v="6"/>
    <x v="6"/>
    <x v="19"/>
    <x v="216"/>
    <x v="153"/>
    <x v="56"/>
    <x v="362"/>
    <x v="127"/>
    <x v="151"/>
    <x v="0"/>
  </r>
  <r>
    <x v="0"/>
    <x v="102"/>
    <x v="102"/>
    <x v="26"/>
    <x v="26"/>
    <x v="26"/>
    <x v="19"/>
    <x v="216"/>
    <x v="153"/>
    <x v="65"/>
    <x v="65"/>
    <x v="93"/>
    <x v="328"/>
    <x v="0"/>
  </r>
  <r>
    <x v="0"/>
    <x v="103"/>
    <x v="103"/>
    <x v="73"/>
    <x v="73"/>
    <x v="73"/>
    <x v="0"/>
    <x v="194"/>
    <x v="445"/>
    <x v="100"/>
    <x v="541"/>
    <x v="110"/>
    <x v="349"/>
    <x v="0"/>
  </r>
  <r>
    <x v="0"/>
    <x v="103"/>
    <x v="103"/>
    <x v="4"/>
    <x v="4"/>
    <x v="4"/>
    <x v="1"/>
    <x v="196"/>
    <x v="195"/>
    <x v="95"/>
    <x v="613"/>
    <x v="127"/>
    <x v="151"/>
    <x v="0"/>
  </r>
  <r>
    <x v="0"/>
    <x v="103"/>
    <x v="103"/>
    <x v="41"/>
    <x v="41"/>
    <x v="41"/>
    <x v="2"/>
    <x v="197"/>
    <x v="339"/>
    <x v="51"/>
    <x v="614"/>
    <x v="123"/>
    <x v="401"/>
    <x v="0"/>
  </r>
  <r>
    <x v="0"/>
    <x v="103"/>
    <x v="103"/>
    <x v="1"/>
    <x v="1"/>
    <x v="1"/>
    <x v="2"/>
    <x v="197"/>
    <x v="339"/>
    <x v="39"/>
    <x v="42"/>
    <x v="127"/>
    <x v="151"/>
    <x v="0"/>
  </r>
  <r>
    <x v="0"/>
    <x v="103"/>
    <x v="103"/>
    <x v="55"/>
    <x v="55"/>
    <x v="55"/>
    <x v="4"/>
    <x v="198"/>
    <x v="196"/>
    <x v="56"/>
    <x v="542"/>
    <x v="108"/>
    <x v="374"/>
    <x v="0"/>
  </r>
  <r>
    <x v="0"/>
    <x v="103"/>
    <x v="103"/>
    <x v="10"/>
    <x v="10"/>
    <x v="10"/>
    <x v="5"/>
    <x v="199"/>
    <x v="248"/>
    <x v="65"/>
    <x v="65"/>
    <x v="110"/>
    <x v="349"/>
    <x v="0"/>
  </r>
  <r>
    <x v="0"/>
    <x v="103"/>
    <x v="103"/>
    <x v="195"/>
    <x v="192"/>
    <x v="195"/>
    <x v="5"/>
    <x v="199"/>
    <x v="248"/>
    <x v="65"/>
    <x v="65"/>
    <x v="110"/>
    <x v="349"/>
    <x v="0"/>
  </r>
  <r>
    <x v="0"/>
    <x v="103"/>
    <x v="103"/>
    <x v="28"/>
    <x v="28"/>
    <x v="28"/>
    <x v="5"/>
    <x v="199"/>
    <x v="248"/>
    <x v="70"/>
    <x v="615"/>
    <x v="123"/>
    <x v="401"/>
    <x v="0"/>
  </r>
  <r>
    <x v="0"/>
    <x v="103"/>
    <x v="103"/>
    <x v="51"/>
    <x v="51"/>
    <x v="51"/>
    <x v="5"/>
    <x v="199"/>
    <x v="248"/>
    <x v="56"/>
    <x v="542"/>
    <x v="93"/>
    <x v="147"/>
    <x v="0"/>
  </r>
  <r>
    <x v="0"/>
    <x v="103"/>
    <x v="103"/>
    <x v="13"/>
    <x v="13"/>
    <x v="13"/>
    <x v="9"/>
    <x v="200"/>
    <x v="309"/>
    <x v="65"/>
    <x v="65"/>
    <x v="108"/>
    <x v="374"/>
    <x v="0"/>
  </r>
  <r>
    <x v="0"/>
    <x v="103"/>
    <x v="103"/>
    <x v="113"/>
    <x v="113"/>
    <x v="113"/>
    <x v="9"/>
    <x v="200"/>
    <x v="309"/>
    <x v="70"/>
    <x v="615"/>
    <x v="127"/>
    <x v="151"/>
    <x v="0"/>
  </r>
  <r>
    <x v="0"/>
    <x v="103"/>
    <x v="103"/>
    <x v="7"/>
    <x v="7"/>
    <x v="7"/>
    <x v="9"/>
    <x v="200"/>
    <x v="309"/>
    <x v="70"/>
    <x v="615"/>
    <x v="127"/>
    <x v="151"/>
    <x v="0"/>
  </r>
  <r>
    <x v="0"/>
    <x v="103"/>
    <x v="103"/>
    <x v="9"/>
    <x v="9"/>
    <x v="9"/>
    <x v="9"/>
    <x v="200"/>
    <x v="309"/>
    <x v="70"/>
    <x v="615"/>
    <x v="127"/>
    <x v="151"/>
    <x v="0"/>
  </r>
  <r>
    <x v="0"/>
    <x v="103"/>
    <x v="103"/>
    <x v="3"/>
    <x v="3"/>
    <x v="3"/>
    <x v="9"/>
    <x v="200"/>
    <x v="309"/>
    <x v="70"/>
    <x v="615"/>
    <x v="127"/>
    <x v="151"/>
    <x v="0"/>
  </r>
  <r>
    <x v="0"/>
    <x v="103"/>
    <x v="103"/>
    <x v="8"/>
    <x v="8"/>
    <x v="8"/>
    <x v="9"/>
    <x v="200"/>
    <x v="309"/>
    <x v="70"/>
    <x v="615"/>
    <x v="127"/>
    <x v="151"/>
    <x v="0"/>
  </r>
  <r>
    <x v="0"/>
    <x v="103"/>
    <x v="103"/>
    <x v="40"/>
    <x v="40"/>
    <x v="40"/>
    <x v="14"/>
    <x v="216"/>
    <x v="32"/>
    <x v="65"/>
    <x v="65"/>
    <x v="93"/>
    <x v="147"/>
    <x v="0"/>
  </r>
  <r>
    <x v="0"/>
    <x v="103"/>
    <x v="103"/>
    <x v="63"/>
    <x v="63"/>
    <x v="63"/>
    <x v="14"/>
    <x v="216"/>
    <x v="32"/>
    <x v="56"/>
    <x v="542"/>
    <x v="127"/>
    <x v="151"/>
    <x v="0"/>
  </r>
  <r>
    <x v="0"/>
    <x v="103"/>
    <x v="103"/>
    <x v="193"/>
    <x v="190"/>
    <x v="193"/>
    <x v="14"/>
    <x v="216"/>
    <x v="32"/>
    <x v="65"/>
    <x v="65"/>
    <x v="93"/>
    <x v="147"/>
    <x v="0"/>
  </r>
  <r>
    <x v="0"/>
    <x v="103"/>
    <x v="103"/>
    <x v="173"/>
    <x v="171"/>
    <x v="173"/>
    <x v="14"/>
    <x v="216"/>
    <x v="32"/>
    <x v="56"/>
    <x v="542"/>
    <x v="127"/>
    <x v="151"/>
    <x v="0"/>
  </r>
  <r>
    <x v="0"/>
    <x v="103"/>
    <x v="103"/>
    <x v="86"/>
    <x v="86"/>
    <x v="86"/>
    <x v="14"/>
    <x v="216"/>
    <x v="32"/>
    <x v="50"/>
    <x v="616"/>
    <x v="123"/>
    <x v="401"/>
    <x v="0"/>
  </r>
  <r>
    <x v="0"/>
    <x v="103"/>
    <x v="103"/>
    <x v="128"/>
    <x v="128"/>
    <x v="128"/>
    <x v="14"/>
    <x v="216"/>
    <x v="32"/>
    <x v="56"/>
    <x v="542"/>
    <x v="127"/>
    <x v="151"/>
    <x v="0"/>
  </r>
  <r>
    <x v="0"/>
    <x v="103"/>
    <x v="103"/>
    <x v="21"/>
    <x v="21"/>
    <x v="21"/>
    <x v="14"/>
    <x v="216"/>
    <x v="32"/>
    <x v="65"/>
    <x v="65"/>
    <x v="93"/>
    <x v="147"/>
    <x v="0"/>
  </r>
  <r>
    <x v="0"/>
    <x v="103"/>
    <x v="103"/>
    <x v="12"/>
    <x v="12"/>
    <x v="12"/>
    <x v="14"/>
    <x v="216"/>
    <x v="32"/>
    <x v="56"/>
    <x v="542"/>
    <x v="127"/>
    <x v="151"/>
    <x v="0"/>
  </r>
  <r>
    <x v="0"/>
    <x v="103"/>
    <x v="103"/>
    <x v="11"/>
    <x v="11"/>
    <x v="11"/>
    <x v="14"/>
    <x v="216"/>
    <x v="32"/>
    <x v="65"/>
    <x v="65"/>
    <x v="93"/>
    <x v="147"/>
    <x v="0"/>
  </r>
  <r>
    <x v="0"/>
    <x v="103"/>
    <x v="103"/>
    <x v="0"/>
    <x v="0"/>
    <x v="0"/>
    <x v="14"/>
    <x v="216"/>
    <x v="32"/>
    <x v="65"/>
    <x v="65"/>
    <x v="93"/>
    <x v="147"/>
    <x v="0"/>
  </r>
  <r>
    <x v="0"/>
    <x v="103"/>
    <x v="103"/>
    <x v="121"/>
    <x v="121"/>
    <x v="121"/>
    <x v="14"/>
    <x v="216"/>
    <x v="32"/>
    <x v="50"/>
    <x v="616"/>
    <x v="123"/>
    <x v="401"/>
    <x v="0"/>
  </r>
  <r>
    <x v="0"/>
    <x v="103"/>
    <x v="103"/>
    <x v="37"/>
    <x v="37"/>
    <x v="37"/>
    <x v="14"/>
    <x v="216"/>
    <x v="32"/>
    <x v="65"/>
    <x v="65"/>
    <x v="93"/>
    <x v="147"/>
    <x v="0"/>
  </r>
  <r>
    <x v="0"/>
    <x v="103"/>
    <x v="103"/>
    <x v="6"/>
    <x v="6"/>
    <x v="6"/>
    <x v="14"/>
    <x v="216"/>
    <x v="32"/>
    <x v="56"/>
    <x v="542"/>
    <x v="127"/>
    <x v="151"/>
    <x v="0"/>
  </r>
  <r>
    <x v="0"/>
    <x v="103"/>
    <x v="103"/>
    <x v="19"/>
    <x v="19"/>
    <x v="19"/>
    <x v="14"/>
    <x v="216"/>
    <x v="32"/>
    <x v="50"/>
    <x v="616"/>
    <x v="123"/>
    <x v="401"/>
    <x v="0"/>
  </r>
  <r>
    <x v="0"/>
    <x v="103"/>
    <x v="103"/>
    <x v="57"/>
    <x v="57"/>
    <x v="57"/>
    <x v="14"/>
    <x v="216"/>
    <x v="32"/>
    <x v="65"/>
    <x v="65"/>
    <x v="127"/>
    <x v="151"/>
    <x v="0"/>
  </r>
  <r>
    <x v="0"/>
    <x v="104"/>
    <x v="104"/>
    <x v="51"/>
    <x v="51"/>
    <x v="51"/>
    <x v="0"/>
    <x v="135"/>
    <x v="446"/>
    <x v="150"/>
    <x v="605"/>
    <x v="110"/>
    <x v="357"/>
    <x v="0"/>
  </r>
  <r>
    <x v="0"/>
    <x v="104"/>
    <x v="104"/>
    <x v="1"/>
    <x v="1"/>
    <x v="1"/>
    <x v="1"/>
    <x v="207"/>
    <x v="240"/>
    <x v="77"/>
    <x v="617"/>
    <x v="123"/>
    <x v="44"/>
    <x v="0"/>
  </r>
  <r>
    <x v="0"/>
    <x v="104"/>
    <x v="104"/>
    <x v="4"/>
    <x v="4"/>
    <x v="4"/>
    <x v="2"/>
    <x v="195"/>
    <x v="355"/>
    <x v="100"/>
    <x v="293"/>
    <x v="123"/>
    <x v="44"/>
    <x v="0"/>
  </r>
  <r>
    <x v="0"/>
    <x v="104"/>
    <x v="104"/>
    <x v="9"/>
    <x v="9"/>
    <x v="9"/>
    <x v="2"/>
    <x v="195"/>
    <x v="355"/>
    <x v="100"/>
    <x v="293"/>
    <x v="123"/>
    <x v="44"/>
    <x v="0"/>
  </r>
  <r>
    <x v="0"/>
    <x v="104"/>
    <x v="104"/>
    <x v="41"/>
    <x v="41"/>
    <x v="41"/>
    <x v="4"/>
    <x v="210"/>
    <x v="197"/>
    <x v="95"/>
    <x v="572"/>
    <x v="123"/>
    <x v="44"/>
    <x v="0"/>
  </r>
  <r>
    <x v="0"/>
    <x v="104"/>
    <x v="104"/>
    <x v="7"/>
    <x v="7"/>
    <x v="7"/>
    <x v="4"/>
    <x v="210"/>
    <x v="197"/>
    <x v="95"/>
    <x v="572"/>
    <x v="123"/>
    <x v="44"/>
    <x v="0"/>
  </r>
  <r>
    <x v="0"/>
    <x v="104"/>
    <x v="104"/>
    <x v="5"/>
    <x v="5"/>
    <x v="5"/>
    <x v="4"/>
    <x v="210"/>
    <x v="197"/>
    <x v="95"/>
    <x v="572"/>
    <x v="123"/>
    <x v="44"/>
    <x v="0"/>
  </r>
  <r>
    <x v="0"/>
    <x v="104"/>
    <x v="104"/>
    <x v="12"/>
    <x v="12"/>
    <x v="12"/>
    <x v="7"/>
    <x v="196"/>
    <x v="443"/>
    <x v="39"/>
    <x v="618"/>
    <x v="123"/>
    <x v="44"/>
    <x v="0"/>
  </r>
  <r>
    <x v="0"/>
    <x v="104"/>
    <x v="104"/>
    <x v="11"/>
    <x v="11"/>
    <x v="11"/>
    <x v="7"/>
    <x v="196"/>
    <x v="443"/>
    <x v="70"/>
    <x v="7"/>
    <x v="110"/>
    <x v="357"/>
    <x v="0"/>
  </r>
  <r>
    <x v="0"/>
    <x v="104"/>
    <x v="104"/>
    <x v="133"/>
    <x v="133"/>
    <x v="133"/>
    <x v="7"/>
    <x v="196"/>
    <x v="443"/>
    <x v="39"/>
    <x v="618"/>
    <x v="123"/>
    <x v="44"/>
    <x v="0"/>
  </r>
  <r>
    <x v="0"/>
    <x v="104"/>
    <x v="104"/>
    <x v="3"/>
    <x v="3"/>
    <x v="3"/>
    <x v="7"/>
    <x v="196"/>
    <x v="443"/>
    <x v="95"/>
    <x v="572"/>
    <x v="127"/>
    <x v="151"/>
    <x v="0"/>
  </r>
  <r>
    <x v="0"/>
    <x v="104"/>
    <x v="104"/>
    <x v="13"/>
    <x v="13"/>
    <x v="13"/>
    <x v="11"/>
    <x v="197"/>
    <x v="447"/>
    <x v="50"/>
    <x v="240"/>
    <x v="119"/>
    <x v="402"/>
    <x v="0"/>
  </r>
  <r>
    <x v="0"/>
    <x v="104"/>
    <x v="104"/>
    <x v="10"/>
    <x v="10"/>
    <x v="10"/>
    <x v="12"/>
    <x v="198"/>
    <x v="401"/>
    <x v="65"/>
    <x v="65"/>
    <x v="119"/>
    <x v="402"/>
    <x v="0"/>
  </r>
  <r>
    <x v="0"/>
    <x v="104"/>
    <x v="104"/>
    <x v="33"/>
    <x v="33"/>
    <x v="33"/>
    <x v="12"/>
    <x v="198"/>
    <x v="401"/>
    <x v="65"/>
    <x v="65"/>
    <x v="119"/>
    <x v="402"/>
    <x v="0"/>
  </r>
  <r>
    <x v="0"/>
    <x v="104"/>
    <x v="104"/>
    <x v="0"/>
    <x v="0"/>
    <x v="0"/>
    <x v="12"/>
    <x v="198"/>
    <x v="401"/>
    <x v="62"/>
    <x v="128"/>
    <x v="123"/>
    <x v="44"/>
    <x v="0"/>
  </r>
  <r>
    <x v="0"/>
    <x v="104"/>
    <x v="104"/>
    <x v="45"/>
    <x v="45"/>
    <x v="45"/>
    <x v="14"/>
    <x v="199"/>
    <x v="86"/>
    <x v="70"/>
    <x v="7"/>
    <x v="123"/>
    <x v="44"/>
    <x v="0"/>
  </r>
  <r>
    <x v="0"/>
    <x v="104"/>
    <x v="104"/>
    <x v="2"/>
    <x v="2"/>
    <x v="2"/>
    <x v="14"/>
    <x v="199"/>
    <x v="86"/>
    <x v="62"/>
    <x v="128"/>
    <x v="127"/>
    <x v="151"/>
    <x v="0"/>
  </r>
  <r>
    <x v="0"/>
    <x v="104"/>
    <x v="104"/>
    <x v="52"/>
    <x v="52"/>
    <x v="52"/>
    <x v="14"/>
    <x v="199"/>
    <x v="86"/>
    <x v="50"/>
    <x v="240"/>
    <x v="127"/>
    <x v="151"/>
    <x v="0"/>
  </r>
  <r>
    <x v="0"/>
    <x v="104"/>
    <x v="104"/>
    <x v="53"/>
    <x v="53"/>
    <x v="53"/>
    <x v="14"/>
    <x v="199"/>
    <x v="86"/>
    <x v="65"/>
    <x v="65"/>
    <x v="110"/>
    <x v="357"/>
    <x v="0"/>
  </r>
  <r>
    <x v="0"/>
    <x v="104"/>
    <x v="104"/>
    <x v="19"/>
    <x v="19"/>
    <x v="19"/>
    <x v="14"/>
    <x v="199"/>
    <x v="86"/>
    <x v="50"/>
    <x v="240"/>
    <x v="108"/>
    <x v="348"/>
    <x v="0"/>
  </r>
  <r>
    <x v="0"/>
    <x v="105"/>
    <x v="105"/>
    <x v="0"/>
    <x v="0"/>
    <x v="0"/>
    <x v="0"/>
    <x v="115"/>
    <x v="448"/>
    <x v="176"/>
    <x v="619"/>
    <x v="93"/>
    <x v="178"/>
    <x v="0"/>
  </r>
  <r>
    <x v="0"/>
    <x v="105"/>
    <x v="105"/>
    <x v="2"/>
    <x v="2"/>
    <x v="2"/>
    <x v="1"/>
    <x v="215"/>
    <x v="449"/>
    <x v="157"/>
    <x v="620"/>
    <x v="127"/>
    <x v="151"/>
    <x v="0"/>
  </r>
  <r>
    <x v="0"/>
    <x v="105"/>
    <x v="105"/>
    <x v="4"/>
    <x v="4"/>
    <x v="4"/>
    <x v="2"/>
    <x v="206"/>
    <x v="450"/>
    <x v="61"/>
    <x v="517"/>
    <x v="93"/>
    <x v="178"/>
    <x v="0"/>
  </r>
  <r>
    <x v="0"/>
    <x v="105"/>
    <x v="105"/>
    <x v="1"/>
    <x v="1"/>
    <x v="1"/>
    <x v="3"/>
    <x v="193"/>
    <x v="38"/>
    <x v="38"/>
    <x v="84"/>
    <x v="127"/>
    <x v="151"/>
    <x v="0"/>
  </r>
  <r>
    <x v="0"/>
    <x v="105"/>
    <x v="105"/>
    <x v="3"/>
    <x v="3"/>
    <x v="3"/>
    <x v="4"/>
    <x v="194"/>
    <x v="451"/>
    <x v="61"/>
    <x v="517"/>
    <x v="127"/>
    <x v="151"/>
    <x v="0"/>
  </r>
  <r>
    <x v="0"/>
    <x v="105"/>
    <x v="105"/>
    <x v="51"/>
    <x v="51"/>
    <x v="51"/>
    <x v="5"/>
    <x v="208"/>
    <x v="452"/>
    <x v="100"/>
    <x v="621"/>
    <x v="93"/>
    <x v="178"/>
    <x v="0"/>
  </r>
  <r>
    <x v="0"/>
    <x v="105"/>
    <x v="105"/>
    <x v="40"/>
    <x v="40"/>
    <x v="40"/>
    <x v="6"/>
    <x v="197"/>
    <x v="143"/>
    <x v="65"/>
    <x v="65"/>
    <x v="67"/>
    <x v="343"/>
    <x v="0"/>
  </r>
  <r>
    <x v="0"/>
    <x v="105"/>
    <x v="105"/>
    <x v="28"/>
    <x v="28"/>
    <x v="28"/>
    <x v="6"/>
    <x v="197"/>
    <x v="143"/>
    <x v="70"/>
    <x v="518"/>
    <x v="108"/>
    <x v="142"/>
    <x v="0"/>
  </r>
  <r>
    <x v="0"/>
    <x v="105"/>
    <x v="105"/>
    <x v="7"/>
    <x v="7"/>
    <x v="7"/>
    <x v="6"/>
    <x v="197"/>
    <x v="143"/>
    <x v="70"/>
    <x v="518"/>
    <x v="108"/>
    <x v="142"/>
    <x v="0"/>
  </r>
  <r>
    <x v="0"/>
    <x v="105"/>
    <x v="105"/>
    <x v="5"/>
    <x v="5"/>
    <x v="5"/>
    <x v="6"/>
    <x v="197"/>
    <x v="143"/>
    <x v="51"/>
    <x v="384"/>
    <x v="123"/>
    <x v="113"/>
    <x v="0"/>
  </r>
  <r>
    <x v="0"/>
    <x v="105"/>
    <x v="105"/>
    <x v="9"/>
    <x v="9"/>
    <x v="9"/>
    <x v="6"/>
    <x v="197"/>
    <x v="143"/>
    <x v="51"/>
    <x v="384"/>
    <x v="123"/>
    <x v="113"/>
    <x v="0"/>
  </r>
  <r>
    <x v="0"/>
    <x v="105"/>
    <x v="105"/>
    <x v="6"/>
    <x v="6"/>
    <x v="6"/>
    <x v="6"/>
    <x v="197"/>
    <x v="143"/>
    <x v="39"/>
    <x v="36"/>
    <x v="127"/>
    <x v="151"/>
    <x v="0"/>
  </r>
  <r>
    <x v="0"/>
    <x v="105"/>
    <x v="105"/>
    <x v="47"/>
    <x v="47"/>
    <x v="47"/>
    <x v="12"/>
    <x v="198"/>
    <x v="258"/>
    <x v="56"/>
    <x v="426"/>
    <x v="108"/>
    <x v="142"/>
    <x v="0"/>
  </r>
  <r>
    <x v="0"/>
    <x v="105"/>
    <x v="105"/>
    <x v="55"/>
    <x v="55"/>
    <x v="55"/>
    <x v="12"/>
    <x v="198"/>
    <x v="258"/>
    <x v="62"/>
    <x v="439"/>
    <x v="123"/>
    <x v="113"/>
    <x v="0"/>
  </r>
  <r>
    <x v="0"/>
    <x v="105"/>
    <x v="105"/>
    <x v="133"/>
    <x v="133"/>
    <x v="133"/>
    <x v="12"/>
    <x v="198"/>
    <x v="258"/>
    <x v="62"/>
    <x v="439"/>
    <x v="123"/>
    <x v="113"/>
    <x v="0"/>
  </r>
  <r>
    <x v="0"/>
    <x v="105"/>
    <x v="105"/>
    <x v="44"/>
    <x v="44"/>
    <x v="44"/>
    <x v="14"/>
    <x v="199"/>
    <x v="117"/>
    <x v="56"/>
    <x v="426"/>
    <x v="93"/>
    <x v="178"/>
    <x v="0"/>
  </r>
  <r>
    <x v="0"/>
    <x v="105"/>
    <x v="105"/>
    <x v="11"/>
    <x v="11"/>
    <x v="11"/>
    <x v="14"/>
    <x v="199"/>
    <x v="117"/>
    <x v="56"/>
    <x v="426"/>
    <x v="93"/>
    <x v="178"/>
    <x v="0"/>
  </r>
  <r>
    <x v="0"/>
    <x v="105"/>
    <x v="105"/>
    <x v="18"/>
    <x v="18"/>
    <x v="18"/>
    <x v="14"/>
    <x v="199"/>
    <x v="117"/>
    <x v="56"/>
    <x v="426"/>
    <x v="93"/>
    <x v="178"/>
    <x v="0"/>
  </r>
  <r>
    <x v="0"/>
    <x v="105"/>
    <x v="105"/>
    <x v="42"/>
    <x v="42"/>
    <x v="42"/>
    <x v="14"/>
    <x v="199"/>
    <x v="117"/>
    <x v="65"/>
    <x v="65"/>
    <x v="110"/>
    <x v="335"/>
    <x v="0"/>
  </r>
  <r>
    <x v="0"/>
    <x v="105"/>
    <x v="105"/>
    <x v="45"/>
    <x v="45"/>
    <x v="45"/>
    <x v="14"/>
    <x v="199"/>
    <x v="117"/>
    <x v="62"/>
    <x v="439"/>
    <x v="127"/>
    <x v="151"/>
    <x v="0"/>
  </r>
  <r>
    <x v="0"/>
    <x v="106"/>
    <x v="106"/>
    <x v="51"/>
    <x v="51"/>
    <x v="51"/>
    <x v="0"/>
    <x v="193"/>
    <x v="453"/>
    <x v="61"/>
    <x v="622"/>
    <x v="123"/>
    <x v="134"/>
    <x v="0"/>
  </r>
  <r>
    <x v="0"/>
    <x v="106"/>
    <x v="106"/>
    <x v="9"/>
    <x v="9"/>
    <x v="9"/>
    <x v="1"/>
    <x v="195"/>
    <x v="454"/>
    <x v="68"/>
    <x v="609"/>
    <x v="127"/>
    <x v="151"/>
    <x v="0"/>
  </r>
  <r>
    <x v="0"/>
    <x v="106"/>
    <x v="106"/>
    <x v="133"/>
    <x v="133"/>
    <x v="133"/>
    <x v="2"/>
    <x v="197"/>
    <x v="404"/>
    <x v="62"/>
    <x v="611"/>
    <x v="93"/>
    <x v="272"/>
    <x v="0"/>
  </r>
  <r>
    <x v="0"/>
    <x v="106"/>
    <x v="106"/>
    <x v="4"/>
    <x v="4"/>
    <x v="4"/>
    <x v="3"/>
    <x v="198"/>
    <x v="455"/>
    <x v="62"/>
    <x v="611"/>
    <x v="123"/>
    <x v="134"/>
    <x v="0"/>
  </r>
  <r>
    <x v="0"/>
    <x v="106"/>
    <x v="106"/>
    <x v="21"/>
    <x v="21"/>
    <x v="21"/>
    <x v="4"/>
    <x v="199"/>
    <x v="405"/>
    <x v="65"/>
    <x v="65"/>
    <x v="110"/>
    <x v="403"/>
    <x v="0"/>
  </r>
  <r>
    <x v="0"/>
    <x v="106"/>
    <x v="106"/>
    <x v="41"/>
    <x v="41"/>
    <x v="41"/>
    <x v="4"/>
    <x v="199"/>
    <x v="405"/>
    <x v="62"/>
    <x v="611"/>
    <x v="127"/>
    <x v="151"/>
    <x v="0"/>
  </r>
  <r>
    <x v="0"/>
    <x v="106"/>
    <x v="106"/>
    <x v="7"/>
    <x v="7"/>
    <x v="7"/>
    <x v="4"/>
    <x v="199"/>
    <x v="405"/>
    <x v="62"/>
    <x v="611"/>
    <x v="127"/>
    <x v="151"/>
    <x v="0"/>
  </r>
  <r>
    <x v="0"/>
    <x v="106"/>
    <x v="106"/>
    <x v="3"/>
    <x v="3"/>
    <x v="3"/>
    <x v="4"/>
    <x v="199"/>
    <x v="405"/>
    <x v="62"/>
    <x v="611"/>
    <x v="127"/>
    <x v="151"/>
    <x v="0"/>
  </r>
  <r>
    <x v="0"/>
    <x v="106"/>
    <x v="106"/>
    <x v="1"/>
    <x v="1"/>
    <x v="1"/>
    <x v="4"/>
    <x v="199"/>
    <x v="405"/>
    <x v="62"/>
    <x v="611"/>
    <x v="127"/>
    <x v="151"/>
    <x v="0"/>
  </r>
  <r>
    <x v="0"/>
    <x v="106"/>
    <x v="106"/>
    <x v="44"/>
    <x v="44"/>
    <x v="44"/>
    <x v="9"/>
    <x v="200"/>
    <x v="456"/>
    <x v="70"/>
    <x v="610"/>
    <x v="127"/>
    <x v="151"/>
    <x v="0"/>
  </r>
  <r>
    <x v="0"/>
    <x v="106"/>
    <x v="106"/>
    <x v="19"/>
    <x v="19"/>
    <x v="19"/>
    <x v="9"/>
    <x v="200"/>
    <x v="456"/>
    <x v="56"/>
    <x v="362"/>
    <x v="123"/>
    <x v="134"/>
    <x v="0"/>
  </r>
  <r>
    <x v="0"/>
    <x v="106"/>
    <x v="106"/>
    <x v="10"/>
    <x v="10"/>
    <x v="10"/>
    <x v="11"/>
    <x v="216"/>
    <x v="45"/>
    <x v="65"/>
    <x v="65"/>
    <x v="93"/>
    <x v="272"/>
    <x v="0"/>
  </r>
  <r>
    <x v="0"/>
    <x v="106"/>
    <x v="106"/>
    <x v="46"/>
    <x v="46"/>
    <x v="46"/>
    <x v="11"/>
    <x v="216"/>
    <x v="45"/>
    <x v="50"/>
    <x v="436"/>
    <x v="123"/>
    <x v="134"/>
    <x v="0"/>
  </r>
  <r>
    <x v="0"/>
    <x v="106"/>
    <x v="106"/>
    <x v="14"/>
    <x v="14"/>
    <x v="14"/>
    <x v="11"/>
    <x v="216"/>
    <x v="45"/>
    <x v="65"/>
    <x v="65"/>
    <x v="93"/>
    <x v="272"/>
    <x v="0"/>
  </r>
  <r>
    <x v="0"/>
    <x v="106"/>
    <x v="106"/>
    <x v="101"/>
    <x v="101"/>
    <x v="101"/>
    <x v="11"/>
    <x v="216"/>
    <x v="45"/>
    <x v="56"/>
    <x v="362"/>
    <x v="127"/>
    <x v="151"/>
    <x v="0"/>
  </r>
  <r>
    <x v="0"/>
    <x v="106"/>
    <x v="106"/>
    <x v="20"/>
    <x v="20"/>
    <x v="20"/>
    <x v="11"/>
    <x v="216"/>
    <x v="45"/>
    <x v="65"/>
    <x v="65"/>
    <x v="93"/>
    <x v="272"/>
    <x v="0"/>
  </r>
  <r>
    <x v="0"/>
    <x v="106"/>
    <x v="106"/>
    <x v="0"/>
    <x v="0"/>
    <x v="0"/>
    <x v="11"/>
    <x v="216"/>
    <x v="45"/>
    <x v="56"/>
    <x v="362"/>
    <x v="127"/>
    <x v="151"/>
    <x v="0"/>
  </r>
  <r>
    <x v="0"/>
    <x v="106"/>
    <x v="106"/>
    <x v="45"/>
    <x v="45"/>
    <x v="45"/>
    <x v="11"/>
    <x v="216"/>
    <x v="45"/>
    <x v="56"/>
    <x v="362"/>
    <x v="127"/>
    <x v="151"/>
    <x v="0"/>
  </r>
  <r>
    <x v="0"/>
    <x v="106"/>
    <x v="106"/>
    <x v="5"/>
    <x v="5"/>
    <x v="5"/>
    <x v="11"/>
    <x v="216"/>
    <x v="45"/>
    <x v="50"/>
    <x v="436"/>
    <x v="123"/>
    <x v="134"/>
    <x v="0"/>
  </r>
  <r>
    <x v="0"/>
    <x v="106"/>
    <x v="106"/>
    <x v="135"/>
    <x v="135"/>
    <x v="135"/>
    <x v="11"/>
    <x v="216"/>
    <x v="45"/>
    <x v="65"/>
    <x v="65"/>
    <x v="93"/>
    <x v="272"/>
    <x v="0"/>
  </r>
  <r>
    <x v="0"/>
    <x v="106"/>
    <x v="106"/>
    <x v="52"/>
    <x v="52"/>
    <x v="52"/>
    <x v="11"/>
    <x v="216"/>
    <x v="45"/>
    <x v="50"/>
    <x v="436"/>
    <x v="127"/>
    <x v="151"/>
    <x v="0"/>
  </r>
  <r>
    <x v="0"/>
    <x v="106"/>
    <x v="106"/>
    <x v="8"/>
    <x v="8"/>
    <x v="8"/>
    <x v="11"/>
    <x v="216"/>
    <x v="45"/>
    <x v="50"/>
    <x v="436"/>
    <x v="123"/>
    <x v="134"/>
    <x v="0"/>
  </r>
  <r>
    <x v="0"/>
    <x v="107"/>
    <x v="107"/>
    <x v="9"/>
    <x v="9"/>
    <x v="9"/>
    <x v="0"/>
    <x v="199"/>
    <x v="412"/>
    <x v="56"/>
    <x v="180"/>
    <x v="123"/>
    <x v="134"/>
    <x v="6"/>
  </r>
  <r>
    <x v="0"/>
    <x v="107"/>
    <x v="107"/>
    <x v="45"/>
    <x v="45"/>
    <x v="45"/>
    <x v="1"/>
    <x v="200"/>
    <x v="247"/>
    <x v="70"/>
    <x v="337"/>
    <x v="127"/>
    <x v="151"/>
    <x v="0"/>
  </r>
  <r>
    <x v="0"/>
    <x v="107"/>
    <x v="107"/>
    <x v="2"/>
    <x v="2"/>
    <x v="2"/>
    <x v="1"/>
    <x v="200"/>
    <x v="247"/>
    <x v="70"/>
    <x v="337"/>
    <x v="127"/>
    <x v="151"/>
    <x v="0"/>
  </r>
  <r>
    <x v="0"/>
    <x v="107"/>
    <x v="107"/>
    <x v="119"/>
    <x v="119"/>
    <x v="119"/>
    <x v="3"/>
    <x v="216"/>
    <x v="23"/>
    <x v="65"/>
    <x v="65"/>
    <x v="123"/>
    <x v="134"/>
    <x v="0"/>
  </r>
  <r>
    <x v="0"/>
    <x v="107"/>
    <x v="107"/>
    <x v="78"/>
    <x v="78"/>
    <x v="78"/>
    <x v="3"/>
    <x v="216"/>
    <x v="23"/>
    <x v="65"/>
    <x v="65"/>
    <x v="93"/>
    <x v="272"/>
    <x v="0"/>
  </r>
  <r>
    <x v="0"/>
    <x v="107"/>
    <x v="107"/>
    <x v="12"/>
    <x v="12"/>
    <x v="12"/>
    <x v="3"/>
    <x v="216"/>
    <x v="23"/>
    <x v="50"/>
    <x v="333"/>
    <x v="123"/>
    <x v="134"/>
    <x v="0"/>
  </r>
  <r>
    <x v="0"/>
    <x v="107"/>
    <x v="107"/>
    <x v="49"/>
    <x v="49"/>
    <x v="49"/>
    <x v="3"/>
    <x v="216"/>
    <x v="23"/>
    <x v="50"/>
    <x v="333"/>
    <x v="123"/>
    <x v="134"/>
    <x v="0"/>
  </r>
  <r>
    <x v="0"/>
    <x v="107"/>
    <x v="107"/>
    <x v="4"/>
    <x v="4"/>
    <x v="4"/>
    <x v="3"/>
    <x v="216"/>
    <x v="23"/>
    <x v="56"/>
    <x v="180"/>
    <x v="127"/>
    <x v="151"/>
    <x v="0"/>
  </r>
  <r>
    <x v="0"/>
    <x v="107"/>
    <x v="107"/>
    <x v="131"/>
    <x v="131"/>
    <x v="131"/>
    <x v="3"/>
    <x v="216"/>
    <x v="23"/>
    <x v="56"/>
    <x v="180"/>
    <x v="127"/>
    <x v="151"/>
    <x v="0"/>
  </r>
  <r>
    <x v="0"/>
    <x v="107"/>
    <x v="107"/>
    <x v="5"/>
    <x v="5"/>
    <x v="5"/>
    <x v="3"/>
    <x v="216"/>
    <x v="23"/>
    <x v="56"/>
    <x v="180"/>
    <x v="127"/>
    <x v="151"/>
    <x v="0"/>
  </r>
  <r>
    <x v="0"/>
    <x v="107"/>
    <x v="107"/>
    <x v="102"/>
    <x v="102"/>
    <x v="102"/>
    <x v="3"/>
    <x v="216"/>
    <x v="23"/>
    <x v="56"/>
    <x v="180"/>
    <x v="127"/>
    <x v="151"/>
    <x v="0"/>
  </r>
  <r>
    <x v="0"/>
    <x v="107"/>
    <x v="107"/>
    <x v="1"/>
    <x v="1"/>
    <x v="1"/>
    <x v="3"/>
    <x v="216"/>
    <x v="23"/>
    <x v="56"/>
    <x v="180"/>
    <x v="127"/>
    <x v="151"/>
    <x v="0"/>
  </r>
  <r>
    <x v="0"/>
    <x v="107"/>
    <x v="107"/>
    <x v="64"/>
    <x v="64"/>
    <x v="64"/>
    <x v="3"/>
    <x v="216"/>
    <x v="23"/>
    <x v="65"/>
    <x v="65"/>
    <x v="127"/>
    <x v="151"/>
    <x v="0"/>
  </r>
  <r>
    <x v="0"/>
    <x v="107"/>
    <x v="107"/>
    <x v="123"/>
    <x v="123"/>
    <x v="123"/>
    <x v="3"/>
    <x v="216"/>
    <x v="23"/>
    <x v="50"/>
    <x v="333"/>
    <x v="123"/>
    <x v="134"/>
    <x v="0"/>
  </r>
  <r>
    <x v="0"/>
    <x v="107"/>
    <x v="107"/>
    <x v="196"/>
    <x v="193"/>
    <x v="196"/>
    <x v="19"/>
    <x v="217"/>
    <x v="12"/>
    <x v="65"/>
    <x v="65"/>
    <x v="123"/>
    <x v="134"/>
    <x v="0"/>
  </r>
  <r>
    <x v="0"/>
    <x v="107"/>
    <x v="107"/>
    <x v="10"/>
    <x v="10"/>
    <x v="10"/>
    <x v="19"/>
    <x v="217"/>
    <x v="12"/>
    <x v="65"/>
    <x v="65"/>
    <x v="123"/>
    <x v="134"/>
    <x v="0"/>
  </r>
  <r>
    <x v="0"/>
    <x v="107"/>
    <x v="107"/>
    <x v="17"/>
    <x v="17"/>
    <x v="17"/>
    <x v="19"/>
    <x v="217"/>
    <x v="12"/>
    <x v="65"/>
    <x v="65"/>
    <x v="123"/>
    <x v="134"/>
    <x v="0"/>
  </r>
  <r>
    <x v="0"/>
    <x v="107"/>
    <x v="107"/>
    <x v="40"/>
    <x v="40"/>
    <x v="40"/>
    <x v="19"/>
    <x v="217"/>
    <x v="12"/>
    <x v="65"/>
    <x v="65"/>
    <x v="123"/>
    <x v="134"/>
    <x v="0"/>
  </r>
  <r>
    <x v="0"/>
    <x v="107"/>
    <x v="107"/>
    <x v="32"/>
    <x v="32"/>
    <x v="32"/>
    <x v="19"/>
    <x v="217"/>
    <x v="12"/>
    <x v="65"/>
    <x v="65"/>
    <x v="123"/>
    <x v="134"/>
    <x v="0"/>
  </r>
  <r>
    <x v="0"/>
    <x v="107"/>
    <x v="107"/>
    <x v="67"/>
    <x v="67"/>
    <x v="67"/>
    <x v="19"/>
    <x v="217"/>
    <x v="12"/>
    <x v="65"/>
    <x v="65"/>
    <x v="123"/>
    <x v="134"/>
    <x v="0"/>
  </r>
  <r>
    <x v="0"/>
    <x v="107"/>
    <x v="107"/>
    <x v="56"/>
    <x v="56"/>
    <x v="56"/>
    <x v="19"/>
    <x v="217"/>
    <x v="12"/>
    <x v="50"/>
    <x v="333"/>
    <x v="127"/>
    <x v="151"/>
    <x v="0"/>
  </r>
  <r>
    <x v="0"/>
    <x v="107"/>
    <x v="107"/>
    <x v="46"/>
    <x v="46"/>
    <x v="46"/>
    <x v="19"/>
    <x v="217"/>
    <x v="12"/>
    <x v="50"/>
    <x v="333"/>
    <x v="127"/>
    <x v="151"/>
    <x v="0"/>
  </r>
  <r>
    <x v="0"/>
    <x v="107"/>
    <x v="107"/>
    <x v="13"/>
    <x v="13"/>
    <x v="13"/>
    <x v="19"/>
    <x v="217"/>
    <x v="12"/>
    <x v="65"/>
    <x v="65"/>
    <x v="123"/>
    <x v="134"/>
    <x v="0"/>
  </r>
  <r>
    <x v="0"/>
    <x v="107"/>
    <x v="107"/>
    <x v="14"/>
    <x v="14"/>
    <x v="14"/>
    <x v="19"/>
    <x v="217"/>
    <x v="12"/>
    <x v="65"/>
    <x v="65"/>
    <x v="123"/>
    <x v="134"/>
    <x v="0"/>
  </r>
  <r>
    <x v="0"/>
    <x v="107"/>
    <x v="107"/>
    <x v="127"/>
    <x v="127"/>
    <x v="127"/>
    <x v="19"/>
    <x v="217"/>
    <x v="12"/>
    <x v="65"/>
    <x v="65"/>
    <x v="123"/>
    <x v="134"/>
    <x v="0"/>
  </r>
  <r>
    <x v="0"/>
    <x v="107"/>
    <x v="107"/>
    <x v="88"/>
    <x v="88"/>
    <x v="88"/>
    <x v="19"/>
    <x v="217"/>
    <x v="12"/>
    <x v="50"/>
    <x v="333"/>
    <x v="127"/>
    <x v="151"/>
    <x v="0"/>
  </r>
  <r>
    <x v="0"/>
    <x v="107"/>
    <x v="107"/>
    <x v="106"/>
    <x v="106"/>
    <x v="106"/>
    <x v="19"/>
    <x v="217"/>
    <x v="12"/>
    <x v="65"/>
    <x v="65"/>
    <x v="123"/>
    <x v="134"/>
    <x v="0"/>
  </r>
  <r>
    <x v="0"/>
    <x v="107"/>
    <x v="107"/>
    <x v="197"/>
    <x v="194"/>
    <x v="197"/>
    <x v="19"/>
    <x v="217"/>
    <x v="12"/>
    <x v="50"/>
    <x v="333"/>
    <x v="127"/>
    <x v="151"/>
    <x v="0"/>
  </r>
  <r>
    <x v="0"/>
    <x v="107"/>
    <x v="107"/>
    <x v="198"/>
    <x v="195"/>
    <x v="198"/>
    <x v="19"/>
    <x v="217"/>
    <x v="12"/>
    <x v="65"/>
    <x v="65"/>
    <x v="123"/>
    <x v="134"/>
    <x v="0"/>
  </r>
  <r>
    <x v="0"/>
    <x v="107"/>
    <x v="107"/>
    <x v="128"/>
    <x v="128"/>
    <x v="128"/>
    <x v="19"/>
    <x v="217"/>
    <x v="12"/>
    <x v="50"/>
    <x v="333"/>
    <x v="127"/>
    <x v="151"/>
    <x v="0"/>
  </r>
  <r>
    <x v="0"/>
    <x v="107"/>
    <x v="107"/>
    <x v="76"/>
    <x v="76"/>
    <x v="76"/>
    <x v="19"/>
    <x v="217"/>
    <x v="12"/>
    <x v="65"/>
    <x v="65"/>
    <x v="127"/>
    <x v="151"/>
    <x v="0"/>
  </r>
  <r>
    <x v="0"/>
    <x v="107"/>
    <x v="107"/>
    <x v="62"/>
    <x v="62"/>
    <x v="62"/>
    <x v="19"/>
    <x v="217"/>
    <x v="12"/>
    <x v="50"/>
    <x v="333"/>
    <x v="127"/>
    <x v="151"/>
    <x v="0"/>
  </r>
  <r>
    <x v="0"/>
    <x v="107"/>
    <x v="107"/>
    <x v="199"/>
    <x v="196"/>
    <x v="199"/>
    <x v="19"/>
    <x v="217"/>
    <x v="12"/>
    <x v="50"/>
    <x v="333"/>
    <x v="127"/>
    <x v="151"/>
    <x v="0"/>
  </r>
  <r>
    <x v="0"/>
    <x v="107"/>
    <x v="107"/>
    <x v="21"/>
    <x v="21"/>
    <x v="21"/>
    <x v="19"/>
    <x v="217"/>
    <x v="12"/>
    <x v="65"/>
    <x v="65"/>
    <x v="123"/>
    <x v="134"/>
    <x v="0"/>
  </r>
  <r>
    <x v="0"/>
    <x v="107"/>
    <x v="107"/>
    <x v="68"/>
    <x v="68"/>
    <x v="68"/>
    <x v="19"/>
    <x v="217"/>
    <x v="12"/>
    <x v="65"/>
    <x v="65"/>
    <x v="123"/>
    <x v="134"/>
    <x v="0"/>
  </r>
  <r>
    <x v="0"/>
    <x v="107"/>
    <x v="107"/>
    <x v="41"/>
    <x v="41"/>
    <x v="41"/>
    <x v="19"/>
    <x v="217"/>
    <x v="12"/>
    <x v="50"/>
    <x v="333"/>
    <x v="127"/>
    <x v="151"/>
    <x v="0"/>
  </r>
  <r>
    <x v="0"/>
    <x v="107"/>
    <x v="107"/>
    <x v="114"/>
    <x v="114"/>
    <x v="114"/>
    <x v="19"/>
    <x v="217"/>
    <x v="12"/>
    <x v="50"/>
    <x v="333"/>
    <x v="127"/>
    <x v="151"/>
    <x v="0"/>
  </r>
  <r>
    <x v="0"/>
    <x v="107"/>
    <x v="107"/>
    <x v="84"/>
    <x v="84"/>
    <x v="84"/>
    <x v="19"/>
    <x v="217"/>
    <x v="12"/>
    <x v="65"/>
    <x v="65"/>
    <x v="123"/>
    <x v="134"/>
    <x v="0"/>
  </r>
  <r>
    <x v="0"/>
    <x v="107"/>
    <x v="107"/>
    <x v="42"/>
    <x v="42"/>
    <x v="42"/>
    <x v="19"/>
    <x v="217"/>
    <x v="12"/>
    <x v="65"/>
    <x v="65"/>
    <x v="123"/>
    <x v="134"/>
    <x v="0"/>
  </r>
  <r>
    <x v="0"/>
    <x v="107"/>
    <x v="107"/>
    <x v="7"/>
    <x v="7"/>
    <x v="7"/>
    <x v="19"/>
    <x v="217"/>
    <x v="12"/>
    <x v="50"/>
    <x v="333"/>
    <x v="127"/>
    <x v="151"/>
    <x v="0"/>
  </r>
  <r>
    <x v="0"/>
    <x v="107"/>
    <x v="107"/>
    <x v="138"/>
    <x v="138"/>
    <x v="138"/>
    <x v="19"/>
    <x v="217"/>
    <x v="12"/>
    <x v="65"/>
    <x v="65"/>
    <x v="123"/>
    <x v="134"/>
    <x v="0"/>
  </r>
  <r>
    <x v="0"/>
    <x v="107"/>
    <x v="107"/>
    <x v="20"/>
    <x v="20"/>
    <x v="20"/>
    <x v="19"/>
    <x v="217"/>
    <x v="12"/>
    <x v="65"/>
    <x v="65"/>
    <x v="123"/>
    <x v="134"/>
    <x v="0"/>
  </r>
  <r>
    <x v="0"/>
    <x v="107"/>
    <x v="107"/>
    <x v="121"/>
    <x v="121"/>
    <x v="121"/>
    <x v="19"/>
    <x v="217"/>
    <x v="12"/>
    <x v="50"/>
    <x v="333"/>
    <x v="127"/>
    <x v="151"/>
    <x v="0"/>
  </r>
  <r>
    <x v="0"/>
    <x v="107"/>
    <x v="107"/>
    <x v="135"/>
    <x v="135"/>
    <x v="135"/>
    <x v="19"/>
    <x v="217"/>
    <x v="12"/>
    <x v="65"/>
    <x v="65"/>
    <x v="123"/>
    <x v="134"/>
    <x v="0"/>
  </r>
  <r>
    <x v="0"/>
    <x v="107"/>
    <x v="107"/>
    <x v="37"/>
    <x v="37"/>
    <x v="37"/>
    <x v="19"/>
    <x v="217"/>
    <x v="12"/>
    <x v="65"/>
    <x v="65"/>
    <x v="123"/>
    <x v="134"/>
    <x v="0"/>
  </r>
  <r>
    <x v="0"/>
    <x v="107"/>
    <x v="107"/>
    <x v="34"/>
    <x v="34"/>
    <x v="34"/>
    <x v="19"/>
    <x v="217"/>
    <x v="12"/>
    <x v="50"/>
    <x v="333"/>
    <x v="127"/>
    <x v="151"/>
    <x v="0"/>
  </r>
  <r>
    <x v="0"/>
    <x v="107"/>
    <x v="107"/>
    <x v="3"/>
    <x v="3"/>
    <x v="3"/>
    <x v="19"/>
    <x v="217"/>
    <x v="12"/>
    <x v="50"/>
    <x v="333"/>
    <x v="127"/>
    <x v="151"/>
    <x v="0"/>
  </r>
  <r>
    <x v="0"/>
    <x v="107"/>
    <x v="107"/>
    <x v="29"/>
    <x v="29"/>
    <x v="29"/>
    <x v="19"/>
    <x v="217"/>
    <x v="12"/>
    <x v="50"/>
    <x v="333"/>
    <x v="127"/>
    <x v="151"/>
    <x v="0"/>
  </r>
  <r>
    <x v="0"/>
    <x v="107"/>
    <x v="107"/>
    <x v="23"/>
    <x v="23"/>
    <x v="23"/>
    <x v="19"/>
    <x v="217"/>
    <x v="12"/>
    <x v="50"/>
    <x v="333"/>
    <x v="127"/>
    <x v="151"/>
    <x v="0"/>
  </r>
  <r>
    <x v="0"/>
    <x v="107"/>
    <x v="107"/>
    <x v="6"/>
    <x v="6"/>
    <x v="6"/>
    <x v="19"/>
    <x v="217"/>
    <x v="12"/>
    <x v="50"/>
    <x v="333"/>
    <x v="127"/>
    <x v="151"/>
    <x v="0"/>
  </r>
  <r>
    <x v="0"/>
    <x v="107"/>
    <x v="107"/>
    <x v="59"/>
    <x v="59"/>
    <x v="59"/>
    <x v="19"/>
    <x v="217"/>
    <x v="12"/>
    <x v="65"/>
    <x v="65"/>
    <x v="123"/>
    <x v="134"/>
    <x v="0"/>
  </r>
  <r>
    <x v="0"/>
    <x v="107"/>
    <x v="107"/>
    <x v="83"/>
    <x v="83"/>
    <x v="83"/>
    <x v="19"/>
    <x v="217"/>
    <x v="12"/>
    <x v="65"/>
    <x v="65"/>
    <x v="123"/>
    <x v="134"/>
    <x v="0"/>
  </r>
  <r>
    <x v="0"/>
    <x v="107"/>
    <x v="107"/>
    <x v="172"/>
    <x v="170"/>
    <x v="172"/>
    <x v="19"/>
    <x v="217"/>
    <x v="12"/>
    <x v="65"/>
    <x v="65"/>
    <x v="127"/>
    <x v="151"/>
    <x v="6"/>
  </r>
  <r>
    <x v="0"/>
    <x v="107"/>
    <x v="107"/>
    <x v="60"/>
    <x v="60"/>
    <x v="60"/>
    <x v="19"/>
    <x v="217"/>
    <x v="12"/>
    <x v="65"/>
    <x v="65"/>
    <x v="123"/>
    <x v="134"/>
    <x v="0"/>
  </r>
  <r>
    <x v="0"/>
    <x v="107"/>
    <x v="107"/>
    <x v="26"/>
    <x v="26"/>
    <x v="26"/>
    <x v="19"/>
    <x v="217"/>
    <x v="12"/>
    <x v="65"/>
    <x v="65"/>
    <x v="123"/>
    <x v="134"/>
    <x v="0"/>
  </r>
  <r>
    <x v="0"/>
    <x v="108"/>
    <x v="108"/>
    <x v="51"/>
    <x v="51"/>
    <x v="51"/>
    <x v="0"/>
    <x v="199"/>
    <x v="457"/>
    <x v="50"/>
    <x v="572"/>
    <x v="108"/>
    <x v="389"/>
    <x v="0"/>
  </r>
  <r>
    <x v="0"/>
    <x v="108"/>
    <x v="108"/>
    <x v="45"/>
    <x v="45"/>
    <x v="45"/>
    <x v="0"/>
    <x v="199"/>
    <x v="457"/>
    <x v="56"/>
    <x v="313"/>
    <x v="93"/>
    <x v="315"/>
    <x v="0"/>
  </r>
  <r>
    <x v="0"/>
    <x v="108"/>
    <x v="108"/>
    <x v="3"/>
    <x v="3"/>
    <x v="3"/>
    <x v="2"/>
    <x v="200"/>
    <x v="458"/>
    <x v="70"/>
    <x v="571"/>
    <x v="127"/>
    <x v="151"/>
    <x v="0"/>
  </r>
  <r>
    <x v="0"/>
    <x v="108"/>
    <x v="108"/>
    <x v="53"/>
    <x v="53"/>
    <x v="53"/>
    <x v="2"/>
    <x v="200"/>
    <x v="458"/>
    <x v="65"/>
    <x v="65"/>
    <x v="127"/>
    <x v="151"/>
    <x v="0"/>
  </r>
  <r>
    <x v="0"/>
    <x v="108"/>
    <x v="108"/>
    <x v="19"/>
    <x v="19"/>
    <x v="19"/>
    <x v="2"/>
    <x v="200"/>
    <x v="458"/>
    <x v="56"/>
    <x v="313"/>
    <x v="123"/>
    <x v="37"/>
    <x v="0"/>
  </r>
  <r>
    <x v="0"/>
    <x v="108"/>
    <x v="108"/>
    <x v="69"/>
    <x v="69"/>
    <x v="69"/>
    <x v="5"/>
    <x v="216"/>
    <x v="459"/>
    <x v="50"/>
    <x v="572"/>
    <x v="123"/>
    <x v="37"/>
    <x v="0"/>
  </r>
  <r>
    <x v="0"/>
    <x v="108"/>
    <x v="108"/>
    <x v="42"/>
    <x v="42"/>
    <x v="42"/>
    <x v="5"/>
    <x v="216"/>
    <x v="459"/>
    <x v="65"/>
    <x v="65"/>
    <x v="93"/>
    <x v="315"/>
    <x v="0"/>
  </r>
  <r>
    <x v="0"/>
    <x v="108"/>
    <x v="108"/>
    <x v="4"/>
    <x v="4"/>
    <x v="4"/>
    <x v="5"/>
    <x v="216"/>
    <x v="459"/>
    <x v="65"/>
    <x v="65"/>
    <x v="93"/>
    <x v="315"/>
    <x v="0"/>
  </r>
  <r>
    <x v="0"/>
    <x v="108"/>
    <x v="108"/>
    <x v="52"/>
    <x v="52"/>
    <x v="52"/>
    <x v="5"/>
    <x v="216"/>
    <x v="459"/>
    <x v="65"/>
    <x v="65"/>
    <x v="127"/>
    <x v="151"/>
    <x v="0"/>
  </r>
  <r>
    <x v="0"/>
    <x v="108"/>
    <x v="108"/>
    <x v="23"/>
    <x v="23"/>
    <x v="23"/>
    <x v="5"/>
    <x v="216"/>
    <x v="459"/>
    <x v="50"/>
    <x v="572"/>
    <x v="127"/>
    <x v="151"/>
    <x v="0"/>
  </r>
  <r>
    <x v="0"/>
    <x v="108"/>
    <x v="108"/>
    <x v="87"/>
    <x v="87"/>
    <x v="87"/>
    <x v="10"/>
    <x v="217"/>
    <x v="107"/>
    <x v="65"/>
    <x v="65"/>
    <x v="123"/>
    <x v="37"/>
    <x v="0"/>
  </r>
  <r>
    <x v="0"/>
    <x v="108"/>
    <x v="108"/>
    <x v="13"/>
    <x v="13"/>
    <x v="13"/>
    <x v="10"/>
    <x v="217"/>
    <x v="107"/>
    <x v="50"/>
    <x v="572"/>
    <x v="127"/>
    <x v="151"/>
    <x v="0"/>
  </r>
  <r>
    <x v="0"/>
    <x v="108"/>
    <x v="108"/>
    <x v="127"/>
    <x v="127"/>
    <x v="127"/>
    <x v="10"/>
    <x v="217"/>
    <x v="107"/>
    <x v="65"/>
    <x v="65"/>
    <x v="123"/>
    <x v="37"/>
    <x v="0"/>
  </r>
  <r>
    <x v="0"/>
    <x v="108"/>
    <x v="108"/>
    <x v="173"/>
    <x v="171"/>
    <x v="173"/>
    <x v="10"/>
    <x v="217"/>
    <x v="107"/>
    <x v="65"/>
    <x v="65"/>
    <x v="123"/>
    <x v="37"/>
    <x v="0"/>
  </r>
  <r>
    <x v="0"/>
    <x v="108"/>
    <x v="108"/>
    <x v="111"/>
    <x v="111"/>
    <x v="111"/>
    <x v="10"/>
    <x v="217"/>
    <x v="107"/>
    <x v="65"/>
    <x v="65"/>
    <x v="123"/>
    <x v="37"/>
    <x v="0"/>
  </r>
  <r>
    <x v="0"/>
    <x v="108"/>
    <x v="108"/>
    <x v="128"/>
    <x v="128"/>
    <x v="128"/>
    <x v="10"/>
    <x v="217"/>
    <x v="107"/>
    <x v="50"/>
    <x v="572"/>
    <x v="127"/>
    <x v="151"/>
    <x v="0"/>
  </r>
  <r>
    <x v="0"/>
    <x v="108"/>
    <x v="108"/>
    <x v="75"/>
    <x v="75"/>
    <x v="75"/>
    <x v="10"/>
    <x v="217"/>
    <x v="107"/>
    <x v="65"/>
    <x v="65"/>
    <x v="127"/>
    <x v="151"/>
    <x v="0"/>
  </r>
  <r>
    <x v="0"/>
    <x v="108"/>
    <x v="108"/>
    <x v="119"/>
    <x v="119"/>
    <x v="119"/>
    <x v="10"/>
    <x v="217"/>
    <x v="107"/>
    <x v="65"/>
    <x v="65"/>
    <x v="127"/>
    <x v="151"/>
    <x v="0"/>
  </r>
  <r>
    <x v="0"/>
    <x v="108"/>
    <x v="108"/>
    <x v="199"/>
    <x v="196"/>
    <x v="199"/>
    <x v="10"/>
    <x v="217"/>
    <x v="107"/>
    <x v="50"/>
    <x v="572"/>
    <x v="127"/>
    <x v="151"/>
    <x v="0"/>
  </r>
  <r>
    <x v="0"/>
    <x v="108"/>
    <x v="108"/>
    <x v="48"/>
    <x v="48"/>
    <x v="48"/>
    <x v="10"/>
    <x v="217"/>
    <x v="107"/>
    <x v="65"/>
    <x v="65"/>
    <x v="123"/>
    <x v="37"/>
    <x v="0"/>
  </r>
  <r>
    <x v="0"/>
    <x v="108"/>
    <x v="108"/>
    <x v="41"/>
    <x v="41"/>
    <x v="41"/>
    <x v="10"/>
    <x v="217"/>
    <x v="107"/>
    <x v="50"/>
    <x v="572"/>
    <x v="127"/>
    <x v="151"/>
    <x v="0"/>
  </r>
  <r>
    <x v="0"/>
    <x v="108"/>
    <x v="108"/>
    <x v="49"/>
    <x v="49"/>
    <x v="49"/>
    <x v="10"/>
    <x v="217"/>
    <x v="107"/>
    <x v="50"/>
    <x v="572"/>
    <x v="127"/>
    <x v="151"/>
    <x v="0"/>
  </r>
  <r>
    <x v="0"/>
    <x v="108"/>
    <x v="108"/>
    <x v="7"/>
    <x v="7"/>
    <x v="7"/>
    <x v="10"/>
    <x v="217"/>
    <x v="107"/>
    <x v="50"/>
    <x v="572"/>
    <x v="127"/>
    <x v="151"/>
    <x v="0"/>
  </r>
  <r>
    <x v="0"/>
    <x v="108"/>
    <x v="108"/>
    <x v="200"/>
    <x v="197"/>
    <x v="200"/>
    <x v="10"/>
    <x v="217"/>
    <x v="107"/>
    <x v="65"/>
    <x v="65"/>
    <x v="123"/>
    <x v="37"/>
    <x v="0"/>
  </r>
  <r>
    <x v="0"/>
    <x v="108"/>
    <x v="108"/>
    <x v="0"/>
    <x v="0"/>
    <x v="0"/>
    <x v="10"/>
    <x v="217"/>
    <x v="107"/>
    <x v="65"/>
    <x v="65"/>
    <x v="127"/>
    <x v="151"/>
    <x v="0"/>
  </r>
  <r>
    <x v="0"/>
    <x v="108"/>
    <x v="108"/>
    <x v="108"/>
    <x v="108"/>
    <x v="108"/>
    <x v="10"/>
    <x v="217"/>
    <x v="107"/>
    <x v="65"/>
    <x v="65"/>
    <x v="123"/>
    <x v="37"/>
    <x v="0"/>
  </r>
  <r>
    <x v="0"/>
    <x v="108"/>
    <x v="108"/>
    <x v="25"/>
    <x v="25"/>
    <x v="25"/>
    <x v="10"/>
    <x v="217"/>
    <x v="107"/>
    <x v="50"/>
    <x v="572"/>
    <x v="127"/>
    <x v="151"/>
    <x v="0"/>
  </r>
  <r>
    <x v="0"/>
    <x v="108"/>
    <x v="108"/>
    <x v="139"/>
    <x v="139"/>
    <x v="139"/>
    <x v="10"/>
    <x v="217"/>
    <x v="107"/>
    <x v="65"/>
    <x v="65"/>
    <x v="123"/>
    <x v="37"/>
    <x v="0"/>
  </r>
  <r>
    <x v="0"/>
    <x v="108"/>
    <x v="108"/>
    <x v="133"/>
    <x v="133"/>
    <x v="133"/>
    <x v="10"/>
    <x v="217"/>
    <x v="107"/>
    <x v="65"/>
    <x v="65"/>
    <x v="123"/>
    <x v="37"/>
    <x v="0"/>
  </r>
  <r>
    <x v="0"/>
    <x v="108"/>
    <x v="108"/>
    <x v="131"/>
    <x v="131"/>
    <x v="131"/>
    <x v="10"/>
    <x v="217"/>
    <x v="107"/>
    <x v="50"/>
    <x v="572"/>
    <x v="127"/>
    <x v="151"/>
    <x v="0"/>
  </r>
  <r>
    <x v="0"/>
    <x v="108"/>
    <x v="108"/>
    <x v="61"/>
    <x v="61"/>
    <x v="61"/>
    <x v="10"/>
    <x v="217"/>
    <x v="107"/>
    <x v="65"/>
    <x v="65"/>
    <x v="123"/>
    <x v="37"/>
    <x v="0"/>
  </r>
  <r>
    <x v="0"/>
    <x v="108"/>
    <x v="108"/>
    <x v="9"/>
    <x v="9"/>
    <x v="9"/>
    <x v="10"/>
    <x v="217"/>
    <x v="107"/>
    <x v="50"/>
    <x v="572"/>
    <x v="127"/>
    <x v="151"/>
    <x v="0"/>
  </r>
  <r>
    <x v="0"/>
    <x v="108"/>
    <x v="108"/>
    <x v="102"/>
    <x v="102"/>
    <x v="102"/>
    <x v="10"/>
    <x v="217"/>
    <x v="107"/>
    <x v="50"/>
    <x v="572"/>
    <x v="127"/>
    <x v="151"/>
    <x v="0"/>
  </r>
  <r>
    <x v="0"/>
    <x v="108"/>
    <x v="108"/>
    <x v="135"/>
    <x v="135"/>
    <x v="135"/>
    <x v="10"/>
    <x v="217"/>
    <x v="107"/>
    <x v="50"/>
    <x v="572"/>
    <x v="127"/>
    <x v="151"/>
    <x v="0"/>
  </r>
  <r>
    <x v="0"/>
    <x v="108"/>
    <x v="108"/>
    <x v="29"/>
    <x v="29"/>
    <x v="29"/>
    <x v="10"/>
    <x v="217"/>
    <x v="107"/>
    <x v="50"/>
    <x v="572"/>
    <x v="127"/>
    <x v="151"/>
    <x v="0"/>
  </r>
  <r>
    <x v="0"/>
    <x v="108"/>
    <x v="108"/>
    <x v="171"/>
    <x v="169"/>
    <x v="171"/>
    <x v="10"/>
    <x v="217"/>
    <x v="107"/>
    <x v="50"/>
    <x v="572"/>
    <x v="127"/>
    <x v="151"/>
    <x v="0"/>
  </r>
  <r>
    <x v="0"/>
    <x v="108"/>
    <x v="108"/>
    <x v="43"/>
    <x v="43"/>
    <x v="43"/>
    <x v="10"/>
    <x v="217"/>
    <x v="107"/>
    <x v="65"/>
    <x v="65"/>
    <x v="127"/>
    <x v="151"/>
    <x v="0"/>
  </r>
  <r>
    <x v="0"/>
    <x v="108"/>
    <x v="108"/>
    <x v="72"/>
    <x v="72"/>
    <x v="72"/>
    <x v="10"/>
    <x v="217"/>
    <x v="107"/>
    <x v="65"/>
    <x v="65"/>
    <x v="123"/>
    <x v="37"/>
    <x v="0"/>
  </r>
  <r>
    <x v="0"/>
    <x v="109"/>
    <x v="109"/>
    <x v="1"/>
    <x v="1"/>
    <x v="1"/>
    <x v="0"/>
    <x v="197"/>
    <x v="460"/>
    <x v="39"/>
    <x v="387"/>
    <x v="127"/>
    <x v="151"/>
    <x v="0"/>
  </r>
  <r>
    <x v="0"/>
    <x v="109"/>
    <x v="109"/>
    <x v="3"/>
    <x v="3"/>
    <x v="3"/>
    <x v="1"/>
    <x v="199"/>
    <x v="367"/>
    <x v="62"/>
    <x v="408"/>
    <x v="127"/>
    <x v="151"/>
    <x v="0"/>
  </r>
  <r>
    <x v="0"/>
    <x v="109"/>
    <x v="109"/>
    <x v="6"/>
    <x v="6"/>
    <x v="6"/>
    <x v="1"/>
    <x v="199"/>
    <x v="367"/>
    <x v="62"/>
    <x v="408"/>
    <x v="127"/>
    <x v="151"/>
    <x v="0"/>
  </r>
  <r>
    <x v="0"/>
    <x v="109"/>
    <x v="109"/>
    <x v="48"/>
    <x v="48"/>
    <x v="48"/>
    <x v="3"/>
    <x v="200"/>
    <x v="368"/>
    <x v="70"/>
    <x v="623"/>
    <x v="127"/>
    <x v="151"/>
    <x v="0"/>
  </r>
  <r>
    <x v="0"/>
    <x v="109"/>
    <x v="109"/>
    <x v="47"/>
    <x v="47"/>
    <x v="47"/>
    <x v="3"/>
    <x v="200"/>
    <x v="368"/>
    <x v="56"/>
    <x v="168"/>
    <x v="123"/>
    <x v="279"/>
    <x v="0"/>
  </r>
  <r>
    <x v="0"/>
    <x v="109"/>
    <x v="109"/>
    <x v="7"/>
    <x v="7"/>
    <x v="7"/>
    <x v="3"/>
    <x v="200"/>
    <x v="368"/>
    <x v="70"/>
    <x v="623"/>
    <x v="127"/>
    <x v="151"/>
    <x v="0"/>
  </r>
  <r>
    <x v="0"/>
    <x v="109"/>
    <x v="109"/>
    <x v="45"/>
    <x v="45"/>
    <x v="45"/>
    <x v="3"/>
    <x v="200"/>
    <x v="368"/>
    <x v="70"/>
    <x v="623"/>
    <x v="127"/>
    <x v="151"/>
    <x v="0"/>
  </r>
  <r>
    <x v="0"/>
    <x v="109"/>
    <x v="109"/>
    <x v="4"/>
    <x v="4"/>
    <x v="4"/>
    <x v="3"/>
    <x v="200"/>
    <x v="368"/>
    <x v="56"/>
    <x v="168"/>
    <x v="123"/>
    <x v="279"/>
    <x v="0"/>
  </r>
  <r>
    <x v="0"/>
    <x v="109"/>
    <x v="109"/>
    <x v="2"/>
    <x v="2"/>
    <x v="2"/>
    <x v="3"/>
    <x v="200"/>
    <x v="368"/>
    <x v="70"/>
    <x v="623"/>
    <x v="127"/>
    <x v="151"/>
    <x v="0"/>
  </r>
  <r>
    <x v="0"/>
    <x v="109"/>
    <x v="109"/>
    <x v="26"/>
    <x v="26"/>
    <x v="26"/>
    <x v="3"/>
    <x v="200"/>
    <x v="368"/>
    <x v="50"/>
    <x v="624"/>
    <x v="93"/>
    <x v="394"/>
    <x v="0"/>
  </r>
  <r>
    <x v="0"/>
    <x v="109"/>
    <x v="109"/>
    <x v="96"/>
    <x v="96"/>
    <x v="96"/>
    <x v="10"/>
    <x v="216"/>
    <x v="369"/>
    <x v="65"/>
    <x v="65"/>
    <x v="93"/>
    <x v="394"/>
    <x v="0"/>
  </r>
  <r>
    <x v="0"/>
    <x v="109"/>
    <x v="109"/>
    <x v="44"/>
    <x v="44"/>
    <x v="44"/>
    <x v="10"/>
    <x v="216"/>
    <x v="369"/>
    <x v="65"/>
    <x v="65"/>
    <x v="93"/>
    <x v="394"/>
    <x v="0"/>
  </r>
  <r>
    <x v="0"/>
    <x v="109"/>
    <x v="109"/>
    <x v="41"/>
    <x v="41"/>
    <x v="41"/>
    <x v="10"/>
    <x v="216"/>
    <x v="369"/>
    <x v="65"/>
    <x v="65"/>
    <x v="93"/>
    <x v="394"/>
    <x v="0"/>
  </r>
  <r>
    <x v="0"/>
    <x v="109"/>
    <x v="109"/>
    <x v="12"/>
    <x v="12"/>
    <x v="12"/>
    <x v="10"/>
    <x v="216"/>
    <x v="369"/>
    <x v="56"/>
    <x v="168"/>
    <x v="127"/>
    <x v="151"/>
    <x v="0"/>
  </r>
  <r>
    <x v="0"/>
    <x v="109"/>
    <x v="109"/>
    <x v="11"/>
    <x v="11"/>
    <x v="11"/>
    <x v="10"/>
    <x v="216"/>
    <x v="369"/>
    <x v="56"/>
    <x v="168"/>
    <x v="127"/>
    <x v="151"/>
    <x v="0"/>
  </r>
  <r>
    <x v="0"/>
    <x v="109"/>
    <x v="109"/>
    <x v="84"/>
    <x v="84"/>
    <x v="84"/>
    <x v="10"/>
    <x v="216"/>
    <x v="369"/>
    <x v="50"/>
    <x v="624"/>
    <x v="123"/>
    <x v="279"/>
    <x v="0"/>
  </r>
  <r>
    <x v="0"/>
    <x v="109"/>
    <x v="109"/>
    <x v="42"/>
    <x v="42"/>
    <x v="42"/>
    <x v="10"/>
    <x v="216"/>
    <x v="369"/>
    <x v="65"/>
    <x v="65"/>
    <x v="93"/>
    <x v="394"/>
    <x v="0"/>
  </r>
  <r>
    <x v="0"/>
    <x v="109"/>
    <x v="109"/>
    <x v="115"/>
    <x v="115"/>
    <x v="115"/>
    <x v="10"/>
    <x v="216"/>
    <x v="369"/>
    <x v="65"/>
    <x v="65"/>
    <x v="123"/>
    <x v="279"/>
    <x v="0"/>
  </r>
  <r>
    <x v="0"/>
    <x v="109"/>
    <x v="109"/>
    <x v="121"/>
    <x v="121"/>
    <x v="121"/>
    <x v="10"/>
    <x v="216"/>
    <x v="369"/>
    <x v="56"/>
    <x v="168"/>
    <x v="127"/>
    <x v="151"/>
    <x v="0"/>
  </r>
  <r>
    <x v="0"/>
    <x v="109"/>
    <x v="109"/>
    <x v="5"/>
    <x v="5"/>
    <x v="5"/>
    <x v="10"/>
    <x v="216"/>
    <x v="369"/>
    <x v="50"/>
    <x v="624"/>
    <x v="123"/>
    <x v="279"/>
    <x v="0"/>
  </r>
  <r>
    <x v="0"/>
    <x v="109"/>
    <x v="109"/>
    <x v="9"/>
    <x v="9"/>
    <x v="9"/>
    <x v="10"/>
    <x v="216"/>
    <x v="369"/>
    <x v="50"/>
    <x v="624"/>
    <x v="123"/>
    <x v="279"/>
    <x v="0"/>
  </r>
  <r>
    <x v="0"/>
    <x v="109"/>
    <x v="109"/>
    <x v="52"/>
    <x v="52"/>
    <x v="52"/>
    <x v="10"/>
    <x v="216"/>
    <x v="369"/>
    <x v="65"/>
    <x v="65"/>
    <x v="127"/>
    <x v="151"/>
    <x v="0"/>
  </r>
  <r>
    <x v="0"/>
    <x v="110"/>
    <x v="110"/>
    <x v="42"/>
    <x v="42"/>
    <x v="42"/>
    <x v="0"/>
    <x v="199"/>
    <x v="304"/>
    <x v="50"/>
    <x v="549"/>
    <x v="108"/>
    <x v="389"/>
    <x v="0"/>
  </r>
  <r>
    <x v="0"/>
    <x v="110"/>
    <x v="110"/>
    <x v="49"/>
    <x v="49"/>
    <x v="49"/>
    <x v="1"/>
    <x v="200"/>
    <x v="276"/>
    <x v="56"/>
    <x v="263"/>
    <x v="123"/>
    <x v="37"/>
    <x v="0"/>
  </r>
  <r>
    <x v="0"/>
    <x v="110"/>
    <x v="110"/>
    <x v="2"/>
    <x v="2"/>
    <x v="2"/>
    <x v="1"/>
    <x v="200"/>
    <x v="276"/>
    <x v="70"/>
    <x v="548"/>
    <x v="127"/>
    <x v="151"/>
    <x v="0"/>
  </r>
  <r>
    <x v="0"/>
    <x v="110"/>
    <x v="110"/>
    <x v="10"/>
    <x v="10"/>
    <x v="10"/>
    <x v="3"/>
    <x v="216"/>
    <x v="130"/>
    <x v="50"/>
    <x v="549"/>
    <x v="123"/>
    <x v="37"/>
    <x v="0"/>
  </r>
  <r>
    <x v="0"/>
    <x v="110"/>
    <x v="110"/>
    <x v="17"/>
    <x v="17"/>
    <x v="17"/>
    <x v="3"/>
    <x v="216"/>
    <x v="130"/>
    <x v="65"/>
    <x v="65"/>
    <x v="93"/>
    <x v="315"/>
    <x v="0"/>
  </r>
  <r>
    <x v="0"/>
    <x v="110"/>
    <x v="110"/>
    <x v="40"/>
    <x v="40"/>
    <x v="40"/>
    <x v="3"/>
    <x v="216"/>
    <x v="130"/>
    <x v="56"/>
    <x v="263"/>
    <x v="127"/>
    <x v="151"/>
    <x v="0"/>
  </r>
  <r>
    <x v="0"/>
    <x v="110"/>
    <x v="110"/>
    <x v="119"/>
    <x v="119"/>
    <x v="119"/>
    <x v="3"/>
    <x v="216"/>
    <x v="130"/>
    <x v="65"/>
    <x v="65"/>
    <x v="127"/>
    <x v="151"/>
    <x v="0"/>
  </r>
  <r>
    <x v="0"/>
    <x v="110"/>
    <x v="110"/>
    <x v="28"/>
    <x v="28"/>
    <x v="28"/>
    <x v="3"/>
    <x v="216"/>
    <x v="130"/>
    <x v="50"/>
    <x v="549"/>
    <x v="123"/>
    <x v="37"/>
    <x v="0"/>
  </r>
  <r>
    <x v="0"/>
    <x v="110"/>
    <x v="110"/>
    <x v="68"/>
    <x v="68"/>
    <x v="68"/>
    <x v="3"/>
    <x v="216"/>
    <x v="130"/>
    <x v="56"/>
    <x v="263"/>
    <x v="127"/>
    <x v="151"/>
    <x v="0"/>
  </r>
  <r>
    <x v="0"/>
    <x v="110"/>
    <x v="110"/>
    <x v="12"/>
    <x v="12"/>
    <x v="12"/>
    <x v="3"/>
    <x v="216"/>
    <x v="130"/>
    <x v="56"/>
    <x v="263"/>
    <x v="127"/>
    <x v="151"/>
    <x v="0"/>
  </r>
  <r>
    <x v="0"/>
    <x v="110"/>
    <x v="110"/>
    <x v="11"/>
    <x v="11"/>
    <x v="11"/>
    <x v="3"/>
    <x v="216"/>
    <x v="130"/>
    <x v="50"/>
    <x v="549"/>
    <x v="123"/>
    <x v="37"/>
    <x v="0"/>
  </r>
  <r>
    <x v="0"/>
    <x v="110"/>
    <x v="110"/>
    <x v="18"/>
    <x v="18"/>
    <x v="18"/>
    <x v="3"/>
    <x v="216"/>
    <x v="130"/>
    <x v="50"/>
    <x v="549"/>
    <x v="123"/>
    <x v="37"/>
    <x v="0"/>
  </r>
  <r>
    <x v="0"/>
    <x v="110"/>
    <x v="110"/>
    <x v="45"/>
    <x v="45"/>
    <x v="45"/>
    <x v="3"/>
    <x v="216"/>
    <x v="130"/>
    <x v="56"/>
    <x v="263"/>
    <x v="127"/>
    <x v="151"/>
    <x v="0"/>
  </r>
  <r>
    <x v="0"/>
    <x v="110"/>
    <x v="110"/>
    <x v="4"/>
    <x v="4"/>
    <x v="4"/>
    <x v="3"/>
    <x v="216"/>
    <x v="130"/>
    <x v="56"/>
    <x v="263"/>
    <x v="127"/>
    <x v="151"/>
    <x v="0"/>
  </r>
  <r>
    <x v="0"/>
    <x v="110"/>
    <x v="110"/>
    <x v="5"/>
    <x v="5"/>
    <x v="5"/>
    <x v="3"/>
    <x v="216"/>
    <x v="130"/>
    <x v="56"/>
    <x v="263"/>
    <x v="127"/>
    <x v="151"/>
    <x v="0"/>
  </r>
  <r>
    <x v="0"/>
    <x v="110"/>
    <x v="110"/>
    <x v="9"/>
    <x v="9"/>
    <x v="9"/>
    <x v="3"/>
    <x v="216"/>
    <x v="130"/>
    <x v="50"/>
    <x v="549"/>
    <x v="123"/>
    <x v="37"/>
    <x v="0"/>
  </r>
  <r>
    <x v="0"/>
    <x v="110"/>
    <x v="110"/>
    <x v="1"/>
    <x v="1"/>
    <x v="1"/>
    <x v="3"/>
    <x v="216"/>
    <x v="130"/>
    <x v="56"/>
    <x v="263"/>
    <x v="127"/>
    <x v="151"/>
    <x v="0"/>
  </r>
  <r>
    <x v="0"/>
    <x v="110"/>
    <x v="110"/>
    <x v="8"/>
    <x v="8"/>
    <x v="8"/>
    <x v="3"/>
    <x v="216"/>
    <x v="130"/>
    <x v="56"/>
    <x v="263"/>
    <x v="127"/>
    <x v="151"/>
    <x v="0"/>
  </r>
  <r>
    <x v="0"/>
    <x v="110"/>
    <x v="110"/>
    <x v="23"/>
    <x v="23"/>
    <x v="23"/>
    <x v="3"/>
    <x v="216"/>
    <x v="130"/>
    <x v="50"/>
    <x v="549"/>
    <x v="123"/>
    <x v="37"/>
    <x v="0"/>
  </r>
  <r>
    <x v="0"/>
    <x v="110"/>
    <x v="110"/>
    <x v="6"/>
    <x v="6"/>
    <x v="6"/>
    <x v="3"/>
    <x v="216"/>
    <x v="130"/>
    <x v="56"/>
    <x v="263"/>
    <x v="127"/>
    <x v="151"/>
    <x v="0"/>
  </r>
  <r>
    <x v="0"/>
    <x v="111"/>
    <x v="111"/>
    <x v="1"/>
    <x v="1"/>
    <x v="1"/>
    <x v="0"/>
    <x v="196"/>
    <x v="126"/>
    <x v="39"/>
    <x v="608"/>
    <x v="123"/>
    <x v="404"/>
    <x v="0"/>
  </r>
  <r>
    <x v="0"/>
    <x v="111"/>
    <x v="111"/>
    <x v="10"/>
    <x v="10"/>
    <x v="10"/>
    <x v="1"/>
    <x v="197"/>
    <x v="429"/>
    <x v="50"/>
    <x v="518"/>
    <x v="119"/>
    <x v="405"/>
    <x v="0"/>
  </r>
  <r>
    <x v="0"/>
    <x v="111"/>
    <x v="111"/>
    <x v="2"/>
    <x v="2"/>
    <x v="2"/>
    <x v="1"/>
    <x v="197"/>
    <x v="429"/>
    <x v="39"/>
    <x v="608"/>
    <x v="127"/>
    <x v="151"/>
    <x v="0"/>
  </r>
  <r>
    <x v="0"/>
    <x v="111"/>
    <x v="111"/>
    <x v="40"/>
    <x v="40"/>
    <x v="40"/>
    <x v="3"/>
    <x v="198"/>
    <x v="100"/>
    <x v="65"/>
    <x v="65"/>
    <x v="119"/>
    <x v="405"/>
    <x v="0"/>
  </r>
  <r>
    <x v="0"/>
    <x v="111"/>
    <x v="111"/>
    <x v="63"/>
    <x v="63"/>
    <x v="63"/>
    <x v="3"/>
    <x v="198"/>
    <x v="100"/>
    <x v="62"/>
    <x v="517"/>
    <x v="123"/>
    <x v="404"/>
    <x v="0"/>
  </r>
  <r>
    <x v="0"/>
    <x v="111"/>
    <x v="111"/>
    <x v="12"/>
    <x v="12"/>
    <x v="12"/>
    <x v="3"/>
    <x v="198"/>
    <x v="100"/>
    <x v="51"/>
    <x v="378"/>
    <x v="127"/>
    <x v="151"/>
    <x v="0"/>
  </r>
  <r>
    <x v="0"/>
    <x v="111"/>
    <x v="111"/>
    <x v="96"/>
    <x v="96"/>
    <x v="96"/>
    <x v="6"/>
    <x v="200"/>
    <x v="81"/>
    <x v="65"/>
    <x v="65"/>
    <x v="108"/>
    <x v="130"/>
    <x v="0"/>
  </r>
  <r>
    <x v="0"/>
    <x v="111"/>
    <x v="111"/>
    <x v="69"/>
    <x v="69"/>
    <x v="69"/>
    <x v="6"/>
    <x v="200"/>
    <x v="81"/>
    <x v="65"/>
    <x v="65"/>
    <x v="108"/>
    <x v="130"/>
    <x v="0"/>
  </r>
  <r>
    <x v="0"/>
    <x v="111"/>
    <x v="111"/>
    <x v="84"/>
    <x v="84"/>
    <x v="84"/>
    <x v="6"/>
    <x v="200"/>
    <x v="81"/>
    <x v="56"/>
    <x v="36"/>
    <x v="123"/>
    <x v="404"/>
    <x v="0"/>
  </r>
  <r>
    <x v="0"/>
    <x v="111"/>
    <x v="111"/>
    <x v="0"/>
    <x v="0"/>
    <x v="0"/>
    <x v="6"/>
    <x v="200"/>
    <x v="81"/>
    <x v="50"/>
    <x v="518"/>
    <x v="93"/>
    <x v="406"/>
    <x v="0"/>
  </r>
  <r>
    <x v="0"/>
    <x v="111"/>
    <x v="111"/>
    <x v="4"/>
    <x v="4"/>
    <x v="4"/>
    <x v="6"/>
    <x v="200"/>
    <x v="81"/>
    <x v="70"/>
    <x v="519"/>
    <x v="127"/>
    <x v="151"/>
    <x v="0"/>
  </r>
  <r>
    <x v="0"/>
    <x v="111"/>
    <x v="111"/>
    <x v="5"/>
    <x v="5"/>
    <x v="5"/>
    <x v="6"/>
    <x v="200"/>
    <x v="81"/>
    <x v="70"/>
    <x v="519"/>
    <x v="127"/>
    <x v="151"/>
    <x v="0"/>
  </r>
  <r>
    <x v="0"/>
    <x v="111"/>
    <x v="111"/>
    <x v="3"/>
    <x v="3"/>
    <x v="3"/>
    <x v="6"/>
    <x v="200"/>
    <x v="81"/>
    <x v="70"/>
    <x v="519"/>
    <x v="127"/>
    <x v="151"/>
    <x v="0"/>
  </r>
  <r>
    <x v="0"/>
    <x v="111"/>
    <x v="111"/>
    <x v="82"/>
    <x v="82"/>
    <x v="82"/>
    <x v="6"/>
    <x v="200"/>
    <x v="81"/>
    <x v="65"/>
    <x v="65"/>
    <x v="108"/>
    <x v="130"/>
    <x v="0"/>
  </r>
  <r>
    <x v="0"/>
    <x v="111"/>
    <x v="111"/>
    <x v="89"/>
    <x v="89"/>
    <x v="89"/>
    <x v="19"/>
    <x v="216"/>
    <x v="30"/>
    <x v="65"/>
    <x v="65"/>
    <x v="93"/>
    <x v="406"/>
    <x v="0"/>
  </r>
  <r>
    <x v="0"/>
    <x v="111"/>
    <x v="111"/>
    <x v="201"/>
    <x v="198"/>
    <x v="201"/>
    <x v="19"/>
    <x v="216"/>
    <x v="30"/>
    <x v="65"/>
    <x v="65"/>
    <x v="93"/>
    <x v="406"/>
    <x v="0"/>
  </r>
  <r>
    <x v="0"/>
    <x v="111"/>
    <x v="111"/>
    <x v="189"/>
    <x v="186"/>
    <x v="189"/>
    <x v="19"/>
    <x v="216"/>
    <x v="30"/>
    <x v="50"/>
    <x v="518"/>
    <x v="123"/>
    <x v="404"/>
    <x v="0"/>
  </r>
  <r>
    <x v="0"/>
    <x v="111"/>
    <x v="111"/>
    <x v="47"/>
    <x v="47"/>
    <x v="47"/>
    <x v="19"/>
    <x v="216"/>
    <x v="30"/>
    <x v="50"/>
    <x v="518"/>
    <x v="123"/>
    <x v="404"/>
    <x v="0"/>
  </r>
  <r>
    <x v="0"/>
    <x v="111"/>
    <x v="111"/>
    <x v="114"/>
    <x v="114"/>
    <x v="114"/>
    <x v="19"/>
    <x v="216"/>
    <x v="30"/>
    <x v="50"/>
    <x v="518"/>
    <x v="123"/>
    <x v="404"/>
    <x v="0"/>
  </r>
  <r>
    <x v="0"/>
    <x v="111"/>
    <x v="111"/>
    <x v="49"/>
    <x v="49"/>
    <x v="49"/>
    <x v="19"/>
    <x v="216"/>
    <x v="30"/>
    <x v="50"/>
    <x v="518"/>
    <x v="123"/>
    <x v="404"/>
    <x v="0"/>
  </r>
  <r>
    <x v="0"/>
    <x v="111"/>
    <x v="111"/>
    <x v="115"/>
    <x v="115"/>
    <x v="115"/>
    <x v="19"/>
    <x v="216"/>
    <x v="30"/>
    <x v="65"/>
    <x v="65"/>
    <x v="123"/>
    <x v="404"/>
    <x v="0"/>
  </r>
  <r>
    <x v="0"/>
    <x v="111"/>
    <x v="111"/>
    <x v="131"/>
    <x v="131"/>
    <x v="131"/>
    <x v="19"/>
    <x v="216"/>
    <x v="30"/>
    <x v="56"/>
    <x v="36"/>
    <x v="127"/>
    <x v="151"/>
    <x v="0"/>
  </r>
  <r>
    <x v="0"/>
    <x v="111"/>
    <x v="111"/>
    <x v="52"/>
    <x v="52"/>
    <x v="52"/>
    <x v="19"/>
    <x v="216"/>
    <x v="30"/>
    <x v="65"/>
    <x v="65"/>
    <x v="127"/>
    <x v="151"/>
    <x v="0"/>
  </r>
  <r>
    <x v="0"/>
    <x v="111"/>
    <x v="111"/>
    <x v="6"/>
    <x v="6"/>
    <x v="6"/>
    <x v="19"/>
    <x v="216"/>
    <x v="30"/>
    <x v="56"/>
    <x v="36"/>
    <x v="127"/>
    <x v="151"/>
    <x v="0"/>
  </r>
  <r>
    <x v="0"/>
    <x v="111"/>
    <x v="111"/>
    <x v="43"/>
    <x v="43"/>
    <x v="43"/>
    <x v="19"/>
    <x v="216"/>
    <x v="30"/>
    <x v="65"/>
    <x v="65"/>
    <x v="127"/>
    <x v="151"/>
    <x v="0"/>
  </r>
  <r>
    <x v="0"/>
    <x v="111"/>
    <x v="111"/>
    <x v="83"/>
    <x v="83"/>
    <x v="83"/>
    <x v="19"/>
    <x v="216"/>
    <x v="30"/>
    <x v="56"/>
    <x v="36"/>
    <x v="127"/>
    <x v="151"/>
    <x v="0"/>
  </r>
  <r>
    <x v="0"/>
    <x v="112"/>
    <x v="112"/>
    <x v="3"/>
    <x v="3"/>
    <x v="3"/>
    <x v="0"/>
    <x v="195"/>
    <x v="461"/>
    <x v="68"/>
    <x v="625"/>
    <x v="127"/>
    <x v="151"/>
    <x v="0"/>
  </r>
  <r>
    <x v="0"/>
    <x v="112"/>
    <x v="112"/>
    <x v="10"/>
    <x v="10"/>
    <x v="10"/>
    <x v="1"/>
    <x v="210"/>
    <x v="462"/>
    <x v="65"/>
    <x v="65"/>
    <x v="109"/>
    <x v="407"/>
    <x v="0"/>
  </r>
  <r>
    <x v="0"/>
    <x v="112"/>
    <x v="112"/>
    <x v="42"/>
    <x v="42"/>
    <x v="42"/>
    <x v="2"/>
    <x v="198"/>
    <x v="319"/>
    <x v="50"/>
    <x v="67"/>
    <x v="110"/>
    <x v="408"/>
    <x v="0"/>
  </r>
  <r>
    <x v="0"/>
    <x v="112"/>
    <x v="112"/>
    <x v="2"/>
    <x v="2"/>
    <x v="2"/>
    <x v="2"/>
    <x v="198"/>
    <x v="319"/>
    <x v="51"/>
    <x v="626"/>
    <x v="127"/>
    <x v="151"/>
    <x v="0"/>
  </r>
  <r>
    <x v="0"/>
    <x v="112"/>
    <x v="112"/>
    <x v="40"/>
    <x v="40"/>
    <x v="40"/>
    <x v="4"/>
    <x v="199"/>
    <x v="463"/>
    <x v="50"/>
    <x v="67"/>
    <x v="108"/>
    <x v="130"/>
    <x v="0"/>
  </r>
  <r>
    <x v="0"/>
    <x v="112"/>
    <x v="112"/>
    <x v="51"/>
    <x v="51"/>
    <x v="51"/>
    <x v="4"/>
    <x v="199"/>
    <x v="463"/>
    <x v="56"/>
    <x v="374"/>
    <x v="93"/>
    <x v="406"/>
    <x v="0"/>
  </r>
  <r>
    <x v="0"/>
    <x v="112"/>
    <x v="112"/>
    <x v="45"/>
    <x v="45"/>
    <x v="45"/>
    <x v="4"/>
    <x v="199"/>
    <x v="463"/>
    <x v="70"/>
    <x v="29"/>
    <x v="123"/>
    <x v="404"/>
    <x v="0"/>
  </r>
  <r>
    <x v="0"/>
    <x v="112"/>
    <x v="112"/>
    <x v="4"/>
    <x v="4"/>
    <x v="4"/>
    <x v="4"/>
    <x v="199"/>
    <x v="463"/>
    <x v="62"/>
    <x v="324"/>
    <x v="127"/>
    <x v="151"/>
    <x v="0"/>
  </r>
  <r>
    <x v="0"/>
    <x v="112"/>
    <x v="112"/>
    <x v="13"/>
    <x v="13"/>
    <x v="13"/>
    <x v="8"/>
    <x v="200"/>
    <x v="116"/>
    <x v="50"/>
    <x v="67"/>
    <x v="93"/>
    <x v="406"/>
    <x v="0"/>
  </r>
  <r>
    <x v="0"/>
    <x v="112"/>
    <x v="112"/>
    <x v="127"/>
    <x v="127"/>
    <x v="127"/>
    <x v="8"/>
    <x v="200"/>
    <x v="116"/>
    <x v="65"/>
    <x v="65"/>
    <x v="108"/>
    <x v="130"/>
    <x v="0"/>
  </r>
  <r>
    <x v="0"/>
    <x v="112"/>
    <x v="112"/>
    <x v="47"/>
    <x v="47"/>
    <x v="47"/>
    <x v="8"/>
    <x v="200"/>
    <x v="116"/>
    <x v="56"/>
    <x v="374"/>
    <x v="123"/>
    <x v="404"/>
    <x v="0"/>
  </r>
  <r>
    <x v="0"/>
    <x v="112"/>
    <x v="112"/>
    <x v="84"/>
    <x v="84"/>
    <x v="84"/>
    <x v="8"/>
    <x v="200"/>
    <x v="116"/>
    <x v="56"/>
    <x v="374"/>
    <x v="123"/>
    <x v="404"/>
    <x v="0"/>
  </r>
  <r>
    <x v="0"/>
    <x v="112"/>
    <x v="112"/>
    <x v="7"/>
    <x v="7"/>
    <x v="7"/>
    <x v="8"/>
    <x v="200"/>
    <x v="116"/>
    <x v="50"/>
    <x v="67"/>
    <x v="93"/>
    <x v="406"/>
    <x v="0"/>
  </r>
  <r>
    <x v="0"/>
    <x v="112"/>
    <x v="112"/>
    <x v="1"/>
    <x v="1"/>
    <x v="1"/>
    <x v="8"/>
    <x v="200"/>
    <x v="116"/>
    <x v="56"/>
    <x v="374"/>
    <x v="123"/>
    <x v="404"/>
    <x v="0"/>
  </r>
  <r>
    <x v="0"/>
    <x v="112"/>
    <x v="112"/>
    <x v="26"/>
    <x v="26"/>
    <x v="26"/>
    <x v="8"/>
    <x v="200"/>
    <x v="116"/>
    <x v="65"/>
    <x v="65"/>
    <x v="123"/>
    <x v="404"/>
    <x v="6"/>
  </r>
  <r>
    <x v="0"/>
    <x v="112"/>
    <x v="112"/>
    <x v="46"/>
    <x v="46"/>
    <x v="46"/>
    <x v="14"/>
    <x v="216"/>
    <x v="117"/>
    <x v="56"/>
    <x v="374"/>
    <x v="127"/>
    <x v="151"/>
    <x v="0"/>
  </r>
  <r>
    <x v="0"/>
    <x v="112"/>
    <x v="112"/>
    <x v="14"/>
    <x v="14"/>
    <x v="14"/>
    <x v="14"/>
    <x v="216"/>
    <x v="117"/>
    <x v="65"/>
    <x v="65"/>
    <x v="93"/>
    <x v="406"/>
    <x v="0"/>
  </r>
  <r>
    <x v="0"/>
    <x v="112"/>
    <x v="112"/>
    <x v="96"/>
    <x v="96"/>
    <x v="96"/>
    <x v="14"/>
    <x v="216"/>
    <x v="117"/>
    <x v="50"/>
    <x v="67"/>
    <x v="123"/>
    <x v="404"/>
    <x v="0"/>
  </r>
  <r>
    <x v="0"/>
    <x v="112"/>
    <x v="112"/>
    <x v="111"/>
    <x v="111"/>
    <x v="111"/>
    <x v="14"/>
    <x v="216"/>
    <x v="117"/>
    <x v="50"/>
    <x v="67"/>
    <x v="123"/>
    <x v="404"/>
    <x v="0"/>
  </r>
  <r>
    <x v="0"/>
    <x v="112"/>
    <x v="112"/>
    <x v="144"/>
    <x v="144"/>
    <x v="144"/>
    <x v="14"/>
    <x v="216"/>
    <x v="117"/>
    <x v="65"/>
    <x v="65"/>
    <x v="93"/>
    <x v="406"/>
    <x v="0"/>
  </r>
  <r>
    <x v="0"/>
    <x v="112"/>
    <x v="112"/>
    <x v="28"/>
    <x v="28"/>
    <x v="28"/>
    <x v="14"/>
    <x v="216"/>
    <x v="117"/>
    <x v="56"/>
    <x v="374"/>
    <x v="127"/>
    <x v="151"/>
    <x v="0"/>
  </r>
  <r>
    <x v="0"/>
    <x v="112"/>
    <x v="112"/>
    <x v="48"/>
    <x v="48"/>
    <x v="48"/>
    <x v="14"/>
    <x v="216"/>
    <x v="117"/>
    <x v="50"/>
    <x v="67"/>
    <x v="123"/>
    <x v="404"/>
    <x v="0"/>
  </r>
  <r>
    <x v="0"/>
    <x v="112"/>
    <x v="112"/>
    <x v="80"/>
    <x v="80"/>
    <x v="80"/>
    <x v="14"/>
    <x v="216"/>
    <x v="117"/>
    <x v="50"/>
    <x v="67"/>
    <x v="123"/>
    <x v="404"/>
    <x v="0"/>
  </r>
  <r>
    <x v="0"/>
    <x v="112"/>
    <x v="112"/>
    <x v="44"/>
    <x v="44"/>
    <x v="44"/>
    <x v="14"/>
    <x v="216"/>
    <x v="117"/>
    <x v="56"/>
    <x v="374"/>
    <x v="127"/>
    <x v="151"/>
    <x v="0"/>
  </r>
  <r>
    <x v="0"/>
    <x v="112"/>
    <x v="112"/>
    <x v="41"/>
    <x v="41"/>
    <x v="41"/>
    <x v="14"/>
    <x v="216"/>
    <x v="117"/>
    <x v="56"/>
    <x v="374"/>
    <x v="127"/>
    <x v="151"/>
    <x v="0"/>
  </r>
  <r>
    <x v="0"/>
    <x v="112"/>
    <x v="112"/>
    <x v="12"/>
    <x v="12"/>
    <x v="12"/>
    <x v="14"/>
    <x v="216"/>
    <x v="117"/>
    <x v="50"/>
    <x v="67"/>
    <x v="123"/>
    <x v="404"/>
    <x v="0"/>
  </r>
  <r>
    <x v="0"/>
    <x v="112"/>
    <x v="112"/>
    <x v="113"/>
    <x v="113"/>
    <x v="113"/>
    <x v="14"/>
    <x v="216"/>
    <x v="117"/>
    <x v="50"/>
    <x v="67"/>
    <x v="123"/>
    <x v="404"/>
    <x v="0"/>
  </r>
  <r>
    <x v="0"/>
    <x v="112"/>
    <x v="112"/>
    <x v="114"/>
    <x v="114"/>
    <x v="114"/>
    <x v="14"/>
    <x v="216"/>
    <x v="117"/>
    <x v="50"/>
    <x v="67"/>
    <x v="123"/>
    <x v="404"/>
    <x v="0"/>
  </r>
  <r>
    <x v="0"/>
    <x v="112"/>
    <x v="112"/>
    <x v="18"/>
    <x v="18"/>
    <x v="18"/>
    <x v="14"/>
    <x v="216"/>
    <x v="117"/>
    <x v="50"/>
    <x v="67"/>
    <x v="123"/>
    <x v="404"/>
    <x v="0"/>
  </r>
  <r>
    <x v="0"/>
    <x v="112"/>
    <x v="112"/>
    <x v="50"/>
    <x v="50"/>
    <x v="50"/>
    <x v="14"/>
    <x v="216"/>
    <x v="117"/>
    <x v="56"/>
    <x v="374"/>
    <x v="127"/>
    <x v="151"/>
    <x v="0"/>
  </r>
  <r>
    <x v="0"/>
    <x v="112"/>
    <x v="112"/>
    <x v="0"/>
    <x v="0"/>
    <x v="0"/>
    <x v="14"/>
    <x v="216"/>
    <x v="117"/>
    <x v="56"/>
    <x v="374"/>
    <x v="127"/>
    <x v="151"/>
    <x v="0"/>
  </r>
  <r>
    <x v="0"/>
    <x v="112"/>
    <x v="112"/>
    <x v="5"/>
    <x v="5"/>
    <x v="5"/>
    <x v="14"/>
    <x v="216"/>
    <x v="117"/>
    <x v="56"/>
    <x v="374"/>
    <x v="127"/>
    <x v="151"/>
    <x v="0"/>
  </r>
  <r>
    <x v="0"/>
    <x v="112"/>
    <x v="112"/>
    <x v="9"/>
    <x v="9"/>
    <x v="9"/>
    <x v="14"/>
    <x v="216"/>
    <x v="117"/>
    <x v="56"/>
    <x v="374"/>
    <x v="127"/>
    <x v="151"/>
    <x v="0"/>
  </r>
  <r>
    <x v="0"/>
    <x v="112"/>
    <x v="112"/>
    <x v="37"/>
    <x v="37"/>
    <x v="37"/>
    <x v="14"/>
    <x v="216"/>
    <x v="117"/>
    <x v="65"/>
    <x v="65"/>
    <x v="93"/>
    <x v="406"/>
    <x v="0"/>
  </r>
  <r>
    <x v="0"/>
    <x v="112"/>
    <x v="112"/>
    <x v="64"/>
    <x v="64"/>
    <x v="64"/>
    <x v="14"/>
    <x v="216"/>
    <x v="117"/>
    <x v="56"/>
    <x v="374"/>
    <x v="127"/>
    <x v="151"/>
    <x v="0"/>
  </r>
  <r>
    <x v="0"/>
    <x v="113"/>
    <x v="113"/>
    <x v="63"/>
    <x v="63"/>
    <x v="63"/>
    <x v="0"/>
    <x v="216"/>
    <x v="423"/>
    <x v="50"/>
    <x v="226"/>
    <x v="123"/>
    <x v="342"/>
    <x v="0"/>
  </r>
  <r>
    <x v="0"/>
    <x v="113"/>
    <x v="113"/>
    <x v="178"/>
    <x v="176"/>
    <x v="178"/>
    <x v="0"/>
    <x v="216"/>
    <x v="423"/>
    <x v="65"/>
    <x v="65"/>
    <x v="93"/>
    <x v="358"/>
    <x v="0"/>
  </r>
  <r>
    <x v="0"/>
    <x v="113"/>
    <x v="113"/>
    <x v="12"/>
    <x v="12"/>
    <x v="12"/>
    <x v="0"/>
    <x v="216"/>
    <x v="423"/>
    <x v="50"/>
    <x v="226"/>
    <x v="123"/>
    <x v="342"/>
    <x v="0"/>
  </r>
  <r>
    <x v="0"/>
    <x v="113"/>
    <x v="113"/>
    <x v="42"/>
    <x v="42"/>
    <x v="42"/>
    <x v="0"/>
    <x v="216"/>
    <x v="423"/>
    <x v="65"/>
    <x v="65"/>
    <x v="93"/>
    <x v="358"/>
    <x v="0"/>
  </r>
  <r>
    <x v="0"/>
    <x v="113"/>
    <x v="113"/>
    <x v="10"/>
    <x v="10"/>
    <x v="10"/>
    <x v="4"/>
    <x v="217"/>
    <x v="196"/>
    <x v="65"/>
    <x v="65"/>
    <x v="123"/>
    <x v="342"/>
    <x v="0"/>
  </r>
  <r>
    <x v="0"/>
    <x v="113"/>
    <x v="113"/>
    <x v="110"/>
    <x v="110"/>
    <x v="110"/>
    <x v="4"/>
    <x v="217"/>
    <x v="196"/>
    <x v="65"/>
    <x v="65"/>
    <x v="123"/>
    <x v="342"/>
    <x v="0"/>
  </r>
  <r>
    <x v="0"/>
    <x v="113"/>
    <x v="113"/>
    <x v="17"/>
    <x v="17"/>
    <x v="17"/>
    <x v="4"/>
    <x v="217"/>
    <x v="196"/>
    <x v="65"/>
    <x v="65"/>
    <x v="123"/>
    <x v="342"/>
    <x v="0"/>
  </r>
  <r>
    <x v="0"/>
    <x v="113"/>
    <x v="113"/>
    <x v="14"/>
    <x v="14"/>
    <x v="14"/>
    <x v="4"/>
    <x v="217"/>
    <x v="196"/>
    <x v="65"/>
    <x v="65"/>
    <x v="123"/>
    <x v="342"/>
    <x v="0"/>
  </r>
  <r>
    <x v="0"/>
    <x v="113"/>
    <x v="113"/>
    <x v="96"/>
    <x v="96"/>
    <x v="96"/>
    <x v="4"/>
    <x v="217"/>
    <x v="196"/>
    <x v="65"/>
    <x v="65"/>
    <x v="123"/>
    <x v="342"/>
    <x v="0"/>
  </r>
  <r>
    <x v="0"/>
    <x v="113"/>
    <x v="113"/>
    <x v="76"/>
    <x v="76"/>
    <x v="76"/>
    <x v="4"/>
    <x v="217"/>
    <x v="196"/>
    <x v="65"/>
    <x v="65"/>
    <x v="127"/>
    <x v="151"/>
    <x v="0"/>
  </r>
  <r>
    <x v="0"/>
    <x v="113"/>
    <x v="113"/>
    <x v="119"/>
    <x v="119"/>
    <x v="119"/>
    <x v="4"/>
    <x v="217"/>
    <x v="196"/>
    <x v="65"/>
    <x v="65"/>
    <x v="123"/>
    <x v="342"/>
    <x v="0"/>
  </r>
  <r>
    <x v="0"/>
    <x v="113"/>
    <x v="113"/>
    <x v="202"/>
    <x v="199"/>
    <x v="202"/>
    <x v="4"/>
    <x v="217"/>
    <x v="196"/>
    <x v="65"/>
    <x v="65"/>
    <x v="123"/>
    <x v="342"/>
    <x v="0"/>
  </r>
  <r>
    <x v="0"/>
    <x v="113"/>
    <x v="113"/>
    <x v="94"/>
    <x v="94"/>
    <x v="94"/>
    <x v="4"/>
    <x v="217"/>
    <x v="196"/>
    <x v="50"/>
    <x v="226"/>
    <x v="127"/>
    <x v="151"/>
    <x v="0"/>
  </r>
  <r>
    <x v="0"/>
    <x v="113"/>
    <x v="113"/>
    <x v="68"/>
    <x v="68"/>
    <x v="68"/>
    <x v="4"/>
    <x v="217"/>
    <x v="196"/>
    <x v="65"/>
    <x v="65"/>
    <x v="123"/>
    <x v="342"/>
    <x v="0"/>
  </r>
  <r>
    <x v="0"/>
    <x v="113"/>
    <x v="113"/>
    <x v="41"/>
    <x v="41"/>
    <x v="41"/>
    <x v="4"/>
    <x v="217"/>
    <x v="196"/>
    <x v="50"/>
    <x v="226"/>
    <x v="127"/>
    <x v="151"/>
    <x v="0"/>
  </r>
  <r>
    <x v="0"/>
    <x v="113"/>
    <x v="113"/>
    <x v="18"/>
    <x v="18"/>
    <x v="18"/>
    <x v="4"/>
    <x v="217"/>
    <x v="196"/>
    <x v="65"/>
    <x v="65"/>
    <x v="123"/>
    <x v="342"/>
    <x v="0"/>
  </r>
  <r>
    <x v="0"/>
    <x v="113"/>
    <x v="113"/>
    <x v="51"/>
    <x v="51"/>
    <x v="51"/>
    <x v="4"/>
    <x v="217"/>
    <x v="196"/>
    <x v="65"/>
    <x v="65"/>
    <x v="123"/>
    <x v="342"/>
    <x v="0"/>
  </r>
  <r>
    <x v="0"/>
    <x v="113"/>
    <x v="113"/>
    <x v="133"/>
    <x v="133"/>
    <x v="133"/>
    <x v="4"/>
    <x v="217"/>
    <x v="196"/>
    <x v="65"/>
    <x v="65"/>
    <x v="123"/>
    <x v="342"/>
    <x v="0"/>
  </r>
  <r>
    <x v="0"/>
    <x v="113"/>
    <x v="113"/>
    <x v="45"/>
    <x v="45"/>
    <x v="45"/>
    <x v="4"/>
    <x v="217"/>
    <x v="196"/>
    <x v="50"/>
    <x v="226"/>
    <x v="127"/>
    <x v="151"/>
    <x v="0"/>
  </r>
  <r>
    <x v="0"/>
    <x v="113"/>
    <x v="113"/>
    <x v="4"/>
    <x v="4"/>
    <x v="4"/>
    <x v="4"/>
    <x v="217"/>
    <x v="196"/>
    <x v="50"/>
    <x v="226"/>
    <x v="127"/>
    <x v="151"/>
    <x v="0"/>
  </r>
  <r>
    <x v="0"/>
    <x v="113"/>
    <x v="113"/>
    <x v="5"/>
    <x v="5"/>
    <x v="5"/>
    <x v="4"/>
    <x v="217"/>
    <x v="196"/>
    <x v="50"/>
    <x v="226"/>
    <x v="127"/>
    <x v="151"/>
    <x v="0"/>
  </r>
  <r>
    <x v="0"/>
    <x v="113"/>
    <x v="113"/>
    <x v="9"/>
    <x v="9"/>
    <x v="9"/>
    <x v="4"/>
    <x v="217"/>
    <x v="196"/>
    <x v="50"/>
    <x v="226"/>
    <x v="127"/>
    <x v="151"/>
    <x v="0"/>
  </r>
  <r>
    <x v="0"/>
    <x v="113"/>
    <x v="113"/>
    <x v="1"/>
    <x v="1"/>
    <x v="1"/>
    <x v="4"/>
    <x v="217"/>
    <x v="196"/>
    <x v="50"/>
    <x v="226"/>
    <x v="127"/>
    <x v="151"/>
    <x v="0"/>
  </r>
  <r>
    <x v="0"/>
    <x v="113"/>
    <x v="113"/>
    <x v="123"/>
    <x v="123"/>
    <x v="123"/>
    <x v="4"/>
    <x v="217"/>
    <x v="196"/>
    <x v="65"/>
    <x v="65"/>
    <x v="127"/>
    <x v="151"/>
    <x v="0"/>
  </r>
  <r>
    <x v="0"/>
    <x v="113"/>
    <x v="113"/>
    <x v="52"/>
    <x v="52"/>
    <x v="52"/>
    <x v="4"/>
    <x v="217"/>
    <x v="196"/>
    <x v="65"/>
    <x v="65"/>
    <x v="127"/>
    <x v="151"/>
    <x v="0"/>
  </r>
  <r>
    <x v="0"/>
    <x v="113"/>
    <x v="113"/>
    <x v="53"/>
    <x v="53"/>
    <x v="53"/>
    <x v="4"/>
    <x v="217"/>
    <x v="196"/>
    <x v="65"/>
    <x v="65"/>
    <x v="127"/>
    <x v="151"/>
    <x v="0"/>
  </r>
  <r>
    <x v="0"/>
    <x v="113"/>
    <x v="113"/>
    <x v="19"/>
    <x v="19"/>
    <x v="19"/>
    <x v="4"/>
    <x v="217"/>
    <x v="196"/>
    <x v="65"/>
    <x v="65"/>
    <x v="123"/>
    <x v="342"/>
    <x v="0"/>
  </r>
  <r>
    <x v="0"/>
    <x v="114"/>
    <x v="114"/>
    <x v="42"/>
    <x v="42"/>
    <x v="42"/>
    <x v="0"/>
    <x v="199"/>
    <x v="193"/>
    <x v="65"/>
    <x v="65"/>
    <x v="110"/>
    <x v="370"/>
    <x v="0"/>
  </r>
  <r>
    <x v="0"/>
    <x v="114"/>
    <x v="114"/>
    <x v="203"/>
    <x v="200"/>
    <x v="203"/>
    <x v="1"/>
    <x v="200"/>
    <x v="287"/>
    <x v="70"/>
    <x v="397"/>
    <x v="127"/>
    <x v="151"/>
    <x v="0"/>
  </r>
  <r>
    <x v="0"/>
    <x v="114"/>
    <x v="114"/>
    <x v="5"/>
    <x v="5"/>
    <x v="5"/>
    <x v="1"/>
    <x v="200"/>
    <x v="287"/>
    <x v="70"/>
    <x v="397"/>
    <x v="127"/>
    <x v="151"/>
    <x v="0"/>
  </r>
  <r>
    <x v="0"/>
    <x v="114"/>
    <x v="114"/>
    <x v="1"/>
    <x v="1"/>
    <x v="1"/>
    <x v="1"/>
    <x v="200"/>
    <x v="287"/>
    <x v="70"/>
    <x v="397"/>
    <x v="127"/>
    <x v="151"/>
    <x v="0"/>
  </r>
  <r>
    <x v="0"/>
    <x v="114"/>
    <x v="114"/>
    <x v="97"/>
    <x v="97"/>
    <x v="97"/>
    <x v="4"/>
    <x v="216"/>
    <x v="101"/>
    <x v="65"/>
    <x v="65"/>
    <x v="93"/>
    <x v="318"/>
    <x v="0"/>
  </r>
  <r>
    <x v="0"/>
    <x v="114"/>
    <x v="114"/>
    <x v="144"/>
    <x v="144"/>
    <x v="144"/>
    <x v="4"/>
    <x v="216"/>
    <x v="101"/>
    <x v="65"/>
    <x v="65"/>
    <x v="93"/>
    <x v="318"/>
    <x v="0"/>
  </r>
  <r>
    <x v="0"/>
    <x v="114"/>
    <x v="114"/>
    <x v="47"/>
    <x v="47"/>
    <x v="47"/>
    <x v="4"/>
    <x v="216"/>
    <x v="101"/>
    <x v="50"/>
    <x v="396"/>
    <x v="123"/>
    <x v="224"/>
    <x v="0"/>
  </r>
  <r>
    <x v="0"/>
    <x v="114"/>
    <x v="114"/>
    <x v="55"/>
    <x v="55"/>
    <x v="55"/>
    <x v="4"/>
    <x v="216"/>
    <x v="101"/>
    <x v="56"/>
    <x v="398"/>
    <x v="127"/>
    <x v="151"/>
    <x v="0"/>
  </r>
  <r>
    <x v="0"/>
    <x v="114"/>
    <x v="114"/>
    <x v="0"/>
    <x v="0"/>
    <x v="0"/>
    <x v="4"/>
    <x v="216"/>
    <x v="101"/>
    <x v="65"/>
    <x v="65"/>
    <x v="93"/>
    <x v="318"/>
    <x v="0"/>
  </r>
  <r>
    <x v="0"/>
    <x v="114"/>
    <x v="114"/>
    <x v="2"/>
    <x v="2"/>
    <x v="2"/>
    <x v="4"/>
    <x v="216"/>
    <x v="101"/>
    <x v="56"/>
    <x v="398"/>
    <x v="127"/>
    <x v="151"/>
    <x v="0"/>
  </r>
  <r>
    <x v="0"/>
    <x v="114"/>
    <x v="114"/>
    <x v="3"/>
    <x v="3"/>
    <x v="3"/>
    <x v="4"/>
    <x v="216"/>
    <x v="101"/>
    <x v="56"/>
    <x v="398"/>
    <x v="127"/>
    <x v="151"/>
    <x v="0"/>
  </r>
  <r>
    <x v="0"/>
    <x v="114"/>
    <x v="114"/>
    <x v="52"/>
    <x v="52"/>
    <x v="52"/>
    <x v="4"/>
    <x v="216"/>
    <x v="101"/>
    <x v="65"/>
    <x v="65"/>
    <x v="123"/>
    <x v="224"/>
    <x v="0"/>
  </r>
  <r>
    <x v="0"/>
    <x v="114"/>
    <x v="114"/>
    <x v="10"/>
    <x v="10"/>
    <x v="10"/>
    <x v="12"/>
    <x v="217"/>
    <x v="97"/>
    <x v="65"/>
    <x v="65"/>
    <x v="123"/>
    <x v="224"/>
    <x v="0"/>
  </r>
  <r>
    <x v="0"/>
    <x v="114"/>
    <x v="114"/>
    <x v="40"/>
    <x v="40"/>
    <x v="40"/>
    <x v="12"/>
    <x v="217"/>
    <x v="97"/>
    <x v="65"/>
    <x v="65"/>
    <x v="123"/>
    <x v="224"/>
    <x v="0"/>
  </r>
  <r>
    <x v="0"/>
    <x v="114"/>
    <x v="114"/>
    <x v="46"/>
    <x v="46"/>
    <x v="46"/>
    <x v="12"/>
    <x v="217"/>
    <x v="97"/>
    <x v="50"/>
    <x v="396"/>
    <x v="127"/>
    <x v="151"/>
    <x v="0"/>
  </r>
  <r>
    <x v="0"/>
    <x v="114"/>
    <x v="114"/>
    <x v="13"/>
    <x v="13"/>
    <x v="13"/>
    <x v="12"/>
    <x v="217"/>
    <x v="97"/>
    <x v="65"/>
    <x v="65"/>
    <x v="123"/>
    <x v="224"/>
    <x v="0"/>
  </r>
  <r>
    <x v="0"/>
    <x v="114"/>
    <x v="114"/>
    <x v="127"/>
    <x v="127"/>
    <x v="127"/>
    <x v="12"/>
    <x v="217"/>
    <x v="97"/>
    <x v="65"/>
    <x v="65"/>
    <x v="123"/>
    <x v="224"/>
    <x v="0"/>
  </r>
  <r>
    <x v="0"/>
    <x v="114"/>
    <x v="114"/>
    <x v="89"/>
    <x v="89"/>
    <x v="89"/>
    <x v="12"/>
    <x v="217"/>
    <x v="97"/>
    <x v="65"/>
    <x v="65"/>
    <x v="123"/>
    <x v="224"/>
    <x v="0"/>
  </r>
  <r>
    <x v="0"/>
    <x v="114"/>
    <x v="114"/>
    <x v="193"/>
    <x v="190"/>
    <x v="193"/>
    <x v="12"/>
    <x v="217"/>
    <x v="97"/>
    <x v="50"/>
    <x v="396"/>
    <x v="127"/>
    <x v="151"/>
    <x v="0"/>
  </r>
  <r>
    <x v="0"/>
    <x v="114"/>
    <x v="114"/>
    <x v="86"/>
    <x v="86"/>
    <x v="86"/>
    <x v="12"/>
    <x v="217"/>
    <x v="97"/>
    <x v="50"/>
    <x v="396"/>
    <x v="127"/>
    <x v="151"/>
    <x v="0"/>
  </r>
  <r>
    <x v="0"/>
    <x v="114"/>
    <x v="114"/>
    <x v="119"/>
    <x v="119"/>
    <x v="119"/>
    <x v="12"/>
    <x v="217"/>
    <x v="97"/>
    <x v="65"/>
    <x v="65"/>
    <x v="123"/>
    <x v="224"/>
    <x v="0"/>
  </r>
  <r>
    <x v="0"/>
    <x v="114"/>
    <x v="114"/>
    <x v="190"/>
    <x v="187"/>
    <x v="190"/>
    <x v="12"/>
    <x v="217"/>
    <x v="97"/>
    <x v="65"/>
    <x v="65"/>
    <x v="123"/>
    <x v="224"/>
    <x v="0"/>
  </r>
  <r>
    <x v="0"/>
    <x v="114"/>
    <x v="114"/>
    <x v="78"/>
    <x v="78"/>
    <x v="78"/>
    <x v="12"/>
    <x v="217"/>
    <x v="97"/>
    <x v="65"/>
    <x v="65"/>
    <x v="127"/>
    <x v="151"/>
    <x v="6"/>
  </r>
  <r>
    <x v="0"/>
    <x v="114"/>
    <x v="114"/>
    <x v="36"/>
    <x v="36"/>
    <x v="36"/>
    <x v="12"/>
    <x v="217"/>
    <x v="97"/>
    <x v="50"/>
    <x v="396"/>
    <x v="127"/>
    <x v="151"/>
    <x v="0"/>
  </r>
  <r>
    <x v="0"/>
    <x v="114"/>
    <x v="114"/>
    <x v="33"/>
    <x v="33"/>
    <x v="33"/>
    <x v="12"/>
    <x v="217"/>
    <x v="97"/>
    <x v="50"/>
    <x v="396"/>
    <x v="127"/>
    <x v="151"/>
    <x v="0"/>
  </r>
  <r>
    <x v="0"/>
    <x v="114"/>
    <x v="114"/>
    <x v="21"/>
    <x v="21"/>
    <x v="21"/>
    <x v="12"/>
    <x v="217"/>
    <x v="97"/>
    <x v="50"/>
    <x v="396"/>
    <x v="127"/>
    <x v="151"/>
    <x v="0"/>
  </r>
  <r>
    <x v="0"/>
    <x v="114"/>
    <x v="114"/>
    <x v="112"/>
    <x v="112"/>
    <x v="112"/>
    <x v="12"/>
    <x v="217"/>
    <x v="97"/>
    <x v="50"/>
    <x v="396"/>
    <x v="127"/>
    <x v="151"/>
    <x v="0"/>
  </r>
  <r>
    <x v="0"/>
    <x v="114"/>
    <x v="114"/>
    <x v="28"/>
    <x v="28"/>
    <x v="28"/>
    <x v="12"/>
    <x v="217"/>
    <x v="97"/>
    <x v="50"/>
    <x v="396"/>
    <x v="127"/>
    <x v="151"/>
    <x v="0"/>
  </r>
  <r>
    <x v="0"/>
    <x v="114"/>
    <x v="114"/>
    <x v="68"/>
    <x v="68"/>
    <x v="68"/>
    <x v="12"/>
    <x v="217"/>
    <x v="97"/>
    <x v="65"/>
    <x v="65"/>
    <x v="123"/>
    <x v="224"/>
    <x v="0"/>
  </r>
  <r>
    <x v="0"/>
    <x v="114"/>
    <x v="114"/>
    <x v="41"/>
    <x v="41"/>
    <x v="41"/>
    <x v="12"/>
    <x v="217"/>
    <x v="97"/>
    <x v="50"/>
    <x v="396"/>
    <x v="127"/>
    <x v="151"/>
    <x v="0"/>
  </r>
  <r>
    <x v="0"/>
    <x v="114"/>
    <x v="114"/>
    <x v="12"/>
    <x v="12"/>
    <x v="12"/>
    <x v="12"/>
    <x v="217"/>
    <x v="97"/>
    <x v="65"/>
    <x v="65"/>
    <x v="123"/>
    <x v="224"/>
    <x v="0"/>
  </r>
  <r>
    <x v="0"/>
    <x v="114"/>
    <x v="114"/>
    <x v="11"/>
    <x v="11"/>
    <x v="11"/>
    <x v="12"/>
    <x v="217"/>
    <x v="97"/>
    <x v="65"/>
    <x v="65"/>
    <x v="123"/>
    <x v="224"/>
    <x v="0"/>
  </r>
  <r>
    <x v="0"/>
    <x v="114"/>
    <x v="114"/>
    <x v="49"/>
    <x v="49"/>
    <x v="49"/>
    <x v="12"/>
    <x v="217"/>
    <x v="97"/>
    <x v="50"/>
    <x v="396"/>
    <x v="127"/>
    <x v="151"/>
    <x v="0"/>
  </r>
  <r>
    <x v="0"/>
    <x v="114"/>
    <x v="114"/>
    <x v="85"/>
    <x v="85"/>
    <x v="85"/>
    <x v="12"/>
    <x v="217"/>
    <x v="97"/>
    <x v="50"/>
    <x v="396"/>
    <x v="127"/>
    <x v="151"/>
    <x v="0"/>
  </r>
  <r>
    <x v="0"/>
    <x v="114"/>
    <x v="114"/>
    <x v="7"/>
    <x v="7"/>
    <x v="7"/>
    <x v="12"/>
    <x v="217"/>
    <x v="97"/>
    <x v="65"/>
    <x v="65"/>
    <x v="123"/>
    <x v="224"/>
    <x v="0"/>
  </r>
  <r>
    <x v="0"/>
    <x v="114"/>
    <x v="114"/>
    <x v="200"/>
    <x v="197"/>
    <x v="200"/>
    <x v="12"/>
    <x v="217"/>
    <x v="97"/>
    <x v="65"/>
    <x v="65"/>
    <x v="123"/>
    <x v="224"/>
    <x v="0"/>
  </r>
  <r>
    <x v="0"/>
    <x v="114"/>
    <x v="114"/>
    <x v="125"/>
    <x v="125"/>
    <x v="125"/>
    <x v="12"/>
    <x v="217"/>
    <x v="97"/>
    <x v="65"/>
    <x v="65"/>
    <x v="123"/>
    <x v="224"/>
    <x v="0"/>
  </r>
  <r>
    <x v="0"/>
    <x v="114"/>
    <x v="114"/>
    <x v="108"/>
    <x v="108"/>
    <x v="108"/>
    <x v="12"/>
    <x v="217"/>
    <x v="97"/>
    <x v="50"/>
    <x v="396"/>
    <x v="127"/>
    <x v="151"/>
    <x v="0"/>
  </r>
  <r>
    <x v="0"/>
    <x v="114"/>
    <x v="114"/>
    <x v="115"/>
    <x v="115"/>
    <x v="115"/>
    <x v="12"/>
    <x v="217"/>
    <x v="97"/>
    <x v="65"/>
    <x v="65"/>
    <x v="123"/>
    <x v="224"/>
    <x v="0"/>
  </r>
  <r>
    <x v="0"/>
    <x v="114"/>
    <x v="114"/>
    <x v="194"/>
    <x v="191"/>
    <x v="194"/>
    <x v="12"/>
    <x v="217"/>
    <x v="97"/>
    <x v="50"/>
    <x v="396"/>
    <x v="127"/>
    <x v="151"/>
    <x v="0"/>
  </r>
  <r>
    <x v="0"/>
    <x v="114"/>
    <x v="114"/>
    <x v="121"/>
    <x v="121"/>
    <x v="121"/>
    <x v="12"/>
    <x v="217"/>
    <x v="97"/>
    <x v="65"/>
    <x v="65"/>
    <x v="123"/>
    <x v="224"/>
    <x v="0"/>
  </r>
  <r>
    <x v="0"/>
    <x v="114"/>
    <x v="114"/>
    <x v="117"/>
    <x v="117"/>
    <x v="117"/>
    <x v="12"/>
    <x v="217"/>
    <x v="97"/>
    <x v="65"/>
    <x v="65"/>
    <x v="123"/>
    <x v="224"/>
    <x v="0"/>
  </r>
  <r>
    <x v="0"/>
    <x v="114"/>
    <x v="114"/>
    <x v="45"/>
    <x v="45"/>
    <x v="45"/>
    <x v="12"/>
    <x v="217"/>
    <x v="97"/>
    <x v="50"/>
    <x v="396"/>
    <x v="127"/>
    <x v="151"/>
    <x v="0"/>
  </r>
  <r>
    <x v="0"/>
    <x v="114"/>
    <x v="114"/>
    <x v="4"/>
    <x v="4"/>
    <x v="4"/>
    <x v="12"/>
    <x v="217"/>
    <x v="97"/>
    <x v="50"/>
    <x v="396"/>
    <x v="127"/>
    <x v="151"/>
    <x v="0"/>
  </r>
  <r>
    <x v="0"/>
    <x v="114"/>
    <x v="114"/>
    <x v="37"/>
    <x v="37"/>
    <x v="37"/>
    <x v="12"/>
    <x v="217"/>
    <x v="97"/>
    <x v="65"/>
    <x v="65"/>
    <x v="123"/>
    <x v="224"/>
    <x v="0"/>
  </r>
  <r>
    <x v="0"/>
    <x v="114"/>
    <x v="114"/>
    <x v="180"/>
    <x v="177"/>
    <x v="180"/>
    <x v="12"/>
    <x v="217"/>
    <x v="97"/>
    <x v="50"/>
    <x v="396"/>
    <x v="127"/>
    <x v="151"/>
    <x v="0"/>
  </r>
  <r>
    <x v="0"/>
    <x v="114"/>
    <x v="114"/>
    <x v="204"/>
    <x v="201"/>
    <x v="204"/>
    <x v="12"/>
    <x v="217"/>
    <x v="97"/>
    <x v="65"/>
    <x v="65"/>
    <x v="123"/>
    <x v="224"/>
    <x v="0"/>
  </r>
  <r>
    <x v="0"/>
    <x v="114"/>
    <x v="114"/>
    <x v="23"/>
    <x v="23"/>
    <x v="23"/>
    <x v="12"/>
    <x v="217"/>
    <x v="97"/>
    <x v="65"/>
    <x v="65"/>
    <x v="123"/>
    <x v="224"/>
    <x v="0"/>
  </r>
  <r>
    <x v="0"/>
    <x v="114"/>
    <x v="114"/>
    <x v="19"/>
    <x v="19"/>
    <x v="19"/>
    <x v="12"/>
    <x v="217"/>
    <x v="97"/>
    <x v="50"/>
    <x v="396"/>
    <x v="127"/>
    <x v="151"/>
    <x v="0"/>
  </r>
  <r>
    <x v="0"/>
    <x v="114"/>
    <x v="114"/>
    <x v="205"/>
    <x v="202"/>
    <x v="205"/>
    <x v="12"/>
    <x v="217"/>
    <x v="97"/>
    <x v="65"/>
    <x v="65"/>
    <x v="123"/>
    <x v="224"/>
    <x v="0"/>
  </r>
  <r>
    <x v="0"/>
    <x v="115"/>
    <x v="115"/>
    <x v="206"/>
    <x v="203"/>
    <x v="206"/>
    <x v="0"/>
    <x v="197"/>
    <x v="464"/>
    <x v="56"/>
    <x v="397"/>
    <x v="110"/>
    <x v="409"/>
    <x v="0"/>
  </r>
  <r>
    <x v="0"/>
    <x v="115"/>
    <x v="115"/>
    <x v="10"/>
    <x v="10"/>
    <x v="10"/>
    <x v="1"/>
    <x v="216"/>
    <x v="465"/>
    <x v="65"/>
    <x v="65"/>
    <x v="93"/>
    <x v="390"/>
    <x v="0"/>
  </r>
  <r>
    <x v="0"/>
    <x v="115"/>
    <x v="115"/>
    <x v="42"/>
    <x v="42"/>
    <x v="42"/>
    <x v="1"/>
    <x v="216"/>
    <x v="465"/>
    <x v="65"/>
    <x v="65"/>
    <x v="93"/>
    <x v="390"/>
    <x v="0"/>
  </r>
  <r>
    <x v="0"/>
    <x v="115"/>
    <x v="115"/>
    <x v="49"/>
    <x v="49"/>
    <x v="49"/>
    <x v="1"/>
    <x v="216"/>
    <x v="465"/>
    <x v="56"/>
    <x v="397"/>
    <x v="127"/>
    <x v="151"/>
    <x v="0"/>
  </r>
  <r>
    <x v="0"/>
    <x v="115"/>
    <x v="115"/>
    <x v="51"/>
    <x v="51"/>
    <x v="51"/>
    <x v="1"/>
    <x v="216"/>
    <x v="465"/>
    <x v="50"/>
    <x v="627"/>
    <x v="123"/>
    <x v="369"/>
    <x v="0"/>
  </r>
  <r>
    <x v="0"/>
    <x v="115"/>
    <x v="115"/>
    <x v="131"/>
    <x v="131"/>
    <x v="131"/>
    <x v="1"/>
    <x v="216"/>
    <x v="465"/>
    <x v="56"/>
    <x v="397"/>
    <x v="127"/>
    <x v="151"/>
    <x v="0"/>
  </r>
  <r>
    <x v="0"/>
    <x v="115"/>
    <x v="115"/>
    <x v="19"/>
    <x v="19"/>
    <x v="19"/>
    <x v="1"/>
    <x v="216"/>
    <x v="465"/>
    <x v="65"/>
    <x v="65"/>
    <x v="93"/>
    <x v="390"/>
    <x v="0"/>
  </r>
  <r>
    <x v="0"/>
    <x v="115"/>
    <x v="115"/>
    <x v="87"/>
    <x v="87"/>
    <x v="87"/>
    <x v="7"/>
    <x v="217"/>
    <x v="116"/>
    <x v="65"/>
    <x v="65"/>
    <x v="123"/>
    <x v="369"/>
    <x v="0"/>
  </r>
  <r>
    <x v="0"/>
    <x v="115"/>
    <x v="115"/>
    <x v="31"/>
    <x v="31"/>
    <x v="31"/>
    <x v="7"/>
    <x v="217"/>
    <x v="116"/>
    <x v="50"/>
    <x v="627"/>
    <x v="127"/>
    <x v="151"/>
    <x v="0"/>
  </r>
  <r>
    <x v="0"/>
    <x v="115"/>
    <x v="115"/>
    <x v="13"/>
    <x v="13"/>
    <x v="13"/>
    <x v="7"/>
    <x v="217"/>
    <x v="116"/>
    <x v="50"/>
    <x v="627"/>
    <x v="127"/>
    <x v="151"/>
    <x v="0"/>
  </r>
  <r>
    <x v="0"/>
    <x v="115"/>
    <x v="115"/>
    <x v="106"/>
    <x v="106"/>
    <x v="106"/>
    <x v="7"/>
    <x v="217"/>
    <x v="116"/>
    <x v="50"/>
    <x v="627"/>
    <x v="127"/>
    <x v="151"/>
    <x v="0"/>
  </r>
  <r>
    <x v="0"/>
    <x v="115"/>
    <x v="115"/>
    <x v="154"/>
    <x v="153"/>
    <x v="154"/>
    <x v="7"/>
    <x v="217"/>
    <x v="116"/>
    <x v="65"/>
    <x v="65"/>
    <x v="123"/>
    <x v="369"/>
    <x v="0"/>
  </r>
  <r>
    <x v="0"/>
    <x v="115"/>
    <x v="115"/>
    <x v="96"/>
    <x v="96"/>
    <x v="96"/>
    <x v="7"/>
    <x v="217"/>
    <x v="116"/>
    <x v="65"/>
    <x v="65"/>
    <x v="123"/>
    <x v="369"/>
    <x v="0"/>
  </r>
  <r>
    <x v="0"/>
    <x v="115"/>
    <x v="115"/>
    <x v="137"/>
    <x v="137"/>
    <x v="137"/>
    <x v="7"/>
    <x v="217"/>
    <x v="116"/>
    <x v="50"/>
    <x v="627"/>
    <x v="127"/>
    <x v="151"/>
    <x v="0"/>
  </r>
  <r>
    <x v="0"/>
    <x v="115"/>
    <x v="115"/>
    <x v="76"/>
    <x v="76"/>
    <x v="76"/>
    <x v="7"/>
    <x v="217"/>
    <x v="116"/>
    <x v="65"/>
    <x v="65"/>
    <x v="127"/>
    <x v="151"/>
    <x v="0"/>
  </r>
  <r>
    <x v="0"/>
    <x v="115"/>
    <x v="115"/>
    <x v="119"/>
    <x v="119"/>
    <x v="119"/>
    <x v="7"/>
    <x v="217"/>
    <x v="116"/>
    <x v="65"/>
    <x v="65"/>
    <x v="123"/>
    <x v="369"/>
    <x v="0"/>
  </r>
  <r>
    <x v="0"/>
    <x v="115"/>
    <x v="115"/>
    <x v="62"/>
    <x v="62"/>
    <x v="62"/>
    <x v="7"/>
    <x v="217"/>
    <x v="116"/>
    <x v="50"/>
    <x v="627"/>
    <x v="127"/>
    <x v="151"/>
    <x v="0"/>
  </r>
  <r>
    <x v="0"/>
    <x v="115"/>
    <x v="115"/>
    <x v="199"/>
    <x v="196"/>
    <x v="199"/>
    <x v="7"/>
    <x v="217"/>
    <x v="116"/>
    <x v="65"/>
    <x v="65"/>
    <x v="123"/>
    <x v="369"/>
    <x v="0"/>
  </r>
  <r>
    <x v="0"/>
    <x v="115"/>
    <x v="115"/>
    <x v="78"/>
    <x v="78"/>
    <x v="78"/>
    <x v="7"/>
    <x v="217"/>
    <x v="116"/>
    <x v="65"/>
    <x v="65"/>
    <x v="127"/>
    <x v="151"/>
    <x v="6"/>
  </r>
  <r>
    <x v="0"/>
    <x v="115"/>
    <x v="115"/>
    <x v="28"/>
    <x v="28"/>
    <x v="28"/>
    <x v="7"/>
    <x v="217"/>
    <x v="116"/>
    <x v="50"/>
    <x v="627"/>
    <x v="127"/>
    <x v="151"/>
    <x v="0"/>
  </r>
  <r>
    <x v="0"/>
    <x v="115"/>
    <x v="115"/>
    <x v="68"/>
    <x v="68"/>
    <x v="68"/>
    <x v="7"/>
    <x v="217"/>
    <x v="116"/>
    <x v="50"/>
    <x v="627"/>
    <x v="127"/>
    <x v="151"/>
    <x v="0"/>
  </r>
  <r>
    <x v="0"/>
    <x v="115"/>
    <x v="115"/>
    <x v="12"/>
    <x v="12"/>
    <x v="12"/>
    <x v="7"/>
    <x v="217"/>
    <x v="116"/>
    <x v="65"/>
    <x v="65"/>
    <x v="123"/>
    <x v="369"/>
    <x v="0"/>
  </r>
  <r>
    <x v="0"/>
    <x v="115"/>
    <x v="115"/>
    <x v="47"/>
    <x v="47"/>
    <x v="47"/>
    <x v="7"/>
    <x v="217"/>
    <x v="116"/>
    <x v="50"/>
    <x v="627"/>
    <x v="127"/>
    <x v="151"/>
    <x v="0"/>
  </r>
  <r>
    <x v="0"/>
    <x v="115"/>
    <x v="115"/>
    <x v="114"/>
    <x v="114"/>
    <x v="114"/>
    <x v="7"/>
    <x v="217"/>
    <x v="116"/>
    <x v="50"/>
    <x v="627"/>
    <x v="127"/>
    <x v="151"/>
    <x v="0"/>
  </r>
  <r>
    <x v="0"/>
    <x v="115"/>
    <x v="115"/>
    <x v="18"/>
    <x v="18"/>
    <x v="18"/>
    <x v="7"/>
    <x v="217"/>
    <x v="116"/>
    <x v="50"/>
    <x v="627"/>
    <x v="127"/>
    <x v="151"/>
    <x v="0"/>
  </r>
  <r>
    <x v="0"/>
    <x v="115"/>
    <x v="115"/>
    <x v="7"/>
    <x v="7"/>
    <x v="7"/>
    <x v="7"/>
    <x v="217"/>
    <x v="116"/>
    <x v="50"/>
    <x v="627"/>
    <x v="127"/>
    <x v="151"/>
    <x v="0"/>
  </r>
  <r>
    <x v="0"/>
    <x v="115"/>
    <x v="115"/>
    <x v="0"/>
    <x v="0"/>
    <x v="0"/>
    <x v="7"/>
    <x v="217"/>
    <x v="116"/>
    <x v="65"/>
    <x v="65"/>
    <x v="127"/>
    <x v="151"/>
    <x v="0"/>
  </r>
  <r>
    <x v="0"/>
    <x v="115"/>
    <x v="115"/>
    <x v="108"/>
    <x v="108"/>
    <x v="108"/>
    <x v="7"/>
    <x v="217"/>
    <x v="116"/>
    <x v="65"/>
    <x v="65"/>
    <x v="123"/>
    <x v="369"/>
    <x v="0"/>
  </r>
  <r>
    <x v="0"/>
    <x v="115"/>
    <x v="115"/>
    <x v="207"/>
    <x v="204"/>
    <x v="207"/>
    <x v="7"/>
    <x v="217"/>
    <x v="116"/>
    <x v="50"/>
    <x v="627"/>
    <x v="127"/>
    <x v="151"/>
    <x v="0"/>
  </r>
  <r>
    <x v="0"/>
    <x v="115"/>
    <x v="115"/>
    <x v="4"/>
    <x v="4"/>
    <x v="4"/>
    <x v="7"/>
    <x v="217"/>
    <x v="116"/>
    <x v="50"/>
    <x v="627"/>
    <x v="127"/>
    <x v="151"/>
    <x v="0"/>
  </r>
  <r>
    <x v="0"/>
    <x v="115"/>
    <x v="115"/>
    <x v="9"/>
    <x v="9"/>
    <x v="9"/>
    <x v="7"/>
    <x v="217"/>
    <x v="116"/>
    <x v="65"/>
    <x v="65"/>
    <x v="127"/>
    <x v="151"/>
    <x v="6"/>
  </r>
  <r>
    <x v="0"/>
    <x v="115"/>
    <x v="115"/>
    <x v="37"/>
    <x v="37"/>
    <x v="37"/>
    <x v="7"/>
    <x v="217"/>
    <x v="116"/>
    <x v="65"/>
    <x v="65"/>
    <x v="123"/>
    <x v="369"/>
    <x v="0"/>
  </r>
  <r>
    <x v="0"/>
    <x v="115"/>
    <x v="115"/>
    <x v="3"/>
    <x v="3"/>
    <x v="3"/>
    <x v="7"/>
    <x v="217"/>
    <x v="116"/>
    <x v="50"/>
    <x v="627"/>
    <x v="127"/>
    <x v="151"/>
    <x v="0"/>
  </r>
  <r>
    <x v="0"/>
    <x v="115"/>
    <x v="115"/>
    <x v="1"/>
    <x v="1"/>
    <x v="1"/>
    <x v="7"/>
    <x v="217"/>
    <x v="116"/>
    <x v="50"/>
    <x v="627"/>
    <x v="127"/>
    <x v="151"/>
    <x v="0"/>
  </r>
  <r>
    <x v="0"/>
    <x v="115"/>
    <x v="115"/>
    <x v="123"/>
    <x v="123"/>
    <x v="123"/>
    <x v="7"/>
    <x v="217"/>
    <x v="116"/>
    <x v="65"/>
    <x v="65"/>
    <x v="123"/>
    <x v="369"/>
    <x v="0"/>
  </r>
  <r>
    <x v="0"/>
    <x v="115"/>
    <x v="115"/>
    <x v="23"/>
    <x v="23"/>
    <x v="23"/>
    <x v="7"/>
    <x v="217"/>
    <x v="116"/>
    <x v="65"/>
    <x v="65"/>
    <x v="127"/>
    <x v="151"/>
    <x v="6"/>
  </r>
  <r>
    <x v="0"/>
    <x v="116"/>
    <x v="116"/>
    <x v="31"/>
    <x v="31"/>
    <x v="31"/>
    <x v="0"/>
    <x v="197"/>
    <x v="466"/>
    <x v="56"/>
    <x v="602"/>
    <x v="110"/>
    <x v="340"/>
    <x v="0"/>
  </r>
  <r>
    <x v="0"/>
    <x v="116"/>
    <x v="116"/>
    <x v="51"/>
    <x v="51"/>
    <x v="51"/>
    <x v="0"/>
    <x v="197"/>
    <x v="466"/>
    <x v="51"/>
    <x v="600"/>
    <x v="123"/>
    <x v="35"/>
    <x v="0"/>
  </r>
  <r>
    <x v="0"/>
    <x v="116"/>
    <x v="116"/>
    <x v="1"/>
    <x v="1"/>
    <x v="1"/>
    <x v="0"/>
    <x v="197"/>
    <x v="466"/>
    <x v="39"/>
    <x v="603"/>
    <x v="127"/>
    <x v="151"/>
    <x v="0"/>
  </r>
  <r>
    <x v="0"/>
    <x v="116"/>
    <x v="116"/>
    <x v="40"/>
    <x v="40"/>
    <x v="40"/>
    <x v="3"/>
    <x v="198"/>
    <x v="398"/>
    <x v="56"/>
    <x v="602"/>
    <x v="108"/>
    <x v="339"/>
    <x v="0"/>
  </r>
  <r>
    <x v="0"/>
    <x v="116"/>
    <x v="116"/>
    <x v="42"/>
    <x v="42"/>
    <x v="42"/>
    <x v="3"/>
    <x v="198"/>
    <x v="398"/>
    <x v="65"/>
    <x v="65"/>
    <x v="119"/>
    <x v="315"/>
    <x v="0"/>
  </r>
  <r>
    <x v="0"/>
    <x v="116"/>
    <x v="116"/>
    <x v="2"/>
    <x v="2"/>
    <x v="2"/>
    <x v="3"/>
    <x v="198"/>
    <x v="398"/>
    <x v="51"/>
    <x v="600"/>
    <x v="127"/>
    <x v="151"/>
    <x v="0"/>
  </r>
  <r>
    <x v="0"/>
    <x v="116"/>
    <x v="116"/>
    <x v="3"/>
    <x v="3"/>
    <x v="3"/>
    <x v="3"/>
    <x v="198"/>
    <x v="398"/>
    <x v="51"/>
    <x v="600"/>
    <x v="127"/>
    <x v="151"/>
    <x v="0"/>
  </r>
  <r>
    <x v="0"/>
    <x v="116"/>
    <x v="116"/>
    <x v="54"/>
    <x v="54"/>
    <x v="54"/>
    <x v="7"/>
    <x v="199"/>
    <x v="177"/>
    <x v="50"/>
    <x v="74"/>
    <x v="108"/>
    <x v="339"/>
    <x v="0"/>
  </r>
  <r>
    <x v="0"/>
    <x v="116"/>
    <x v="116"/>
    <x v="41"/>
    <x v="41"/>
    <x v="41"/>
    <x v="7"/>
    <x v="199"/>
    <x v="177"/>
    <x v="62"/>
    <x v="587"/>
    <x v="127"/>
    <x v="151"/>
    <x v="0"/>
  </r>
  <r>
    <x v="0"/>
    <x v="116"/>
    <x v="116"/>
    <x v="12"/>
    <x v="12"/>
    <x v="12"/>
    <x v="7"/>
    <x v="199"/>
    <x v="177"/>
    <x v="56"/>
    <x v="602"/>
    <x v="93"/>
    <x v="341"/>
    <x v="0"/>
  </r>
  <r>
    <x v="0"/>
    <x v="116"/>
    <x v="116"/>
    <x v="4"/>
    <x v="4"/>
    <x v="4"/>
    <x v="7"/>
    <x v="199"/>
    <x v="177"/>
    <x v="62"/>
    <x v="587"/>
    <x v="127"/>
    <x v="151"/>
    <x v="0"/>
  </r>
  <r>
    <x v="0"/>
    <x v="116"/>
    <x v="116"/>
    <x v="5"/>
    <x v="5"/>
    <x v="5"/>
    <x v="7"/>
    <x v="199"/>
    <x v="177"/>
    <x v="62"/>
    <x v="587"/>
    <x v="127"/>
    <x v="151"/>
    <x v="0"/>
  </r>
  <r>
    <x v="0"/>
    <x v="116"/>
    <x v="116"/>
    <x v="43"/>
    <x v="43"/>
    <x v="43"/>
    <x v="7"/>
    <x v="199"/>
    <x v="177"/>
    <x v="65"/>
    <x v="65"/>
    <x v="93"/>
    <x v="341"/>
    <x v="0"/>
  </r>
  <r>
    <x v="0"/>
    <x v="116"/>
    <x v="116"/>
    <x v="46"/>
    <x v="46"/>
    <x v="46"/>
    <x v="13"/>
    <x v="200"/>
    <x v="380"/>
    <x v="56"/>
    <x v="602"/>
    <x v="123"/>
    <x v="35"/>
    <x v="0"/>
  </r>
  <r>
    <x v="0"/>
    <x v="116"/>
    <x v="116"/>
    <x v="7"/>
    <x v="7"/>
    <x v="7"/>
    <x v="13"/>
    <x v="200"/>
    <x v="380"/>
    <x v="56"/>
    <x v="602"/>
    <x v="123"/>
    <x v="35"/>
    <x v="0"/>
  </r>
  <r>
    <x v="0"/>
    <x v="116"/>
    <x v="116"/>
    <x v="0"/>
    <x v="0"/>
    <x v="0"/>
    <x v="13"/>
    <x v="200"/>
    <x v="380"/>
    <x v="70"/>
    <x v="264"/>
    <x v="127"/>
    <x v="151"/>
    <x v="0"/>
  </r>
  <r>
    <x v="0"/>
    <x v="116"/>
    <x v="116"/>
    <x v="45"/>
    <x v="45"/>
    <x v="45"/>
    <x v="13"/>
    <x v="200"/>
    <x v="380"/>
    <x v="56"/>
    <x v="602"/>
    <x v="123"/>
    <x v="35"/>
    <x v="0"/>
  </r>
  <r>
    <x v="0"/>
    <x v="116"/>
    <x v="116"/>
    <x v="82"/>
    <x v="82"/>
    <x v="82"/>
    <x v="13"/>
    <x v="200"/>
    <x v="380"/>
    <x v="65"/>
    <x v="65"/>
    <x v="127"/>
    <x v="151"/>
    <x v="0"/>
  </r>
  <r>
    <x v="0"/>
    <x v="116"/>
    <x v="116"/>
    <x v="19"/>
    <x v="19"/>
    <x v="19"/>
    <x v="13"/>
    <x v="200"/>
    <x v="380"/>
    <x v="56"/>
    <x v="602"/>
    <x v="123"/>
    <x v="35"/>
    <x v="0"/>
  </r>
  <r>
    <x v="0"/>
    <x v="116"/>
    <x v="116"/>
    <x v="140"/>
    <x v="140"/>
    <x v="140"/>
    <x v="18"/>
    <x v="216"/>
    <x v="11"/>
    <x v="65"/>
    <x v="65"/>
    <x v="123"/>
    <x v="35"/>
    <x v="0"/>
  </r>
  <r>
    <x v="0"/>
    <x v="116"/>
    <x v="116"/>
    <x v="67"/>
    <x v="67"/>
    <x v="67"/>
    <x v="18"/>
    <x v="216"/>
    <x v="11"/>
    <x v="56"/>
    <x v="602"/>
    <x v="127"/>
    <x v="151"/>
    <x v="0"/>
  </r>
  <r>
    <x v="0"/>
    <x v="116"/>
    <x v="116"/>
    <x v="111"/>
    <x v="111"/>
    <x v="111"/>
    <x v="18"/>
    <x v="216"/>
    <x v="11"/>
    <x v="50"/>
    <x v="74"/>
    <x v="123"/>
    <x v="35"/>
    <x v="0"/>
  </r>
  <r>
    <x v="0"/>
    <x v="116"/>
    <x v="116"/>
    <x v="70"/>
    <x v="70"/>
    <x v="70"/>
    <x v="18"/>
    <x v="216"/>
    <x v="11"/>
    <x v="65"/>
    <x v="65"/>
    <x v="93"/>
    <x v="341"/>
    <x v="0"/>
  </r>
  <r>
    <x v="0"/>
    <x v="116"/>
    <x v="116"/>
    <x v="36"/>
    <x v="36"/>
    <x v="36"/>
    <x v="18"/>
    <x v="216"/>
    <x v="11"/>
    <x v="65"/>
    <x v="65"/>
    <x v="93"/>
    <x v="341"/>
    <x v="0"/>
  </r>
  <r>
    <x v="0"/>
    <x v="116"/>
    <x v="116"/>
    <x v="48"/>
    <x v="48"/>
    <x v="48"/>
    <x v="18"/>
    <x v="216"/>
    <x v="11"/>
    <x v="56"/>
    <x v="602"/>
    <x v="127"/>
    <x v="151"/>
    <x v="0"/>
  </r>
  <r>
    <x v="0"/>
    <x v="116"/>
    <x v="116"/>
    <x v="92"/>
    <x v="92"/>
    <x v="92"/>
    <x v="18"/>
    <x v="216"/>
    <x v="11"/>
    <x v="50"/>
    <x v="74"/>
    <x v="123"/>
    <x v="35"/>
    <x v="0"/>
  </r>
  <r>
    <x v="0"/>
    <x v="116"/>
    <x v="116"/>
    <x v="44"/>
    <x v="44"/>
    <x v="44"/>
    <x v="18"/>
    <x v="216"/>
    <x v="11"/>
    <x v="65"/>
    <x v="65"/>
    <x v="93"/>
    <x v="341"/>
    <x v="0"/>
  </r>
  <r>
    <x v="0"/>
    <x v="116"/>
    <x v="116"/>
    <x v="47"/>
    <x v="47"/>
    <x v="47"/>
    <x v="18"/>
    <x v="216"/>
    <x v="11"/>
    <x v="50"/>
    <x v="74"/>
    <x v="123"/>
    <x v="35"/>
    <x v="0"/>
  </r>
  <r>
    <x v="0"/>
    <x v="116"/>
    <x v="116"/>
    <x v="113"/>
    <x v="113"/>
    <x v="113"/>
    <x v="18"/>
    <x v="216"/>
    <x v="11"/>
    <x v="50"/>
    <x v="74"/>
    <x v="123"/>
    <x v="35"/>
    <x v="0"/>
  </r>
  <r>
    <x v="0"/>
    <x v="116"/>
    <x v="116"/>
    <x v="133"/>
    <x v="133"/>
    <x v="133"/>
    <x v="18"/>
    <x v="216"/>
    <x v="11"/>
    <x v="50"/>
    <x v="74"/>
    <x v="123"/>
    <x v="35"/>
    <x v="0"/>
  </r>
  <r>
    <x v="0"/>
    <x v="116"/>
    <x v="116"/>
    <x v="61"/>
    <x v="61"/>
    <x v="61"/>
    <x v="18"/>
    <x v="216"/>
    <x v="11"/>
    <x v="50"/>
    <x v="74"/>
    <x v="123"/>
    <x v="35"/>
    <x v="0"/>
  </r>
  <r>
    <x v="0"/>
    <x v="116"/>
    <x v="116"/>
    <x v="52"/>
    <x v="52"/>
    <x v="52"/>
    <x v="18"/>
    <x v="216"/>
    <x v="11"/>
    <x v="65"/>
    <x v="65"/>
    <x v="127"/>
    <x v="151"/>
    <x v="0"/>
  </r>
  <r>
    <x v="0"/>
    <x v="116"/>
    <x v="116"/>
    <x v="8"/>
    <x v="8"/>
    <x v="8"/>
    <x v="18"/>
    <x v="216"/>
    <x v="11"/>
    <x v="56"/>
    <x v="602"/>
    <x v="127"/>
    <x v="151"/>
    <x v="0"/>
  </r>
  <r>
    <x v="0"/>
    <x v="116"/>
    <x v="116"/>
    <x v="6"/>
    <x v="6"/>
    <x v="6"/>
    <x v="18"/>
    <x v="216"/>
    <x v="11"/>
    <x v="56"/>
    <x v="602"/>
    <x v="127"/>
    <x v="151"/>
    <x v="0"/>
  </r>
  <r>
    <x v="0"/>
    <x v="117"/>
    <x v="117"/>
    <x v="8"/>
    <x v="8"/>
    <x v="8"/>
    <x v="0"/>
    <x v="198"/>
    <x v="467"/>
    <x v="51"/>
    <x v="628"/>
    <x v="127"/>
    <x v="151"/>
    <x v="0"/>
  </r>
  <r>
    <x v="0"/>
    <x v="117"/>
    <x v="117"/>
    <x v="2"/>
    <x v="2"/>
    <x v="2"/>
    <x v="1"/>
    <x v="199"/>
    <x v="223"/>
    <x v="62"/>
    <x v="629"/>
    <x v="127"/>
    <x v="151"/>
    <x v="0"/>
  </r>
  <r>
    <x v="0"/>
    <x v="117"/>
    <x v="117"/>
    <x v="3"/>
    <x v="3"/>
    <x v="3"/>
    <x v="1"/>
    <x v="199"/>
    <x v="223"/>
    <x v="62"/>
    <x v="629"/>
    <x v="127"/>
    <x v="151"/>
    <x v="0"/>
  </r>
  <r>
    <x v="0"/>
    <x v="117"/>
    <x v="117"/>
    <x v="46"/>
    <x v="46"/>
    <x v="46"/>
    <x v="3"/>
    <x v="200"/>
    <x v="468"/>
    <x v="50"/>
    <x v="630"/>
    <x v="93"/>
    <x v="343"/>
    <x v="0"/>
  </r>
  <r>
    <x v="0"/>
    <x v="117"/>
    <x v="117"/>
    <x v="31"/>
    <x v="31"/>
    <x v="31"/>
    <x v="3"/>
    <x v="200"/>
    <x v="468"/>
    <x v="65"/>
    <x v="65"/>
    <x v="108"/>
    <x v="358"/>
    <x v="0"/>
  </r>
  <r>
    <x v="0"/>
    <x v="117"/>
    <x v="117"/>
    <x v="13"/>
    <x v="13"/>
    <x v="13"/>
    <x v="3"/>
    <x v="200"/>
    <x v="468"/>
    <x v="50"/>
    <x v="630"/>
    <x v="93"/>
    <x v="343"/>
    <x v="0"/>
  </r>
  <r>
    <x v="0"/>
    <x v="117"/>
    <x v="117"/>
    <x v="12"/>
    <x v="12"/>
    <x v="12"/>
    <x v="3"/>
    <x v="200"/>
    <x v="468"/>
    <x v="56"/>
    <x v="631"/>
    <x v="123"/>
    <x v="142"/>
    <x v="0"/>
  </r>
  <r>
    <x v="0"/>
    <x v="117"/>
    <x v="117"/>
    <x v="42"/>
    <x v="42"/>
    <x v="42"/>
    <x v="3"/>
    <x v="200"/>
    <x v="468"/>
    <x v="50"/>
    <x v="630"/>
    <x v="93"/>
    <x v="343"/>
    <x v="0"/>
  </r>
  <r>
    <x v="0"/>
    <x v="117"/>
    <x v="117"/>
    <x v="51"/>
    <x v="51"/>
    <x v="51"/>
    <x v="3"/>
    <x v="200"/>
    <x v="468"/>
    <x v="70"/>
    <x v="632"/>
    <x v="127"/>
    <x v="151"/>
    <x v="0"/>
  </r>
  <r>
    <x v="0"/>
    <x v="117"/>
    <x v="117"/>
    <x v="43"/>
    <x v="43"/>
    <x v="43"/>
    <x v="3"/>
    <x v="200"/>
    <x v="468"/>
    <x v="65"/>
    <x v="65"/>
    <x v="127"/>
    <x v="151"/>
    <x v="0"/>
  </r>
  <r>
    <x v="0"/>
    <x v="117"/>
    <x v="117"/>
    <x v="54"/>
    <x v="54"/>
    <x v="54"/>
    <x v="10"/>
    <x v="216"/>
    <x v="407"/>
    <x v="65"/>
    <x v="65"/>
    <x v="93"/>
    <x v="343"/>
    <x v="0"/>
  </r>
  <r>
    <x v="0"/>
    <x v="117"/>
    <x v="117"/>
    <x v="38"/>
    <x v="38"/>
    <x v="38"/>
    <x v="10"/>
    <x v="216"/>
    <x v="407"/>
    <x v="65"/>
    <x v="65"/>
    <x v="93"/>
    <x v="343"/>
    <x v="0"/>
  </r>
  <r>
    <x v="0"/>
    <x v="117"/>
    <x v="117"/>
    <x v="62"/>
    <x v="62"/>
    <x v="62"/>
    <x v="10"/>
    <x v="216"/>
    <x v="407"/>
    <x v="50"/>
    <x v="630"/>
    <x v="123"/>
    <x v="142"/>
    <x v="0"/>
  </r>
  <r>
    <x v="0"/>
    <x v="117"/>
    <x v="117"/>
    <x v="78"/>
    <x v="78"/>
    <x v="78"/>
    <x v="10"/>
    <x v="216"/>
    <x v="407"/>
    <x v="65"/>
    <x v="65"/>
    <x v="123"/>
    <x v="142"/>
    <x v="6"/>
  </r>
  <r>
    <x v="0"/>
    <x v="117"/>
    <x v="117"/>
    <x v="48"/>
    <x v="48"/>
    <x v="48"/>
    <x v="10"/>
    <x v="216"/>
    <x v="407"/>
    <x v="65"/>
    <x v="65"/>
    <x v="93"/>
    <x v="343"/>
    <x v="0"/>
  </r>
  <r>
    <x v="0"/>
    <x v="117"/>
    <x v="117"/>
    <x v="44"/>
    <x v="44"/>
    <x v="44"/>
    <x v="10"/>
    <x v="216"/>
    <x v="407"/>
    <x v="65"/>
    <x v="65"/>
    <x v="93"/>
    <x v="343"/>
    <x v="0"/>
  </r>
  <r>
    <x v="0"/>
    <x v="117"/>
    <x v="117"/>
    <x v="5"/>
    <x v="5"/>
    <x v="5"/>
    <x v="10"/>
    <x v="216"/>
    <x v="407"/>
    <x v="56"/>
    <x v="631"/>
    <x v="127"/>
    <x v="151"/>
    <x v="0"/>
  </r>
  <r>
    <x v="0"/>
    <x v="117"/>
    <x v="117"/>
    <x v="23"/>
    <x v="23"/>
    <x v="23"/>
    <x v="10"/>
    <x v="216"/>
    <x v="407"/>
    <x v="65"/>
    <x v="65"/>
    <x v="127"/>
    <x v="151"/>
    <x v="0"/>
  </r>
  <r>
    <x v="0"/>
    <x v="117"/>
    <x v="117"/>
    <x v="110"/>
    <x v="110"/>
    <x v="110"/>
    <x v="17"/>
    <x v="217"/>
    <x v="65"/>
    <x v="65"/>
    <x v="65"/>
    <x v="123"/>
    <x v="142"/>
    <x v="0"/>
  </r>
  <r>
    <x v="0"/>
    <x v="117"/>
    <x v="117"/>
    <x v="17"/>
    <x v="17"/>
    <x v="17"/>
    <x v="17"/>
    <x v="217"/>
    <x v="65"/>
    <x v="65"/>
    <x v="65"/>
    <x v="123"/>
    <x v="142"/>
    <x v="0"/>
  </r>
  <r>
    <x v="0"/>
    <x v="117"/>
    <x v="117"/>
    <x v="32"/>
    <x v="32"/>
    <x v="32"/>
    <x v="17"/>
    <x v="217"/>
    <x v="65"/>
    <x v="50"/>
    <x v="630"/>
    <x v="127"/>
    <x v="151"/>
    <x v="0"/>
  </r>
  <r>
    <x v="0"/>
    <x v="117"/>
    <x v="117"/>
    <x v="105"/>
    <x v="105"/>
    <x v="105"/>
    <x v="17"/>
    <x v="217"/>
    <x v="65"/>
    <x v="50"/>
    <x v="630"/>
    <x v="127"/>
    <x v="151"/>
    <x v="0"/>
  </r>
  <r>
    <x v="0"/>
    <x v="117"/>
    <x v="117"/>
    <x v="56"/>
    <x v="56"/>
    <x v="56"/>
    <x v="17"/>
    <x v="217"/>
    <x v="65"/>
    <x v="50"/>
    <x v="630"/>
    <x v="127"/>
    <x v="151"/>
    <x v="0"/>
  </r>
  <r>
    <x v="0"/>
    <x v="117"/>
    <x v="117"/>
    <x v="22"/>
    <x v="22"/>
    <x v="22"/>
    <x v="17"/>
    <x v="217"/>
    <x v="65"/>
    <x v="50"/>
    <x v="630"/>
    <x v="127"/>
    <x v="151"/>
    <x v="0"/>
  </r>
  <r>
    <x v="0"/>
    <x v="117"/>
    <x v="117"/>
    <x v="14"/>
    <x v="14"/>
    <x v="14"/>
    <x v="17"/>
    <x v="217"/>
    <x v="65"/>
    <x v="50"/>
    <x v="630"/>
    <x v="127"/>
    <x v="151"/>
    <x v="0"/>
  </r>
  <r>
    <x v="0"/>
    <x v="117"/>
    <x v="117"/>
    <x v="76"/>
    <x v="76"/>
    <x v="76"/>
    <x v="17"/>
    <x v="217"/>
    <x v="65"/>
    <x v="65"/>
    <x v="65"/>
    <x v="127"/>
    <x v="151"/>
    <x v="0"/>
  </r>
  <r>
    <x v="0"/>
    <x v="117"/>
    <x v="117"/>
    <x v="119"/>
    <x v="119"/>
    <x v="119"/>
    <x v="17"/>
    <x v="217"/>
    <x v="65"/>
    <x v="65"/>
    <x v="65"/>
    <x v="127"/>
    <x v="151"/>
    <x v="0"/>
  </r>
  <r>
    <x v="0"/>
    <x v="117"/>
    <x v="117"/>
    <x v="190"/>
    <x v="187"/>
    <x v="190"/>
    <x v="17"/>
    <x v="217"/>
    <x v="65"/>
    <x v="50"/>
    <x v="630"/>
    <x v="127"/>
    <x v="151"/>
    <x v="0"/>
  </r>
  <r>
    <x v="0"/>
    <x v="117"/>
    <x v="117"/>
    <x v="68"/>
    <x v="68"/>
    <x v="68"/>
    <x v="17"/>
    <x v="217"/>
    <x v="65"/>
    <x v="50"/>
    <x v="630"/>
    <x v="127"/>
    <x v="151"/>
    <x v="0"/>
  </r>
  <r>
    <x v="0"/>
    <x v="117"/>
    <x v="117"/>
    <x v="11"/>
    <x v="11"/>
    <x v="11"/>
    <x v="17"/>
    <x v="217"/>
    <x v="65"/>
    <x v="50"/>
    <x v="630"/>
    <x v="127"/>
    <x v="151"/>
    <x v="0"/>
  </r>
  <r>
    <x v="0"/>
    <x v="117"/>
    <x v="117"/>
    <x v="113"/>
    <x v="113"/>
    <x v="113"/>
    <x v="17"/>
    <x v="217"/>
    <x v="65"/>
    <x v="50"/>
    <x v="630"/>
    <x v="127"/>
    <x v="151"/>
    <x v="0"/>
  </r>
  <r>
    <x v="0"/>
    <x v="117"/>
    <x v="117"/>
    <x v="114"/>
    <x v="114"/>
    <x v="114"/>
    <x v="17"/>
    <x v="217"/>
    <x v="65"/>
    <x v="50"/>
    <x v="630"/>
    <x v="127"/>
    <x v="151"/>
    <x v="0"/>
  </r>
  <r>
    <x v="0"/>
    <x v="117"/>
    <x v="117"/>
    <x v="18"/>
    <x v="18"/>
    <x v="18"/>
    <x v="17"/>
    <x v="217"/>
    <x v="65"/>
    <x v="50"/>
    <x v="630"/>
    <x v="127"/>
    <x v="151"/>
    <x v="0"/>
  </r>
  <r>
    <x v="0"/>
    <x v="117"/>
    <x v="117"/>
    <x v="84"/>
    <x v="84"/>
    <x v="84"/>
    <x v="17"/>
    <x v="217"/>
    <x v="65"/>
    <x v="65"/>
    <x v="65"/>
    <x v="123"/>
    <x v="142"/>
    <x v="0"/>
  </r>
  <r>
    <x v="0"/>
    <x v="117"/>
    <x v="117"/>
    <x v="85"/>
    <x v="85"/>
    <x v="85"/>
    <x v="17"/>
    <x v="217"/>
    <x v="65"/>
    <x v="50"/>
    <x v="630"/>
    <x v="127"/>
    <x v="151"/>
    <x v="0"/>
  </r>
  <r>
    <x v="0"/>
    <x v="117"/>
    <x v="117"/>
    <x v="7"/>
    <x v="7"/>
    <x v="7"/>
    <x v="17"/>
    <x v="217"/>
    <x v="65"/>
    <x v="65"/>
    <x v="65"/>
    <x v="123"/>
    <x v="142"/>
    <x v="0"/>
  </r>
  <r>
    <x v="0"/>
    <x v="117"/>
    <x v="117"/>
    <x v="15"/>
    <x v="15"/>
    <x v="15"/>
    <x v="17"/>
    <x v="217"/>
    <x v="65"/>
    <x v="65"/>
    <x v="65"/>
    <x v="123"/>
    <x v="142"/>
    <x v="0"/>
  </r>
  <r>
    <x v="0"/>
    <x v="117"/>
    <x v="117"/>
    <x v="0"/>
    <x v="0"/>
    <x v="0"/>
    <x v="17"/>
    <x v="217"/>
    <x v="65"/>
    <x v="65"/>
    <x v="65"/>
    <x v="123"/>
    <x v="142"/>
    <x v="0"/>
  </r>
  <r>
    <x v="0"/>
    <x v="117"/>
    <x v="117"/>
    <x v="45"/>
    <x v="45"/>
    <x v="45"/>
    <x v="17"/>
    <x v="217"/>
    <x v="65"/>
    <x v="50"/>
    <x v="630"/>
    <x v="127"/>
    <x v="151"/>
    <x v="0"/>
  </r>
  <r>
    <x v="0"/>
    <x v="117"/>
    <x v="117"/>
    <x v="37"/>
    <x v="37"/>
    <x v="37"/>
    <x v="17"/>
    <x v="217"/>
    <x v="65"/>
    <x v="65"/>
    <x v="65"/>
    <x v="123"/>
    <x v="142"/>
    <x v="0"/>
  </r>
  <r>
    <x v="0"/>
    <x v="117"/>
    <x v="117"/>
    <x v="1"/>
    <x v="1"/>
    <x v="1"/>
    <x v="17"/>
    <x v="217"/>
    <x v="65"/>
    <x v="50"/>
    <x v="630"/>
    <x v="127"/>
    <x v="151"/>
    <x v="0"/>
  </r>
  <r>
    <x v="0"/>
    <x v="117"/>
    <x v="117"/>
    <x v="82"/>
    <x v="82"/>
    <x v="82"/>
    <x v="17"/>
    <x v="217"/>
    <x v="65"/>
    <x v="65"/>
    <x v="65"/>
    <x v="127"/>
    <x v="151"/>
    <x v="0"/>
  </r>
  <r>
    <x v="0"/>
    <x v="118"/>
    <x v="118"/>
    <x v="2"/>
    <x v="2"/>
    <x v="2"/>
    <x v="0"/>
    <x v="197"/>
    <x v="375"/>
    <x v="51"/>
    <x v="553"/>
    <x v="123"/>
    <x v="150"/>
    <x v="0"/>
  </r>
  <r>
    <x v="0"/>
    <x v="118"/>
    <x v="118"/>
    <x v="1"/>
    <x v="1"/>
    <x v="1"/>
    <x v="1"/>
    <x v="198"/>
    <x v="1"/>
    <x v="51"/>
    <x v="553"/>
    <x v="127"/>
    <x v="151"/>
    <x v="0"/>
  </r>
  <r>
    <x v="0"/>
    <x v="118"/>
    <x v="118"/>
    <x v="10"/>
    <x v="10"/>
    <x v="10"/>
    <x v="2"/>
    <x v="199"/>
    <x v="186"/>
    <x v="65"/>
    <x v="65"/>
    <x v="110"/>
    <x v="315"/>
    <x v="0"/>
  </r>
  <r>
    <x v="0"/>
    <x v="118"/>
    <x v="118"/>
    <x v="17"/>
    <x v="17"/>
    <x v="17"/>
    <x v="2"/>
    <x v="199"/>
    <x v="186"/>
    <x v="50"/>
    <x v="554"/>
    <x v="108"/>
    <x v="346"/>
    <x v="0"/>
  </r>
  <r>
    <x v="0"/>
    <x v="118"/>
    <x v="118"/>
    <x v="42"/>
    <x v="42"/>
    <x v="42"/>
    <x v="2"/>
    <x v="199"/>
    <x v="186"/>
    <x v="50"/>
    <x v="554"/>
    <x v="108"/>
    <x v="346"/>
    <x v="0"/>
  </r>
  <r>
    <x v="0"/>
    <x v="118"/>
    <x v="118"/>
    <x v="4"/>
    <x v="4"/>
    <x v="4"/>
    <x v="2"/>
    <x v="199"/>
    <x v="186"/>
    <x v="62"/>
    <x v="552"/>
    <x v="127"/>
    <x v="151"/>
    <x v="0"/>
  </r>
  <r>
    <x v="0"/>
    <x v="118"/>
    <x v="118"/>
    <x v="51"/>
    <x v="51"/>
    <x v="51"/>
    <x v="6"/>
    <x v="200"/>
    <x v="426"/>
    <x v="70"/>
    <x v="556"/>
    <x v="127"/>
    <x v="151"/>
    <x v="0"/>
  </r>
  <r>
    <x v="0"/>
    <x v="118"/>
    <x v="118"/>
    <x v="45"/>
    <x v="45"/>
    <x v="45"/>
    <x v="6"/>
    <x v="200"/>
    <x v="426"/>
    <x v="70"/>
    <x v="556"/>
    <x v="127"/>
    <x v="151"/>
    <x v="0"/>
  </r>
  <r>
    <x v="0"/>
    <x v="118"/>
    <x v="118"/>
    <x v="3"/>
    <x v="3"/>
    <x v="3"/>
    <x v="6"/>
    <x v="200"/>
    <x v="426"/>
    <x v="70"/>
    <x v="556"/>
    <x v="127"/>
    <x v="151"/>
    <x v="0"/>
  </r>
  <r>
    <x v="0"/>
    <x v="118"/>
    <x v="118"/>
    <x v="40"/>
    <x v="40"/>
    <x v="40"/>
    <x v="9"/>
    <x v="216"/>
    <x v="178"/>
    <x v="50"/>
    <x v="554"/>
    <x v="123"/>
    <x v="150"/>
    <x v="0"/>
  </r>
  <r>
    <x v="0"/>
    <x v="118"/>
    <x v="118"/>
    <x v="56"/>
    <x v="56"/>
    <x v="56"/>
    <x v="9"/>
    <x v="216"/>
    <x v="178"/>
    <x v="50"/>
    <x v="554"/>
    <x v="123"/>
    <x v="150"/>
    <x v="0"/>
  </r>
  <r>
    <x v="0"/>
    <x v="118"/>
    <x v="118"/>
    <x v="96"/>
    <x v="96"/>
    <x v="96"/>
    <x v="9"/>
    <x v="216"/>
    <x v="178"/>
    <x v="65"/>
    <x v="65"/>
    <x v="93"/>
    <x v="37"/>
    <x v="0"/>
  </r>
  <r>
    <x v="0"/>
    <x v="118"/>
    <x v="118"/>
    <x v="78"/>
    <x v="78"/>
    <x v="78"/>
    <x v="9"/>
    <x v="216"/>
    <x v="178"/>
    <x v="65"/>
    <x v="65"/>
    <x v="93"/>
    <x v="37"/>
    <x v="0"/>
  </r>
  <r>
    <x v="0"/>
    <x v="118"/>
    <x v="118"/>
    <x v="36"/>
    <x v="36"/>
    <x v="36"/>
    <x v="9"/>
    <x v="216"/>
    <x v="178"/>
    <x v="65"/>
    <x v="65"/>
    <x v="93"/>
    <x v="37"/>
    <x v="0"/>
  </r>
  <r>
    <x v="0"/>
    <x v="118"/>
    <x v="118"/>
    <x v="28"/>
    <x v="28"/>
    <x v="28"/>
    <x v="9"/>
    <x v="216"/>
    <x v="178"/>
    <x v="56"/>
    <x v="555"/>
    <x v="127"/>
    <x v="151"/>
    <x v="0"/>
  </r>
  <r>
    <x v="0"/>
    <x v="118"/>
    <x v="118"/>
    <x v="44"/>
    <x v="44"/>
    <x v="44"/>
    <x v="9"/>
    <x v="216"/>
    <x v="178"/>
    <x v="65"/>
    <x v="65"/>
    <x v="93"/>
    <x v="37"/>
    <x v="0"/>
  </r>
  <r>
    <x v="0"/>
    <x v="118"/>
    <x v="118"/>
    <x v="47"/>
    <x v="47"/>
    <x v="47"/>
    <x v="9"/>
    <x v="216"/>
    <x v="178"/>
    <x v="56"/>
    <x v="555"/>
    <x v="127"/>
    <x v="151"/>
    <x v="0"/>
  </r>
  <r>
    <x v="0"/>
    <x v="118"/>
    <x v="118"/>
    <x v="7"/>
    <x v="7"/>
    <x v="7"/>
    <x v="9"/>
    <x v="216"/>
    <x v="178"/>
    <x v="50"/>
    <x v="554"/>
    <x v="123"/>
    <x v="150"/>
    <x v="0"/>
  </r>
  <r>
    <x v="0"/>
    <x v="118"/>
    <x v="118"/>
    <x v="0"/>
    <x v="0"/>
    <x v="0"/>
    <x v="9"/>
    <x v="216"/>
    <x v="178"/>
    <x v="56"/>
    <x v="555"/>
    <x v="127"/>
    <x v="151"/>
    <x v="0"/>
  </r>
  <r>
    <x v="0"/>
    <x v="118"/>
    <x v="118"/>
    <x v="19"/>
    <x v="19"/>
    <x v="19"/>
    <x v="9"/>
    <x v="216"/>
    <x v="178"/>
    <x v="65"/>
    <x v="65"/>
    <x v="93"/>
    <x v="37"/>
    <x v="0"/>
  </r>
  <r>
    <x v="0"/>
    <x v="118"/>
    <x v="118"/>
    <x v="26"/>
    <x v="26"/>
    <x v="26"/>
    <x v="9"/>
    <x v="216"/>
    <x v="178"/>
    <x v="50"/>
    <x v="554"/>
    <x v="123"/>
    <x v="150"/>
    <x v="0"/>
  </r>
  <r>
    <x v="0"/>
    <x v="119"/>
    <x v="119"/>
    <x v="2"/>
    <x v="2"/>
    <x v="2"/>
    <x v="0"/>
    <x v="209"/>
    <x v="469"/>
    <x v="33"/>
    <x v="633"/>
    <x v="127"/>
    <x v="151"/>
    <x v="0"/>
  </r>
  <r>
    <x v="0"/>
    <x v="119"/>
    <x v="119"/>
    <x v="0"/>
    <x v="0"/>
    <x v="0"/>
    <x v="1"/>
    <x v="206"/>
    <x v="470"/>
    <x v="61"/>
    <x v="525"/>
    <x v="123"/>
    <x v="410"/>
    <x v="0"/>
  </r>
  <r>
    <x v="0"/>
    <x v="119"/>
    <x v="119"/>
    <x v="51"/>
    <x v="51"/>
    <x v="51"/>
    <x v="1"/>
    <x v="206"/>
    <x v="470"/>
    <x v="38"/>
    <x v="634"/>
    <x v="123"/>
    <x v="410"/>
    <x v="0"/>
  </r>
  <r>
    <x v="0"/>
    <x v="119"/>
    <x v="119"/>
    <x v="3"/>
    <x v="3"/>
    <x v="3"/>
    <x v="3"/>
    <x v="194"/>
    <x v="39"/>
    <x v="61"/>
    <x v="525"/>
    <x v="127"/>
    <x v="151"/>
    <x v="0"/>
  </r>
  <r>
    <x v="0"/>
    <x v="119"/>
    <x v="119"/>
    <x v="1"/>
    <x v="1"/>
    <x v="1"/>
    <x v="3"/>
    <x v="194"/>
    <x v="39"/>
    <x v="61"/>
    <x v="525"/>
    <x v="127"/>
    <x v="151"/>
    <x v="0"/>
  </r>
  <r>
    <x v="0"/>
    <x v="119"/>
    <x v="119"/>
    <x v="4"/>
    <x v="4"/>
    <x v="4"/>
    <x v="5"/>
    <x v="208"/>
    <x v="251"/>
    <x v="77"/>
    <x v="527"/>
    <x v="127"/>
    <x v="151"/>
    <x v="0"/>
  </r>
  <r>
    <x v="0"/>
    <x v="119"/>
    <x v="119"/>
    <x v="7"/>
    <x v="7"/>
    <x v="7"/>
    <x v="6"/>
    <x v="196"/>
    <x v="81"/>
    <x v="62"/>
    <x v="530"/>
    <x v="108"/>
    <x v="279"/>
    <x v="0"/>
  </r>
  <r>
    <x v="0"/>
    <x v="119"/>
    <x v="119"/>
    <x v="5"/>
    <x v="5"/>
    <x v="5"/>
    <x v="6"/>
    <x v="196"/>
    <x v="81"/>
    <x v="51"/>
    <x v="635"/>
    <x v="93"/>
    <x v="15"/>
    <x v="0"/>
  </r>
  <r>
    <x v="0"/>
    <x v="119"/>
    <x v="119"/>
    <x v="17"/>
    <x v="17"/>
    <x v="17"/>
    <x v="8"/>
    <x v="197"/>
    <x v="44"/>
    <x v="50"/>
    <x v="202"/>
    <x v="119"/>
    <x v="411"/>
    <x v="0"/>
  </r>
  <r>
    <x v="0"/>
    <x v="119"/>
    <x v="119"/>
    <x v="56"/>
    <x v="56"/>
    <x v="56"/>
    <x v="8"/>
    <x v="197"/>
    <x v="44"/>
    <x v="51"/>
    <x v="635"/>
    <x v="123"/>
    <x v="410"/>
    <x v="0"/>
  </r>
  <r>
    <x v="0"/>
    <x v="119"/>
    <x v="119"/>
    <x v="14"/>
    <x v="14"/>
    <x v="14"/>
    <x v="8"/>
    <x v="197"/>
    <x v="44"/>
    <x v="62"/>
    <x v="530"/>
    <x v="93"/>
    <x v="15"/>
    <x v="0"/>
  </r>
  <r>
    <x v="0"/>
    <x v="119"/>
    <x v="119"/>
    <x v="54"/>
    <x v="54"/>
    <x v="54"/>
    <x v="8"/>
    <x v="197"/>
    <x v="44"/>
    <x v="65"/>
    <x v="65"/>
    <x v="67"/>
    <x v="394"/>
    <x v="0"/>
  </r>
  <r>
    <x v="0"/>
    <x v="119"/>
    <x v="119"/>
    <x v="45"/>
    <x v="45"/>
    <x v="45"/>
    <x v="8"/>
    <x v="197"/>
    <x v="44"/>
    <x v="39"/>
    <x v="447"/>
    <x v="127"/>
    <x v="151"/>
    <x v="0"/>
  </r>
  <r>
    <x v="0"/>
    <x v="119"/>
    <x v="119"/>
    <x v="58"/>
    <x v="58"/>
    <x v="58"/>
    <x v="13"/>
    <x v="198"/>
    <x v="61"/>
    <x v="50"/>
    <x v="202"/>
    <x v="110"/>
    <x v="412"/>
    <x v="0"/>
  </r>
  <r>
    <x v="0"/>
    <x v="119"/>
    <x v="119"/>
    <x v="44"/>
    <x v="44"/>
    <x v="44"/>
    <x v="13"/>
    <x v="198"/>
    <x v="61"/>
    <x v="56"/>
    <x v="528"/>
    <x v="108"/>
    <x v="279"/>
    <x v="0"/>
  </r>
  <r>
    <x v="0"/>
    <x v="119"/>
    <x v="119"/>
    <x v="41"/>
    <x v="41"/>
    <x v="41"/>
    <x v="13"/>
    <x v="198"/>
    <x v="61"/>
    <x v="70"/>
    <x v="220"/>
    <x v="93"/>
    <x v="15"/>
    <x v="0"/>
  </r>
  <r>
    <x v="0"/>
    <x v="119"/>
    <x v="119"/>
    <x v="6"/>
    <x v="6"/>
    <x v="6"/>
    <x v="13"/>
    <x v="198"/>
    <x v="61"/>
    <x v="51"/>
    <x v="635"/>
    <x v="127"/>
    <x v="151"/>
    <x v="0"/>
  </r>
  <r>
    <x v="0"/>
    <x v="119"/>
    <x v="119"/>
    <x v="40"/>
    <x v="40"/>
    <x v="40"/>
    <x v="16"/>
    <x v="199"/>
    <x v="13"/>
    <x v="56"/>
    <x v="528"/>
    <x v="93"/>
    <x v="15"/>
    <x v="0"/>
  </r>
  <r>
    <x v="0"/>
    <x v="119"/>
    <x v="119"/>
    <x v="46"/>
    <x v="46"/>
    <x v="46"/>
    <x v="16"/>
    <x v="199"/>
    <x v="13"/>
    <x v="56"/>
    <x v="528"/>
    <x v="93"/>
    <x v="15"/>
    <x v="0"/>
  </r>
  <r>
    <x v="0"/>
    <x v="119"/>
    <x v="119"/>
    <x v="12"/>
    <x v="12"/>
    <x v="12"/>
    <x v="16"/>
    <x v="199"/>
    <x v="13"/>
    <x v="70"/>
    <x v="220"/>
    <x v="123"/>
    <x v="410"/>
    <x v="0"/>
  </r>
  <r>
    <x v="0"/>
    <x v="119"/>
    <x v="119"/>
    <x v="42"/>
    <x v="42"/>
    <x v="42"/>
    <x v="16"/>
    <x v="199"/>
    <x v="13"/>
    <x v="56"/>
    <x v="528"/>
    <x v="93"/>
    <x v="15"/>
    <x v="0"/>
  </r>
  <r>
    <x v="0"/>
    <x v="119"/>
    <x v="119"/>
    <x v="9"/>
    <x v="9"/>
    <x v="9"/>
    <x v="16"/>
    <x v="199"/>
    <x v="13"/>
    <x v="62"/>
    <x v="530"/>
    <x v="127"/>
    <x v="151"/>
    <x v="0"/>
  </r>
  <r>
    <x v="0"/>
    <x v="119"/>
    <x v="119"/>
    <x v="8"/>
    <x v="8"/>
    <x v="8"/>
    <x v="16"/>
    <x v="199"/>
    <x v="13"/>
    <x v="70"/>
    <x v="220"/>
    <x v="123"/>
    <x v="410"/>
    <x v="0"/>
  </r>
  <r>
    <x v="0"/>
    <x v="119"/>
    <x v="119"/>
    <x v="43"/>
    <x v="43"/>
    <x v="43"/>
    <x v="16"/>
    <x v="199"/>
    <x v="13"/>
    <x v="65"/>
    <x v="65"/>
    <x v="123"/>
    <x v="410"/>
    <x v="0"/>
  </r>
  <r>
    <x v="0"/>
    <x v="119"/>
    <x v="119"/>
    <x v="19"/>
    <x v="19"/>
    <x v="19"/>
    <x v="16"/>
    <x v="199"/>
    <x v="13"/>
    <x v="65"/>
    <x v="65"/>
    <x v="110"/>
    <x v="412"/>
    <x v="0"/>
  </r>
  <r>
    <x v="0"/>
    <x v="120"/>
    <x v="120"/>
    <x v="40"/>
    <x v="40"/>
    <x v="40"/>
    <x v="0"/>
    <x v="200"/>
    <x v="382"/>
    <x v="56"/>
    <x v="636"/>
    <x v="123"/>
    <x v="315"/>
    <x v="0"/>
  </r>
  <r>
    <x v="0"/>
    <x v="120"/>
    <x v="120"/>
    <x v="10"/>
    <x v="10"/>
    <x v="10"/>
    <x v="1"/>
    <x v="216"/>
    <x v="250"/>
    <x v="65"/>
    <x v="65"/>
    <x v="93"/>
    <x v="413"/>
    <x v="0"/>
  </r>
  <r>
    <x v="0"/>
    <x v="120"/>
    <x v="120"/>
    <x v="17"/>
    <x v="17"/>
    <x v="17"/>
    <x v="1"/>
    <x v="216"/>
    <x v="250"/>
    <x v="50"/>
    <x v="84"/>
    <x v="123"/>
    <x v="315"/>
    <x v="0"/>
  </r>
  <r>
    <x v="0"/>
    <x v="120"/>
    <x v="120"/>
    <x v="42"/>
    <x v="42"/>
    <x v="42"/>
    <x v="1"/>
    <x v="216"/>
    <x v="250"/>
    <x v="65"/>
    <x v="65"/>
    <x v="93"/>
    <x v="413"/>
    <x v="0"/>
  </r>
  <r>
    <x v="0"/>
    <x v="120"/>
    <x v="120"/>
    <x v="115"/>
    <x v="115"/>
    <x v="115"/>
    <x v="1"/>
    <x v="216"/>
    <x v="250"/>
    <x v="65"/>
    <x v="65"/>
    <x v="127"/>
    <x v="151"/>
    <x v="0"/>
  </r>
  <r>
    <x v="0"/>
    <x v="120"/>
    <x v="120"/>
    <x v="45"/>
    <x v="45"/>
    <x v="45"/>
    <x v="1"/>
    <x v="216"/>
    <x v="250"/>
    <x v="56"/>
    <x v="636"/>
    <x v="127"/>
    <x v="151"/>
    <x v="0"/>
  </r>
  <r>
    <x v="0"/>
    <x v="120"/>
    <x v="120"/>
    <x v="2"/>
    <x v="2"/>
    <x v="2"/>
    <x v="1"/>
    <x v="216"/>
    <x v="250"/>
    <x v="56"/>
    <x v="636"/>
    <x v="127"/>
    <x v="151"/>
    <x v="0"/>
  </r>
  <r>
    <x v="0"/>
    <x v="120"/>
    <x v="120"/>
    <x v="14"/>
    <x v="14"/>
    <x v="14"/>
    <x v="7"/>
    <x v="217"/>
    <x v="251"/>
    <x v="50"/>
    <x v="84"/>
    <x v="127"/>
    <x v="151"/>
    <x v="0"/>
  </r>
  <r>
    <x v="0"/>
    <x v="120"/>
    <x v="120"/>
    <x v="106"/>
    <x v="106"/>
    <x v="106"/>
    <x v="7"/>
    <x v="217"/>
    <x v="251"/>
    <x v="50"/>
    <x v="84"/>
    <x v="127"/>
    <x v="151"/>
    <x v="0"/>
  </r>
  <r>
    <x v="0"/>
    <x v="120"/>
    <x v="120"/>
    <x v="111"/>
    <x v="111"/>
    <x v="111"/>
    <x v="7"/>
    <x v="217"/>
    <x v="251"/>
    <x v="50"/>
    <x v="84"/>
    <x v="127"/>
    <x v="151"/>
    <x v="0"/>
  </r>
  <r>
    <x v="0"/>
    <x v="120"/>
    <x v="120"/>
    <x v="76"/>
    <x v="76"/>
    <x v="76"/>
    <x v="7"/>
    <x v="217"/>
    <x v="251"/>
    <x v="65"/>
    <x v="65"/>
    <x v="127"/>
    <x v="151"/>
    <x v="0"/>
  </r>
  <r>
    <x v="0"/>
    <x v="120"/>
    <x v="120"/>
    <x v="208"/>
    <x v="205"/>
    <x v="208"/>
    <x v="7"/>
    <x v="217"/>
    <x v="251"/>
    <x v="65"/>
    <x v="65"/>
    <x v="123"/>
    <x v="315"/>
    <x v="0"/>
  </r>
  <r>
    <x v="0"/>
    <x v="120"/>
    <x v="120"/>
    <x v="62"/>
    <x v="62"/>
    <x v="62"/>
    <x v="7"/>
    <x v="217"/>
    <x v="251"/>
    <x v="65"/>
    <x v="65"/>
    <x v="123"/>
    <x v="315"/>
    <x v="0"/>
  </r>
  <r>
    <x v="0"/>
    <x v="120"/>
    <x v="120"/>
    <x v="44"/>
    <x v="44"/>
    <x v="44"/>
    <x v="7"/>
    <x v="217"/>
    <x v="251"/>
    <x v="65"/>
    <x v="65"/>
    <x v="123"/>
    <x v="315"/>
    <x v="0"/>
  </r>
  <r>
    <x v="0"/>
    <x v="120"/>
    <x v="120"/>
    <x v="49"/>
    <x v="49"/>
    <x v="49"/>
    <x v="7"/>
    <x v="217"/>
    <x v="251"/>
    <x v="50"/>
    <x v="84"/>
    <x v="127"/>
    <x v="151"/>
    <x v="0"/>
  </r>
  <r>
    <x v="0"/>
    <x v="120"/>
    <x v="120"/>
    <x v="37"/>
    <x v="37"/>
    <x v="37"/>
    <x v="7"/>
    <x v="217"/>
    <x v="251"/>
    <x v="50"/>
    <x v="84"/>
    <x v="127"/>
    <x v="151"/>
    <x v="0"/>
  </r>
  <r>
    <x v="0"/>
    <x v="120"/>
    <x v="120"/>
    <x v="3"/>
    <x v="3"/>
    <x v="3"/>
    <x v="7"/>
    <x v="217"/>
    <x v="251"/>
    <x v="50"/>
    <x v="84"/>
    <x v="127"/>
    <x v="151"/>
    <x v="0"/>
  </r>
  <r>
    <x v="0"/>
    <x v="120"/>
    <x v="120"/>
    <x v="1"/>
    <x v="1"/>
    <x v="1"/>
    <x v="7"/>
    <x v="217"/>
    <x v="251"/>
    <x v="50"/>
    <x v="84"/>
    <x v="127"/>
    <x v="151"/>
    <x v="0"/>
  </r>
  <r>
    <x v="0"/>
    <x v="120"/>
    <x v="120"/>
    <x v="23"/>
    <x v="23"/>
    <x v="23"/>
    <x v="7"/>
    <x v="217"/>
    <x v="251"/>
    <x v="65"/>
    <x v="65"/>
    <x v="127"/>
    <x v="151"/>
    <x v="0"/>
  </r>
  <r>
    <x v="0"/>
    <x v="120"/>
    <x v="120"/>
    <x v="6"/>
    <x v="6"/>
    <x v="6"/>
    <x v="7"/>
    <x v="217"/>
    <x v="251"/>
    <x v="50"/>
    <x v="84"/>
    <x v="127"/>
    <x v="151"/>
    <x v="0"/>
  </r>
  <r>
    <x v="0"/>
    <x v="120"/>
    <x v="120"/>
    <x v="59"/>
    <x v="59"/>
    <x v="59"/>
    <x v="7"/>
    <x v="217"/>
    <x v="251"/>
    <x v="65"/>
    <x v="65"/>
    <x v="123"/>
    <x v="315"/>
    <x v="0"/>
  </r>
  <r>
    <x v="0"/>
    <x v="120"/>
    <x v="120"/>
    <x v="19"/>
    <x v="19"/>
    <x v="19"/>
    <x v="7"/>
    <x v="217"/>
    <x v="251"/>
    <x v="65"/>
    <x v="65"/>
    <x v="123"/>
    <x v="315"/>
    <x v="0"/>
  </r>
  <r>
    <x v="0"/>
    <x v="121"/>
    <x v="121"/>
    <x v="2"/>
    <x v="2"/>
    <x v="2"/>
    <x v="0"/>
    <x v="198"/>
    <x v="126"/>
    <x v="51"/>
    <x v="475"/>
    <x v="127"/>
    <x v="151"/>
    <x v="0"/>
  </r>
  <r>
    <x v="0"/>
    <x v="121"/>
    <x v="121"/>
    <x v="3"/>
    <x v="3"/>
    <x v="3"/>
    <x v="0"/>
    <x v="198"/>
    <x v="126"/>
    <x v="51"/>
    <x v="475"/>
    <x v="127"/>
    <x v="151"/>
    <x v="0"/>
  </r>
  <r>
    <x v="0"/>
    <x v="121"/>
    <x v="121"/>
    <x v="47"/>
    <x v="47"/>
    <x v="47"/>
    <x v="2"/>
    <x v="199"/>
    <x v="387"/>
    <x v="70"/>
    <x v="216"/>
    <x v="123"/>
    <x v="366"/>
    <x v="0"/>
  </r>
  <r>
    <x v="0"/>
    <x v="121"/>
    <x v="121"/>
    <x v="10"/>
    <x v="10"/>
    <x v="10"/>
    <x v="3"/>
    <x v="200"/>
    <x v="471"/>
    <x v="50"/>
    <x v="327"/>
    <x v="93"/>
    <x v="371"/>
    <x v="0"/>
  </r>
  <r>
    <x v="0"/>
    <x v="121"/>
    <x v="121"/>
    <x v="42"/>
    <x v="42"/>
    <x v="42"/>
    <x v="3"/>
    <x v="200"/>
    <x v="471"/>
    <x v="50"/>
    <x v="327"/>
    <x v="93"/>
    <x v="371"/>
    <x v="0"/>
  </r>
  <r>
    <x v="0"/>
    <x v="121"/>
    <x v="121"/>
    <x v="45"/>
    <x v="45"/>
    <x v="45"/>
    <x v="3"/>
    <x v="200"/>
    <x v="471"/>
    <x v="56"/>
    <x v="476"/>
    <x v="123"/>
    <x v="366"/>
    <x v="0"/>
  </r>
  <r>
    <x v="0"/>
    <x v="121"/>
    <x v="121"/>
    <x v="1"/>
    <x v="1"/>
    <x v="1"/>
    <x v="3"/>
    <x v="200"/>
    <x v="471"/>
    <x v="70"/>
    <x v="216"/>
    <x v="127"/>
    <x v="151"/>
    <x v="0"/>
  </r>
  <r>
    <x v="0"/>
    <x v="121"/>
    <x v="121"/>
    <x v="17"/>
    <x v="17"/>
    <x v="17"/>
    <x v="7"/>
    <x v="216"/>
    <x v="214"/>
    <x v="65"/>
    <x v="65"/>
    <x v="93"/>
    <x v="371"/>
    <x v="0"/>
  </r>
  <r>
    <x v="0"/>
    <x v="121"/>
    <x v="121"/>
    <x v="67"/>
    <x v="67"/>
    <x v="67"/>
    <x v="7"/>
    <x v="216"/>
    <x v="214"/>
    <x v="50"/>
    <x v="327"/>
    <x v="123"/>
    <x v="366"/>
    <x v="0"/>
  </r>
  <r>
    <x v="0"/>
    <x v="121"/>
    <x v="121"/>
    <x v="56"/>
    <x v="56"/>
    <x v="56"/>
    <x v="7"/>
    <x v="216"/>
    <x v="214"/>
    <x v="50"/>
    <x v="327"/>
    <x v="123"/>
    <x v="366"/>
    <x v="0"/>
  </r>
  <r>
    <x v="0"/>
    <x v="121"/>
    <x v="121"/>
    <x v="46"/>
    <x v="46"/>
    <x v="46"/>
    <x v="7"/>
    <x v="216"/>
    <x v="214"/>
    <x v="56"/>
    <x v="476"/>
    <x v="127"/>
    <x v="151"/>
    <x v="0"/>
  </r>
  <r>
    <x v="0"/>
    <x v="121"/>
    <x v="121"/>
    <x v="97"/>
    <x v="97"/>
    <x v="97"/>
    <x v="7"/>
    <x v="216"/>
    <x v="214"/>
    <x v="65"/>
    <x v="65"/>
    <x v="93"/>
    <x v="371"/>
    <x v="0"/>
  </r>
  <r>
    <x v="0"/>
    <x v="121"/>
    <x v="121"/>
    <x v="62"/>
    <x v="62"/>
    <x v="62"/>
    <x v="7"/>
    <x v="216"/>
    <x v="214"/>
    <x v="56"/>
    <x v="476"/>
    <x v="127"/>
    <x v="151"/>
    <x v="0"/>
  </r>
  <r>
    <x v="0"/>
    <x v="121"/>
    <x v="121"/>
    <x v="41"/>
    <x v="41"/>
    <x v="41"/>
    <x v="7"/>
    <x v="216"/>
    <x v="214"/>
    <x v="56"/>
    <x v="476"/>
    <x v="127"/>
    <x v="151"/>
    <x v="0"/>
  </r>
  <r>
    <x v="0"/>
    <x v="121"/>
    <x v="121"/>
    <x v="113"/>
    <x v="113"/>
    <x v="113"/>
    <x v="7"/>
    <x v="216"/>
    <x v="214"/>
    <x v="56"/>
    <x v="476"/>
    <x v="127"/>
    <x v="151"/>
    <x v="0"/>
  </r>
  <r>
    <x v="0"/>
    <x v="121"/>
    <x v="121"/>
    <x v="142"/>
    <x v="142"/>
    <x v="142"/>
    <x v="7"/>
    <x v="216"/>
    <x v="214"/>
    <x v="50"/>
    <x v="327"/>
    <x v="123"/>
    <x v="366"/>
    <x v="0"/>
  </r>
  <r>
    <x v="0"/>
    <x v="121"/>
    <x v="121"/>
    <x v="5"/>
    <x v="5"/>
    <x v="5"/>
    <x v="7"/>
    <x v="216"/>
    <x v="214"/>
    <x v="56"/>
    <x v="476"/>
    <x v="127"/>
    <x v="151"/>
    <x v="0"/>
  </r>
  <r>
    <x v="0"/>
    <x v="121"/>
    <x v="121"/>
    <x v="64"/>
    <x v="64"/>
    <x v="64"/>
    <x v="7"/>
    <x v="216"/>
    <x v="214"/>
    <x v="56"/>
    <x v="476"/>
    <x v="127"/>
    <x v="151"/>
    <x v="0"/>
  </r>
  <r>
    <x v="0"/>
    <x v="121"/>
    <x v="121"/>
    <x v="8"/>
    <x v="8"/>
    <x v="8"/>
    <x v="7"/>
    <x v="216"/>
    <x v="214"/>
    <x v="56"/>
    <x v="476"/>
    <x v="127"/>
    <x v="151"/>
    <x v="0"/>
  </r>
  <r>
    <x v="0"/>
    <x v="121"/>
    <x v="121"/>
    <x v="19"/>
    <x v="19"/>
    <x v="19"/>
    <x v="7"/>
    <x v="216"/>
    <x v="214"/>
    <x v="56"/>
    <x v="476"/>
    <x v="127"/>
    <x v="151"/>
    <x v="0"/>
  </r>
  <r>
    <x v="0"/>
    <x v="122"/>
    <x v="122"/>
    <x v="2"/>
    <x v="2"/>
    <x v="2"/>
    <x v="0"/>
    <x v="196"/>
    <x v="278"/>
    <x v="95"/>
    <x v="386"/>
    <x v="127"/>
    <x v="151"/>
    <x v="0"/>
  </r>
  <r>
    <x v="0"/>
    <x v="122"/>
    <x v="122"/>
    <x v="3"/>
    <x v="3"/>
    <x v="3"/>
    <x v="0"/>
    <x v="196"/>
    <x v="278"/>
    <x v="95"/>
    <x v="386"/>
    <x v="127"/>
    <x v="151"/>
    <x v="0"/>
  </r>
  <r>
    <x v="0"/>
    <x v="122"/>
    <x v="122"/>
    <x v="51"/>
    <x v="51"/>
    <x v="51"/>
    <x v="2"/>
    <x v="198"/>
    <x v="472"/>
    <x v="62"/>
    <x v="408"/>
    <x v="123"/>
    <x v="117"/>
    <x v="0"/>
  </r>
  <r>
    <x v="0"/>
    <x v="122"/>
    <x v="122"/>
    <x v="5"/>
    <x v="5"/>
    <x v="5"/>
    <x v="2"/>
    <x v="198"/>
    <x v="472"/>
    <x v="51"/>
    <x v="637"/>
    <x v="127"/>
    <x v="151"/>
    <x v="0"/>
  </r>
  <r>
    <x v="0"/>
    <x v="122"/>
    <x v="122"/>
    <x v="1"/>
    <x v="1"/>
    <x v="1"/>
    <x v="2"/>
    <x v="198"/>
    <x v="472"/>
    <x v="51"/>
    <x v="637"/>
    <x v="127"/>
    <x v="151"/>
    <x v="0"/>
  </r>
  <r>
    <x v="0"/>
    <x v="122"/>
    <x v="122"/>
    <x v="11"/>
    <x v="11"/>
    <x v="11"/>
    <x v="5"/>
    <x v="199"/>
    <x v="137"/>
    <x v="65"/>
    <x v="65"/>
    <x v="110"/>
    <x v="380"/>
    <x v="0"/>
  </r>
  <r>
    <x v="0"/>
    <x v="122"/>
    <x v="122"/>
    <x v="49"/>
    <x v="49"/>
    <x v="49"/>
    <x v="5"/>
    <x v="199"/>
    <x v="137"/>
    <x v="56"/>
    <x v="168"/>
    <x v="93"/>
    <x v="357"/>
    <x v="0"/>
  </r>
  <r>
    <x v="0"/>
    <x v="122"/>
    <x v="122"/>
    <x v="10"/>
    <x v="10"/>
    <x v="10"/>
    <x v="7"/>
    <x v="200"/>
    <x v="139"/>
    <x v="65"/>
    <x v="65"/>
    <x v="108"/>
    <x v="351"/>
    <x v="0"/>
  </r>
  <r>
    <x v="0"/>
    <x v="122"/>
    <x v="122"/>
    <x v="46"/>
    <x v="46"/>
    <x v="46"/>
    <x v="7"/>
    <x v="200"/>
    <x v="139"/>
    <x v="50"/>
    <x v="624"/>
    <x v="93"/>
    <x v="357"/>
    <x v="0"/>
  </r>
  <r>
    <x v="0"/>
    <x v="122"/>
    <x v="122"/>
    <x v="24"/>
    <x v="24"/>
    <x v="24"/>
    <x v="7"/>
    <x v="200"/>
    <x v="139"/>
    <x v="70"/>
    <x v="623"/>
    <x v="127"/>
    <x v="151"/>
    <x v="0"/>
  </r>
  <r>
    <x v="0"/>
    <x v="122"/>
    <x v="122"/>
    <x v="45"/>
    <x v="45"/>
    <x v="45"/>
    <x v="7"/>
    <x v="200"/>
    <x v="139"/>
    <x v="70"/>
    <x v="623"/>
    <x v="127"/>
    <x v="151"/>
    <x v="0"/>
  </r>
  <r>
    <x v="0"/>
    <x v="122"/>
    <x v="122"/>
    <x v="56"/>
    <x v="56"/>
    <x v="56"/>
    <x v="11"/>
    <x v="216"/>
    <x v="310"/>
    <x v="56"/>
    <x v="168"/>
    <x v="127"/>
    <x v="151"/>
    <x v="0"/>
  </r>
  <r>
    <x v="0"/>
    <x v="122"/>
    <x v="122"/>
    <x v="68"/>
    <x v="68"/>
    <x v="68"/>
    <x v="11"/>
    <x v="216"/>
    <x v="310"/>
    <x v="65"/>
    <x v="65"/>
    <x v="93"/>
    <x v="357"/>
    <x v="0"/>
  </r>
  <r>
    <x v="0"/>
    <x v="122"/>
    <x v="122"/>
    <x v="48"/>
    <x v="48"/>
    <x v="48"/>
    <x v="11"/>
    <x v="216"/>
    <x v="310"/>
    <x v="50"/>
    <x v="624"/>
    <x v="123"/>
    <x v="117"/>
    <x v="0"/>
  </r>
  <r>
    <x v="0"/>
    <x v="122"/>
    <x v="122"/>
    <x v="92"/>
    <x v="92"/>
    <x v="92"/>
    <x v="11"/>
    <x v="216"/>
    <x v="310"/>
    <x v="50"/>
    <x v="624"/>
    <x v="123"/>
    <x v="117"/>
    <x v="0"/>
  </r>
  <r>
    <x v="0"/>
    <x v="122"/>
    <x v="122"/>
    <x v="12"/>
    <x v="12"/>
    <x v="12"/>
    <x v="11"/>
    <x v="216"/>
    <x v="310"/>
    <x v="56"/>
    <x v="168"/>
    <x v="127"/>
    <x v="151"/>
    <x v="0"/>
  </r>
  <r>
    <x v="0"/>
    <x v="122"/>
    <x v="122"/>
    <x v="47"/>
    <x v="47"/>
    <x v="47"/>
    <x v="11"/>
    <x v="216"/>
    <x v="310"/>
    <x v="50"/>
    <x v="624"/>
    <x v="123"/>
    <x v="117"/>
    <x v="0"/>
  </r>
  <r>
    <x v="0"/>
    <x v="122"/>
    <x v="122"/>
    <x v="84"/>
    <x v="84"/>
    <x v="84"/>
    <x v="11"/>
    <x v="216"/>
    <x v="310"/>
    <x v="65"/>
    <x v="65"/>
    <x v="93"/>
    <x v="357"/>
    <x v="0"/>
  </r>
  <r>
    <x v="0"/>
    <x v="122"/>
    <x v="122"/>
    <x v="42"/>
    <x v="42"/>
    <x v="42"/>
    <x v="11"/>
    <x v="216"/>
    <x v="310"/>
    <x v="65"/>
    <x v="65"/>
    <x v="93"/>
    <x v="357"/>
    <x v="0"/>
  </r>
  <r>
    <x v="0"/>
    <x v="122"/>
    <x v="122"/>
    <x v="55"/>
    <x v="55"/>
    <x v="55"/>
    <x v="11"/>
    <x v="216"/>
    <x v="310"/>
    <x v="65"/>
    <x v="65"/>
    <x v="93"/>
    <x v="357"/>
    <x v="0"/>
  </r>
  <r>
    <x v="0"/>
    <x v="122"/>
    <x v="122"/>
    <x v="4"/>
    <x v="4"/>
    <x v="4"/>
    <x v="11"/>
    <x v="216"/>
    <x v="310"/>
    <x v="56"/>
    <x v="168"/>
    <x v="127"/>
    <x v="151"/>
    <x v="0"/>
  </r>
  <r>
    <x v="0"/>
    <x v="122"/>
    <x v="122"/>
    <x v="82"/>
    <x v="82"/>
    <x v="82"/>
    <x v="11"/>
    <x v="216"/>
    <x v="310"/>
    <x v="65"/>
    <x v="65"/>
    <x v="127"/>
    <x v="151"/>
    <x v="0"/>
  </r>
  <r>
    <x v="0"/>
    <x v="122"/>
    <x v="122"/>
    <x v="53"/>
    <x v="53"/>
    <x v="53"/>
    <x v="11"/>
    <x v="216"/>
    <x v="310"/>
    <x v="65"/>
    <x v="65"/>
    <x v="127"/>
    <x v="151"/>
    <x v="0"/>
  </r>
  <r>
    <x v="0"/>
    <x v="123"/>
    <x v="123"/>
    <x v="89"/>
    <x v="89"/>
    <x v="89"/>
    <x v="0"/>
    <x v="200"/>
    <x v="433"/>
    <x v="65"/>
    <x v="65"/>
    <x v="108"/>
    <x v="212"/>
    <x v="0"/>
  </r>
  <r>
    <x v="0"/>
    <x v="123"/>
    <x v="123"/>
    <x v="12"/>
    <x v="12"/>
    <x v="12"/>
    <x v="0"/>
    <x v="200"/>
    <x v="433"/>
    <x v="50"/>
    <x v="397"/>
    <x v="93"/>
    <x v="214"/>
    <x v="0"/>
  </r>
  <r>
    <x v="0"/>
    <x v="123"/>
    <x v="123"/>
    <x v="17"/>
    <x v="17"/>
    <x v="17"/>
    <x v="2"/>
    <x v="216"/>
    <x v="473"/>
    <x v="65"/>
    <x v="65"/>
    <x v="93"/>
    <x v="214"/>
    <x v="0"/>
  </r>
  <r>
    <x v="0"/>
    <x v="123"/>
    <x v="123"/>
    <x v="42"/>
    <x v="42"/>
    <x v="42"/>
    <x v="2"/>
    <x v="216"/>
    <x v="473"/>
    <x v="65"/>
    <x v="65"/>
    <x v="93"/>
    <x v="214"/>
    <x v="0"/>
  </r>
  <r>
    <x v="0"/>
    <x v="123"/>
    <x v="123"/>
    <x v="51"/>
    <x v="51"/>
    <x v="51"/>
    <x v="2"/>
    <x v="216"/>
    <x v="473"/>
    <x v="50"/>
    <x v="397"/>
    <x v="123"/>
    <x v="215"/>
    <x v="0"/>
  </r>
  <r>
    <x v="0"/>
    <x v="123"/>
    <x v="123"/>
    <x v="1"/>
    <x v="1"/>
    <x v="1"/>
    <x v="2"/>
    <x v="216"/>
    <x v="473"/>
    <x v="50"/>
    <x v="397"/>
    <x v="123"/>
    <x v="215"/>
    <x v="0"/>
  </r>
  <r>
    <x v="0"/>
    <x v="123"/>
    <x v="123"/>
    <x v="10"/>
    <x v="10"/>
    <x v="10"/>
    <x v="6"/>
    <x v="217"/>
    <x v="266"/>
    <x v="65"/>
    <x v="65"/>
    <x v="123"/>
    <x v="215"/>
    <x v="0"/>
  </r>
  <r>
    <x v="0"/>
    <x v="123"/>
    <x v="123"/>
    <x v="40"/>
    <x v="40"/>
    <x v="40"/>
    <x v="6"/>
    <x v="217"/>
    <x v="266"/>
    <x v="50"/>
    <x v="397"/>
    <x v="127"/>
    <x v="151"/>
    <x v="0"/>
  </r>
  <r>
    <x v="0"/>
    <x v="123"/>
    <x v="123"/>
    <x v="127"/>
    <x v="127"/>
    <x v="127"/>
    <x v="6"/>
    <x v="217"/>
    <x v="266"/>
    <x v="65"/>
    <x v="65"/>
    <x v="123"/>
    <x v="215"/>
    <x v="0"/>
  </r>
  <r>
    <x v="0"/>
    <x v="123"/>
    <x v="123"/>
    <x v="54"/>
    <x v="54"/>
    <x v="54"/>
    <x v="6"/>
    <x v="217"/>
    <x v="266"/>
    <x v="50"/>
    <x v="397"/>
    <x v="127"/>
    <x v="151"/>
    <x v="0"/>
  </r>
  <r>
    <x v="0"/>
    <x v="123"/>
    <x v="123"/>
    <x v="76"/>
    <x v="76"/>
    <x v="76"/>
    <x v="6"/>
    <x v="217"/>
    <x v="266"/>
    <x v="65"/>
    <x v="65"/>
    <x v="127"/>
    <x v="151"/>
    <x v="0"/>
  </r>
  <r>
    <x v="0"/>
    <x v="123"/>
    <x v="123"/>
    <x v="178"/>
    <x v="176"/>
    <x v="178"/>
    <x v="6"/>
    <x v="217"/>
    <x v="266"/>
    <x v="65"/>
    <x v="65"/>
    <x v="123"/>
    <x v="215"/>
    <x v="0"/>
  </r>
  <r>
    <x v="0"/>
    <x v="123"/>
    <x v="123"/>
    <x v="112"/>
    <x v="112"/>
    <x v="112"/>
    <x v="6"/>
    <x v="217"/>
    <x v="266"/>
    <x v="65"/>
    <x v="65"/>
    <x v="123"/>
    <x v="215"/>
    <x v="0"/>
  </r>
  <r>
    <x v="0"/>
    <x v="123"/>
    <x v="123"/>
    <x v="28"/>
    <x v="28"/>
    <x v="28"/>
    <x v="6"/>
    <x v="217"/>
    <x v="266"/>
    <x v="50"/>
    <x v="397"/>
    <x v="127"/>
    <x v="151"/>
    <x v="0"/>
  </r>
  <r>
    <x v="0"/>
    <x v="123"/>
    <x v="123"/>
    <x v="92"/>
    <x v="92"/>
    <x v="92"/>
    <x v="6"/>
    <x v="217"/>
    <x v="266"/>
    <x v="65"/>
    <x v="65"/>
    <x v="123"/>
    <x v="215"/>
    <x v="0"/>
  </r>
  <r>
    <x v="0"/>
    <x v="123"/>
    <x v="123"/>
    <x v="41"/>
    <x v="41"/>
    <x v="41"/>
    <x v="6"/>
    <x v="217"/>
    <x v="266"/>
    <x v="65"/>
    <x v="65"/>
    <x v="123"/>
    <x v="215"/>
    <x v="0"/>
  </r>
  <r>
    <x v="0"/>
    <x v="123"/>
    <x v="123"/>
    <x v="84"/>
    <x v="84"/>
    <x v="84"/>
    <x v="6"/>
    <x v="217"/>
    <x v="266"/>
    <x v="65"/>
    <x v="65"/>
    <x v="123"/>
    <x v="215"/>
    <x v="0"/>
  </r>
  <r>
    <x v="0"/>
    <x v="123"/>
    <x v="123"/>
    <x v="7"/>
    <x v="7"/>
    <x v="7"/>
    <x v="6"/>
    <x v="217"/>
    <x v="266"/>
    <x v="65"/>
    <x v="65"/>
    <x v="123"/>
    <x v="215"/>
    <x v="0"/>
  </r>
  <r>
    <x v="0"/>
    <x v="123"/>
    <x v="123"/>
    <x v="194"/>
    <x v="191"/>
    <x v="194"/>
    <x v="6"/>
    <x v="217"/>
    <x v="266"/>
    <x v="65"/>
    <x v="65"/>
    <x v="123"/>
    <x v="215"/>
    <x v="0"/>
  </r>
  <r>
    <x v="0"/>
    <x v="123"/>
    <x v="123"/>
    <x v="45"/>
    <x v="45"/>
    <x v="45"/>
    <x v="6"/>
    <x v="217"/>
    <x v="266"/>
    <x v="50"/>
    <x v="397"/>
    <x v="127"/>
    <x v="151"/>
    <x v="0"/>
  </r>
  <r>
    <x v="0"/>
    <x v="123"/>
    <x v="123"/>
    <x v="131"/>
    <x v="131"/>
    <x v="131"/>
    <x v="6"/>
    <x v="217"/>
    <x v="266"/>
    <x v="50"/>
    <x v="397"/>
    <x v="127"/>
    <x v="151"/>
    <x v="0"/>
  </r>
  <r>
    <x v="0"/>
    <x v="123"/>
    <x v="123"/>
    <x v="5"/>
    <x v="5"/>
    <x v="5"/>
    <x v="6"/>
    <x v="217"/>
    <x v="266"/>
    <x v="50"/>
    <x v="397"/>
    <x v="127"/>
    <x v="151"/>
    <x v="0"/>
  </r>
  <r>
    <x v="0"/>
    <x v="123"/>
    <x v="123"/>
    <x v="2"/>
    <x v="2"/>
    <x v="2"/>
    <x v="6"/>
    <x v="217"/>
    <x v="266"/>
    <x v="50"/>
    <x v="397"/>
    <x v="127"/>
    <x v="151"/>
    <x v="0"/>
  </r>
  <r>
    <x v="0"/>
    <x v="123"/>
    <x v="123"/>
    <x v="37"/>
    <x v="37"/>
    <x v="37"/>
    <x v="6"/>
    <x v="217"/>
    <x v="266"/>
    <x v="65"/>
    <x v="65"/>
    <x v="127"/>
    <x v="151"/>
    <x v="0"/>
  </r>
  <r>
    <x v="0"/>
    <x v="123"/>
    <x v="123"/>
    <x v="34"/>
    <x v="34"/>
    <x v="34"/>
    <x v="6"/>
    <x v="217"/>
    <x v="266"/>
    <x v="50"/>
    <x v="397"/>
    <x v="127"/>
    <x v="151"/>
    <x v="0"/>
  </r>
  <r>
    <x v="0"/>
    <x v="123"/>
    <x v="123"/>
    <x v="71"/>
    <x v="71"/>
    <x v="71"/>
    <x v="6"/>
    <x v="217"/>
    <x v="266"/>
    <x v="65"/>
    <x v="65"/>
    <x v="123"/>
    <x v="215"/>
    <x v="0"/>
  </r>
  <r>
    <x v="0"/>
    <x v="123"/>
    <x v="123"/>
    <x v="72"/>
    <x v="72"/>
    <x v="72"/>
    <x v="6"/>
    <x v="217"/>
    <x v="266"/>
    <x v="65"/>
    <x v="65"/>
    <x v="123"/>
    <x v="215"/>
    <x v="0"/>
  </r>
  <r>
    <x v="0"/>
    <x v="123"/>
    <x v="123"/>
    <x v="109"/>
    <x v="109"/>
    <x v="109"/>
    <x v="6"/>
    <x v="217"/>
    <x v="266"/>
    <x v="65"/>
    <x v="65"/>
    <x v="123"/>
    <x v="215"/>
    <x v="0"/>
  </r>
  <r>
    <x v="0"/>
    <x v="123"/>
    <x v="123"/>
    <x v="19"/>
    <x v="19"/>
    <x v="19"/>
    <x v="6"/>
    <x v="217"/>
    <x v="266"/>
    <x v="65"/>
    <x v="65"/>
    <x v="123"/>
    <x v="215"/>
    <x v="0"/>
  </r>
  <r>
    <x v="0"/>
    <x v="123"/>
    <x v="123"/>
    <x v="172"/>
    <x v="170"/>
    <x v="172"/>
    <x v="6"/>
    <x v="217"/>
    <x v="266"/>
    <x v="65"/>
    <x v="65"/>
    <x v="123"/>
    <x v="215"/>
    <x v="0"/>
  </r>
  <r>
    <x v="0"/>
    <x v="123"/>
    <x v="123"/>
    <x v="60"/>
    <x v="60"/>
    <x v="60"/>
    <x v="6"/>
    <x v="217"/>
    <x v="266"/>
    <x v="65"/>
    <x v="65"/>
    <x v="123"/>
    <x v="215"/>
    <x v="0"/>
  </r>
  <r>
    <x v="0"/>
    <x v="124"/>
    <x v="124"/>
    <x v="0"/>
    <x v="0"/>
    <x v="0"/>
    <x v="0"/>
    <x v="208"/>
    <x v="382"/>
    <x v="68"/>
    <x v="638"/>
    <x v="123"/>
    <x v="103"/>
    <x v="0"/>
  </r>
  <r>
    <x v="0"/>
    <x v="124"/>
    <x v="124"/>
    <x v="2"/>
    <x v="2"/>
    <x v="2"/>
    <x v="1"/>
    <x v="198"/>
    <x v="376"/>
    <x v="62"/>
    <x v="313"/>
    <x v="123"/>
    <x v="103"/>
    <x v="0"/>
  </r>
  <r>
    <x v="0"/>
    <x v="124"/>
    <x v="124"/>
    <x v="3"/>
    <x v="3"/>
    <x v="3"/>
    <x v="2"/>
    <x v="199"/>
    <x v="39"/>
    <x v="62"/>
    <x v="313"/>
    <x v="127"/>
    <x v="151"/>
    <x v="0"/>
  </r>
  <r>
    <x v="0"/>
    <x v="124"/>
    <x v="124"/>
    <x v="1"/>
    <x v="1"/>
    <x v="1"/>
    <x v="2"/>
    <x v="199"/>
    <x v="39"/>
    <x v="62"/>
    <x v="313"/>
    <x v="127"/>
    <x v="151"/>
    <x v="0"/>
  </r>
  <r>
    <x v="0"/>
    <x v="124"/>
    <x v="124"/>
    <x v="13"/>
    <x v="13"/>
    <x v="13"/>
    <x v="4"/>
    <x v="200"/>
    <x v="474"/>
    <x v="50"/>
    <x v="317"/>
    <x v="93"/>
    <x v="284"/>
    <x v="0"/>
  </r>
  <r>
    <x v="0"/>
    <x v="124"/>
    <x v="124"/>
    <x v="42"/>
    <x v="42"/>
    <x v="42"/>
    <x v="4"/>
    <x v="200"/>
    <x v="474"/>
    <x v="65"/>
    <x v="65"/>
    <x v="108"/>
    <x v="414"/>
    <x v="0"/>
  </r>
  <r>
    <x v="0"/>
    <x v="124"/>
    <x v="124"/>
    <x v="85"/>
    <x v="85"/>
    <x v="85"/>
    <x v="4"/>
    <x v="200"/>
    <x v="474"/>
    <x v="56"/>
    <x v="572"/>
    <x v="123"/>
    <x v="103"/>
    <x v="0"/>
  </r>
  <r>
    <x v="0"/>
    <x v="124"/>
    <x v="124"/>
    <x v="5"/>
    <x v="5"/>
    <x v="5"/>
    <x v="4"/>
    <x v="200"/>
    <x v="474"/>
    <x v="70"/>
    <x v="495"/>
    <x v="127"/>
    <x v="151"/>
    <x v="0"/>
  </r>
  <r>
    <x v="0"/>
    <x v="124"/>
    <x v="124"/>
    <x v="52"/>
    <x v="52"/>
    <x v="52"/>
    <x v="4"/>
    <x v="200"/>
    <x v="474"/>
    <x v="65"/>
    <x v="65"/>
    <x v="127"/>
    <x v="151"/>
    <x v="0"/>
  </r>
  <r>
    <x v="0"/>
    <x v="124"/>
    <x v="124"/>
    <x v="10"/>
    <x v="10"/>
    <x v="10"/>
    <x v="9"/>
    <x v="216"/>
    <x v="44"/>
    <x v="65"/>
    <x v="65"/>
    <x v="93"/>
    <x v="284"/>
    <x v="0"/>
  </r>
  <r>
    <x v="0"/>
    <x v="124"/>
    <x v="124"/>
    <x v="40"/>
    <x v="40"/>
    <x v="40"/>
    <x v="9"/>
    <x v="216"/>
    <x v="44"/>
    <x v="50"/>
    <x v="317"/>
    <x v="123"/>
    <x v="103"/>
    <x v="0"/>
  </r>
  <r>
    <x v="0"/>
    <x v="124"/>
    <x v="124"/>
    <x v="46"/>
    <x v="46"/>
    <x v="46"/>
    <x v="9"/>
    <x v="216"/>
    <x v="44"/>
    <x v="50"/>
    <x v="317"/>
    <x v="123"/>
    <x v="103"/>
    <x v="0"/>
  </r>
  <r>
    <x v="0"/>
    <x v="124"/>
    <x v="124"/>
    <x v="149"/>
    <x v="149"/>
    <x v="149"/>
    <x v="9"/>
    <x v="216"/>
    <x v="44"/>
    <x v="65"/>
    <x v="65"/>
    <x v="93"/>
    <x v="284"/>
    <x v="0"/>
  </r>
  <r>
    <x v="0"/>
    <x v="124"/>
    <x v="124"/>
    <x v="54"/>
    <x v="54"/>
    <x v="54"/>
    <x v="9"/>
    <x v="216"/>
    <x v="44"/>
    <x v="65"/>
    <x v="65"/>
    <x v="93"/>
    <x v="284"/>
    <x v="0"/>
  </r>
  <r>
    <x v="0"/>
    <x v="124"/>
    <x v="124"/>
    <x v="33"/>
    <x v="33"/>
    <x v="33"/>
    <x v="9"/>
    <x v="216"/>
    <x v="44"/>
    <x v="65"/>
    <x v="65"/>
    <x v="93"/>
    <x v="284"/>
    <x v="0"/>
  </r>
  <r>
    <x v="0"/>
    <x v="124"/>
    <x v="124"/>
    <x v="12"/>
    <x v="12"/>
    <x v="12"/>
    <x v="9"/>
    <x v="216"/>
    <x v="44"/>
    <x v="56"/>
    <x v="572"/>
    <x v="127"/>
    <x v="151"/>
    <x v="0"/>
  </r>
  <r>
    <x v="0"/>
    <x v="124"/>
    <x v="124"/>
    <x v="84"/>
    <x v="84"/>
    <x v="84"/>
    <x v="9"/>
    <x v="216"/>
    <x v="44"/>
    <x v="65"/>
    <x v="65"/>
    <x v="93"/>
    <x v="284"/>
    <x v="0"/>
  </r>
  <r>
    <x v="0"/>
    <x v="124"/>
    <x v="124"/>
    <x v="7"/>
    <x v="7"/>
    <x v="7"/>
    <x v="9"/>
    <x v="216"/>
    <x v="44"/>
    <x v="50"/>
    <x v="317"/>
    <x v="123"/>
    <x v="103"/>
    <x v="0"/>
  </r>
  <r>
    <x v="0"/>
    <x v="124"/>
    <x v="124"/>
    <x v="55"/>
    <x v="55"/>
    <x v="55"/>
    <x v="9"/>
    <x v="216"/>
    <x v="44"/>
    <x v="65"/>
    <x v="65"/>
    <x v="93"/>
    <x v="284"/>
    <x v="0"/>
  </r>
  <r>
    <x v="0"/>
    <x v="124"/>
    <x v="124"/>
    <x v="4"/>
    <x v="4"/>
    <x v="4"/>
    <x v="9"/>
    <x v="216"/>
    <x v="44"/>
    <x v="65"/>
    <x v="65"/>
    <x v="93"/>
    <x v="284"/>
    <x v="0"/>
  </r>
  <r>
    <x v="0"/>
    <x v="124"/>
    <x v="124"/>
    <x v="64"/>
    <x v="64"/>
    <x v="64"/>
    <x v="9"/>
    <x v="216"/>
    <x v="44"/>
    <x v="56"/>
    <x v="572"/>
    <x v="127"/>
    <x v="151"/>
    <x v="0"/>
  </r>
  <r>
    <x v="0"/>
    <x v="124"/>
    <x v="124"/>
    <x v="109"/>
    <x v="109"/>
    <x v="109"/>
    <x v="9"/>
    <x v="216"/>
    <x v="44"/>
    <x v="65"/>
    <x v="65"/>
    <x v="93"/>
    <x v="284"/>
    <x v="0"/>
  </r>
  <r>
    <x v="0"/>
    <x v="125"/>
    <x v="125"/>
    <x v="49"/>
    <x v="49"/>
    <x v="49"/>
    <x v="0"/>
    <x v="200"/>
    <x v="343"/>
    <x v="70"/>
    <x v="612"/>
    <x v="127"/>
    <x v="151"/>
    <x v="0"/>
  </r>
  <r>
    <x v="0"/>
    <x v="125"/>
    <x v="125"/>
    <x v="45"/>
    <x v="45"/>
    <x v="45"/>
    <x v="0"/>
    <x v="200"/>
    <x v="343"/>
    <x v="70"/>
    <x v="612"/>
    <x v="127"/>
    <x v="151"/>
    <x v="0"/>
  </r>
  <r>
    <x v="0"/>
    <x v="125"/>
    <x v="125"/>
    <x v="4"/>
    <x v="4"/>
    <x v="4"/>
    <x v="0"/>
    <x v="200"/>
    <x v="343"/>
    <x v="70"/>
    <x v="612"/>
    <x v="127"/>
    <x v="151"/>
    <x v="0"/>
  </r>
  <r>
    <x v="0"/>
    <x v="125"/>
    <x v="125"/>
    <x v="10"/>
    <x v="10"/>
    <x v="10"/>
    <x v="3"/>
    <x v="216"/>
    <x v="196"/>
    <x v="65"/>
    <x v="65"/>
    <x v="93"/>
    <x v="283"/>
    <x v="0"/>
  </r>
  <r>
    <x v="0"/>
    <x v="125"/>
    <x v="125"/>
    <x v="127"/>
    <x v="127"/>
    <x v="127"/>
    <x v="3"/>
    <x v="216"/>
    <x v="196"/>
    <x v="56"/>
    <x v="486"/>
    <x v="127"/>
    <x v="151"/>
    <x v="0"/>
  </r>
  <r>
    <x v="0"/>
    <x v="125"/>
    <x v="125"/>
    <x v="89"/>
    <x v="89"/>
    <x v="89"/>
    <x v="3"/>
    <x v="216"/>
    <x v="196"/>
    <x v="65"/>
    <x v="65"/>
    <x v="123"/>
    <x v="242"/>
    <x v="6"/>
  </r>
  <r>
    <x v="0"/>
    <x v="125"/>
    <x v="125"/>
    <x v="38"/>
    <x v="38"/>
    <x v="38"/>
    <x v="3"/>
    <x v="216"/>
    <x v="196"/>
    <x v="50"/>
    <x v="545"/>
    <x v="123"/>
    <x v="242"/>
    <x v="0"/>
  </r>
  <r>
    <x v="0"/>
    <x v="125"/>
    <x v="125"/>
    <x v="12"/>
    <x v="12"/>
    <x v="12"/>
    <x v="3"/>
    <x v="216"/>
    <x v="196"/>
    <x v="50"/>
    <x v="545"/>
    <x v="123"/>
    <x v="242"/>
    <x v="0"/>
  </r>
  <r>
    <x v="0"/>
    <x v="125"/>
    <x v="125"/>
    <x v="47"/>
    <x v="47"/>
    <x v="47"/>
    <x v="3"/>
    <x v="216"/>
    <x v="196"/>
    <x v="50"/>
    <x v="545"/>
    <x v="123"/>
    <x v="242"/>
    <x v="0"/>
  </r>
  <r>
    <x v="0"/>
    <x v="125"/>
    <x v="125"/>
    <x v="5"/>
    <x v="5"/>
    <x v="5"/>
    <x v="3"/>
    <x v="216"/>
    <x v="196"/>
    <x v="56"/>
    <x v="486"/>
    <x v="127"/>
    <x v="151"/>
    <x v="0"/>
  </r>
  <r>
    <x v="0"/>
    <x v="125"/>
    <x v="125"/>
    <x v="2"/>
    <x v="2"/>
    <x v="2"/>
    <x v="3"/>
    <x v="216"/>
    <x v="196"/>
    <x v="56"/>
    <x v="486"/>
    <x v="127"/>
    <x v="151"/>
    <x v="0"/>
  </r>
  <r>
    <x v="0"/>
    <x v="125"/>
    <x v="125"/>
    <x v="3"/>
    <x v="3"/>
    <x v="3"/>
    <x v="3"/>
    <x v="216"/>
    <x v="196"/>
    <x v="56"/>
    <x v="486"/>
    <x v="127"/>
    <x v="151"/>
    <x v="0"/>
  </r>
  <r>
    <x v="0"/>
    <x v="125"/>
    <x v="125"/>
    <x v="72"/>
    <x v="72"/>
    <x v="72"/>
    <x v="3"/>
    <x v="216"/>
    <x v="196"/>
    <x v="56"/>
    <x v="486"/>
    <x v="127"/>
    <x v="151"/>
    <x v="0"/>
  </r>
  <r>
    <x v="0"/>
    <x v="125"/>
    <x v="125"/>
    <x v="17"/>
    <x v="17"/>
    <x v="17"/>
    <x v="13"/>
    <x v="217"/>
    <x v="85"/>
    <x v="65"/>
    <x v="65"/>
    <x v="123"/>
    <x v="242"/>
    <x v="0"/>
  </r>
  <r>
    <x v="0"/>
    <x v="125"/>
    <x v="125"/>
    <x v="56"/>
    <x v="56"/>
    <x v="56"/>
    <x v="13"/>
    <x v="217"/>
    <x v="85"/>
    <x v="50"/>
    <x v="545"/>
    <x v="127"/>
    <x v="151"/>
    <x v="0"/>
  </r>
  <r>
    <x v="0"/>
    <x v="125"/>
    <x v="125"/>
    <x v="13"/>
    <x v="13"/>
    <x v="13"/>
    <x v="13"/>
    <x v="217"/>
    <x v="85"/>
    <x v="65"/>
    <x v="65"/>
    <x v="123"/>
    <x v="242"/>
    <x v="0"/>
  </r>
  <r>
    <x v="0"/>
    <x v="125"/>
    <x v="125"/>
    <x v="96"/>
    <x v="96"/>
    <x v="96"/>
    <x v="13"/>
    <x v="217"/>
    <x v="85"/>
    <x v="65"/>
    <x v="65"/>
    <x v="123"/>
    <x v="242"/>
    <x v="0"/>
  </r>
  <r>
    <x v="0"/>
    <x v="125"/>
    <x v="125"/>
    <x v="111"/>
    <x v="111"/>
    <x v="111"/>
    <x v="13"/>
    <x v="217"/>
    <x v="85"/>
    <x v="65"/>
    <x v="65"/>
    <x v="123"/>
    <x v="242"/>
    <x v="0"/>
  </r>
  <r>
    <x v="0"/>
    <x v="125"/>
    <x v="125"/>
    <x v="86"/>
    <x v="86"/>
    <x v="86"/>
    <x v="13"/>
    <x v="217"/>
    <x v="85"/>
    <x v="50"/>
    <x v="545"/>
    <x v="127"/>
    <x v="151"/>
    <x v="0"/>
  </r>
  <r>
    <x v="0"/>
    <x v="125"/>
    <x v="125"/>
    <x v="76"/>
    <x v="76"/>
    <x v="76"/>
    <x v="13"/>
    <x v="217"/>
    <x v="85"/>
    <x v="65"/>
    <x v="65"/>
    <x v="127"/>
    <x v="151"/>
    <x v="0"/>
  </r>
  <r>
    <x v="0"/>
    <x v="125"/>
    <x v="125"/>
    <x v="119"/>
    <x v="119"/>
    <x v="119"/>
    <x v="13"/>
    <x v="217"/>
    <x v="85"/>
    <x v="65"/>
    <x v="65"/>
    <x v="123"/>
    <x v="242"/>
    <x v="0"/>
  </r>
  <r>
    <x v="0"/>
    <x v="125"/>
    <x v="125"/>
    <x v="178"/>
    <x v="176"/>
    <x v="178"/>
    <x v="13"/>
    <x v="217"/>
    <x v="85"/>
    <x v="65"/>
    <x v="65"/>
    <x v="123"/>
    <x v="242"/>
    <x v="0"/>
  </r>
  <r>
    <x v="0"/>
    <x v="125"/>
    <x v="125"/>
    <x v="62"/>
    <x v="62"/>
    <x v="62"/>
    <x v="13"/>
    <x v="217"/>
    <x v="85"/>
    <x v="65"/>
    <x v="65"/>
    <x v="123"/>
    <x v="242"/>
    <x v="0"/>
  </r>
  <r>
    <x v="0"/>
    <x v="125"/>
    <x v="125"/>
    <x v="158"/>
    <x v="157"/>
    <x v="158"/>
    <x v="13"/>
    <x v="217"/>
    <x v="85"/>
    <x v="50"/>
    <x v="545"/>
    <x v="127"/>
    <x v="151"/>
    <x v="0"/>
  </r>
  <r>
    <x v="0"/>
    <x v="125"/>
    <x v="125"/>
    <x v="94"/>
    <x v="94"/>
    <x v="94"/>
    <x v="13"/>
    <x v="217"/>
    <x v="85"/>
    <x v="65"/>
    <x v="65"/>
    <x v="123"/>
    <x v="242"/>
    <x v="0"/>
  </r>
  <r>
    <x v="0"/>
    <x v="125"/>
    <x v="125"/>
    <x v="80"/>
    <x v="80"/>
    <x v="80"/>
    <x v="13"/>
    <x v="217"/>
    <x v="85"/>
    <x v="50"/>
    <x v="545"/>
    <x v="127"/>
    <x v="151"/>
    <x v="0"/>
  </r>
  <r>
    <x v="0"/>
    <x v="125"/>
    <x v="125"/>
    <x v="41"/>
    <x v="41"/>
    <x v="41"/>
    <x v="13"/>
    <x v="217"/>
    <x v="85"/>
    <x v="50"/>
    <x v="545"/>
    <x v="127"/>
    <x v="151"/>
    <x v="0"/>
  </r>
  <r>
    <x v="0"/>
    <x v="125"/>
    <x v="125"/>
    <x v="113"/>
    <x v="113"/>
    <x v="113"/>
    <x v="13"/>
    <x v="217"/>
    <x v="85"/>
    <x v="65"/>
    <x v="65"/>
    <x v="123"/>
    <x v="242"/>
    <x v="0"/>
  </r>
  <r>
    <x v="0"/>
    <x v="125"/>
    <x v="125"/>
    <x v="84"/>
    <x v="84"/>
    <x v="84"/>
    <x v="13"/>
    <x v="217"/>
    <x v="85"/>
    <x v="65"/>
    <x v="65"/>
    <x v="123"/>
    <x v="242"/>
    <x v="0"/>
  </r>
  <r>
    <x v="0"/>
    <x v="125"/>
    <x v="125"/>
    <x v="42"/>
    <x v="42"/>
    <x v="42"/>
    <x v="13"/>
    <x v="217"/>
    <x v="85"/>
    <x v="65"/>
    <x v="65"/>
    <x v="123"/>
    <x v="242"/>
    <x v="0"/>
  </r>
  <r>
    <x v="0"/>
    <x v="125"/>
    <x v="125"/>
    <x v="55"/>
    <x v="55"/>
    <x v="55"/>
    <x v="13"/>
    <x v="217"/>
    <x v="85"/>
    <x v="65"/>
    <x v="65"/>
    <x v="123"/>
    <x v="242"/>
    <x v="0"/>
  </r>
  <r>
    <x v="0"/>
    <x v="125"/>
    <x v="125"/>
    <x v="15"/>
    <x v="15"/>
    <x v="15"/>
    <x v="13"/>
    <x v="217"/>
    <x v="85"/>
    <x v="65"/>
    <x v="65"/>
    <x v="123"/>
    <x v="242"/>
    <x v="0"/>
  </r>
  <r>
    <x v="0"/>
    <x v="125"/>
    <x v="125"/>
    <x v="51"/>
    <x v="51"/>
    <x v="51"/>
    <x v="13"/>
    <x v="217"/>
    <x v="85"/>
    <x v="50"/>
    <x v="545"/>
    <x v="127"/>
    <x v="151"/>
    <x v="0"/>
  </r>
  <r>
    <x v="0"/>
    <x v="125"/>
    <x v="125"/>
    <x v="9"/>
    <x v="9"/>
    <x v="9"/>
    <x v="13"/>
    <x v="217"/>
    <x v="85"/>
    <x v="50"/>
    <x v="545"/>
    <x v="127"/>
    <x v="151"/>
    <x v="0"/>
  </r>
  <r>
    <x v="0"/>
    <x v="125"/>
    <x v="125"/>
    <x v="34"/>
    <x v="34"/>
    <x v="34"/>
    <x v="13"/>
    <x v="217"/>
    <x v="85"/>
    <x v="50"/>
    <x v="545"/>
    <x v="127"/>
    <x v="151"/>
    <x v="0"/>
  </r>
  <r>
    <x v="0"/>
    <x v="125"/>
    <x v="125"/>
    <x v="1"/>
    <x v="1"/>
    <x v="1"/>
    <x v="13"/>
    <x v="217"/>
    <x v="85"/>
    <x v="50"/>
    <x v="545"/>
    <x v="127"/>
    <x v="151"/>
    <x v="0"/>
  </r>
  <r>
    <x v="0"/>
    <x v="125"/>
    <x v="125"/>
    <x v="66"/>
    <x v="66"/>
    <x v="66"/>
    <x v="13"/>
    <x v="217"/>
    <x v="85"/>
    <x v="65"/>
    <x v="65"/>
    <x v="123"/>
    <x v="242"/>
    <x v="0"/>
  </r>
  <r>
    <x v="0"/>
    <x v="125"/>
    <x v="125"/>
    <x v="52"/>
    <x v="52"/>
    <x v="52"/>
    <x v="13"/>
    <x v="217"/>
    <x v="85"/>
    <x v="65"/>
    <x v="65"/>
    <x v="127"/>
    <x v="151"/>
    <x v="0"/>
  </r>
  <r>
    <x v="0"/>
    <x v="125"/>
    <x v="125"/>
    <x v="8"/>
    <x v="8"/>
    <x v="8"/>
    <x v="13"/>
    <x v="217"/>
    <x v="85"/>
    <x v="50"/>
    <x v="545"/>
    <x v="127"/>
    <x v="151"/>
    <x v="0"/>
  </r>
  <r>
    <x v="0"/>
    <x v="125"/>
    <x v="125"/>
    <x v="23"/>
    <x v="23"/>
    <x v="23"/>
    <x v="13"/>
    <x v="217"/>
    <x v="85"/>
    <x v="50"/>
    <x v="545"/>
    <x v="127"/>
    <x v="151"/>
    <x v="0"/>
  </r>
  <r>
    <x v="0"/>
    <x v="125"/>
    <x v="125"/>
    <x v="6"/>
    <x v="6"/>
    <x v="6"/>
    <x v="13"/>
    <x v="217"/>
    <x v="85"/>
    <x v="50"/>
    <x v="545"/>
    <x v="127"/>
    <x v="151"/>
    <x v="0"/>
  </r>
  <r>
    <x v="0"/>
    <x v="125"/>
    <x v="125"/>
    <x v="43"/>
    <x v="43"/>
    <x v="43"/>
    <x v="13"/>
    <x v="217"/>
    <x v="85"/>
    <x v="65"/>
    <x v="65"/>
    <x v="123"/>
    <x v="242"/>
    <x v="0"/>
  </r>
  <r>
    <x v="0"/>
    <x v="125"/>
    <x v="125"/>
    <x v="59"/>
    <x v="59"/>
    <x v="59"/>
    <x v="13"/>
    <x v="217"/>
    <x v="85"/>
    <x v="65"/>
    <x v="65"/>
    <x v="123"/>
    <x v="242"/>
    <x v="0"/>
  </r>
  <r>
    <x v="0"/>
    <x v="125"/>
    <x v="125"/>
    <x v="71"/>
    <x v="71"/>
    <x v="71"/>
    <x v="13"/>
    <x v="217"/>
    <x v="85"/>
    <x v="65"/>
    <x v="65"/>
    <x v="123"/>
    <x v="242"/>
    <x v="0"/>
  </r>
  <r>
    <x v="0"/>
    <x v="125"/>
    <x v="125"/>
    <x v="209"/>
    <x v="206"/>
    <x v="209"/>
    <x v="13"/>
    <x v="217"/>
    <x v="85"/>
    <x v="65"/>
    <x v="65"/>
    <x v="123"/>
    <x v="242"/>
    <x v="0"/>
  </r>
  <r>
    <x v="0"/>
    <x v="125"/>
    <x v="125"/>
    <x v="19"/>
    <x v="19"/>
    <x v="19"/>
    <x v="13"/>
    <x v="217"/>
    <x v="85"/>
    <x v="50"/>
    <x v="545"/>
    <x v="127"/>
    <x v="151"/>
    <x v="0"/>
  </r>
  <r>
    <x v="0"/>
    <x v="126"/>
    <x v="126"/>
    <x v="1"/>
    <x v="1"/>
    <x v="1"/>
    <x v="0"/>
    <x v="209"/>
    <x v="449"/>
    <x v="32"/>
    <x v="459"/>
    <x v="123"/>
    <x v="191"/>
    <x v="0"/>
  </r>
  <r>
    <x v="0"/>
    <x v="126"/>
    <x v="126"/>
    <x v="0"/>
    <x v="0"/>
    <x v="0"/>
    <x v="1"/>
    <x v="192"/>
    <x v="360"/>
    <x v="61"/>
    <x v="563"/>
    <x v="110"/>
    <x v="330"/>
    <x v="0"/>
  </r>
  <r>
    <x v="0"/>
    <x v="126"/>
    <x v="126"/>
    <x v="2"/>
    <x v="2"/>
    <x v="2"/>
    <x v="2"/>
    <x v="193"/>
    <x v="475"/>
    <x v="38"/>
    <x v="420"/>
    <x v="127"/>
    <x v="151"/>
    <x v="0"/>
  </r>
  <r>
    <x v="0"/>
    <x v="126"/>
    <x v="126"/>
    <x v="3"/>
    <x v="3"/>
    <x v="3"/>
    <x v="3"/>
    <x v="207"/>
    <x v="476"/>
    <x v="89"/>
    <x v="639"/>
    <x v="127"/>
    <x v="151"/>
    <x v="0"/>
  </r>
  <r>
    <x v="0"/>
    <x v="126"/>
    <x v="126"/>
    <x v="5"/>
    <x v="5"/>
    <x v="5"/>
    <x v="4"/>
    <x v="208"/>
    <x v="387"/>
    <x v="68"/>
    <x v="600"/>
    <x v="123"/>
    <x v="191"/>
    <x v="0"/>
  </r>
  <r>
    <x v="0"/>
    <x v="126"/>
    <x v="126"/>
    <x v="6"/>
    <x v="6"/>
    <x v="6"/>
    <x v="5"/>
    <x v="196"/>
    <x v="477"/>
    <x v="95"/>
    <x v="640"/>
    <x v="127"/>
    <x v="151"/>
    <x v="0"/>
  </r>
  <r>
    <x v="0"/>
    <x v="126"/>
    <x v="126"/>
    <x v="54"/>
    <x v="54"/>
    <x v="54"/>
    <x v="6"/>
    <x v="197"/>
    <x v="362"/>
    <x v="50"/>
    <x v="28"/>
    <x v="119"/>
    <x v="415"/>
    <x v="0"/>
  </r>
  <r>
    <x v="0"/>
    <x v="126"/>
    <x v="126"/>
    <x v="4"/>
    <x v="4"/>
    <x v="4"/>
    <x v="6"/>
    <x v="197"/>
    <x v="362"/>
    <x v="51"/>
    <x v="135"/>
    <x v="123"/>
    <x v="191"/>
    <x v="0"/>
  </r>
  <r>
    <x v="0"/>
    <x v="126"/>
    <x v="126"/>
    <x v="53"/>
    <x v="53"/>
    <x v="53"/>
    <x v="6"/>
    <x v="197"/>
    <x v="362"/>
    <x v="65"/>
    <x v="65"/>
    <x v="127"/>
    <x v="151"/>
    <x v="0"/>
  </r>
  <r>
    <x v="0"/>
    <x v="126"/>
    <x v="126"/>
    <x v="17"/>
    <x v="17"/>
    <x v="17"/>
    <x v="9"/>
    <x v="198"/>
    <x v="214"/>
    <x v="50"/>
    <x v="28"/>
    <x v="110"/>
    <x v="330"/>
    <x v="0"/>
  </r>
  <r>
    <x v="0"/>
    <x v="126"/>
    <x v="126"/>
    <x v="46"/>
    <x v="46"/>
    <x v="46"/>
    <x v="9"/>
    <x v="198"/>
    <x v="214"/>
    <x v="62"/>
    <x v="462"/>
    <x v="123"/>
    <x v="191"/>
    <x v="0"/>
  </r>
  <r>
    <x v="0"/>
    <x v="126"/>
    <x v="126"/>
    <x v="83"/>
    <x v="83"/>
    <x v="83"/>
    <x v="9"/>
    <x v="198"/>
    <x v="214"/>
    <x v="62"/>
    <x v="462"/>
    <x v="123"/>
    <x v="191"/>
    <x v="0"/>
  </r>
  <r>
    <x v="0"/>
    <x v="126"/>
    <x v="126"/>
    <x v="105"/>
    <x v="105"/>
    <x v="105"/>
    <x v="12"/>
    <x v="199"/>
    <x v="8"/>
    <x v="62"/>
    <x v="462"/>
    <x v="127"/>
    <x v="151"/>
    <x v="0"/>
  </r>
  <r>
    <x v="0"/>
    <x v="126"/>
    <x v="126"/>
    <x v="56"/>
    <x v="56"/>
    <x v="56"/>
    <x v="12"/>
    <x v="199"/>
    <x v="8"/>
    <x v="56"/>
    <x v="461"/>
    <x v="93"/>
    <x v="72"/>
    <x v="0"/>
  </r>
  <r>
    <x v="0"/>
    <x v="126"/>
    <x v="126"/>
    <x v="21"/>
    <x v="21"/>
    <x v="21"/>
    <x v="12"/>
    <x v="199"/>
    <x v="8"/>
    <x v="50"/>
    <x v="28"/>
    <x v="108"/>
    <x v="215"/>
    <x v="0"/>
  </r>
  <r>
    <x v="0"/>
    <x v="126"/>
    <x v="126"/>
    <x v="42"/>
    <x v="42"/>
    <x v="42"/>
    <x v="12"/>
    <x v="199"/>
    <x v="8"/>
    <x v="65"/>
    <x v="65"/>
    <x v="110"/>
    <x v="330"/>
    <x v="0"/>
  </r>
  <r>
    <x v="0"/>
    <x v="126"/>
    <x v="126"/>
    <x v="7"/>
    <x v="7"/>
    <x v="7"/>
    <x v="12"/>
    <x v="199"/>
    <x v="8"/>
    <x v="56"/>
    <x v="461"/>
    <x v="93"/>
    <x v="72"/>
    <x v="0"/>
  </r>
  <r>
    <x v="0"/>
    <x v="126"/>
    <x v="126"/>
    <x v="125"/>
    <x v="125"/>
    <x v="125"/>
    <x v="12"/>
    <x v="199"/>
    <x v="8"/>
    <x v="65"/>
    <x v="65"/>
    <x v="110"/>
    <x v="330"/>
    <x v="0"/>
  </r>
  <r>
    <x v="0"/>
    <x v="126"/>
    <x v="126"/>
    <x v="8"/>
    <x v="8"/>
    <x v="8"/>
    <x v="12"/>
    <x v="199"/>
    <x v="8"/>
    <x v="62"/>
    <x v="462"/>
    <x v="127"/>
    <x v="151"/>
    <x v="0"/>
  </r>
  <r>
    <x v="0"/>
    <x v="126"/>
    <x v="126"/>
    <x v="19"/>
    <x v="19"/>
    <x v="19"/>
    <x v="12"/>
    <x v="199"/>
    <x v="8"/>
    <x v="62"/>
    <x v="462"/>
    <x v="127"/>
    <x v="151"/>
    <x v="0"/>
  </r>
  <r>
    <x v="0"/>
    <x v="127"/>
    <x v="127"/>
    <x v="51"/>
    <x v="51"/>
    <x v="51"/>
    <x v="0"/>
    <x v="196"/>
    <x v="217"/>
    <x v="56"/>
    <x v="641"/>
    <x v="119"/>
    <x v="416"/>
    <x v="0"/>
  </r>
  <r>
    <x v="0"/>
    <x v="127"/>
    <x v="127"/>
    <x v="1"/>
    <x v="1"/>
    <x v="1"/>
    <x v="0"/>
    <x v="196"/>
    <x v="217"/>
    <x v="95"/>
    <x v="642"/>
    <x v="127"/>
    <x v="151"/>
    <x v="0"/>
  </r>
  <r>
    <x v="0"/>
    <x v="127"/>
    <x v="127"/>
    <x v="10"/>
    <x v="10"/>
    <x v="10"/>
    <x v="2"/>
    <x v="197"/>
    <x v="186"/>
    <x v="65"/>
    <x v="65"/>
    <x v="67"/>
    <x v="417"/>
    <x v="0"/>
  </r>
  <r>
    <x v="0"/>
    <x v="127"/>
    <x v="127"/>
    <x v="0"/>
    <x v="0"/>
    <x v="0"/>
    <x v="2"/>
    <x v="197"/>
    <x v="186"/>
    <x v="51"/>
    <x v="643"/>
    <x v="123"/>
    <x v="281"/>
    <x v="0"/>
  </r>
  <r>
    <x v="0"/>
    <x v="127"/>
    <x v="127"/>
    <x v="5"/>
    <x v="5"/>
    <x v="5"/>
    <x v="4"/>
    <x v="198"/>
    <x v="478"/>
    <x v="62"/>
    <x v="644"/>
    <x v="123"/>
    <x v="281"/>
    <x v="0"/>
  </r>
  <r>
    <x v="0"/>
    <x v="127"/>
    <x v="127"/>
    <x v="33"/>
    <x v="33"/>
    <x v="33"/>
    <x v="5"/>
    <x v="199"/>
    <x v="443"/>
    <x v="65"/>
    <x v="65"/>
    <x v="110"/>
    <x v="418"/>
    <x v="0"/>
  </r>
  <r>
    <x v="0"/>
    <x v="127"/>
    <x v="127"/>
    <x v="194"/>
    <x v="191"/>
    <x v="194"/>
    <x v="5"/>
    <x v="199"/>
    <x v="443"/>
    <x v="50"/>
    <x v="645"/>
    <x v="108"/>
    <x v="419"/>
    <x v="0"/>
  </r>
  <r>
    <x v="0"/>
    <x v="127"/>
    <x v="127"/>
    <x v="2"/>
    <x v="2"/>
    <x v="2"/>
    <x v="5"/>
    <x v="199"/>
    <x v="443"/>
    <x v="62"/>
    <x v="644"/>
    <x v="127"/>
    <x v="151"/>
    <x v="0"/>
  </r>
  <r>
    <x v="0"/>
    <x v="127"/>
    <x v="127"/>
    <x v="3"/>
    <x v="3"/>
    <x v="3"/>
    <x v="5"/>
    <x v="199"/>
    <x v="443"/>
    <x v="62"/>
    <x v="644"/>
    <x v="127"/>
    <x v="151"/>
    <x v="0"/>
  </r>
  <r>
    <x v="0"/>
    <x v="127"/>
    <x v="127"/>
    <x v="6"/>
    <x v="6"/>
    <x v="6"/>
    <x v="5"/>
    <x v="199"/>
    <x v="443"/>
    <x v="62"/>
    <x v="644"/>
    <x v="127"/>
    <x v="151"/>
    <x v="0"/>
  </r>
  <r>
    <x v="0"/>
    <x v="127"/>
    <x v="127"/>
    <x v="13"/>
    <x v="13"/>
    <x v="13"/>
    <x v="10"/>
    <x v="200"/>
    <x v="178"/>
    <x v="65"/>
    <x v="65"/>
    <x v="108"/>
    <x v="419"/>
    <x v="0"/>
  </r>
  <r>
    <x v="0"/>
    <x v="127"/>
    <x v="127"/>
    <x v="14"/>
    <x v="14"/>
    <x v="14"/>
    <x v="10"/>
    <x v="200"/>
    <x v="178"/>
    <x v="65"/>
    <x v="65"/>
    <x v="108"/>
    <x v="419"/>
    <x v="0"/>
  </r>
  <r>
    <x v="0"/>
    <x v="127"/>
    <x v="127"/>
    <x v="127"/>
    <x v="127"/>
    <x v="127"/>
    <x v="10"/>
    <x v="200"/>
    <x v="178"/>
    <x v="65"/>
    <x v="65"/>
    <x v="108"/>
    <x v="419"/>
    <x v="0"/>
  </r>
  <r>
    <x v="0"/>
    <x v="127"/>
    <x v="127"/>
    <x v="44"/>
    <x v="44"/>
    <x v="44"/>
    <x v="10"/>
    <x v="200"/>
    <x v="178"/>
    <x v="65"/>
    <x v="65"/>
    <x v="108"/>
    <x v="419"/>
    <x v="0"/>
  </r>
  <r>
    <x v="0"/>
    <x v="127"/>
    <x v="127"/>
    <x v="55"/>
    <x v="55"/>
    <x v="55"/>
    <x v="10"/>
    <x v="200"/>
    <x v="178"/>
    <x v="65"/>
    <x v="65"/>
    <x v="108"/>
    <x v="419"/>
    <x v="0"/>
  </r>
  <r>
    <x v="0"/>
    <x v="127"/>
    <x v="127"/>
    <x v="19"/>
    <x v="19"/>
    <x v="19"/>
    <x v="10"/>
    <x v="200"/>
    <x v="178"/>
    <x v="50"/>
    <x v="645"/>
    <x v="93"/>
    <x v="48"/>
    <x v="0"/>
  </r>
  <r>
    <x v="0"/>
    <x v="127"/>
    <x v="127"/>
    <x v="17"/>
    <x v="17"/>
    <x v="17"/>
    <x v="15"/>
    <x v="216"/>
    <x v="118"/>
    <x v="65"/>
    <x v="65"/>
    <x v="93"/>
    <x v="48"/>
    <x v="0"/>
  </r>
  <r>
    <x v="0"/>
    <x v="127"/>
    <x v="127"/>
    <x v="40"/>
    <x v="40"/>
    <x v="40"/>
    <x v="15"/>
    <x v="216"/>
    <x v="118"/>
    <x v="65"/>
    <x v="65"/>
    <x v="93"/>
    <x v="48"/>
    <x v="0"/>
  </r>
  <r>
    <x v="0"/>
    <x v="127"/>
    <x v="127"/>
    <x v="56"/>
    <x v="56"/>
    <x v="56"/>
    <x v="15"/>
    <x v="216"/>
    <x v="118"/>
    <x v="50"/>
    <x v="645"/>
    <x v="123"/>
    <x v="281"/>
    <x v="0"/>
  </r>
  <r>
    <x v="0"/>
    <x v="127"/>
    <x v="127"/>
    <x v="46"/>
    <x v="46"/>
    <x v="46"/>
    <x v="15"/>
    <x v="216"/>
    <x v="118"/>
    <x v="50"/>
    <x v="645"/>
    <x v="123"/>
    <x v="281"/>
    <x v="0"/>
  </r>
  <r>
    <x v="0"/>
    <x v="127"/>
    <x v="127"/>
    <x v="86"/>
    <x v="86"/>
    <x v="86"/>
    <x v="15"/>
    <x v="216"/>
    <x v="118"/>
    <x v="50"/>
    <x v="645"/>
    <x v="123"/>
    <x v="281"/>
    <x v="0"/>
  </r>
  <r>
    <x v="0"/>
    <x v="127"/>
    <x v="127"/>
    <x v="78"/>
    <x v="78"/>
    <x v="78"/>
    <x v="15"/>
    <x v="216"/>
    <x v="118"/>
    <x v="65"/>
    <x v="65"/>
    <x v="123"/>
    <x v="281"/>
    <x v="6"/>
  </r>
  <r>
    <x v="0"/>
    <x v="127"/>
    <x v="127"/>
    <x v="58"/>
    <x v="58"/>
    <x v="58"/>
    <x v="15"/>
    <x v="216"/>
    <x v="118"/>
    <x v="65"/>
    <x v="65"/>
    <x v="93"/>
    <x v="48"/>
    <x v="0"/>
  </r>
  <r>
    <x v="0"/>
    <x v="127"/>
    <x v="127"/>
    <x v="134"/>
    <x v="134"/>
    <x v="134"/>
    <x v="15"/>
    <x v="216"/>
    <x v="118"/>
    <x v="65"/>
    <x v="65"/>
    <x v="93"/>
    <x v="48"/>
    <x v="0"/>
  </r>
  <r>
    <x v="0"/>
    <x v="127"/>
    <x v="127"/>
    <x v="21"/>
    <x v="21"/>
    <x v="21"/>
    <x v="15"/>
    <x v="216"/>
    <x v="118"/>
    <x v="65"/>
    <x v="65"/>
    <x v="93"/>
    <x v="48"/>
    <x v="0"/>
  </r>
  <r>
    <x v="0"/>
    <x v="127"/>
    <x v="127"/>
    <x v="47"/>
    <x v="47"/>
    <x v="47"/>
    <x v="15"/>
    <x v="216"/>
    <x v="118"/>
    <x v="65"/>
    <x v="65"/>
    <x v="93"/>
    <x v="48"/>
    <x v="0"/>
  </r>
  <r>
    <x v="0"/>
    <x v="127"/>
    <x v="127"/>
    <x v="114"/>
    <x v="114"/>
    <x v="114"/>
    <x v="15"/>
    <x v="216"/>
    <x v="118"/>
    <x v="50"/>
    <x v="645"/>
    <x v="123"/>
    <x v="281"/>
    <x v="0"/>
  </r>
  <r>
    <x v="0"/>
    <x v="127"/>
    <x v="127"/>
    <x v="18"/>
    <x v="18"/>
    <x v="18"/>
    <x v="15"/>
    <x v="216"/>
    <x v="118"/>
    <x v="65"/>
    <x v="65"/>
    <x v="93"/>
    <x v="48"/>
    <x v="0"/>
  </r>
  <r>
    <x v="0"/>
    <x v="127"/>
    <x v="127"/>
    <x v="133"/>
    <x v="133"/>
    <x v="133"/>
    <x v="15"/>
    <x v="216"/>
    <x v="118"/>
    <x v="50"/>
    <x v="645"/>
    <x v="127"/>
    <x v="151"/>
    <x v="6"/>
  </r>
  <r>
    <x v="0"/>
    <x v="127"/>
    <x v="127"/>
    <x v="45"/>
    <x v="45"/>
    <x v="45"/>
    <x v="15"/>
    <x v="216"/>
    <x v="118"/>
    <x v="50"/>
    <x v="645"/>
    <x v="123"/>
    <x v="281"/>
    <x v="0"/>
  </r>
  <r>
    <x v="0"/>
    <x v="127"/>
    <x v="127"/>
    <x v="9"/>
    <x v="9"/>
    <x v="9"/>
    <x v="15"/>
    <x v="216"/>
    <x v="118"/>
    <x v="56"/>
    <x v="641"/>
    <x v="127"/>
    <x v="151"/>
    <x v="0"/>
  </r>
  <r>
    <x v="0"/>
    <x v="127"/>
    <x v="127"/>
    <x v="8"/>
    <x v="8"/>
    <x v="8"/>
    <x v="15"/>
    <x v="216"/>
    <x v="118"/>
    <x v="56"/>
    <x v="641"/>
    <x v="127"/>
    <x v="151"/>
    <x v="0"/>
  </r>
  <r>
    <x v="0"/>
    <x v="127"/>
    <x v="127"/>
    <x v="59"/>
    <x v="59"/>
    <x v="59"/>
    <x v="15"/>
    <x v="216"/>
    <x v="118"/>
    <x v="65"/>
    <x v="65"/>
    <x v="93"/>
    <x v="48"/>
    <x v="0"/>
  </r>
  <r>
    <x v="0"/>
    <x v="127"/>
    <x v="127"/>
    <x v="83"/>
    <x v="83"/>
    <x v="83"/>
    <x v="15"/>
    <x v="216"/>
    <x v="118"/>
    <x v="56"/>
    <x v="641"/>
    <x v="127"/>
    <x v="151"/>
    <x v="0"/>
  </r>
  <r>
    <x v="0"/>
    <x v="128"/>
    <x v="128"/>
    <x v="51"/>
    <x v="51"/>
    <x v="51"/>
    <x v="0"/>
    <x v="208"/>
    <x v="479"/>
    <x v="77"/>
    <x v="646"/>
    <x v="127"/>
    <x v="151"/>
    <x v="0"/>
  </r>
  <r>
    <x v="0"/>
    <x v="128"/>
    <x v="128"/>
    <x v="54"/>
    <x v="54"/>
    <x v="54"/>
    <x v="1"/>
    <x v="196"/>
    <x v="437"/>
    <x v="62"/>
    <x v="510"/>
    <x v="108"/>
    <x v="212"/>
    <x v="0"/>
  </r>
  <r>
    <x v="0"/>
    <x v="128"/>
    <x v="128"/>
    <x v="7"/>
    <x v="7"/>
    <x v="7"/>
    <x v="2"/>
    <x v="197"/>
    <x v="184"/>
    <x v="62"/>
    <x v="510"/>
    <x v="93"/>
    <x v="214"/>
    <x v="0"/>
  </r>
  <r>
    <x v="0"/>
    <x v="128"/>
    <x v="128"/>
    <x v="2"/>
    <x v="2"/>
    <x v="2"/>
    <x v="3"/>
    <x v="198"/>
    <x v="201"/>
    <x v="51"/>
    <x v="511"/>
    <x v="127"/>
    <x v="151"/>
    <x v="0"/>
  </r>
  <r>
    <x v="0"/>
    <x v="128"/>
    <x v="128"/>
    <x v="12"/>
    <x v="12"/>
    <x v="12"/>
    <x v="4"/>
    <x v="199"/>
    <x v="100"/>
    <x v="62"/>
    <x v="510"/>
    <x v="127"/>
    <x v="151"/>
    <x v="0"/>
  </r>
  <r>
    <x v="0"/>
    <x v="128"/>
    <x v="128"/>
    <x v="49"/>
    <x v="49"/>
    <x v="49"/>
    <x v="4"/>
    <x v="199"/>
    <x v="100"/>
    <x v="70"/>
    <x v="512"/>
    <x v="123"/>
    <x v="215"/>
    <x v="0"/>
  </r>
  <r>
    <x v="0"/>
    <x v="128"/>
    <x v="128"/>
    <x v="45"/>
    <x v="45"/>
    <x v="45"/>
    <x v="4"/>
    <x v="199"/>
    <x v="100"/>
    <x v="62"/>
    <x v="510"/>
    <x v="127"/>
    <x v="151"/>
    <x v="0"/>
  </r>
  <r>
    <x v="0"/>
    <x v="128"/>
    <x v="128"/>
    <x v="5"/>
    <x v="5"/>
    <x v="5"/>
    <x v="4"/>
    <x v="199"/>
    <x v="100"/>
    <x v="70"/>
    <x v="512"/>
    <x v="123"/>
    <x v="215"/>
    <x v="0"/>
  </r>
  <r>
    <x v="0"/>
    <x v="128"/>
    <x v="128"/>
    <x v="9"/>
    <x v="9"/>
    <x v="9"/>
    <x v="4"/>
    <x v="199"/>
    <x v="100"/>
    <x v="56"/>
    <x v="179"/>
    <x v="93"/>
    <x v="214"/>
    <x v="0"/>
  </r>
  <r>
    <x v="0"/>
    <x v="128"/>
    <x v="128"/>
    <x v="1"/>
    <x v="1"/>
    <x v="1"/>
    <x v="4"/>
    <x v="199"/>
    <x v="100"/>
    <x v="62"/>
    <x v="510"/>
    <x v="127"/>
    <x v="151"/>
    <x v="0"/>
  </r>
  <r>
    <x v="0"/>
    <x v="128"/>
    <x v="128"/>
    <x v="10"/>
    <x v="10"/>
    <x v="10"/>
    <x v="10"/>
    <x v="200"/>
    <x v="306"/>
    <x v="65"/>
    <x v="65"/>
    <x v="108"/>
    <x v="212"/>
    <x v="0"/>
  </r>
  <r>
    <x v="0"/>
    <x v="128"/>
    <x v="128"/>
    <x v="68"/>
    <x v="68"/>
    <x v="68"/>
    <x v="10"/>
    <x v="200"/>
    <x v="306"/>
    <x v="50"/>
    <x v="513"/>
    <x v="93"/>
    <x v="214"/>
    <x v="0"/>
  </r>
  <r>
    <x v="0"/>
    <x v="128"/>
    <x v="128"/>
    <x v="41"/>
    <x v="41"/>
    <x v="41"/>
    <x v="10"/>
    <x v="200"/>
    <x v="306"/>
    <x v="56"/>
    <x v="179"/>
    <x v="123"/>
    <x v="215"/>
    <x v="0"/>
  </r>
  <r>
    <x v="0"/>
    <x v="128"/>
    <x v="128"/>
    <x v="42"/>
    <x v="42"/>
    <x v="42"/>
    <x v="10"/>
    <x v="200"/>
    <x v="306"/>
    <x v="50"/>
    <x v="513"/>
    <x v="93"/>
    <x v="214"/>
    <x v="0"/>
  </r>
  <r>
    <x v="0"/>
    <x v="128"/>
    <x v="128"/>
    <x v="3"/>
    <x v="3"/>
    <x v="3"/>
    <x v="10"/>
    <x v="200"/>
    <x v="306"/>
    <x v="70"/>
    <x v="512"/>
    <x v="127"/>
    <x v="151"/>
    <x v="0"/>
  </r>
  <r>
    <x v="0"/>
    <x v="128"/>
    <x v="128"/>
    <x v="72"/>
    <x v="72"/>
    <x v="72"/>
    <x v="10"/>
    <x v="200"/>
    <x v="306"/>
    <x v="65"/>
    <x v="65"/>
    <x v="123"/>
    <x v="215"/>
    <x v="0"/>
  </r>
  <r>
    <x v="0"/>
    <x v="128"/>
    <x v="128"/>
    <x v="17"/>
    <x v="17"/>
    <x v="17"/>
    <x v="15"/>
    <x v="216"/>
    <x v="309"/>
    <x v="50"/>
    <x v="513"/>
    <x v="123"/>
    <x v="215"/>
    <x v="0"/>
  </r>
  <r>
    <x v="0"/>
    <x v="128"/>
    <x v="128"/>
    <x v="14"/>
    <x v="14"/>
    <x v="14"/>
    <x v="15"/>
    <x v="216"/>
    <x v="309"/>
    <x v="50"/>
    <x v="513"/>
    <x v="123"/>
    <x v="215"/>
    <x v="0"/>
  </r>
  <r>
    <x v="0"/>
    <x v="128"/>
    <x v="128"/>
    <x v="21"/>
    <x v="21"/>
    <x v="21"/>
    <x v="15"/>
    <x v="216"/>
    <x v="309"/>
    <x v="50"/>
    <x v="513"/>
    <x v="123"/>
    <x v="215"/>
    <x v="0"/>
  </r>
  <r>
    <x v="0"/>
    <x v="128"/>
    <x v="128"/>
    <x v="108"/>
    <x v="108"/>
    <x v="108"/>
    <x v="15"/>
    <x v="216"/>
    <x v="309"/>
    <x v="50"/>
    <x v="513"/>
    <x v="123"/>
    <x v="215"/>
    <x v="0"/>
  </r>
  <r>
    <x v="0"/>
    <x v="128"/>
    <x v="128"/>
    <x v="19"/>
    <x v="19"/>
    <x v="19"/>
    <x v="15"/>
    <x v="216"/>
    <x v="309"/>
    <x v="56"/>
    <x v="179"/>
    <x v="127"/>
    <x v="151"/>
    <x v="0"/>
  </r>
  <r>
    <x v="0"/>
    <x v="129"/>
    <x v="129"/>
    <x v="7"/>
    <x v="7"/>
    <x v="7"/>
    <x v="0"/>
    <x v="210"/>
    <x v="480"/>
    <x v="51"/>
    <x v="637"/>
    <x v="108"/>
    <x v="398"/>
    <x v="0"/>
  </r>
  <r>
    <x v="0"/>
    <x v="129"/>
    <x v="129"/>
    <x v="12"/>
    <x v="12"/>
    <x v="12"/>
    <x v="1"/>
    <x v="197"/>
    <x v="326"/>
    <x v="62"/>
    <x v="408"/>
    <x v="93"/>
    <x v="349"/>
    <x v="0"/>
  </r>
  <r>
    <x v="0"/>
    <x v="129"/>
    <x v="129"/>
    <x v="2"/>
    <x v="2"/>
    <x v="2"/>
    <x v="1"/>
    <x v="197"/>
    <x v="326"/>
    <x v="51"/>
    <x v="637"/>
    <x v="123"/>
    <x v="147"/>
    <x v="0"/>
  </r>
  <r>
    <x v="0"/>
    <x v="129"/>
    <x v="129"/>
    <x v="54"/>
    <x v="54"/>
    <x v="54"/>
    <x v="3"/>
    <x v="198"/>
    <x v="336"/>
    <x v="65"/>
    <x v="65"/>
    <x v="119"/>
    <x v="420"/>
    <x v="0"/>
  </r>
  <r>
    <x v="0"/>
    <x v="129"/>
    <x v="129"/>
    <x v="41"/>
    <x v="41"/>
    <x v="41"/>
    <x v="3"/>
    <x v="198"/>
    <x v="336"/>
    <x v="51"/>
    <x v="637"/>
    <x v="127"/>
    <x v="151"/>
    <x v="0"/>
  </r>
  <r>
    <x v="0"/>
    <x v="129"/>
    <x v="129"/>
    <x v="51"/>
    <x v="51"/>
    <x v="51"/>
    <x v="3"/>
    <x v="198"/>
    <x v="336"/>
    <x v="62"/>
    <x v="408"/>
    <x v="123"/>
    <x v="147"/>
    <x v="0"/>
  </r>
  <r>
    <x v="0"/>
    <x v="129"/>
    <x v="129"/>
    <x v="4"/>
    <x v="4"/>
    <x v="4"/>
    <x v="6"/>
    <x v="199"/>
    <x v="187"/>
    <x v="62"/>
    <x v="408"/>
    <x v="127"/>
    <x v="151"/>
    <x v="0"/>
  </r>
  <r>
    <x v="0"/>
    <x v="129"/>
    <x v="129"/>
    <x v="43"/>
    <x v="43"/>
    <x v="43"/>
    <x v="6"/>
    <x v="199"/>
    <x v="187"/>
    <x v="65"/>
    <x v="65"/>
    <x v="123"/>
    <x v="147"/>
    <x v="0"/>
  </r>
  <r>
    <x v="0"/>
    <x v="129"/>
    <x v="129"/>
    <x v="5"/>
    <x v="5"/>
    <x v="5"/>
    <x v="8"/>
    <x v="200"/>
    <x v="327"/>
    <x v="70"/>
    <x v="623"/>
    <x v="127"/>
    <x v="151"/>
    <x v="0"/>
  </r>
  <r>
    <x v="0"/>
    <x v="129"/>
    <x v="129"/>
    <x v="1"/>
    <x v="1"/>
    <x v="1"/>
    <x v="8"/>
    <x v="200"/>
    <x v="327"/>
    <x v="70"/>
    <x v="623"/>
    <x v="127"/>
    <x v="151"/>
    <x v="0"/>
  </r>
  <r>
    <x v="0"/>
    <x v="129"/>
    <x v="129"/>
    <x v="40"/>
    <x v="40"/>
    <x v="40"/>
    <x v="10"/>
    <x v="216"/>
    <x v="324"/>
    <x v="56"/>
    <x v="168"/>
    <x v="127"/>
    <x v="151"/>
    <x v="0"/>
  </r>
  <r>
    <x v="0"/>
    <x v="129"/>
    <x v="129"/>
    <x v="46"/>
    <x v="46"/>
    <x v="46"/>
    <x v="10"/>
    <x v="216"/>
    <x v="324"/>
    <x v="56"/>
    <x v="168"/>
    <x v="127"/>
    <x v="151"/>
    <x v="0"/>
  </r>
  <r>
    <x v="0"/>
    <x v="129"/>
    <x v="129"/>
    <x v="36"/>
    <x v="36"/>
    <x v="36"/>
    <x v="10"/>
    <x v="216"/>
    <x v="324"/>
    <x v="50"/>
    <x v="624"/>
    <x v="123"/>
    <x v="147"/>
    <x v="0"/>
  </r>
  <r>
    <x v="0"/>
    <x v="129"/>
    <x v="129"/>
    <x v="28"/>
    <x v="28"/>
    <x v="28"/>
    <x v="10"/>
    <x v="216"/>
    <x v="324"/>
    <x v="56"/>
    <x v="168"/>
    <x v="127"/>
    <x v="151"/>
    <x v="0"/>
  </r>
  <r>
    <x v="0"/>
    <x v="129"/>
    <x v="129"/>
    <x v="44"/>
    <x v="44"/>
    <x v="44"/>
    <x v="10"/>
    <x v="216"/>
    <x v="324"/>
    <x v="56"/>
    <x v="168"/>
    <x v="127"/>
    <x v="151"/>
    <x v="0"/>
  </r>
  <r>
    <x v="0"/>
    <x v="129"/>
    <x v="129"/>
    <x v="49"/>
    <x v="49"/>
    <x v="49"/>
    <x v="10"/>
    <x v="216"/>
    <x v="324"/>
    <x v="56"/>
    <x v="168"/>
    <x v="127"/>
    <x v="151"/>
    <x v="0"/>
  </r>
  <r>
    <x v="0"/>
    <x v="129"/>
    <x v="129"/>
    <x v="131"/>
    <x v="131"/>
    <x v="131"/>
    <x v="10"/>
    <x v="216"/>
    <x v="324"/>
    <x v="56"/>
    <x v="168"/>
    <x v="127"/>
    <x v="151"/>
    <x v="0"/>
  </r>
  <r>
    <x v="0"/>
    <x v="129"/>
    <x v="129"/>
    <x v="3"/>
    <x v="3"/>
    <x v="3"/>
    <x v="10"/>
    <x v="216"/>
    <x v="324"/>
    <x v="56"/>
    <x v="168"/>
    <x v="127"/>
    <x v="151"/>
    <x v="0"/>
  </r>
  <r>
    <x v="0"/>
    <x v="129"/>
    <x v="129"/>
    <x v="155"/>
    <x v="154"/>
    <x v="155"/>
    <x v="17"/>
    <x v="217"/>
    <x v="481"/>
    <x v="65"/>
    <x v="65"/>
    <x v="123"/>
    <x v="147"/>
    <x v="0"/>
  </r>
  <r>
    <x v="0"/>
    <x v="129"/>
    <x v="129"/>
    <x v="10"/>
    <x v="10"/>
    <x v="10"/>
    <x v="17"/>
    <x v="217"/>
    <x v="481"/>
    <x v="65"/>
    <x v="65"/>
    <x v="123"/>
    <x v="147"/>
    <x v="0"/>
  </r>
  <r>
    <x v="0"/>
    <x v="129"/>
    <x v="129"/>
    <x v="17"/>
    <x v="17"/>
    <x v="17"/>
    <x v="17"/>
    <x v="217"/>
    <x v="481"/>
    <x v="50"/>
    <x v="624"/>
    <x v="127"/>
    <x v="151"/>
    <x v="0"/>
  </r>
  <r>
    <x v="0"/>
    <x v="129"/>
    <x v="129"/>
    <x v="105"/>
    <x v="105"/>
    <x v="105"/>
    <x v="17"/>
    <x v="217"/>
    <x v="481"/>
    <x v="50"/>
    <x v="624"/>
    <x v="127"/>
    <x v="151"/>
    <x v="0"/>
  </r>
  <r>
    <x v="0"/>
    <x v="129"/>
    <x v="129"/>
    <x v="56"/>
    <x v="56"/>
    <x v="56"/>
    <x v="17"/>
    <x v="217"/>
    <x v="481"/>
    <x v="50"/>
    <x v="624"/>
    <x v="127"/>
    <x v="151"/>
    <x v="0"/>
  </r>
  <r>
    <x v="0"/>
    <x v="129"/>
    <x v="129"/>
    <x v="148"/>
    <x v="148"/>
    <x v="148"/>
    <x v="17"/>
    <x v="217"/>
    <x v="481"/>
    <x v="65"/>
    <x v="65"/>
    <x v="123"/>
    <x v="147"/>
    <x v="0"/>
  </r>
  <r>
    <x v="0"/>
    <x v="129"/>
    <x v="129"/>
    <x v="89"/>
    <x v="89"/>
    <x v="89"/>
    <x v="17"/>
    <x v="217"/>
    <x v="481"/>
    <x v="65"/>
    <x v="65"/>
    <x v="123"/>
    <x v="147"/>
    <x v="0"/>
  </r>
  <r>
    <x v="0"/>
    <x v="129"/>
    <x v="129"/>
    <x v="146"/>
    <x v="146"/>
    <x v="146"/>
    <x v="17"/>
    <x v="217"/>
    <x v="481"/>
    <x v="65"/>
    <x v="65"/>
    <x v="123"/>
    <x v="147"/>
    <x v="0"/>
  </r>
  <r>
    <x v="0"/>
    <x v="129"/>
    <x v="129"/>
    <x v="75"/>
    <x v="75"/>
    <x v="75"/>
    <x v="17"/>
    <x v="217"/>
    <x v="481"/>
    <x v="65"/>
    <x v="65"/>
    <x v="127"/>
    <x v="151"/>
    <x v="0"/>
  </r>
  <r>
    <x v="0"/>
    <x v="129"/>
    <x v="129"/>
    <x v="119"/>
    <x v="119"/>
    <x v="119"/>
    <x v="17"/>
    <x v="217"/>
    <x v="481"/>
    <x v="65"/>
    <x v="65"/>
    <x v="123"/>
    <x v="147"/>
    <x v="0"/>
  </r>
  <r>
    <x v="0"/>
    <x v="129"/>
    <x v="129"/>
    <x v="210"/>
    <x v="207"/>
    <x v="210"/>
    <x v="17"/>
    <x v="217"/>
    <x v="481"/>
    <x v="65"/>
    <x v="65"/>
    <x v="123"/>
    <x v="147"/>
    <x v="0"/>
  </r>
  <r>
    <x v="0"/>
    <x v="129"/>
    <x v="129"/>
    <x v="38"/>
    <x v="38"/>
    <x v="38"/>
    <x v="17"/>
    <x v="217"/>
    <x v="481"/>
    <x v="65"/>
    <x v="65"/>
    <x v="123"/>
    <x v="147"/>
    <x v="0"/>
  </r>
  <r>
    <x v="0"/>
    <x v="129"/>
    <x v="129"/>
    <x v="69"/>
    <x v="69"/>
    <x v="69"/>
    <x v="17"/>
    <x v="217"/>
    <x v="481"/>
    <x v="65"/>
    <x v="65"/>
    <x v="123"/>
    <x v="147"/>
    <x v="0"/>
  </r>
  <r>
    <x v="0"/>
    <x v="129"/>
    <x v="129"/>
    <x v="211"/>
    <x v="208"/>
    <x v="211"/>
    <x v="17"/>
    <x v="217"/>
    <x v="481"/>
    <x v="65"/>
    <x v="65"/>
    <x v="123"/>
    <x v="147"/>
    <x v="0"/>
  </r>
  <r>
    <x v="0"/>
    <x v="129"/>
    <x v="129"/>
    <x v="158"/>
    <x v="157"/>
    <x v="158"/>
    <x v="17"/>
    <x v="217"/>
    <x v="481"/>
    <x v="65"/>
    <x v="65"/>
    <x v="123"/>
    <x v="147"/>
    <x v="0"/>
  </r>
  <r>
    <x v="0"/>
    <x v="129"/>
    <x v="129"/>
    <x v="33"/>
    <x v="33"/>
    <x v="33"/>
    <x v="17"/>
    <x v="217"/>
    <x v="481"/>
    <x v="65"/>
    <x v="65"/>
    <x v="123"/>
    <x v="147"/>
    <x v="0"/>
  </r>
  <r>
    <x v="0"/>
    <x v="129"/>
    <x v="129"/>
    <x v="21"/>
    <x v="21"/>
    <x v="21"/>
    <x v="17"/>
    <x v="217"/>
    <x v="481"/>
    <x v="65"/>
    <x v="65"/>
    <x v="123"/>
    <x v="147"/>
    <x v="0"/>
  </r>
  <r>
    <x v="0"/>
    <x v="129"/>
    <x v="129"/>
    <x v="112"/>
    <x v="112"/>
    <x v="112"/>
    <x v="17"/>
    <x v="217"/>
    <x v="481"/>
    <x v="50"/>
    <x v="624"/>
    <x v="127"/>
    <x v="151"/>
    <x v="0"/>
  </r>
  <r>
    <x v="0"/>
    <x v="129"/>
    <x v="129"/>
    <x v="68"/>
    <x v="68"/>
    <x v="68"/>
    <x v="17"/>
    <x v="217"/>
    <x v="481"/>
    <x v="65"/>
    <x v="65"/>
    <x v="123"/>
    <x v="147"/>
    <x v="0"/>
  </r>
  <r>
    <x v="0"/>
    <x v="129"/>
    <x v="129"/>
    <x v="48"/>
    <x v="48"/>
    <x v="48"/>
    <x v="17"/>
    <x v="217"/>
    <x v="481"/>
    <x v="50"/>
    <x v="624"/>
    <x v="127"/>
    <x v="151"/>
    <x v="0"/>
  </r>
  <r>
    <x v="0"/>
    <x v="129"/>
    <x v="129"/>
    <x v="92"/>
    <x v="92"/>
    <x v="92"/>
    <x v="17"/>
    <x v="217"/>
    <x v="481"/>
    <x v="65"/>
    <x v="65"/>
    <x v="123"/>
    <x v="147"/>
    <x v="0"/>
  </r>
  <r>
    <x v="0"/>
    <x v="129"/>
    <x v="129"/>
    <x v="42"/>
    <x v="42"/>
    <x v="42"/>
    <x v="17"/>
    <x v="217"/>
    <x v="481"/>
    <x v="65"/>
    <x v="65"/>
    <x v="123"/>
    <x v="147"/>
    <x v="0"/>
  </r>
  <r>
    <x v="0"/>
    <x v="129"/>
    <x v="129"/>
    <x v="212"/>
    <x v="209"/>
    <x v="212"/>
    <x v="17"/>
    <x v="217"/>
    <x v="481"/>
    <x v="65"/>
    <x v="65"/>
    <x v="123"/>
    <x v="147"/>
    <x v="0"/>
  </r>
  <r>
    <x v="0"/>
    <x v="129"/>
    <x v="129"/>
    <x v="142"/>
    <x v="142"/>
    <x v="142"/>
    <x v="17"/>
    <x v="217"/>
    <x v="481"/>
    <x v="65"/>
    <x v="65"/>
    <x v="123"/>
    <x v="147"/>
    <x v="0"/>
  </r>
  <r>
    <x v="0"/>
    <x v="129"/>
    <x v="129"/>
    <x v="61"/>
    <x v="61"/>
    <x v="61"/>
    <x v="17"/>
    <x v="217"/>
    <x v="481"/>
    <x v="50"/>
    <x v="624"/>
    <x v="127"/>
    <x v="151"/>
    <x v="0"/>
  </r>
  <r>
    <x v="0"/>
    <x v="129"/>
    <x v="129"/>
    <x v="9"/>
    <x v="9"/>
    <x v="9"/>
    <x v="17"/>
    <x v="217"/>
    <x v="481"/>
    <x v="50"/>
    <x v="624"/>
    <x v="127"/>
    <x v="151"/>
    <x v="0"/>
  </r>
  <r>
    <x v="0"/>
    <x v="129"/>
    <x v="129"/>
    <x v="34"/>
    <x v="34"/>
    <x v="34"/>
    <x v="17"/>
    <x v="217"/>
    <x v="481"/>
    <x v="65"/>
    <x v="65"/>
    <x v="123"/>
    <x v="147"/>
    <x v="0"/>
  </r>
  <r>
    <x v="0"/>
    <x v="129"/>
    <x v="129"/>
    <x v="103"/>
    <x v="103"/>
    <x v="103"/>
    <x v="17"/>
    <x v="217"/>
    <x v="481"/>
    <x v="50"/>
    <x v="624"/>
    <x v="127"/>
    <x v="151"/>
    <x v="0"/>
  </r>
  <r>
    <x v="0"/>
    <x v="129"/>
    <x v="129"/>
    <x v="82"/>
    <x v="82"/>
    <x v="82"/>
    <x v="17"/>
    <x v="217"/>
    <x v="481"/>
    <x v="65"/>
    <x v="65"/>
    <x v="127"/>
    <x v="151"/>
    <x v="0"/>
  </r>
  <r>
    <x v="0"/>
    <x v="129"/>
    <x v="129"/>
    <x v="204"/>
    <x v="201"/>
    <x v="204"/>
    <x v="17"/>
    <x v="217"/>
    <x v="481"/>
    <x v="50"/>
    <x v="624"/>
    <x v="127"/>
    <x v="151"/>
    <x v="0"/>
  </r>
  <r>
    <x v="0"/>
    <x v="129"/>
    <x v="129"/>
    <x v="52"/>
    <x v="52"/>
    <x v="52"/>
    <x v="17"/>
    <x v="217"/>
    <x v="481"/>
    <x v="65"/>
    <x v="65"/>
    <x v="127"/>
    <x v="151"/>
    <x v="0"/>
  </r>
  <r>
    <x v="0"/>
    <x v="129"/>
    <x v="129"/>
    <x v="23"/>
    <x v="23"/>
    <x v="23"/>
    <x v="17"/>
    <x v="217"/>
    <x v="481"/>
    <x v="50"/>
    <x v="624"/>
    <x v="127"/>
    <x v="151"/>
    <x v="0"/>
  </r>
  <r>
    <x v="0"/>
    <x v="129"/>
    <x v="129"/>
    <x v="109"/>
    <x v="109"/>
    <x v="109"/>
    <x v="17"/>
    <x v="217"/>
    <x v="481"/>
    <x v="65"/>
    <x v="65"/>
    <x v="123"/>
    <x v="147"/>
    <x v="0"/>
  </r>
  <r>
    <x v="0"/>
    <x v="129"/>
    <x v="129"/>
    <x v="57"/>
    <x v="57"/>
    <x v="57"/>
    <x v="17"/>
    <x v="217"/>
    <x v="481"/>
    <x v="65"/>
    <x v="65"/>
    <x v="127"/>
    <x v="151"/>
    <x v="0"/>
  </r>
  <r>
    <x v="0"/>
    <x v="130"/>
    <x v="130"/>
    <x v="51"/>
    <x v="51"/>
    <x v="51"/>
    <x v="0"/>
    <x v="194"/>
    <x v="382"/>
    <x v="77"/>
    <x v="585"/>
    <x v="93"/>
    <x v="328"/>
    <x v="0"/>
  </r>
  <r>
    <x v="0"/>
    <x v="130"/>
    <x v="130"/>
    <x v="54"/>
    <x v="54"/>
    <x v="54"/>
    <x v="1"/>
    <x v="197"/>
    <x v="376"/>
    <x v="50"/>
    <x v="194"/>
    <x v="119"/>
    <x v="421"/>
    <x v="0"/>
  </r>
  <r>
    <x v="0"/>
    <x v="130"/>
    <x v="130"/>
    <x v="1"/>
    <x v="1"/>
    <x v="1"/>
    <x v="1"/>
    <x v="197"/>
    <x v="376"/>
    <x v="39"/>
    <x v="491"/>
    <x v="127"/>
    <x v="151"/>
    <x v="0"/>
  </r>
  <r>
    <x v="0"/>
    <x v="130"/>
    <x v="130"/>
    <x v="42"/>
    <x v="42"/>
    <x v="42"/>
    <x v="3"/>
    <x v="198"/>
    <x v="186"/>
    <x v="50"/>
    <x v="194"/>
    <x v="110"/>
    <x v="400"/>
    <x v="0"/>
  </r>
  <r>
    <x v="0"/>
    <x v="130"/>
    <x v="130"/>
    <x v="2"/>
    <x v="2"/>
    <x v="2"/>
    <x v="3"/>
    <x v="198"/>
    <x v="186"/>
    <x v="51"/>
    <x v="563"/>
    <x v="127"/>
    <x v="151"/>
    <x v="0"/>
  </r>
  <r>
    <x v="0"/>
    <x v="130"/>
    <x v="130"/>
    <x v="9"/>
    <x v="9"/>
    <x v="9"/>
    <x v="3"/>
    <x v="198"/>
    <x v="186"/>
    <x v="51"/>
    <x v="563"/>
    <x v="127"/>
    <x v="151"/>
    <x v="0"/>
  </r>
  <r>
    <x v="0"/>
    <x v="130"/>
    <x v="130"/>
    <x v="12"/>
    <x v="12"/>
    <x v="12"/>
    <x v="6"/>
    <x v="199"/>
    <x v="251"/>
    <x v="56"/>
    <x v="487"/>
    <x v="93"/>
    <x v="328"/>
    <x v="0"/>
  </r>
  <r>
    <x v="0"/>
    <x v="130"/>
    <x v="130"/>
    <x v="47"/>
    <x v="47"/>
    <x v="47"/>
    <x v="6"/>
    <x v="199"/>
    <x v="251"/>
    <x v="70"/>
    <x v="587"/>
    <x v="123"/>
    <x v="305"/>
    <x v="0"/>
  </r>
  <r>
    <x v="0"/>
    <x v="130"/>
    <x v="130"/>
    <x v="4"/>
    <x v="4"/>
    <x v="4"/>
    <x v="6"/>
    <x v="199"/>
    <x v="251"/>
    <x v="62"/>
    <x v="84"/>
    <x v="127"/>
    <x v="151"/>
    <x v="0"/>
  </r>
  <r>
    <x v="0"/>
    <x v="130"/>
    <x v="130"/>
    <x v="7"/>
    <x v="7"/>
    <x v="7"/>
    <x v="9"/>
    <x v="200"/>
    <x v="25"/>
    <x v="65"/>
    <x v="65"/>
    <x v="108"/>
    <x v="399"/>
    <x v="0"/>
  </r>
  <r>
    <x v="0"/>
    <x v="130"/>
    <x v="130"/>
    <x v="3"/>
    <x v="3"/>
    <x v="3"/>
    <x v="9"/>
    <x v="200"/>
    <x v="25"/>
    <x v="70"/>
    <x v="587"/>
    <x v="127"/>
    <x v="151"/>
    <x v="0"/>
  </r>
  <r>
    <x v="0"/>
    <x v="130"/>
    <x v="130"/>
    <x v="40"/>
    <x v="40"/>
    <x v="40"/>
    <x v="11"/>
    <x v="216"/>
    <x v="61"/>
    <x v="50"/>
    <x v="194"/>
    <x v="123"/>
    <x v="305"/>
    <x v="0"/>
  </r>
  <r>
    <x v="0"/>
    <x v="130"/>
    <x v="130"/>
    <x v="56"/>
    <x v="56"/>
    <x v="56"/>
    <x v="11"/>
    <x v="216"/>
    <x v="61"/>
    <x v="56"/>
    <x v="487"/>
    <x v="127"/>
    <x v="151"/>
    <x v="0"/>
  </r>
  <r>
    <x v="0"/>
    <x v="130"/>
    <x v="130"/>
    <x v="14"/>
    <x v="14"/>
    <x v="14"/>
    <x v="11"/>
    <x v="216"/>
    <x v="61"/>
    <x v="50"/>
    <x v="194"/>
    <x v="123"/>
    <x v="305"/>
    <x v="0"/>
  </r>
  <r>
    <x v="0"/>
    <x v="130"/>
    <x v="130"/>
    <x v="62"/>
    <x v="62"/>
    <x v="62"/>
    <x v="11"/>
    <x v="216"/>
    <x v="61"/>
    <x v="65"/>
    <x v="65"/>
    <x v="93"/>
    <x v="328"/>
    <x v="0"/>
  </r>
  <r>
    <x v="0"/>
    <x v="130"/>
    <x v="130"/>
    <x v="68"/>
    <x v="68"/>
    <x v="68"/>
    <x v="11"/>
    <x v="216"/>
    <x v="61"/>
    <x v="65"/>
    <x v="65"/>
    <x v="93"/>
    <x v="328"/>
    <x v="0"/>
  </r>
  <r>
    <x v="0"/>
    <x v="130"/>
    <x v="130"/>
    <x v="114"/>
    <x v="114"/>
    <x v="114"/>
    <x v="11"/>
    <x v="216"/>
    <x v="61"/>
    <x v="50"/>
    <x v="194"/>
    <x v="123"/>
    <x v="305"/>
    <x v="0"/>
  </r>
  <r>
    <x v="0"/>
    <x v="130"/>
    <x v="130"/>
    <x v="65"/>
    <x v="65"/>
    <x v="65"/>
    <x v="11"/>
    <x v="216"/>
    <x v="61"/>
    <x v="65"/>
    <x v="65"/>
    <x v="93"/>
    <x v="328"/>
    <x v="0"/>
  </r>
  <r>
    <x v="0"/>
    <x v="130"/>
    <x v="130"/>
    <x v="108"/>
    <x v="108"/>
    <x v="108"/>
    <x v="11"/>
    <x v="216"/>
    <x v="61"/>
    <x v="65"/>
    <x v="65"/>
    <x v="93"/>
    <x v="328"/>
    <x v="0"/>
  </r>
  <r>
    <x v="0"/>
    <x v="130"/>
    <x v="130"/>
    <x v="45"/>
    <x v="45"/>
    <x v="45"/>
    <x v="11"/>
    <x v="216"/>
    <x v="61"/>
    <x v="50"/>
    <x v="194"/>
    <x v="123"/>
    <x v="305"/>
    <x v="0"/>
  </r>
  <r>
    <x v="0"/>
    <x v="130"/>
    <x v="130"/>
    <x v="5"/>
    <x v="5"/>
    <x v="5"/>
    <x v="11"/>
    <x v="216"/>
    <x v="61"/>
    <x v="56"/>
    <x v="487"/>
    <x v="127"/>
    <x v="151"/>
    <x v="0"/>
  </r>
  <r>
    <x v="0"/>
    <x v="130"/>
    <x v="130"/>
    <x v="52"/>
    <x v="52"/>
    <x v="52"/>
    <x v="11"/>
    <x v="216"/>
    <x v="61"/>
    <x v="65"/>
    <x v="65"/>
    <x v="127"/>
    <x v="151"/>
    <x v="0"/>
  </r>
  <r>
    <x v="0"/>
    <x v="130"/>
    <x v="130"/>
    <x v="23"/>
    <x v="23"/>
    <x v="23"/>
    <x v="11"/>
    <x v="216"/>
    <x v="61"/>
    <x v="50"/>
    <x v="194"/>
    <x v="127"/>
    <x v="151"/>
    <x v="0"/>
  </r>
  <r>
    <x v="0"/>
    <x v="130"/>
    <x v="130"/>
    <x v="43"/>
    <x v="43"/>
    <x v="43"/>
    <x v="11"/>
    <x v="216"/>
    <x v="61"/>
    <x v="65"/>
    <x v="65"/>
    <x v="127"/>
    <x v="151"/>
    <x v="0"/>
  </r>
  <r>
    <x v="0"/>
    <x v="130"/>
    <x v="130"/>
    <x v="72"/>
    <x v="72"/>
    <x v="72"/>
    <x v="11"/>
    <x v="216"/>
    <x v="61"/>
    <x v="50"/>
    <x v="194"/>
    <x v="127"/>
    <x v="151"/>
    <x v="0"/>
  </r>
  <r>
    <x v="0"/>
    <x v="131"/>
    <x v="131"/>
    <x v="0"/>
    <x v="0"/>
    <x v="0"/>
    <x v="0"/>
    <x v="196"/>
    <x v="482"/>
    <x v="62"/>
    <x v="463"/>
    <x v="108"/>
    <x v="272"/>
    <x v="0"/>
  </r>
  <r>
    <x v="0"/>
    <x v="131"/>
    <x v="131"/>
    <x v="42"/>
    <x v="42"/>
    <x v="42"/>
    <x v="1"/>
    <x v="199"/>
    <x v="291"/>
    <x v="65"/>
    <x v="65"/>
    <x v="110"/>
    <x v="373"/>
    <x v="0"/>
  </r>
  <r>
    <x v="0"/>
    <x v="131"/>
    <x v="131"/>
    <x v="45"/>
    <x v="45"/>
    <x v="45"/>
    <x v="1"/>
    <x v="199"/>
    <x v="291"/>
    <x v="50"/>
    <x v="266"/>
    <x v="108"/>
    <x v="272"/>
    <x v="0"/>
  </r>
  <r>
    <x v="0"/>
    <x v="131"/>
    <x v="131"/>
    <x v="5"/>
    <x v="5"/>
    <x v="5"/>
    <x v="1"/>
    <x v="199"/>
    <x v="291"/>
    <x v="62"/>
    <x v="463"/>
    <x v="127"/>
    <x v="151"/>
    <x v="0"/>
  </r>
  <r>
    <x v="0"/>
    <x v="131"/>
    <x v="131"/>
    <x v="2"/>
    <x v="2"/>
    <x v="2"/>
    <x v="4"/>
    <x v="200"/>
    <x v="374"/>
    <x v="56"/>
    <x v="600"/>
    <x v="123"/>
    <x v="165"/>
    <x v="0"/>
  </r>
  <r>
    <x v="0"/>
    <x v="131"/>
    <x v="131"/>
    <x v="52"/>
    <x v="52"/>
    <x v="52"/>
    <x v="4"/>
    <x v="200"/>
    <x v="374"/>
    <x v="65"/>
    <x v="65"/>
    <x v="123"/>
    <x v="165"/>
    <x v="0"/>
  </r>
  <r>
    <x v="0"/>
    <x v="131"/>
    <x v="131"/>
    <x v="43"/>
    <x v="43"/>
    <x v="43"/>
    <x v="4"/>
    <x v="200"/>
    <x v="374"/>
    <x v="65"/>
    <x v="65"/>
    <x v="123"/>
    <x v="165"/>
    <x v="0"/>
  </r>
  <r>
    <x v="0"/>
    <x v="131"/>
    <x v="131"/>
    <x v="26"/>
    <x v="26"/>
    <x v="26"/>
    <x v="4"/>
    <x v="200"/>
    <x v="374"/>
    <x v="65"/>
    <x v="65"/>
    <x v="108"/>
    <x v="272"/>
    <x v="0"/>
  </r>
  <r>
    <x v="0"/>
    <x v="131"/>
    <x v="131"/>
    <x v="10"/>
    <x v="10"/>
    <x v="10"/>
    <x v="8"/>
    <x v="216"/>
    <x v="102"/>
    <x v="65"/>
    <x v="65"/>
    <x v="93"/>
    <x v="216"/>
    <x v="0"/>
  </r>
  <r>
    <x v="0"/>
    <x v="131"/>
    <x v="131"/>
    <x v="32"/>
    <x v="32"/>
    <x v="32"/>
    <x v="8"/>
    <x v="216"/>
    <x v="102"/>
    <x v="50"/>
    <x v="266"/>
    <x v="123"/>
    <x v="165"/>
    <x v="0"/>
  </r>
  <r>
    <x v="0"/>
    <x v="131"/>
    <x v="131"/>
    <x v="33"/>
    <x v="33"/>
    <x v="33"/>
    <x v="8"/>
    <x v="216"/>
    <x v="102"/>
    <x v="65"/>
    <x v="65"/>
    <x v="93"/>
    <x v="216"/>
    <x v="0"/>
  </r>
  <r>
    <x v="0"/>
    <x v="131"/>
    <x v="131"/>
    <x v="44"/>
    <x v="44"/>
    <x v="44"/>
    <x v="8"/>
    <x v="216"/>
    <x v="102"/>
    <x v="50"/>
    <x v="266"/>
    <x v="123"/>
    <x v="165"/>
    <x v="0"/>
  </r>
  <r>
    <x v="0"/>
    <x v="131"/>
    <x v="131"/>
    <x v="12"/>
    <x v="12"/>
    <x v="12"/>
    <x v="8"/>
    <x v="216"/>
    <x v="102"/>
    <x v="65"/>
    <x v="65"/>
    <x v="93"/>
    <x v="216"/>
    <x v="0"/>
  </r>
  <r>
    <x v="0"/>
    <x v="131"/>
    <x v="131"/>
    <x v="125"/>
    <x v="125"/>
    <x v="125"/>
    <x v="8"/>
    <x v="216"/>
    <x v="102"/>
    <x v="65"/>
    <x v="65"/>
    <x v="93"/>
    <x v="216"/>
    <x v="0"/>
  </r>
  <r>
    <x v="0"/>
    <x v="131"/>
    <x v="131"/>
    <x v="117"/>
    <x v="117"/>
    <x v="117"/>
    <x v="8"/>
    <x v="216"/>
    <x v="102"/>
    <x v="50"/>
    <x v="266"/>
    <x v="123"/>
    <x v="165"/>
    <x v="0"/>
  </r>
  <r>
    <x v="0"/>
    <x v="131"/>
    <x v="131"/>
    <x v="3"/>
    <x v="3"/>
    <x v="3"/>
    <x v="8"/>
    <x v="216"/>
    <x v="102"/>
    <x v="56"/>
    <x v="600"/>
    <x v="127"/>
    <x v="151"/>
    <x v="0"/>
  </r>
  <r>
    <x v="0"/>
    <x v="131"/>
    <x v="131"/>
    <x v="8"/>
    <x v="8"/>
    <x v="8"/>
    <x v="8"/>
    <x v="216"/>
    <x v="102"/>
    <x v="56"/>
    <x v="600"/>
    <x v="127"/>
    <x v="151"/>
    <x v="0"/>
  </r>
  <r>
    <x v="0"/>
    <x v="131"/>
    <x v="131"/>
    <x v="213"/>
    <x v="210"/>
    <x v="213"/>
    <x v="16"/>
    <x v="217"/>
    <x v="261"/>
    <x v="65"/>
    <x v="65"/>
    <x v="123"/>
    <x v="165"/>
    <x v="0"/>
  </r>
  <r>
    <x v="0"/>
    <x v="131"/>
    <x v="131"/>
    <x v="162"/>
    <x v="160"/>
    <x v="162"/>
    <x v="16"/>
    <x v="217"/>
    <x v="261"/>
    <x v="50"/>
    <x v="266"/>
    <x v="127"/>
    <x v="151"/>
    <x v="0"/>
  </r>
  <r>
    <x v="0"/>
    <x v="131"/>
    <x v="131"/>
    <x v="46"/>
    <x v="46"/>
    <x v="46"/>
    <x v="16"/>
    <x v="217"/>
    <x v="261"/>
    <x v="65"/>
    <x v="65"/>
    <x v="123"/>
    <x v="165"/>
    <x v="0"/>
  </r>
  <r>
    <x v="0"/>
    <x v="131"/>
    <x v="131"/>
    <x v="22"/>
    <x v="22"/>
    <x v="22"/>
    <x v="16"/>
    <x v="217"/>
    <x v="261"/>
    <x v="50"/>
    <x v="266"/>
    <x v="127"/>
    <x v="151"/>
    <x v="0"/>
  </r>
  <r>
    <x v="0"/>
    <x v="131"/>
    <x v="131"/>
    <x v="148"/>
    <x v="148"/>
    <x v="148"/>
    <x v="16"/>
    <x v="217"/>
    <x v="261"/>
    <x v="65"/>
    <x v="65"/>
    <x v="123"/>
    <x v="165"/>
    <x v="0"/>
  </r>
  <r>
    <x v="0"/>
    <x v="131"/>
    <x v="131"/>
    <x v="214"/>
    <x v="211"/>
    <x v="214"/>
    <x v="16"/>
    <x v="217"/>
    <x v="261"/>
    <x v="65"/>
    <x v="65"/>
    <x v="123"/>
    <x v="165"/>
    <x v="0"/>
  </r>
  <r>
    <x v="0"/>
    <x v="131"/>
    <x v="131"/>
    <x v="144"/>
    <x v="144"/>
    <x v="144"/>
    <x v="16"/>
    <x v="217"/>
    <x v="261"/>
    <x v="65"/>
    <x v="65"/>
    <x v="123"/>
    <x v="165"/>
    <x v="0"/>
  </r>
  <r>
    <x v="0"/>
    <x v="131"/>
    <x v="131"/>
    <x v="198"/>
    <x v="195"/>
    <x v="198"/>
    <x v="16"/>
    <x v="217"/>
    <x v="261"/>
    <x v="65"/>
    <x v="65"/>
    <x v="123"/>
    <x v="165"/>
    <x v="0"/>
  </r>
  <r>
    <x v="0"/>
    <x v="131"/>
    <x v="131"/>
    <x v="163"/>
    <x v="161"/>
    <x v="163"/>
    <x v="16"/>
    <x v="217"/>
    <x v="261"/>
    <x v="50"/>
    <x v="266"/>
    <x v="127"/>
    <x v="151"/>
    <x v="0"/>
  </r>
  <r>
    <x v="0"/>
    <x v="131"/>
    <x v="131"/>
    <x v="99"/>
    <x v="99"/>
    <x v="99"/>
    <x v="16"/>
    <x v="217"/>
    <x v="261"/>
    <x v="65"/>
    <x v="65"/>
    <x v="123"/>
    <x v="165"/>
    <x v="0"/>
  </r>
  <r>
    <x v="0"/>
    <x v="131"/>
    <x v="131"/>
    <x v="76"/>
    <x v="76"/>
    <x v="76"/>
    <x v="16"/>
    <x v="217"/>
    <x v="261"/>
    <x v="65"/>
    <x v="65"/>
    <x v="127"/>
    <x v="151"/>
    <x v="0"/>
  </r>
  <r>
    <x v="0"/>
    <x v="131"/>
    <x v="131"/>
    <x v="119"/>
    <x v="119"/>
    <x v="119"/>
    <x v="16"/>
    <x v="217"/>
    <x v="261"/>
    <x v="65"/>
    <x v="65"/>
    <x v="123"/>
    <x v="165"/>
    <x v="0"/>
  </r>
  <r>
    <x v="0"/>
    <x v="131"/>
    <x v="131"/>
    <x v="215"/>
    <x v="212"/>
    <x v="215"/>
    <x v="16"/>
    <x v="217"/>
    <x v="261"/>
    <x v="50"/>
    <x v="266"/>
    <x v="127"/>
    <x v="151"/>
    <x v="0"/>
  </r>
  <r>
    <x v="0"/>
    <x v="131"/>
    <x v="131"/>
    <x v="202"/>
    <x v="199"/>
    <x v="202"/>
    <x v="16"/>
    <x v="217"/>
    <x v="261"/>
    <x v="65"/>
    <x v="65"/>
    <x v="123"/>
    <x v="165"/>
    <x v="0"/>
  </r>
  <r>
    <x v="0"/>
    <x v="131"/>
    <x v="131"/>
    <x v="21"/>
    <x v="21"/>
    <x v="21"/>
    <x v="16"/>
    <x v="217"/>
    <x v="261"/>
    <x v="65"/>
    <x v="65"/>
    <x v="123"/>
    <x v="165"/>
    <x v="0"/>
  </r>
  <r>
    <x v="0"/>
    <x v="131"/>
    <x v="131"/>
    <x v="80"/>
    <x v="80"/>
    <x v="80"/>
    <x v="16"/>
    <x v="217"/>
    <x v="261"/>
    <x v="50"/>
    <x v="266"/>
    <x v="127"/>
    <x v="151"/>
    <x v="0"/>
  </r>
  <r>
    <x v="0"/>
    <x v="131"/>
    <x v="131"/>
    <x v="41"/>
    <x v="41"/>
    <x v="41"/>
    <x v="16"/>
    <x v="217"/>
    <x v="261"/>
    <x v="50"/>
    <x v="266"/>
    <x v="127"/>
    <x v="151"/>
    <x v="0"/>
  </r>
  <r>
    <x v="0"/>
    <x v="131"/>
    <x v="131"/>
    <x v="101"/>
    <x v="101"/>
    <x v="101"/>
    <x v="16"/>
    <x v="217"/>
    <x v="261"/>
    <x v="50"/>
    <x v="266"/>
    <x v="127"/>
    <x v="151"/>
    <x v="0"/>
  </r>
  <r>
    <x v="0"/>
    <x v="131"/>
    <x v="131"/>
    <x v="18"/>
    <x v="18"/>
    <x v="18"/>
    <x v="16"/>
    <x v="217"/>
    <x v="261"/>
    <x v="65"/>
    <x v="65"/>
    <x v="123"/>
    <x v="165"/>
    <x v="0"/>
  </r>
  <r>
    <x v="0"/>
    <x v="131"/>
    <x v="131"/>
    <x v="7"/>
    <x v="7"/>
    <x v="7"/>
    <x v="16"/>
    <x v="217"/>
    <x v="261"/>
    <x v="65"/>
    <x v="65"/>
    <x v="123"/>
    <x v="165"/>
    <x v="0"/>
  </r>
  <r>
    <x v="0"/>
    <x v="131"/>
    <x v="131"/>
    <x v="55"/>
    <x v="55"/>
    <x v="55"/>
    <x v="16"/>
    <x v="217"/>
    <x v="261"/>
    <x v="50"/>
    <x v="266"/>
    <x v="127"/>
    <x v="151"/>
    <x v="0"/>
  </r>
  <r>
    <x v="0"/>
    <x v="131"/>
    <x v="131"/>
    <x v="15"/>
    <x v="15"/>
    <x v="15"/>
    <x v="16"/>
    <x v="217"/>
    <x v="261"/>
    <x v="50"/>
    <x v="266"/>
    <x v="127"/>
    <x v="151"/>
    <x v="0"/>
  </r>
  <r>
    <x v="0"/>
    <x v="131"/>
    <x v="131"/>
    <x v="108"/>
    <x v="108"/>
    <x v="108"/>
    <x v="16"/>
    <x v="217"/>
    <x v="261"/>
    <x v="65"/>
    <x v="65"/>
    <x v="123"/>
    <x v="165"/>
    <x v="0"/>
  </r>
  <r>
    <x v="0"/>
    <x v="131"/>
    <x v="131"/>
    <x v="16"/>
    <x v="16"/>
    <x v="16"/>
    <x v="16"/>
    <x v="217"/>
    <x v="261"/>
    <x v="65"/>
    <x v="65"/>
    <x v="123"/>
    <x v="165"/>
    <x v="0"/>
  </r>
  <r>
    <x v="0"/>
    <x v="131"/>
    <x v="131"/>
    <x v="51"/>
    <x v="51"/>
    <x v="51"/>
    <x v="16"/>
    <x v="217"/>
    <x v="261"/>
    <x v="65"/>
    <x v="65"/>
    <x v="123"/>
    <x v="165"/>
    <x v="0"/>
  </r>
  <r>
    <x v="0"/>
    <x v="131"/>
    <x v="131"/>
    <x v="133"/>
    <x v="133"/>
    <x v="133"/>
    <x v="16"/>
    <x v="217"/>
    <x v="261"/>
    <x v="50"/>
    <x v="266"/>
    <x v="127"/>
    <x v="151"/>
    <x v="0"/>
  </r>
  <r>
    <x v="0"/>
    <x v="131"/>
    <x v="131"/>
    <x v="4"/>
    <x v="4"/>
    <x v="4"/>
    <x v="16"/>
    <x v="217"/>
    <x v="261"/>
    <x v="50"/>
    <x v="266"/>
    <x v="127"/>
    <x v="151"/>
    <x v="0"/>
  </r>
  <r>
    <x v="0"/>
    <x v="131"/>
    <x v="131"/>
    <x v="1"/>
    <x v="1"/>
    <x v="1"/>
    <x v="16"/>
    <x v="217"/>
    <x v="261"/>
    <x v="50"/>
    <x v="266"/>
    <x v="127"/>
    <x v="151"/>
    <x v="0"/>
  </r>
  <r>
    <x v="0"/>
    <x v="131"/>
    <x v="131"/>
    <x v="6"/>
    <x v="6"/>
    <x v="6"/>
    <x v="16"/>
    <x v="217"/>
    <x v="261"/>
    <x v="50"/>
    <x v="266"/>
    <x v="127"/>
    <x v="151"/>
    <x v="0"/>
  </r>
  <r>
    <x v="0"/>
    <x v="131"/>
    <x v="131"/>
    <x v="53"/>
    <x v="53"/>
    <x v="53"/>
    <x v="16"/>
    <x v="217"/>
    <x v="261"/>
    <x v="65"/>
    <x v="65"/>
    <x v="127"/>
    <x v="151"/>
    <x v="0"/>
  </r>
  <r>
    <x v="0"/>
    <x v="131"/>
    <x v="131"/>
    <x v="59"/>
    <x v="59"/>
    <x v="59"/>
    <x v="16"/>
    <x v="217"/>
    <x v="261"/>
    <x v="65"/>
    <x v="65"/>
    <x v="123"/>
    <x v="165"/>
    <x v="0"/>
  </r>
  <r>
    <x v="0"/>
    <x v="131"/>
    <x v="131"/>
    <x v="19"/>
    <x v="19"/>
    <x v="19"/>
    <x v="16"/>
    <x v="217"/>
    <x v="261"/>
    <x v="65"/>
    <x v="65"/>
    <x v="123"/>
    <x v="165"/>
    <x v="0"/>
  </r>
  <r>
    <x v="0"/>
    <x v="131"/>
    <x v="131"/>
    <x v="83"/>
    <x v="83"/>
    <x v="83"/>
    <x v="16"/>
    <x v="217"/>
    <x v="261"/>
    <x v="50"/>
    <x v="266"/>
    <x v="127"/>
    <x v="151"/>
    <x v="0"/>
  </r>
  <r>
    <x v="0"/>
    <x v="131"/>
    <x v="131"/>
    <x v="60"/>
    <x v="60"/>
    <x v="60"/>
    <x v="16"/>
    <x v="217"/>
    <x v="261"/>
    <x v="65"/>
    <x v="65"/>
    <x v="123"/>
    <x v="165"/>
    <x v="0"/>
  </r>
  <r>
    <x v="0"/>
    <x v="132"/>
    <x v="132"/>
    <x v="1"/>
    <x v="1"/>
    <x v="1"/>
    <x v="0"/>
    <x v="149"/>
    <x v="483"/>
    <x v="30"/>
    <x v="647"/>
    <x v="123"/>
    <x v="422"/>
    <x v="0"/>
  </r>
  <r>
    <x v="0"/>
    <x v="132"/>
    <x v="132"/>
    <x v="2"/>
    <x v="2"/>
    <x v="2"/>
    <x v="1"/>
    <x v="134"/>
    <x v="484"/>
    <x v="174"/>
    <x v="648"/>
    <x v="127"/>
    <x v="151"/>
    <x v="0"/>
  </r>
  <r>
    <x v="0"/>
    <x v="132"/>
    <x v="132"/>
    <x v="3"/>
    <x v="3"/>
    <x v="3"/>
    <x v="2"/>
    <x v="138"/>
    <x v="485"/>
    <x v="34"/>
    <x v="649"/>
    <x v="127"/>
    <x v="151"/>
    <x v="0"/>
  </r>
  <r>
    <x v="0"/>
    <x v="132"/>
    <x v="132"/>
    <x v="0"/>
    <x v="0"/>
    <x v="0"/>
    <x v="3"/>
    <x v="141"/>
    <x v="385"/>
    <x v="102"/>
    <x v="650"/>
    <x v="110"/>
    <x v="137"/>
    <x v="0"/>
  </r>
  <r>
    <x v="0"/>
    <x v="132"/>
    <x v="132"/>
    <x v="4"/>
    <x v="4"/>
    <x v="4"/>
    <x v="4"/>
    <x v="205"/>
    <x v="486"/>
    <x v="102"/>
    <x v="650"/>
    <x v="123"/>
    <x v="422"/>
    <x v="0"/>
  </r>
  <r>
    <x v="0"/>
    <x v="132"/>
    <x v="132"/>
    <x v="41"/>
    <x v="41"/>
    <x v="41"/>
    <x v="5"/>
    <x v="194"/>
    <x v="160"/>
    <x v="68"/>
    <x v="404"/>
    <x v="108"/>
    <x v="173"/>
    <x v="0"/>
  </r>
  <r>
    <x v="0"/>
    <x v="132"/>
    <x v="132"/>
    <x v="7"/>
    <x v="7"/>
    <x v="7"/>
    <x v="5"/>
    <x v="194"/>
    <x v="160"/>
    <x v="62"/>
    <x v="562"/>
    <x v="109"/>
    <x v="423"/>
    <x v="0"/>
  </r>
  <r>
    <x v="0"/>
    <x v="132"/>
    <x v="132"/>
    <x v="5"/>
    <x v="5"/>
    <x v="5"/>
    <x v="5"/>
    <x v="194"/>
    <x v="160"/>
    <x v="77"/>
    <x v="264"/>
    <x v="93"/>
    <x v="294"/>
    <x v="0"/>
  </r>
  <r>
    <x v="0"/>
    <x v="132"/>
    <x v="132"/>
    <x v="42"/>
    <x v="42"/>
    <x v="42"/>
    <x v="8"/>
    <x v="208"/>
    <x v="308"/>
    <x v="65"/>
    <x v="65"/>
    <x v="106"/>
    <x v="424"/>
    <x v="0"/>
  </r>
  <r>
    <x v="0"/>
    <x v="132"/>
    <x v="132"/>
    <x v="6"/>
    <x v="6"/>
    <x v="6"/>
    <x v="8"/>
    <x v="208"/>
    <x v="308"/>
    <x v="77"/>
    <x v="264"/>
    <x v="127"/>
    <x v="151"/>
    <x v="0"/>
  </r>
  <r>
    <x v="0"/>
    <x v="132"/>
    <x v="132"/>
    <x v="40"/>
    <x v="40"/>
    <x v="40"/>
    <x v="10"/>
    <x v="195"/>
    <x v="150"/>
    <x v="70"/>
    <x v="328"/>
    <x v="67"/>
    <x v="425"/>
    <x v="0"/>
  </r>
  <r>
    <x v="0"/>
    <x v="132"/>
    <x v="132"/>
    <x v="47"/>
    <x v="47"/>
    <x v="47"/>
    <x v="10"/>
    <x v="195"/>
    <x v="150"/>
    <x v="70"/>
    <x v="328"/>
    <x v="67"/>
    <x v="425"/>
    <x v="0"/>
  </r>
  <r>
    <x v="0"/>
    <x v="132"/>
    <x v="132"/>
    <x v="19"/>
    <x v="19"/>
    <x v="19"/>
    <x v="10"/>
    <x v="195"/>
    <x v="150"/>
    <x v="68"/>
    <x v="404"/>
    <x v="127"/>
    <x v="151"/>
    <x v="0"/>
  </r>
  <r>
    <x v="0"/>
    <x v="132"/>
    <x v="132"/>
    <x v="12"/>
    <x v="12"/>
    <x v="12"/>
    <x v="13"/>
    <x v="210"/>
    <x v="72"/>
    <x v="51"/>
    <x v="651"/>
    <x v="93"/>
    <x v="294"/>
    <x v="6"/>
  </r>
  <r>
    <x v="0"/>
    <x v="132"/>
    <x v="132"/>
    <x v="18"/>
    <x v="18"/>
    <x v="18"/>
    <x v="13"/>
    <x v="210"/>
    <x v="72"/>
    <x v="70"/>
    <x v="328"/>
    <x v="119"/>
    <x v="69"/>
    <x v="0"/>
  </r>
  <r>
    <x v="0"/>
    <x v="132"/>
    <x v="132"/>
    <x v="28"/>
    <x v="28"/>
    <x v="28"/>
    <x v="14"/>
    <x v="196"/>
    <x v="29"/>
    <x v="62"/>
    <x v="562"/>
    <x v="108"/>
    <x v="173"/>
    <x v="0"/>
  </r>
  <r>
    <x v="0"/>
    <x v="132"/>
    <x v="132"/>
    <x v="55"/>
    <x v="55"/>
    <x v="55"/>
    <x v="14"/>
    <x v="196"/>
    <x v="29"/>
    <x v="70"/>
    <x v="328"/>
    <x v="110"/>
    <x v="137"/>
    <x v="0"/>
  </r>
  <r>
    <x v="0"/>
    <x v="132"/>
    <x v="132"/>
    <x v="45"/>
    <x v="45"/>
    <x v="45"/>
    <x v="14"/>
    <x v="196"/>
    <x v="29"/>
    <x v="39"/>
    <x v="272"/>
    <x v="123"/>
    <x v="422"/>
    <x v="0"/>
  </r>
  <r>
    <x v="0"/>
    <x v="132"/>
    <x v="132"/>
    <x v="9"/>
    <x v="9"/>
    <x v="9"/>
    <x v="14"/>
    <x v="196"/>
    <x v="29"/>
    <x v="95"/>
    <x v="354"/>
    <x v="127"/>
    <x v="151"/>
    <x v="0"/>
  </r>
  <r>
    <x v="0"/>
    <x v="132"/>
    <x v="132"/>
    <x v="8"/>
    <x v="8"/>
    <x v="8"/>
    <x v="14"/>
    <x v="196"/>
    <x v="29"/>
    <x v="39"/>
    <x v="272"/>
    <x v="123"/>
    <x v="422"/>
    <x v="0"/>
  </r>
  <r>
    <x v="0"/>
    <x v="133"/>
    <x v="133"/>
    <x v="1"/>
    <x v="1"/>
    <x v="1"/>
    <x v="0"/>
    <x v="196"/>
    <x v="487"/>
    <x v="95"/>
    <x v="647"/>
    <x v="127"/>
    <x v="151"/>
    <x v="0"/>
  </r>
  <r>
    <x v="0"/>
    <x v="133"/>
    <x v="133"/>
    <x v="56"/>
    <x v="56"/>
    <x v="56"/>
    <x v="1"/>
    <x v="199"/>
    <x v="358"/>
    <x v="56"/>
    <x v="521"/>
    <x v="93"/>
    <x v="341"/>
    <x v="0"/>
  </r>
  <r>
    <x v="0"/>
    <x v="133"/>
    <x v="133"/>
    <x v="13"/>
    <x v="13"/>
    <x v="13"/>
    <x v="1"/>
    <x v="199"/>
    <x v="358"/>
    <x v="50"/>
    <x v="437"/>
    <x v="108"/>
    <x v="339"/>
    <x v="0"/>
  </r>
  <r>
    <x v="0"/>
    <x v="133"/>
    <x v="133"/>
    <x v="0"/>
    <x v="0"/>
    <x v="0"/>
    <x v="1"/>
    <x v="199"/>
    <x v="358"/>
    <x v="50"/>
    <x v="437"/>
    <x v="108"/>
    <x v="339"/>
    <x v="0"/>
  </r>
  <r>
    <x v="0"/>
    <x v="133"/>
    <x v="133"/>
    <x v="2"/>
    <x v="2"/>
    <x v="2"/>
    <x v="1"/>
    <x v="199"/>
    <x v="358"/>
    <x v="62"/>
    <x v="652"/>
    <x v="127"/>
    <x v="151"/>
    <x v="0"/>
  </r>
  <r>
    <x v="0"/>
    <x v="133"/>
    <x v="133"/>
    <x v="96"/>
    <x v="96"/>
    <x v="96"/>
    <x v="5"/>
    <x v="200"/>
    <x v="359"/>
    <x v="65"/>
    <x v="65"/>
    <x v="108"/>
    <x v="339"/>
    <x v="0"/>
  </r>
  <r>
    <x v="0"/>
    <x v="133"/>
    <x v="133"/>
    <x v="41"/>
    <x v="41"/>
    <x v="41"/>
    <x v="5"/>
    <x v="200"/>
    <x v="359"/>
    <x v="70"/>
    <x v="522"/>
    <x v="127"/>
    <x v="151"/>
    <x v="0"/>
  </r>
  <r>
    <x v="0"/>
    <x v="133"/>
    <x v="133"/>
    <x v="12"/>
    <x v="12"/>
    <x v="12"/>
    <x v="5"/>
    <x v="200"/>
    <x v="359"/>
    <x v="56"/>
    <x v="521"/>
    <x v="123"/>
    <x v="35"/>
    <x v="0"/>
  </r>
  <r>
    <x v="0"/>
    <x v="133"/>
    <x v="133"/>
    <x v="47"/>
    <x v="47"/>
    <x v="47"/>
    <x v="5"/>
    <x v="200"/>
    <x v="359"/>
    <x v="56"/>
    <x v="521"/>
    <x v="123"/>
    <x v="35"/>
    <x v="0"/>
  </r>
  <r>
    <x v="0"/>
    <x v="133"/>
    <x v="133"/>
    <x v="130"/>
    <x v="130"/>
    <x v="130"/>
    <x v="5"/>
    <x v="200"/>
    <x v="359"/>
    <x v="65"/>
    <x v="65"/>
    <x v="93"/>
    <x v="341"/>
    <x v="6"/>
  </r>
  <r>
    <x v="0"/>
    <x v="133"/>
    <x v="133"/>
    <x v="9"/>
    <x v="9"/>
    <x v="9"/>
    <x v="5"/>
    <x v="200"/>
    <x v="359"/>
    <x v="70"/>
    <x v="522"/>
    <x v="127"/>
    <x v="151"/>
    <x v="0"/>
  </r>
  <r>
    <x v="0"/>
    <x v="133"/>
    <x v="133"/>
    <x v="3"/>
    <x v="3"/>
    <x v="3"/>
    <x v="5"/>
    <x v="200"/>
    <x v="359"/>
    <x v="70"/>
    <x v="522"/>
    <x v="127"/>
    <x v="151"/>
    <x v="0"/>
  </r>
  <r>
    <x v="0"/>
    <x v="133"/>
    <x v="133"/>
    <x v="8"/>
    <x v="8"/>
    <x v="8"/>
    <x v="5"/>
    <x v="200"/>
    <x v="359"/>
    <x v="70"/>
    <x v="522"/>
    <x v="127"/>
    <x v="151"/>
    <x v="0"/>
  </r>
  <r>
    <x v="0"/>
    <x v="133"/>
    <x v="133"/>
    <x v="43"/>
    <x v="43"/>
    <x v="43"/>
    <x v="5"/>
    <x v="200"/>
    <x v="359"/>
    <x v="65"/>
    <x v="65"/>
    <x v="108"/>
    <x v="339"/>
    <x v="0"/>
  </r>
  <r>
    <x v="0"/>
    <x v="133"/>
    <x v="133"/>
    <x v="46"/>
    <x v="46"/>
    <x v="46"/>
    <x v="19"/>
    <x v="216"/>
    <x v="47"/>
    <x v="56"/>
    <x v="521"/>
    <x v="127"/>
    <x v="151"/>
    <x v="0"/>
  </r>
  <r>
    <x v="0"/>
    <x v="133"/>
    <x v="133"/>
    <x v="36"/>
    <x v="36"/>
    <x v="36"/>
    <x v="19"/>
    <x v="216"/>
    <x v="47"/>
    <x v="65"/>
    <x v="65"/>
    <x v="93"/>
    <x v="341"/>
    <x v="0"/>
  </r>
  <r>
    <x v="0"/>
    <x v="133"/>
    <x v="133"/>
    <x v="11"/>
    <x v="11"/>
    <x v="11"/>
    <x v="19"/>
    <x v="216"/>
    <x v="47"/>
    <x v="50"/>
    <x v="437"/>
    <x v="123"/>
    <x v="35"/>
    <x v="0"/>
  </r>
  <r>
    <x v="0"/>
    <x v="133"/>
    <x v="133"/>
    <x v="18"/>
    <x v="18"/>
    <x v="18"/>
    <x v="19"/>
    <x v="216"/>
    <x v="47"/>
    <x v="50"/>
    <x v="437"/>
    <x v="123"/>
    <x v="35"/>
    <x v="0"/>
  </r>
  <r>
    <x v="0"/>
    <x v="133"/>
    <x v="133"/>
    <x v="7"/>
    <x v="7"/>
    <x v="7"/>
    <x v="19"/>
    <x v="216"/>
    <x v="47"/>
    <x v="50"/>
    <x v="437"/>
    <x v="123"/>
    <x v="35"/>
    <x v="0"/>
  </r>
  <r>
    <x v="0"/>
    <x v="133"/>
    <x v="133"/>
    <x v="37"/>
    <x v="37"/>
    <x v="37"/>
    <x v="19"/>
    <x v="216"/>
    <x v="47"/>
    <x v="65"/>
    <x v="65"/>
    <x v="93"/>
    <x v="341"/>
    <x v="0"/>
  </r>
  <r>
    <x v="0"/>
    <x v="133"/>
    <x v="133"/>
    <x v="52"/>
    <x v="52"/>
    <x v="52"/>
    <x v="19"/>
    <x v="216"/>
    <x v="47"/>
    <x v="65"/>
    <x v="65"/>
    <x v="123"/>
    <x v="35"/>
    <x v="0"/>
  </r>
  <r>
    <x v="0"/>
    <x v="133"/>
    <x v="133"/>
    <x v="39"/>
    <x v="39"/>
    <x v="39"/>
    <x v="19"/>
    <x v="216"/>
    <x v="47"/>
    <x v="56"/>
    <x v="521"/>
    <x v="127"/>
    <x v="151"/>
    <x v="0"/>
  </r>
  <r>
    <x v="0"/>
    <x v="133"/>
    <x v="133"/>
    <x v="6"/>
    <x v="6"/>
    <x v="6"/>
    <x v="19"/>
    <x v="216"/>
    <x v="47"/>
    <x v="56"/>
    <x v="521"/>
    <x v="127"/>
    <x v="151"/>
    <x v="0"/>
  </r>
  <r>
    <x v="0"/>
    <x v="133"/>
    <x v="133"/>
    <x v="83"/>
    <x v="83"/>
    <x v="83"/>
    <x v="19"/>
    <x v="216"/>
    <x v="47"/>
    <x v="56"/>
    <x v="521"/>
    <x v="127"/>
    <x v="151"/>
    <x v="0"/>
  </r>
  <r>
    <x v="0"/>
    <x v="134"/>
    <x v="134"/>
    <x v="0"/>
    <x v="0"/>
    <x v="0"/>
    <x v="0"/>
    <x v="145"/>
    <x v="488"/>
    <x v="121"/>
    <x v="653"/>
    <x v="93"/>
    <x v="236"/>
    <x v="0"/>
  </r>
  <r>
    <x v="0"/>
    <x v="134"/>
    <x v="134"/>
    <x v="3"/>
    <x v="3"/>
    <x v="3"/>
    <x v="1"/>
    <x v="204"/>
    <x v="489"/>
    <x v="32"/>
    <x v="654"/>
    <x v="127"/>
    <x v="151"/>
    <x v="0"/>
  </r>
  <r>
    <x v="0"/>
    <x v="134"/>
    <x v="134"/>
    <x v="1"/>
    <x v="1"/>
    <x v="1"/>
    <x v="1"/>
    <x v="204"/>
    <x v="489"/>
    <x v="94"/>
    <x v="359"/>
    <x v="123"/>
    <x v="235"/>
    <x v="0"/>
  </r>
  <r>
    <x v="0"/>
    <x v="134"/>
    <x v="134"/>
    <x v="2"/>
    <x v="2"/>
    <x v="2"/>
    <x v="3"/>
    <x v="205"/>
    <x v="318"/>
    <x v="102"/>
    <x v="525"/>
    <x v="123"/>
    <x v="235"/>
    <x v="0"/>
  </r>
  <r>
    <x v="0"/>
    <x v="134"/>
    <x v="134"/>
    <x v="5"/>
    <x v="5"/>
    <x v="5"/>
    <x v="4"/>
    <x v="194"/>
    <x v="426"/>
    <x v="89"/>
    <x v="315"/>
    <x v="123"/>
    <x v="235"/>
    <x v="0"/>
  </r>
  <r>
    <x v="0"/>
    <x v="134"/>
    <x v="134"/>
    <x v="51"/>
    <x v="51"/>
    <x v="51"/>
    <x v="5"/>
    <x v="207"/>
    <x v="92"/>
    <x v="70"/>
    <x v="124"/>
    <x v="109"/>
    <x v="426"/>
    <x v="0"/>
  </r>
  <r>
    <x v="0"/>
    <x v="134"/>
    <x v="134"/>
    <x v="4"/>
    <x v="4"/>
    <x v="4"/>
    <x v="6"/>
    <x v="208"/>
    <x v="293"/>
    <x v="95"/>
    <x v="447"/>
    <x v="93"/>
    <x v="236"/>
    <x v="6"/>
  </r>
  <r>
    <x v="0"/>
    <x v="134"/>
    <x v="134"/>
    <x v="45"/>
    <x v="45"/>
    <x v="45"/>
    <x v="7"/>
    <x v="195"/>
    <x v="301"/>
    <x v="100"/>
    <x v="581"/>
    <x v="123"/>
    <x v="235"/>
    <x v="0"/>
  </r>
  <r>
    <x v="0"/>
    <x v="134"/>
    <x v="134"/>
    <x v="7"/>
    <x v="7"/>
    <x v="7"/>
    <x v="8"/>
    <x v="210"/>
    <x v="178"/>
    <x v="62"/>
    <x v="655"/>
    <x v="110"/>
    <x v="203"/>
    <x v="0"/>
  </r>
  <r>
    <x v="0"/>
    <x v="134"/>
    <x v="134"/>
    <x v="54"/>
    <x v="54"/>
    <x v="54"/>
    <x v="9"/>
    <x v="196"/>
    <x v="107"/>
    <x v="50"/>
    <x v="187"/>
    <x v="67"/>
    <x v="427"/>
    <x v="0"/>
  </r>
  <r>
    <x v="0"/>
    <x v="134"/>
    <x v="134"/>
    <x v="123"/>
    <x v="123"/>
    <x v="123"/>
    <x v="9"/>
    <x v="196"/>
    <x v="107"/>
    <x v="39"/>
    <x v="656"/>
    <x v="123"/>
    <x v="235"/>
    <x v="0"/>
  </r>
  <r>
    <x v="0"/>
    <x v="134"/>
    <x v="134"/>
    <x v="9"/>
    <x v="9"/>
    <x v="9"/>
    <x v="11"/>
    <x v="197"/>
    <x v="153"/>
    <x v="51"/>
    <x v="369"/>
    <x v="123"/>
    <x v="235"/>
    <x v="0"/>
  </r>
  <r>
    <x v="0"/>
    <x v="134"/>
    <x v="134"/>
    <x v="40"/>
    <x v="40"/>
    <x v="40"/>
    <x v="12"/>
    <x v="198"/>
    <x v="294"/>
    <x v="70"/>
    <x v="124"/>
    <x v="93"/>
    <x v="236"/>
    <x v="0"/>
  </r>
  <r>
    <x v="0"/>
    <x v="134"/>
    <x v="134"/>
    <x v="13"/>
    <x v="13"/>
    <x v="13"/>
    <x v="12"/>
    <x v="198"/>
    <x v="294"/>
    <x v="50"/>
    <x v="187"/>
    <x v="110"/>
    <x v="203"/>
    <x v="0"/>
  </r>
  <r>
    <x v="0"/>
    <x v="134"/>
    <x v="134"/>
    <x v="36"/>
    <x v="36"/>
    <x v="36"/>
    <x v="12"/>
    <x v="198"/>
    <x v="294"/>
    <x v="65"/>
    <x v="65"/>
    <x v="119"/>
    <x v="366"/>
    <x v="0"/>
  </r>
  <r>
    <x v="0"/>
    <x v="134"/>
    <x v="134"/>
    <x v="15"/>
    <x v="15"/>
    <x v="15"/>
    <x v="12"/>
    <x v="198"/>
    <x v="294"/>
    <x v="50"/>
    <x v="187"/>
    <x v="110"/>
    <x v="203"/>
    <x v="0"/>
  </r>
  <r>
    <x v="0"/>
    <x v="134"/>
    <x v="134"/>
    <x v="64"/>
    <x v="64"/>
    <x v="64"/>
    <x v="12"/>
    <x v="198"/>
    <x v="294"/>
    <x v="51"/>
    <x v="369"/>
    <x v="127"/>
    <x v="151"/>
    <x v="0"/>
  </r>
  <r>
    <x v="0"/>
    <x v="134"/>
    <x v="134"/>
    <x v="6"/>
    <x v="6"/>
    <x v="6"/>
    <x v="12"/>
    <x v="198"/>
    <x v="294"/>
    <x v="51"/>
    <x v="369"/>
    <x v="127"/>
    <x v="151"/>
    <x v="0"/>
  </r>
  <r>
    <x v="0"/>
    <x v="134"/>
    <x v="134"/>
    <x v="10"/>
    <x v="10"/>
    <x v="10"/>
    <x v="17"/>
    <x v="199"/>
    <x v="490"/>
    <x v="65"/>
    <x v="65"/>
    <x v="110"/>
    <x v="203"/>
    <x v="0"/>
  </r>
  <r>
    <x v="0"/>
    <x v="134"/>
    <x v="134"/>
    <x v="56"/>
    <x v="56"/>
    <x v="56"/>
    <x v="17"/>
    <x v="199"/>
    <x v="490"/>
    <x v="56"/>
    <x v="195"/>
    <x v="93"/>
    <x v="236"/>
    <x v="0"/>
  </r>
  <r>
    <x v="0"/>
    <x v="134"/>
    <x v="134"/>
    <x v="92"/>
    <x v="92"/>
    <x v="92"/>
    <x v="17"/>
    <x v="199"/>
    <x v="490"/>
    <x v="50"/>
    <x v="187"/>
    <x v="108"/>
    <x v="46"/>
    <x v="0"/>
  </r>
  <r>
    <x v="0"/>
    <x v="134"/>
    <x v="134"/>
    <x v="41"/>
    <x v="41"/>
    <x v="41"/>
    <x v="17"/>
    <x v="199"/>
    <x v="490"/>
    <x v="62"/>
    <x v="655"/>
    <x v="127"/>
    <x v="151"/>
    <x v="0"/>
  </r>
  <r>
    <x v="0"/>
    <x v="134"/>
    <x v="134"/>
    <x v="11"/>
    <x v="11"/>
    <x v="11"/>
    <x v="17"/>
    <x v="199"/>
    <x v="490"/>
    <x v="56"/>
    <x v="195"/>
    <x v="93"/>
    <x v="236"/>
    <x v="0"/>
  </r>
  <r>
    <x v="0"/>
    <x v="134"/>
    <x v="134"/>
    <x v="47"/>
    <x v="47"/>
    <x v="47"/>
    <x v="17"/>
    <x v="199"/>
    <x v="490"/>
    <x v="56"/>
    <x v="195"/>
    <x v="93"/>
    <x v="236"/>
    <x v="0"/>
  </r>
  <r>
    <x v="0"/>
    <x v="134"/>
    <x v="134"/>
    <x v="129"/>
    <x v="129"/>
    <x v="129"/>
    <x v="17"/>
    <x v="199"/>
    <x v="490"/>
    <x v="62"/>
    <x v="655"/>
    <x v="127"/>
    <x v="151"/>
    <x v="0"/>
  </r>
  <r>
    <x v="0"/>
    <x v="134"/>
    <x v="134"/>
    <x v="39"/>
    <x v="39"/>
    <x v="39"/>
    <x v="17"/>
    <x v="199"/>
    <x v="490"/>
    <x v="62"/>
    <x v="655"/>
    <x v="127"/>
    <x v="151"/>
    <x v="0"/>
  </r>
  <r>
    <x v="0"/>
    <x v="134"/>
    <x v="134"/>
    <x v="8"/>
    <x v="8"/>
    <x v="8"/>
    <x v="17"/>
    <x v="199"/>
    <x v="490"/>
    <x v="62"/>
    <x v="655"/>
    <x v="127"/>
    <x v="151"/>
    <x v="0"/>
  </r>
  <r>
    <x v="0"/>
    <x v="134"/>
    <x v="134"/>
    <x v="19"/>
    <x v="19"/>
    <x v="19"/>
    <x v="17"/>
    <x v="199"/>
    <x v="490"/>
    <x v="62"/>
    <x v="655"/>
    <x v="127"/>
    <x v="151"/>
    <x v="0"/>
  </r>
  <r>
    <x v="0"/>
    <x v="134"/>
    <x v="134"/>
    <x v="26"/>
    <x v="26"/>
    <x v="26"/>
    <x v="17"/>
    <x v="199"/>
    <x v="490"/>
    <x v="65"/>
    <x v="65"/>
    <x v="108"/>
    <x v="46"/>
    <x v="6"/>
  </r>
  <r>
    <x v="0"/>
    <x v="135"/>
    <x v="135"/>
    <x v="10"/>
    <x v="10"/>
    <x v="10"/>
    <x v="0"/>
    <x v="199"/>
    <x v="376"/>
    <x v="65"/>
    <x v="65"/>
    <x v="110"/>
    <x v="428"/>
    <x v="0"/>
  </r>
  <r>
    <x v="0"/>
    <x v="135"/>
    <x v="135"/>
    <x v="3"/>
    <x v="3"/>
    <x v="3"/>
    <x v="0"/>
    <x v="199"/>
    <x v="376"/>
    <x v="62"/>
    <x v="541"/>
    <x v="127"/>
    <x v="151"/>
    <x v="0"/>
  </r>
  <r>
    <x v="0"/>
    <x v="135"/>
    <x v="135"/>
    <x v="44"/>
    <x v="44"/>
    <x v="44"/>
    <x v="2"/>
    <x v="200"/>
    <x v="2"/>
    <x v="56"/>
    <x v="5"/>
    <x v="123"/>
    <x v="86"/>
    <x v="0"/>
  </r>
  <r>
    <x v="0"/>
    <x v="135"/>
    <x v="135"/>
    <x v="0"/>
    <x v="0"/>
    <x v="0"/>
    <x v="2"/>
    <x v="200"/>
    <x v="2"/>
    <x v="65"/>
    <x v="65"/>
    <x v="108"/>
    <x v="354"/>
    <x v="0"/>
  </r>
  <r>
    <x v="0"/>
    <x v="135"/>
    <x v="135"/>
    <x v="51"/>
    <x v="51"/>
    <x v="51"/>
    <x v="2"/>
    <x v="200"/>
    <x v="2"/>
    <x v="50"/>
    <x v="542"/>
    <x v="93"/>
    <x v="130"/>
    <x v="0"/>
  </r>
  <r>
    <x v="0"/>
    <x v="135"/>
    <x v="135"/>
    <x v="1"/>
    <x v="1"/>
    <x v="1"/>
    <x v="2"/>
    <x v="200"/>
    <x v="2"/>
    <x v="70"/>
    <x v="42"/>
    <x v="127"/>
    <x v="151"/>
    <x v="0"/>
  </r>
  <r>
    <x v="0"/>
    <x v="135"/>
    <x v="135"/>
    <x v="19"/>
    <x v="19"/>
    <x v="19"/>
    <x v="2"/>
    <x v="200"/>
    <x v="2"/>
    <x v="56"/>
    <x v="5"/>
    <x v="123"/>
    <x v="86"/>
    <x v="0"/>
  </r>
  <r>
    <x v="0"/>
    <x v="135"/>
    <x v="135"/>
    <x v="28"/>
    <x v="28"/>
    <x v="28"/>
    <x v="7"/>
    <x v="216"/>
    <x v="25"/>
    <x v="50"/>
    <x v="542"/>
    <x v="123"/>
    <x v="86"/>
    <x v="0"/>
  </r>
  <r>
    <x v="0"/>
    <x v="135"/>
    <x v="135"/>
    <x v="41"/>
    <x v="41"/>
    <x v="41"/>
    <x v="7"/>
    <x v="216"/>
    <x v="25"/>
    <x v="50"/>
    <x v="542"/>
    <x v="123"/>
    <x v="86"/>
    <x v="0"/>
  </r>
  <r>
    <x v="0"/>
    <x v="135"/>
    <x v="135"/>
    <x v="12"/>
    <x v="12"/>
    <x v="12"/>
    <x v="7"/>
    <x v="216"/>
    <x v="25"/>
    <x v="56"/>
    <x v="5"/>
    <x v="127"/>
    <x v="151"/>
    <x v="0"/>
  </r>
  <r>
    <x v="0"/>
    <x v="135"/>
    <x v="135"/>
    <x v="47"/>
    <x v="47"/>
    <x v="47"/>
    <x v="7"/>
    <x v="216"/>
    <x v="25"/>
    <x v="50"/>
    <x v="542"/>
    <x v="123"/>
    <x v="86"/>
    <x v="0"/>
  </r>
  <r>
    <x v="0"/>
    <x v="135"/>
    <x v="135"/>
    <x v="84"/>
    <x v="84"/>
    <x v="84"/>
    <x v="7"/>
    <x v="216"/>
    <x v="25"/>
    <x v="65"/>
    <x v="65"/>
    <x v="93"/>
    <x v="130"/>
    <x v="0"/>
  </r>
  <r>
    <x v="0"/>
    <x v="135"/>
    <x v="135"/>
    <x v="42"/>
    <x v="42"/>
    <x v="42"/>
    <x v="7"/>
    <x v="216"/>
    <x v="25"/>
    <x v="65"/>
    <x v="65"/>
    <x v="93"/>
    <x v="130"/>
    <x v="0"/>
  </r>
  <r>
    <x v="0"/>
    <x v="135"/>
    <x v="135"/>
    <x v="5"/>
    <x v="5"/>
    <x v="5"/>
    <x v="7"/>
    <x v="216"/>
    <x v="25"/>
    <x v="56"/>
    <x v="5"/>
    <x v="127"/>
    <x v="151"/>
    <x v="0"/>
  </r>
  <r>
    <x v="0"/>
    <x v="135"/>
    <x v="135"/>
    <x v="2"/>
    <x v="2"/>
    <x v="2"/>
    <x v="7"/>
    <x v="216"/>
    <x v="25"/>
    <x v="56"/>
    <x v="5"/>
    <x v="127"/>
    <x v="151"/>
    <x v="0"/>
  </r>
  <r>
    <x v="0"/>
    <x v="135"/>
    <x v="135"/>
    <x v="37"/>
    <x v="37"/>
    <x v="37"/>
    <x v="7"/>
    <x v="216"/>
    <x v="25"/>
    <x v="65"/>
    <x v="65"/>
    <x v="93"/>
    <x v="130"/>
    <x v="0"/>
  </r>
  <r>
    <x v="0"/>
    <x v="135"/>
    <x v="135"/>
    <x v="8"/>
    <x v="8"/>
    <x v="8"/>
    <x v="7"/>
    <x v="216"/>
    <x v="25"/>
    <x v="56"/>
    <x v="5"/>
    <x v="127"/>
    <x v="151"/>
    <x v="0"/>
  </r>
  <r>
    <x v="0"/>
    <x v="135"/>
    <x v="135"/>
    <x v="17"/>
    <x v="17"/>
    <x v="17"/>
    <x v="16"/>
    <x v="217"/>
    <x v="33"/>
    <x v="50"/>
    <x v="542"/>
    <x v="127"/>
    <x v="151"/>
    <x v="0"/>
  </r>
  <r>
    <x v="0"/>
    <x v="135"/>
    <x v="135"/>
    <x v="67"/>
    <x v="67"/>
    <x v="67"/>
    <x v="16"/>
    <x v="217"/>
    <x v="33"/>
    <x v="50"/>
    <x v="542"/>
    <x v="127"/>
    <x v="151"/>
    <x v="0"/>
  </r>
  <r>
    <x v="0"/>
    <x v="135"/>
    <x v="135"/>
    <x v="56"/>
    <x v="56"/>
    <x v="56"/>
    <x v="16"/>
    <x v="217"/>
    <x v="33"/>
    <x v="50"/>
    <x v="542"/>
    <x v="127"/>
    <x v="151"/>
    <x v="0"/>
  </r>
  <r>
    <x v="0"/>
    <x v="135"/>
    <x v="135"/>
    <x v="31"/>
    <x v="31"/>
    <x v="31"/>
    <x v="16"/>
    <x v="217"/>
    <x v="33"/>
    <x v="50"/>
    <x v="542"/>
    <x v="127"/>
    <x v="151"/>
    <x v="0"/>
  </r>
  <r>
    <x v="0"/>
    <x v="135"/>
    <x v="135"/>
    <x v="13"/>
    <x v="13"/>
    <x v="13"/>
    <x v="16"/>
    <x v="217"/>
    <x v="33"/>
    <x v="65"/>
    <x v="65"/>
    <x v="123"/>
    <x v="86"/>
    <x v="0"/>
  </r>
  <r>
    <x v="0"/>
    <x v="135"/>
    <x v="135"/>
    <x v="14"/>
    <x v="14"/>
    <x v="14"/>
    <x v="16"/>
    <x v="217"/>
    <x v="33"/>
    <x v="65"/>
    <x v="65"/>
    <x v="123"/>
    <x v="86"/>
    <x v="0"/>
  </r>
  <r>
    <x v="0"/>
    <x v="135"/>
    <x v="135"/>
    <x v="193"/>
    <x v="190"/>
    <x v="193"/>
    <x v="16"/>
    <x v="217"/>
    <x v="33"/>
    <x v="65"/>
    <x v="65"/>
    <x v="123"/>
    <x v="86"/>
    <x v="0"/>
  </r>
  <r>
    <x v="0"/>
    <x v="135"/>
    <x v="135"/>
    <x v="93"/>
    <x v="93"/>
    <x v="93"/>
    <x v="16"/>
    <x v="217"/>
    <x v="33"/>
    <x v="50"/>
    <x v="542"/>
    <x v="127"/>
    <x v="151"/>
    <x v="0"/>
  </r>
  <r>
    <x v="0"/>
    <x v="135"/>
    <x v="135"/>
    <x v="111"/>
    <x v="111"/>
    <x v="111"/>
    <x v="16"/>
    <x v="217"/>
    <x v="33"/>
    <x v="65"/>
    <x v="65"/>
    <x v="123"/>
    <x v="86"/>
    <x v="0"/>
  </r>
  <r>
    <x v="0"/>
    <x v="135"/>
    <x v="135"/>
    <x v="137"/>
    <x v="137"/>
    <x v="137"/>
    <x v="16"/>
    <x v="217"/>
    <x v="33"/>
    <x v="50"/>
    <x v="542"/>
    <x v="127"/>
    <x v="151"/>
    <x v="0"/>
  </r>
  <r>
    <x v="0"/>
    <x v="135"/>
    <x v="135"/>
    <x v="163"/>
    <x v="161"/>
    <x v="163"/>
    <x v="16"/>
    <x v="217"/>
    <x v="33"/>
    <x v="50"/>
    <x v="542"/>
    <x v="127"/>
    <x v="151"/>
    <x v="0"/>
  </r>
  <r>
    <x v="0"/>
    <x v="135"/>
    <x v="135"/>
    <x v="75"/>
    <x v="75"/>
    <x v="75"/>
    <x v="16"/>
    <x v="217"/>
    <x v="33"/>
    <x v="65"/>
    <x v="65"/>
    <x v="127"/>
    <x v="151"/>
    <x v="0"/>
  </r>
  <r>
    <x v="0"/>
    <x v="135"/>
    <x v="135"/>
    <x v="62"/>
    <x v="62"/>
    <x v="62"/>
    <x v="16"/>
    <x v="217"/>
    <x v="33"/>
    <x v="65"/>
    <x v="65"/>
    <x v="123"/>
    <x v="86"/>
    <x v="0"/>
  </r>
  <r>
    <x v="0"/>
    <x v="135"/>
    <x v="135"/>
    <x v="216"/>
    <x v="213"/>
    <x v="216"/>
    <x v="16"/>
    <x v="217"/>
    <x v="33"/>
    <x v="65"/>
    <x v="65"/>
    <x v="123"/>
    <x v="86"/>
    <x v="0"/>
  </r>
  <r>
    <x v="0"/>
    <x v="135"/>
    <x v="135"/>
    <x v="158"/>
    <x v="157"/>
    <x v="158"/>
    <x v="16"/>
    <x v="217"/>
    <x v="33"/>
    <x v="50"/>
    <x v="542"/>
    <x v="127"/>
    <x v="151"/>
    <x v="0"/>
  </r>
  <r>
    <x v="0"/>
    <x v="135"/>
    <x v="135"/>
    <x v="100"/>
    <x v="100"/>
    <x v="100"/>
    <x v="16"/>
    <x v="217"/>
    <x v="33"/>
    <x v="50"/>
    <x v="542"/>
    <x v="127"/>
    <x v="151"/>
    <x v="0"/>
  </r>
  <r>
    <x v="0"/>
    <x v="135"/>
    <x v="135"/>
    <x v="21"/>
    <x v="21"/>
    <x v="21"/>
    <x v="16"/>
    <x v="217"/>
    <x v="33"/>
    <x v="65"/>
    <x v="65"/>
    <x v="123"/>
    <x v="86"/>
    <x v="0"/>
  </r>
  <r>
    <x v="0"/>
    <x v="135"/>
    <x v="135"/>
    <x v="112"/>
    <x v="112"/>
    <x v="112"/>
    <x v="16"/>
    <x v="217"/>
    <x v="33"/>
    <x v="50"/>
    <x v="542"/>
    <x v="127"/>
    <x v="151"/>
    <x v="0"/>
  </r>
  <r>
    <x v="0"/>
    <x v="135"/>
    <x v="135"/>
    <x v="101"/>
    <x v="101"/>
    <x v="101"/>
    <x v="16"/>
    <x v="217"/>
    <x v="33"/>
    <x v="50"/>
    <x v="542"/>
    <x v="127"/>
    <x v="151"/>
    <x v="0"/>
  </r>
  <r>
    <x v="0"/>
    <x v="135"/>
    <x v="135"/>
    <x v="18"/>
    <x v="18"/>
    <x v="18"/>
    <x v="16"/>
    <x v="217"/>
    <x v="33"/>
    <x v="65"/>
    <x v="65"/>
    <x v="123"/>
    <x v="86"/>
    <x v="0"/>
  </r>
  <r>
    <x v="0"/>
    <x v="135"/>
    <x v="135"/>
    <x v="85"/>
    <x v="85"/>
    <x v="85"/>
    <x v="16"/>
    <x v="217"/>
    <x v="33"/>
    <x v="50"/>
    <x v="542"/>
    <x v="127"/>
    <x v="151"/>
    <x v="0"/>
  </r>
  <r>
    <x v="0"/>
    <x v="135"/>
    <x v="135"/>
    <x v="55"/>
    <x v="55"/>
    <x v="55"/>
    <x v="16"/>
    <x v="217"/>
    <x v="33"/>
    <x v="65"/>
    <x v="65"/>
    <x v="123"/>
    <x v="86"/>
    <x v="0"/>
  </r>
  <r>
    <x v="0"/>
    <x v="135"/>
    <x v="135"/>
    <x v="65"/>
    <x v="65"/>
    <x v="65"/>
    <x v="16"/>
    <x v="217"/>
    <x v="33"/>
    <x v="65"/>
    <x v="65"/>
    <x v="123"/>
    <x v="86"/>
    <x v="0"/>
  </r>
  <r>
    <x v="0"/>
    <x v="135"/>
    <x v="135"/>
    <x v="115"/>
    <x v="115"/>
    <x v="115"/>
    <x v="16"/>
    <x v="217"/>
    <x v="33"/>
    <x v="65"/>
    <x v="65"/>
    <x v="123"/>
    <x v="86"/>
    <x v="0"/>
  </r>
  <r>
    <x v="0"/>
    <x v="135"/>
    <x v="135"/>
    <x v="121"/>
    <x v="121"/>
    <x v="121"/>
    <x v="16"/>
    <x v="217"/>
    <x v="33"/>
    <x v="65"/>
    <x v="65"/>
    <x v="123"/>
    <x v="86"/>
    <x v="0"/>
  </r>
  <r>
    <x v="0"/>
    <x v="135"/>
    <x v="135"/>
    <x v="133"/>
    <x v="133"/>
    <x v="133"/>
    <x v="16"/>
    <x v="217"/>
    <x v="33"/>
    <x v="65"/>
    <x v="65"/>
    <x v="123"/>
    <x v="86"/>
    <x v="0"/>
  </r>
  <r>
    <x v="0"/>
    <x v="135"/>
    <x v="135"/>
    <x v="117"/>
    <x v="117"/>
    <x v="117"/>
    <x v="16"/>
    <x v="217"/>
    <x v="33"/>
    <x v="50"/>
    <x v="542"/>
    <x v="127"/>
    <x v="151"/>
    <x v="0"/>
  </r>
  <r>
    <x v="0"/>
    <x v="135"/>
    <x v="135"/>
    <x v="4"/>
    <x v="4"/>
    <x v="4"/>
    <x v="16"/>
    <x v="217"/>
    <x v="33"/>
    <x v="50"/>
    <x v="542"/>
    <x v="127"/>
    <x v="151"/>
    <x v="0"/>
  </r>
  <r>
    <x v="0"/>
    <x v="135"/>
    <x v="135"/>
    <x v="9"/>
    <x v="9"/>
    <x v="9"/>
    <x v="16"/>
    <x v="217"/>
    <x v="33"/>
    <x v="50"/>
    <x v="542"/>
    <x v="127"/>
    <x v="151"/>
    <x v="0"/>
  </r>
  <r>
    <x v="0"/>
    <x v="135"/>
    <x v="135"/>
    <x v="34"/>
    <x v="34"/>
    <x v="34"/>
    <x v="16"/>
    <x v="217"/>
    <x v="33"/>
    <x v="50"/>
    <x v="542"/>
    <x v="127"/>
    <x v="151"/>
    <x v="0"/>
  </r>
  <r>
    <x v="0"/>
    <x v="135"/>
    <x v="135"/>
    <x v="217"/>
    <x v="214"/>
    <x v="217"/>
    <x v="16"/>
    <x v="217"/>
    <x v="33"/>
    <x v="65"/>
    <x v="65"/>
    <x v="123"/>
    <x v="86"/>
    <x v="0"/>
  </r>
  <r>
    <x v="0"/>
    <x v="135"/>
    <x v="135"/>
    <x v="204"/>
    <x v="201"/>
    <x v="204"/>
    <x v="16"/>
    <x v="217"/>
    <x v="33"/>
    <x v="65"/>
    <x v="65"/>
    <x v="123"/>
    <x v="86"/>
    <x v="0"/>
  </r>
  <r>
    <x v="0"/>
    <x v="135"/>
    <x v="135"/>
    <x v="123"/>
    <x v="123"/>
    <x v="123"/>
    <x v="16"/>
    <x v="217"/>
    <x v="33"/>
    <x v="65"/>
    <x v="65"/>
    <x v="123"/>
    <x v="86"/>
    <x v="0"/>
  </r>
  <r>
    <x v="0"/>
    <x v="135"/>
    <x v="135"/>
    <x v="23"/>
    <x v="23"/>
    <x v="23"/>
    <x v="16"/>
    <x v="217"/>
    <x v="33"/>
    <x v="50"/>
    <x v="542"/>
    <x v="127"/>
    <x v="151"/>
    <x v="0"/>
  </r>
  <r>
    <x v="0"/>
    <x v="135"/>
    <x v="135"/>
    <x v="109"/>
    <x v="109"/>
    <x v="109"/>
    <x v="16"/>
    <x v="217"/>
    <x v="33"/>
    <x v="65"/>
    <x v="65"/>
    <x v="123"/>
    <x v="86"/>
    <x v="0"/>
  </r>
  <r>
    <x v="0"/>
    <x v="135"/>
    <x v="135"/>
    <x v="83"/>
    <x v="83"/>
    <x v="83"/>
    <x v="16"/>
    <x v="217"/>
    <x v="33"/>
    <x v="50"/>
    <x v="542"/>
    <x v="127"/>
    <x v="151"/>
    <x v="0"/>
  </r>
  <r>
    <x v="0"/>
    <x v="135"/>
    <x v="135"/>
    <x v="26"/>
    <x v="26"/>
    <x v="26"/>
    <x v="16"/>
    <x v="217"/>
    <x v="33"/>
    <x v="65"/>
    <x v="65"/>
    <x v="123"/>
    <x v="86"/>
    <x v="0"/>
  </r>
  <r>
    <x v="0"/>
    <x v="136"/>
    <x v="136"/>
    <x v="1"/>
    <x v="1"/>
    <x v="1"/>
    <x v="0"/>
    <x v="193"/>
    <x v="316"/>
    <x v="61"/>
    <x v="657"/>
    <x v="123"/>
    <x v="252"/>
    <x v="0"/>
  </r>
  <r>
    <x v="0"/>
    <x v="136"/>
    <x v="136"/>
    <x v="10"/>
    <x v="10"/>
    <x v="10"/>
    <x v="1"/>
    <x v="197"/>
    <x v="491"/>
    <x v="70"/>
    <x v="658"/>
    <x v="108"/>
    <x v="429"/>
    <x v="0"/>
  </r>
  <r>
    <x v="0"/>
    <x v="136"/>
    <x v="136"/>
    <x v="4"/>
    <x v="4"/>
    <x v="4"/>
    <x v="2"/>
    <x v="198"/>
    <x v="228"/>
    <x v="51"/>
    <x v="659"/>
    <x v="127"/>
    <x v="151"/>
    <x v="0"/>
  </r>
  <r>
    <x v="0"/>
    <x v="136"/>
    <x v="136"/>
    <x v="5"/>
    <x v="5"/>
    <x v="5"/>
    <x v="2"/>
    <x v="198"/>
    <x v="228"/>
    <x v="51"/>
    <x v="659"/>
    <x v="127"/>
    <x v="151"/>
    <x v="0"/>
  </r>
  <r>
    <x v="0"/>
    <x v="136"/>
    <x v="136"/>
    <x v="12"/>
    <x v="12"/>
    <x v="12"/>
    <x v="4"/>
    <x v="199"/>
    <x v="419"/>
    <x v="62"/>
    <x v="263"/>
    <x v="127"/>
    <x v="151"/>
    <x v="0"/>
  </r>
  <r>
    <x v="0"/>
    <x v="136"/>
    <x v="136"/>
    <x v="8"/>
    <x v="8"/>
    <x v="8"/>
    <x v="4"/>
    <x v="199"/>
    <x v="419"/>
    <x v="62"/>
    <x v="263"/>
    <x v="127"/>
    <x v="151"/>
    <x v="0"/>
  </r>
  <r>
    <x v="0"/>
    <x v="136"/>
    <x v="136"/>
    <x v="6"/>
    <x v="6"/>
    <x v="6"/>
    <x v="4"/>
    <x v="199"/>
    <x v="419"/>
    <x v="62"/>
    <x v="263"/>
    <x v="127"/>
    <x v="151"/>
    <x v="0"/>
  </r>
  <r>
    <x v="0"/>
    <x v="136"/>
    <x v="136"/>
    <x v="89"/>
    <x v="89"/>
    <x v="89"/>
    <x v="7"/>
    <x v="200"/>
    <x v="104"/>
    <x v="65"/>
    <x v="65"/>
    <x v="108"/>
    <x v="429"/>
    <x v="0"/>
  </r>
  <r>
    <x v="0"/>
    <x v="136"/>
    <x v="136"/>
    <x v="36"/>
    <x v="36"/>
    <x v="36"/>
    <x v="7"/>
    <x v="200"/>
    <x v="104"/>
    <x v="65"/>
    <x v="65"/>
    <x v="108"/>
    <x v="429"/>
    <x v="0"/>
  </r>
  <r>
    <x v="0"/>
    <x v="136"/>
    <x v="136"/>
    <x v="28"/>
    <x v="28"/>
    <x v="28"/>
    <x v="7"/>
    <x v="200"/>
    <x v="104"/>
    <x v="56"/>
    <x v="549"/>
    <x v="123"/>
    <x v="252"/>
    <x v="0"/>
  </r>
  <r>
    <x v="0"/>
    <x v="136"/>
    <x v="136"/>
    <x v="113"/>
    <x v="113"/>
    <x v="113"/>
    <x v="7"/>
    <x v="200"/>
    <x v="104"/>
    <x v="56"/>
    <x v="549"/>
    <x v="123"/>
    <x v="252"/>
    <x v="0"/>
  </r>
  <r>
    <x v="0"/>
    <x v="136"/>
    <x v="136"/>
    <x v="84"/>
    <x v="84"/>
    <x v="84"/>
    <x v="7"/>
    <x v="200"/>
    <x v="104"/>
    <x v="50"/>
    <x v="218"/>
    <x v="93"/>
    <x v="369"/>
    <x v="0"/>
  </r>
  <r>
    <x v="0"/>
    <x v="136"/>
    <x v="136"/>
    <x v="49"/>
    <x v="49"/>
    <x v="49"/>
    <x v="7"/>
    <x v="200"/>
    <x v="104"/>
    <x v="70"/>
    <x v="658"/>
    <x v="127"/>
    <x v="151"/>
    <x v="0"/>
  </r>
  <r>
    <x v="0"/>
    <x v="136"/>
    <x v="136"/>
    <x v="0"/>
    <x v="0"/>
    <x v="0"/>
    <x v="7"/>
    <x v="200"/>
    <x v="104"/>
    <x v="70"/>
    <x v="658"/>
    <x v="127"/>
    <x v="151"/>
    <x v="0"/>
  </r>
  <r>
    <x v="0"/>
    <x v="136"/>
    <x v="136"/>
    <x v="2"/>
    <x v="2"/>
    <x v="2"/>
    <x v="7"/>
    <x v="200"/>
    <x v="104"/>
    <x v="70"/>
    <x v="658"/>
    <x v="127"/>
    <x v="151"/>
    <x v="0"/>
  </r>
  <r>
    <x v="0"/>
    <x v="136"/>
    <x v="136"/>
    <x v="9"/>
    <x v="9"/>
    <x v="9"/>
    <x v="7"/>
    <x v="200"/>
    <x v="104"/>
    <x v="50"/>
    <x v="218"/>
    <x v="93"/>
    <x v="369"/>
    <x v="0"/>
  </r>
  <r>
    <x v="0"/>
    <x v="136"/>
    <x v="136"/>
    <x v="3"/>
    <x v="3"/>
    <x v="3"/>
    <x v="7"/>
    <x v="200"/>
    <x v="104"/>
    <x v="70"/>
    <x v="658"/>
    <x v="127"/>
    <x v="151"/>
    <x v="0"/>
  </r>
  <r>
    <x v="0"/>
    <x v="136"/>
    <x v="136"/>
    <x v="29"/>
    <x v="29"/>
    <x v="29"/>
    <x v="7"/>
    <x v="200"/>
    <x v="104"/>
    <x v="70"/>
    <x v="658"/>
    <x v="127"/>
    <x v="151"/>
    <x v="0"/>
  </r>
  <r>
    <x v="0"/>
    <x v="136"/>
    <x v="136"/>
    <x v="13"/>
    <x v="13"/>
    <x v="13"/>
    <x v="17"/>
    <x v="216"/>
    <x v="77"/>
    <x v="50"/>
    <x v="218"/>
    <x v="123"/>
    <x v="252"/>
    <x v="0"/>
  </r>
  <r>
    <x v="0"/>
    <x v="136"/>
    <x v="136"/>
    <x v="63"/>
    <x v="63"/>
    <x v="63"/>
    <x v="17"/>
    <x v="216"/>
    <x v="77"/>
    <x v="50"/>
    <x v="218"/>
    <x v="123"/>
    <x v="252"/>
    <x v="0"/>
  </r>
  <r>
    <x v="0"/>
    <x v="136"/>
    <x v="136"/>
    <x v="111"/>
    <x v="111"/>
    <x v="111"/>
    <x v="17"/>
    <x v="216"/>
    <x v="77"/>
    <x v="50"/>
    <x v="218"/>
    <x v="123"/>
    <x v="252"/>
    <x v="0"/>
  </r>
  <r>
    <x v="0"/>
    <x v="136"/>
    <x v="136"/>
    <x v="44"/>
    <x v="44"/>
    <x v="44"/>
    <x v="17"/>
    <x v="216"/>
    <x v="77"/>
    <x v="56"/>
    <x v="549"/>
    <x v="127"/>
    <x v="151"/>
    <x v="0"/>
  </r>
  <r>
    <x v="0"/>
    <x v="136"/>
    <x v="136"/>
    <x v="11"/>
    <x v="11"/>
    <x v="11"/>
    <x v="17"/>
    <x v="216"/>
    <x v="77"/>
    <x v="56"/>
    <x v="549"/>
    <x v="127"/>
    <x v="151"/>
    <x v="0"/>
  </r>
  <r>
    <x v="0"/>
    <x v="136"/>
    <x v="136"/>
    <x v="47"/>
    <x v="47"/>
    <x v="47"/>
    <x v="17"/>
    <x v="216"/>
    <x v="77"/>
    <x v="65"/>
    <x v="65"/>
    <x v="93"/>
    <x v="369"/>
    <x v="0"/>
  </r>
  <r>
    <x v="0"/>
    <x v="136"/>
    <x v="136"/>
    <x v="18"/>
    <x v="18"/>
    <x v="18"/>
    <x v="17"/>
    <x v="216"/>
    <x v="77"/>
    <x v="56"/>
    <x v="549"/>
    <x v="127"/>
    <x v="151"/>
    <x v="0"/>
  </r>
  <r>
    <x v="0"/>
    <x v="136"/>
    <x v="136"/>
    <x v="7"/>
    <x v="7"/>
    <x v="7"/>
    <x v="17"/>
    <x v="216"/>
    <x v="77"/>
    <x v="56"/>
    <x v="549"/>
    <x v="127"/>
    <x v="151"/>
    <x v="0"/>
  </r>
  <r>
    <x v="0"/>
    <x v="136"/>
    <x v="136"/>
    <x v="218"/>
    <x v="215"/>
    <x v="218"/>
    <x v="17"/>
    <x v="216"/>
    <x v="77"/>
    <x v="56"/>
    <x v="549"/>
    <x v="127"/>
    <x v="151"/>
    <x v="0"/>
  </r>
  <r>
    <x v="0"/>
    <x v="136"/>
    <x v="136"/>
    <x v="51"/>
    <x v="51"/>
    <x v="51"/>
    <x v="17"/>
    <x v="216"/>
    <x v="77"/>
    <x v="50"/>
    <x v="218"/>
    <x v="123"/>
    <x v="252"/>
    <x v="0"/>
  </r>
  <r>
    <x v="0"/>
    <x v="136"/>
    <x v="136"/>
    <x v="53"/>
    <x v="53"/>
    <x v="53"/>
    <x v="17"/>
    <x v="216"/>
    <x v="77"/>
    <x v="65"/>
    <x v="65"/>
    <x v="127"/>
    <x v="151"/>
    <x v="0"/>
  </r>
  <r>
    <x v="0"/>
    <x v="136"/>
    <x v="136"/>
    <x v="83"/>
    <x v="83"/>
    <x v="83"/>
    <x v="17"/>
    <x v="216"/>
    <x v="77"/>
    <x v="56"/>
    <x v="549"/>
    <x v="127"/>
    <x v="151"/>
    <x v="0"/>
  </r>
  <r>
    <x v="0"/>
    <x v="136"/>
    <x v="136"/>
    <x v="104"/>
    <x v="104"/>
    <x v="104"/>
    <x v="17"/>
    <x v="216"/>
    <x v="77"/>
    <x v="56"/>
    <x v="549"/>
    <x v="127"/>
    <x v="151"/>
    <x v="0"/>
  </r>
  <r>
    <x v="0"/>
    <x v="136"/>
    <x v="136"/>
    <x v="26"/>
    <x v="26"/>
    <x v="26"/>
    <x v="17"/>
    <x v="216"/>
    <x v="77"/>
    <x v="65"/>
    <x v="65"/>
    <x v="123"/>
    <x v="252"/>
    <x v="0"/>
  </r>
  <r>
    <x v="0"/>
    <x v="137"/>
    <x v="137"/>
    <x v="3"/>
    <x v="3"/>
    <x v="3"/>
    <x v="0"/>
    <x v="197"/>
    <x v="270"/>
    <x v="39"/>
    <x v="660"/>
    <x v="127"/>
    <x v="151"/>
    <x v="0"/>
  </r>
  <r>
    <x v="0"/>
    <x v="137"/>
    <x v="137"/>
    <x v="1"/>
    <x v="1"/>
    <x v="1"/>
    <x v="0"/>
    <x v="197"/>
    <x v="270"/>
    <x v="39"/>
    <x v="660"/>
    <x v="127"/>
    <x v="151"/>
    <x v="0"/>
  </r>
  <r>
    <x v="0"/>
    <x v="137"/>
    <x v="137"/>
    <x v="14"/>
    <x v="14"/>
    <x v="14"/>
    <x v="2"/>
    <x v="200"/>
    <x v="21"/>
    <x v="50"/>
    <x v="554"/>
    <x v="93"/>
    <x v="430"/>
    <x v="0"/>
  </r>
  <r>
    <x v="0"/>
    <x v="137"/>
    <x v="137"/>
    <x v="42"/>
    <x v="42"/>
    <x v="42"/>
    <x v="2"/>
    <x v="200"/>
    <x v="21"/>
    <x v="65"/>
    <x v="65"/>
    <x v="108"/>
    <x v="431"/>
    <x v="0"/>
  </r>
  <r>
    <x v="0"/>
    <x v="137"/>
    <x v="137"/>
    <x v="7"/>
    <x v="7"/>
    <x v="7"/>
    <x v="2"/>
    <x v="200"/>
    <x v="21"/>
    <x v="56"/>
    <x v="555"/>
    <x v="123"/>
    <x v="28"/>
    <x v="0"/>
  </r>
  <r>
    <x v="0"/>
    <x v="137"/>
    <x v="137"/>
    <x v="4"/>
    <x v="4"/>
    <x v="4"/>
    <x v="2"/>
    <x v="200"/>
    <x v="21"/>
    <x v="70"/>
    <x v="556"/>
    <x v="127"/>
    <x v="151"/>
    <x v="0"/>
  </r>
  <r>
    <x v="0"/>
    <x v="137"/>
    <x v="137"/>
    <x v="2"/>
    <x v="2"/>
    <x v="2"/>
    <x v="2"/>
    <x v="200"/>
    <x v="21"/>
    <x v="70"/>
    <x v="556"/>
    <x v="127"/>
    <x v="151"/>
    <x v="0"/>
  </r>
  <r>
    <x v="0"/>
    <x v="137"/>
    <x v="137"/>
    <x v="17"/>
    <x v="17"/>
    <x v="17"/>
    <x v="7"/>
    <x v="216"/>
    <x v="142"/>
    <x v="65"/>
    <x v="65"/>
    <x v="93"/>
    <x v="430"/>
    <x v="0"/>
  </r>
  <r>
    <x v="0"/>
    <x v="137"/>
    <x v="137"/>
    <x v="105"/>
    <x v="105"/>
    <x v="105"/>
    <x v="7"/>
    <x v="216"/>
    <x v="142"/>
    <x v="50"/>
    <x v="554"/>
    <x v="123"/>
    <x v="28"/>
    <x v="0"/>
  </r>
  <r>
    <x v="0"/>
    <x v="137"/>
    <x v="137"/>
    <x v="46"/>
    <x v="46"/>
    <x v="46"/>
    <x v="7"/>
    <x v="216"/>
    <x v="142"/>
    <x v="50"/>
    <x v="554"/>
    <x v="123"/>
    <x v="28"/>
    <x v="0"/>
  </r>
  <r>
    <x v="0"/>
    <x v="137"/>
    <x v="137"/>
    <x v="13"/>
    <x v="13"/>
    <x v="13"/>
    <x v="7"/>
    <x v="216"/>
    <x v="142"/>
    <x v="50"/>
    <x v="554"/>
    <x v="123"/>
    <x v="28"/>
    <x v="0"/>
  </r>
  <r>
    <x v="0"/>
    <x v="137"/>
    <x v="137"/>
    <x v="12"/>
    <x v="12"/>
    <x v="12"/>
    <x v="7"/>
    <x v="216"/>
    <x v="142"/>
    <x v="50"/>
    <x v="554"/>
    <x v="123"/>
    <x v="28"/>
    <x v="0"/>
  </r>
  <r>
    <x v="0"/>
    <x v="137"/>
    <x v="137"/>
    <x v="11"/>
    <x v="11"/>
    <x v="11"/>
    <x v="7"/>
    <x v="216"/>
    <x v="142"/>
    <x v="50"/>
    <x v="554"/>
    <x v="123"/>
    <x v="28"/>
    <x v="0"/>
  </r>
  <r>
    <x v="0"/>
    <x v="137"/>
    <x v="137"/>
    <x v="49"/>
    <x v="49"/>
    <x v="49"/>
    <x v="7"/>
    <x v="216"/>
    <x v="142"/>
    <x v="65"/>
    <x v="65"/>
    <x v="93"/>
    <x v="430"/>
    <x v="0"/>
  </r>
  <r>
    <x v="0"/>
    <x v="137"/>
    <x v="137"/>
    <x v="0"/>
    <x v="0"/>
    <x v="0"/>
    <x v="7"/>
    <x v="216"/>
    <x v="142"/>
    <x v="50"/>
    <x v="554"/>
    <x v="123"/>
    <x v="28"/>
    <x v="0"/>
  </r>
  <r>
    <x v="0"/>
    <x v="137"/>
    <x v="137"/>
    <x v="194"/>
    <x v="191"/>
    <x v="194"/>
    <x v="7"/>
    <x v="216"/>
    <x v="142"/>
    <x v="56"/>
    <x v="555"/>
    <x v="127"/>
    <x v="151"/>
    <x v="0"/>
  </r>
  <r>
    <x v="0"/>
    <x v="137"/>
    <x v="137"/>
    <x v="51"/>
    <x v="51"/>
    <x v="51"/>
    <x v="7"/>
    <x v="216"/>
    <x v="142"/>
    <x v="56"/>
    <x v="555"/>
    <x v="127"/>
    <x v="151"/>
    <x v="0"/>
  </r>
  <r>
    <x v="0"/>
    <x v="137"/>
    <x v="137"/>
    <x v="9"/>
    <x v="9"/>
    <x v="9"/>
    <x v="7"/>
    <x v="216"/>
    <x v="142"/>
    <x v="56"/>
    <x v="555"/>
    <x v="127"/>
    <x v="151"/>
    <x v="0"/>
  </r>
  <r>
    <x v="0"/>
    <x v="137"/>
    <x v="137"/>
    <x v="59"/>
    <x v="59"/>
    <x v="59"/>
    <x v="7"/>
    <x v="216"/>
    <x v="142"/>
    <x v="65"/>
    <x v="65"/>
    <x v="93"/>
    <x v="430"/>
    <x v="0"/>
  </r>
  <r>
    <x v="0"/>
    <x v="137"/>
    <x v="137"/>
    <x v="19"/>
    <x v="19"/>
    <x v="19"/>
    <x v="7"/>
    <x v="216"/>
    <x v="142"/>
    <x v="65"/>
    <x v="65"/>
    <x v="93"/>
    <x v="430"/>
    <x v="0"/>
  </r>
  <r>
    <x v="0"/>
    <x v="138"/>
    <x v="138"/>
    <x v="173"/>
    <x v="171"/>
    <x v="173"/>
    <x v="0"/>
    <x v="140"/>
    <x v="492"/>
    <x v="111"/>
    <x v="661"/>
    <x v="127"/>
    <x v="151"/>
    <x v="0"/>
  </r>
  <r>
    <x v="0"/>
    <x v="138"/>
    <x v="138"/>
    <x v="1"/>
    <x v="1"/>
    <x v="1"/>
    <x v="1"/>
    <x v="198"/>
    <x v="38"/>
    <x v="51"/>
    <x v="460"/>
    <x v="127"/>
    <x v="151"/>
    <x v="0"/>
  </r>
  <r>
    <x v="0"/>
    <x v="138"/>
    <x v="138"/>
    <x v="26"/>
    <x v="26"/>
    <x v="26"/>
    <x v="1"/>
    <x v="198"/>
    <x v="38"/>
    <x v="62"/>
    <x v="389"/>
    <x v="123"/>
    <x v="142"/>
    <x v="0"/>
  </r>
  <r>
    <x v="0"/>
    <x v="138"/>
    <x v="138"/>
    <x v="114"/>
    <x v="114"/>
    <x v="114"/>
    <x v="3"/>
    <x v="199"/>
    <x v="432"/>
    <x v="56"/>
    <x v="462"/>
    <x v="93"/>
    <x v="343"/>
    <x v="0"/>
  </r>
  <r>
    <x v="0"/>
    <x v="138"/>
    <x v="138"/>
    <x v="7"/>
    <x v="7"/>
    <x v="7"/>
    <x v="3"/>
    <x v="199"/>
    <x v="432"/>
    <x v="62"/>
    <x v="389"/>
    <x v="127"/>
    <x v="151"/>
    <x v="0"/>
  </r>
  <r>
    <x v="0"/>
    <x v="138"/>
    <x v="138"/>
    <x v="3"/>
    <x v="3"/>
    <x v="3"/>
    <x v="3"/>
    <x v="199"/>
    <x v="432"/>
    <x v="62"/>
    <x v="389"/>
    <x v="127"/>
    <x v="151"/>
    <x v="0"/>
  </r>
  <r>
    <x v="0"/>
    <x v="138"/>
    <x v="138"/>
    <x v="52"/>
    <x v="52"/>
    <x v="52"/>
    <x v="3"/>
    <x v="199"/>
    <x v="432"/>
    <x v="65"/>
    <x v="65"/>
    <x v="127"/>
    <x v="151"/>
    <x v="0"/>
  </r>
  <r>
    <x v="0"/>
    <x v="138"/>
    <x v="138"/>
    <x v="6"/>
    <x v="6"/>
    <x v="6"/>
    <x v="3"/>
    <x v="199"/>
    <x v="432"/>
    <x v="62"/>
    <x v="389"/>
    <x v="127"/>
    <x v="151"/>
    <x v="0"/>
  </r>
  <r>
    <x v="0"/>
    <x v="138"/>
    <x v="138"/>
    <x v="28"/>
    <x v="28"/>
    <x v="28"/>
    <x v="8"/>
    <x v="200"/>
    <x v="443"/>
    <x v="56"/>
    <x v="462"/>
    <x v="123"/>
    <x v="142"/>
    <x v="0"/>
  </r>
  <r>
    <x v="0"/>
    <x v="138"/>
    <x v="138"/>
    <x v="42"/>
    <x v="42"/>
    <x v="42"/>
    <x v="8"/>
    <x v="200"/>
    <x v="443"/>
    <x v="50"/>
    <x v="461"/>
    <x v="93"/>
    <x v="343"/>
    <x v="0"/>
  </r>
  <r>
    <x v="0"/>
    <x v="138"/>
    <x v="138"/>
    <x v="96"/>
    <x v="96"/>
    <x v="96"/>
    <x v="10"/>
    <x v="216"/>
    <x v="7"/>
    <x v="65"/>
    <x v="65"/>
    <x v="93"/>
    <x v="343"/>
    <x v="0"/>
  </r>
  <r>
    <x v="0"/>
    <x v="138"/>
    <x v="138"/>
    <x v="75"/>
    <x v="75"/>
    <x v="75"/>
    <x v="10"/>
    <x v="216"/>
    <x v="7"/>
    <x v="65"/>
    <x v="65"/>
    <x v="127"/>
    <x v="151"/>
    <x v="0"/>
  </r>
  <r>
    <x v="0"/>
    <x v="138"/>
    <x v="138"/>
    <x v="21"/>
    <x v="21"/>
    <x v="21"/>
    <x v="10"/>
    <x v="216"/>
    <x v="7"/>
    <x v="65"/>
    <x v="65"/>
    <x v="93"/>
    <x v="343"/>
    <x v="0"/>
  </r>
  <r>
    <x v="0"/>
    <x v="138"/>
    <x v="138"/>
    <x v="68"/>
    <x v="68"/>
    <x v="68"/>
    <x v="10"/>
    <x v="216"/>
    <x v="7"/>
    <x v="56"/>
    <x v="462"/>
    <x v="127"/>
    <x v="151"/>
    <x v="0"/>
  </r>
  <r>
    <x v="0"/>
    <x v="138"/>
    <x v="138"/>
    <x v="47"/>
    <x v="47"/>
    <x v="47"/>
    <x v="10"/>
    <x v="216"/>
    <x v="7"/>
    <x v="65"/>
    <x v="65"/>
    <x v="93"/>
    <x v="343"/>
    <x v="0"/>
  </r>
  <r>
    <x v="0"/>
    <x v="138"/>
    <x v="138"/>
    <x v="0"/>
    <x v="0"/>
    <x v="0"/>
    <x v="10"/>
    <x v="216"/>
    <x v="7"/>
    <x v="56"/>
    <x v="462"/>
    <x v="127"/>
    <x v="151"/>
    <x v="0"/>
  </r>
  <r>
    <x v="0"/>
    <x v="138"/>
    <x v="138"/>
    <x v="43"/>
    <x v="43"/>
    <x v="43"/>
    <x v="10"/>
    <x v="216"/>
    <x v="7"/>
    <x v="65"/>
    <x v="65"/>
    <x v="123"/>
    <x v="142"/>
    <x v="0"/>
  </r>
  <r>
    <x v="0"/>
    <x v="138"/>
    <x v="138"/>
    <x v="19"/>
    <x v="19"/>
    <x v="19"/>
    <x v="10"/>
    <x v="216"/>
    <x v="7"/>
    <x v="50"/>
    <x v="461"/>
    <x v="123"/>
    <x v="142"/>
    <x v="0"/>
  </r>
  <r>
    <x v="0"/>
    <x v="138"/>
    <x v="138"/>
    <x v="155"/>
    <x v="154"/>
    <x v="155"/>
    <x v="17"/>
    <x v="217"/>
    <x v="493"/>
    <x v="65"/>
    <x v="65"/>
    <x v="123"/>
    <x v="142"/>
    <x v="0"/>
  </r>
  <r>
    <x v="0"/>
    <x v="138"/>
    <x v="138"/>
    <x v="87"/>
    <x v="87"/>
    <x v="87"/>
    <x v="17"/>
    <x v="217"/>
    <x v="493"/>
    <x v="50"/>
    <x v="461"/>
    <x v="127"/>
    <x v="151"/>
    <x v="0"/>
  </r>
  <r>
    <x v="0"/>
    <x v="138"/>
    <x v="138"/>
    <x v="105"/>
    <x v="105"/>
    <x v="105"/>
    <x v="17"/>
    <x v="217"/>
    <x v="493"/>
    <x v="50"/>
    <x v="461"/>
    <x v="127"/>
    <x v="151"/>
    <x v="0"/>
  </r>
  <r>
    <x v="0"/>
    <x v="138"/>
    <x v="138"/>
    <x v="56"/>
    <x v="56"/>
    <x v="56"/>
    <x v="17"/>
    <x v="217"/>
    <x v="493"/>
    <x v="50"/>
    <x v="461"/>
    <x v="127"/>
    <x v="151"/>
    <x v="0"/>
  </r>
  <r>
    <x v="0"/>
    <x v="138"/>
    <x v="138"/>
    <x v="46"/>
    <x v="46"/>
    <x v="46"/>
    <x v="17"/>
    <x v="217"/>
    <x v="493"/>
    <x v="50"/>
    <x v="461"/>
    <x v="127"/>
    <x v="151"/>
    <x v="0"/>
  </r>
  <r>
    <x v="0"/>
    <x v="138"/>
    <x v="138"/>
    <x v="13"/>
    <x v="13"/>
    <x v="13"/>
    <x v="17"/>
    <x v="217"/>
    <x v="493"/>
    <x v="65"/>
    <x v="65"/>
    <x v="123"/>
    <x v="142"/>
    <x v="0"/>
  </r>
  <r>
    <x v="0"/>
    <x v="138"/>
    <x v="138"/>
    <x v="14"/>
    <x v="14"/>
    <x v="14"/>
    <x v="17"/>
    <x v="217"/>
    <x v="493"/>
    <x v="65"/>
    <x v="65"/>
    <x v="123"/>
    <x v="142"/>
    <x v="0"/>
  </r>
  <r>
    <x v="0"/>
    <x v="138"/>
    <x v="138"/>
    <x v="54"/>
    <x v="54"/>
    <x v="54"/>
    <x v="17"/>
    <x v="217"/>
    <x v="493"/>
    <x v="50"/>
    <x v="461"/>
    <x v="127"/>
    <x v="151"/>
    <x v="0"/>
  </r>
  <r>
    <x v="0"/>
    <x v="138"/>
    <x v="138"/>
    <x v="89"/>
    <x v="89"/>
    <x v="89"/>
    <x v="17"/>
    <x v="217"/>
    <x v="493"/>
    <x v="65"/>
    <x v="65"/>
    <x v="123"/>
    <x v="142"/>
    <x v="0"/>
  </r>
  <r>
    <x v="0"/>
    <x v="138"/>
    <x v="138"/>
    <x v="73"/>
    <x v="73"/>
    <x v="73"/>
    <x v="17"/>
    <x v="217"/>
    <x v="493"/>
    <x v="50"/>
    <x v="461"/>
    <x v="127"/>
    <x v="151"/>
    <x v="0"/>
  </r>
  <r>
    <x v="0"/>
    <x v="138"/>
    <x v="138"/>
    <x v="111"/>
    <x v="111"/>
    <x v="111"/>
    <x v="17"/>
    <x v="217"/>
    <x v="493"/>
    <x v="65"/>
    <x v="65"/>
    <x v="123"/>
    <x v="142"/>
    <x v="0"/>
  </r>
  <r>
    <x v="0"/>
    <x v="138"/>
    <x v="138"/>
    <x v="219"/>
    <x v="216"/>
    <x v="219"/>
    <x v="17"/>
    <x v="217"/>
    <x v="493"/>
    <x v="65"/>
    <x v="65"/>
    <x v="123"/>
    <x v="142"/>
    <x v="0"/>
  </r>
  <r>
    <x v="0"/>
    <x v="138"/>
    <x v="138"/>
    <x v="86"/>
    <x v="86"/>
    <x v="86"/>
    <x v="17"/>
    <x v="217"/>
    <x v="493"/>
    <x v="65"/>
    <x v="65"/>
    <x v="123"/>
    <x v="142"/>
    <x v="0"/>
  </r>
  <r>
    <x v="0"/>
    <x v="138"/>
    <x v="138"/>
    <x v="128"/>
    <x v="128"/>
    <x v="128"/>
    <x v="17"/>
    <x v="217"/>
    <x v="493"/>
    <x v="50"/>
    <x v="461"/>
    <x v="127"/>
    <x v="151"/>
    <x v="0"/>
  </r>
  <r>
    <x v="0"/>
    <x v="138"/>
    <x v="138"/>
    <x v="220"/>
    <x v="217"/>
    <x v="220"/>
    <x v="17"/>
    <x v="217"/>
    <x v="493"/>
    <x v="65"/>
    <x v="65"/>
    <x v="123"/>
    <x v="142"/>
    <x v="0"/>
  </r>
  <r>
    <x v="0"/>
    <x v="138"/>
    <x v="138"/>
    <x v="178"/>
    <x v="176"/>
    <x v="178"/>
    <x v="17"/>
    <x v="217"/>
    <x v="493"/>
    <x v="65"/>
    <x v="65"/>
    <x v="123"/>
    <x v="142"/>
    <x v="0"/>
  </r>
  <r>
    <x v="0"/>
    <x v="138"/>
    <x v="138"/>
    <x v="158"/>
    <x v="157"/>
    <x v="158"/>
    <x v="17"/>
    <x v="217"/>
    <x v="493"/>
    <x v="50"/>
    <x v="461"/>
    <x v="127"/>
    <x v="151"/>
    <x v="0"/>
  </r>
  <r>
    <x v="0"/>
    <x v="138"/>
    <x v="138"/>
    <x v="112"/>
    <x v="112"/>
    <x v="112"/>
    <x v="17"/>
    <x v="217"/>
    <x v="493"/>
    <x v="50"/>
    <x v="461"/>
    <x v="127"/>
    <x v="151"/>
    <x v="0"/>
  </r>
  <r>
    <x v="0"/>
    <x v="138"/>
    <x v="138"/>
    <x v="94"/>
    <x v="94"/>
    <x v="94"/>
    <x v="17"/>
    <x v="217"/>
    <x v="493"/>
    <x v="65"/>
    <x v="65"/>
    <x v="123"/>
    <x v="142"/>
    <x v="0"/>
  </r>
  <r>
    <x v="0"/>
    <x v="138"/>
    <x v="138"/>
    <x v="41"/>
    <x v="41"/>
    <x v="41"/>
    <x v="17"/>
    <x v="217"/>
    <x v="493"/>
    <x v="50"/>
    <x v="461"/>
    <x v="127"/>
    <x v="151"/>
    <x v="0"/>
  </r>
  <r>
    <x v="0"/>
    <x v="138"/>
    <x v="138"/>
    <x v="18"/>
    <x v="18"/>
    <x v="18"/>
    <x v="17"/>
    <x v="217"/>
    <x v="493"/>
    <x v="65"/>
    <x v="65"/>
    <x v="123"/>
    <x v="142"/>
    <x v="0"/>
  </r>
  <r>
    <x v="0"/>
    <x v="138"/>
    <x v="138"/>
    <x v="49"/>
    <x v="49"/>
    <x v="49"/>
    <x v="17"/>
    <x v="217"/>
    <x v="493"/>
    <x v="50"/>
    <x v="461"/>
    <x v="127"/>
    <x v="151"/>
    <x v="0"/>
  </r>
  <r>
    <x v="0"/>
    <x v="138"/>
    <x v="138"/>
    <x v="161"/>
    <x v="159"/>
    <x v="161"/>
    <x v="17"/>
    <x v="217"/>
    <x v="493"/>
    <x v="50"/>
    <x v="461"/>
    <x v="127"/>
    <x v="151"/>
    <x v="0"/>
  </r>
  <r>
    <x v="0"/>
    <x v="138"/>
    <x v="138"/>
    <x v="125"/>
    <x v="125"/>
    <x v="125"/>
    <x v="17"/>
    <x v="217"/>
    <x v="493"/>
    <x v="50"/>
    <x v="461"/>
    <x v="127"/>
    <x v="151"/>
    <x v="0"/>
  </r>
  <r>
    <x v="0"/>
    <x v="138"/>
    <x v="138"/>
    <x v="121"/>
    <x v="121"/>
    <x v="121"/>
    <x v="17"/>
    <x v="217"/>
    <x v="493"/>
    <x v="50"/>
    <x v="461"/>
    <x v="127"/>
    <x v="151"/>
    <x v="0"/>
  </r>
  <r>
    <x v="0"/>
    <x v="138"/>
    <x v="138"/>
    <x v="45"/>
    <x v="45"/>
    <x v="45"/>
    <x v="17"/>
    <x v="217"/>
    <x v="493"/>
    <x v="50"/>
    <x v="461"/>
    <x v="127"/>
    <x v="151"/>
    <x v="0"/>
  </r>
  <r>
    <x v="0"/>
    <x v="138"/>
    <x v="138"/>
    <x v="4"/>
    <x v="4"/>
    <x v="4"/>
    <x v="17"/>
    <x v="217"/>
    <x v="493"/>
    <x v="50"/>
    <x v="461"/>
    <x v="127"/>
    <x v="151"/>
    <x v="0"/>
  </r>
  <r>
    <x v="0"/>
    <x v="138"/>
    <x v="138"/>
    <x v="5"/>
    <x v="5"/>
    <x v="5"/>
    <x v="17"/>
    <x v="217"/>
    <x v="493"/>
    <x v="50"/>
    <x v="461"/>
    <x v="127"/>
    <x v="151"/>
    <x v="0"/>
  </r>
  <r>
    <x v="0"/>
    <x v="138"/>
    <x v="138"/>
    <x v="2"/>
    <x v="2"/>
    <x v="2"/>
    <x v="17"/>
    <x v="217"/>
    <x v="493"/>
    <x v="50"/>
    <x v="461"/>
    <x v="127"/>
    <x v="151"/>
    <x v="0"/>
  </r>
  <r>
    <x v="0"/>
    <x v="138"/>
    <x v="138"/>
    <x v="82"/>
    <x v="82"/>
    <x v="82"/>
    <x v="17"/>
    <x v="217"/>
    <x v="493"/>
    <x v="65"/>
    <x v="65"/>
    <x v="127"/>
    <x v="151"/>
    <x v="0"/>
  </r>
  <r>
    <x v="0"/>
    <x v="138"/>
    <x v="138"/>
    <x v="123"/>
    <x v="123"/>
    <x v="123"/>
    <x v="17"/>
    <x v="217"/>
    <x v="493"/>
    <x v="65"/>
    <x v="65"/>
    <x v="127"/>
    <x v="151"/>
    <x v="0"/>
  </r>
  <r>
    <x v="0"/>
    <x v="138"/>
    <x v="138"/>
    <x v="23"/>
    <x v="23"/>
    <x v="23"/>
    <x v="17"/>
    <x v="217"/>
    <x v="493"/>
    <x v="50"/>
    <x v="461"/>
    <x v="127"/>
    <x v="151"/>
    <x v="0"/>
  </r>
  <r>
    <x v="0"/>
    <x v="138"/>
    <x v="138"/>
    <x v="59"/>
    <x v="59"/>
    <x v="59"/>
    <x v="17"/>
    <x v="217"/>
    <x v="493"/>
    <x v="65"/>
    <x v="65"/>
    <x v="123"/>
    <x v="142"/>
    <x v="0"/>
  </r>
  <r>
    <x v="0"/>
    <x v="138"/>
    <x v="138"/>
    <x v="71"/>
    <x v="71"/>
    <x v="71"/>
    <x v="17"/>
    <x v="217"/>
    <x v="493"/>
    <x v="65"/>
    <x v="65"/>
    <x v="123"/>
    <x v="142"/>
    <x v="0"/>
  </r>
  <r>
    <x v="0"/>
    <x v="138"/>
    <x v="138"/>
    <x v="83"/>
    <x v="83"/>
    <x v="83"/>
    <x v="17"/>
    <x v="217"/>
    <x v="493"/>
    <x v="50"/>
    <x v="461"/>
    <x v="127"/>
    <x v="151"/>
    <x v="0"/>
  </r>
  <r>
    <x v="0"/>
    <x v="139"/>
    <x v="139"/>
    <x v="1"/>
    <x v="1"/>
    <x v="1"/>
    <x v="0"/>
    <x v="196"/>
    <x v="494"/>
    <x v="95"/>
    <x v="613"/>
    <x v="127"/>
    <x v="151"/>
    <x v="0"/>
  </r>
  <r>
    <x v="0"/>
    <x v="139"/>
    <x v="139"/>
    <x v="49"/>
    <x v="49"/>
    <x v="49"/>
    <x v="1"/>
    <x v="197"/>
    <x v="79"/>
    <x v="39"/>
    <x v="42"/>
    <x v="127"/>
    <x v="151"/>
    <x v="0"/>
  </r>
  <r>
    <x v="0"/>
    <x v="139"/>
    <x v="139"/>
    <x v="0"/>
    <x v="0"/>
    <x v="0"/>
    <x v="1"/>
    <x v="197"/>
    <x v="79"/>
    <x v="39"/>
    <x v="42"/>
    <x v="127"/>
    <x v="151"/>
    <x v="0"/>
  </r>
  <r>
    <x v="0"/>
    <x v="139"/>
    <x v="139"/>
    <x v="51"/>
    <x v="51"/>
    <x v="51"/>
    <x v="3"/>
    <x v="198"/>
    <x v="280"/>
    <x v="56"/>
    <x v="542"/>
    <x v="108"/>
    <x v="432"/>
    <x v="0"/>
  </r>
  <r>
    <x v="0"/>
    <x v="139"/>
    <x v="139"/>
    <x v="3"/>
    <x v="3"/>
    <x v="3"/>
    <x v="3"/>
    <x v="198"/>
    <x v="280"/>
    <x v="51"/>
    <x v="614"/>
    <x v="127"/>
    <x v="151"/>
    <x v="0"/>
  </r>
  <r>
    <x v="0"/>
    <x v="139"/>
    <x v="139"/>
    <x v="53"/>
    <x v="53"/>
    <x v="53"/>
    <x v="3"/>
    <x v="198"/>
    <x v="280"/>
    <x v="65"/>
    <x v="65"/>
    <x v="123"/>
    <x v="168"/>
    <x v="0"/>
  </r>
  <r>
    <x v="0"/>
    <x v="139"/>
    <x v="139"/>
    <x v="41"/>
    <x v="41"/>
    <x v="41"/>
    <x v="6"/>
    <x v="199"/>
    <x v="56"/>
    <x v="70"/>
    <x v="615"/>
    <x v="123"/>
    <x v="168"/>
    <x v="0"/>
  </r>
  <r>
    <x v="0"/>
    <x v="139"/>
    <x v="139"/>
    <x v="42"/>
    <x v="42"/>
    <x v="42"/>
    <x v="6"/>
    <x v="199"/>
    <x v="56"/>
    <x v="50"/>
    <x v="616"/>
    <x v="108"/>
    <x v="432"/>
    <x v="0"/>
  </r>
  <r>
    <x v="0"/>
    <x v="139"/>
    <x v="139"/>
    <x v="19"/>
    <x v="19"/>
    <x v="19"/>
    <x v="6"/>
    <x v="199"/>
    <x v="56"/>
    <x v="70"/>
    <x v="615"/>
    <x v="123"/>
    <x v="168"/>
    <x v="0"/>
  </r>
  <r>
    <x v="0"/>
    <x v="139"/>
    <x v="139"/>
    <x v="46"/>
    <x v="46"/>
    <x v="46"/>
    <x v="9"/>
    <x v="200"/>
    <x v="351"/>
    <x v="70"/>
    <x v="615"/>
    <x v="127"/>
    <x v="151"/>
    <x v="0"/>
  </r>
  <r>
    <x v="0"/>
    <x v="139"/>
    <x v="139"/>
    <x v="14"/>
    <x v="14"/>
    <x v="14"/>
    <x v="9"/>
    <x v="200"/>
    <x v="351"/>
    <x v="56"/>
    <x v="542"/>
    <x v="123"/>
    <x v="168"/>
    <x v="0"/>
  </r>
  <r>
    <x v="0"/>
    <x v="139"/>
    <x v="139"/>
    <x v="28"/>
    <x v="28"/>
    <x v="28"/>
    <x v="9"/>
    <x v="200"/>
    <x v="351"/>
    <x v="70"/>
    <x v="615"/>
    <x v="127"/>
    <x v="151"/>
    <x v="0"/>
  </r>
  <r>
    <x v="0"/>
    <x v="139"/>
    <x v="139"/>
    <x v="12"/>
    <x v="12"/>
    <x v="12"/>
    <x v="9"/>
    <x v="200"/>
    <x v="351"/>
    <x v="56"/>
    <x v="542"/>
    <x v="123"/>
    <x v="168"/>
    <x v="0"/>
  </r>
  <r>
    <x v="0"/>
    <x v="139"/>
    <x v="139"/>
    <x v="84"/>
    <x v="84"/>
    <x v="84"/>
    <x v="9"/>
    <x v="200"/>
    <x v="351"/>
    <x v="50"/>
    <x v="616"/>
    <x v="93"/>
    <x v="433"/>
    <x v="0"/>
  </r>
  <r>
    <x v="0"/>
    <x v="139"/>
    <x v="139"/>
    <x v="2"/>
    <x v="2"/>
    <x v="2"/>
    <x v="9"/>
    <x v="200"/>
    <x v="351"/>
    <x v="70"/>
    <x v="615"/>
    <x v="127"/>
    <x v="151"/>
    <x v="0"/>
  </r>
  <r>
    <x v="0"/>
    <x v="139"/>
    <x v="139"/>
    <x v="37"/>
    <x v="37"/>
    <x v="37"/>
    <x v="9"/>
    <x v="200"/>
    <x v="351"/>
    <x v="65"/>
    <x v="65"/>
    <x v="108"/>
    <x v="432"/>
    <x v="0"/>
  </r>
  <r>
    <x v="0"/>
    <x v="139"/>
    <x v="139"/>
    <x v="10"/>
    <x v="10"/>
    <x v="10"/>
    <x v="15"/>
    <x v="216"/>
    <x v="51"/>
    <x v="65"/>
    <x v="65"/>
    <x v="93"/>
    <x v="433"/>
    <x v="0"/>
  </r>
  <r>
    <x v="0"/>
    <x v="139"/>
    <x v="139"/>
    <x v="17"/>
    <x v="17"/>
    <x v="17"/>
    <x v="15"/>
    <x v="216"/>
    <x v="51"/>
    <x v="65"/>
    <x v="65"/>
    <x v="93"/>
    <x v="433"/>
    <x v="0"/>
  </r>
  <r>
    <x v="0"/>
    <x v="139"/>
    <x v="139"/>
    <x v="32"/>
    <x v="32"/>
    <x v="32"/>
    <x v="15"/>
    <x v="216"/>
    <x v="51"/>
    <x v="65"/>
    <x v="65"/>
    <x v="93"/>
    <x v="433"/>
    <x v="0"/>
  </r>
  <r>
    <x v="0"/>
    <x v="139"/>
    <x v="139"/>
    <x v="13"/>
    <x v="13"/>
    <x v="13"/>
    <x v="15"/>
    <x v="216"/>
    <x v="51"/>
    <x v="50"/>
    <x v="616"/>
    <x v="123"/>
    <x v="168"/>
    <x v="0"/>
  </r>
  <r>
    <x v="0"/>
    <x v="139"/>
    <x v="139"/>
    <x v="127"/>
    <x v="127"/>
    <x v="127"/>
    <x v="15"/>
    <x v="216"/>
    <x v="51"/>
    <x v="65"/>
    <x v="65"/>
    <x v="93"/>
    <x v="433"/>
    <x v="0"/>
  </r>
  <r>
    <x v="0"/>
    <x v="139"/>
    <x v="139"/>
    <x v="54"/>
    <x v="54"/>
    <x v="54"/>
    <x v="15"/>
    <x v="216"/>
    <x v="51"/>
    <x v="65"/>
    <x v="65"/>
    <x v="93"/>
    <x v="433"/>
    <x v="0"/>
  </r>
  <r>
    <x v="0"/>
    <x v="139"/>
    <x v="139"/>
    <x v="36"/>
    <x v="36"/>
    <x v="36"/>
    <x v="15"/>
    <x v="216"/>
    <x v="51"/>
    <x v="65"/>
    <x v="65"/>
    <x v="93"/>
    <x v="433"/>
    <x v="0"/>
  </r>
  <r>
    <x v="0"/>
    <x v="139"/>
    <x v="139"/>
    <x v="44"/>
    <x v="44"/>
    <x v="44"/>
    <x v="15"/>
    <x v="216"/>
    <x v="51"/>
    <x v="56"/>
    <x v="542"/>
    <x v="127"/>
    <x v="151"/>
    <x v="0"/>
  </r>
  <r>
    <x v="0"/>
    <x v="139"/>
    <x v="139"/>
    <x v="18"/>
    <x v="18"/>
    <x v="18"/>
    <x v="15"/>
    <x v="216"/>
    <x v="51"/>
    <x v="56"/>
    <x v="542"/>
    <x v="127"/>
    <x v="151"/>
    <x v="0"/>
  </r>
  <r>
    <x v="0"/>
    <x v="139"/>
    <x v="139"/>
    <x v="7"/>
    <x v="7"/>
    <x v="7"/>
    <x v="15"/>
    <x v="216"/>
    <x v="51"/>
    <x v="50"/>
    <x v="616"/>
    <x v="123"/>
    <x v="168"/>
    <x v="0"/>
  </r>
  <r>
    <x v="0"/>
    <x v="139"/>
    <x v="139"/>
    <x v="125"/>
    <x v="125"/>
    <x v="125"/>
    <x v="15"/>
    <x v="216"/>
    <x v="51"/>
    <x v="50"/>
    <x v="616"/>
    <x v="123"/>
    <x v="168"/>
    <x v="0"/>
  </r>
  <r>
    <x v="0"/>
    <x v="139"/>
    <x v="139"/>
    <x v="45"/>
    <x v="45"/>
    <x v="45"/>
    <x v="15"/>
    <x v="216"/>
    <x v="51"/>
    <x v="56"/>
    <x v="542"/>
    <x v="127"/>
    <x v="151"/>
    <x v="0"/>
  </r>
  <r>
    <x v="0"/>
    <x v="139"/>
    <x v="139"/>
    <x v="5"/>
    <x v="5"/>
    <x v="5"/>
    <x v="15"/>
    <x v="216"/>
    <x v="51"/>
    <x v="56"/>
    <x v="542"/>
    <x v="127"/>
    <x v="151"/>
    <x v="0"/>
  </r>
  <r>
    <x v="0"/>
    <x v="139"/>
    <x v="139"/>
    <x v="52"/>
    <x v="52"/>
    <x v="52"/>
    <x v="15"/>
    <x v="216"/>
    <x v="51"/>
    <x v="65"/>
    <x v="65"/>
    <x v="127"/>
    <x v="151"/>
    <x v="0"/>
  </r>
  <r>
    <x v="0"/>
    <x v="139"/>
    <x v="139"/>
    <x v="23"/>
    <x v="23"/>
    <x v="23"/>
    <x v="15"/>
    <x v="216"/>
    <x v="51"/>
    <x v="50"/>
    <x v="616"/>
    <x v="123"/>
    <x v="168"/>
    <x v="0"/>
  </r>
  <r>
    <x v="0"/>
    <x v="139"/>
    <x v="139"/>
    <x v="6"/>
    <x v="6"/>
    <x v="6"/>
    <x v="15"/>
    <x v="216"/>
    <x v="51"/>
    <x v="56"/>
    <x v="542"/>
    <x v="127"/>
    <x v="151"/>
    <x v="0"/>
  </r>
  <r>
    <x v="0"/>
    <x v="139"/>
    <x v="139"/>
    <x v="43"/>
    <x v="43"/>
    <x v="43"/>
    <x v="15"/>
    <x v="216"/>
    <x v="51"/>
    <x v="65"/>
    <x v="65"/>
    <x v="123"/>
    <x v="168"/>
    <x v="0"/>
  </r>
  <r>
    <x v="0"/>
    <x v="139"/>
    <x v="139"/>
    <x v="83"/>
    <x v="83"/>
    <x v="83"/>
    <x v="15"/>
    <x v="216"/>
    <x v="51"/>
    <x v="56"/>
    <x v="542"/>
    <x v="127"/>
    <x v="151"/>
    <x v="0"/>
  </r>
  <r>
    <x v="0"/>
    <x v="139"/>
    <x v="139"/>
    <x v="104"/>
    <x v="104"/>
    <x v="104"/>
    <x v="15"/>
    <x v="216"/>
    <x v="51"/>
    <x v="50"/>
    <x v="616"/>
    <x v="123"/>
    <x v="168"/>
    <x v="0"/>
  </r>
  <r>
    <x v="0"/>
    <x v="140"/>
    <x v="140"/>
    <x v="1"/>
    <x v="1"/>
    <x v="1"/>
    <x v="0"/>
    <x v="117"/>
    <x v="445"/>
    <x v="118"/>
    <x v="662"/>
    <x v="123"/>
    <x v="114"/>
    <x v="0"/>
  </r>
  <r>
    <x v="0"/>
    <x v="140"/>
    <x v="140"/>
    <x v="3"/>
    <x v="3"/>
    <x v="3"/>
    <x v="1"/>
    <x v="203"/>
    <x v="495"/>
    <x v="67"/>
    <x v="367"/>
    <x v="127"/>
    <x v="151"/>
    <x v="0"/>
  </r>
  <r>
    <x v="0"/>
    <x v="140"/>
    <x v="140"/>
    <x v="2"/>
    <x v="2"/>
    <x v="2"/>
    <x v="2"/>
    <x v="141"/>
    <x v="255"/>
    <x v="109"/>
    <x v="663"/>
    <x v="127"/>
    <x v="151"/>
    <x v="0"/>
  </r>
  <r>
    <x v="0"/>
    <x v="140"/>
    <x v="140"/>
    <x v="7"/>
    <x v="7"/>
    <x v="7"/>
    <x v="3"/>
    <x v="205"/>
    <x v="394"/>
    <x v="95"/>
    <x v="664"/>
    <x v="109"/>
    <x v="37"/>
    <x v="0"/>
  </r>
  <r>
    <x v="0"/>
    <x v="140"/>
    <x v="140"/>
    <x v="6"/>
    <x v="6"/>
    <x v="6"/>
    <x v="4"/>
    <x v="193"/>
    <x v="320"/>
    <x v="61"/>
    <x v="665"/>
    <x v="123"/>
    <x v="114"/>
    <x v="0"/>
  </r>
  <r>
    <x v="0"/>
    <x v="140"/>
    <x v="140"/>
    <x v="0"/>
    <x v="0"/>
    <x v="0"/>
    <x v="5"/>
    <x v="194"/>
    <x v="113"/>
    <x v="89"/>
    <x v="164"/>
    <x v="123"/>
    <x v="114"/>
    <x v="0"/>
  </r>
  <r>
    <x v="0"/>
    <x v="140"/>
    <x v="140"/>
    <x v="5"/>
    <x v="5"/>
    <x v="5"/>
    <x v="5"/>
    <x v="194"/>
    <x v="113"/>
    <x v="61"/>
    <x v="665"/>
    <x v="127"/>
    <x v="151"/>
    <x v="0"/>
  </r>
  <r>
    <x v="0"/>
    <x v="140"/>
    <x v="140"/>
    <x v="34"/>
    <x v="34"/>
    <x v="34"/>
    <x v="7"/>
    <x v="207"/>
    <x v="80"/>
    <x v="62"/>
    <x v="666"/>
    <x v="98"/>
    <x v="434"/>
    <x v="0"/>
  </r>
  <r>
    <x v="0"/>
    <x v="140"/>
    <x v="140"/>
    <x v="10"/>
    <x v="10"/>
    <x v="10"/>
    <x v="8"/>
    <x v="208"/>
    <x v="203"/>
    <x v="65"/>
    <x v="65"/>
    <x v="106"/>
    <x v="355"/>
    <x v="0"/>
  </r>
  <r>
    <x v="0"/>
    <x v="140"/>
    <x v="140"/>
    <x v="4"/>
    <x v="4"/>
    <x v="4"/>
    <x v="8"/>
    <x v="208"/>
    <x v="203"/>
    <x v="100"/>
    <x v="353"/>
    <x v="123"/>
    <x v="114"/>
    <x v="6"/>
  </r>
  <r>
    <x v="0"/>
    <x v="140"/>
    <x v="140"/>
    <x v="14"/>
    <x v="14"/>
    <x v="14"/>
    <x v="10"/>
    <x v="195"/>
    <x v="189"/>
    <x v="51"/>
    <x v="494"/>
    <x v="110"/>
    <x v="150"/>
    <x v="0"/>
  </r>
  <r>
    <x v="0"/>
    <x v="140"/>
    <x v="140"/>
    <x v="11"/>
    <x v="11"/>
    <x v="11"/>
    <x v="10"/>
    <x v="195"/>
    <x v="189"/>
    <x v="39"/>
    <x v="667"/>
    <x v="108"/>
    <x v="285"/>
    <x v="0"/>
  </r>
  <r>
    <x v="0"/>
    <x v="140"/>
    <x v="140"/>
    <x v="45"/>
    <x v="45"/>
    <x v="45"/>
    <x v="12"/>
    <x v="210"/>
    <x v="107"/>
    <x v="39"/>
    <x v="667"/>
    <x v="93"/>
    <x v="19"/>
    <x v="0"/>
  </r>
  <r>
    <x v="0"/>
    <x v="140"/>
    <x v="140"/>
    <x v="23"/>
    <x v="23"/>
    <x v="23"/>
    <x v="12"/>
    <x v="210"/>
    <x v="107"/>
    <x v="95"/>
    <x v="664"/>
    <x v="123"/>
    <x v="114"/>
    <x v="0"/>
  </r>
  <r>
    <x v="0"/>
    <x v="140"/>
    <x v="140"/>
    <x v="19"/>
    <x v="19"/>
    <x v="19"/>
    <x v="12"/>
    <x v="210"/>
    <x v="107"/>
    <x v="51"/>
    <x v="494"/>
    <x v="108"/>
    <x v="285"/>
    <x v="0"/>
  </r>
  <r>
    <x v="0"/>
    <x v="140"/>
    <x v="140"/>
    <x v="17"/>
    <x v="17"/>
    <x v="17"/>
    <x v="14"/>
    <x v="196"/>
    <x v="86"/>
    <x v="56"/>
    <x v="412"/>
    <x v="119"/>
    <x v="435"/>
    <x v="0"/>
  </r>
  <r>
    <x v="0"/>
    <x v="140"/>
    <x v="140"/>
    <x v="46"/>
    <x v="46"/>
    <x v="46"/>
    <x v="14"/>
    <x v="196"/>
    <x v="86"/>
    <x v="51"/>
    <x v="494"/>
    <x v="93"/>
    <x v="19"/>
    <x v="0"/>
  </r>
  <r>
    <x v="0"/>
    <x v="140"/>
    <x v="140"/>
    <x v="42"/>
    <x v="42"/>
    <x v="42"/>
    <x v="14"/>
    <x v="196"/>
    <x v="86"/>
    <x v="65"/>
    <x v="65"/>
    <x v="98"/>
    <x v="434"/>
    <x v="0"/>
  </r>
  <r>
    <x v="0"/>
    <x v="140"/>
    <x v="140"/>
    <x v="8"/>
    <x v="8"/>
    <x v="8"/>
    <x v="14"/>
    <x v="196"/>
    <x v="86"/>
    <x v="51"/>
    <x v="494"/>
    <x v="93"/>
    <x v="19"/>
    <x v="0"/>
  </r>
  <r>
    <x v="0"/>
    <x v="140"/>
    <x v="140"/>
    <x v="13"/>
    <x v="13"/>
    <x v="13"/>
    <x v="18"/>
    <x v="197"/>
    <x v="12"/>
    <x v="50"/>
    <x v="88"/>
    <x v="119"/>
    <x v="435"/>
    <x v="0"/>
  </r>
  <r>
    <x v="0"/>
    <x v="140"/>
    <x v="140"/>
    <x v="18"/>
    <x v="18"/>
    <x v="18"/>
    <x v="18"/>
    <x v="197"/>
    <x v="12"/>
    <x v="50"/>
    <x v="88"/>
    <x v="119"/>
    <x v="435"/>
    <x v="0"/>
  </r>
  <r>
    <x v="0"/>
    <x v="140"/>
    <x v="140"/>
    <x v="15"/>
    <x v="15"/>
    <x v="15"/>
    <x v="18"/>
    <x v="197"/>
    <x v="12"/>
    <x v="56"/>
    <x v="412"/>
    <x v="110"/>
    <x v="150"/>
    <x v="0"/>
  </r>
  <r>
    <x v="0"/>
    <x v="140"/>
    <x v="140"/>
    <x v="51"/>
    <x v="51"/>
    <x v="51"/>
    <x v="18"/>
    <x v="197"/>
    <x v="12"/>
    <x v="62"/>
    <x v="666"/>
    <x v="93"/>
    <x v="19"/>
    <x v="0"/>
  </r>
  <r>
    <x v="0"/>
    <x v="141"/>
    <x v="141"/>
    <x v="1"/>
    <x v="1"/>
    <x v="1"/>
    <x v="0"/>
    <x v="193"/>
    <x v="496"/>
    <x v="38"/>
    <x v="43"/>
    <x v="127"/>
    <x v="151"/>
    <x v="0"/>
  </r>
  <r>
    <x v="0"/>
    <x v="141"/>
    <x v="141"/>
    <x v="3"/>
    <x v="3"/>
    <x v="3"/>
    <x v="1"/>
    <x v="208"/>
    <x v="305"/>
    <x v="77"/>
    <x v="668"/>
    <x v="127"/>
    <x v="151"/>
    <x v="0"/>
  </r>
  <r>
    <x v="0"/>
    <x v="141"/>
    <x v="141"/>
    <x v="42"/>
    <x v="42"/>
    <x v="42"/>
    <x v="2"/>
    <x v="195"/>
    <x v="3"/>
    <x v="50"/>
    <x v="297"/>
    <x v="109"/>
    <x v="291"/>
    <x v="0"/>
  </r>
  <r>
    <x v="0"/>
    <x v="141"/>
    <x v="141"/>
    <x v="6"/>
    <x v="6"/>
    <x v="6"/>
    <x v="3"/>
    <x v="210"/>
    <x v="497"/>
    <x v="100"/>
    <x v="669"/>
    <x v="127"/>
    <x v="151"/>
    <x v="0"/>
  </r>
  <r>
    <x v="0"/>
    <x v="141"/>
    <x v="141"/>
    <x v="12"/>
    <x v="12"/>
    <x v="12"/>
    <x v="4"/>
    <x v="197"/>
    <x v="141"/>
    <x v="50"/>
    <x v="297"/>
    <x v="119"/>
    <x v="292"/>
    <x v="0"/>
  </r>
  <r>
    <x v="0"/>
    <x v="141"/>
    <x v="141"/>
    <x v="7"/>
    <x v="7"/>
    <x v="7"/>
    <x v="4"/>
    <x v="197"/>
    <x v="141"/>
    <x v="39"/>
    <x v="263"/>
    <x v="127"/>
    <x v="151"/>
    <x v="0"/>
  </r>
  <r>
    <x v="0"/>
    <x v="141"/>
    <x v="141"/>
    <x v="45"/>
    <x v="45"/>
    <x v="45"/>
    <x v="4"/>
    <x v="197"/>
    <x v="141"/>
    <x v="39"/>
    <x v="263"/>
    <x v="127"/>
    <x v="151"/>
    <x v="0"/>
  </r>
  <r>
    <x v="0"/>
    <x v="141"/>
    <x v="141"/>
    <x v="40"/>
    <x v="40"/>
    <x v="40"/>
    <x v="7"/>
    <x v="198"/>
    <x v="27"/>
    <x v="56"/>
    <x v="670"/>
    <x v="108"/>
    <x v="147"/>
    <x v="0"/>
  </r>
  <r>
    <x v="0"/>
    <x v="141"/>
    <x v="141"/>
    <x v="4"/>
    <x v="4"/>
    <x v="4"/>
    <x v="7"/>
    <x v="198"/>
    <x v="27"/>
    <x v="62"/>
    <x v="300"/>
    <x v="123"/>
    <x v="232"/>
    <x v="0"/>
  </r>
  <r>
    <x v="0"/>
    <x v="141"/>
    <x v="141"/>
    <x v="37"/>
    <x v="37"/>
    <x v="37"/>
    <x v="7"/>
    <x v="198"/>
    <x v="27"/>
    <x v="56"/>
    <x v="670"/>
    <x v="93"/>
    <x v="160"/>
    <x v="0"/>
  </r>
  <r>
    <x v="0"/>
    <x v="141"/>
    <x v="141"/>
    <x v="10"/>
    <x v="10"/>
    <x v="10"/>
    <x v="10"/>
    <x v="199"/>
    <x v="86"/>
    <x v="50"/>
    <x v="297"/>
    <x v="108"/>
    <x v="147"/>
    <x v="0"/>
  </r>
  <r>
    <x v="0"/>
    <x v="141"/>
    <x v="141"/>
    <x v="13"/>
    <x v="13"/>
    <x v="13"/>
    <x v="10"/>
    <x v="199"/>
    <x v="86"/>
    <x v="50"/>
    <x v="297"/>
    <x v="108"/>
    <x v="147"/>
    <x v="0"/>
  </r>
  <r>
    <x v="0"/>
    <x v="141"/>
    <x v="141"/>
    <x v="111"/>
    <x v="111"/>
    <x v="111"/>
    <x v="10"/>
    <x v="199"/>
    <x v="86"/>
    <x v="56"/>
    <x v="670"/>
    <x v="93"/>
    <x v="160"/>
    <x v="0"/>
  </r>
  <r>
    <x v="0"/>
    <x v="141"/>
    <x v="141"/>
    <x v="112"/>
    <x v="112"/>
    <x v="112"/>
    <x v="10"/>
    <x v="199"/>
    <x v="86"/>
    <x v="56"/>
    <x v="670"/>
    <x v="93"/>
    <x v="160"/>
    <x v="0"/>
  </r>
  <r>
    <x v="0"/>
    <x v="141"/>
    <x v="141"/>
    <x v="28"/>
    <x v="28"/>
    <x v="28"/>
    <x v="10"/>
    <x v="199"/>
    <x v="86"/>
    <x v="70"/>
    <x v="549"/>
    <x v="123"/>
    <x v="232"/>
    <x v="0"/>
  </r>
  <r>
    <x v="0"/>
    <x v="141"/>
    <x v="141"/>
    <x v="41"/>
    <x v="41"/>
    <x v="41"/>
    <x v="10"/>
    <x v="199"/>
    <x v="86"/>
    <x v="62"/>
    <x v="300"/>
    <x v="127"/>
    <x v="151"/>
    <x v="0"/>
  </r>
  <r>
    <x v="0"/>
    <x v="141"/>
    <x v="141"/>
    <x v="20"/>
    <x v="20"/>
    <x v="20"/>
    <x v="10"/>
    <x v="199"/>
    <x v="86"/>
    <x v="70"/>
    <x v="549"/>
    <x v="123"/>
    <x v="232"/>
    <x v="0"/>
  </r>
  <r>
    <x v="0"/>
    <x v="141"/>
    <x v="141"/>
    <x v="51"/>
    <x v="51"/>
    <x v="51"/>
    <x v="10"/>
    <x v="199"/>
    <x v="86"/>
    <x v="56"/>
    <x v="670"/>
    <x v="93"/>
    <x v="160"/>
    <x v="0"/>
  </r>
  <r>
    <x v="0"/>
    <x v="141"/>
    <x v="141"/>
    <x v="5"/>
    <x v="5"/>
    <x v="5"/>
    <x v="10"/>
    <x v="199"/>
    <x v="86"/>
    <x v="70"/>
    <x v="549"/>
    <x v="123"/>
    <x v="232"/>
    <x v="0"/>
  </r>
  <r>
    <x v="0"/>
    <x v="141"/>
    <x v="141"/>
    <x v="82"/>
    <x v="82"/>
    <x v="82"/>
    <x v="10"/>
    <x v="199"/>
    <x v="86"/>
    <x v="65"/>
    <x v="65"/>
    <x v="110"/>
    <x v="243"/>
    <x v="0"/>
  </r>
  <r>
    <x v="0"/>
    <x v="142"/>
    <x v="142"/>
    <x v="1"/>
    <x v="1"/>
    <x v="1"/>
    <x v="0"/>
    <x v="198"/>
    <x v="498"/>
    <x v="51"/>
    <x v="347"/>
    <x v="127"/>
    <x v="151"/>
    <x v="0"/>
  </r>
  <r>
    <x v="0"/>
    <x v="142"/>
    <x v="142"/>
    <x v="28"/>
    <x v="28"/>
    <x v="28"/>
    <x v="1"/>
    <x v="199"/>
    <x v="246"/>
    <x v="70"/>
    <x v="350"/>
    <x v="123"/>
    <x v="433"/>
    <x v="0"/>
  </r>
  <r>
    <x v="0"/>
    <x v="142"/>
    <x v="142"/>
    <x v="47"/>
    <x v="47"/>
    <x v="47"/>
    <x v="1"/>
    <x v="199"/>
    <x v="246"/>
    <x v="70"/>
    <x v="350"/>
    <x v="123"/>
    <x v="433"/>
    <x v="0"/>
  </r>
  <r>
    <x v="0"/>
    <x v="142"/>
    <x v="142"/>
    <x v="52"/>
    <x v="52"/>
    <x v="52"/>
    <x v="1"/>
    <x v="199"/>
    <x v="246"/>
    <x v="50"/>
    <x v="352"/>
    <x v="127"/>
    <x v="151"/>
    <x v="0"/>
  </r>
  <r>
    <x v="0"/>
    <x v="142"/>
    <x v="142"/>
    <x v="17"/>
    <x v="17"/>
    <x v="17"/>
    <x v="4"/>
    <x v="200"/>
    <x v="208"/>
    <x v="65"/>
    <x v="65"/>
    <x v="108"/>
    <x v="436"/>
    <x v="0"/>
  </r>
  <r>
    <x v="0"/>
    <x v="142"/>
    <x v="142"/>
    <x v="51"/>
    <x v="51"/>
    <x v="51"/>
    <x v="4"/>
    <x v="200"/>
    <x v="208"/>
    <x v="56"/>
    <x v="671"/>
    <x v="123"/>
    <x v="433"/>
    <x v="0"/>
  </r>
  <r>
    <x v="0"/>
    <x v="142"/>
    <x v="142"/>
    <x v="4"/>
    <x v="4"/>
    <x v="4"/>
    <x v="4"/>
    <x v="200"/>
    <x v="208"/>
    <x v="70"/>
    <x v="350"/>
    <x v="127"/>
    <x v="151"/>
    <x v="0"/>
  </r>
  <r>
    <x v="0"/>
    <x v="142"/>
    <x v="142"/>
    <x v="64"/>
    <x v="64"/>
    <x v="64"/>
    <x v="4"/>
    <x v="200"/>
    <x v="208"/>
    <x v="50"/>
    <x v="352"/>
    <x v="127"/>
    <x v="151"/>
    <x v="0"/>
  </r>
  <r>
    <x v="0"/>
    <x v="142"/>
    <x v="142"/>
    <x v="56"/>
    <x v="56"/>
    <x v="56"/>
    <x v="8"/>
    <x v="216"/>
    <x v="357"/>
    <x v="56"/>
    <x v="671"/>
    <x v="127"/>
    <x v="151"/>
    <x v="0"/>
  </r>
  <r>
    <x v="0"/>
    <x v="142"/>
    <x v="142"/>
    <x v="96"/>
    <x v="96"/>
    <x v="96"/>
    <x v="8"/>
    <x v="216"/>
    <x v="357"/>
    <x v="65"/>
    <x v="65"/>
    <x v="93"/>
    <x v="437"/>
    <x v="0"/>
  </r>
  <r>
    <x v="0"/>
    <x v="142"/>
    <x v="142"/>
    <x v="111"/>
    <x v="111"/>
    <x v="111"/>
    <x v="8"/>
    <x v="216"/>
    <x v="357"/>
    <x v="50"/>
    <x v="352"/>
    <x v="123"/>
    <x v="433"/>
    <x v="0"/>
  </r>
  <r>
    <x v="0"/>
    <x v="142"/>
    <x v="142"/>
    <x v="68"/>
    <x v="68"/>
    <x v="68"/>
    <x v="8"/>
    <x v="216"/>
    <x v="357"/>
    <x v="65"/>
    <x v="65"/>
    <x v="93"/>
    <x v="437"/>
    <x v="0"/>
  </r>
  <r>
    <x v="0"/>
    <x v="142"/>
    <x v="142"/>
    <x v="12"/>
    <x v="12"/>
    <x v="12"/>
    <x v="8"/>
    <x v="216"/>
    <x v="357"/>
    <x v="50"/>
    <x v="352"/>
    <x v="123"/>
    <x v="433"/>
    <x v="0"/>
  </r>
  <r>
    <x v="0"/>
    <x v="142"/>
    <x v="142"/>
    <x v="49"/>
    <x v="49"/>
    <x v="49"/>
    <x v="8"/>
    <x v="216"/>
    <x v="357"/>
    <x v="50"/>
    <x v="352"/>
    <x v="123"/>
    <x v="433"/>
    <x v="0"/>
  </r>
  <r>
    <x v="0"/>
    <x v="142"/>
    <x v="142"/>
    <x v="0"/>
    <x v="0"/>
    <x v="0"/>
    <x v="8"/>
    <x v="216"/>
    <x v="357"/>
    <x v="50"/>
    <x v="352"/>
    <x v="127"/>
    <x v="151"/>
    <x v="0"/>
  </r>
  <r>
    <x v="0"/>
    <x v="142"/>
    <x v="142"/>
    <x v="2"/>
    <x v="2"/>
    <x v="2"/>
    <x v="8"/>
    <x v="216"/>
    <x v="357"/>
    <x v="50"/>
    <x v="352"/>
    <x v="123"/>
    <x v="433"/>
    <x v="0"/>
  </r>
  <r>
    <x v="0"/>
    <x v="142"/>
    <x v="142"/>
    <x v="34"/>
    <x v="34"/>
    <x v="34"/>
    <x v="8"/>
    <x v="216"/>
    <x v="357"/>
    <x v="56"/>
    <x v="671"/>
    <x v="127"/>
    <x v="151"/>
    <x v="0"/>
  </r>
  <r>
    <x v="0"/>
    <x v="142"/>
    <x v="142"/>
    <x v="3"/>
    <x v="3"/>
    <x v="3"/>
    <x v="8"/>
    <x v="216"/>
    <x v="357"/>
    <x v="56"/>
    <x v="671"/>
    <x v="127"/>
    <x v="151"/>
    <x v="0"/>
  </r>
  <r>
    <x v="0"/>
    <x v="142"/>
    <x v="142"/>
    <x v="103"/>
    <x v="103"/>
    <x v="103"/>
    <x v="8"/>
    <x v="216"/>
    <x v="357"/>
    <x v="65"/>
    <x v="65"/>
    <x v="93"/>
    <x v="437"/>
    <x v="0"/>
  </r>
  <r>
    <x v="0"/>
    <x v="142"/>
    <x v="142"/>
    <x v="43"/>
    <x v="43"/>
    <x v="43"/>
    <x v="8"/>
    <x v="216"/>
    <x v="357"/>
    <x v="65"/>
    <x v="65"/>
    <x v="127"/>
    <x v="151"/>
    <x v="0"/>
  </r>
  <r>
    <x v="0"/>
    <x v="143"/>
    <x v="143"/>
    <x v="3"/>
    <x v="3"/>
    <x v="3"/>
    <x v="0"/>
    <x v="198"/>
    <x v="135"/>
    <x v="51"/>
    <x v="397"/>
    <x v="127"/>
    <x v="151"/>
    <x v="0"/>
  </r>
  <r>
    <x v="0"/>
    <x v="143"/>
    <x v="143"/>
    <x v="1"/>
    <x v="1"/>
    <x v="1"/>
    <x v="0"/>
    <x v="198"/>
    <x v="135"/>
    <x v="51"/>
    <x v="397"/>
    <x v="127"/>
    <x v="151"/>
    <x v="0"/>
  </r>
  <r>
    <x v="0"/>
    <x v="143"/>
    <x v="143"/>
    <x v="89"/>
    <x v="89"/>
    <x v="89"/>
    <x v="2"/>
    <x v="199"/>
    <x v="465"/>
    <x v="65"/>
    <x v="65"/>
    <x v="110"/>
    <x v="378"/>
    <x v="0"/>
  </r>
  <r>
    <x v="0"/>
    <x v="143"/>
    <x v="143"/>
    <x v="4"/>
    <x v="4"/>
    <x v="4"/>
    <x v="2"/>
    <x v="199"/>
    <x v="465"/>
    <x v="70"/>
    <x v="522"/>
    <x v="123"/>
    <x v="320"/>
    <x v="0"/>
  </r>
  <r>
    <x v="0"/>
    <x v="143"/>
    <x v="143"/>
    <x v="8"/>
    <x v="8"/>
    <x v="8"/>
    <x v="2"/>
    <x v="199"/>
    <x v="465"/>
    <x v="62"/>
    <x v="652"/>
    <x v="127"/>
    <x v="151"/>
    <x v="0"/>
  </r>
  <r>
    <x v="0"/>
    <x v="143"/>
    <x v="143"/>
    <x v="127"/>
    <x v="127"/>
    <x v="127"/>
    <x v="5"/>
    <x v="200"/>
    <x v="497"/>
    <x v="65"/>
    <x v="65"/>
    <x v="108"/>
    <x v="321"/>
    <x v="0"/>
  </r>
  <r>
    <x v="0"/>
    <x v="143"/>
    <x v="143"/>
    <x v="36"/>
    <x v="36"/>
    <x v="36"/>
    <x v="5"/>
    <x v="200"/>
    <x v="497"/>
    <x v="65"/>
    <x v="65"/>
    <x v="108"/>
    <x v="321"/>
    <x v="0"/>
  </r>
  <r>
    <x v="0"/>
    <x v="143"/>
    <x v="143"/>
    <x v="28"/>
    <x v="28"/>
    <x v="28"/>
    <x v="5"/>
    <x v="200"/>
    <x v="497"/>
    <x v="70"/>
    <x v="522"/>
    <x v="127"/>
    <x v="151"/>
    <x v="0"/>
  </r>
  <r>
    <x v="0"/>
    <x v="143"/>
    <x v="143"/>
    <x v="2"/>
    <x v="2"/>
    <x v="2"/>
    <x v="5"/>
    <x v="200"/>
    <x v="497"/>
    <x v="70"/>
    <x v="522"/>
    <x v="127"/>
    <x v="151"/>
    <x v="0"/>
  </r>
  <r>
    <x v="0"/>
    <x v="143"/>
    <x v="143"/>
    <x v="10"/>
    <x v="10"/>
    <x v="10"/>
    <x v="9"/>
    <x v="216"/>
    <x v="116"/>
    <x v="65"/>
    <x v="65"/>
    <x v="93"/>
    <x v="319"/>
    <x v="0"/>
  </r>
  <r>
    <x v="0"/>
    <x v="143"/>
    <x v="143"/>
    <x v="17"/>
    <x v="17"/>
    <x v="17"/>
    <x v="9"/>
    <x v="216"/>
    <x v="116"/>
    <x v="65"/>
    <x v="65"/>
    <x v="93"/>
    <x v="319"/>
    <x v="0"/>
  </r>
  <r>
    <x v="0"/>
    <x v="143"/>
    <x v="143"/>
    <x v="70"/>
    <x v="70"/>
    <x v="70"/>
    <x v="9"/>
    <x v="216"/>
    <x v="116"/>
    <x v="56"/>
    <x v="521"/>
    <x v="127"/>
    <x v="151"/>
    <x v="0"/>
  </r>
  <r>
    <x v="0"/>
    <x v="143"/>
    <x v="143"/>
    <x v="69"/>
    <x v="69"/>
    <x v="69"/>
    <x v="9"/>
    <x v="216"/>
    <x v="116"/>
    <x v="65"/>
    <x v="65"/>
    <x v="93"/>
    <x v="319"/>
    <x v="0"/>
  </r>
  <r>
    <x v="0"/>
    <x v="143"/>
    <x v="143"/>
    <x v="41"/>
    <x v="41"/>
    <x v="41"/>
    <x v="9"/>
    <x v="216"/>
    <x v="116"/>
    <x v="50"/>
    <x v="437"/>
    <x v="127"/>
    <x v="151"/>
    <x v="6"/>
  </r>
  <r>
    <x v="0"/>
    <x v="143"/>
    <x v="143"/>
    <x v="42"/>
    <x v="42"/>
    <x v="42"/>
    <x v="9"/>
    <x v="216"/>
    <x v="116"/>
    <x v="50"/>
    <x v="437"/>
    <x v="123"/>
    <x v="320"/>
    <x v="0"/>
  </r>
  <r>
    <x v="0"/>
    <x v="143"/>
    <x v="143"/>
    <x v="7"/>
    <x v="7"/>
    <x v="7"/>
    <x v="9"/>
    <x v="216"/>
    <x v="116"/>
    <x v="50"/>
    <x v="437"/>
    <x v="123"/>
    <x v="320"/>
    <x v="0"/>
  </r>
  <r>
    <x v="0"/>
    <x v="143"/>
    <x v="143"/>
    <x v="55"/>
    <x v="55"/>
    <x v="55"/>
    <x v="9"/>
    <x v="216"/>
    <x v="116"/>
    <x v="50"/>
    <x v="437"/>
    <x v="123"/>
    <x v="320"/>
    <x v="0"/>
  </r>
  <r>
    <x v="0"/>
    <x v="143"/>
    <x v="143"/>
    <x v="51"/>
    <x v="51"/>
    <x v="51"/>
    <x v="9"/>
    <x v="216"/>
    <x v="116"/>
    <x v="56"/>
    <x v="521"/>
    <x v="127"/>
    <x v="151"/>
    <x v="0"/>
  </r>
  <r>
    <x v="0"/>
    <x v="143"/>
    <x v="143"/>
    <x v="45"/>
    <x v="45"/>
    <x v="45"/>
    <x v="9"/>
    <x v="216"/>
    <x v="116"/>
    <x v="56"/>
    <x v="521"/>
    <x v="127"/>
    <x v="151"/>
    <x v="0"/>
  </r>
  <r>
    <x v="0"/>
    <x v="143"/>
    <x v="143"/>
    <x v="72"/>
    <x v="72"/>
    <x v="72"/>
    <x v="9"/>
    <x v="216"/>
    <x v="116"/>
    <x v="65"/>
    <x v="65"/>
    <x v="127"/>
    <x v="151"/>
    <x v="0"/>
  </r>
  <r>
    <x v="0"/>
    <x v="143"/>
    <x v="143"/>
    <x v="83"/>
    <x v="83"/>
    <x v="83"/>
    <x v="9"/>
    <x v="216"/>
    <x v="116"/>
    <x v="50"/>
    <x v="437"/>
    <x v="123"/>
    <x v="320"/>
    <x v="0"/>
  </r>
  <r>
    <x v="0"/>
    <x v="144"/>
    <x v="144"/>
    <x v="37"/>
    <x v="37"/>
    <x v="37"/>
    <x v="0"/>
    <x v="200"/>
    <x v="384"/>
    <x v="65"/>
    <x v="65"/>
    <x v="108"/>
    <x v="438"/>
    <x v="0"/>
  </r>
  <r>
    <x v="0"/>
    <x v="144"/>
    <x v="144"/>
    <x v="82"/>
    <x v="82"/>
    <x v="82"/>
    <x v="0"/>
    <x v="200"/>
    <x v="384"/>
    <x v="65"/>
    <x v="65"/>
    <x v="127"/>
    <x v="151"/>
    <x v="0"/>
  </r>
  <r>
    <x v="0"/>
    <x v="144"/>
    <x v="144"/>
    <x v="171"/>
    <x v="169"/>
    <x v="171"/>
    <x v="0"/>
    <x v="200"/>
    <x v="384"/>
    <x v="65"/>
    <x v="65"/>
    <x v="127"/>
    <x v="151"/>
    <x v="0"/>
  </r>
  <r>
    <x v="0"/>
    <x v="144"/>
    <x v="144"/>
    <x v="12"/>
    <x v="12"/>
    <x v="12"/>
    <x v="3"/>
    <x v="216"/>
    <x v="409"/>
    <x v="56"/>
    <x v="397"/>
    <x v="127"/>
    <x v="151"/>
    <x v="0"/>
  </r>
  <r>
    <x v="0"/>
    <x v="144"/>
    <x v="144"/>
    <x v="42"/>
    <x v="42"/>
    <x v="42"/>
    <x v="3"/>
    <x v="216"/>
    <x v="409"/>
    <x v="56"/>
    <x v="397"/>
    <x v="127"/>
    <x v="151"/>
    <x v="0"/>
  </r>
  <r>
    <x v="0"/>
    <x v="144"/>
    <x v="144"/>
    <x v="9"/>
    <x v="9"/>
    <x v="9"/>
    <x v="3"/>
    <x v="216"/>
    <x v="409"/>
    <x v="56"/>
    <x v="397"/>
    <x v="127"/>
    <x v="151"/>
    <x v="0"/>
  </r>
  <r>
    <x v="0"/>
    <x v="144"/>
    <x v="144"/>
    <x v="3"/>
    <x v="3"/>
    <x v="3"/>
    <x v="3"/>
    <x v="216"/>
    <x v="409"/>
    <x v="56"/>
    <x v="397"/>
    <x v="127"/>
    <x v="151"/>
    <x v="0"/>
  </r>
  <r>
    <x v="0"/>
    <x v="144"/>
    <x v="144"/>
    <x v="43"/>
    <x v="43"/>
    <x v="43"/>
    <x v="3"/>
    <x v="216"/>
    <x v="409"/>
    <x v="65"/>
    <x v="65"/>
    <x v="93"/>
    <x v="439"/>
    <x v="0"/>
  </r>
  <r>
    <x v="0"/>
    <x v="144"/>
    <x v="144"/>
    <x v="56"/>
    <x v="56"/>
    <x v="56"/>
    <x v="8"/>
    <x v="217"/>
    <x v="447"/>
    <x v="50"/>
    <x v="627"/>
    <x v="127"/>
    <x v="151"/>
    <x v="0"/>
  </r>
  <r>
    <x v="0"/>
    <x v="144"/>
    <x v="144"/>
    <x v="13"/>
    <x v="13"/>
    <x v="13"/>
    <x v="8"/>
    <x v="217"/>
    <x v="447"/>
    <x v="50"/>
    <x v="627"/>
    <x v="127"/>
    <x v="151"/>
    <x v="0"/>
  </r>
  <r>
    <x v="0"/>
    <x v="144"/>
    <x v="144"/>
    <x v="14"/>
    <x v="14"/>
    <x v="14"/>
    <x v="8"/>
    <x v="217"/>
    <x v="447"/>
    <x v="50"/>
    <x v="627"/>
    <x v="127"/>
    <x v="151"/>
    <x v="0"/>
  </r>
  <r>
    <x v="0"/>
    <x v="144"/>
    <x v="144"/>
    <x v="127"/>
    <x v="127"/>
    <x v="127"/>
    <x v="8"/>
    <x v="217"/>
    <x v="447"/>
    <x v="50"/>
    <x v="627"/>
    <x v="127"/>
    <x v="151"/>
    <x v="0"/>
  </r>
  <r>
    <x v="0"/>
    <x v="144"/>
    <x v="144"/>
    <x v="73"/>
    <x v="73"/>
    <x v="73"/>
    <x v="8"/>
    <x v="217"/>
    <x v="447"/>
    <x v="50"/>
    <x v="627"/>
    <x v="127"/>
    <x v="151"/>
    <x v="0"/>
  </r>
  <r>
    <x v="0"/>
    <x v="144"/>
    <x v="144"/>
    <x v="99"/>
    <x v="99"/>
    <x v="99"/>
    <x v="8"/>
    <x v="217"/>
    <x v="447"/>
    <x v="65"/>
    <x v="65"/>
    <x v="123"/>
    <x v="370"/>
    <x v="0"/>
  </r>
  <r>
    <x v="0"/>
    <x v="144"/>
    <x v="144"/>
    <x v="75"/>
    <x v="75"/>
    <x v="75"/>
    <x v="8"/>
    <x v="217"/>
    <x v="447"/>
    <x v="65"/>
    <x v="65"/>
    <x v="127"/>
    <x v="151"/>
    <x v="0"/>
  </r>
  <r>
    <x v="0"/>
    <x v="144"/>
    <x v="144"/>
    <x v="221"/>
    <x v="218"/>
    <x v="221"/>
    <x v="8"/>
    <x v="217"/>
    <x v="447"/>
    <x v="65"/>
    <x v="65"/>
    <x v="127"/>
    <x v="151"/>
    <x v="0"/>
  </r>
  <r>
    <x v="0"/>
    <x v="144"/>
    <x v="144"/>
    <x v="78"/>
    <x v="78"/>
    <x v="78"/>
    <x v="8"/>
    <x v="217"/>
    <x v="447"/>
    <x v="65"/>
    <x v="65"/>
    <x v="127"/>
    <x v="151"/>
    <x v="0"/>
  </r>
  <r>
    <x v="0"/>
    <x v="144"/>
    <x v="144"/>
    <x v="164"/>
    <x v="162"/>
    <x v="164"/>
    <x v="8"/>
    <x v="217"/>
    <x v="447"/>
    <x v="65"/>
    <x v="65"/>
    <x v="123"/>
    <x v="370"/>
    <x v="0"/>
  </r>
  <r>
    <x v="0"/>
    <x v="144"/>
    <x v="144"/>
    <x v="28"/>
    <x v="28"/>
    <x v="28"/>
    <x v="8"/>
    <x v="217"/>
    <x v="447"/>
    <x v="50"/>
    <x v="627"/>
    <x v="127"/>
    <x v="151"/>
    <x v="0"/>
  </r>
  <r>
    <x v="0"/>
    <x v="144"/>
    <x v="144"/>
    <x v="44"/>
    <x v="44"/>
    <x v="44"/>
    <x v="8"/>
    <x v="217"/>
    <x v="447"/>
    <x v="50"/>
    <x v="627"/>
    <x v="127"/>
    <x v="151"/>
    <x v="0"/>
  </r>
  <r>
    <x v="0"/>
    <x v="144"/>
    <x v="144"/>
    <x v="113"/>
    <x v="113"/>
    <x v="113"/>
    <x v="8"/>
    <x v="217"/>
    <x v="447"/>
    <x v="50"/>
    <x v="627"/>
    <x v="127"/>
    <x v="151"/>
    <x v="0"/>
  </r>
  <r>
    <x v="0"/>
    <x v="144"/>
    <x v="144"/>
    <x v="49"/>
    <x v="49"/>
    <x v="49"/>
    <x v="8"/>
    <x v="217"/>
    <x v="447"/>
    <x v="50"/>
    <x v="627"/>
    <x v="127"/>
    <x v="151"/>
    <x v="0"/>
  </r>
  <r>
    <x v="0"/>
    <x v="144"/>
    <x v="144"/>
    <x v="207"/>
    <x v="204"/>
    <x v="207"/>
    <x v="8"/>
    <x v="217"/>
    <x v="447"/>
    <x v="65"/>
    <x v="65"/>
    <x v="123"/>
    <x v="370"/>
    <x v="0"/>
  </r>
  <r>
    <x v="0"/>
    <x v="144"/>
    <x v="144"/>
    <x v="194"/>
    <x v="191"/>
    <x v="194"/>
    <x v="8"/>
    <x v="217"/>
    <x v="447"/>
    <x v="50"/>
    <x v="627"/>
    <x v="127"/>
    <x v="151"/>
    <x v="0"/>
  </r>
  <r>
    <x v="0"/>
    <x v="144"/>
    <x v="144"/>
    <x v="51"/>
    <x v="51"/>
    <x v="51"/>
    <x v="8"/>
    <x v="217"/>
    <x v="447"/>
    <x v="50"/>
    <x v="627"/>
    <x v="127"/>
    <x v="151"/>
    <x v="0"/>
  </r>
  <r>
    <x v="0"/>
    <x v="144"/>
    <x v="144"/>
    <x v="5"/>
    <x v="5"/>
    <x v="5"/>
    <x v="8"/>
    <x v="217"/>
    <x v="447"/>
    <x v="50"/>
    <x v="627"/>
    <x v="127"/>
    <x v="151"/>
    <x v="0"/>
  </r>
  <r>
    <x v="0"/>
    <x v="144"/>
    <x v="144"/>
    <x v="52"/>
    <x v="52"/>
    <x v="52"/>
    <x v="8"/>
    <x v="217"/>
    <x v="447"/>
    <x v="65"/>
    <x v="65"/>
    <x v="127"/>
    <x v="151"/>
    <x v="0"/>
  </r>
  <r>
    <x v="0"/>
    <x v="144"/>
    <x v="144"/>
    <x v="8"/>
    <x v="8"/>
    <x v="8"/>
    <x v="8"/>
    <x v="217"/>
    <x v="447"/>
    <x v="50"/>
    <x v="627"/>
    <x v="127"/>
    <x v="151"/>
    <x v="0"/>
  </r>
  <r>
    <x v="0"/>
    <x v="144"/>
    <x v="144"/>
    <x v="23"/>
    <x v="23"/>
    <x v="23"/>
    <x v="8"/>
    <x v="217"/>
    <x v="447"/>
    <x v="50"/>
    <x v="627"/>
    <x v="127"/>
    <x v="151"/>
    <x v="0"/>
  </r>
  <r>
    <x v="0"/>
    <x v="144"/>
    <x v="144"/>
    <x v="72"/>
    <x v="72"/>
    <x v="72"/>
    <x v="8"/>
    <x v="217"/>
    <x v="447"/>
    <x v="65"/>
    <x v="65"/>
    <x v="127"/>
    <x v="151"/>
    <x v="0"/>
  </r>
  <r>
    <x v="0"/>
    <x v="144"/>
    <x v="144"/>
    <x v="57"/>
    <x v="57"/>
    <x v="57"/>
    <x v="8"/>
    <x v="217"/>
    <x v="447"/>
    <x v="65"/>
    <x v="65"/>
    <x v="127"/>
    <x v="151"/>
    <x v="0"/>
  </r>
  <r>
    <x v="0"/>
    <x v="145"/>
    <x v="145"/>
    <x v="2"/>
    <x v="2"/>
    <x v="2"/>
    <x v="0"/>
    <x v="208"/>
    <x v="499"/>
    <x v="77"/>
    <x v="672"/>
    <x v="127"/>
    <x v="151"/>
    <x v="0"/>
  </r>
  <r>
    <x v="0"/>
    <x v="145"/>
    <x v="145"/>
    <x v="1"/>
    <x v="1"/>
    <x v="1"/>
    <x v="1"/>
    <x v="195"/>
    <x v="356"/>
    <x v="68"/>
    <x v="625"/>
    <x v="127"/>
    <x v="151"/>
    <x v="0"/>
  </r>
  <r>
    <x v="0"/>
    <x v="145"/>
    <x v="145"/>
    <x v="3"/>
    <x v="3"/>
    <x v="3"/>
    <x v="2"/>
    <x v="197"/>
    <x v="246"/>
    <x v="39"/>
    <x v="673"/>
    <x v="127"/>
    <x v="151"/>
    <x v="0"/>
  </r>
  <r>
    <x v="0"/>
    <x v="145"/>
    <x v="145"/>
    <x v="54"/>
    <x v="54"/>
    <x v="54"/>
    <x v="3"/>
    <x v="199"/>
    <x v="158"/>
    <x v="50"/>
    <x v="67"/>
    <x v="108"/>
    <x v="429"/>
    <x v="0"/>
  </r>
  <r>
    <x v="0"/>
    <x v="145"/>
    <x v="145"/>
    <x v="42"/>
    <x v="42"/>
    <x v="42"/>
    <x v="3"/>
    <x v="199"/>
    <x v="158"/>
    <x v="50"/>
    <x v="67"/>
    <x v="108"/>
    <x v="429"/>
    <x v="0"/>
  </r>
  <r>
    <x v="0"/>
    <x v="145"/>
    <x v="145"/>
    <x v="4"/>
    <x v="4"/>
    <x v="4"/>
    <x v="3"/>
    <x v="199"/>
    <x v="158"/>
    <x v="70"/>
    <x v="29"/>
    <x v="123"/>
    <x v="252"/>
    <x v="0"/>
  </r>
  <r>
    <x v="0"/>
    <x v="145"/>
    <x v="145"/>
    <x v="5"/>
    <x v="5"/>
    <x v="5"/>
    <x v="3"/>
    <x v="199"/>
    <x v="158"/>
    <x v="62"/>
    <x v="324"/>
    <x v="127"/>
    <x v="151"/>
    <x v="0"/>
  </r>
  <r>
    <x v="0"/>
    <x v="145"/>
    <x v="145"/>
    <x v="19"/>
    <x v="19"/>
    <x v="19"/>
    <x v="3"/>
    <x v="199"/>
    <x v="158"/>
    <x v="62"/>
    <x v="324"/>
    <x v="127"/>
    <x v="151"/>
    <x v="0"/>
  </r>
  <r>
    <x v="0"/>
    <x v="145"/>
    <x v="145"/>
    <x v="70"/>
    <x v="70"/>
    <x v="70"/>
    <x v="8"/>
    <x v="200"/>
    <x v="357"/>
    <x v="56"/>
    <x v="374"/>
    <x v="123"/>
    <x v="252"/>
    <x v="0"/>
  </r>
  <r>
    <x v="0"/>
    <x v="145"/>
    <x v="145"/>
    <x v="18"/>
    <x v="18"/>
    <x v="18"/>
    <x v="8"/>
    <x v="200"/>
    <x v="357"/>
    <x v="50"/>
    <x v="67"/>
    <x v="93"/>
    <x v="369"/>
    <x v="0"/>
  </r>
  <r>
    <x v="0"/>
    <x v="145"/>
    <x v="145"/>
    <x v="45"/>
    <x v="45"/>
    <x v="45"/>
    <x v="8"/>
    <x v="200"/>
    <x v="357"/>
    <x v="70"/>
    <x v="29"/>
    <x v="127"/>
    <x v="151"/>
    <x v="0"/>
  </r>
  <r>
    <x v="0"/>
    <x v="145"/>
    <x v="145"/>
    <x v="40"/>
    <x v="40"/>
    <x v="40"/>
    <x v="11"/>
    <x v="216"/>
    <x v="134"/>
    <x v="50"/>
    <x v="67"/>
    <x v="123"/>
    <x v="252"/>
    <x v="0"/>
  </r>
  <r>
    <x v="0"/>
    <x v="145"/>
    <x v="145"/>
    <x v="67"/>
    <x v="67"/>
    <x v="67"/>
    <x v="11"/>
    <x v="216"/>
    <x v="134"/>
    <x v="56"/>
    <x v="374"/>
    <x v="127"/>
    <x v="151"/>
    <x v="0"/>
  </r>
  <r>
    <x v="0"/>
    <x v="145"/>
    <x v="145"/>
    <x v="46"/>
    <x v="46"/>
    <x v="46"/>
    <x v="11"/>
    <x v="216"/>
    <x v="134"/>
    <x v="50"/>
    <x v="67"/>
    <x v="123"/>
    <x v="252"/>
    <x v="0"/>
  </r>
  <r>
    <x v="0"/>
    <x v="145"/>
    <x v="145"/>
    <x v="36"/>
    <x v="36"/>
    <x v="36"/>
    <x v="11"/>
    <x v="216"/>
    <x v="134"/>
    <x v="65"/>
    <x v="65"/>
    <x v="93"/>
    <x v="369"/>
    <x v="0"/>
  </r>
  <r>
    <x v="0"/>
    <x v="145"/>
    <x v="145"/>
    <x v="28"/>
    <x v="28"/>
    <x v="28"/>
    <x v="11"/>
    <x v="216"/>
    <x v="134"/>
    <x v="65"/>
    <x v="65"/>
    <x v="93"/>
    <x v="369"/>
    <x v="0"/>
  </r>
  <r>
    <x v="0"/>
    <x v="145"/>
    <x v="145"/>
    <x v="48"/>
    <x v="48"/>
    <x v="48"/>
    <x v="11"/>
    <x v="216"/>
    <x v="134"/>
    <x v="50"/>
    <x v="67"/>
    <x v="123"/>
    <x v="252"/>
    <x v="0"/>
  </r>
  <r>
    <x v="0"/>
    <x v="145"/>
    <x v="145"/>
    <x v="41"/>
    <x v="41"/>
    <x v="41"/>
    <x v="11"/>
    <x v="216"/>
    <x v="134"/>
    <x v="50"/>
    <x v="67"/>
    <x v="123"/>
    <x v="252"/>
    <x v="0"/>
  </r>
  <r>
    <x v="0"/>
    <x v="145"/>
    <x v="145"/>
    <x v="11"/>
    <x v="11"/>
    <x v="11"/>
    <x v="11"/>
    <x v="216"/>
    <x v="134"/>
    <x v="56"/>
    <x v="374"/>
    <x v="127"/>
    <x v="151"/>
    <x v="0"/>
  </r>
  <r>
    <x v="0"/>
    <x v="145"/>
    <x v="145"/>
    <x v="47"/>
    <x v="47"/>
    <x v="47"/>
    <x v="11"/>
    <x v="216"/>
    <x v="134"/>
    <x v="56"/>
    <x v="374"/>
    <x v="127"/>
    <x v="151"/>
    <x v="0"/>
  </r>
  <r>
    <x v="0"/>
    <x v="145"/>
    <x v="145"/>
    <x v="49"/>
    <x v="49"/>
    <x v="49"/>
    <x v="11"/>
    <x v="216"/>
    <x v="134"/>
    <x v="50"/>
    <x v="67"/>
    <x v="123"/>
    <x v="252"/>
    <x v="0"/>
  </r>
  <r>
    <x v="0"/>
    <x v="145"/>
    <x v="145"/>
    <x v="51"/>
    <x v="51"/>
    <x v="51"/>
    <x v="11"/>
    <x v="216"/>
    <x v="134"/>
    <x v="56"/>
    <x v="374"/>
    <x v="127"/>
    <x v="151"/>
    <x v="0"/>
  </r>
  <r>
    <x v="0"/>
    <x v="145"/>
    <x v="145"/>
    <x v="131"/>
    <x v="131"/>
    <x v="131"/>
    <x v="11"/>
    <x v="216"/>
    <x v="134"/>
    <x v="56"/>
    <x v="374"/>
    <x v="127"/>
    <x v="151"/>
    <x v="0"/>
  </r>
  <r>
    <x v="0"/>
    <x v="145"/>
    <x v="145"/>
    <x v="37"/>
    <x v="37"/>
    <x v="37"/>
    <x v="11"/>
    <x v="216"/>
    <x v="134"/>
    <x v="65"/>
    <x v="65"/>
    <x v="123"/>
    <x v="252"/>
    <x v="0"/>
  </r>
  <r>
    <x v="0"/>
    <x v="145"/>
    <x v="145"/>
    <x v="6"/>
    <x v="6"/>
    <x v="6"/>
    <x v="11"/>
    <x v="216"/>
    <x v="134"/>
    <x v="56"/>
    <x v="374"/>
    <x v="127"/>
    <x v="151"/>
    <x v="0"/>
  </r>
  <r>
    <x v="0"/>
    <x v="145"/>
    <x v="145"/>
    <x v="83"/>
    <x v="83"/>
    <x v="83"/>
    <x v="11"/>
    <x v="216"/>
    <x v="134"/>
    <x v="56"/>
    <x v="374"/>
    <x v="127"/>
    <x v="151"/>
    <x v="0"/>
  </r>
  <r>
    <x v="0"/>
    <x v="146"/>
    <x v="146"/>
    <x v="4"/>
    <x v="4"/>
    <x v="4"/>
    <x v="0"/>
    <x v="195"/>
    <x v="396"/>
    <x v="39"/>
    <x v="632"/>
    <x v="108"/>
    <x v="440"/>
    <x v="0"/>
  </r>
  <r>
    <x v="0"/>
    <x v="146"/>
    <x v="146"/>
    <x v="3"/>
    <x v="3"/>
    <x v="3"/>
    <x v="1"/>
    <x v="210"/>
    <x v="500"/>
    <x v="100"/>
    <x v="629"/>
    <x v="127"/>
    <x v="151"/>
    <x v="0"/>
  </r>
  <r>
    <x v="0"/>
    <x v="146"/>
    <x v="146"/>
    <x v="1"/>
    <x v="1"/>
    <x v="1"/>
    <x v="1"/>
    <x v="210"/>
    <x v="500"/>
    <x v="100"/>
    <x v="629"/>
    <x v="127"/>
    <x v="151"/>
    <x v="0"/>
  </r>
  <r>
    <x v="0"/>
    <x v="146"/>
    <x v="146"/>
    <x v="10"/>
    <x v="10"/>
    <x v="10"/>
    <x v="3"/>
    <x v="196"/>
    <x v="350"/>
    <x v="65"/>
    <x v="65"/>
    <x v="98"/>
    <x v="214"/>
    <x v="0"/>
  </r>
  <r>
    <x v="0"/>
    <x v="146"/>
    <x v="146"/>
    <x v="17"/>
    <x v="17"/>
    <x v="17"/>
    <x v="4"/>
    <x v="197"/>
    <x v="398"/>
    <x v="65"/>
    <x v="65"/>
    <x v="67"/>
    <x v="441"/>
    <x v="0"/>
  </r>
  <r>
    <x v="0"/>
    <x v="146"/>
    <x v="146"/>
    <x v="42"/>
    <x v="42"/>
    <x v="42"/>
    <x v="4"/>
    <x v="197"/>
    <x v="398"/>
    <x v="65"/>
    <x v="65"/>
    <x v="67"/>
    <x v="441"/>
    <x v="0"/>
  </r>
  <r>
    <x v="0"/>
    <x v="146"/>
    <x v="146"/>
    <x v="5"/>
    <x v="5"/>
    <x v="5"/>
    <x v="4"/>
    <x v="197"/>
    <x v="398"/>
    <x v="39"/>
    <x v="632"/>
    <x v="127"/>
    <x v="151"/>
    <x v="0"/>
  </r>
  <r>
    <x v="0"/>
    <x v="146"/>
    <x v="146"/>
    <x v="26"/>
    <x v="26"/>
    <x v="26"/>
    <x v="4"/>
    <x v="197"/>
    <x v="398"/>
    <x v="65"/>
    <x v="65"/>
    <x v="119"/>
    <x v="66"/>
    <x v="6"/>
  </r>
  <r>
    <x v="0"/>
    <x v="146"/>
    <x v="146"/>
    <x v="19"/>
    <x v="19"/>
    <x v="19"/>
    <x v="8"/>
    <x v="198"/>
    <x v="170"/>
    <x v="56"/>
    <x v="630"/>
    <x v="108"/>
    <x v="440"/>
    <x v="0"/>
  </r>
  <r>
    <x v="0"/>
    <x v="146"/>
    <x v="146"/>
    <x v="12"/>
    <x v="12"/>
    <x v="12"/>
    <x v="9"/>
    <x v="199"/>
    <x v="70"/>
    <x v="56"/>
    <x v="630"/>
    <x v="93"/>
    <x v="118"/>
    <x v="0"/>
  </r>
  <r>
    <x v="0"/>
    <x v="146"/>
    <x v="146"/>
    <x v="130"/>
    <x v="130"/>
    <x v="130"/>
    <x v="9"/>
    <x v="199"/>
    <x v="70"/>
    <x v="65"/>
    <x v="65"/>
    <x v="108"/>
    <x v="440"/>
    <x v="6"/>
  </r>
  <r>
    <x v="0"/>
    <x v="146"/>
    <x v="146"/>
    <x v="2"/>
    <x v="2"/>
    <x v="2"/>
    <x v="9"/>
    <x v="199"/>
    <x v="70"/>
    <x v="56"/>
    <x v="630"/>
    <x v="93"/>
    <x v="118"/>
    <x v="0"/>
  </r>
  <r>
    <x v="0"/>
    <x v="146"/>
    <x v="146"/>
    <x v="8"/>
    <x v="8"/>
    <x v="8"/>
    <x v="9"/>
    <x v="199"/>
    <x v="70"/>
    <x v="62"/>
    <x v="631"/>
    <x v="127"/>
    <x v="151"/>
    <x v="0"/>
  </r>
  <r>
    <x v="0"/>
    <x v="146"/>
    <x v="146"/>
    <x v="46"/>
    <x v="46"/>
    <x v="46"/>
    <x v="13"/>
    <x v="200"/>
    <x v="84"/>
    <x v="65"/>
    <x v="65"/>
    <x v="108"/>
    <x v="440"/>
    <x v="0"/>
  </r>
  <r>
    <x v="0"/>
    <x v="146"/>
    <x v="146"/>
    <x v="54"/>
    <x v="54"/>
    <x v="54"/>
    <x v="13"/>
    <x v="200"/>
    <x v="84"/>
    <x v="50"/>
    <x v="674"/>
    <x v="93"/>
    <x v="118"/>
    <x v="0"/>
  </r>
  <r>
    <x v="0"/>
    <x v="146"/>
    <x v="146"/>
    <x v="58"/>
    <x v="58"/>
    <x v="58"/>
    <x v="13"/>
    <x v="200"/>
    <x v="84"/>
    <x v="65"/>
    <x v="65"/>
    <x v="108"/>
    <x v="440"/>
    <x v="0"/>
  </r>
  <r>
    <x v="0"/>
    <x v="146"/>
    <x v="146"/>
    <x v="41"/>
    <x v="41"/>
    <x v="41"/>
    <x v="13"/>
    <x v="200"/>
    <x v="84"/>
    <x v="70"/>
    <x v="307"/>
    <x v="127"/>
    <x v="151"/>
    <x v="0"/>
  </r>
  <r>
    <x v="0"/>
    <x v="146"/>
    <x v="146"/>
    <x v="47"/>
    <x v="47"/>
    <x v="47"/>
    <x v="13"/>
    <x v="200"/>
    <x v="84"/>
    <x v="65"/>
    <x v="65"/>
    <x v="108"/>
    <x v="440"/>
    <x v="0"/>
  </r>
  <r>
    <x v="0"/>
    <x v="146"/>
    <x v="146"/>
    <x v="37"/>
    <x v="37"/>
    <x v="37"/>
    <x v="13"/>
    <x v="200"/>
    <x v="84"/>
    <x v="65"/>
    <x v="65"/>
    <x v="123"/>
    <x v="193"/>
    <x v="0"/>
  </r>
  <r>
    <x v="0"/>
    <x v="146"/>
    <x v="146"/>
    <x v="40"/>
    <x v="40"/>
    <x v="40"/>
    <x v="18"/>
    <x v="216"/>
    <x v="164"/>
    <x v="65"/>
    <x v="65"/>
    <x v="93"/>
    <x v="118"/>
    <x v="0"/>
  </r>
  <r>
    <x v="0"/>
    <x v="146"/>
    <x v="146"/>
    <x v="13"/>
    <x v="13"/>
    <x v="13"/>
    <x v="18"/>
    <x v="216"/>
    <x v="164"/>
    <x v="65"/>
    <x v="65"/>
    <x v="93"/>
    <x v="118"/>
    <x v="0"/>
  </r>
  <r>
    <x v="0"/>
    <x v="146"/>
    <x v="146"/>
    <x v="14"/>
    <x v="14"/>
    <x v="14"/>
    <x v="18"/>
    <x v="216"/>
    <x v="164"/>
    <x v="56"/>
    <x v="630"/>
    <x v="127"/>
    <x v="151"/>
    <x v="0"/>
  </r>
  <r>
    <x v="0"/>
    <x v="146"/>
    <x v="146"/>
    <x v="127"/>
    <x v="127"/>
    <x v="127"/>
    <x v="18"/>
    <x v="216"/>
    <x v="164"/>
    <x v="65"/>
    <x v="65"/>
    <x v="93"/>
    <x v="118"/>
    <x v="0"/>
  </r>
  <r>
    <x v="0"/>
    <x v="146"/>
    <x v="146"/>
    <x v="75"/>
    <x v="75"/>
    <x v="75"/>
    <x v="18"/>
    <x v="216"/>
    <x v="164"/>
    <x v="65"/>
    <x v="65"/>
    <x v="127"/>
    <x v="151"/>
    <x v="0"/>
  </r>
  <r>
    <x v="0"/>
    <x v="146"/>
    <x v="146"/>
    <x v="38"/>
    <x v="38"/>
    <x v="38"/>
    <x v="18"/>
    <x v="216"/>
    <x v="164"/>
    <x v="50"/>
    <x v="674"/>
    <x v="123"/>
    <x v="193"/>
    <x v="0"/>
  </r>
  <r>
    <x v="0"/>
    <x v="146"/>
    <x v="146"/>
    <x v="36"/>
    <x v="36"/>
    <x v="36"/>
    <x v="18"/>
    <x v="216"/>
    <x v="164"/>
    <x v="65"/>
    <x v="65"/>
    <x v="93"/>
    <x v="118"/>
    <x v="0"/>
  </r>
  <r>
    <x v="0"/>
    <x v="146"/>
    <x v="146"/>
    <x v="69"/>
    <x v="69"/>
    <x v="69"/>
    <x v="18"/>
    <x v="216"/>
    <x v="164"/>
    <x v="65"/>
    <x v="65"/>
    <x v="93"/>
    <x v="118"/>
    <x v="0"/>
  </r>
  <r>
    <x v="0"/>
    <x v="146"/>
    <x v="146"/>
    <x v="33"/>
    <x v="33"/>
    <x v="33"/>
    <x v="18"/>
    <x v="216"/>
    <x v="164"/>
    <x v="50"/>
    <x v="674"/>
    <x v="123"/>
    <x v="193"/>
    <x v="0"/>
  </r>
  <r>
    <x v="0"/>
    <x v="146"/>
    <x v="146"/>
    <x v="28"/>
    <x v="28"/>
    <x v="28"/>
    <x v="18"/>
    <x v="216"/>
    <x v="164"/>
    <x v="65"/>
    <x v="65"/>
    <x v="93"/>
    <x v="118"/>
    <x v="0"/>
  </r>
  <r>
    <x v="0"/>
    <x v="146"/>
    <x v="146"/>
    <x v="44"/>
    <x v="44"/>
    <x v="44"/>
    <x v="18"/>
    <x v="216"/>
    <x v="164"/>
    <x v="56"/>
    <x v="630"/>
    <x v="127"/>
    <x v="151"/>
    <x v="0"/>
  </r>
  <r>
    <x v="0"/>
    <x v="146"/>
    <x v="146"/>
    <x v="11"/>
    <x v="11"/>
    <x v="11"/>
    <x v="18"/>
    <x v="216"/>
    <x v="164"/>
    <x v="65"/>
    <x v="65"/>
    <x v="93"/>
    <x v="118"/>
    <x v="0"/>
  </r>
  <r>
    <x v="0"/>
    <x v="146"/>
    <x v="146"/>
    <x v="114"/>
    <x v="114"/>
    <x v="114"/>
    <x v="18"/>
    <x v="216"/>
    <x v="164"/>
    <x v="56"/>
    <x v="630"/>
    <x v="127"/>
    <x v="151"/>
    <x v="0"/>
  </r>
  <r>
    <x v="0"/>
    <x v="146"/>
    <x v="146"/>
    <x v="18"/>
    <x v="18"/>
    <x v="18"/>
    <x v="18"/>
    <x v="216"/>
    <x v="164"/>
    <x v="50"/>
    <x v="674"/>
    <x v="123"/>
    <x v="193"/>
    <x v="0"/>
  </r>
  <r>
    <x v="0"/>
    <x v="146"/>
    <x v="146"/>
    <x v="15"/>
    <x v="15"/>
    <x v="15"/>
    <x v="18"/>
    <x v="216"/>
    <x v="164"/>
    <x v="65"/>
    <x v="65"/>
    <x v="93"/>
    <x v="118"/>
    <x v="0"/>
  </r>
  <r>
    <x v="0"/>
    <x v="146"/>
    <x v="146"/>
    <x v="121"/>
    <x v="121"/>
    <x v="121"/>
    <x v="18"/>
    <x v="216"/>
    <x v="164"/>
    <x v="50"/>
    <x v="674"/>
    <x v="123"/>
    <x v="193"/>
    <x v="0"/>
  </r>
  <r>
    <x v="0"/>
    <x v="146"/>
    <x v="146"/>
    <x v="133"/>
    <x v="133"/>
    <x v="133"/>
    <x v="18"/>
    <x v="216"/>
    <x v="164"/>
    <x v="56"/>
    <x v="630"/>
    <x v="127"/>
    <x v="151"/>
    <x v="0"/>
  </r>
  <r>
    <x v="0"/>
    <x v="146"/>
    <x v="146"/>
    <x v="9"/>
    <x v="9"/>
    <x v="9"/>
    <x v="18"/>
    <x v="216"/>
    <x v="164"/>
    <x v="56"/>
    <x v="630"/>
    <x v="127"/>
    <x v="151"/>
    <x v="0"/>
  </r>
  <r>
    <x v="0"/>
    <x v="146"/>
    <x v="146"/>
    <x v="34"/>
    <x v="34"/>
    <x v="34"/>
    <x v="18"/>
    <x v="216"/>
    <x v="164"/>
    <x v="65"/>
    <x v="65"/>
    <x v="93"/>
    <x v="118"/>
    <x v="0"/>
  </r>
  <r>
    <x v="0"/>
    <x v="146"/>
    <x v="146"/>
    <x v="23"/>
    <x v="23"/>
    <x v="23"/>
    <x v="18"/>
    <x v="216"/>
    <x v="164"/>
    <x v="56"/>
    <x v="630"/>
    <x v="127"/>
    <x v="151"/>
    <x v="0"/>
  </r>
  <r>
    <x v="0"/>
    <x v="147"/>
    <x v="147"/>
    <x v="42"/>
    <x v="42"/>
    <x v="42"/>
    <x v="0"/>
    <x v="196"/>
    <x v="501"/>
    <x v="50"/>
    <x v="70"/>
    <x v="67"/>
    <x v="442"/>
    <x v="0"/>
  </r>
  <r>
    <x v="0"/>
    <x v="147"/>
    <x v="147"/>
    <x v="0"/>
    <x v="0"/>
    <x v="0"/>
    <x v="1"/>
    <x v="197"/>
    <x v="502"/>
    <x v="65"/>
    <x v="65"/>
    <x v="119"/>
    <x v="443"/>
    <x v="0"/>
  </r>
  <r>
    <x v="0"/>
    <x v="147"/>
    <x v="147"/>
    <x v="5"/>
    <x v="5"/>
    <x v="5"/>
    <x v="2"/>
    <x v="198"/>
    <x v="335"/>
    <x v="51"/>
    <x v="592"/>
    <x v="127"/>
    <x v="151"/>
    <x v="0"/>
  </r>
  <r>
    <x v="0"/>
    <x v="147"/>
    <x v="147"/>
    <x v="1"/>
    <x v="1"/>
    <x v="1"/>
    <x v="2"/>
    <x v="198"/>
    <x v="335"/>
    <x v="51"/>
    <x v="592"/>
    <x v="127"/>
    <x v="151"/>
    <x v="0"/>
  </r>
  <r>
    <x v="0"/>
    <x v="147"/>
    <x v="147"/>
    <x v="40"/>
    <x v="40"/>
    <x v="40"/>
    <x v="4"/>
    <x v="199"/>
    <x v="421"/>
    <x v="56"/>
    <x v="8"/>
    <x v="93"/>
    <x v="444"/>
    <x v="0"/>
  </r>
  <r>
    <x v="0"/>
    <x v="147"/>
    <x v="147"/>
    <x v="46"/>
    <x v="46"/>
    <x v="46"/>
    <x v="4"/>
    <x v="199"/>
    <x v="421"/>
    <x v="56"/>
    <x v="8"/>
    <x v="93"/>
    <x v="444"/>
    <x v="0"/>
  </r>
  <r>
    <x v="0"/>
    <x v="147"/>
    <x v="147"/>
    <x v="90"/>
    <x v="90"/>
    <x v="90"/>
    <x v="4"/>
    <x v="199"/>
    <x v="421"/>
    <x v="70"/>
    <x v="480"/>
    <x v="123"/>
    <x v="40"/>
    <x v="0"/>
  </r>
  <r>
    <x v="0"/>
    <x v="147"/>
    <x v="147"/>
    <x v="37"/>
    <x v="37"/>
    <x v="37"/>
    <x v="4"/>
    <x v="199"/>
    <x v="421"/>
    <x v="65"/>
    <x v="65"/>
    <x v="108"/>
    <x v="445"/>
    <x v="0"/>
  </r>
  <r>
    <x v="0"/>
    <x v="147"/>
    <x v="147"/>
    <x v="3"/>
    <x v="3"/>
    <x v="3"/>
    <x v="4"/>
    <x v="199"/>
    <x v="421"/>
    <x v="62"/>
    <x v="591"/>
    <x v="127"/>
    <x v="151"/>
    <x v="0"/>
  </r>
  <r>
    <x v="0"/>
    <x v="147"/>
    <x v="147"/>
    <x v="146"/>
    <x v="146"/>
    <x v="146"/>
    <x v="9"/>
    <x v="200"/>
    <x v="40"/>
    <x v="65"/>
    <x v="65"/>
    <x v="93"/>
    <x v="444"/>
    <x v="6"/>
  </r>
  <r>
    <x v="0"/>
    <x v="147"/>
    <x v="147"/>
    <x v="41"/>
    <x v="41"/>
    <x v="41"/>
    <x v="9"/>
    <x v="200"/>
    <x v="40"/>
    <x v="56"/>
    <x v="8"/>
    <x v="123"/>
    <x v="40"/>
    <x v="0"/>
  </r>
  <r>
    <x v="0"/>
    <x v="147"/>
    <x v="147"/>
    <x v="12"/>
    <x v="12"/>
    <x v="12"/>
    <x v="9"/>
    <x v="200"/>
    <x v="40"/>
    <x v="56"/>
    <x v="8"/>
    <x v="123"/>
    <x v="40"/>
    <x v="0"/>
  </r>
  <r>
    <x v="0"/>
    <x v="147"/>
    <x v="147"/>
    <x v="11"/>
    <x v="11"/>
    <x v="11"/>
    <x v="9"/>
    <x v="200"/>
    <x v="40"/>
    <x v="56"/>
    <x v="8"/>
    <x v="123"/>
    <x v="40"/>
    <x v="0"/>
  </r>
  <r>
    <x v="0"/>
    <x v="147"/>
    <x v="147"/>
    <x v="49"/>
    <x v="49"/>
    <x v="49"/>
    <x v="9"/>
    <x v="200"/>
    <x v="40"/>
    <x v="70"/>
    <x v="480"/>
    <x v="127"/>
    <x v="151"/>
    <x v="0"/>
  </r>
  <r>
    <x v="0"/>
    <x v="147"/>
    <x v="147"/>
    <x v="16"/>
    <x v="16"/>
    <x v="16"/>
    <x v="9"/>
    <x v="200"/>
    <x v="40"/>
    <x v="50"/>
    <x v="70"/>
    <x v="93"/>
    <x v="444"/>
    <x v="0"/>
  </r>
  <r>
    <x v="0"/>
    <x v="147"/>
    <x v="147"/>
    <x v="82"/>
    <x v="82"/>
    <x v="82"/>
    <x v="9"/>
    <x v="200"/>
    <x v="40"/>
    <x v="65"/>
    <x v="65"/>
    <x v="123"/>
    <x v="40"/>
    <x v="0"/>
  </r>
  <r>
    <x v="0"/>
    <x v="147"/>
    <x v="147"/>
    <x v="17"/>
    <x v="17"/>
    <x v="17"/>
    <x v="15"/>
    <x v="216"/>
    <x v="62"/>
    <x v="65"/>
    <x v="65"/>
    <x v="93"/>
    <x v="444"/>
    <x v="0"/>
  </r>
  <r>
    <x v="0"/>
    <x v="147"/>
    <x v="147"/>
    <x v="54"/>
    <x v="54"/>
    <x v="54"/>
    <x v="15"/>
    <x v="216"/>
    <x v="62"/>
    <x v="65"/>
    <x v="65"/>
    <x v="93"/>
    <x v="444"/>
    <x v="0"/>
  </r>
  <r>
    <x v="0"/>
    <x v="147"/>
    <x v="147"/>
    <x v="106"/>
    <x v="106"/>
    <x v="106"/>
    <x v="15"/>
    <x v="216"/>
    <x v="62"/>
    <x v="50"/>
    <x v="70"/>
    <x v="123"/>
    <x v="40"/>
    <x v="0"/>
  </r>
  <r>
    <x v="0"/>
    <x v="147"/>
    <x v="147"/>
    <x v="58"/>
    <x v="58"/>
    <x v="58"/>
    <x v="15"/>
    <x v="216"/>
    <x v="62"/>
    <x v="65"/>
    <x v="65"/>
    <x v="93"/>
    <x v="444"/>
    <x v="0"/>
  </r>
  <r>
    <x v="0"/>
    <x v="147"/>
    <x v="147"/>
    <x v="55"/>
    <x v="55"/>
    <x v="55"/>
    <x v="15"/>
    <x v="216"/>
    <x v="62"/>
    <x v="50"/>
    <x v="70"/>
    <x v="123"/>
    <x v="40"/>
    <x v="0"/>
  </r>
  <r>
    <x v="0"/>
    <x v="147"/>
    <x v="147"/>
    <x v="45"/>
    <x v="45"/>
    <x v="45"/>
    <x v="15"/>
    <x v="216"/>
    <x v="62"/>
    <x v="56"/>
    <x v="8"/>
    <x v="127"/>
    <x v="151"/>
    <x v="0"/>
  </r>
  <r>
    <x v="0"/>
    <x v="147"/>
    <x v="147"/>
    <x v="4"/>
    <x v="4"/>
    <x v="4"/>
    <x v="15"/>
    <x v="216"/>
    <x v="62"/>
    <x v="56"/>
    <x v="8"/>
    <x v="127"/>
    <x v="151"/>
    <x v="0"/>
  </r>
  <r>
    <x v="0"/>
    <x v="147"/>
    <x v="147"/>
    <x v="2"/>
    <x v="2"/>
    <x v="2"/>
    <x v="15"/>
    <x v="216"/>
    <x v="62"/>
    <x v="56"/>
    <x v="8"/>
    <x v="127"/>
    <x v="151"/>
    <x v="0"/>
  </r>
  <r>
    <x v="0"/>
    <x v="147"/>
    <x v="147"/>
    <x v="8"/>
    <x v="8"/>
    <x v="8"/>
    <x v="15"/>
    <x v="216"/>
    <x v="62"/>
    <x v="56"/>
    <x v="8"/>
    <x v="127"/>
    <x v="151"/>
    <x v="0"/>
  </r>
  <r>
    <x v="0"/>
    <x v="147"/>
    <x v="147"/>
    <x v="19"/>
    <x v="19"/>
    <x v="19"/>
    <x v="15"/>
    <x v="216"/>
    <x v="62"/>
    <x v="50"/>
    <x v="70"/>
    <x v="123"/>
    <x v="40"/>
    <x v="0"/>
  </r>
  <r>
    <x v="0"/>
    <x v="148"/>
    <x v="148"/>
    <x v="7"/>
    <x v="7"/>
    <x v="7"/>
    <x v="0"/>
    <x v="197"/>
    <x v="356"/>
    <x v="62"/>
    <x v="541"/>
    <x v="93"/>
    <x v="130"/>
    <x v="0"/>
  </r>
  <r>
    <x v="0"/>
    <x v="148"/>
    <x v="148"/>
    <x v="0"/>
    <x v="0"/>
    <x v="0"/>
    <x v="0"/>
    <x v="197"/>
    <x v="356"/>
    <x v="70"/>
    <x v="42"/>
    <x v="93"/>
    <x v="130"/>
    <x v="0"/>
  </r>
  <r>
    <x v="0"/>
    <x v="148"/>
    <x v="148"/>
    <x v="51"/>
    <x v="51"/>
    <x v="51"/>
    <x v="2"/>
    <x v="198"/>
    <x v="498"/>
    <x v="56"/>
    <x v="5"/>
    <x v="108"/>
    <x v="354"/>
    <x v="0"/>
  </r>
  <r>
    <x v="0"/>
    <x v="148"/>
    <x v="148"/>
    <x v="4"/>
    <x v="4"/>
    <x v="4"/>
    <x v="2"/>
    <x v="198"/>
    <x v="498"/>
    <x v="62"/>
    <x v="541"/>
    <x v="123"/>
    <x v="86"/>
    <x v="0"/>
  </r>
  <r>
    <x v="0"/>
    <x v="148"/>
    <x v="148"/>
    <x v="1"/>
    <x v="1"/>
    <x v="1"/>
    <x v="4"/>
    <x v="200"/>
    <x v="208"/>
    <x v="70"/>
    <x v="42"/>
    <x v="127"/>
    <x v="151"/>
    <x v="0"/>
  </r>
  <r>
    <x v="0"/>
    <x v="148"/>
    <x v="148"/>
    <x v="43"/>
    <x v="43"/>
    <x v="43"/>
    <x v="4"/>
    <x v="200"/>
    <x v="208"/>
    <x v="65"/>
    <x v="65"/>
    <x v="93"/>
    <x v="130"/>
    <x v="0"/>
  </r>
  <r>
    <x v="0"/>
    <x v="148"/>
    <x v="148"/>
    <x v="17"/>
    <x v="17"/>
    <x v="17"/>
    <x v="6"/>
    <x v="216"/>
    <x v="357"/>
    <x v="65"/>
    <x v="65"/>
    <x v="93"/>
    <x v="130"/>
    <x v="0"/>
  </r>
  <r>
    <x v="0"/>
    <x v="148"/>
    <x v="148"/>
    <x v="14"/>
    <x v="14"/>
    <x v="14"/>
    <x v="6"/>
    <x v="216"/>
    <x v="357"/>
    <x v="50"/>
    <x v="542"/>
    <x v="123"/>
    <x v="86"/>
    <x v="0"/>
  </r>
  <r>
    <x v="0"/>
    <x v="148"/>
    <x v="148"/>
    <x v="48"/>
    <x v="48"/>
    <x v="48"/>
    <x v="6"/>
    <x v="216"/>
    <x v="357"/>
    <x v="56"/>
    <x v="5"/>
    <x v="127"/>
    <x v="151"/>
    <x v="0"/>
  </r>
  <r>
    <x v="0"/>
    <x v="148"/>
    <x v="148"/>
    <x v="41"/>
    <x v="41"/>
    <x v="41"/>
    <x v="6"/>
    <x v="216"/>
    <x v="357"/>
    <x v="50"/>
    <x v="542"/>
    <x v="123"/>
    <x v="86"/>
    <x v="0"/>
  </r>
  <r>
    <x v="0"/>
    <x v="148"/>
    <x v="148"/>
    <x v="12"/>
    <x v="12"/>
    <x v="12"/>
    <x v="6"/>
    <x v="216"/>
    <x v="357"/>
    <x v="50"/>
    <x v="542"/>
    <x v="123"/>
    <x v="86"/>
    <x v="0"/>
  </r>
  <r>
    <x v="0"/>
    <x v="148"/>
    <x v="148"/>
    <x v="42"/>
    <x v="42"/>
    <x v="42"/>
    <x v="6"/>
    <x v="216"/>
    <x v="357"/>
    <x v="56"/>
    <x v="5"/>
    <x v="127"/>
    <x v="151"/>
    <x v="0"/>
  </r>
  <r>
    <x v="0"/>
    <x v="148"/>
    <x v="148"/>
    <x v="49"/>
    <x v="49"/>
    <x v="49"/>
    <x v="6"/>
    <x v="216"/>
    <x v="357"/>
    <x v="56"/>
    <x v="5"/>
    <x v="127"/>
    <x v="151"/>
    <x v="0"/>
  </r>
  <r>
    <x v="0"/>
    <x v="148"/>
    <x v="148"/>
    <x v="3"/>
    <x v="3"/>
    <x v="3"/>
    <x v="6"/>
    <x v="216"/>
    <x v="357"/>
    <x v="56"/>
    <x v="5"/>
    <x v="127"/>
    <x v="151"/>
    <x v="0"/>
  </r>
  <r>
    <x v="0"/>
    <x v="148"/>
    <x v="148"/>
    <x v="83"/>
    <x v="83"/>
    <x v="83"/>
    <x v="6"/>
    <x v="216"/>
    <x v="357"/>
    <x v="56"/>
    <x v="5"/>
    <x v="127"/>
    <x v="151"/>
    <x v="0"/>
  </r>
  <r>
    <x v="0"/>
    <x v="148"/>
    <x v="148"/>
    <x v="26"/>
    <x v="26"/>
    <x v="26"/>
    <x v="6"/>
    <x v="216"/>
    <x v="357"/>
    <x v="65"/>
    <x v="65"/>
    <x v="93"/>
    <x v="130"/>
    <x v="0"/>
  </r>
  <r>
    <x v="0"/>
    <x v="148"/>
    <x v="148"/>
    <x v="46"/>
    <x v="46"/>
    <x v="46"/>
    <x v="15"/>
    <x v="217"/>
    <x v="17"/>
    <x v="65"/>
    <x v="65"/>
    <x v="123"/>
    <x v="86"/>
    <x v="0"/>
  </r>
  <r>
    <x v="0"/>
    <x v="148"/>
    <x v="148"/>
    <x v="13"/>
    <x v="13"/>
    <x v="13"/>
    <x v="15"/>
    <x v="217"/>
    <x v="17"/>
    <x v="65"/>
    <x v="65"/>
    <x v="123"/>
    <x v="86"/>
    <x v="0"/>
  </r>
  <r>
    <x v="0"/>
    <x v="148"/>
    <x v="148"/>
    <x v="154"/>
    <x v="153"/>
    <x v="154"/>
    <x v="15"/>
    <x v="217"/>
    <x v="17"/>
    <x v="65"/>
    <x v="65"/>
    <x v="123"/>
    <x v="86"/>
    <x v="0"/>
  </r>
  <r>
    <x v="0"/>
    <x v="148"/>
    <x v="148"/>
    <x v="222"/>
    <x v="219"/>
    <x v="222"/>
    <x v="15"/>
    <x v="217"/>
    <x v="17"/>
    <x v="50"/>
    <x v="542"/>
    <x v="127"/>
    <x v="151"/>
    <x v="0"/>
  </r>
  <r>
    <x v="0"/>
    <x v="148"/>
    <x v="148"/>
    <x v="223"/>
    <x v="220"/>
    <x v="223"/>
    <x v="15"/>
    <x v="217"/>
    <x v="17"/>
    <x v="65"/>
    <x v="65"/>
    <x v="123"/>
    <x v="86"/>
    <x v="0"/>
  </r>
  <r>
    <x v="0"/>
    <x v="148"/>
    <x v="148"/>
    <x v="96"/>
    <x v="96"/>
    <x v="96"/>
    <x v="15"/>
    <x v="217"/>
    <x v="17"/>
    <x v="65"/>
    <x v="65"/>
    <x v="123"/>
    <x v="86"/>
    <x v="0"/>
  </r>
  <r>
    <x v="0"/>
    <x v="148"/>
    <x v="148"/>
    <x v="224"/>
    <x v="75"/>
    <x v="224"/>
    <x v="15"/>
    <x v="217"/>
    <x v="17"/>
    <x v="65"/>
    <x v="65"/>
    <x v="123"/>
    <x v="86"/>
    <x v="0"/>
  </r>
  <r>
    <x v="0"/>
    <x v="148"/>
    <x v="148"/>
    <x v="97"/>
    <x v="97"/>
    <x v="97"/>
    <x v="15"/>
    <x v="217"/>
    <x v="17"/>
    <x v="65"/>
    <x v="65"/>
    <x v="123"/>
    <x v="86"/>
    <x v="0"/>
  </r>
  <r>
    <x v="0"/>
    <x v="148"/>
    <x v="148"/>
    <x v="76"/>
    <x v="76"/>
    <x v="76"/>
    <x v="15"/>
    <x v="217"/>
    <x v="17"/>
    <x v="65"/>
    <x v="65"/>
    <x v="127"/>
    <x v="151"/>
    <x v="0"/>
  </r>
  <r>
    <x v="0"/>
    <x v="148"/>
    <x v="148"/>
    <x v="38"/>
    <x v="38"/>
    <x v="38"/>
    <x v="15"/>
    <x v="217"/>
    <x v="17"/>
    <x v="65"/>
    <x v="65"/>
    <x v="123"/>
    <x v="86"/>
    <x v="0"/>
  </r>
  <r>
    <x v="0"/>
    <x v="148"/>
    <x v="148"/>
    <x v="36"/>
    <x v="36"/>
    <x v="36"/>
    <x v="15"/>
    <x v="217"/>
    <x v="17"/>
    <x v="65"/>
    <x v="65"/>
    <x v="123"/>
    <x v="86"/>
    <x v="0"/>
  </r>
  <r>
    <x v="0"/>
    <x v="148"/>
    <x v="148"/>
    <x v="164"/>
    <x v="162"/>
    <x v="164"/>
    <x v="15"/>
    <x v="217"/>
    <x v="17"/>
    <x v="65"/>
    <x v="65"/>
    <x v="123"/>
    <x v="86"/>
    <x v="0"/>
  </r>
  <r>
    <x v="0"/>
    <x v="148"/>
    <x v="148"/>
    <x v="28"/>
    <x v="28"/>
    <x v="28"/>
    <x v="15"/>
    <x v="217"/>
    <x v="17"/>
    <x v="50"/>
    <x v="542"/>
    <x v="127"/>
    <x v="151"/>
    <x v="0"/>
  </r>
  <r>
    <x v="0"/>
    <x v="148"/>
    <x v="148"/>
    <x v="68"/>
    <x v="68"/>
    <x v="68"/>
    <x v="15"/>
    <x v="217"/>
    <x v="17"/>
    <x v="50"/>
    <x v="542"/>
    <x v="127"/>
    <x v="151"/>
    <x v="0"/>
  </r>
  <r>
    <x v="0"/>
    <x v="148"/>
    <x v="148"/>
    <x v="80"/>
    <x v="80"/>
    <x v="80"/>
    <x v="15"/>
    <x v="217"/>
    <x v="17"/>
    <x v="50"/>
    <x v="542"/>
    <x v="127"/>
    <x v="151"/>
    <x v="0"/>
  </r>
  <r>
    <x v="0"/>
    <x v="148"/>
    <x v="148"/>
    <x v="85"/>
    <x v="85"/>
    <x v="85"/>
    <x v="15"/>
    <x v="217"/>
    <x v="17"/>
    <x v="50"/>
    <x v="542"/>
    <x v="127"/>
    <x v="151"/>
    <x v="0"/>
  </r>
  <r>
    <x v="0"/>
    <x v="148"/>
    <x v="148"/>
    <x v="65"/>
    <x v="65"/>
    <x v="65"/>
    <x v="15"/>
    <x v="217"/>
    <x v="17"/>
    <x v="65"/>
    <x v="65"/>
    <x v="123"/>
    <x v="86"/>
    <x v="0"/>
  </r>
  <r>
    <x v="0"/>
    <x v="148"/>
    <x v="148"/>
    <x v="35"/>
    <x v="35"/>
    <x v="35"/>
    <x v="15"/>
    <x v="217"/>
    <x v="17"/>
    <x v="65"/>
    <x v="65"/>
    <x v="123"/>
    <x v="86"/>
    <x v="0"/>
  </r>
  <r>
    <x v="0"/>
    <x v="148"/>
    <x v="148"/>
    <x v="15"/>
    <x v="15"/>
    <x v="15"/>
    <x v="15"/>
    <x v="217"/>
    <x v="17"/>
    <x v="65"/>
    <x v="65"/>
    <x v="123"/>
    <x v="86"/>
    <x v="0"/>
  </r>
  <r>
    <x v="0"/>
    <x v="148"/>
    <x v="148"/>
    <x v="225"/>
    <x v="221"/>
    <x v="225"/>
    <x v="15"/>
    <x v="217"/>
    <x v="17"/>
    <x v="50"/>
    <x v="542"/>
    <x v="127"/>
    <x v="151"/>
    <x v="0"/>
  </r>
  <r>
    <x v="0"/>
    <x v="148"/>
    <x v="148"/>
    <x v="115"/>
    <x v="115"/>
    <x v="115"/>
    <x v="15"/>
    <x v="217"/>
    <x v="17"/>
    <x v="65"/>
    <x v="65"/>
    <x v="123"/>
    <x v="86"/>
    <x v="0"/>
  </r>
  <r>
    <x v="0"/>
    <x v="148"/>
    <x v="148"/>
    <x v="207"/>
    <x v="204"/>
    <x v="207"/>
    <x v="15"/>
    <x v="217"/>
    <x v="17"/>
    <x v="65"/>
    <x v="65"/>
    <x v="123"/>
    <x v="86"/>
    <x v="0"/>
  </r>
  <r>
    <x v="0"/>
    <x v="148"/>
    <x v="148"/>
    <x v="130"/>
    <x v="130"/>
    <x v="130"/>
    <x v="15"/>
    <x v="217"/>
    <x v="17"/>
    <x v="65"/>
    <x v="65"/>
    <x v="123"/>
    <x v="86"/>
    <x v="0"/>
  </r>
  <r>
    <x v="0"/>
    <x v="148"/>
    <x v="148"/>
    <x v="131"/>
    <x v="131"/>
    <x v="131"/>
    <x v="15"/>
    <x v="217"/>
    <x v="17"/>
    <x v="50"/>
    <x v="542"/>
    <x v="127"/>
    <x v="151"/>
    <x v="0"/>
  </r>
  <r>
    <x v="0"/>
    <x v="148"/>
    <x v="148"/>
    <x v="61"/>
    <x v="61"/>
    <x v="61"/>
    <x v="15"/>
    <x v="217"/>
    <x v="17"/>
    <x v="50"/>
    <x v="542"/>
    <x v="127"/>
    <x v="151"/>
    <x v="0"/>
  </r>
  <r>
    <x v="0"/>
    <x v="148"/>
    <x v="148"/>
    <x v="5"/>
    <x v="5"/>
    <x v="5"/>
    <x v="15"/>
    <x v="217"/>
    <x v="17"/>
    <x v="50"/>
    <x v="542"/>
    <x v="127"/>
    <x v="151"/>
    <x v="0"/>
  </r>
  <r>
    <x v="0"/>
    <x v="148"/>
    <x v="148"/>
    <x v="9"/>
    <x v="9"/>
    <x v="9"/>
    <x v="15"/>
    <x v="217"/>
    <x v="17"/>
    <x v="50"/>
    <x v="542"/>
    <x v="127"/>
    <x v="151"/>
    <x v="0"/>
  </r>
  <r>
    <x v="0"/>
    <x v="148"/>
    <x v="148"/>
    <x v="37"/>
    <x v="37"/>
    <x v="37"/>
    <x v="15"/>
    <x v="217"/>
    <x v="17"/>
    <x v="65"/>
    <x v="65"/>
    <x v="123"/>
    <x v="86"/>
    <x v="0"/>
  </r>
  <r>
    <x v="0"/>
    <x v="148"/>
    <x v="148"/>
    <x v="64"/>
    <x v="64"/>
    <x v="64"/>
    <x v="15"/>
    <x v="217"/>
    <x v="17"/>
    <x v="50"/>
    <x v="542"/>
    <x v="127"/>
    <x v="151"/>
    <x v="0"/>
  </r>
  <r>
    <x v="0"/>
    <x v="148"/>
    <x v="148"/>
    <x v="52"/>
    <x v="52"/>
    <x v="52"/>
    <x v="15"/>
    <x v="217"/>
    <x v="17"/>
    <x v="50"/>
    <x v="542"/>
    <x v="127"/>
    <x v="151"/>
    <x v="0"/>
  </r>
  <r>
    <x v="0"/>
    <x v="148"/>
    <x v="148"/>
    <x v="8"/>
    <x v="8"/>
    <x v="8"/>
    <x v="15"/>
    <x v="217"/>
    <x v="17"/>
    <x v="65"/>
    <x v="65"/>
    <x v="123"/>
    <x v="86"/>
    <x v="0"/>
  </r>
  <r>
    <x v="0"/>
    <x v="148"/>
    <x v="148"/>
    <x v="23"/>
    <x v="23"/>
    <x v="23"/>
    <x v="15"/>
    <x v="217"/>
    <x v="17"/>
    <x v="65"/>
    <x v="65"/>
    <x v="123"/>
    <x v="86"/>
    <x v="0"/>
  </r>
  <r>
    <x v="0"/>
    <x v="148"/>
    <x v="148"/>
    <x v="71"/>
    <x v="71"/>
    <x v="71"/>
    <x v="15"/>
    <x v="217"/>
    <x v="17"/>
    <x v="65"/>
    <x v="65"/>
    <x v="123"/>
    <x v="86"/>
    <x v="0"/>
  </r>
  <r>
    <x v="0"/>
    <x v="148"/>
    <x v="148"/>
    <x v="19"/>
    <x v="19"/>
    <x v="19"/>
    <x v="15"/>
    <x v="217"/>
    <x v="17"/>
    <x v="65"/>
    <x v="65"/>
    <x v="123"/>
    <x v="86"/>
    <x v="0"/>
  </r>
  <r>
    <x v="0"/>
    <x v="149"/>
    <x v="149"/>
    <x v="1"/>
    <x v="1"/>
    <x v="1"/>
    <x v="0"/>
    <x v="141"/>
    <x v="470"/>
    <x v="109"/>
    <x v="675"/>
    <x v="127"/>
    <x v="151"/>
    <x v="0"/>
  </r>
  <r>
    <x v="0"/>
    <x v="149"/>
    <x v="149"/>
    <x v="3"/>
    <x v="3"/>
    <x v="3"/>
    <x v="1"/>
    <x v="209"/>
    <x v="317"/>
    <x v="32"/>
    <x v="449"/>
    <x v="123"/>
    <x v="306"/>
    <x v="0"/>
  </r>
  <r>
    <x v="0"/>
    <x v="149"/>
    <x v="149"/>
    <x v="4"/>
    <x v="4"/>
    <x v="4"/>
    <x v="2"/>
    <x v="204"/>
    <x v="400"/>
    <x v="102"/>
    <x v="676"/>
    <x v="108"/>
    <x v="446"/>
    <x v="0"/>
  </r>
  <r>
    <x v="0"/>
    <x v="149"/>
    <x v="149"/>
    <x v="2"/>
    <x v="2"/>
    <x v="2"/>
    <x v="3"/>
    <x v="192"/>
    <x v="321"/>
    <x v="55"/>
    <x v="677"/>
    <x v="123"/>
    <x v="306"/>
    <x v="0"/>
  </r>
  <r>
    <x v="0"/>
    <x v="149"/>
    <x v="149"/>
    <x v="54"/>
    <x v="54"/>
    <x v="54"/>
    <x v="4"/>
    <x v="194"/>
    <x v="129"/>
    <x v="51"/>
    <x v="678"/>
    <x v="98"/>
    <x v="447"/>
    <x v="0"/>
  </r>
  <r>
    <x v="0"/>
    <x v="149"/>
    <x v="149"/>
    <x v="19"/>
    <x v="19"/>
    <x v="19"/>
    <x v="5"/>
    <x v="207"/>
    <x v="407"/>
    <x v="95"/>
    <x v="48"/>
    <x v="110"/>
    <x v="268"/>
    <x v="0"/>
  </r>
  <r>
    <x v="0"/>
    <x v="149"/>
    <x v="149"/>
    <x v="0"/>
    <x v="0"/>
    <x v="0"/>
    <x v="6"/>
    <x v="208"/>
    <x v="114"/>
    <x v="95"/>
    <x v="48"/>
    <x v="108"/>
    <x v="446"/>
    <x v="0"/>
  </r>
  <r>
    <x v="0"/>
    <x v="149"/>
    <x v="149"/>
    <x v="12"/>
    <x v="12"/>
    <x v="12"/>
    <x v="7"/>
    <x v="195"/>
    <x v="132"/>
    <x v="51"/>
    <x v="678"/>
    <x v="110"/>
    <x v="268"/>
    <x v="0"/>
  </r>
  <r>
    <x v="0"/>
    <x v="149"/>
    <x v="149"/>
    <x v="10"/>
    <x v="10"/>
    <x v="10"/>
    <x v="8"/>
    <x v="210"/>
    <x v="151"/>
    <x v="50"/>
    <x v="13"/>
    <x v="98"/>
    <x v="447"/>
    <x v="0"/>
  </r>
  <r>
    <x v="0"/>
    <x v="149"/>
    <x v="149"/>
    <x v="40"/>
    <x v="40"/>
    <x v="40"/>
    <x v="8"/>
    <x v="210"/>
    <x v="151"/>
    <x v="39"/>
    <x v="679"/>
    <x v="93"/>
    <x v="264"/>
    <x v="0"/>
  </r>
  <r>
    <x v="0"/>
    <x v="149"/>
    <x v="149"/>
    <x v="58"/>
    <x v="58"/>
    <x v="58"/>
    <x v="8"/>
    <x v="210"/>
    <x v="151"/>
    <x v="50"/>
    <x v="13"/>
    <x v="98"/>
    <x v="447"/>
    <x v="0"/>
  </r>
  <r>
    <x v="0"/>
    <x v="149"/>
    <x v="149"/>
    <x v="51"/>
    <x v="51"/>
    <x v="51"/>
    <x v="8"/>
    <x v="210"/>
    <x v="151"/>
    <x v="39"/>
    <x v="679"/>
    <x v="93"/>
    <x v="264"/>
    <x v="0"/>
  </r>
  <r>
    <x v="0"/>
    <x v="149"/>
    <x v="149"/>
    <x v="13"/>
    <x v="13"/>
    <x v="13"/>
    <x v="12"/>
    <x v="196"/>
    <x v="84"/>
    <x v="56"/>
    <x v="270"/>
    <x v="119"/>
    <x v="72"/>
    <x v="0"/>
  </r>
  <r>
    <x v="0"/>
    <x v="149"/>
    <x v="149"/>
    <x v="41"/>
    <x v="41"/>
    <x v="41"/>
    <x v="12"/>
    <x v="196"/>
    <x v="84"/>
    <x v="70"/>
    <x v="680"/>
    <x v="110"/>
    <x v="268"/>
    <x v="0"/>
  </r>
  <r>
    <x v="0"/>
    <x v="149"/>
    <x v="149"/>
    <x v="42"/>
    <x v="42"/>
    <x v="42"/>
    <x v="12"/>
    <x v="196"/>
    <x v="84"/>
    <x v="50"/>
    <x v="13"/>
    <x v="67"/>
    <x v="308"/>
    <x v="0"/>
  </r>
  <r>
    <x v="0"/>
    <x v="149"/>
    <x v="149"/>
    <x v="9"/>
    <x v="9"/>
    <x v="9"/>
    <x v="12"/>
    <x v="196"/>
    <x v="84"/>
    <x v="51"/>
    <x v="678"/>
    <x v="93"/>
    <x v="264"/>
    <x v="0"/>
  </r>
  <r>
    <x v="0"/>
    <x v="149"/>
    <x v="149"/>
    <x v="97"/>
    <x v="97"/>
    <x v="97"/>
    <x v="15"/>
    <x v="197"/>
    <x v="9"/>
    <x v="65"/>
    <x v="65"/>
    <x v="67"/>
    <x v="308"/>
    <x v="0"/>
  </r>
  <r>
    <x v="0"/>
    <x v="149"/>
    <x v="149"/>
    <x v="11"/>
    <x v="11"/>
    <x v="11"/>
    <x v="15"/>
    <x v="197"/>
    <x v="9"/>
    <x v="50"/>
    <x v="13"/>
    <x v="119"/>
    <x v="72"/>
    <x v="0"/>
  </r>
  <r>
    <x v="0"/>
    <x v="149"/>
    <x v="149"/>
    <x v="45"/>
    <x v="45"/>
    <x v="45"/>
    <x v="15"/>
    <x v="197"/>
    <x v="9"/>
    <x v="51"/>
    <x v="678"/>
    <x v="123"/>
    <x v="306"/>
    <x v="0"/>
  </r>
  <r>
    <x v="0"/>
    <x v="149"/>
    <x v="149"/>
    <x v="6"/>
    <x v="6"/>
    <x v="6"/>
    <x v="15"/>
    <x v="197"/>
    <x v="9"/>
    <x v="39"/>
    <x v="679"/>
    <x v="127"/>
    <x v="151"/>
    <x v="0"/>
  </r>
  <r>
    <x v="0"/>
    <x v="149"/>
    <x v="149"/>
    <x v="53"/>
    <x v="53"/>
    <x v="53"/>
    <x v="15"/>
    <x v="197"/>
    <x v="9"/>
    <x v="65"/>
    <x v="65"/>
    <x v="123"/>
    <x v="306"/>
    <x v="0"/>
  </r>
  <r>
    <x v="0"/>
    <x v="150"/>
    <x v="150"/>
    <x v="10"/>
    <x v="10"/>
    <x v="10"/>
    <x v="0"/>
    <x v="197"/>
    <x v="185"/>
    <x v="65"/>
    <x v="65"/>
    <x v="67"/>
    <x v="448"/>
    <x v="0"/>
  </r>
  <r>
    <x v="0"/>
    <x v="150"/>
    <x v="150"/>
    <x v="12"/>
    <x v="12"/>
    <x v="12"/>
    <x v="0"/>
    <x v="197"/>
    <x v="185"/>
    <x v="62"/>
    <x v="575"/>
    <x v="93"/>
    <x v="449"/>
    <x v="0"/>
  </r>
  <r>
    <x v="0"/>
    <x v="150"/>
    <x v="150"/>
    <x v="0"/>
    <x v="0"/>
    <x v="0"/>
    <x v="2"/>
    <x v="199"/>
    <x v="280"/>
    <x v="50"/>
    <x v="255"/>
    <x v="108"/>
    <x v="450"/>
    <x v="0"/>
  </r>
  <r>
    <x v="0"/>
    <x v="150"/>
    <x v="150"/>
    <x v="5"/>
    <x v="5"/>
    <x v="5"/>
    <x v="2"/>
    <x v="199"/>
    <x v="280"/>
    <x v="62"/>
    <x v="575"/>
    <x v="127"/>
    <x v="151"/>
    <x v="0"/>
  </r>
  <r>
    <x v="0"/>
    <x v="150"/>
    <x v="150"/>
    <x v="9"/>
    <x v="9"/>
    <x v="9"/>
    <x v="2"/>
    <x v="199"/>
    <x v="280"/>
    <x v="70"/>
    <x v="574"/>
    <x v="123"/>
    <x v="92"/>
    <x v="0"/>
  </r>
  <r>
    <x v="0"/>
    <x v="150"/>
    <x v="150"/>
    <x v="1"/>
    <x v="1"/>
    <x v="1"/>
    <x v="2"/>
    <x v="199"/>
    <x v="280"/>
    <x v="62"/>
    <x v="575"/>
    <x v="127"/>
    <x v="151"/>
    <x v="0"/>
  </r>
  <r>
    <x v="0"/>
    <x v="150"/>
    <x v="150"/>
    <x v="40"/>
    <x v="40"/>
    <x v="40"/>
    <x v="6"/>
    <x v="200"/>
    <x v="503"/>
    <x v="65"/>
    <x v="65"/>
    <x v="108"/>
    <x v="450"/>
    <x v="0"/>
  </r>
  <r>
    <x v="0"/>
    <x v="150"/>
    <x v="150"/>
    <x v="45"/>
    <x v="45"/>
    <x v="45"/>
    <x v="6"/>
    <x v="200"/>
    <x v="503"/>
    <x v="56"/>
    <x v="90"/>
    <x v="123"/>
    <x v="92"/>
    <x v="0"/>
  </r>
  <r>
    <x v="0"/>
    <x v="150"/>
    <x v="150"/>
    <x v="6"/>
    <x v="6"/>
    <x v="6"/>
    <x v="6"/>
    <x v="200"/>
    <x v="503"/>
    <x v="70"/>
    <x v="574"/>
    <x v="127"/>
    <x v="151"/>
    <x v="0"/>
  </r>
  <r>
    <x v="0"/>
    <x v="150"/>
    <x v="150"/>
    <x v="19"/>
    <x v="19"/>
    <x v="19"/>
    <x v="6"/>
    <x v="200"/>
    <x v="503"/>
    <x v="56"/>
    <x v="90"/>
    <x v="123"/>
    <x v="92"/>
    <x v="0"/>
  </r>
  <r>
    <x v="0"/>
    <x v="150"/>
    <x v="150"/>
    <x v="140"/>
    <x v="140"/>
    <x v="140"/>
    <x v="10"/>
    <x v="216"/>
    <x v="74"/>
    <x v="65"/>
    <x v="65"/>
    <x v="93"/>
    <x v="449"/>
    <x v="0"/>
  </r>
  <r>
    <x v="0"/>
    <x v="150"/>
    <x v="150"/>
    <x v="76"/>
    <x v="76"/>
    <x v="76"/>
    <x v="10"/>
    <x v="216"/>
    <x v="74"/>
    <x v="65"/>
    <x v="65"/>
    <x v="123"/>
    <x v="92"/>
    <x v="0"/>
  </r>
  <r>
    <x v="0"/>
    <x v="150"/>
    <x v="150"/>
    <x v="18"/>
    <x v="18"/>
    <x v="18"/>
    <x v="10"/>
    <x v="216"/>
    <x v="74"/>
    <x v="50"/>
    <x v="255"/>
    <x v="123"/>
    <x v="92"/>
    <x v="0"/>
  </r>
  <r>
    <x v="0"/>
    <x v="150"/>
    <x v="150"/>
    <x v="7"/>
    <x v="7"/>
    <x v="7"/>
    <x v="10"/>
    <x v="216"/>
    <x v="74"/>
    <x v="65"/>
    <x v="65"/>
    <x v="93"/>
    <x v="449"/>
    <x v="0"/>
  </r>
  <r>
    <x v="0"/>
    <x v="150"/>
    <x v="150"/>
    <x v="130"/>
    <x v="130"/>
    <x v="130"/>
    <x v="10"/>
    <x v="216"/>
    <x v="74"/>
    <x v="65"/>
    <x v="65"/>
    <x v="123"/>
    <x v="92"/>
    <x v="0"/>
  </r>
  <r>
    <x v="0"/>
    <x v="150"/>
    <x v="150"/>
    <x v="51"/>
    <x v="51"/>
    <x v="51"/>
    <x v="10"/>
    <x v="216"/>
    <x v="74"/>
    <x v="50"/>
    <x v="255"/>
    <x v="123"/>
    <x v="92"/>
    <x v="0"/>
  </r>
  <r>
    <x v="0"/>
    <x v="150"/>
    <x v="150"/>
    <x v="2"/>
    <x v="2"/>
    <x v="2"/>
    <x v="10"/>
    <x v="216"/>
    <x v="74"/>
    <x v="56"/>
    <x v="90"/>
    <x v="127"/>
    <x v="151"/>
    <x v="0"/>
  </r>
  <r>
    <x v="0"/>
    <x v="150"/>
    <x v="150"/>
    <x v="3"/>
    <x v="3"/>
    <x v="3"/>
    <x v="10"/>
    <x v="216"/>
    <x v="74"/>
    <x v="56"/>
    <x v="90"/>
    <x v="127"/>
    <x v="151"/>
    <x v="0"/>
  </r>
  <r>
    <x v="0"/>
    <x v="150"/>
    <x v="150"/>
    <x v="53"/>
    <x v="53"/>
    <x v="53"/>
    <x v="10"/>
    <x v="216"/>
    <x v="74"/>
    <x v="65"/>
    <x v="65"/>
    <x v="127"/>
    <x v="151"/>
    <x v="0"/>
  </r>
  <r>
    <x v="0"/>
    <x v="150"/>
    <x v="150"/>
    <x v="43"/>
    <x v="43"/>
    <x v="43"/>
    <x v="10"/>
    <x v="216"/>
    <x v="74"/>
    <x v="65"/>
    <x v="65"/>
    <x v="93"/>
    <x v="449"/>
    <x v="0"/>
  </r>
  <r>
    <x v="0"/>
    <x v="151"/>
    <x v="151"/>
    <x v="2"/>
    <x v="2"/>
    <x v="2"/>
    <x v="0"/>
    <x v="204"/>
    <x v="504"/>
    <x v="55"/>
    <x v="681"/>
    <x v="93"/>
    <x v="329"/>
    <x v="0"/>
  </r>
  <r>
    <x v="0"/>
    <x v="151"/>
    <x v="151"/>
    <x v="1"/>
    <x v="1"/>
    <x v="1"/>
    <x v="1"/>
    <x v="192"/>
    <x v="231"/>
    <x v="94"/>
    <x v="491"/>
    <x v="127"/>
    <x v="151"/>
    <x v="0"/>
  </r>
  <r>
    <x v="0"/>
    <x v="151"/>
    <x v="151"/>
    <x v="0"/>
    <x v="0"/>
    <x v="0"/>
    <x v="2"/>
    <x v="193"/>
    <x v="366"/>
    <x v="95"/>
    <x v="148"/>
    <x v="67"/>
    <x v="451"/>
    <x v="0"/>
  </r>
  <r>
    <x v="0"/>
    <x v="151"/>
    <x v="151"/>
    <x v="5"/>
    <x v="5"/>
    <x v="5"/>
    <x v="3"/>
    <x v="194"/>
    <x v="367"/>
    <x v="61"/>
    <x v="603"/>
    <x v="127"/>
    <x v="151"/>
    <x v="0"/>
  </r>
  <r>
    <x v="0"/>
    <x v="151"/>
    <x v="151"/>
    <x v="45"/>
    <x v="45"/>
    <x v="45"/>
    <x v="4"/>
    <x v="207"/>
    <x v="505"/>
    <x v="100"/>
    <x v="587"/>
    <x v="108"/>
    <x v="452"/>
    <x v="0"/>
  </r>
  <r>
    <x v="0"/>
    <x v="151"/>
    <x v="151"/>
    <x v="9"/>
    <x v="9"/>
    <x v="9"/>
    <x v="5"/>
    <x v="208"/>
    <x v="55"/>
    <x v="100"/>
    <x v="587"/>
    <x v="93"/>
    <x v="329"/>
    <x v="0"/>
  </r>
  <r>
    <x v="0"/>
    <x v="151"/>
    <x v="151"/>
    <x v="37"/>
    <x v="37"/>
    <x v="37"/>
    <x v="5"/>
    <x v="208"/>
    <x v="55"/>
    <x v="50"/>
    <x v="222"/>
    <x v="113"/>
    <x v="453"/>
    <x v="0"/>
  </r>
  <r>
    <x v="0"/>
    <x v="151"/>
    <x v="151"/>
    <x v="3"/>
    <x v="3"/>
    <x v="3"/>
    <x v="7"/>
    <x v="195"/>
    <x v="368"/>
    <x v="68"/>
    <x v="510"/>
    <x v="127"/>
    <x v="151"/>
    <x v="0"/>
  </r>
  <r>
    <x v="0"/>
    <x v="151"/>
    <x v="151"/>
    <x v="41"/>
    <x v="41"/>
    <x v="41"/>
    <x v="8"/>
    <x v="210"/>
    <x v="139"/>
    <x v="39"/>
    <x v="264"/>
    <x v="93"/>
    <x v="329"/>
    <x v="0"/>
  </r>
  <r>
    <x v="0"/>
    <x v="151"/>
    <x v="151"/>
    <x v="4"/>
    <x v="4"/>
    <x v="4"/>
    <x v="9"/>
    <x v="196"/>
    <x v="102"/>
    <x v="62"/>
    <x v="602"/>
    <x v="108"/>
    <x v="452"/>
    <x v="0"/>
  </r>
  <r>
    <x v="0"/>
    <x v="151"/>
    <x v="151"/>
    <x v="44"/>
    <x v="44"/>
    <x v="44"/>
    <x v="10"/>
    <x v="197"/>
    <x v="369"/>
    <x v="50"/>
    <x v="222"/>
    <x v="119"/>
    <x v="454"/>
    <x v="0"/>
  </r>
  <r>
    <x v="0"/>
    <x v="151"/>
    <x v="151"/>
    <x v="40"/>
    <x v="40"/>
    <x v="40"/>
    <x v="11"/>
    <x v="198"/>
    <x v="84"/>
    <x v="50"/>
    <x v="222"/>
    <x v="110"/>
    <x v="455"/>
    <x v="0"/>
  </r>
  <r>
    <x v="0"/>
    <x v="151"/>
    <x v="151"/>
    <x v="12"/>
    <x v="12"/>
    <x v="12"/>
    <x v="11"/>
    <x v="198"/>
    <x v="84"/>
    <x v="70"/>
    <x v="265"/>
    <x v="93"/>
    <x v="329"/>
    <x v="0"/>
  </r>
  <r>
    <x v="0"/>
    <x v="151"/>
    <x v="151"/>
    <x v="18"/>
    <x v="18"/>
    <x v="18"/>
    <x v="11"/>
    <x v="198"/>
    <x v="84"/>
    <x v="70"/>
    <x v="265"/>
    <x v="93"/>
    <x v="329"/>
    <x v="0"/>
  </r>
  <r>
    <x v="0"/>
    <x v="151"/>
    <x v="151"/>
    <x v="42"/>
    <x v="42"/>
    <x v="42"/>
    <x v="11"/>
    <x v="198"/>
    <x v="84"/>
    <x v="65"/>
    <x v="65"/>
    <x v="119"/>
    <x v="454"/>
    <x v="0"/>
  </r>
  <r>
    <x v="0"/>
    <x v="151"/>
    <x v="151"/>
    <x v="51"/>
    <x v="51"/>
    <x v="51"/>
    <x v="11"/>
    <x v="198"/>
    <x v="84"/>
    <x v="65"/>
    <x v="65"/>
    <x v="119"/>
    <x v="454"/>
    <x v="0"/>
  </r>
  <r>
    <x v="0"/>
    <x v="151"/>
    <x v="151"/>
    <x v="52"/>
    <x v="52"/>
    <x v="52"/>
    <x v="11"/>
    <x v="198"/>
    <x v="84"/>
    <x v="65"/>
    <x v="65"/>
    <x v="127"/>
    <x v="151"/>
    <x v="6"/>
  </r>
  <r>
    <x v="0"/>
    <x v="151"/>
    <x v="151"/>
    <x v="46"/>
    <x v="46"/>
    <x v="46"/>
    <x v="16"/>
    <x v="199"/>
    <x v="12"/>
    <x v="70"/>
    <x v="265"/>
    <x v="123"/>
    <x v="81"/>
    <x v="0"/>
  </r>
  <r>
    <x v="0"/>
    <x v="151"/>
    <x v="151"/>
    <x v="14"/>
    <x v="14"/>
    <x v="14"/>
    <x v="16"/>
    <x v="199"/>
    <x v="12"/>
    <x v="56"/>
    <x v="74"/>
    <x v="93"/>
    <x v="329"/>
    <x v="0"/>
  </r>
  <r>
    <x v="0"/>
    <x v="151"/>
    <x v="151"/>
    <x v="63"/>
    <x v="63"/>
    <x v="63"/>
    <x v="16"/>
    <x v="199"/>
    <x v="12"/>
    <x v="65"/>
    <x v="65"/>
    <x v="110"/>
    <x v="455"/>
    <x v="0"/>
  </r>
  <r>
    <x v="0"/>
    <x v="151"/>
    <x v="151"/>
    <x v="28"/>
    <x v="28"/>
    <x v="28"/>
    <x v="16"/>
    <x v="199"/>
    <x v="12"/>
    <x v="56"/>
    <x v="74"/>
    <x v="93"/>
    <x v="329"/>
    <x v="0"/>
  </r>
  <r>
    <x v="0"/>
    <x v="151"/>
    <x v="151"/>
    <x v="7"/>
    <x v="7"/>
    <x v="7"/>
    <x v="16"/>
    <x v="199"/>
    <x v="12"/>
    <x v="70"/>
    <x v="265"/>
    <x v="123"/>
    <x v="81"/>
    <x v="0"/>
  </r>
  <r>
    <x v="0"/>
    <x v="151"/>
    <x v="151"/>
    <x v="15"/>
    <x v="15"/>
    <x v="15"/>
    <x v="16"/>
    <x v="199"/>
    <x v="12"/>
    <x v="65"/>
    <x v="65"/>
    <x v="110"/>
    <x v="455"/>
    <x v="0"/>
  </r>
  <r>
    <x v="0"/>
    <x v="151"/>
    <x v="151"/>
    <x v="6"/>
    <x v="6"/>
    <x v="6"/>
    <x v="16"/>
    <x v="199"/>
    <x v="12"/>
    <x v="70"/>
    <x v="265"/>
    <x v="123"/>
    <x v="81"/>
    <x v="0"/>
  </r>
  <r>
    <x v="0"/>
    <x v="152"/>
    <x v="152"/>
    <x v="10"/>
    <x v="10"/>
    <x v="10"/>
    <x v="0"/>
    <x v="207"/>
    <x v="390"/>
    <x v="56"/>
    <x v="682"/>
    <x v="113"/>
    <x v="456"/>
    <x v="0"/>
  </r>
  <r>
    <x v="0"/>
    <x v="152"/>
    <x v="152"/>
    <x v="3"/>
    <x v="3"/>
    <x v="3"/>
    <x v="1"/>
    <x v="210"/>
    <x v="268"/>
    <x v="100"/>
    <x v="683"/>
    <x v="127"/>
    <x v="151"/>
    <x v="0"/>
  </r>
  <r>
    <x v="0"/>
    <x v="152"/>
    <x v="152"/>
    <x v="42"/>
    <x v="42"/>
    <x v="42"/>
    <x v="2"/>
    <x v="196"/>
    <x v="269"/>
    <x v="56"/>
    <x v="682"/>
    <x v="119"/>
    <x v="457"/>
    <x v="0"/>
  </r>
  <r>
    <x v="0"/>
    <x v="152"/>
    <x v="152"/>
    <x v="19"/>
    <x v="19"/>
    <x v="19"/>
    <x v="2"/>
    <x v="196"/>
    <x v="269"/>
    <x v="62"/>
    <x v="684"/>
    <x v="108"/>
    <x v="458"/>
    <x v="0"/>
  </r>
  <r>
    <x v="0"/>
    <x v="152"/>
    <x v="152"/>
    <x v="41"/>
    <x v="41"/>
    <x v="41"/>
    <x v="4"/>
    <x v="197"/>
    <x v="242"/>
    <x v="51"/>
    <x v="178"/>
    <x v="123"/>
    <x v="264"/>
    <x v="0"/>
  </r>
  <r>
    <x v="0"/>
    <x v="152"/>
    <x v="152"/>
    <x v="12"/>
    <x v="12"/>
    <x v="12"/>
    <x v="4"/>
    <x v="197"/>
    <x v="242"/>
    <x v="56"/>
    <x v="682"/>
    <x v="110"/>
    <x v="459"/>
    <x v="0"/>
  </r>
  <r>
    <x v="0"/>
    <x v="152"/>
    <x v="152"/>
    <x v="4"/>
    <x v="4"/>
    <x v="4"/>
    <x v="4"/>
    <x v="197"/>
    <x v="242"/>
    <x v="51"/>
    <x v="178"/>
    <x v="123"/>
    <x v="264"/>
    <x v="0"/>
  </r>
  <r>
    <x v="0"/>
    <x v="152"/>
    <x v="152"/>
    <x v="2"/>
    <x v="2"/>
    <x v="2"/>
    <x v="4"/>
    <x v="197"/>
    <x v="242"/>
    <x v="39"/>
    <x v="685"/>
    <x v="127"/>
    <x v="151"/>
    <x v="0"/>
  </r>
  <r>
    <x v="0"/>
    <x v="152"/>
    <x v="152"/>
    <x v="13"/>
    <x v="13"/>
    <x v="13"/>
    <x v="8"/>
    <x v="198"/>
    <x v="161"/>
    <x v="65"/>
    <x v="65"/>
    <x v="119"/>
    <x v="457"/>
    <x v="0"/>
  </r>
  <r>
    <x v="0"/>
    <x v="152"/>
    <x v="152"/>
    <x v="1"/>
    <x v="1"/>
    <x v="1"/>
    <x v="8"/>
    <x v="198"/>
    <x v="161"/>
    <x v="62"/>
    <x v="684"/>
    <x v="123"/>
    <x v="264"/>
    <x v="0"/>
  </r>
  <r>
    <x v="0"/>
    <x v="152"/>
    <x v="152"/>
    <x v="127"/>
    <x v="127"/>
    <x v="127"/>
    <x v="10"/>
    <x v="199"/>
    <x v="143"/>
    <x v="65"/>
    <x v="65"/>
    <x v="110"/>
    <x v="459"/>
    <x v="0"/>
  </r>
  <r>
    <x v="0"/>
    <x v="152"/>
    <x v="152"/>
    <x v="45"/>
    <x v="45"/>
    <x v="45"/>
    <x v="10"/>
    <x v="199"/>
    <x v="143"/>
    <x v="50"/>
    <x v="686"/>
    <x v="108"/>
    <x v="458"/>
    <x v="0"/>
  </r>
  <r>
    <x v="0"/>
    <x v="152"/>
    <x v="152"/>
    <x v="5"/>
    <x v="5"/>
    <x v="5"/>
    <x v="10"/>
    <x v="199"/>
    <x v="143"/>
    <x v="62"/>
    <x v="684"/>
    <x v="127"/>
    <x v="151"/>
    <x v="0"/>
  </r>
  <r>
    <x v="0"/>
    <x v="152"/>
    <x v="152"/>
    <x v="52"/>
    <x v="52"/>
    <x v="52"/>
    <x v="10"/>
    <x v="199"/>
    <x v="143"/>
    <x v="65"/>
    <x v="65"/>
    <x v="127"/>
    <x v="151"/>
    <x v="0"/>
  </r>
  <r>
    <x v="0"/>
    <x v="152"/>
    <x v="152"/>
    <x v="8"/>
    <x v="8"/>
    <x v="8"/>
    <x v="10"/>
    <x v="199"/>
    <x v="143"/>
    <x v="70"/>
    <x v="687"/>
    <x v="123"/>
    <x v="264"/>
    <x v="0"/>
  </r>
  <r>
    <x v="0"/>
    <x v="152"/>
    <x v="152"/>
    <x v="6"/>
    <x v="6"/>
    <x v="6"/>
    <x v="10"/>
    <x v="199"/>
    <x v="143"/>
    <x v="62"/>
    <x v="684"/>
    <x v="127"/>
    <x v="151"/>
    <x v="0"/>
  </r>
  <r>
    <x v="0"/>
    <x v="152"/>
    <x v="152"/>
    <x v="40"/>
    <x v="40"/>
    <x v="40"/>
    <x v="15"/>
    <x v="200"/>
    <x v="204"/>
    <x v="65"/>
    <x v="65"/>
    <x v="108"/>
    <x v="458"/>
    <x v="0"/>
  </r>
  <r>
    <x v="0"/>
    <x v="152"/>
    <x v="152"/>
    <x v="11"/>
    <x v="11"/>
    <x v="11"/>
    <x v="15"/>
    <x v="200"/>
    <x v="204"/>
    <x v="65"/>
    <x v="65"/>
    <x v="108"/>
    <x v="458"/>
    <x v="0"/>
  </r>
  <r>
    <x v="0"/>
    <x v="152"/>
    <x v="152"/>
    <x v="84"/>
    <x v="84"/>
    <x v="84"/>
    <x v="15"/>
    <x v="200"/>
    <x v="204"/>
    <x v="50"/>
    <x v="686"/>
    <x v="93"/>
    <x v="460"/>
    <x v="0"/>
  </r>
  <r>
    <x v="0"/>
    <x v="152"/>
    <x v="152"/>
    <x v="49"/>
    <x v="49"/>
    <x v="49"/>
    <x v="15"/>
    <x v="200"/>
    <x v="204"/>
    <x v="70"/>
    <x v="687"/>
    <x v="127"/>
    <x v="151"/>
    <x v="0"/>
  </r>
  <r>
    <x v="0"/>
    <x v="152"/>
    <x v="152"/>
    <x v="0"/>
    <x v="0"/>
    <x v="0"/>
    <x v="15"/>
    <x v="200"/>
    <x v="204"/>
    <x v="56"/>
    <x v="682"/>
    <x v="123"/>
    <x v="264"/>
    <x v="0"/>
  </r>
  <r>
    <x v="0"/>
    <x v="152"/>
    <x v="152"/>
    <x v="37"/>
    <x v="37"/>
    <x v="37"/>
    <x v="15"/>
    <x v="200"/>
    <x v="204"/>
    <x v="65"/>
    <x v="65"/>
    <x v="93"/>
    <x v="460"/>
    <x v="0"/>
  </r>
  <r>
    <x v="0"/>
    <x v="152"/>
    <x v="152"/>
    <x v="59"/>
    <x v="59"/>
    <x v="59"/>
    <x v="15"/>
    <x v="200"/>
    <x v="204"/>
    <x v="65"/>
    <x v="65"/>
    <x v="108"/>
    <x v="458"/>
    <x v="0"/>
  </r>
  <r>
    <x v="0"/>
    <x v="153"/>
    <x v="153"/>
    <x v="0"/>
    <x v="0"/>
    <x v="0"/>
    <x v="0"/>
    <x v="206"/>
    <x v="506"/>
    <x v="61"/>
    <x v="629"/>
    <x v="93"/>
    <x v="107"/>
    <x v="0"/>
  </r>
  <r>
    <x v="0"/>
    <x v="153"/>
    <x v="153"/>
    <x v="5"/>
    <x v="5"/>
    <x v="5"/>
    <x v="1"/>
    <x v="208"/>
    <x v="507"/>
    <x v="68"/>
    <x v="632"/>
    <x v="123"/>
    <x v="278"/>
    <x v="0"/>
  </r>
  <r>
    <x v="0"/>
    <x v="153"/>
    <x v="153"/>
    <x v="2"/>
    <x v="2"/>
    <x v="2"/>
    <x v="1"/>
    <x v="208"/>
    <x v="507"/>
    <x v="77"/>
    <x v="688"/>
    <x v="127"/>
    <x v="151"/>
    <x v="0"/>
  </r>
  <r>
    <x v="0"/>
    <x v="153"/>
    <x v="153"/>
    <x v="10"/>
    <x v="10"/>
    <x v="10"/>
    <x v="3"/>
    <x v="210"/>
    <x v="508"/>
    <x v="50"/>
    <x v="271"/>
    <x v="98"/>
    <x v="461"/>
    <x v="0"/>
  </r>
  <r>
    <x v="0"/>
    <x v="153"/>
    <x v="153"/>
    <x v="3"/>
    <x v="3"/>
    <x v="3"/>
    <x v="4"/>
    <x v="196"/>
    <x v="157"/>
    <x v="95"/>
    <x v="689"/>
    <x v="127"/>
    <x v="151"/>
    <x v="0"/>
  </r>
  <r>
    <x v="0"/>
    <x v="153"/>
    <x v="153"/>
    <x v="1"/>
    <x v="1"/>
    <x v="1"/>
    <x v="4"/>
    <x v="196"/>
    <x v="157"/>
    <x v="95"/>
    <x v="689"/>
    <x v="127"/>
    <x v="151"/>
    <x v="0"/>
  </r>
  <r>
    <x v="0"/>
    <x v="153"/>
    <x v="153"/>
    <x v="46"/>
    <x v="46"/>
    <x v="46"/>
    <x v="6"/>
    <x v="198"/>
    <x v="219"/>
    <x v="70"/>
    <x v="630"/>
    <x v="93"/>
    <x v="107"/>
    <x v="0"/>
  </r>
  <r>
    <x v="0"/>
    <x v="153"/>
    <x v="153"/>
    <x v="4"/>
    <x v="4"/>
    <x v="4"/>
    <x v="6"/>
    <x v="198"/>
    <x v="219"/>
    <x v="51"/>
    <x v="296"/>
    <x v="127"/>
    <x v="151"/>
    <x v="0"/>
  </r>
  <r>
    <x v="0"/>
    <x v="153"/>
    <x v="153"/>
    <x v="37"/>
    <x v="37"/>
    <x v="37"/>
    <x v="6"/>
    <x v="198"/>
    <x v="219"/>
    <x v="65"/>
    <x v="65"/>
    <x v="108"/>
    <x v="82"/>
    <x v="0"/>
  </r>
  <r>
    <x v="0"/>
    <x v="153"/>
    <x v="153"/>
    <x v="17"/>
    <x v="17"/>
    <x v="17"/>
    <x v="9"/>
    <x v="199"/>
    <x v="96"/>
    <x v="50"/>
    <x v="271"/>
    <x v="108"/>
    <x v="82"/>
    <x v="0"/>
  </r>
  <r>
    <x v="0"/>
    <x v="153"/>
    <x v="153"/>
    <x v="40"/>
    <x v="40"/>
    <x v="40"/>
    <x v="9"/>
    <x v="199"/>
    <x v="96"/>
    <x v="56"/>
    <x v="690"/>
    <x v="93"/>
    <x v="107"/>
    <x v="0"/>
  </r>
  <r>
    <x v="0"/>
    <x v="153"/>
    <x v="153"/>
    <x v="31"/>
    <x v="31"/>
    <x v="31"/>
    <x v="9"/>
    <x v="199"/>
    <x v="96"/>
    <x v="70"/>
    <x v="630"/>
    <x v="123"/>
    <x v="278"/>
    <x v="0"/>
  </r>
  <r>
    <x v="0"/>
    <x v="153"/>
    <x v="153"/>
    <x v="54"/>
    <x v="54"/>
    <x v="54"/>
    <x v="9"/>
    <x v="199"/>
    <x v="96"/>
    <x v="56"/>
    <x v="690"/>
    <x v="93"/>
    <x v="107"/>
    <x v="0"/>
  </r>
  <r>
    <x v="0"/>
    <x v="153"/>
    <x v="153"/>
    <x v="96"/>
    <x v="96"/>
    <x v="96"/>
    <x v="9"/>
    <x v="199"/>
    <x v="96"/>
    <x v="65"/>
    <x v="65"/>
    <x v="110"/>
    <x v="462"/>
    <x v="0"/>
  </r>
  <r>
    <x v="0"/>
    <x v="153"/>
    <x v="153"/>
    <x v="21"/>
    <x v="21"/>
    <x v="21"/>
    <x v="9"/>
    <x v="199"/>
    <x v="96"/>
    <x v="65"/>
    <x v="65"/>
    <x v="110"/>
    <x v="462"/>
    <x v="0"/>
  </r>
  <r>
    <x v="0"/>
    <x v="153"/>
    <x v="153"/>
    <x v="11"/>
    <x v="11"/>
    <x v="11"/>
    <x v="9"/>
    <x v="199"/>
    <x v="96"/>
    <x v="62"/>
    <x v="691"/>
    <x v="127"/>
    <x v="151"/>
    <x v="0"/>
  </r>
  <r>
    <x v="0"/>
    <x v="153"/>
    <x v="153"/>
    <x v="61"/>
    <x v="61"/>
    <x v="61"/>
    <x v="9"/>
    <x v="199"/>
    <x v="96"/>
    <x v="70"/>
    <x v="630"/>
    <x v="123"/>
    <x v="278"/>
    <x v="0"/>
  </r>
  <r>
    <x v="0"/>
    <x v="153"/>
    <x v="153"/>
    <x v="26"/>
    <x v="26"/>
    <x v="26"/>
    <x v="9"/>
    <x v="199"/>
    <x v="96"/>
    <x v="65"/>
    <x v="65"/>
    <x v="108"/>
    <x v="82"/>
    <x v="6"/>
  </r>
  <r>
    <x v="0"/>
    <x v="153"/>
    <x v="153"/>
    <x v="13"/>
    <x v="13"/>
    <x v="13"/>
    <x v="17"/>
    <x v="200"/>
    <x v="117"/>
    <x v="50"/>
    <x v="271"/>
    <x v="93"/>
    <x v="107"/>
    <x v="0"/>
  </r>
  <r>
    <x v="0"/>
    <x v="153"/>
    <x v="153"/>
    <x v="14"/>
    <x v="14"/>
    <x v="14"/>
    <x v="17"/>
    <x v="200"/>
    <x v="117"/>
    <x v="50"/>
    <x v="271"/>
    <x v="93"/>
    <x v="107"/>
    <x v="0"/>
  </r>
  <r>
    <x v="0"/>
    <x v="153"/>
    <x v="153"/>
    <x v="28"/>
    <x v="28"/>
    <x v="28"/>
    <x v="17"/>
    <x v="200"/>
    <x v="117"/>
    <x v="56"/>
    <x v="690"/>
    <x v="123"/>
    <x v="278"/>
    <x v="0"/>
  </r>
  <r>
    <x v="0"/>
    <x v="153"/>
    <x v="153"/>
    <x v="44"/>
    <x v="44"/>
    <x v="44"/>
    <x v="17"/>
    <x v="200"/>
    <x v="117"/>
    <x v="70"/>
    <x v="630"/>
    <x v="127"/>
    <x v="151"/>
    <x v="0"/>
  </r>
  <r>
    <x v="0"/>
    <x v="153"/>
    <x v="153"/>
    <x v="41"/>
    <x v="41"/>
    <x v="41"/>
    <x v="17"/>
    <x v="200"/>
    <x v="117"/>
    <x v="70"/>
    <x v="630"/>
    <x v="127"/>
    <x v="151"/>
    <x v="0"/>
  </r>
  <r>
    <x v="0"/>
    <x v="153"/>
    <x v="153"/>
    <x v="12"/>
    <x v="12"/>
    <x v="12"/>
    <x v="17"/>
    <x v="200"/>
    <x v="117"/>
    <x v="56"/>
    <x v="690"/>
    <x v="123"/>
    <x v="278"/>
    <x v="0"/>
  </r>
  <r>
    <x v="0"/>
    <x v="153"/>
    <x v="153"/>
    <x v="42"/>
    <x v="42"/>
    <x v="42"/>
    <x v="17"/>
    <x v="200"/>
    <x v="117"/>
    <x v="50"/>
    <x v="271"/>
    <x v="93"/>
    <x v="107"/>
    <x v="0"/>
  </r>
  <r>
    <x v="0"/>
    <x v="153"/>
    <x v="153"/>
    <x v="65"/>
    <x v="65"/>
    <x v="65"/>
    <x v="17"/>
    <x v="200"/>
    <x v="117"/>
    <x v="65"/>
    <x v="65"/>
    <x v="108"/>
    <x v="82"/>
    <x v="0"/>
  </r>
  <r>
    <x v="0"/>
    <x v="153"/>
    <x v="153"/>
    <x v="45"/>
    <x v="45"/>
    <x v="45"/>
    <x v="17"/>
    <x v="200"/>
    <x v="117"/>
    <x v="50"/>
    <x v="271"/>
    <x v="93"/>
    <x v="107"/>
    <x v="0"/>
  </r>
  <r>
    <x v="0"/>
    <x v="153"/>
    <x v="153"/>
    <x v="9"/>
    <x v="9"/>
    <x v="9"/>
    <x v="17"/>
    <x v="200"/>
    <x v="117"/>
    <x v="70"/>
    <x v="630"/>
    <x v="127"/>
    <x v="151"/>
    <x v="0"/>
  </r>
  <r>
    <x v="0"/>
    <x v="153"/>
    <x v="153"/>
    <x v="23"/>
    <x v="23"/>
    <x v="23"/>
    <x v="17"/>
    <x v="200"/>
    <x v="117"/>
    <x v="70"/>
    <x v="630"/>
    <x v="127"/>
    <x v="151"/>
    <x v="0"/>
  </r>
  <r>
    <x v="0"/>
    <x v="153"/>
    <x v="153"/>
    <x v="43"/>
    <x v="43"/>
    <x v="43"/>
    <x v="17"/>
    <x v="200"/>
    <x v="117"/>
    <x v="65"/>
    <x v="65"/>
    <x v="108"/>
    <x v="82"/>
    <x v="0"/>
  </r>
  <r>
    <x v="0"/>
    <x v="154"/>
    <x v="154"/>
    <x v="1"/>
    <x v="1"/>
    <x v="1"/>
    <x v="0"/>
    <x v="204"/>
    <x v="222"/>
    <x v="32"/>
    <x v="692"/>
    <x v="127"/>
    <x v="151"/>
    <x v="0"/>
  </r>
  <r>
    <x v="0"/>
    <x v="154"/>
    <x v="154"/>
    <x v="4"/>
    <x v="4"/>
    <x v="4"/>
    <x v="1"/>
    <x v="206"/>
    <x v="265"/>
    <x v="68"/>
    <x v="693"/>
    <x v="119"/>
    <x v="463"/>
    <x v="0"/>
  </r>
  <r>
    <x v="0"/>
    <x v="154"/>
    <x v="154"/>
    <x v="3"/>
    <x v="3"/>
    <x v="3"/>
    <x v="1"/>
    <x v="206"/>
    <x v="265"/>
    <x v="38"/>
    <x v="694"/>
    <x v="123"/>
    <x v="43"/>
    <x v="0"/>
  </r>
  <r>
    <x v="0"/>
    <x v="154"/>
    <x v="154"/>
    <x v="42"/>
    <x v="42"/>
    <x v="42"/>
    <x v="3"/>
    <x v="208"/>
    <x v="509"/>
    <x v="50"/>
    <x v="440"/>
    <x v="113"/>
    <x v="464"/>
    <x v="0"/>
  </r>
  <r>
    <x v="0"/>
    <x v="154"/>
    <x v="154"/>
    <x v="51"/>
    <x v="51"/>
    <x v="51"/>
    <x v="3"/>
    <x v="208"/>
    <x v="509"/>
    <x v="100"/>
    <x v="611"/>
    <x v="93"/>
    <x v="465"/>
    <x v="0"/>
  </r>
  <r>
    <x v="0"/>
    <x v="154"/>
    <x v="154"/>
    <x v="2"/>
    <x v="2"/>
    <x v="2"/>
    <x v="3"/>
    <x v="208"/>
    <x v="509"/>
    <x v="77"/>
    <x v="444"/>
    <x v="127"/>
    <x v="151"/>
    <x v="0"/>
  </r>
  <r>
    <x v="0"/>
    <x v="154"/>
    <x v="154"/>
    <x v="13"/>
    <x v="13"/>
    <x v="13"/>
    <x v="6"/>
    <x v="210"/>
    <x v="407"/>
    <x v="50"/>
    <x v="440"/>
    <x v="98"/>
    <x v="466"/>
    <x v="0"/>
  </r>
  <r>
    <x v="0"/>
    <x v="154"/>
    <x v="154"/>
    <x v="10"/>
    <x v="10"/>
    <x v="10"/>
    <x v="7"/>
    <x v="196"/>
    <x v="273"/>
    <x v="65"/>
    <x v="65"/>
    <x v="98"/>
    <x v="466"/>
    <x v="0"/>
  </r>
  <r>
    <x v="0"/>
    <x v="154"/>
    <x v="154"/>
    <x v="45"/>
    <x v="45"/>
    <x v="45"/>
    <x v="7"/>
    <x v="196"/>
    <x v="273"/>
    <x v="39"/>
    <x v="610"/>
    <x v="123"/>
    <x v="43"/>
    <x v="0"/>
  </r>
  <r>
    <x v="0"/>
    <x v="154"/>
    <x v="154"/>
    <x v="19"/>
    <x v="19"/>
    <x v="19"/>
    <x v="7"/>
    <x v="196"/>
    <x v="273"/>
    <x v="56"/>
    <x v="436"/>
    <x v="119"/>
    <x v="463"/>
    <x v="0"/>
  </r>
  <r>
    <x v="0"/>
    <x v="154"/>
    <x v="154"/>
    <x v="44"/>
    <x v="44"/>
    <x v="44"/>
    <x v="10"/>
    <x v="197"/>
    <x v="150"/>
    <x v="70"/>
    <x v="439"/>
    <x v="108"/>
    <x v="139"/>
    <x v="0"/>
  </r>
  <r>
    <x v="0"/>
    <x v="154"/>
    <x v="154"/>
    <x v="7"/>
    <x v="7"/>
    <x v="7"/>
    <x v="10"/>
    <x v="197"/>
    <x v="150"/>
    <x v="70"/>
    <x v="439"/>
    <x v="108"/>
    <x v="139"/>
    <x v="0"/>
  </r>
  <r>
    <x v="0"/>
    <x v="154"/>
    <x v="154"/>
    <x v="0"/>
    <x v="0"/>
    <x v="0"/>
    <x v="10"/>
    <x v="197"/>
    <x v="150"/>
    <x v="56"/>
    <x v="436"/>
    <x v="110"/>
    <x v="467"/>
    <x v="0"/>
  </r>
  <r>
    <x v="0"/>
    <x v="154"/>
    <x v="154"/>
    <x v="5"/>
    <x v="5"/>
    <x v="5"/>
    <x v="13"/>
    <x v="198"/>
    <x v="60"/>
    <x v="62"/>
    <x v="362"/>
    <x v="123"/>
    <x v="43"/>
    <x v="0"/>
  </r>
  <r>
    <x v="0"/>
    <x v="154"/>
    <x v="154"/>
    <x v="226"/>
    <x v="222"/>
    <x v="226"/>
    <x v="13"/>
    <x v="198"/>
    <x v="60"/>
    <x v="62"/>
    <x v="362"/>
    <x v="123"/>
    <x v="43"/>
    <x v="0"/>
  </r>
  <r>
    <x v="0"/>
    <x v="154"/>
    <x v="154"/>
    <x v="8"/>
    <x v="8"/>
    <x v="8"/>
    <x v="13"/>
    <x v="198"/>
    <x v="60"/>
    <x v="51"/>
    <x v="695"/>
    <x v="127"/>
    <x v="151"/>
    <x v="0"/>
  </r>
  <r>
    <x v="0"/>
    <x v="154"/>
    <x v="154"/>
    <x v="53"/>
    <x v="53"/>
    <x v="53"/>
    <x v="13"/>
    <x v="198"/>
    <x v="60"/>
    <x v="65"/>
    <x v="65"/>
    <x v="127"/>
    <x v="151"/>
    <x v="0"/>
  </r>
  <r>
    <x v="0"/>
    <x v="154"/>
    <x v="154"/>
    <x v="14"/>
    <x v="14"/>
    <x v="14"/>
    <x v="16"/>
    <x v="199"/>
    <x v="65"/>
    <x v="50"/>
    <x v="440"/>
    <x v="108"/>
    <x v="139"/>
    <x v="0"/>
  </r>
  <r>
    <x v="0"/>
    <x v="154"/>
    <x v="154"/>
    <x v="54"/>
    <x v="54"/>
    <x v="54"/>
    <x v="16"/>
    <x v="199"/>
    <x v="65"/>
    <x v="65"/>
    <x v="65"/>
    <x v="110"/>
    <x v="467"/>
    <x v="0"/>
  </r>
  <r>
    <x v="0"/>
    <x v="154"/>
    <x v="154"/>
    <x v="62"/>
    <x v="62"/>
    <x v="62"/>
    <x v="16"/>
    <x v="199"/>
    <x v="65"/>
    <x v="50"/>
    <x v="440"/>
    <x v="108"/>
    <x v="139"/>
    <x v="0"/>
  </r>
  <r>
    <x v="0"/>
    <x v="154"/>
    <x v="154"/>
    <x v="11"/>
    <x v="11"/>
    <x v="11"/>
    <x v="16"/>
    <x v="199"/>
    <x v="65"/>
    <x v="56"/>
    <x v="436"/>
    <x v="93"/>
    <x v="465"/>
    <x v="0"/>
  </r>
  <r>
    <x v="0"/>
    <x v="154"/>
    <x v="154"/>
    <x v="47"/>
    <x v="47"/>
    <x v="47"/>
    <x v="16"/>
    <x v="199"/>
    <x v="65"/>
    <x v="56"/>
    <x v="436"/>
    <x v="93"/>
    <x v="465"/>
    <x v="0"/>
  </r>
  <r>
    <x v="0"/>
    <x v="154"/>
    <x v="154"/>
    <x v="84"/>
    <x v="84"/>
    <x v="84"/>
    <x v="16"/>
    <x v="199"/>
    <x v="65"/>
    <x v="50"/>
    <x v="440"/>
    <x v="108"/>
    <x v="139"/>
    <x v="0"/>
  </r>
  <r>
    <x v="0"/>
    <x v="154"/>
    <x v="154"/>
    <x v="61"/>
    <x v="61"/>
    <x v="61"/>
    <x v="16"/>
    <x v="199"/>
    <x v="65"/>
    <x v="62"/>
    <x v="362"/>
    <x v="127"/>
    <x v="151"/>
    <x v="0"/>
  </r>
  <r>
    <x v="0"/>
    <x v="154"/>
    <x v="154"/>
    <x v="23"/>
    <x v="23"/>
    <x v="23"/>
    <x v="16"/>
    <x v="199"/>
    <x v="65"/>
    <x v="62"/>
    <x v="362"/>
    <x v="127"/>
    <x v="151"/>
    <x v="0"/>
  </r>
  <r>
    <x v="0"/>
    <x v="154"/>
    <x v="154"/>
    <x v="43"/>
    <x v="43"/>
    <x v="43"/>
    <x v="16"/>
    <x v="199"/>
    <x v="65"/>
    <x v="65"/>
    <x v="65"/>
    <x v="93"/>
    <x v="465"/>
    <x v="0"/>
  </r>
  <r>
    <x v="0"/>
    <x v="155"/>
    <x v="155"/>
    <x v="10"/>
    <x v="10"/>
    <x v="10"/>
    <x v="0"/>
    <x v="208"/>
    <x v="510"/>
    <x v="62"/>
    <x v="631"/>
    <x v="67"/>
    <x v="428"/>
    <x v="0"/>
  </r>
  <r>
    <x v="0"/>
    <x v="155"/>
    <x v="155"/>
    <x v="3"/>
    <x v="3"/>
    <x v="3"/>
    <x v="1"/>
    <x v="196"/>
    <x v="217"/>
    <x v="95"/>
    <x v="696"/>
    <x v="127"/>
    <x v="151"/>
    <x v="0"/>
  </r>
  <r>
    <x v="0"/>
    <x v="155"/>
    <x v="155"/>
    <x v="42"/>
    <x v="42"/>
    <x v="42"/>
    <x v="2"/>
    <x v="197"/>
    <x v="186"/>
    <x v="65"/>
    <x v="65"/>
    <x v="67"/>
    <x v="428"/>
    <x v="0"/>
  </r>
  <r>
    <x v="0"/>
    <x v="155"/>
    <x v="155"/>
    <x v="1"/>
    <x v="1"/>
    <x v="1"/>
    <x v="2"/>
    <x v="197"/>
    <x v="186"/>
    <x v="39"/>
    <x v="632"/>
    <x v="127"/>
    <x v="151"/>
    <x v="0"/>
  </r>
  <r>
    <x v="0"/>
    <x v="155"/>
    <x v="155"/>
    <x v="45"/>
    <x v="45"/>
    <x v="45"/>
    <x v="4"/>
    <x v="198"/>
    <x v="478"/>
    <x v="62"/>
    <x v="631"/>
    <x v="123"/>
    <x v="404"/>
    <x v="0"/>
  </r>
  <r>
    <x v="0"/>
    <x v="155"/>
    <x v="155"/>
    <x v="19"/>
    <x v="19"/>
    <x v="19"/>
    <x v="4"/>
    <x v="198"/>
    <x v="478"/>
    <x v="70"/>
    <x v="307"/>
    <x v="93"/>
    <x v="406"/>
    <x v="0"/>
  </r>
  <r>
    <x v="0"/>
    <x v="155"/>
    <x v="155"/>
    <x v="68"/>
    <x v="68"/>
    <x v="68"/>
    <x v="6"/>
    <x v="199"/>
    <x v="443"/>
    <x v="70"/>
    <x v="307"/>
    <x v="123"/>
    <x v="404"/>
    <x v="0"/>
  </r>
  <r>
    <x v="0"/>
    <x v="155"/>
    <x v="155"/>
    <x v="11"/>
    <x v="11"/>
    <x v="11"/>
    <x v="6"/>
    <x v="199"/>
    <x v="443"/>
    <x v="56"/>
    <x v="630"/>
    <x v="93"/>
    <x v="406"/>
    <x v="0"/>
  </r>
  <r>
    <x v="0"/>
    <x v="155"/>
    <x v="155"/>
    <x v="84"/>
    <x v="84"/>
    <x v="84"/>
    <x v="6"/>
    <x v="199"/>
    <x v="443"/>
    <x v="65"/>
    <x v="65"/>
    <x v="110"/>
    <x v="408"/>
    <x v="0"/>
  </r>
  <r>
    <x v="0"/>
    <x v="155"/>
    <x v="155"/>
    <x v="7"/>
    <x v="7"/>
    <x v="7"/>
    <x v="6"/>
    <x v="199"/>
    <x v="443"/>
    <x v="62"/>
    <x v="631"/>
    <x v="127"/>
    <x v="151"/>
    <x v="0"/>
  </r>
  <r>
    <x v="0"/>
    <x v="155"/>
    <x v="155"/>
    <x v="133"/>
    <x v="133"/>
    <x v="133"/>
    <x v="6"/>
    <x v="199"/>
    <x v="443"/>
    <x v="62"/>
    <x v="631"/>
    <x v="127"/>
    <x v="151"/>
    <x v="0"/>
  </r>
  <r>
    <x v="0"/>
    <x v="155"/>
    <x v="155"/>
    <x v="4"/>
    <x v="4"/>
    <x v="4"/>
    <x v="6"/>
    <x v="199"/>
    <x v="443"/>
    <x v="62"/>
    <x v="631"/>
    <x v="127"/>
    <x v="151"/>
    <x v="0"/>
  </r>
  <r>
    <x v="0"/>
    <x v="155"/>
    <x v="155"/>
    <x v="53"/>
    <x v="53"/>
    <x v="53"/>
    <x v="6"/>
    <x v="199"/>
    <x v="443"/>
    <x v="65"/>
    <x v="65"/>
    <x v="127"/>
    <x v="151"/>
    <x v="0"/>
  </r>
  <r>
    <x v="0"/>
    <x v="155"/>
    <x v="155"/>
    <x v="21"/>
    <x v="21"/>
    <x v="21"/>
    <x v="13"/>
    <x v="200"/>
    <x v="178"/>
    <x v="56"/>
    <x v="630"/>
    <x v="123"/>
    <x v="404"/>
    <x v="0"/>
  </r>
  <r>
    <x v="0"/>
    <x v="155"/>
    <x v="155"/>
    <x v="49"/>
    <x v="49"/>
    <x v="49"/>
    <x v="13"/>
    <x v="200"/>
    <x v="178"/>
    <x v="56"/>
    <x v="630"/>
    <x v="123"/>
    <x v="404"/>
    <x v="0"/>
  </r>
  <r>
    <x v="0"/>
    <x v="155"/>
    <x v="155"/>
    <x v="0"/>
    <x v="0"/>
    <x v="0"/>
    <x v="13"/>
    <x v="200"/>
    <x v="178"/>
    <x v="56"/>
    <x v="630"/>
    <x v="123"/>
    <x v="404"/>
    <x v="0"/>
  </r>
  <r>
    <x v="0"/>
    <x v="155"/>
    <x v="155"/>
    <x v="52"/>
    <x v="52"/>
    <x v="52"/>
    <x v="13"/>
    <x v="200"/>
    <x v="178"/>
    <x v="50"/>
    <x v="674"/>
    <x v="127"/>
    <x v="151"/>
    <x v="0"/>
  </r>
  <r>
    <x v="0"/>
    <x v="155"/>
    <x v="155"/>
    <x v="23"/>
    <x v="23"/>
    <x v="23"/>
    <x v="13"/>
    <x v="200"/>
    <x v="178"/>
    <x v="56"/>
    <x v="630"/>
    <x v="123"/>
    <x v="404"/>
    <x v="0"/>
  </r>
  <r>
    <x v="0"/>
    <x v="155"/>
    <x v="155"/>
    <x v="140"/>
    <x v="140"/>
    <x v="140"/>
    <x v="17"/>
    <x v="216"/>
    <x v="118"/>
    <x v="65"/>
    <x v="65"/>
    <x v="93"/>
    <x v="406"/>
    <x v="0"/>
  </r>
  <r>
    <x v="0"/>
    <x v="155"/>
    <x v="155"/>
    <x v="87"/>
    <x v="87"/>
    <x v="87"/>
    <x v="17"/>
    <x v="216"/>
    <x v="118"/>
    <x v="65"/>
    <x v="65"/>
    <x v="93"/>
    <x v="406"/>
    <x v="0"/>
  </r>
  <r>
    <x v="0"/>
    <x v="155"/>
    <x v="155"/>
    <x v="46"/>
    <x v="46"/>
    <x v="46"/>
    <x v="17"/>
    <x v="216"/>
    <x v="118"/>
    <x v="56"/>
    <x v="630"/>
    <x v="127"/>
    <x v="151"/>
    <x v="0"/>
  </r>
  <r>
    <x v="0"/>
    <x v="155"/>
    <x v="155"/>
    <x v="14"/>
    <x v="14"/>
    <x v="14"/>
    <x v="17"/>
    <x v="216"/>
    <x v="118"/>
    <x v="56"/>
    <x v="630"/>
    <x v="127"/>
    <x v="151"/>
    <x v="0"/>
  </r>
  <r>
    <x v="0"/>
    <x v="155"/>
    <x v="155"/>
    <x v="144"/>
    <x v="144"/>
    <x v="144"/>
    <x v="17"/>
    <x v="216"/>
    <x v="118"/>
    <x v="50"/>
    <x v="674"/>
    <x v="123"/>
    <x v="404"/>
    <x v="0"/>
  </r>
  <r>
    <x v="0"/>
    <x v="155"/>
    <x v="155"/>
    <x v="38"/>
    <x v="38"/>
    <x v="38"/>
    <x v="17"/>
    <x v="216"/>
    <x v="118"/>
    <x v="50"/>
    <x v="674"/>
    <x v="123"/>
    <x v="404"/>
    <x v="0"/>
  </r>
  <r>
    <x v="0"/>
    <x v="155"/>
    <x v="155"/>
    <x v="48"/>
    <x v="48"/>
    <x v="48"/>
    <x v="17"/>
    <x v="216"/>
    <x v="118"/>
    <x v="50"/>
    <x v="674"/>
    <x v="123"/>
    <x v="404"/>
    <x v="0"/>
  </r>
  <r>
    <x v="0"/>
    <x v="155"/>
    <x v="155"/>
    <x v="47"/>
    <x v="47"/>
    <x v="47"/>
    <x v="17"/>
    <x v="216"/>
    <x v="118"/>
    <x v="65"/>
    <x v="65"/>
    <x v="93"/>
    <x v="406"/>
    <x v="0"/>
  </r>
  <r>
    <x v="0"/>
    <x v="155"/>
    <x v="155"/>
    <x v="18"/>
    <x v="18"/>
    <x v="18"/>
    <x v="17"/>
    <x v="216"/>
    <x v="118"/>
    <x v="65"/>
    <x v="65"/>
    <x v="93"/>
    <x v="406"/>
    <x v="0"/>
  </r>
  <r>
    <x v="0"/>
    <x v="155"/>
    <x v="155"/>
    <x v="125"/>
    <x v="125"/>
    <x v="125"/>
    <x v="17"/>
    <x v="216"/>
    <x v="118"/>
    <x v="65"/>
    <x v="65"/>
    <x v="93"/>
    <x v="406"/>
    <x v="0"/>
  </r>
  <r>
    <x v="0"/>
    <x v="155"/>
    <x v="155"/>
    <x v="130"/>
    <x v="130"/>
    <x v="130"/>
    <x v="17"/>
    <x v="216"/>
    <x v="118"/>
    <x v="50"/>
    <x v="674"/>
    <x v="127"/>
    <x v="151"/>
    <x v="0"/>
  </r>
  <r>
    <x v="0"/>
    <x v="155"/>
    <x v="155"/>
    <x v="61"/>
    <x v="61"/>
    <x v="61"/>
    <x v="17"/>
    <x v="216"/>
    <x v="118"/>
    <x v="50"/>
    <x v="674"/>
    <x v="123"/>
    <x v="404"/>
    <x v="0"/>
  </r>
  <r>
    <x v="0"/>
    <x v="155"/>
    <x v="155"/>
    <x v="2"/>
    <x v="2"/>
    <x v="2"/>
    <x v="17"/>
    <x v="216"/>
    <x v="118"/>
    <x v="56"/>
    <x v="630"/>
    <x v="127"/>
    <x v="151"/>
    <x v="0"/>
  </r>
  <r>
    <x v="0"/>
    <x v="155"/>
    <x v="155"/>
    <x v="37"/>
    <x v="37"/>
    <x v="37"/>
    <x v="17"/>
    <x v="216"/>
    <x v="118"/>
    <x v="65"/>
    <x v="65"/>
    <x v="93"/>
    <x v="406"/>
    <x v="0"/>
  </r>
  <r>
    <x v="0"/>
    <x v="155"/>
    <x v="155"/>
    <x v="71"/>
    <x v="71"/>
    <x v="71"/>
    <x v="17"/>
    <x v="216"/>
    <x v="118"/>
    <x v="65"/>
    <x v="65"/>
    <x v="93"/>
    <x v="406"/>
    <x v="0"/>
  </r>
  <r>
    <x v="0"/>
    <x v="156"/>
    <x v="156"/>
    <x v="0"/>
    <x v="0"/>
    <x v="0"/>
    <x v="0"/>
    <x v="196"/>
    <x v="511"/>
    <x v="51"/>
    <x v="697"/>
    <x v="93"/>
    <x v="70"/>
    <x v="0"/>
  </r>
  <r>
    <x v="0"/>
    <x v="156"/>
    <x v="156"/>
    <x v="194"/>
    <x v="191"/>
    <x v="194"/>
    <x v="1"/>
    <x v="197"/>
    <x v="330"/>
    <x v="62"/>
    <x v="471"/>
    <x v="93"/>
    <x v="70"/>
    <x v="0"/>
  </r>
  <r>
    <x v="0"/>
    <x v="156"/>
    <x v="156"/>
    <x v="1"/>
    <x v="1"/>
    <x v="1"/>
    <x v="1"/>
    <x v="197"/>
    <x v="330"/>
    <x v="39"/>
    <x v="470"/>
    <x v="127"/>
    <x v="151"/>
    <x v="0"/>
  </r>
  <r>
    <x v="0"/>
    <x v="156"/>
    <x v="156"/>
    <x v="10"/>
    <x v="10"/>
    <x v="10"/>
    <x v="3"/>
    <x v="198"/>
    <x v="512"/>
    <x v="50"/>
    <x v="361"/>
    <x v="110"/>
    <x v="368"/>
    <x v="0"/>
  </r>
  <r>
    <x v="0"/>
    <x v="156"/>
    <x v="156"/>
    <x v="17"/>
    <x v="17"/>
    <x v="17"/>
    <x v="4"/>
    <x v="199"/>
    <x v="138"/>
    <x v="65"/>
    <x v="65"/>
    <x v="110"/>
    <x v="368"/>
    <x v="0"/>
  </r>
  <r>
    <x v="0"/>
    <x v="156"/>
    <x v="156"/>
    <x v="40"/>
    <x v="40"/>
    <x v="40"/>
    <x v="4"/>
    <x v="199"/>
    <x v="138"/>
    <x v="50"/>
    <x v="361"/>
    <x v="108"/>
    <x v="357"/>
    <x v="0"/>
  </r>
  <r>
    <x v="0"/>
    <x v="156"/>
    <x v="156"/>
    <x v="46"/>
    <x v="46"/>
    <x v="46"/>
    <x v="4"/>
    <x v="199"/>
    <x v="138"/>
    <x v="56"/>
    <x v="473"/>
    <x v="93"/>
    <x v="70"/>
    <x v="0"/>
  </r>
  <r>
    <x v="0"/>
    <x v="156"/>
    <x v="156"/>
    <x v="13"/>
    <x v="13"/>
    <x v="13"/>
    <x v="4"/>
    <x v="199"/>
    <x v="138"/>
    <x v="50"/>
    <x v="361"/>
    <x v="108"/>
    <x v="357"/>
    <x v="0"/>
  </r>
  <r>
    <x v="0"/>
    <x v="156"/>
    <x v="156"/>
    <x v="42"/>
    <x v="42"/>
    <x v="42"/>
    <x v="4"/>
    <x v="199"/>
    <x v="138"/>
    <x v="50"/>
    <x v="361"/>
    <x v="108"/>
    <x v="357"/>
    <x v="0"/>
  </r>
  <r>
    <x v="0"/>
    <x v="156"/>
    <x v="156"/>
    <x v="4"/>
    <x v="4"/>
    <x v="4"/>
    <x v="4"/>
    <x v="199"/>
    <x v="138"/>
    <x v="62"/>
    <x v="471"/>
    <x v="127"/>
    <x v="151"/>
    <x v="0"/>
  </r>
  <r>
    <x v="0"/>
    <x v="156"/>
    <x v="156"/>
    <x v="3"/>
    <x v="3"/>
    <x v="3"/>
    <x v="4"/>
    <x v="199"/>
    <x v="138"/>
    <x v="62"/>
    <x v="471"/>
    <x v="127"/>
    <x v="151"/>
    <x v="0"/>
  </r>
  <r>
    <x v="0"/>
    <x v="156"/>
    <x v="156"/>
    <x v="14"/>
    <x v="14"/>
    <x v="14"/>
    <x v="11"/>
    <x v="200"/>
    <x v="132"/>
    <x v="65"/>
    <x v="65"/>
    <x v="108"/>
    <x v="357"/>
    <x v="0"/>
  </r>
  <r>
    <x v="0"/>
    <x v="156"/>
    <x v="156"/>
    <x v="36"/>
    <x v="36"/>
    <x v="36"/>
    <x v="11"/>
    <x v="200"/>
    <x v="132"/>
    <x v="65"/>
    <x v="65"/>
    <x v="108"/>
    <x v="357"/>
    <x v="0"/>
  </r>
  <r>
    <x v="0"/>
    <x v="156"/>
    <x v="156"/>
    <x v="92"/>
    <x v="92"/>
    <x v="92"/>
    <x v="11"/>
    <x v="200"/>
    <x v="132"/>
    <x v="70"/>
    <x v="6"/>
    <x v="127"/>
    <x v="151"/>
    <x v="0"/>
  </r>
  <r>
    <x v="0"/>
    <x v="156"/>
    <x v="156"/>
    <x v="12"/>
    <x v="12"/>
    <x v="12"/>
    <x v="11"/>
    <x v="200"/>
    <x v="132"/>
    <x v="50"/>
    <x v="361"/>
    <x v="93"/>
    <x v="70"/>
    <x v="0"/>
  </r>
  <r>
    <x v="0"/>
    <x v="156"/>
    <x v="156"/>
    <x v="47"/>
    <x v="47"/>
    <x v="47"/>
    <x v="11"/>
    <x v="200"/>
    <x v="132"/>
    <x v="56"/>
    <x v="473"/>
    <x v="123"/>
    <x v="261"/>
    <x v="0"/>
  </r>
  <r>
    <x v="0"/>
    <x v="156"/>
    <x v="156"/>
    <x v="7"/>
    <x v="7"/>
    <x v="7"/>
    <x v="11"/>
    <x v="200"/>
    <x v="132"/>
    <x v="56"/>
    <x v="473"/>
    <x v="123"/>
    <x v="261"/>
    <x v="0"/>
  </r>
  <r>
    <x v="0"/>
    <x v="156"/>
    <x v="156"/>
    <x v="5"/>
    <x v="5"/>
    <x v="5"/>
    <x v="11"/>
    <x v="200"/>
    <x v="132"/>
    <x v="56"/>
    <x v="473"/>
    <x v="123"/>
    <x v="261"/>
    <x v="0"/>
  </r>
  <r>
    <x v="0"/>
    <x v="156"/>
    <x v="156"/>
    <x v="8"/>
    <x v="8"/>
    <x v="8"/>
    <x v="11"/>
    <x v="200"/>
    <x v="132"/>
    <x v="70"/>
    <x v="6"/>
    <x v="127"/>
    <x v="151"/>
    <x v="0"/>
  </r>
  <r>
    <x v="0"/>
    <x v="156"/>
    <x v="156"/>
    <x v="6"/>
    <x v="6"/>
    <x v="6"/>
    <x v="11"/>
    <x v="200"/>
    <x v="132"/>
    <x v="70"/>
    <x v="6"/>
    <x v="127"/>
    <x v="151"/>
    <x v="0"/>
  </r>
  <r>
    <x v="0"/>
    <x v="157"/>
    <x v="157"/>
    <x v="1"/>
    <x v="1"/>
    <x v="1"/>
    <x v="0"/>
    <x v="138"/>
    <x v="334"/>
    <x v="150"/>
    <x v="698"/>
    <x v="123"/>
    <x v="201"/>
    <x v="0"/>
  </r>
  <r>
    <x v="0"/>
    <x v="157"/>
    <x v="157"/>
    <x v="2"/>
    <x v="2"/>
    <x v="2"/>
    <x v="1"/>
    <x v="140"/>
    <x v="513"/>
    <x v="67"/>
    <x v="205"/>
    <x v="123"/>
    <x v="201"/>
    <x v="0"/>
  </r>
  <r>
    <x v="0"/>
    <x v="157"/>
    <x v="157"/>
    <x v="0"/>
    <x v="0"/>
    <x v="0"/>
    <x v="2"/>
    <x v="209"/>
    <x v="441"/>
    <x v="61"/>
    <x v="699"/>
    <x v="119"/>
    <x v="249"/>
    <x v="0"/>
  </r>
  <r>
    <x v="0"/>
    <x v="157"/>
    <x v="157"/>
    <x v="4"/>
    <x v="4"/>
    <x v="4"/>
    <x v="3"/>
    <x v="192"/>
    <x v="335"/>
    <x v="61"/>
    <x v="699"/>
    <x v="110"/>
    <x v="87"/>
    <x v="0"/>
  </r>
  <r>
    <x v="0"/>
    <x v="157"/>
    <x v="157"/>
    <x v="59"/>
    <x v="59"/>
    <x v="59"/>
    <x v="4"/>
    <x v="206"/>
    <x v="514"/>
    <x v="65"/>
    <x v="65"/>
    <x v="79"/>
    <x v="468"/>
    <x v="0"/>
  </r>
  <r>
    <x v="0"/>
    <x v="157"/>
    <x v="157"/>
    <x v="3"/>
    <x v="3"/>
    <x v="3"/>
    <x v="5"/>
    <x v="193"/>
    <x v="515"/>
    <x v="38"/>
    <x v="471"/>
    <x v="127"/>
    <x v="151"/>
    <x v="0"/>
  </r>
  <r>
    <x v="0"/>
    <x v="157"/>
    <x v="157"/>
    <x v="54"/>
    <x v="54"/>
    <x v="54"/>
    <x v="6"/>
    <x v="207"/>
    <x v="359"/>
    <x v="62"/>
    <x v="287"/>
    <x v="98"/>
    <x v="289"/>
    <x v="0"/>
  </r>
  <r>
    <x v="0"/>
    <x v="157"/>
    <x v="157"/>
    <x v="12"/>
    <x v="12"/>
    <x v="12"/>
    <x v="7"/>
    <x v="195"/>
    <x v="59"/>
    <x v="39"/>
    <x v="700"/>
    <x v="108"/>
    <x v="92"/>
    <x v="0"/>
  </r>
  <r>
    <x v="0"/>
    <x v="157"/>
    <x v="157"/>
    <x v="10"/>
    <x v="10"/>
    <x v="10"/>
    <x v="8"/>
    <x v="210"/>
    <x v="105"/>
    <x v="65"/>
    <x v="65"/>
    <x v="109"/>
    <x v="469"/>
    <x v="0"/>
  </r>
  <r>
    <x v="0"/>
    <x v="157"/>
    <x v="157"/>
    <x v="11"/>
    <x v="11"/>
    <x v="11"/>
    <x v="8"/>
    <x v="210"/>
    <x v="105"/>
    <x v="51"/>
    <x v="569"/>
    <x v="108"/>
    <x v="92"/>
    <x v="0"/>
  </r>
  <r>
    <x v="0"/>
    <x v="157"/>
    <x v="157"/>
    <x v="7"/>
    <x v="7"/>
    <x v="7"/>
    <x v="8"/>
    <x v="210"/>
    <x v="105"/>
    <x v="62"/>
    <x v="287"/>
    <x v="110"/>
    <x v="87"/>
    <x v="0"/>
  </r>
  <r>
    <x v="0"/>
    <x v="157"/>
    <x v="157"/>
    <x v="45"/>
    <x v="45"/>
    <x v="45"/>
    <x v="8"/>
    <x v="210"/>
    <x v="105"/>
    <x v="95"/>
    <x v="8"/>
    <x v="123"/>
    <x v="201"/>
    <x v="0"/>
  </r>
  <r>
    <x v="0"/>
    <x v="157"/>
    <x v="157"/>
    <x v="40"/>
    <x v="40"/>
    <x v="40"/>
    <x v="12"/>
    <x v="196"/>
    <x v="61"/>
    <x v="56"/>
    <x v="340"/>
    <x v="119"/>
    <x v="249"/>
    <x v="0"/>
  </r>
  <r>
    <x v="0"/>
    <x v="157"/>
    <x v="157"/>
    <x v="5"/>
    <x v="5"/>
    <x v="5"/>
    <x v="12"/>
    <x v="196"/>
    <x v="61"/>
    <x v="39"/>
    <x v="700"/>
    <x v="123"/>
    <x v="201"/>
    <x v="0"/>
  </r>
  <r>
    <x v="0"/>
    <x v="157"/>
    <x v="157"/>
    <x v="6"/>
    <x v="6"/>
    <x v="6"/>
    <x v="12"/>
    <x v="196"/>
    <x v="61"/>
    <x v="95"/>
    <x v="8"/>
    <x v="127"/>
    <x v="151"/>
    <x v="0"/>
  </r>
  <r>
    <x v="0"/>
    <x v="157"/>
    <x v="157"/>
    <x v="92"/>
    <x v="92"/>
    <x v="92"/>
    <x v="14"/>
    <x v="197"/>
    <x v="64"/>
    <x v="39"/>
    <x v="700"/>
    <x v="127"/>
    <x v="151"/>
    <x v="0"/>
  </r>
  <r>
    <x v="0"/>
    <x v="157"/>
    <x v="157"/>
    <x v="37"/>
    <x v="37"/>
    <x v="37"/>
    <x v="14"/>
    <x v="197"/>
    <x v="64"/>
    <x v="56"/>
    <x v="340"/>
    <x v="110"/>
    <x v="87"/>
    <x v="0"/>
  </r>
  <r>
    <x v="0"/>
    <x v="157"/>
    <x v="157"/>
    <x v="56"/>
    <x v="56"/>
    <x v="56"/>
    <x v="16"/>
    <x v="198"/>
    <x v="88"/>
    <x v="56"/>
    <x v="340"/>
    <x v="108"/>
    <x v="92"/>
    <x v="0"/>
  </r>
  <r>
    <x v="0"/>
    <x v="157"/>
    <x v="157"/>
    <x v="14"/>
    <x v="14"/>
    <x v="14"/>
    <x v="16"/>
    <x v="198"/>
    <x v="88"/>
    <x v="70"/>
    <x v="701"/>
    <x v="93"/>
    <x v="226"/>
    <x v="0"/>
  </r>
  <r>
    <x v="0"/>
    <x v="157"/>
    <x v="157"/>
    <x v="48"/>
    <x v="48"/>
    <x v="48"/>
    <x v="16"/>
    <x v="198"/>
    <x v="88"/>
    <x v="51"/>
    <x v="569"/>
    <x v="127"/>
    <x v="151"/>
    <x v="0"/>
  </r>
  <r>
    <x v="0"/>
    <x v="157"/>
    <x v="157"/>
    <x v="42"/>
    <x v="42"/>
    <x v="42"/>
    <x v="16"/>
    <x v="198"/>
    <x v="88"/>
    <x v="50"/>
    <x v="332"/>
    <x v="110"/>
    <x v="87"/>
    <x v="0"/>
  </r>
  <r>
    <x v="0"/>
    <x v="157"/>
    <x v="157"/>
    <x v="64"/>
    <x v="64"/>
    <x v="64"/>
    <x v="16"/>
    <x v="198"/>
    <x v="88"/>
    <x v="50"/>
    <x v="332"/>
    <x v="110"/>
    <x v="87"/>
    <x v="0"/>
  </r>
  <r>
    <x v="0"/>
    <x v="157"/>
    <x v="157"/>
    <x v="123"/>
    <x v="123"/>
    <x v="123"/>
    <x v="16"/>
    <x v="198"/>
    <x v="88"/>
    <x v="56"/>
    <x v="340"/>
    <x v="108"/>
    <x v="92"/>
    <x v="0"/>
  </r>
  <r>
    <x v="0"/>
    <x v="157"/>
    <x v="157"/>
    <x v="8"/>
    <x v="8"/>
    <x v="8"/>
    <x v="16"/>
    <x v="198"/>
    <x v="88"/>
    <x v="70"/>
    <x v="701"/>
    <x v="93"/>
    <x v="226"/>
    <x v="0"/>
  </r>
  <r>
    <x v="0"/>
    <x v="157"/>
    <x v="157"/>
    <x v="57"/>
    <x v="57"/>
    <x v="57"/>
    <x v="16"/>
    <x v="198"/>
    <x v="88"/>
    <x v="65"/>
    <x v="65"/>
    <x v="127"/>
    <x v="151"/>
    <x v="0"/>
  </r>
  <r>
    <x v="0"/>
    <x v="158"/>
    <x v="158"/>
    <x v="0"/>
    <x v="0"/>
    <x v="0"/>
    <x v="0"/>
    <x v="194"/>
    <x v="516"/>
    <x v="68"/>
    <x v="702"/>
    <x v="93"/>
    <x v="134"/>
    <x v="0"/>
  </r>
  <r>
    <x v="0"/>
    <x v="158"/>
    <x v="158"/>
    <x v="1"/>
    <x v="1"/>
    <x v="1"/>
    <x v="1"/>
    <x v="210"/>
    <x v="373"/>
    <x v="51"/>
    <x v="358"/>
    <x v="108"/>
    <x v="369"/>
    <x v="0"/>
  </r>
  <r>
    <x v="0"/>
    <x v="158"/>
    <x v="158"/>
    <x v="54"/>
    <x v="54"/>
    <x v="54"/>
    <x v="2"/>
    <x v="196"/>
    <x v="136"/>
    <x v="65"/>
    <x v="65"/>
    <x v="98"/>
    <x v="470"/>
    <x v="0"/>
  </r>
  <r>
    <x v="0"/>
    <x v="158"/>
    <x v="158"/>
    <x v="42"/>
    <x v="42"/>
    <x v="42"/>
    <x v="3"/>
    <x v="198"/>
    <x v="314"/>
    <x v="65"/>
    <x v="65"/>
    <x v="119"/>
    <x v="283"/>
    <x v="0"/>
  </r>
  <r>
    <x v="0"/>
    <x v="158"/>
    <x v="158"/>
    <x v="7"/>
    <x v="7"/>
    <x v="7"/>
    <x v="3"/>
    <x v="198"/>
    <x v="314"/>
    <x v="62"/>
    <x v="398"/>
    <x v="123"/>
    <x v="310"/>
    <x v="0"/>
  </r>
  <r>
    <x v="0"/>
    <x v="158"/>
    <x v="158"/>
    <x v="2"/>
    <x v="2"/>
    <x v="2"/>
    <x v="3"/>
    <x v="198"/>
    <x v="314"/>
    <x v="51"/>
    <x v="358"/>
    <x v="127"/>
    <x v="151"/>
    <x v="0"/>
  </r>
  <r>
    <x v="0"/>
    <x v="158"/>
    <x v="158"/>
    <x v="45"/>
    <x v="45"/>
    <x v="45"/>
    <x v="6"/>
    <x v="199"/>
    <x v="159"/>
    <x v="70"/>
    <x v="627"/>
    <x v="123"/>
    <x v="310"/>
    <x v="0"/>
  </r>
  <r>
    <x v="0"/>
    <x v="158"/>
    <x v="158"/>
    <x v="5"/>
    <x v="5"/>
    <x v="5"/>
    <x v="6"/>
    <x v="199"/>
    <x v="159"/>
    <x v="62"/>
    <x v="398"/>
    <x v="127"/>
    <x v="151"/>
    <x v="0"/>
  </r>
  <r>
    <x v="0"/>
    <x v="158"/>
    <x v="158"/>
    <x v="3"/>
    <x v="3"/>
    <x v="3"/>
    <x v="6"/>
    <x v="199"/>
    <x v="159"/>
    <x v="62"/>
    <x v="398"/>
    <x v="127"/>
    <x v="151"/>
    <x v="0"/>
  </r>
  <r>
    <x v="0"/>
    <x v="158"/>
    <x v="158"/>
    <x v="112"/>
    <x v="112"/>
    <x v="112"/>
    <x v="9"/>
    <x v="200"/>
    <x v="308"/>
    <x v="70"/>
    <x v="627"/>
    <x v="127"/>
    <x v="151"/>
    <x v="0"/>
  </r>
  <r>
    <x v="0"/>
    <x v="158"/>
    <x v="158"/>
    <x v="92"/>
    <x v="92"/>
    <x v="92"/>
    <x v="9"/>
    <x v="200"/>
    <x v="308"/>
    <x v="50"/>
    <x v="505"/>
    <x v="93"/>
    <x v="134"/>
    <x v="0"/>
  </r>
  <r>
    <x v="0"/>
    <x v="158"/>
    <x v="158"/>
    <x v="47"/>
    <x v="47"/>
    <x v="47"/>
    <x v="9"/>
    <x v="200"/>
    <x v="308"/>
    <x v="50"/>
    <x v="505"/>
    <x v="93"/>
    <x v="134"/>
    <x v="0"/>
  </r>
  <r>
    <x v="0"/>
    <x v="158"/>
    <x v="158"/>
    <x v="51"/>
    <x v="51"/>
    <x v="51"/>
    <x v="9"/>
    <x v="200"/>
    <x v="308"/>
    <x v="50"/>
    <x v="505"/>
    <x v="93"/>
    <x v="134"/>
    <x v="0"/>
  </r>
  <r>
    <x v="0"/>
    <x v="158"/>
    <x v="158"/>
    <x v="4"/>
    <x v="4"/>
    <x v="4"/>
    <x v="9"/>
    <x v="200"/>
    <x v="308"/>
    <x v="70"/>
    <x v="627"/>
    <x v="127"/>
    <x v="151"/>
    <x v="0"/>
  </r>
  <r>
    <x v="0"/>
    <x v="158"/>
    <x v="158"/>
    <x v="52"/>
    <x v="52"/>
    <x v="52"/>
    <x v="9"/>
    <x v="200"/>
    <x v="308"/>
    <x v="65"/>
    <x v="65"/>
    <x v="127"/>
    <x v="151"/>
    <x v="0"/>
  </r>
  <r>
    <x v="0"/>
    <x v="158"/>
    <x v="158"/>
    <x v="19"/>
    <x v="19"/>
    <x v="19"/>
    <x v="9"/>
    <x v="200"/>
    <x v="308"/>
    <x v="50"/>
    <x v="505"/>
    <x v="93"/>
    <x v="134"/>
    <x v="0"/>
  </r>
  <r>
    <x v="0"/>
    <x v="158"/>
    <x v="158"/>
    <x v="17"/>
    <x v="17"/>
    <x v="17"/>
    <x v="15"/>
    <x v="216"/>
    <x v="50"/>
    <x v="50"/>
    <x v="505"/>
    <x v="123"/>
    <x v="310"/>
    <x v="0"/>
  </r>
  <r>
    <x v="0"/>
    <x v="158"/>
    <x v="158"/>
    <x v="40"/>
    <x v="40"/>
    <x v="40"/>
    <x v="15"/>
    <x v="216"/>
    <x v="50"/>
    <x v="50"/>
    <x v="505"/>
    <x v="123"/>
    <x v="310"/>
    <x v="0"/>
  </r>
  <r>
    <x v="0"/>
    <x v="158"/>
    <x v="158"/>
    <x v="67"/>
    <x v="67"/>
    <x v="67"/>
    <x v="15"/>
    <x v="216"/>
    <x v="50"/>
    <x v="56"/>
    <x v="396"/>
    <x v="127"/>
    <x v="151"/>
    <x v="0"/>
  </r>
  <r>
    <x v="0"/>
    <x v="158"/>
    <x v="158"/>
    <x v="13"/>
    <x v="13"/>
    <x v="13"/>
    <x v="15"/>
    <x v="216"/>
    <x v="50"/>
    <x v="65"/>
    <x v="65"/>
    <x v="93"/>
    <x v="134"/>
    <x v="0"/>
  </r>
  <r>
    <x v="0"/>
    <x v="158"/>
    <x v="158"/>
    <x v="36"/>
    <x v="36"/>
    <x v="36"/>
    <x v="15"/>
    <x v="216"/>
    <x v="50"/>
    <x v="65"/>
    <x v="65"/>
    <x v="93"/>
    <x v="134"/>
    <x v="0"/>
  </r>
  <r>
    <x v="0"/>
    <x v="158"/>
    <x v="158"/>
    <x v="11"/>
    <x v="11"/>
    <x v="11"/>
    <x v="15"/>
    <x v="216"/>
    <x v="50"/>
    <x v="50"/>
    <x v="505"/>
    <x v="123"/>
    <x v="310"/>
    <x v="0"/>
  </r>
  <r>
    <x v="0"/>
    <x v="158"/>
    <x v="158"/>
    <x v="50"/>
    <x v="50"/>
    <x v="50"/>
    <x v="15"/>
    <x v="216"/>
    <x v="50"/>
    <x v="50"/>
    <x v="505"/>
    <x v="123"/>
    <x v="310"/>
    <x v="0"/>
  </r>
  <r>
    <x v="0"/>
    <x v="158"/>
    <x v="158"/>
    <x v="55"/>
    <x v="55"/>
    <x v="55"/>
    <x v="15"/>
    <x v="216"/>
    <x v="50"/>
    <x v="50"/>
    <x v="505"/>
    <x v="123"/>
    <x v="310"/>
    <x v="0"/>
  </r>
  <r>
    <x v="0"/>
    <x v="158"/>
    <x v="158"/>
    <x v="15"/>
    <x v="15"/>
    <x v="15"/>
    <x v="15"/>
    <x v="216"/>
    <x v="50"/>
    <x v="65"/>
    <x v="65"/>
    <x v="93"/>
    <x v="134"/>
    <x v="0"/>
  </r>
  <r>
    <x v="0"/>
    <x v="158"/>
    <x v="158"/>
    <x v="8"/>
    <x v="8"/>
    <x v="8"/>
    <x v="15"/>
    <x v="216"/>
    <x v="50"/>
    <x v="56"/>
    <x v="396"/>
    <x v="127"/>
    <x v="151"/>
    <x v="0"/>
  </r>
  <r>
    <x v="0"/>
    <x v="158"/>
    <x v="158"/>
    <x v="6"/>
    <x v="6"/>
    <x v="6"/>
    <x v="15"/>
    <x v="216"/>
    <x v="50"/>
    <x v="56"/>
    <x v="396"/>
    <x v="127"/>
    <x v="151"/>
    <x v="0"/>
  </r>
  <r>
    <x v="0"/>
    <x v="158"/>
    <x v="158"/>
    <x v="53"/>
    <x v="53"/>
    <x v="53"/>
    <x v="15"/>
    <x v="216"/>
    <x v="50"/>
    <x v="65"/>
    <x v="65"/>
    <x v="127"/>
    <x v="151"/>
    <x v="0"/>
  </r>
  <r>
    <x v="0"/>
    <x v="158"/>
    <x v="158"/>
    <x v="72"/>
    <x v="72"/>
    <x v="72"/>
    <x v="15"/>
    <x v="216"/>
    <x v="50"/>
    <x v="65"/>
    <x v="65"/>
    <x v="123"/>
    <x v="310"/>
    <x v="0"/>
  </r>
  <r>
    <x v="0"/>
    <x v="159"/>
    <x v="159"/>
    <x v="51"/>
    <x v="51"/>
    <x v="51"/>
    <x v="0"/>
    <x v="195"/>
    <x v="517"/>
    <x v="68"/>
    <x v="703"/>
    <x v="127"/>
    <x v="151"/>
    <x v="0"/>
  </r>
  <r>
    <x v="0"/>
    <x v="159"/>
    <x v="159"/>
    <x v="1"/>
    <x v="1"/>
    <x v="1"/>
    <x v="1"/>
    <x v="210"/>
    <x v="473"/>
    <x v="100"/>
    <x v="704"/>
    <x v="127"/>
    <x v="151"/>
    <x v="0"/>
  </r>
  <r>
    <x v="0"/>
    <x v="159"/>
    <x v="159"/>
    <x v="54"/>
    <x v="54"/>
    <x v="54"/>
    <x v="2"/>
    <x v="196"/>
    <x v="342"/>
    <x v="50"/>
    <x v="299"/>
    <x v="67"/>
    <x v="471"/>
    <x v="0"/>
  </r>
  <r>
    <x v="0"/>
    <x v="159"/>
    <x v="159"/>
    <x v="2"/>
    <x v="2"/>
    <x v="2"/>
    <x v="2"/>
    <x v="196"/>
    <x v="342"/>
    <x v="95"/>
    <x v="705"/>
    <x v="127"/>
    <x v="151"/>
    <x v="0"/>
  </r>
  <r>
    <x v="0"/>
    <x v="159"/>
    <x v="159"/>
    <x v="4"/>
    <x v="4"/>
    <x v="4"/>
    <x v="4"/>
    <x v="197"/>
    <x v="285"/>
    <x v="62"/>
    <x v="671"/>
    <x v="93"/>
    <x v="276"/>
    <x v="0"/>
  </r>
  <r>
    <x v="0"/>
    <x v="159"/>
    <x v="159"/>
    <x v="3"/>
    <x v="3"/>
    <x v="3"/>
    <x v="4"/>
    <x v="197"/>
    <x v="285"/>
    <x v="39"/>
    <x v="350"/>
    <x v="127"/>
    <x v="151"/>
    <x v="0"/>
  </r>
  <r>
    <x v="0"/>
    <x v="159"/>
    <x v="159"/>
    <x v="40"/>
    <x v="40"/>
    <x v="40"/>
    <x v="6"/>
    <x v="198"/>
    <x v="242"/>
    <x v="50"/>
    <x v="299"/>
    <x v="110"/>
    <x v="472"/>
    <x v="0"/>
  </r>
  <r>
    <x v="0"/>
    <x v="159"/>
    <x v="159"/>
    <x v="36"/>
    <x v="36"/>
    <x v="36"/>
    <x v="6"/>
    <x v="198"/>
    <x v="242"/>
    <x v="65"/>
    <x v="65"/>
    <x v="119"/>
    <x v="473"/>
    <x v="0"/>
  </r>
  <r>
    <x v="0"/>
    <x v="159"/>
    <x v="159"/>
    <x v="12"/>
    <x v="12"/>
    <x v="12"/>
    <x v="6"/>
    <x v="198"/>
    <x v="242"/>
    <x v="51"/>
    <x v="292"/>
    <x v="127"/>
    <x v="151"/>
    <x v="0"/>
  </r>
  <r>
    <x v="0"/>
    <x v="159"/>
    <x v="159"/>
    <x v="19"/>
    <x v="19"/>
    <x v="19"/>
    <x v="6"/>
    <x v="198"/>
    <x v="242"/>
    <x v="62"/>
    <x v="671"/>
    <x v="123"/>
    <x v="16"/>
    <x v="0"/>
  </r>
  <r>
    <x v="0"/>
    <x v="159"/>
    <x v="159"/>
    <x v="47"/>
    <x v="47"/>
    <x v="47"/>
    <x v="10"/>
    <x v="199"/>
    <x v="266"/>
    <x v="70"/>
    <x v="425"/>
    <x v="123"/>
    <x v="16"/>
    <x v="0"/>
  </r>
  <r>
    <x v="0"/>
    <x v="159"/>
    <x v="159"/>
    <x v="42"/>
    <x v="42"/>
    <x v="42"/>
    <x v="10"/>
    <x v="199"/>
    <x v="266"/>
    <x v="50"/>
    <x v="299"/>
    <x v="108"/>
    <x v="474"/>
    <x v="0"/>
  </r>
  <r>
    <x v="0"/>
    <x v="159"/>
    <x v="159"/>
    <x v="43"/>
    <x v="43"/>
    <x v="43"/>
    <x v="10"/>
    <x v="199"/>
    <x v="266"/>
    <x v="65"/>
    <x v="65"/>
    <x v="123"/>
    <x v="16"/>
    <x v="0"/>
  </r>
  <r>
    <x v="0"/>
    <x v="159"/>
    <x v="159"/>
    <x v="17"/>
    <x v="17"/>
    <x v="17"/>
    <x v="13"/>
    <x v="200"/>
    <x v="220"/>
    <x v="65"/>
    <x v="65"/>
    <x v="108"/>
    <x v="474"/>
    <x v="0"/>
  </r>
  <r>
    <x v="0"/>
    <x v="159"/>
    <x v="159"/>
    <x v="56"/>
    <x v="56"/>
    <x v="56"/>
    <x v="13"/>
    <x v="200"/>
    <x v="220"/>
    <x v="50"/>
    <x v="299"/>
    <x v="93"/>
    <x v="276"/>
    <x v="0"/>
  </r>
  <r>
    <x v="0"/>
    <x v="159"/>
    <x v="159"/>
    <x v="46"/>
    <x v="46"/>
    <x v="46"/>
    <x v="13"/>
    <x v="200"/>
    <x v="220"/>
    <x v="56"/>
    <x v="352"/>
    <x v="123"/>
    <x v="16"/>
    <x v="0"/>
  </r>
  <r>
    <x v="0"/>
    <x v="159"/>
    <x v="159"/>
    <x v="21"/>
    <x v="21"/>
    <x v="21"/>
    <x v="13"/>
    <x v="200"/>
    <x v="220"/>
    <x v="65"/>
    <x v="65"/>
    <x v="108"/>
    <x v="474"/>
    <x v="0"/>
  </r>
  <r>
    <x v="0"/>
    <x v="159"/>
    <x v="159"/>
    <x v="68"/>
    <x v="68"/>
    <x v="68"/>
    <x v="13"/>
    <x v="200"/>
    <x v="220"/>
    <x v="56"/>
    <x v="352"/>
    <x v="127"/>
    <x v="151"/>
    <x v="6"/>
  </r>
  <r>
    <x v="0"/>
    <x v="159"/>
    <x v="159"/>
    <x v="7"/>
    <x v="7"/>
    <x v="7"/>
    <x v="13"/>
    <x v="200"/>
    <x v="220"/>
    <x v="50"/>
    <x v="299"/>
    <x v="93"/>
    <x v="276"/>
    <x v="0"/>
  </r>
  <r>
    <x v="0"/>
    <x v="159"/>
    <x v="159"/>
    <x v="5"/>
    <x v="5"/>
    <x v="5"/>
    <x v="13"/>
    <x v="200"/>
    <x v="220"/>
    <x v="70"/>
    <x v="425"/>
    <x v="127"/>
    <x v="151"/>
    <x v="0"/>
  </r>
  <r>
    <x v="0"/>
    <x v="159"/>
    <x v="159"/>
    <x v="6"/>
    <x v="6"/>
    <x v="6"/>
    <x v="13"/>
    <x v="200"/>
    <x v="220"/>
    <x v="70"/>
    <x v="425"/>
    <x v="127"/>
    <x v="151"/>
    <x v="0"/>
  </r>
  <r>
    <x v="0"/>
    <x v="160"/>
    <x v="160"/>
    <x v="2"/>
    <x v="2"/>
    <x v="2"/>
    <x v="0"/>
    <x v="109"/>
    <x v="518"/>
    <x v="35"/>
    <x v="190"/>
    <x v="108"/>
    <x v="264"/>
    <x v="0"/>
  </r>
  <r>
    <x v="0"/>
    <x v="160"/>
    <x v="160"/>
    <x v="0"/>
    <x v="0"/>
    <x v="0"/>
    <x v="1"/>
    <x v="145"/>
    <x v="174"/>
    <x v="119"/>
    <x v="484"/>
    <x v="134"/>
    <x v="382"/>
    <x v="0"/>
  </r>
  <r>
    <x v="0"/>
    <x v="160"/>
    <x v="160"/>
    <x v="1"/>
    <x v="1"/>
    <x v="1"/>
    <x v="2"/>
    <x v="120"/>
    <x v="519"/>
    <x v="174"/>
    <x v="706"/>
    <x v="93"/>
    <x v="5"/>
    <x v="0"/>
  </r>
  <r>
    <x v="0"/>
    <x v="160"/>
    <x v="160"/>
    <x v="3"/>
    <x v="3"/>
    <x v="3"/>
    <x v="3"/>
    <x v="137"/>
    <x v="505"/>
    <x v="34"/>
    <x v="132"/>
    <x v="123"/>
    <x v="101"/>
    <x v="0"/>
  </r>
  <r>
    <x v="0"/>
    <x v="160"/>
    <x v="160"/>
    <x v="5"/>
    <x v="5"/>
    <x v="5"/>
    <x v="4"/>
    <x v="139"/>
    <x v="277"/>
    <x v="111"/>
    <x v="707"/>
    <x v="93"/>
    <x v="5"/>
    <x v="0"/>
  </r>
  <r>
    <x v="0"/>
    <x v="160"/>
    <x v="160"/>
    <x v="7"/>
    <x v="7"/>
    <x v="7"/>
    <x v="5"/>
    <x v="204"/>
    <x v="140"/>
    <x v="77"/>
    <x v="708"/>
    <x v="98"/>
    <x v="266"/>
    <x v="0"/>
  </r>
  <r>
    <x v="0"/>
    <x v="160"/>
    <x v="160"/>
    <x v="4"/>
    <x v="4"/>
    <x v="4"/>
    <x v="6"/>
    <x v="192"/>
    <x v="346"/>
    <x v="77"/>
    <x v="708"/>
    <x v="67"/>
    <x v="268"/>
    <x v="0"/>
  </r>
  <r>
    <x v="0"/>
    <x v="160"/>
    <x v="160"/>
    <x v="15"/>
    <x v="15"/>
    <x v="15"/>
    <x v="7"/>
    <x v="205"/>
    <x v="58"/>
    <x v="100"/>
    <x v="199"/>
    <x v="98"/>
    <x v="266"/>
    <x v="0"/>
  </r>
  <r>
    <x v="0"/>
    <x v="160"/>
    <x v="160"/>
    <x v="59"/>
    <x v="59"/>
    <x v="59"/>
    <x v="7"/>
    <x v="205"/>
    <x v="58"/>
    <x v="65"/>
    <x v="65"/>
    <x v="130"/>
    <x v="263"/>
    <x v="0"/>
  </r>
  <r>
    <x v="0"/>
    <x v="160"/>
    <x v="160"/>
    <x v="10"/>
    <x v="10"/>
    <x v="10"/>
    <x v="9"/>
    <x v="206"/>
    <x v="520"/>
    <x v="65"/>
    <x v="65"/>
    <x v="76"/>
    <x v="475"/>
    <x v="0"/>
  </r>
  <r>
    <x v="0"/>
    <x v="160"/>
    <x v="160"/>
    <x v="42"/>
    <x v="42"/>
    <x v="42"/>
    <x v="9"/>
    <x v="206"/>
    <x v="520"/>
    <x v="50"/>
    <x v="709"/>
    <x v="79"/>
    <x v="476"/>
    <x v="0"/>
  </r>
  <r>
    <x v="0"/>
    <x v="160"/>
    <x v="160"/>
    <x v="17"/>
    <x v="17"/>
    <x v="17"/>
    <x v="11"/>
    <x v="193"/>
    <x v="151"/>
    <x v="50"/>
    <x v="709"/>
    <x v="134"/>
    <x v="382"/>
    <x v="0"/>
  </r>
  <r>
    <x v="0"/>
    <x v="160"/>
    <x v="160"/>
    <x v="46"/>
    <x v="46"/>
    <x v="46"/>
    <x v="12"/>
    <x v="194"/>
    <x v="107"/>
    <x v="89"/>
    <x v="452"/>
    <x v="123"/>
    <x v="101"/>
    <x v="0"/>
  </r>
  <r>
    <x v="0"/>
    <x v="160"/>
    <x v="160"/>
    <x v="54"/>
    <x v="54"/>
    <x v="54"/>
    <x v="12"/>
    <x v="194"/>
    <x v="107"/>
    <x v="51"/>
    <x v="456"/>
    <x v="98"/>
    <x v="266"/>
    <x v="0"/>
  </r>
  <r>
    <x v="0"/>
    <x v="160"/>
    <x v="160"/>
    <x v="11"/>
    <x v="11"/>
    <x v="11"/>
    <x v="19"/>
    <x v="207"/>
    <x v="75"/>
    <x v="62"/>
    <x v="328"/>
    <x v="98"/>
    <x v="266"/>
    <x v="0"/>
  </r>
  <r>
    <x v="0"/>
    <x v="160"/>
    <x v="160"/>
    <x v="47"/>
    <x v="47"/>
    <x v="47"/>
    <x v="19"/>
    <x v="207"/>
    <x v="75"/>
    <x v="51"/>
    <x v="456"/>
    <x v="67"/>
    <x v="268"/>
    <x v="0"/>
  </r>
  <r>
    <x v="0"/>
    <x v="160"/>
    <x v="160"/>
    <x v="36"/>
    <x v="36"/>
    <x v="36"/>
    <x v="15"/>
    <x v="208"/>
    <x v="63"/>
    <x v="56"/>
    <x v="326"/>
    <x v="109"/>
    <x v="27"/>
    <x v="0"/>
  </r>
  <r>
    <x v="0"/>
    <x v="160"/>
    <x v="160"/>
    <x v="12"/>
    <x v="12"/>
    <x v="12"/>
    <x v="15"/>
    <x v="208"/>
    <x v="63"/>
    <x v="70"/>
    <x v="249"/>
    <x v="98"/>
    <x v="266"/>
    <x v="0"/>
  </r>
  <r>
    <x v="0"/>
    <x v="160"/>
    <x v="160"/>
    <x v="6"/>
    <x v="6"/>
    <x v="6"/>
    <x v="15"/>
    <x v="208"/>
    <x v="63"/>
    <x v="77"/>
    <x v="708"/>
    <x v="127"/>
    <x v="151"/>
    <x v="0"/>
  </r>
  <r>
    <x v="0"/>
    <x v="160"/>
    <x v="160"/>
    <x v="41"/>
    <x v="41"/>
    <x v="41"/>
    <x v="18"/>
    <x v="195"/>
    <x v="180"/>
    <x v="95"/>
    <x v="454"/>
    <x v="93"/>
    <x v="5"/>
    <x v="0"/>
  </r>
  <r>
    <x v="0"/>
    <x v="161"/>
    <x v="161"/>
    <x v="1"/>
    <x v="1"/>
    <x v="1"/>
    <x v="0"/>
    <x v="127"/>
    <x v="521"/>
    <x v="76"/>
    <x v="710"/>
    <x v="119"/>
    <x v="477"/>
    <x v="0"/>
  </r>
  <r>
    <x v="0"/>
    <x v="161"/>
    <x v="161"/>
    <x v="0"/>
    <x v="0"/>
    <x v="0"/>
    <x v="1"/>
    <x v="107"/>
    <x v="270"/>
    <x v="118"/>
    <x v="711"/>
    <x v="134"/>
    <x v="348"/>
    <x v="0"/>
  </r>
  <r>
    <x v="0"/>
    <x v="161"/>
    <x v="161"/>
    <x v="3"/>
    <x v="3"/>
    <x v="3"/>
    <x v="2"/>
    <x v="167"/>
    <x v="265"/>
    <x v="118"/>
    <x v="711"/>
    <x v="127"/>
    <x v="151"/>
    <x v="0"/>
  </r>
  <r>
    <x v="0"/>
    <x v="161"/>
    <x v="161"/>
    <x v="10"/>
    <x v="10"/>
    <x v="10"/>
    <x v="3"/>
    <x v="141"/>
    <x v="229"/>
    <x v="70"/>
    <x v="249"/>
    <x v="63"/>
    <x v="357"/>
    <x v="0"/>
  </r>
  <r>
    <x v="0"/>
    <x v="161"/>
    <x v="161"/>
    <x v="8"/>
    <x v="8"/>
    <x v="8"/>
    <x v="3"/>
    <x v="141"/>
    <x v="229"/>
    <x v="33"/>
    <x v="432"/>
    <x v="123"/>
    <x v="478"/>
    <x v="0"/>
  </r>
  <r>
    <x v="0"/>
    <x v="161"/>
    <x v="161"/>
    <x v="6"/>
    <x v="6"/>
    <x v="6"/>
    <x v="3"/>
    <x v="141"/>
    <x v="229"/>
    <x v="109"/>
    <x v="229"/>
    <x v="127"/>
    <x v="151"/>
    <x v="0"/>
  </r>
  <r>
    <x v="0"/>
    <x v="161"/>
    <x v="161"/>
    <x v="4"/>
    <x v="4"/>
    <x v="4"/>
    <x v="6"/>
    <x v="209"/>
    <x v="248"/>
    <x v="32"/>
    <x v="712"/>
    <x v="123"/>
    <x v="478"/>
    <x v="0"/>
  </r>
  <r>
    <x v="0"/>
    <x v="161"/>
    <x v="161"/>
    <x v="40"/>
    <x v="40"/>
    <x v="40"/>
    <x v="7"/>
    <x v="204"/>
    <x v="357"/>
    <x v="70"/>
    <x v="249"/>
    <x v="76"/>
    <x v="242"/>
    <x v="0"/>
  </r>
  <r>
    <x v="0"/>
    <x v="161"/>
    <x v="161"/>
    <x v="16"/>
    <x v="16"/>
    <x v="16"/>
    <x v="8"/>
    <x v="206"/>
    <x v="351"/>
    <x v="56"/>
    <x v="326"/>
    <x v="134"/>
    <x v="348"/>
    <x v="0"/>
  </r>
  <r>
    <x v="0"/>
    <x v="161"/>
    <x v="161"/>
    <x v="46"/>
    <x v="46"/>
    <x v="46"/>
    <x v="9"/>
    <x v="193"/>
    <x v="28"/>
    <x v="51"/>
    <x v="461"/>
    <x v="109"/>
    <x v="117"/>
    <x v="0"/>
  </r>
  <r>
    <x v="0"/>
    <x v="161"/>
    <x v="161"/>
    <x v="22"/>
    <x v="22"/>
    <x v="22"/>
    <x v="9"/>
    <x v="193"/>
    <x v="28"/>
    <x v="77"/>
    <x v="708"/>
    <x v="108"/>
    <x v="154"/>
    <x v="0"/>
  </r>
  <r>
    <x v="0"/>
    <x v="161"/>
    <x v="161"/>
    <x v="39"/>
    <x v="39"/>
    <x v="39"/>
    <x v="11"/>
    <x v="194"/>
    <x v="84"/>
    <x v="51"/>
    <x v="461"/>
    <x v="98"/>
    <x v="14"/>
    <x v="0"/>
  </r>
  <r>
    <x v="0"/>
    <x v="161"/>
    <x v="161"/>
    <x v="19"/>
    <x v="19"/>
    <x v="19"/>
    <x v="11"/>
    <x v="194"/>
    <x v="84"/>
    <x v="39"/>
    <x v="194"/>
    <x v="67"/>
    <x v="102"/>
    <x v="0"/>
  </r>
  <r>
    <x v="0"/>
    <x v="161"/>
    <x v="161"/>
    <x v="11"/>
    <x v="11"/>
    <x v="11"/>
    <x v="13"/>
    <x v="207"/>
    <x v="29"/>
    <x v="51"/>
    <x v="461"/>
    <x v="67"/>
    <x v="102"/>
    <x v="0"/>
  </r>
  <r>
    <x v="0"/>
    <x v="161"/>
    <x v="161"/>
    <x v="17"/>
    <x v="17"/>
    <x v="17"/>
    <x v="19"/>
    <x v="208"/>
    <x v="64"/>
    <x v="65"/>
    <x v="65"/>
    <x v="106"/>
    <x v="42"/>
    <x v="0"/>
  </r>
  <r>
    <x v="0"/>
    <x v="161"/>
    <x v="161"/>
    <x v="13"/>
    <x v="13"/>
    <x v="13"/>
    <x v="19"/>
    <x v="208"/>
    <x v="64"/>
    <x v="56"/>
    <x v="326"/>
    <x v="109"/>
    <x v="117"/>
    <x v="0"/>
  </r>
  <r>
    <x v="0"/>
    <x v="161"/>
    <x v="161"/>
    <x v="14"/>
    <x v="14"/>
    <x v="14"/>
    <x v="19"/>
    <x v="208"/>
    <x v="64"/>
    <x v="51"/>
    <x v="461"/>
    <x v="119"/>
    <x v="477"/>
    <x v="0"/>
  </r>
  <r>
    <x v="0"/>
    <x v="161"/>
    <x v="161"/>
    <x v="7"/>
    <x v="7"/>
    <x v="7"/>
    <x v="19"/>
    <x v="208"/>
    <x v="64"/>
    <x v="70"/>
    <x v="249"/>
    <x v="98"/>
    <x v="14"/>
    <x v="0"/>
  </r>
  <r>
    <x v="0"/>
    <x v="161"/>
    <x v="161"/>
    <x v="12"/>
    <x v="12"/>
    <x v="12"/>
    <x v="17"/>
    <x v="195"/>
    <x v="32"/>
    <x v="95"/>
    <x v="713"/>
    <x v="93"/>
    <x v="479"/>
    <x v="0"/>
  </r>
  <r>
    <x v="0"/>
    <x v="161"/>
    <x v="161"/>
    <x v="18"/>
    <x v="18"/>
    <x v="18"/>
    <x v="17"/>
    <x v="195"/>
    <x v="32"/>
    <x v="56"/>
    <x v="326"/>
    <x v="98"/>
    <x v="14"/>
    <x v="0"/>
  </r>
  <r>
    <x v="0"/>
    <x v="162"/>
    <x v="162"/>
    <x v="0"/>
    <x v="0"/>
    <x v="0"/>
    <x v="0"/>
    <x v="208"/>
    <x v="522"/>
    <x v="68"/>
    <x v="311"/>
    <x v="123"/>
    <x v="102"/>
    <x v="0"/>
  </r>
  <r>
    <x v="0"/>
    <x v="162"/>
    <x v="162"/>
    <x v="10"/>
    <x v="10"/>
    <x v="10"/>
    <x v="1"/>
    <x v="196"/>
    <x v="126"/>
    <x v="50"/>
    <x v="513"/>
    <x v="67"/>
    <x v="352"/>
    <x v="0"/>
  </r>
  <r>
    <x v="0"/>
    <x v="162"/>
    <x v="162"/>
    <x v="3"/>
    <x v="3"/>
    <x v="3"/>
    <x v="1"/>
    <x v="196"/>
    <x v="126"/>
    <x v="95"/>
    <x v="714"/>
    <x v="127"/>
    <x v="151"/>
    <x v="0"/>
  </r>
  <r>
    <x v="0"/>
    <x v="162"/>
    <x v="162"/>
    <x v="17"/>
    <x v="17"/>
    <x v="17"/>
    <x v="3"/>
    <x v="199"/>
    <x v="515"/>
    <x v="56"/>
    <x v="179"/>
    <x v="93"/>
    <x v="348"/>
    <x v="0"/>
  </r>
  <r>
    <x v="0"/>
    <x v="162"/>
    <x v="162"/>
    <x v="13"/>
    <x v="13"/>
    <x v="13"/>
    <x v="3"/>
    <x v="199"/>
    <x v="515"/>
    <x v="50"/>
    <x v="513"/>
    <x v="108"/>
    <x v="347"/>
    <x v="0"/>
  </r>
  <r>
    <x v="0"/>
    <x v="162"/>
    <x v="162"/>
    <x v="84"/>
    <x v="84"/>
    <x v="84"/>
    <x v="3"/>
    <x v="199"/>
    <x v="515"/>
    <x v="65"/>
    <x v="65"/>
    <x v="110"/>
    <x v="351"/>
    <x v="0"/>
  </r>
  <r>
    <x v="0"/>
    <x v="162"/>
    <x v="162"/>
    <x v="42"/>
    <x v="42"/>
    <x v="42"/>
    <x v="3"/>
    <x v="199"/>
    <x v="515"/>
    <x v="65"/>
    <x v="65"/>
    <x v="110"/>
    <x v="351"/>
    <x v="0"/>
  </r>
  <r>
    <x v="0"/>
    <x v="162"/>
    <x v="162"/>
    <x v="4"/>
    <x v="4"/>
    <x v="4"/>
    <x v="3"/>
    <x v="199"/>
    <x v="515"/>
    <x v="62"/>
    <x v="510"/>
    <x v="127"/>
    <x v="151"/>
    <x v="0"/>
  </r>
  <r>
    <x v="0"/>
    <x v="162"/>
    <x v="162"/>
    <x v="9"/>
    <x v="9"/>
    <x v="9"/>
    <x v="3"/>
    <x v="199"/>
    <x v="515"/>
    <x v="62"/>
    <x v="510"/>
    <x v="127"/>
    <x v="151"/>
    <x v="0"/>
  </r>
  <r>
    <x v="0"/>
    <x v="162"/>
    <x v="162"/>
    <x v="1"/>
    <x v="1"/>
    <x v="1"/>
    <x v="3"/>
    <x v="199"/>
    <x v="515"/>
    <x v="62"/>
    <x v="510"/>
    <x v="127"/>
    <x v="151"/>
    <x v="0"/>
  </r>
  <r>
    <x v="0"/>
    <x v="162"/>
    <x v="162"/>
    <x v="40"/>
    <x v="40"/>
    <x v="40"/>
    <x v="10"/>
    <x v="200"/>
    <x v="81"/>
    <x v="56"/>
    <x v="179"/>
    <x v="123"/>
    <x v="102"/>
    <x v="0"/>
  </r>
  <r>
    <x v="0"/>
    <x v="162"/>
    <x v="162"/>
    <x v="67"/>
    <x v="67"/>
    <x v="67"/>
    <x v="10"/>
    <x v="200"/>
    <x v="81"/>
    <x v="70"/>
    <x v="512"/>
    <x v="127"/>
    <x v="151"/>
    <x v="0"/>
  </r>
  <r>
    <x v="0"/>
    <x v="162"/>
    <x v="162"/>
    <x v="46"/>
    <x v="46"/>
    <x v="46"/>
    <x v="10"/>
    <x v="200"/>
    <x v="81"/>
    <x v="56"/>
    <x v="179"/>
    <x v="123"/>
    <x v="102"/>
    <x v="0"/>
  </r>
  <r>
    <x v="0"/>
    <x v="162"/>
    <x v="162"/>
    <x v="47"/>
    <x v="47"/>
    <x v="47"/>
    <x v="10"/>
    <x v="200"/>
    <x v="81"/>
    <x v="65"/>
    <x v="65"/>
    <x v="108"/>
    <x v="347"/>
    <x v="0"/>
  </r>
  <r>
    <x v="0"/>
    <x v="162"/>
    <x v="162"/>
    <x v="14"/>
    <x v="14"/>
    <x v="14"/>
    <x v="19"/>
    <x v="216"/>
    <x v="30"/>
    <x v="65"/>
    <x v="65"/>
    <x v="93"/>
    <x v="348"/>
    <x v="0"/>
  </r>
  <r>
    <x v="0"/>
    <x v="162"/>
    <x v="162"/>
    <x v="86"/>
    <x v="86"/>
    <x v="86"/>
    <x v="19"/>
    <x v="216"/>
    <x v="30"/>
    <x v="65"/>
    <x v="65"/>
    <x v="93"/>
    <x v="348"/>
    <x v="0"/>
  </r>
  <r>
    <x v="0"/>
    <x v="162"/>
    <x v="162"/>
    <x v="33"/>
    <x v="33"/>
    <x v="33"/>
    <x v="19"/>
    <x v="216"/>
    <x v="30"/>
    <x v="65"/>
    <x v="65"/>
    <x v="93"/>
    <x v="348"/>
    <x v="0"/>
  </r>
  <r>
    <x v="0"/>
    <x v="162"/>
    <x v="162"/>
    <x v="68"/>
    <x v="68"/>
    <x v="68"/>
    <x v="19"/>
    <x v="216"/>
    <x v="30"/>
    <x v="65"/>
    <x v="65"/>
    <x v="93"/>
    <x v="348"/>
    <x v="0"/>
  </r>
  <r>
    <x v="0"/>
    <x v="162"/>
    <x v="162"/>
    <x v="12"/>
    <x v="12"/>
    <x v="12"/>
    <x v="19"/>
    <x v="216"/>
    <x v="30"/>
    <x v="65"/>
    <x v="65"/>
    <x v="93"/>
    <x v="348"/>
    <x v="0"/>
  </r>
  <r>
    <x v="0"/>
    <x v="162"/>
    <x v="162"/>
    <x v="11"/>
    <x v="11"/>
    <x v="11"/>
    <x v="19"/>
    <x v="216"/>
    <x v="30"/>
    <x v="50"/>
    <x v="513"/>
    <x v="123"/>
    <x v="102"/>
    <x v="0"/>
  </r>
  <r>
    <x v="0"/>
    <x v="162"/>
    <x v="162"/>
    <x v="49"/>
    <x v="49"/>
    <x v="49"/>
    <x v="19"/>
    <x v="216"/>
    <x v="30"/>
    <x v="50"/>
    <x v="513"/>
    <x v="123"/>
    <x v="102"/>
    <x v="0"/>
  </r>
  <r>
    <x v="0"/>
    <x v="162"/>
    <x v="162"/>
    <x v="55"/>
    <x v="55"/>
    <x v="55"/>
    <x v="19"/>
    <x v="216"/>
    <x v="30"/>
    <x v="50"/>
    <x v="513"/>
    <x v="123"/>
    <x v="102"/>
    <x v="0"/>
  </r>
  <r>
    <x v="0"/>
    <x v="162"/>
    <x v="162"/>
    <x v="45"/>
    <x v="45"/>
    <x v="45"/>
    <x v="19"/>
    <x v="216"/>
    <x v="30"/>
    <x v="56"/>
    <x v="179"/>
    <x v="127"/>
    <x v="151"/>
    <x v="0"/>
  </r>
  <r>
    <x v="0"/>
    <x v="162"/>
    <x v="162"/>
    <x v="61"/>
    <x v="61"/>
    <x v="61"/>
    <x v="19"/>
    <x v="216"/>
    <x v="30"/>
    <x v="56"/>
    <x v="179"/>
    <x v="127"/>
    <x v="151"/>
    <x v="0"/>
  </r>
  <r>
    <x v="0"/>
    <x v="162"/>
    <x v="162"/>
    <x v="5"/>
    <x v="5"/>
    <x v="5"/>
    <x v="19"/>
    <x v="216"/>
    <x v="30"/>
    <x v="56"/>
    <x v="179"/>
    <x v="127"/>
    <x v="151"/>
    <x v="0"/>
  </r>
  <r>
    <x v="0"/>
    <x v="162"/>
    <x v="162"/>
    <x v="2"/>
    <x v="2"/>
    <x v="2"/>
    <x v="19"/>
    <x v="216"/>
    <x v="30"/>
    <x v="56"/>
    <x v="179"/>
    <x v="127"/>
    <x v="151"/>
    <x v="0"/>
  </r>
  <r>
    <x v="0"/>
    <x v="162"/>
    <x v="162"/>
    <x v="37"/>
    <x v="37"/>
    <x v="37"/>
    <x v="19"/>
    <x v="216"/>
    <x v="30"/>
    <x v="65"/>
    <x v="65"/>
    <x v="123"/>
    <x v="102"/>
    <x v="0"/>
  </r>
  <r>
    <x v="0"/>
    <x v="162"/>
    <x v="162"/>
    <x v="34"/>
    <x v="34"/>
    <x v="34"/>
    <x v="19"/>
    <x v="216"/>
    <x v="30"/>
    <x v="56"/>
    <x v="179"/>
    <x v="127"/>
    <x v="151"/>
    <x v="0"/>
  </r>
  <r>
    <x v="0"/>
    <x v="162"/>
    <x v="162"/>
    <x v="23"/>
    <x v="23"/>
    <x v="23"/>
    <x v="19"/>
    <x v="216"/>
    <x v="30"/>
    <x v="56"/>
    <x v="179"/>
    <x v="127"/>
    <x v="151"/>
    <x v="0"/>
  </r>
  <r>
    <x v="0"/>
    <x v="162"/>
    <x v="162"/>
    <x v="83"/>
    <x v="83"/>
    <x v="83"/>
    <x v="19"/>
    <x v="216"/>
    <x v="30"/>
    <x v="50"/>
    <x v="513"/>
    <x v="123"/>
    <x v="102"/>
    <x v="0"/>
  </r>
  <r>
    <x v="0"/>
    <x v="163"/>
    <x v="163"/>
    <x v="3"/>
    <x v="3"/>
    <x v="3"/>
    <x v="0"/>
    <x v="195"/>
    <x v="469"/>
    <x v="68"/>
    <x v="214"/>
    <x v="127"/>
    <x v="151"/>
    <x v="0"/>
  </r>
  <r>
    <x v="0"/>
    <x v="163"/>
    <x v="163"/>
    <x v="1"/>
    <x v="1"/>
    <x v="1"/>
    <x v="1"/>
    <x v="196"/>
    <x v="470"/>
    <x v="95"/>
    <x v="323"/>
    <x v="127"/>
    <x v="151"/>
    <x v="0"/>
  </r>
  <r>
    <x v="0"/>
    <x v="163"/>
    <x v="163"/>
    <x v="10"/>
    <x v="10"/>
    <x v="10"/>
    <x v="2"/>
    <x v="197"/>
    <x v="39"/>
    <x v="56"/>
    <x v="272"/>
    <x v="110"/>
    <x v="340"/>
    <x v="0"/>
  </r>
  <r>
    <x v="0"/>
    <x v="163"/>
    <x v="163"/>
    <x v="17"/>
    <x v="17"/>
    <x v="17"/>
    <x v="2"/>
    <x v="197"/>
    <x v="39"/>
    <x v="50"/>
    <x v="328"/>
    <x v="119"/>
    <x v="315"/>
    <x v="0"/>
  </r>
  <r>
    <x v="0"/>
    <x v="163"/>
    <x v="163"/>
    <x v="47"/>
    <x v="47"/>
    <x v="47"/>
    <x v="2"/>
    <x v="197"/>
    <x v="39"/>
    <x v="70"/>
    <x v="404"/>
    <x v="108"/>
    <x v="339"/>
    <x v="0"/>
  </r>
  <r>
    <x v="0"/>
    <x v="163"/>
    <x v="163"/>
    <x v="9"/>
    <x v="9"/>
    <x v="9"/>
    <x v="2"/>
    <x v="197"/>
    <x v="39"/>
    <x v="62"/>
    <x v="232"/>
    <x v="93"/>
    <x v="341"/>
    <x v="0"/>
  </r>
  <r>
    <x v="0"/>
    <x v="163"/>
    <x v="163"/>
    <x v="51"/>
    <x v="51"/>
    <x v="51"/>
    <x v="6"/>
    <x v="198"/>
    <x v="251"/>
    <x v="65"/>
    <x v="65"/>
    <x v="119"/>
    <x v="315"/>
    <x v="0"/>
  </r>
  <r>
    <x v="0"/>
    <x v="163"/>
    <x v="163"/>
    <x v="4"/>
    <x v="4"/>
    <x v="4"/>
    <x v="6"/>
    <x v="198"/>
    <x v="251"/>
    <x v="62"/>
    <x v="232"/>
    <x v="123"/>
    <x v="35"/>
    <x v="0"/>
  </r>
  <r>
    <x v="0"/>
    <x v="163"/>
    <x v="163"/>
    <x v="45"/>
    <x v="45"/>
    <x v="45"/>
    <x v="8"/>
    <x v="199"/>
    <x v="161"/>
    <x v="70"/>
    <x v="404"/>
    <x v="123"/>
    <x v="35"/>
    <x v="0"/>
  </r>
  <r>
    <x v="0"/>
    <x v="163"/>
    <x v="163"/>
    <x v="44"/>
    <x v="44"/>
    <x v="44"/>
    <x v="9"/>
    <x v="200"/>
    <x v="44"/>
    <x v="56"/>
    <x v="272"/>
    <x v="123"/>
    <x v="35"/>
    <x v="0"/>
  </r>
  <r>
    <x v="0"/>
    <x v="163"/>
    <x v="163"/>
    <x v="18"/>
    <x v="18"/>
    <x v="18"/>
    <x v="9"/>
    <x v="200"/>
    <x v="44"/>
    <x v="50"/>
    <x v="328"/>
    <x v="93"/>
    <x v="341"/>
    <x v="0"/>
  </r>
  <r>
    <x v="0"/>
    <x v="163"/>
    <x v="163"/>
    <x v="2"/>
    <x v="2"/>
    <x v="2"/>
    <x v="9"/>
    <x v="200"/>
    <x v="44"/>
    <x v="70"/>
    <x v="404"/>
    <x v="127"/>
    <x v="151"/>
    <x v="0"/>
  </r>
  <r>
    <x v="0"/>
    <x v="163"/>
    <x v="163"/>
    <x v="8"/>
    <x v="8"/>
    <x v="8"/>
    <x v="9"/>
    <x v="200"/>
    <x v="44"/>
    <x v="56"/>
    <x v="272"/>
    <x v="123"/>
    <x v="35"/>
    <x v="0"/>
  </r>
  <r>
    <x v="0"/>
    <x v="163"/>
    <x v="163"/>
    <x v="6"/>
    <x v="6"/>
    <x v="6"/>
    <x v="9"/>
    <x v="200"/>
    <x v="44"/>
    <x v="70"/>
    <x v="404"/>
    <x v="127"/>
    <x v="151"/>
    <x v="0"/>
  </r>
  <r>
    <x v="0"/>
    <x v="163"/>
    <x v="163"/>
    <x v="56"/>
    <x v="56"/>
    <x v="56"/>
    <x v="19"/>
    <x v="216"/>
    <x v="13"/>
    <x v="56"/>
    <x v="272"/>
    <x v="127"/>
    <x v="151"/>
    <x v="0"/>
  </r>
  <r>
    <x v="0"/>
    <x v="163"/>
    <x v="163"/>
    <x v="13"/>
    <x v="13"/>
    <x v="13"/>
    <x v="19"/>
    <x v="216"/>
    <x v="13"/>
    <x v="50"/>
    <x v="328"/>
    <x v="123"/>
    <x v="35"/>
    <x v="0"/>
  </r>
  <r>
    <x v="0"/>
    <x v="163"/>
    <x v="163"/>
    <x v="127"/>
    <x v="127"/>
    <x v="127"/>
    <x v="19"/>
    <x v="216"/>
    <x v="13"/>
    <x v="50"/>
    <x v="328"/>
    <x v="123"/>
    <x v="35"/>
    <x v="0"/>
  </r>
  <r>
    <x v="0"/>
    <x v="163"/>
    <x v="163"/>
    <x v="73"/>
    <x v="73"/>
    <x v="73"/>
    <x v="19"/>
    <x v="216"/>
    <x v="13"/>
    <x v="56"/>
    <x v="272"/>
    <x v="127"/>
    <x v="151"/>
    <x v="0"/>
  </r>
  <r>
    <x v="0"/>
    <x v="163"/>
    <x v="163"/>
    <x v="62"/>
    <x v="62"/>
    <x v="62"/>
    <x v="19"/>
    <x v="216"/>
    <x v="13"/>
    <x v="50"/>
    <x v="328"/>
    <x v="123"/>
    <x v="35"/>
    <x v="0"/>
  </r>
  <r>
    <x v="0"/>
    <x v="163"/>
    <x v="163"/>
    <x v="36"/>
    <x v="36"/>
    <x v="36"/>
    <x v="19"/>
    <x v="216"/>
    <x v="13"/>
    <x v="56"/>
    <x v="272"/>
    <x v="127"/>
    <x v="151"/>
    <x v="0"/>
  </r>
  <r>
    <x v="0"/>
    <x v="163"/>
    <x v="163"/>
    <x v="112"/>
    <x v="112"/>
    <x v="112"/>
    <x v="19"/>
    <x v="216"/>
    <x v="13"/>
    <x v="56"/>
    <x v="272"/>
    <x v="127"/>
    <x v="151"/>
    <x v="0"/>
  </r>
  <r>
    <x v="0"/>
    <x v="163"/>
    <x v="163"/>
    <x v="42"/>
    <x v="42"/>
    <x v="42"/>
    <x v="19"/>
    <x v="216"/>
    <x v="13"/>
    <x v="65"/>
    <x v="65"/>
    <x v="93"/>
    <x v="341"/>
    <x v="0"/>
  </r>
  <r>
    <x v="0"/>
    <x v="163"/>
    <x v="163"/>
    <x v="7"/>
    <x v="7"/>
    <x v="7"/>
    <x v="19"/>
    <x v="216"/>
    <x v="13"/>
    <x v="50"/>
    <x v="328"/>
    <x v="123"/>
    <x v="35"/>
    <x v="0"/>
  </r>
  <r>
    <x v="0"/>
    <x v="163"/>
    <x v="163"/>
    <x v="227"/>
    <x v="223"/>
    <x v="227"/>
    <x v="19"/>
    <x v="216"/>
    <x v="13"/>
    <x v="56"/>
    <x v="272"/>
    <x v="127"/>
    <x v="151"/>
    <x v="0"/>
  </r>
  <r>
    <x v="0"/>
    <x v="163"/>
    <x v="163"/>
    <x v="194"/>
    <x v="191"/>
    <x v="194"/>
    <x v="19"/>
    <x v="216"/>
    <x v="13"/>
    <x v="56"/>
    <x v="272"/>
    <x v="127"/>
    <x v="151"/>
    <x v="0"/>
  </r>
  <r>
    <x v="0"/>
    <x v="163"/>
    <x v="163"/>
    <x v="133"/>
    <x v="133"/>
    <x v="133"/>
    <x v="19"/>
    <x v="216"/>
    <x v="13"/>
    <x v="50"/>
    <x v="328"/>
    <x v="123"/>
    <x v="35"/>
    <x v="0"/>
  </r>
  <r>
    <x v="0"/>
    <x v="163"/>
    <x v="163"/>
    <x v="64"/>
    <x v="64"/>
    <x v="64"/>
    <x v="19"/>
    <x v="216"/>
    <x v="13"/>
    <x v="50"/>
    <x v="328"/>
    <x v="123"/>
    <x v="35"/>
    <x v="0"/>
  </r>
  <r>
    <x v="0"/>
    <x v="163"/>
    <x v="163"/>
    <x v="171"/>
    <x v="169"/>
    <x v="171"/>
    <x v="19"/>
    <x v="216"/>
    <x v="13"/>
    <x v="50"/>
    <x v="328"/>
    <x v="127"/>
    <x v="151"/>
    <x v="0"/>
  </r>
  <r>
    <x v="0"/>
    <x v="163"/>
    <x v="163"/>
    <x v="53"/>
    <x v="53"/>
    <x v="53"/>
    <x v="19"/>
    <x v="216"/>
    <x v="13"/>
    <x v="65"/>
    <x v="65"/>
    <x v="127"/>
    <x v="151"/>
    <x v="0"/>
  </r>
  <r>
    <x v="0"/>
    <x v="163"/>
    <x v="163"/>
    <x v="72"/>
    <x v="72"/>
    <x v="72"/>
    <x v="19"/>
    <x v="216"/>
    <x v="13"/>
    <x v="65"/>
    <x v="65"/>
    <x v="123"/>
    <x v="35"/>
    <x v="0"/>
  </r>
  <r>
    <x v="0"/>
    <x v="163"/>
    <x v="163"/>
    <x v="83"/>
    <x v="83"/>
    <x v="83"/>
    <x v="19"/>
    <x v="216"/>
    <x v="13"/>
    <x v="50"/>
    <x v="328"/>
    <x v="123"/>
    <x v="35"/>
    <x v="0"/>
  </r>
  <r>
    <x v="0"/>
    <x v="164"/>
    <x v="164"/>
    <x v="1"/>
    <x v="1"/>
    <x v="1"/>
    <x v="0"/>
    <x v="195"/>
    <x v="523"/>
    <x v="68"/>
    <x v="601"/>
    <x v="127"/>
    <x v="151"/>
    <x v="0"/>
  </r>
  <r>
    <x v="0"/>
    <x v="164"/>
    <x v="164"/>
    <x v="45"/>
    <x v="45"/>
    <x v="45"/>
    <x v="1"/>
    <x v="196"/>
    <x v="524"/>
    <x v="39"/>
    <x v="491"/>
    <x v="123"/>
    <x v="35"/>
    <x v="0"/>
  </r>
  <r>
    <x v="0"/>
    <x v="164"/>
    <x v="164"/>
    <x v="4"/>
    <x v="4"/>
    <x v="4"/>
    <x v="2"/>
    <x v="197"/>
    <x v="387"/>
    <x v="70"/>
    <x v="587"/>
    <x v="108"/>
    <x v="339"/>
    <x v="0"/>
  </r>
  <r>
    <x v="0"/>
    <x v="164"/>
    <x v="164"/>
    <x v="53"/>
    <x v="53"/>
    <x v="53"/>
    <x v="2"/>
    <x v="197"/>
    <x v="387"/>
    <x v="65"/>
    <x v="65"/>
    <x v="127"/>
    <x v="151"/>
    <x v="0"/>
  </r>
  <r>
    <x v="0"/>
    <x v="164"/>
    <x v="164"/>
    <x v="41"/>
    <x v="41"/>
    <x v="41"/>
    <x v="4"/>
    <x v="198"/>
    <x v="424"/>
    <x v="70"/>
    <x v="587"/>
    <x v="93"/>
    <x v="341"/>
    <x v="0"/>
  </r>
  <r>
    <x v="0"/>
    <x v="164"/>
    <x v="164"/>
    <x v="42"/>
    <x v="42"/>
    <x v="42"/>
    <x v="4"/>
    <x v="198"/>
    <x v="424"/>
    <x v="65"/>
    <x v="65"/>
    <x v="119"/>
    <x v="315"/>
    <x v="0"/>
  </r>
  <r>
    <x v="0"/>
    <x v="164"/>
    <x v="164"/>
    <x v="8"/>
    <x v="8"/>
    <x v="8"/>
    <x v="4"/>
    <x v="198"/>
    <x v="424"/>
    <x v="51"/>
    <x v="563"/>
    <x v="127"/>
    <x v="151"/>
    <x v="0"/>
  </r>
  <r>
    <x v="0"/>
    <x v="164"/>
    <x v="164"/>
    <x v="72"/>
    <x v="72"/>
    <x v="72"/>
    <x v="4"/>
    <x v="198"/>
    <x v="424"/>
    <x v="65"/>
    <x v="65"/>
    <x v="123"/>
    <x v="35"/>
    <x v="0"/>
  </r>
  <r>
    <x v="0"/>
    <x v="164"/>
    <x v="164"/>
    <x v="127"/>
    <x v="127"/>
    <x v="127"/>
    <x v="8"/>
    <x v="199"/>
    <x v="388"/>
    <x v="65"/>
    <x v="65"/>
    <x v="110"/>
    <x v="340"/>
    <x v="0"/>
  </r>
  <r>
    <x v="0"/>
    <x v="164"/>
    <x v="164"/>
    <x v="0"/>
    <x v="0"/>
    <x v="0"/>
    <x v="8"/>
    <x v="199"/>
    <x v="388"/>
    <x v="70"/>
    <x v="587"/>
    <x v="123"/>
    <x v="35"/>
    <x v="0"/>
  </r>
  <r>
    <x v="0"/>
    <x v="164"/>
    <x v="164"/>
    <x v="82"/>
    <x v="82"/>
    <x v="82"/>
    <x v="8"/>
    <x v="199"/>
    <x v="388"/>
    <x v="56"/>
    <x v="487"/>
    <x v="127"/>
    <x v="151"/>
    <x v="0"/>
  </r>
  <r>
    <x v="0"/>
    <x v="164"/>
    <x v="164"/>
    <x v="26"/>
    <x v="26"/>
    <x v="26"/>
    <x v="8"/>
    <x v="199"/>
    <x v="388"/>
    <x v="65"/>
    <x v="65"/>
    <x v="123"/>
    <x v="35"/>
    <x v="0"/>
  </r>
  <r>
    <x v="0"/>
    <x v="164"/>
    <x v="164"/>
    <x v="40"/>
    <x v="40"/>
    <x v="40"/>
    <x v="12"/>
    <x v="200"/>
    <x v="214"/>
    <x v="65"/>
    <x v="65"/>
    <x v="108"/>
    <x v="339"/>
    <x v="0"/>
  </r>
  <r>
    <x v="0"/>
    <x v="164"/>
    <x v="164"/>
    <x v="13"/>
    <x v="13"/>
    <x v="13"/>
    <x v="12"/>
    <x v="200"/>
    <x v="214"/>
    <x v="50"/>
    <x v="194"/>
    <x v="93"/>
    <x v="341"/>
    <x v="0"/>
  </r>
  <r>
    <x v="0"/>
    <x v="164"/>
    <x v="164"/>
    <x v="3"/>
    <x v="3"/>
    <x v="3"/>
    <x v="12"/>
    <x v="200"/>
    <x v="214"/>
    <x v="56"/>
    <x v="487"/>
    <x v="123"/>
    <x v="35"/>
    <x v="0"/>
  </r>
  <r>
    <x v="0"/>
    <x v="164"/>
    <x v="164"/>
    <x v="123"/>
    <x v="123"/>
    <x v="123"/>
    <x v="12"/>
    <x v="200"/>
    <x v="214"/>
    <x v="50"/>
    <x v="194"/>
    <x v="93"/>
    <x v="341"/>
    <x v="0"/>
  </r>
  <r>
    <x v="0"/>
    <x v="164"/>
    <x v="164"/>
    <x v="52"/>
    <x v="52"/>
    <x v="52"/>
    <x v="12"/>
    <x v="200"/>
    <x v="214"/>
    <x v="65"/>
    <x v="65"/>
    <x v="127"/>
    <x v="151"/>
    <x v="0"/>
  </r>
  <r>
    <x v="0"/>
    <x v="164"/>
    <x v="164"/>
    <x v="39"/>
    <x v="39"/>
    <x v="39"/>
    <x v="12"/>
    <x v="200"/>
    <x v="214"/>
    <x v="56"/>
    <x v="487"/>
    <x v="123"/>
    <x v="35"/>
    <x v="0"/>
  </r>
  <r>
    <x v="0"/>
    <x v="164"/>
    <x v="164"/>
    <x v="48"/>
    <x v="48"/>
    <x v="48"/>
    <x v="17"/>
    <x v="216"/>
    <x v="10"/>
    <x v="50"/>
    <x v="194"/>
    <x v="127"/>
    <x v="151"/>
    <x v="6"/>
  </r>
  <r>
    <x v="0"/>
    <x v="164"/>
    <x v="164"/>
    <x v="12"/>
    <x v="12"/>
    <x v="12"/>
    <x v="17"/>
    <x v="216"/>
    <x v="10"/>
    <x v="50"/>
    <x v="194"/>
    <x v="123"/>
    <x v="35"/>
    <x v="0"/>
  </r>
  <r>
    <x v="0"/>
    <x v="164"/>
    <x v="164"/>
    <x v="11"/>
    <x v="11"/>
    <x v="11"/>
    <x v="17"/>
    <x v="216"/>
    <x v="10"/>
    <x v="50"/>
    <x v="194"/>
    <x v="123"/>
    <x v="35"/>
    <x v="0"/>
  </r>
  <r>
    <x v="0"/>
    <x v="164"/>
    <x v="164"/>
    <x v="18"/>
    <x v="18"/>
    <x v="18"/>
    <x v="17"/>
    <x v="216"/>
    <x v="10"/>
    <x v="65"/>
    <x v="65"/>
    <x v="93"/>
    <x v="341"/>
    <x v="0"/>
  </r>
  <r>
    <x v="0"/>
    <x v="164"/>
    <x v="164"/>
    <x v="51"/>
    <x v="51"/>
    <x v="51"/>
    <x v="17"/>
    <x v="216"/>
    <x v="10"/>
    <x v="50"/>
    <x v="194"/>
    <x v="123"/>
    <x v="35"/>
    <x v="0"/>
  </r>
  <r>
    <x v="0"/>
    <x v="164"/>
    <x v="164"/>
    <x v="117"/>
    <x v="117"/>
    <x v="117"/>
    <x v="17"/>
    <x v="216"/>
    <x v="10"/>
    <x v="65"/>
    <x v="65"/>
    <x v="127"/>
    <x v="151"/>
    <x v="0"/>
  </r>
  <r>
    <x v="0"/>
    <x v="164"/>
    <x v="164"/>
    <x v="5"/>
    <x v="5"/>
    <x v="5"/>
    <x v="17"/>
    <x v="216"/>
    <x v="10"/>
    <x v="56"/>
    <x v="487"/>
    <x v="127"/>
    <x v="151"/>
    <x v="0"/>
  </r>
  <r>
    <x v="0"/>
    <x v="164"/>
    <x v="164"/>
    <x v="2"/>
    <x v="2"/>
    <x v="2"/>
    <x v="17"/>
    <x v="216"/>
    <x v="10"/>
    <x v="56"/>
    <x v="487"/>
    <x v="127"/>
    <x v="151"/>
    <x v="0"/>
  </r>
  <r>
    <x v="0"/>
    <x v="164"/>
    <x v="164"/>
    <x v="37"/>
    <x v="37"/>
    <x v="37"/>
    <x v="17"/>
    <x v="216"/>
    <x v="10"/>
    <x v="65"/>
    <x v="65"/>
    <x v="93"/>
    <x v="341"/>
    <x v="0"/>
  </r>
  <r>
    <x v="0"/>
    <x v="164"/>
    <x v="164"/>
    <x v="19"/>
    <x v="19"/>
    <x v="19"/>
    <x v="17"/>
    <x v="216"/>
    <x v="10"/>
    <x v="56"/>
    <x v="487"/>
    <x v="127"/>
    <x v="151"/>
    <x v="0"/>
  </r>
  <r>
    <x v="0"/>
    <x v="165"/>
    <x v="165"/>
    <x v="2"/>
    <x v="2"/>
    <x v="2"/>
    <x v="0"/>
    <x v="210"/>
    <x v="525"/>
    <x v="100"/>
    <x v="541"/>
    <x v="127"/>
    <x v="151"/>
    <x v="0"/>
  </r>
  <r>
    <x v="0"/>
    <x v="165"/>
    <x v="165"/>
    <x v="51"/>
    <x v="51"/>
    <x v="51"/>
    <x v="1"/>
    <x v="196"/>
    <x v="526"/>
    <x v="95"/>
    <x v="613"/>
    <x v="127"/>
    <x v="151"/>
    <x v="0"/>
  </r>
  <r>
    <x v="0"/>
    <x v="165"/>
    <x v="165"/>
    <x v="45"/>
    <x v="45"/>
    <x v="45"/>
    <x v="2"/>
    <x v="197"/>
    <x v="3"/>
    <x v="62"/>
    <x v="5"/>
    <x v="93"/>
    <x v="480"/>
    <x v="0"/>
  </r>
  <r>
    <x v="0"/>
    <x v="165"/>
    <x v="165"/>
    <x v="5"/>
    <x v="5"/>
    <x v="5"/>
    <x v="2"/>
    <x v="197"/>
    <x v="3"/>
    <x v="39"/>
    <x v="42"/>
    <x v="127"/>
    <x v="151"/>
    <x v="0"/>
  </r>
  <r>
    <x v="0"/>
    <x v="165"/>
    <x v="165"/>
    <x v="3"/>
    <x v="3"/>
    <x v="3"/>
    <x v="2"/>
    <x v="197"/>
    <x v="3"/>
    <x v="39"/>
    <x v="42"/>
    <x v="127"/>
    <x v="151"/>
    <x v="0"/>
  </r>
  <r>
    <x v="0"/>
    <x v="165"/>
    <x v="165"/>
    <x v="99"/>
    <x v="99"/>
    <x v="99"/>
    <x v="5"/>
    <x v="198"/>
    <x v="101"/>
    <x v="65"/>
    <x v="65"/>
    <x v="119"/>
    <x v="272"/>
    <x v="0"/>
  </r>
  <r>
    <x v="0"/>
    <x v="165"/>
    <x v="165"/>
    <x v="41"/>
    <x v="41"/>
    <x v="41"/>
    <x v="5"/>
    <x v="198"/>
    <x v="101"/>
    <x v="51"/>
    <x v="614"/>
    <x v="127"/>
    <x v="151"/>
    <x v="0"/>
  </r>
  <r>
    <x v="0"/>
    <x v="165"/>
    <x v="165"/>
    <x v="0"/>
    <x v="0"/>
    <x v="0"/>
    <x v="5"/>
    <x v="198"/>
    <x v="101"/>
    <x v="50"/>
    <x v="616"/>
    <x v="108"/>
    <x v="388"/>
    <x v="0"/>
  </r>
  <r>
    <x v="0"/>
    <x v="165"/>
    <x v="165"/>
    <x v="17"/>
    <x v="17"/>
    <x v="17"/>
    <x v="8"/>
    <x v="199"/>
    <x v="115"/>
    <x v="65"/>
    <x v="65"/>
    <x v="110"/>
    <x v="481"/>
    <x v="0"/>
  </r>
  <r>
    <x v="0"/>
    <x v="165"/>
    <x v="165"/>
    <x v="12"/>
    <x v="12"/>
    <x v="12"/>
    <x v="8"/>
    <x v="199"/>
    <x v="115"/>
    <x v="50"/>
    <x v="616"/>
    <x v="108"/>
    <x v="388"/>
    <x v="0"/>
  </r>
  <r>
    <x v="0"/>
    <x v="165"/>
    <x v="165"/>
    <x v="42"/>
    <x v="42"/>
    <x v="42"/>
    <x v="8"/>
    <x v="199"/>
    <x v="115"/>
    <x v="50"/>
    <x v="616"/>
    <x v="108"/>
    <x v="388"/>
    <x v="0"/>
  </r>
  <r>
    <x v="0"/>
    <x v="165"/>
    <x v="165"/>
    <x v="37"/>
    <x v="37"/>
    <x v="37"/>
    <x v="8"/>
    <x v="199"/>
    <x v="115"/>
    <x v="65"/>
    <x v="65"/>
    <x v="110"/>
    <x v="481"/>
    <x v="0"/>
  </r>
  <r>
    <x v="0"/>
    <x v="165"/>
    <x v="165"/>
    <x v="1"/>
    <x v="1"/>
    <x v="1"/>
    <x v="8"/>
    <x v="199"/>
    <x v="115"/>
    <x v="62"/>
    <x v="5"/>
    <x v="127"/>
    <x v="151"/>
    <x v="0"/>
  </r>
  <r>
    <x v="0"/>
    <x v="165"/>
    <x v="165"/>
    <x v="59"/>
    <x v="59"/>
    <x v="59"/>
    <x v="8"/>
    <x v="199"/>
    <x v="115"/>
    <x v="65"/>
    <x v="65"/>
    <x v="110"/>
    <x v="481"/>
    <x v="0"/>
  </r>
  <r>
    <x v="0"/>
    <x v="165"/>
    <x v="165"/>
    <x v="19"/>
    <x v="19"/>
    <x v="19"/>
    <x v="8"/>
    <x v="199"/>
    <x v="115"/>
    <x v="62"/>
    <x v="5"/>
    <x v="127"/>
    <x v="151"/>
    <x v="0"/>
  </r>
  <r>
    <x v="0"/>
    <x v="165"/>
    <x v="165"/>
    <x v="13"/>
    <x v="13"/>
    <x v="13"/>
    <x v="14"/>
    <x v="200"/>
    <x v="225"/>
    <x v="50"/>
    <x v="616"/>
    <x v="93"/>
    <x v="480"/>
    <x v="0"/>
  </r>
  <r>
    <x v="0"/>
    <x v="165"/>
    <x v="165"/>
    <x v="28"/>
    <x v="28"/>
    <x v="28"/>
    <x v="14"/>
    <x v="200"/>
    <x v="225"/>
    <x v="56"/>
    <x v="542"/>
    <x v="123"/>
    <x v="177"/>
    <x v="0"/>
  </r>
  <r>
    <x v="0"/>
    <x v="165"/>
    <x v="165"/>
    <x v="4"/>
    <x v="4"/>
    <x v="4"/>
    <x v="14"/>
    <x v="200"/>
    <x v="225"/>
    <x v="70"/>
    <x v="615"/>
    <x v="127"/>
    <x v="151"/>
    <x v="0"/>
  </r>
  <r>
    <x v="0"/>
    <x v="165"/>
    <x v="165"/>
    <x v="9"/>
    <x v="9"/>
    <x v="9"/>
    <x v="14"/>
    <x v="200"/>
    <x v="225"/>
    <x v="56"/>
    <x v="542"/>
    <x v="123"/>
    <x v="177"/>
    <x v="0"/>
  </r>
  <r>
    <x v="0"/>
    <x v="165"/>
    <x v="165"/>
    <x v="52"/>
    <x v="52"/>
    <x v="52"/>
    <x v="14"/>
    <x v="200"/>
    <x v="225"/>
    <x v="65"/>
    <x v="65"/>
    <x v="127"/>
    <x v="151"/>
    <x v="0"/>
  </r>
  <r>
    <x v="0"/>
    <x v="166"/>
    <x v="166"/>
    <x v="0"/>
    <x v="0"/>
    <x v="0"/>
    <x v="0"/>
    <x v="205"/>
    <x v="469"/>
    <x v="77"/>
    <x v="607"/>
    <x v="110"/>
    <x v="341"/>
    <x v="0"/>
  </r>
  <r>
    <x v="0"/>
    <x v="166"/>
    <x v="166"/>
    <x v="3"/>
    <x v="3"/>
    <x v="3"/>
    <x v="1"/>
    <x v="208"/>
    <x v="39"/>
    <x v="77"/>
    <x v="607"/>
    <x v="127"/>
    <x v="151"/>
    <x v="0"/>
  </r>
  <r>
    <x v="0"/>
    <x v="166"/>
    <x v="166"/>
    <x v="1"/>
    <x v="1"/>
    <x v="1"/>
    <x v="2"/>
    <x v="195"/>
    <x v="228"/>
    <x v="68"/>
    <x v="495"/>
    <x v="127"/>
    <x v="151"/>
    <x v="0"/>
  </r>
  <r>
    <x v="0"/>
    <x v="166"/>
    <x v="166"/>
    <x v="40"/>
    <x v="40"/>
    <x v="40"/>
    <x v="3"/>
    <x v="210"/>
    <x v="111"/>
    <x v="56"/>
    <x v="182"/>
    <x v="67"/>
    <x v="339"/>
    <x v="0"/>
  </r>
  <r>
    <x v="0"/>
    <x v="166"/>
    <x v="166"/>
    <x v="59"/>
    <x v="59"/>
    <x v="59"/>
    <x v="3"/>
    <x v="210"/>
    <x v="111"/>
    <x v="65"/>
    <x v="65"/>
    <x v="109"/>
    <x v="340"/>
    <x v="0"/>
  </r>
  <r>
    <x v="0"/>
    <x v="166"/>
    <x v="166"/>
    <x v="46"/>
    <x v="46"/>
    <x v="46"/>
    <x v="5"/>
    <x v="196"/>
    <x v="22"/>
    <x v="51"/>
    <x v="498"/>
    <x v="93"/>
    <x v="35"/>
    <x v="0"/>
  </r>
  <r>
    <x v="0"/>
    <x v="166"/>
    <x v="166"/>
    <x v="42"/>
    <x v="42"/>
    <x v="42"/>
    <x v="5"/>
    <x v="196"/>
    <x v="22"/>
    <x v="50"/>
    <x v="225"/>
    <x v="67"/>
    <x v="339"/>
    <x v="0"/>
  </r>
  <r>
    <x v="0"/>
    <x v="166"/>
    <x v="166"/>
    <x v="51"/>
    <x v="51"/>
    <x v="51"/>
    <x v="5"/>
    <x v="196"/>
    <x v="22"/>
    <x v="95"/>
    <x v="315"/>
    <x v="127"/>
    <x v="151"/>
    <x v="0"/>
  </r>
  <r>
    <x v="0"/>
    <x v="166"/>
    <x v="166"/>
    <x v="5"/>
    <x v="5"/>
    <x v="5"/>
    <x v="5"/>
    <x v="196"/>
    <x v="22"/>
    <x v="39"/>
    <x v="572"/>
    <x v="123"/>
    <x v="482"/>
    <x v="0"/>
  </r>
  <r>
    <x v="0"/>
    <x v="166"/>
    <x v="166"/>
    <x v="9"/>
    <x v="9"/>
    <x v="9"/>
    <x v="5"/>
    <x v="196"/>
    <x v="22"/>
    <x v="95"/>
    <x v="315"/>
    <x v="127"/>
    <x v="151"/>
    <x v="0"/>
  </r>
  <r>
    <x v="0"/>
    <x v="166"/>
    <x v="166"/>
    <x v="13"/>
    <x v="13"/>
    <x v="13"/>
    <x v="10"/>
    <x v="197"/>
    <x v="115"/>
    <x v="70"/>
    <x v="317"/>
    <x v="108"/>
    <x v="483"/>
    <x v="0"/>
  </r>
  <r>
    <x v="0"/>
    <x v="166"/>
    <x v="166"/>
    <x v="2"/>
    <x v="2"/>
    <x v="2"/>
    <x v="10"/>
    <x v="197"/>
    <x v="115"/>
    <x v="39"/>
    <x v="572"/>
    <x v="127"/>
    <x v="151"/>
    <x v="0"/>
  </r>
  <r>
    <x v="0"/>
    <x v="166"/>
    <x v="166"/>
    <x v="45"/>
    <x v="45"/>
    <x v="45"/>
    <x v="12"/>
    <x v="198"/>
    <x v="44"/>
    <x v="51"/>
    <x v="498"/>
    <x v="127"/>
    <x v="151"/>
    <x v="0"/>
  </r>
  <r>
    <x v="0"/>
    <x v="166"/>
    <x v="166"/>
    <x v="37"/>
    <x v="37"/>
    <x v="37"/>
    <x v="12"/>
    <x v="198"/>
    <x v="44"/>
    <x v="50"/>
    <x v="225"/>
    <x v="110"/>
    <x v="341"/>
    <x v="0"/>
  </r>
  <r>
    <x v="0"/>
    <x v="166"/>
    <x v="166"/>
    <x v="6"/>
    <x v="6"/>
    <x v="6"/>
    <x v="12"/>
    <x v="198"/>
    <x v="44"/>
    <x v="51"/>
    <x v="498"/>
    <x v="127"/>
    <x v="151"/>
    <x v="0"/>
  </r>
  <r>
    <x v="0"/>
    <x v="166"/>
    <x v="166"/>
    <x v="17"/>
    <x v="17"/>
    <x v="17"/>
    <x v="14"/>
    <x v="199"/>
    <x v="204"/>
    <x v="65"/>
    <x v="65"/>
    <x v="110"/>
    <x v="341"/>
    <x v="0"/>
  </r>
  <r>
    <x v="0"/>
    <x v="166"/>
    <x v="166"/>
    <x v="86"/>
    <x v="86"/>
    <x v="86"/>
    <x v="14"/>
    <x v="199"/>
    <x v="204"/>
    <x v="65"/>
    <x v="65"/>
    <x v="110"/>
    <x v="341"/>
    <x v="0"/>
  </r>
  <r>
    <x v="0"/>
    <x v="166"/>
    <x v="166"/>
    <x v="41"/>
    <x v="41"/>
    <x v="41"/>
    <x v="14"/>
    <x v="199"/>
    <x v="204"/>
    <x v="62"/>
    <x v="316"/>
    <x v="127"/>
    <x v="151"/>
    <x v="0"/>
  </r>
  <r>
    <x v="0"/>
    <x v="166"/>
    <x v="166"/>
    <x v="114"/>
    <x v="114"/>
    <x v="114"/>
    <x v="14"/>
    <x v="199"/>
    <x v="204"/>
    <x v="70"/>
    <x v="317"/>
    <x v="123"/>
    <x v="482"/>
    <x v="0"/>
  </r>
  <r>
    <x v="0"/>
    <x v="166"/>
    <x v="166"/>
    <x v="49"/>
    <x v="49"/>
    <x v="49"/>
    <x v="14"/>
    <x v="199"/>
    <x v="204"/>
    <x v="56"/>
    <x v="182"/>
    <x v="93"/>
    <x v="35"/>
    <x v="0"/>
  </r>
  <r>
    <x v="0"/>
    <x v="166"/>
    <x v="166"/>
    <x v="7"/>
    <x v="7"/>
    <x v="7"/>
    <x v="14"/>
    <x v="199"/>
    <x v="204"/>
    <x v="70"/>
    <x v="317"/>
    <x v="123"/>
    <x v="482"/>
    <x v="0"/>
  </r>
  <r>
    <x v="0"/>
    <x v="166"/>
    <x v="166"/>
    <x v="4"/>
    <x v="4"/>
    <x v="4"/>
    <x v="14"/>
    <x v="199"/>
    <x v="204"/>
    <x v="62"/>
    <x v="316"/>
    <x v="127"/>
    <x v="151"/>
    <x v="0"/>
  </r>
  <r>
    <x v="0"/>
    <x v="166"/>
    <x v="166"/>
    <x v="34"/>
    <x v="34"/>
    <x v="34"/>
    <x v="14"/>
    <x v="199"/>
    <x v="204"/>
    <x v="50"/>
    <x v="225"/>
    <x v="108"/>
    <x v="483"/>
    <x v="0"/>
  </r>
  <r>
    <x v="0"/>
    <x v="166"/>
    <x v="166"/>
    <x v="8"/>
    <x v="8"/>
    <x v="8"/>
    <x v="14"/>
    <x v="199"/>
    <x v="204"/>
    <x v="62"/>
    <x v="316"/>
    <x v="127"/>
    <x v="151"/>
    <x v="0"/>
  </r>
  <r>
    <x v="0"/>
    <x v="166"/>
    <x v="166"/>
    <x v="19"/>
    <x v="19"/>
    <x v="19"/>
    <x v="14"/>
    <x v="199"/>
    <x v="204"/>
    <x v="70"/>
    <x v="317"/>
    <x v="123"/>
    <x v="482"/>
    <x v="0"/>
  </r>
  <r>
    <x v="0"/>
    <x v="167"/>
    <x v="167"/>
    <x v="0"/>
    <x v="0"/>
    <x v="0"/>
    <x v="0"/>
    <x v="215"/>
    <x v="461"/>
    <x v="61"/>
    <x v="430"/>
    <x v="113"/>
    <x v="484"/>
    <x v="0"/>
  </r>
  <r>
    <x v="0"/>
    <x v="167"/>
    <x v="167"/>
    <x v="1"/>
    <x v="1"/>
    <x v="1"/>
    <x v="1"/>
    <x v="141"/>
    <x v="527"/>
    <x v="33"/>
    <x v="715"/>
    <x v="123"/>
    <x v="167"/>
    <x v="0"/>
  </r>
  <r>
    <x v="0"/>
    <x v="167"/>
    <x v="167"/>
    <x v="3"/>
    <x v="3"/>
    <x v="3"/>
    <x v="2"/>
    <x v="206"/>
    <x v="127"/>
    <x v="102"/>
    <x v="420"/>
    <x v="127"/>
    <x v="151"/>
    <x v="0"/>
  </r>
  <r>
    <x v="0"/>
    <x v="167"/>
    <x v="167"/>
    <x v="62"/>
    <x v="62"/>
    <x v="62"/>
    <x v="3"/>
    <x v="195"/>
    <x v="362"/>
    <x v="65"/>
    <x v="65"/>
    <x v="113"/>
    <x v="484"/>
    <x v="0"/>
  </r>
  <r>
    <x v="0"/>
    <x v="167"/>
    <x v="167"/>
    <x v="9"/>
    <x v="9"/>
    <x v="9"/>
    <x v="3"/>
    <x v="195"/>
    <x v="362"/>
    <x v="68"/>
    <x v="292"/>
    <x v="127"/>
    <x v="151"/>
    <x v="0"/>
  </r>
  <r>
    <x v="0"/>
    <x v="167"/>
    <x v="167"/>
    <x v="19"/>
    <x v="19"/>
    <x v="19"/>
    <x v="3"/>
    <x v="195"/>
    <x v="362"/>
    <x v="39"/>
    <x v="434"/>
    <x v="108"/>
    <x v="63"/>
    <x v="0"/>
  </r>
  <r>
    <x v="0"/>
    <x v="167"/>
    <x v="167"/>
    <x v="10"/>
    <x v="10"/>
    <x v="10"/>
    <x v="6"/>
    <x v="196"/>
    <x v="150"/>
    <x v="65"/>
    <x v="65"/>
    <x v="98"/>
    <x v="427"/>
    <x v="0"/>
  </r>
  <r>
    <x v="0"/>
    <x v="167"/>
    <x v="167"/>
    <x v="17"/>
    <x v="17"/>
    <x v="17"/>
    <x v="6"/>
    <x v="196"/>
    <x v="150"/>
    <x v="65"/>
    <x v="65"/>
    <x v="98"/>
    <x v="427"/>
    <x v="0"/>
  </r>
  <r>
    <x v="0"/>
    <x v="167"/>
    <x v="167"/>
    <x v="46"/>
    <x v="46"/>
    <x v="46"/>
    <x v="6"/>
    <x v="196"/>
    <x v="150"/>
    <x v="62"/>
    <x v="716"/>
    <x v="108"/>
    <x v="63"/>
    <x v="0"/>
  </r>
  <r>
    <x v="0"/>
    <x v="167"/>
    <x v="167"/>
    <x v="33"/>
    <x v="33"/>
    <x v="33"/>
    <x v="6"/>
    <x v="196"/>
    <x v="150"/>
    <x v="65"/>
    <x v="65"/>
    <x v="98"/>
    <x v="427"/>
    <x v="0"/>
  </r>
  <r>
    <x v="0"/>
    <x v="167"/>
    <x v="167"/>
    <x v="11"/>
    <x v="11"/>
    <x v="11"/>
    <x v="6"/>
    <x v="196"/>
    <x v="150"/>
    <x v="50"/>
    <x v="717"/>
    <x v="67"/>
    <x v="338"/>
    <x v="0"/>
  </r>
  <r>
    <x v="0"/>
    <x v="167"/>
    <x v="167"/>
    <x v="40"/>
    <x v="40"/>
    <x v="40"/>
    <x v="11"/>
    <x v="197"/>
    <x v="8"/>
    <x v="56"/>
    <x v="198"/>
    <x v="110"/>
    <x v="180"/>
    <x v="0"/>
  </r>
  <r>
    <x v="0"/>
    <x v="167"/>
    <x v="167"/>
    <x v="45"/>
    <x v="45"/>
    <x v="45"/>
    <x v="11"/>
    <x v="197"/>
    <x v="8"/>
    <x v="51"/>
    <x v="447"/>
    <x v="123"/>
    <x v="167"/>
    <x v="0"/>
  </r>
  <r>
    <x v="0"/>
    <x v="167"/>
    <x v="167"/>
    <x v="83"/>
    <x v="83"/>
    <x v="83"/>
    <x v="11"/>
    <x v="197"/>
    <x v="8"/>
    <x v="70"/>
    <x v="718"/>
    <x v="108"/>
    <x v="63"/>
    <x v="0"/>
  </r>
  <r>
    <x v="0"/>
    <x v="167"/>
    <x v="167"/>
    <x v="228"/>
    <x v="75"/>
    <x v="228"/>
    <x v="19"/>
    <x v="198"/>
    <x v="10"/>
    <x v="65"/>
    <x v="65"/>
    <x v="119"/>
    <x v="485"/>
    <x v="0"/>
  </r>
  <r>
    <x v="0"/>
    <x v="167"/>
    <x v="167"/>
    <x v="42"/>
    <x v="42"/>
    <x v="42"/>
    <x v="19"/>
    <x v="198"/>
    <x v="10"/>
    <x v="70"/>
    <x v="718"/>
    <x v="93"/>
    <x v="193"/>
    <x v="0"/>
  </r>
  <r>
    <x v="0"/>
    <x v="167"/>
    <x v="167"/>
    <x v="35"/>
    <x v="35"/>
    <x v="35"/>
    <x v="19"/>
    <x v="198"/>
    <x v="10"/>
    <x v="70"/>
    <x v="718"/>
    <x v="93"/>
    <x v="193"/>
    <x v="0"/>
  </r>
  <r>
    <x v="0"/>
    <x v="167"/>
    <x v="167"/>
    <x v="125"/>
    <x v="125"/>
    <x v="125"/>
    <x v="19"/>
    <x v="198"/>
    <x v="10"/>
    <x v="65"/>
    <x v="65"/>
    <x v="119"/>
    <x v="485"/>
    <x v="0"/>
  </r>
  <r>
    <x v="0"/>
    <x v="167"/>
    <x v="167"/>
    <x v="4"/>
    <x v="4"/>
    <x v="4"/>
    <x v="19"/>
    <x v="198"/>
    <x v="10"/>
    <x v="70"/>
    <x v="718"/>
    <x v="93"/>
    <x v="193"/>
    <x v="0"/>
  </r>
  <r>
    <x v="0"/>
    <x v="167"/>
    <x v="167"/>
    <x v="8"/>
    <x v="8"/>
    <x v="8"/>
    <x v="19"/>
    <x v="198"/>
    <x v="10"/>
    <x v="51"/>
    <x v="447"/>
    <x v="127"/>
    <x v="151"/>
    <x v="0"/>
  </r>
  <r>
    <x v="0"/>
    <x v="167"/>
    <x v="167"/>
    <x v="23"/>
    <x v="23"/>
    <x v="23"/>
    <x v="19"/>
    <x v="198"/>
    <x v="10"/>
    <x v="51"/>
    <x v="447"/>
    <x v="127"/>
    <x v="151"/>
    <x v="0"/>
  </r>
  <r>
    <x v="0"/>
    <x v="168"/>
    <x v="168"/>
    <x v="1"/>
    <x v="1"/>
    <x v="1"/>
    <x v="0"/>
    <x v="197"/>
    <x v="528"/>
    <x v="39"/>
    <x v="375"/>
    <x v="127"/>
    <x v="151"/>
    <x v="0"/>
  </r>
  <r>
    <x v="0"/>
    <x v="168"/>
    <x v="168"/>
    <x v="0"/>
    <x v="0"/>
    <x v="0"/>
    <x v="1"/>
    <x v="198"/>
    <x v="470"/>
    <x v="70"/>
    <x v="379"/>
    <x v="93"/>
    <x v="243"/>
    <x v="0"/>
  </r>
  <r>
    <x v="0"/>
    <x v="168"/>
    <x v="168"/>
    <x v="41"/>
    <x v="41"/>
    <x v="41"/>
    <x v="2"/>
    <x v="199"/>
    <x v="269"/>
    <x v="70"/>
    <x v="379"/>
    <x v="123"/>
    <x v="160"/>
    <x v="0"/>
  </r>
  <r>
    <x v="0"/>
    <x v="168"/>
    <x v="168"/>
    <x v="5"/>
    <x v="5"/>
    <x v="5"/>
    <x v="2"/>
    <x v="199"/>
    <x v="269"/>
    <x v="62"/>
    <x v="378"/>
    <x v="127"/>
    <x v="151"/>
    <x v="0"/>
  </r>
  <r>
    <x v="0"/>
    <x v="168"/>
    <x v="168"/>
    <x v="8"/>
    <x v="8"/>
    <x v="8"/>
    <x v="2"/>
    <x v="199"/>
    <x v="269"/>
    <x v="62"/>
    <x v="378"/>
    <x v="127"/>
    <x v="151"/>
    <x v="0"/>
  </r>
  <r>
    <x v="0"/>
    <x v="168"/>
    <x v="168"/>
    <x v="127"/>
    <x v="127"/>
    <x v="127"/>
    <x v="5"/>
    <x v="200"/>
    <x v="22"/>
    <x v="65"/>
    <x v="65"/>
    <x v="108"/>
    <x v="349"/>
    <x v="0"/>
  </r>
  <r>
    <x v="0"/>
    <x v="168"/>
    <x v="168"/>
    <x v="62"/>
    <x v="62"/>
    <x v="62"/>
    <x v="5"/>
    <x v="200"/>
    <x v="22"/>
    <x v="65"/>
    <x v="65"/>
    <x v="108"/>
    <x v="349"/>
    <x v="0"/>
  </r>
  <r>
    <x v="0"/>
    <x v="168"/>
    <x v="168"/>
    <x v="12"/>
    <x v="12"/>
    <x v="12"/>
    <x v="5"/>
    <x v="200"/>
    <x v="22"/>
    <x v="56"/>
    <x v="540"/>
    <x v="123"/>
    <x v="160"/>
    <x v="0"/>
  </r>
  <r>
    <x v="0"/>
    <x v="168"/>
    <x v="168"/>
    <x v="51"/>
    <x v="51"/>
    <x v="51"/>
    <x v="5"/>
    <x v="200"/>
    <x v="22"/>
    <x v="56"/>
    <x v="540"/>
    <x v="123"/>
    <x v="160"/>
    <x v="0"/>
  </r>
  <r>
    <x v="0"/>
    <x v="168"/>
    <x v="168"/>
    <x v="6"/>
    <x v="6"/>
    <x v="6"/>
    <x v="5"/>
    <x v="200"/>
    <x v="22"/>
    <x v="70"/>
    <x v="379"/>
    <x v="127"/>
    <x v="151"/>
    <x v="0"/>
  </r>
  <r>
    <x v="0"/>
    <x v="168"/>
    <x v="168"/>
    <x v="10"/>
    <x v="10"/>
    <x v="10"/>
    <x v="10"/>
    <x v="216"/>
    <x v="106"/>
    <x v="65"/>
    <x v="65"/>
    <x v="93"/>
    <x v="243"/>
    <x v="0"/>
  </r>
  <r>
    <x v="0"/>
    <x v="168"/>
    <x v="168"/>
    <x v="89"/>
    <x v="89"/>
    <x v="89"/>
    <x v="10"/>
    <x v="216"/>
    <x v="106"/>
    <x v="65"/>
    <x v="65"/>
    <x v="93"/>
    <x v="243"/>
    <x v="0"/>
  </r>
  <r>
    <x v="0"/>
    <x v="168"/>
    <x v="168"/>
    <x v="58"/>
    <x v="58"/>
    <x v="58"/>
    <x v="10"/>
    <x v="216"/>
    <x v="106"/>
    <x v="65"/>
    <x v="65"/>
    <x v="93"/>
    <x v="243"/>
    <x v="0"/>
  </r>
  <r>
    <x v="0"/>
    <x v="168"/>
    <x v="168"/>
    <x v="7"/>
    <x v="7"/>
    <x v="7"/>
    <x v="10"/>
    <x v="216"/>
    <x v="106"/>
    <x v="50"/>
    <x v="380"/>
    <x v="123"/>
    <x v="160"/>
    <x v="0"/>
  </r>
  <r>
    <x v="0"/>
    <x v="168"/>
    <x v="168"/>
    <x v="15"/>
    <x v="15"/>
    <x v="15"/>
    <x v="10"/>
    <x v="216"/>
    <x v="106"/>
    <x v="65"/>
    <x v="65"/>
    <x v="93"/>
    <x v="243"/>
    <x v="0"/>
  </r>
  <r>
    <x v="0"/>
    <x v="168"/>
    <x v="168"/>
    <x v="45"/>
    <x v="45"/>
    <x v="45"/>
    <x v="10"/>
    <x v="216"/>
    <x v="106"/>
    <x v="56"/>
    <x v="540"/>
    <x v="127"/>
    <x v="151"/>
    <x v="0"/>
  </r>
  <r>
    <x v="0"/>
    <x v="168"/>
    <x v="168"/>
    <x v="4"/>
    <x v="4"/>
    <x v="4"/>
    <x v="10"/>
    <x v="216"/>
    <x v="106"/>
    <x v="56"/>
    <x v="540"/>
    <x v="127"/>
    <x v="151"/>
    <x v="0"/>
  </r>
  <r>
    <x v="0"/>
    <x v="168"/>
    <x v="168"/>
    <x v="29"/>
    <x v="29"/>
    <x v="29"/>
    <x v="10"/>
    <x v="216"/>
    <x v="106"/>
    <x v="50"/>
    <x v="380"/>
    <x v="123"/>
    <x v="160"/>
    <x v="0"/>
  </r>
  <r>
    <x v="0"/>
    <x v="168"/>
    <x v="168"/>
    <x v="140"/>
    <x v="140"/>
    <x v="140"/>
    <x v="17"/>
    <x v="217"/>
    <x v="493"/>
    <x v="65"/>
    <x v="65"/>
    <x v="123"/>
    <x v="160"/>
    <x v="0"/>
  </r>
  <r>
    <x v="0"/>
    <x v="168"/>
    <x v="168"/>
    <x v="110"/>
    <x v="110"/>
    <x v="110"/>
    <x v="17"/>
    <x v="217"/>
    <x v="493"/>
    <x v="65"/>
    <x v="65"/>
    <x v="123"/>
    <x v="160"/>
    <x v="0"/>
  </r>
  <r>
    <x v="0"/>
    <x v="168"/>
    <x v="168"/>
    <x v="40"/>
    <x v="40"/>
    <x v="40"/>
    <x v="17"/>
    <x v="217"/>
    <x v="493"/>
    <x v="65"/>
    <x v="65"/>
    <x v="123"/>
    <x v="160"/>
    <x v="0"/>
  </r>
  <r>
    <x v="0"/>
    <x v="168"/>
    <x v="168"/>
    <x v="87"/>
    <x v="87"/>
    <x v="87"/>
    <x v="17"/>
    <x v="217"/>
    <x v="493"/>
    <x v="65"/>
    <x v="65"/>
    <x v="123"/>
    <x v="160"/>
    <x v="0"/>
  </r>
  <r>
    <x v="0"/>
    <x v="168"/>
    <x v="168"/>
    <x v="162"/>
    <x v="160"/>
    <x v="162"/>
    <x v="17"/>
    <x v="217"/>
    <x v="493"/>
    <x v="65"/>
    <x v="65"/>
    <x v="123"/>
    <x v="160"/>
    <x v="0"/>
  </r>
  <r>
    <x v="0"/>
    <x v="168"/>
    <x v="168"/>
    <x v="46"/>
    <x v="46"/>
    <x v="46"/>
    <x v="17"/>
    <x v="217"/>
    <x v="493"/>
    <x v="65"/>
    <x v="65"/>
    <x v="123"/>
    <x v="160"/>
    <x v="0"/>
  </r>
  <r>
    <x v="0"/>
    <x v="168"/>
    <x v="168"/>
    <x v="31"/>
    <x v="31"/>
    <x v="31"/>
    <x v="17"/>
    <x v="217"/>
    <x v="493"/>
    <x v="50"/>
    <x v="380"/>
    <x v="127"/>
    <x v="151"/>
    <x v="0"/>
  </r>
  <r>
    <x v="0"/>
    <x v="168"/>
    <x v="168"/>
    <x v="13"/>
    <x v="13"/>
    <x v="13"/>
    <x v="17"/>
    <x v="217"/>
    <x v="493"/>
    <x v="65"/>
    <x v="65"/>
    <x v="123"/>
    <x v="160"/>
    <x v="0"/>
  </r>
  <r>
    <x v="0"/>
    <x v="168"/>
    <x v="168"/>
    <x v="90"/>
    <x v="90"/>
    <x v="90"/>
    <x v="17"/>
    <x v="217"/>
    <x v="493"/>
    <x v="65"/>
    <x v="65"/>
    <x v="123"/>
    <x v="160"/>
    <x v="0"/>
  </r>
  <r>
    <x v="0"/>
    <x v="168"/>
    <x v="168"/>
    <x v="229"/>
    <x v="224"/>
    <x v="229"/>
    <x v="17"/>
    <x v="217"/>
    <x v="493"/>
    <x v="65"/>
    <x v="65"/>
    <x v="123"/>
    <x v="160"/>
    <x v="0"/>
  </r>
  <r>
    <x v="0"/>
    <x v="168"/>
    <x v="168"/>
    <x v="136"/>
    <x v="136"/>
    <x v="136"/>
    <x v="17"/>
    <x v="217"/>
    <x v="493"/>
    <x v="65"/>
    <x v="65"/>
    <x v="123"/>
    <x v="160"/>
    <x v="0"/>
  </r>
  <r>
    <x v="0"/>
    <x v="168"/>
    <x v="168"/>
    <x v="173"/>
    <x v="171"/>
    <x v="173"/>
    <x v="17"/>
    <x v="217"/>
    <x v="493"/>
    <x v="65"/>
    <x v="65"/>
    <x v="123"/>
    <x v="160"/>
    <x v="0"/>
  </r>
  <r>
    <x v="0"/>
    <x v="168"/>
    <x v="168"/>
    <x v="230"/>
    <x v="225"/>
    <x v="230"/>
    <x v="17"/>
    <x v="217"/>
    <x v="493"/>
    <x v="65"/>
    <x v="65"/>
    <x v="123"/>
    <x v="160"/>
    <x v="0"/>
  </r>
  <r>
    <x v="0"/>
    <x v="168"/>
    <x v="168"/>
    <x v="97"/>
    <x v="97"/>
    <x v="97"/>
    <x v="17"/>
    <x v="217"/>
    <x v="493"/>
    <x v="65"/>
    <x v="65"/>
    <x v="123"/>
    <x v="160"/>
    <x v="0"/>
  </r>
  <r>
    <x v="0"/>
    <x v="168"/>
    <x v="168"/>
    <x v="177"/>
    <x v="175"/>
    <x v="177"/>
    <x v="17"/>
    <x v="217"/>
    <x v="493"/>
    <x v="65"/>
    <x v="65"/>
    <x v="123"/>
    <x v="160"/>
    <x v="0"/>
  </r>
  <r>
    <x v="0"/>
    <x v="168"/>
    <x v="168"/>
    <x v="98"/>
    <x v="98"/>
    <x v="98"/>
    <x v="17"/>
    <x v="217"/>
    <x v="493"/>
    <x v="65"/>
    <x v="65"/>
    <x v="123"/>
    <x v="160"/>
    <x v="0"/>
  </r>
  <r>
    <x v="0"/>
    <x v="168"/>
    <x v="168"/>
    <x v="99"/>
    <x v="99"/>
    <x v="99"/>
    <x v="17"/>
    <x v="217"/>
    <x v="493"/>
    <x v="65"/>
    <x v="65"/>
    <x v="123"/>
    <x v="160"/>
    <x v="0"/>
  </r>
  <r>
    <x v="0"/>
    <x v="168"/>
    <x v="168"/>
    <x v="76"/>
    <x v="76"/>
    <x v="76"/>
    <x v="17"/>
    <x v="217"/>
    <x v="493"/>
    <x v="65"/>
    <x v="65"/>
    <x v="127"/>
    <x v="151"/>
    <x v="0"/>
  </r>
  <r>
    <x v="0"/>
    <x v="168"/>
    <x v="168"/>
    <x v="119"/>
    <x v="119"/>
    <x v="119"/>
    <x v="17"/>
    <x v="217"/>
    <x v="493"/>
    <x v="65"/>
    <x v="65"/>
    <x v="123"/>
    <x v="160"/>
    <x v="0"/>
  </r>
  <r>
    <x v="0"/>
    <x v="168"/>
    <x v="168"/>
    <x v="164"/>
    <x v="162"/>
    <x v="164"/>
    <x v="17"/>
    <x v="217"/>
    <x v="493"/>
    <x v="65"/>
    <x v="65"/>
    <x v="123"/>
    <x v="160"/>
    <x v="0"/>
  </r>
  <r>
    <x v="0"/>
    <x v="168"/>
    <x v="168"/>
    <x v="134"/>
    <x v="134"/>
    <x v="134"/>
    <x v="17"/>
    <x v="217"/>
    <x v="493"/>
    <x v="65"/>
    <x v="65"/>
    <x v="123"/>
    <x v="160"/>
    <x v="0"/>
  </r>
  <r>
    <x v="0"/>
    <x v="168"/>
    <x v="168"/>
    <x v="191"/>
    <x v="188"/>
    <x v="191"/>
    <x v="17"/>
    <x v="217"/>
    <x v="493"/>
    <x v="65"/>
    <x v="65"/>
    <x v="123"/>
    <x v="160"/>
    <x v="0"/>
  </r>
  <r>
    <x v="0"/>
    <x v="168"/>
    <x v="168"/>
    <x v="112"/>
    <x v="112"/>
    <x v="112"/>
    <x v="17"/>
    <x v="217"/>
    <x v="493"/>
    <x v="50"/>
    <x v="380"/>
    <x v="127"/>
    <x v="151"/>
    <x v="0"/>
  </r>
  <r>
    <x v="0"/>
    <x v="168"/>
    <x v="168"/>
    <x v="28"/>
    <x v="28"/>
    <x v="28"/>
    <x v="17"/>
    <x v="217"/>
    <x v="493"/>
    <x v="50"/>
    <x v="380"/>
    <x v="127"/>
    <x v="151"/>
    <x v="0"/>
  </r>
  <r>
    <x v="0"/>
    <x v="168"/>
    <x v="168"/>
    <x v="94"/>
    <x v="94"/>
    <x v="94"/>
    <x v="17"/>
    <x v="217"/>
    <x v="493"/>
    <x v="50"/>
    <x v="380"/>
    <x v="127"/>
    <x v="151"/>
    <x v="0"/>
  </r>
  <r>
    <x v="0"/>
    <x v="168"/>
    <x v="168"/>
    <x v="48"/>
    <x v="48"/>
    <x v="48"/>
    <x v="17"/>
    <x v="217"/>
    <x v="493"/>
    <x v="65"/>
    <x v="65"/>
    <x v="123"/>
    <x v="160"/>
    <x v="0"/>
  </r>
  <r>
    <x v="0"/>
    <x v="168"/>
    <x v="168"/>
    <x v="80"/>
    <x v="80"/>
    <x v="80"/>
    <x v="17"/>
    <x v="217"/>
    <x v="493"/>
    <x v="65"/>
    <x v="65"/>
    <x v="123"/>
    <x v="160"/>
    <x v="0"/>
  </r>
  <r>
    <x v="0"/>
    <x v="168"/>
    <x v="168"/>
    <x v="11"/>
    <x v="11"/>
    <x v="11"/>
    <x v="17"/>
    <x v="217"/>
    <x v="493"/>
    <x v="50"/>
    <x v="380"/>
    <x v="127"/>
    <x v="151"/>
    <x v="0"/>
  </r>
  <r>
    <x v="0"/>
    <x v="168"/>
    <x v="168"/>
    <x v="42"/>
    <x v="42"/>
    <x v="42"/>
    <x v="17"/>
    <x v="217"/>
    <x v="493"/>
    <x v="50"/>
    <x v="380"/>
    <x v="127"/>
    <x v="151"/>
    <x v="0"/>
  </r>
  <r>
    <x v="0"/>
    <x v="168"/>
    <x v="168"/>
    <x v="49"/>
    <x v="49"/>
    <x v="49"/>
    <x v="17"/>
    <x v="217"/>
    <x v="493"/>
    <x v="50"/>
    <x v="380"/>
    <x v="127"/>
    <x v="151"/>
    <x v="0"/>
  </r>
  <r>
    <x v="0"/>
    <x v="168"/>
    <x v="168"/>
    <x v="50"/>
    <x v="50"/>
    <x v="50"/>
    <x v="17"/>
    <x v="217"/>
    <x v="493"/>
    <x v="50"/>
    <x v="380"/>
    <x v="127"/>
    <x v="151"/>
    <x v="0"/>
  </r>
  <r>
    <x v="0"/>
    <x v="168"/>
    <x v="168"/>
    <x v="125"/>
    <x v="125"/>
    <x v="125"/>
    <x v="17"/>
    <x v="217"/>
    <x v="493"/>
    <x v="65"/>
    <x v="65"/>
    <x v="123"/>
    <x v="160"/>
    <x v="0"/>
  </r>
  <r>
    <x v="0"/>
    <x v="168"/>
    <x v="168"/>
    <x v="129"/>
    <x v="129"/>
    <x v="129"/>
    <x v="17"/>
    <x v="217"/>
    <x v="493"/>
    <x v="50"/>
    <x v="380"/>
    <x v="127"/>
    <x v="151"/>
    <x v="0"/>
  </r>
  <r>
    <x v="0"/>
    <x v="168"/>
    <x v="168"/>
    <x v="207"/>
    <x v="204"/>
    <x v="207"/>
    <x v="17"/>
    <x v="217"/>
    <x v="493"/>
    <x v="50"/>
    <x v="380"/>
    <x v="127"/>
    <x v="151"/>
    <x v="0"/>
  </r>
  <r>
    <x v="0"/>
    <x v="168"/>
    <x v="168"/>
    <x v="16"/>
    <x v="16"/>
    <x v="16"/>
    <x v="17"/>
    <x v="217"/>
    <x v="493"/>
    <x v="65"/>
    <x v="65"/>
    <x v="123"/>
    <x v="160"/>
    <x v="0"/>
  </r>
  <r>
    <x v="0"/>
    <x v="168"/>
    <x v="168"/>
    <x v="121"/>
    <x v="121"/>
    <x v="121"/>
    <x v="17"/>
    <x v="217"/>
    <x v="493"/>
    <x v="50"/>
    <x v="380"/>
    <x v="127"/>
    <x v="151"/>
    <x v="0"/>
  </r>
  <r>
    <x v="0"/>
    <x v="168"/>
    <x v="168"/>
    <x v="130"/>
    <x v="130"/>
    <x v="130"/>
    <x v="17"/>
    <x v="217"/>
    <x v="493"/>
    <x v="65"/>
    <x v="65"/>
    <x v="123"/>
    <x v="160"/>
    <x v="0"/>
  </r>
  <r>
    <x v="0"/>
    <x v="168"/>
    <x v="168"/>
    <x v="2"/>
    <x v="2"/>
    <x v="2"/>
    <x v="17"/>
    <x v="217"/>
    <x v="493"/>
    <x v="50"/>
    <x v="380"/>
    <x v="127"/>
    <x v="151"/>
    <x v="0"/>
  </r>
  <r>
    <x v="0"/>
    <x v="168"/>
    <x v="168"/>
    <x v="9"/>
    <x v="9"/>
    <x v="9"/>
    <x v="17"/>
    <x v="217"/>
    <x v="493"/>
    <x v="50"/>
    <x v="380"/>
    <x v="127"/>
    <x v="151"/>
    <x v="0"/>
  </r>
  <r>
    <x v="0"/>
    <x v="168"/>
    <x v="168"/>
    <x v="34"/>
    <x v="34"/>
    <x v="34"/>
    <x v="17"/>
    <x v="217"/>
    <x v="493"/>
    <x v="50"/>
    <x v="380"/>
    <x v="127"/>
    <x v="151"/>
    <x v="0"/>
  </r>
  <r>
    <x v="0"/>
    <x v="168"/>
    <x v="168"/>
    <x v="3"/>
    <x v="3"/>
    <x v="3"/>
    <x v="17"/>
    <x v="217"/>
    <x v="493"/>
    <x v="50"/>
    <x v="380"/>
    <x v="127"/>
    <x v="151"/>
    <x v="0"/>
  </r>
  <r>
    <x v="0"/>
    <x v="168"/>
    <x v="168"/>
    <x v="123"/>
    <x v="123"/>
    <x v="123"/>
    <x v="17"/>
    <x v="217"/>
    <x v="493"/>
    <x v="65"/>
    <x v="65"/>
    <x v="123"/>
    <x v="160"/>
    <x v="0"/>
  </r>
  <r>
    <x v="0"/>
    <x v="168"/>
    <x v="168"/>
    <x v="52"/>
    <x v="52"/>
    <x v="52"/>
    <x v="17"/>
    <x v="217"/>
    <x v="493"/>
    <x v="65"/>
    <x v="65"/>
    <x v="127"/>
    <x v="151"/>
    <x v="0"/>
  </r>
  <r>
    <x v="0"/>
    <x v="168"/>
    <x v="168"/>
    <x v="39"/>
    <x v="39"/>
    <x v="39"/>
    <x v="17"/>
    <x v="217"/>
    <x v="493"/>
    <x v="50"/>
    <x v="380"/>
    <x v="127"/>
    <x v="151"/>
    <x v="0"/>
  </r>
  <r>
    <x v="0"/>
    <x v="168"/>
    <x v="168"/>
    <x v="231"/>
    <x v="226"/>
    <x v="231"/>
    <x v="17"/>
    <x v="217"/>
    <x v="493"/>
    <x v="65"/>
    <x v="65"/>
    <x v="123"/>
    <x v="160"/>
    <x v="0"/>
  </r>
  <r>
    <x v="0"/>
    <x v="168"/>
    <x v="168"/>
    <x v="53"/>
    <x v="53"/>
    <x v="53"/>
    <x v="17"/>
    <x v="217"/>
    <x v="493"/>
    <x v="65"/>
    <x v="65"/>
    <x v="127"/>
    <x v="151"/>
    <x v="0"/>
  </r>
  <r>
    <x v="0"/>
    <x v="168"/>
    <x v="168"/>
    <x v="43"/>
    <x v="43"/>
    <x v="43"/>
    <x v="17"/>
    <x v="217"/>
    <x v="493"/>
    <x v="65"/>
    <x v="65"/>
    <x v="123"/>
    <x v="160"/>
    <x v="0"/>
  </r>
  <r>
    <x v="0"/>
    <x v="168"/>
    <x v="168"/>
    <x v="59"/>
    <x v="59"/>
    <x v="59"/>
    <x v="17"/>
    <x v="217"/>
    <x v="493"/>
    <x v="65"/>
    <x v="65"/>
    <x v="123"/>
    <x v="160"/>
    <x v="0"/>
  </r>
  <r>
    <x v="0"/>
    <x v="168"/>
    <x v="168"/>
    <x v="19"/>
    <x v="19"/>
    <x v="19"/>
    <x v="17"/>
    <x v="217"/>
    <x v="493"/>
    <x v="50"/>
    <x v="380"/>
    <x v="127"/>
    <x v="151"/>
    <x v="0"/>
  </r>
  <r>
    <x v="0"/>
    <x v="168"/>
    <x v="168"/>
    <x v="83"/>
    <x v="83"/>
    <x v="83"/>
    <x v="17"/>
    <x v="217"/>
    <x v="493"/>
    <x v="50"/>
    <x v="380"/>
    <x v="127"/>
    <x v="151"/>
    <x v="0"/>
  </r>
  <r>
    <x v="0"/>
    <x v="168"/>
    <x v="168"/>
    <x v="26"/>
    <x v="26"/>
    <x v="26"/>
    <x v="17"/>
    <x v="217"/>
    <x v="493"/>
    <x v="65"/>
    <x v="65"/>
    <x v="123"/>
    <x v="160"/>
    <x v="0"/>
  </r>
  <r>
    <x v="0"/>
    <x v="168"/>
    <x v="168"/>
    <x v="57"/>
    <x v="57"/>
    <x v="57"/>
    <x v="17"/>
    <x v="217"/>
    <x v="493"/>
    <x v="50"/>
    <x v="380"/>
    <x v="127"/>
    <x v="151"/>
    <x v="0"/>
  </r>
  <r>
    <x v="0"/>
    <x v="168"/>
    <x v="168"/>
    <x v="168"/>
    <x v="166"/>
    <x v="168"/>
    <x v="17"/>
    <x v="217"/>
    <x v="493"/>
    <x v="65"/>
    <x v="65"/>
    <x v="127"/>
    <x v="151"/>
    <x v="0"/>
  </r>
  <r>
    <x v="0"/>
    <x v="169"/>
    <x v="169"/>
    <x v="4"/>
    <x v="4"/>
    <x v="4"/>
    <x v="0"/>
    <x v="198"/>
    <x v="529"/>
    <x v="51"/>
    <x v="605"/>
    <x v="127"/>
    <x v="151"/>
    <x v="0"/>
  </r>
  <r>
    <x v="0"/>
    <x v="169"/>
    <x v="169"/>
    <x v="8"/>
    <x v="8"/>
    <x v="8"/>
    <x v="1"/>
    <x v="199"/>
    <x v="423"/>
    <x v="62"/>
    <x v="595"/>
    <x v="127"/>
    <x v="151"/>
    <x v="0"/>
  </r>
  <r>
    <x v="0"/>
    <x v="169"/>
    <x v="169"/>
    <x v="36"/>
    <x v="36"/>
    <x v="36"/>
    <x v="2"/>
    <x v="200"/>
    <x v="343"/>
    <x v="65"/>
    <x v="65"/>
    <x v="108"/>
    <x v="212"/>
    <x v="0"/>
  </r>
  <r>
    <x v="0"/>
    <x v="169"/>
    <x v="169"/>
    <x v="18"/>
    <x v="18"/>
    <x v="18"/>
    <x v="2"/>
    <x v="200"/>
    <x v="343"/>
    <x v="50"/>
    <x v="545"/>
    <x v="93"/>
    <x v="214"/>
    <x v="0"/>
  </r>
  <r>
    <x v="0"/>
    <x v="169"/>
    <x v="169"/>
    <x v="45"/>
    <x v="45"/>
    <x v="45"/>
    <x v="2"/>
    <x v="200"/>
    <x v="343"/>
    <x v="56"/>
    <x v="486"/>
    <x v="123"/>
    <x v="215"/>
    <x v="0"/>
  </r>
  <r>
    <x v="0"/>
    <x v="169"/>
    <x v="169"/>
    <x v="41"/>
    <x v="41"/>
    <x v="41"/>
    <x v="5"/>
    <x v="216"/>
    <x v="196"/>
    <x v="50"/>
    <x v="545"/>
    <x v="123"/>
    <x v="215"/>
    <x v="0"/>
  </r>
  <r>
    <x v="0"/>
    <x v="169"/>
    <x v="169"/>
    <x v="42"/>
    <x v="42"/>
    <x v="42"/>
    <x v="5"/>
    <x v="216"/>
    <x v="196"/>
    <x v="50"/>
    <x v="545"/>
    <x v="123"/>
    <x v="215"/>
    <x v="0"/>
  </r>
  <r>
    <x v="0"/>
    <x v="169"/>
    <x v="169"/>
    <x v="7"/>
    <x v="7"/>
    <x v="7"/>
    <x v="5"/>
    <x v="216"/>
    <x v="196"/>
    <x v="56"/>
    <x v="486"/>
    <x v="127"/>
    <x v="151"/>
    <x v="0"/>
  </r>
  <r>
    <x v="0"/>
    <x v="169"/>
    <x v="169"/>
    <x v="130"/>
    <x v="130"/>
    <x v="130"/>
    <x v="5"/>
    <x v="216"/>
    <x v="196"/>
    <x v="65"/>
    <x v="65"/>
    <x v="93"/>
    <x v="214"/>
    <x v="0"/>
  </r>
  <r>
    <x v="0"/>
    <x v="169"/>
    <x v="169"/>
    <x v="2"/>
    <x v="2"/>
    <x v="2"/>
    <x v="5"/>
    <x v="216"/>
    <x v="196"/>
    <x v="56"/>
    <x v="486"/>
    <x v="127"/>
    <x v="151"/>
    <x v="0"/>
  </r>
  <r>
    <x v="0"/>
    <x v="169"/>
    <x v="169"/>
    <x v="3"/>
    <x v="3"/>
    <x v="3"/>
    <x v="5"/>
    <x v="216"/>
    <x v="196"/>
    <x v="56"/>
    <x v="486"/>
    <x v="127"/>
    <x v="151"/>
    <x v="0"/>
  </r>
  <r>
    <x v="0"/>
    <x v="169"/>
    <x v="169"/>
    <x v="1"/>
    <x v="1"/>
    <x v="1"/>
    <x v="5"/>
    <x v="216"/>
    <x v="196"/>
    <x v="56"/>
    <x v="486"/>
    <x v="127"/>
    <x v="151"/>
    <x v="0"/>
  </r>
  <r>
    <x v="0"/>
    <x v="169"/>
    <x v="169"/>
    <x v="6"/>
    <x v="6"/>
    <x v="6"/>
    <x v="5"/>
    <x v="216"/>
    <x v="196"/>
    <x v="56"/>
    <x v="486"/>
    <x v="127"/>
    <x v="151"/>
    <x v="0"/>
  </r>
  <r>
    <x v="0"/>
    <x v="169"/>
    <x v="169"/>
    <x v="17"/>
    <x v="17"/>
    <x v="17"/>
    <x v="13"/>
    <x v="217"/>
    <x v="85"/>
    <x v="65"/>
    <x v="65"/>
    <x v="123"/>
    <x v="215"/>
    <x v="0"/>
  </r>
  <r>
    <x v="0"/>
    <x v="169"/>
    <x v="169"/>
    <x v="13"/>
    <x v="13"/>
    <x v="13"/>
    <x v="13"/>
    <x v="217"/>
    <x v="85"/>
    <x v="65"/>
    <x v="65"/>
    <x v="123"/>
    <x v="215"/>
    <x v="0"/>
  </r>
  <r>
    <x v="0"/>
    <x v="169"/>
    <x v="169"/>
    <x v="127"/>
    <x v="127"/>
    <x v="127"/>
    <x v="13"/>
    <x v="217"/>
    <x v="85"/>
    <x v="65"/>
    <x v="65"/>
    <x v="123"/>
    <x v="215"/>
    <x v="0"/>
  </r>
  <r>
    <x v="0"/>
    <x v="169"/>
    <x v="169"/>
    <x v="63"/>
    <x v="63"/>
    <x v="63"/>
    <x v="13"/>
    <x v="217"/>
    <x v="85"/>
    <x v="65"/>
    <x v="65"/>
    <x v="123"/>
    <x v="215"/>
    <x v="0"/>
  </r>
  <r>
    <x v="0"/>
    <x v="169"/>
    <x v="169"/>
    <x v="86"/>
    <x v="86"/>
    <x v="86"/>
    <x v="13"/>
    <x v="217"/>
    <x v="85"/>
    <x v="50"/>
    <x v="545"/>
    <x v="127"/>
    <x v="151"/>
    <x v="0"/>
  </r>
  <r>
    <x v="0"/>
    <x v="169"/>
    <x v="169"/>
    <x v="99"/>
    <x v="99"/>
    <x v="99"/>
    <x v="13"/>
    <x v="217"/>
    <x v="85"/>
    <x v="65"/>
    <x v="65"/>
    <x v="123"/>
    <x v="215"/>
    <x v="0"/>
  </r>
  <r>
    <x v="0"/>
    <x v="169"/>
    <x v="169"/>
    <x v="75"/>
    <x v="75"/>
    <x v="75"/>
    <x v="13"/>
    <x v="217"/>
    <x v="85"/>
    <x v="65"/>
    <x v="65"/>
    <x v="127"/>
    <x v="151"/>
    <x v="0"/>
  </r>
  <r>
    <x v="0"/>
    <x v="169"/>
    <x v="169"/>
    <x v="189"/>
    <x v="186"/>
    <x v="189"/>
    <x v="13"/>
    <x v="217"/>
    <x v="85"/>
    <x v="65"/>
    <x v="65"/>
    <x v="123"/>
    <x v="215"/>
    <x v="0"/>
  </r>
  <r>
    <x v="0"/>
    <x v="169"/>
    <x v="169"/>
    <x v="21"/>
    <x v="21"/>
    <x v="21"/>
    <x v="13"/>
    <x v="217"/>
    <x v="85"/>
    <x v="50"/>
    <x v="545"/>
    <x v="127"/>
    <x v="151"/>
    <x v="0"/>
  </r>
  <r>
    <x v="0"/>
    <x v="169"/>
    <x v="169"/>
    <x v="112"/>
    <x v="112"/>
    <x v="112"/>
    <x v="13"/>
    <x v="217"/>
    <x v="85"/>
    <x v="50"/>
    <x v="545"/>
    <x v="127"/>
    <x v="151"/>
    <x v="0"/>
  </r>
  <r>
    <x v="0"/>
    <x v="169"/>
    <x v="169"/>
    <x v="28"/>
    <x v="28"/>
    <x v="28"/>
    <x v="13"/>
    <x v="217"/>
    <x v="85"/>
    <x v="65"/>
    <x v="65"/>
    <x v="123"/>
    <x v="215"/>
    <x v="0"/>
  </r>
  <r>
    <x v="0"/>
    <x v="169"/>
    <x v="169"/>
    <x v="68"/>
    <x v="68"/>
    <x v="68"/>
    <x v="13"/>
    <x v="217"/>
    <x v="85"/>
    <x v="65"/>
    <x v="65"/>
    <x v="123"/>
    <x v="215"/>
    <x v="0"/>
  </r>
  <r>
    <x v="0"/>
    <x v="169"/>
    <x v="169"/>
    <x v="80"/>
    <x v="80"/>
    <x v="80"/>
    <x v="13"/>
    <x v="217"/>
    <x v="85"/>
    <x v="50"/>
    <x v="545"/>
    <x v="127"/>
    <x v="151"/>
    <x v="0"/>
  </r>
  <r>
    <x v="0"/>
    <x v="169"/>
    <x v="169"/>
    <x v="12"/>
    <x v="12"/>
    <x v="12"/>
    <x v="13"/>
    <x v="217"/>
    <x v="85"/>
    <x v="65"/>
    <x v="65"/>
    <x v="123"/>
    <x v="215"/>
    <x v="0"/>
  </r>
  <r>
    <x v="0"/>
    <x v="169"/>
    <x v="169"/>
    <x v="49"/>
    <x v="49"/>
    <x v="49"/>
    <x v="13"/>
    <x v="217"/>
    <x v="85"/>
    <x v="50"/>
    <x v="545"/>
    <x v="127"/>
    <x v="151"/>
    <x v="0"/>
  </r>
  <r>
    <x v="0"/>
    <x v="169"/>
    <x v="169"/>
    <x v="55"/>
    <x v="55"/>
    <x v="55"/>
    <x v="13"/>
    <x v="217"/>
    <x v="85"/>
    <x v="50"/>
    <x v="545"/>
    <x v="127"/>
    <x v="151"/>
    <x v="0"/>
  </r>
  <r>
    <x v="0"/>
    <x v="169"/>
    <x v="169"/>
    <x v="20"/>
    <x v="20"/>
    <x v="20"/>
    <x v="13"/>
    <x v="217"/>
    <x v="85"/>
    <x v="65"/>
    <x v="65"/>
    <x v="123"/>
    <x v="215"/>
    <x v="0"/>
  </r>
  <r>
    <x v="0"/>
    <x v="169"/>
    <x v="169"/>
    <x v="0"/>
    <x v="0"/>
    <x v="0"/>
    <x v="13"/>
    <x v="217"/>
    <x v="85"/>
    <x v="50"/>
    <x v="545"/>
    <x v="127"/>
    <x v="151"/>
    <x v="0"/>
  </r>
  <r>
    <x v="0"/>
    <x v="169"/>
    <x v="169"/>
    <x v="115"/>
    <x v="115"/>
    <x v="115"/>
    <x v="13"/>
    <x v="217"/>
    <x v="85"/>
    <x v="65"/>
    <x v="65"/>
    <x v="123"/>
    <x v="215"/>
    <x v="0"/>
  </r>
  <r>
    <x v="0"/>
    <x v="169"/>
    <x v="169"/>
    <x v="139"/>
    <x v="139"/>
    <x v="139"/>
    <x v="13"/>
    <x v="217"/>
    <x v="85"/>
    <x v="65"/>
    <x v="65"/>
    <x v="123"/>
    <x v="215"/>
    <x v="0"/>
  </r>
  <r>
    <x v="0"/>
    <x v="169"/>
    <x v="169"/>
    <x v="194"/>
    <x v="191"/>
    <x v="194"/>
    <x v="13"/>
    <x v="217"/>
    <x v="85"/>
    <x v="50"/>
    <x v="545"/>
    <x v="127"/>
    <x v="151"/>
    <x v="0"/>
  </r>
  <r>
    <x v="0"/>
    <x v="169"/>
    <x v="169"/>
    <x v="16"/>
    <x v="16"/>
    <x v="16"/>
    <x v="13"/>
    <x v="217"/>
    <x v="85"/>
    <x v="65"/>
    <x v="65"/>
    <x v="123"/>
    <x v="215"/>
    <x v="0"/>
  </r>
  <r>
    <x v="0"/>
    <x v="169"/>
    <x v="169"/>
    <x v="51"/>
    <x v="51"/>
    <x v="51"/>
    <x v="13"/>
    <x v="217"/>
    <x v="85"/>
    <x v="50"/>
    <x v="545"/>
    <x v="127"/>
    <x v="151"/>
    <x v="0"/>
  </r>
  <r>
    <x v="0"/>
    <x v="169"/>
    <x v="169"/>
    <x v="5"/>
    <x v="5"/>
    <x v="5"/>
    <x v="13"/>
    <x v="217"/>
    <x v="85"/>
    <x v="50"/>
    <x v="545"/>
    <x v="127"/>
    <x v="151"/>
    <x v="0"/>
  </r>
  <r>
    <x v="0"/>
    <x v="169"/>
    <x v="169"/>
    <x v="185"/>
    <x v="182"/>
    <x v="185"/>
    <x v="13"/>
    <x v="217"/>
    <x v="85"/>
    <x v="65"/>
    <x v="65"/>
    <x v="123"/>
    <x v="215"/>
    <x v="0"/>
  </r>
  <r>
    <x v="0"/>
    <x v="169"/>
    <x v="169"/>
    <x v="39"/>
    <x v="39"/>
    <x v="39"/>
    <x v="13"/>
    <x v="217"/>
    <x v="85"/>
    <x v="50"/>
    <x v="545"/>
    <x v="127"/>
    <x v="151"/>
    <x v="0"/>
  </r>
  <r>
    <x v="0"/>
    <x v="169"/>
    <x v="169"/>
    <x v="159"/>
    <x v="75"/>
    <x v="159"/>
    <x v="13"/>
    <x v="217"/>
    <x v="85"/>
    <x v="65"/>
    <x v="65"/>
    <x v="123"/>
    <x v="215"/>
    <x v="0"/>
  </r>
  <r>
    <x v="0"/>
    <x v="169"/>
    <x v="169"/>
    <x v="59"/>
    <x v="59"/>
    <x v="59"/>
    <x v="13"/>
    <x v="217"/>
    <x v="85"/>
    <x v="65"/>
    <x v="65"/>
    <x v="123"/>
    <x v="215"/>
    <x v="0"/>
  </r>
  <r>
    <x v="0"/>
    <x v="170"/>
    <x v="170"/>
    <x v="5"/>
    <x v="5"/>
    <x v="5"/>
    <x v="0"/>
    <x v="196"/>
    <x v="367"/>
    <x v="51"/>
    <x v="719"/>
    <x v="93"/>
    <x v="56"/>
    <x v="0"/>
  </r>
  <r>
    <x v="0"/>
    <x v="170"/>
    <x v="170"/>
    <x v="3"/>
    <x v="3"/>
    <x v="3"/>
    <x v="0"/>
    <x v="196"/>
    <x v="367"/>
    <x v="95"/>
    <x v="720"/>
    <x v="127"/>
    <x v="151"/>
    <x v="0"/>
  </r>
  <r>
    <x v="0"/>
    <x v="170"/>
    <x v="170"/>
    <x v="10"/>
    <x v="10"/>
    <x v="10"/>
    <x v="2"/>
    <x v="197"/>
    <x v="292"/>
    <x v="65"/>
    <x v="65"/>
    <x v="67"/>
    <x v="486"/>
    <x v="0"/>
  </r>
  <r>
    <x v="0"/>
    <x v="170"/>
    <x v="170"/>
    <x v="2"/>
    <x v="2"/>
    <x v="2"/>
    <x v="2"/>
    <x v="197"/>
    <x v="292"/>
    <x v="51"/>
    <x v="719"/>
    <x v="123"/>
    <x v="477"/>
    <x v="0"/>
  </r>
  <r>
    <x v="0"/>
    <x v="170"/>
    <x v="170"/>
    <x v="0"/>
    <x v="0"/>
    <x v="0"/>
    <x v="4"/>
    <x v="198"/>
    <x v="138"/>
    <x v="62"/>
    <x v="721"/>
    <x v="123"/>
    <x v="477"/>
    <x v="0"/>
  </r>
  <r>
    <x v="0"/>
    <x v="170"/>
    <x v="170"/>
    <x v="4"/>
    <x v="4"/>
    <x v="4"/>
    <x v="4"/>
    <x v="198"/>
    <x v="138"/>
    <x v="51"/>
    <x v="719"/>
    <x v="127"/>
    <x v="151"/>
    <x v="0"/>
  </r>
  <r>
    <x v="0"/>
    <x v="170"/>
    <x v="170"/>
    <x v="1"/>
    <x v="1"/>
    <x v="1"/>
    <x v="4"/>
    <x v="198"/>
    <x v="138"/>
    <x v="51"/>
    <x v="719"/>
    <x v="127"/>
    <x v="151"/>
    <x v="0"/>
  </r>
  <r>
    <x v="0"/>
    <x v="170"/>
    <x v="170"/>
    <x v="17"/>
    <x v="17"/>
    <x v="17"/>
    <x v="7"/>
    <x v="199"/>
    <x v="212"/>
    <x v="65"/>
    <x v="65"/>
    <x v="110"/>
    <x v="487"/>
    <x v="0"/>
  </r>
  <r>
    <x v="0"/>
    <x v="170"/>
    <x v="170"/>
    <x v="12"/>
    <x v="12"/>
    <x v="12"/>
    <x v="7"/>
    <x v="199"/>
    <x v="212"/>
    <x v="70"/>
    <x v="396"/>
    <x v="123"/>
    <x v="477"/>
    <x v="0"/>
  </r>
  <r>
    <x v="0"/>
    <x v="170"/>
    <x v="170"/>
    <x v="49"/>
    <x v="49"/>
    <x v="49"/>
    <x v="7"/>
    <x v="199"/>
    <x v="212"/>
    <x v="70"/>
    <x v="396"/>
    <x v="123"/>
    <x v="477"/>
    <x v="0"/>
  </r>
  <r>
    <x v="0"/>
    <x v="170"/>
    <x v="170"/>
    <x v="7"/>
    <x v="7"/>
    <x v="7"/>
    <x v="7"/>
    <x v="199"/>
    <x v="212"/>
    <x v="62"/>
    <x v="721"/>
    <x v="127"/>
    <x v="151"/>
    <x v="0"/>
  </r>
  <r>
    <x v="0"/>
    <x v="170"/>
    <x v="170"/>
    <x v="8"/>
    <x v="8"/>
    <x v="8"/>
    <x v="7"/>
    <x v="199"/>
    <x v="212"/>
    <x v="62"/>
    <x v="721"/>
    <x v="127"/>
    <x v="151"/>
    <x v="0"/>
  </r>
  <r>
    <x v="0"/>
    <x v="170"/>
    <x v="170"/>
    <x v="6"/>
    <x v="6"/>
    <x v="6"/>
    <x v="7"/>
    <x v="199"/>
    <x v="212"/>
    <x v="70"/>
    <x v="396"/>
    <x v="123"/>
    <x v="477"/>
    <x v="0"/>
  </r>
  <r>
    <x v="0"/>
    <x v="170"/>
    <x v="170"/>
    <x v="40"/>
    <x v="40"/>
    <x v="40"/>
    <x v="13"/>
    <x v="200"/>
    <x v="234"/>
    <x v="70"/>
    <x v="396"/>
    <x v="127"/>
    <x v="151"/>
    <x v="0"/>
  </r>
  <r>
    <x v="0"/>
    <x v="170"/>
    <x v="170"/>
    <x v="13"/>
    <x v="13"/>
    <x v="13"/>
    <x v="13"/>
    <x v="200"/>
    <x v="234"/>
    <x v="56"/>
    <x v="445"/>
    <x v="123"/>
    <x v="477"/>
    <x v="0"/>
  </r>
  <r>
    <x v="0"/>
    <x v="170"/>
    <x v="170"/>
    <x v="14"/>
    <x v="14"/>
    <x v="14"/>
    <x v="13"/>
    <x v="200"/>
    <x v="234"/>
    <x v="56"/>
    <x v="445"/>
    <x v="123"/>
    <x v="477"/>
    <x v="0"/>
  </r>
  <r>
    <x v="0"/>
    <x v="170"/>
    <x v="170"/>
    <x v="28"/>
    <x v="28"/>
    <x v="28"/>
    <x v="13"/>
    <x v="200"/>
    <x v="234"/>
    <x v="56"/>
    <x v="445"/>
    <x v="123"/>
    <x v="477"/>
    <x v="0"/>
  </r>
  <r>
    <x v="0"/>
    <x v="170"/>
    <x v="170"/>
    <x v="41"/>
    <x v="41"/>
    <x v="41"/>
    <x v="13"/>
    <x v="200"/>
    <x v="234"/>
    <x v="70"/>
    <x v="396"/>
    <x v="127"/>
    <x v="151"/>
    <x v="0"/>
  </r>
  <r>
    <x v="0"/>
    <x v="170"/>
    <x v="170"/>
    <x v="47"/>
    <x v="47"/>
    <x v="47"/>
    <x v="13"/>
    <x v="200"/>
    <x v="234"/>
    <x v="70"/>
    <x v="396"/>
    <x v="127"/>
    <x v="151"/>
    <x v="0"/>
  </r>
  <r>
    <x v="0"/>
    <x v="170"/>
    <x v="170"/>
    <x v="42"/>
    <x v="42"/>
    <x v="42"/>
    <x v="13"/>
    <x v="200"/>
    <x v="234"/>
    <x v="65"/>
    <x v="65"/>
    <x v="108"/>
    <x v="488"/>
    <x v="0"/>
  </r>
  <r>
    <x v="0"/>
    <x v="170"/>
    <x v="170"/>
    <x v="45"/>
    <x v="45"/>
    <x v="45"/>
    <x v="13"/>
    <x v="200"/>
    <x v="234"/>
    <x v="70"/>
    <x v="396"/>
    <x v="127"/>
    <x v="151"/>
    <x v="0"/>
  </r>
  <r>
    <x v="0"/>
    <x v="170"/>
    <x v="170"/>
    <x v="131"/>
    <x v="131"/>
    <x v="131"/>
    <x v="13"/>
    <x v="200"/>
    <x v="234"/>
    <x v="70"/>
    <x v="396"/>
    <x v="127"/>
    <x v="151"/>
    <x v="0"/>
  </r>
  <r>
    <x v="0"/>
    <x v="170"/>
    <x v="170"/>
    <x v="19"/>
    <x v="19"/>
    <x v="19"/>
    <x v="13"/>
    <x v="200"/>
    <x v="234"/>
    <x v="70"/>
    <x v="396"/>
    <x v="127"/>
    <x v="151"/>
    <x v="0"/>
  </r>
  <r>
    <x v="0"/>
    <x v="171"/>
    <x v="171"/>
    <x v="1"/>
    <x v="1"/>
    <x v="1"/>
    <x v="0"/>
    <x v="206"/>
    <x v="352"/>
    <x v="102"/>
    <x v="302"/>
    <x v="127"/>
    <x v="151"/>
    <x v="0"/>
  </r>
  <r>
    <x v="0"/>
    <x v="171"/>
    <x v="171"/>
    <x v="0"/>
    <x v="0"/>
    <x v="0"/>
    <x v="1"/>
    <x v="194"/>
    <x v="530"/>
    <x v="89"/>
    <x v="722"/>
    <x v="123"/>
    <x v="326"/>
    <x v="0"/>
  </r>
  <r>
    <x v="0"/>
    <x v="171"/>
    <x v="171"/>
    <x v="3"/>
    <x v="3"/>
    <x v="3"/>
    <x v="2"/>
    <x v="208"/>
    <x v="241"/>
    <x v="77"/>
    <x v="61"/>
    <x v="127"/>
    <x v="151"/>
    <x v="0"/>
  </r>
  <r>
    <x v="0"/>
    <x v="171"/>
    <x v="171"/>
    <x v="17"/>
    <x v="17"/>
    <x v="17"/>
    <x v="3"/>
    <x v="210"/>
    <x v="148"/>
    <x v="62"/>
    <x v="723"/>
    <x v="110"/>
    <x v="451"/>
    <x v="0"/>
  </r>
  <r>
    <x v="0"/>
    <x v="171"/>
    <x v="171"/>
    <x v="40"/>
    <x v="40"/>
    <x v="40"/>
    <x v="3"/>
    <x v="210"/>
    <x v="148"/>
    <x v="95"/>
    <x v="469"/>
    <x v="123"/>
    <x v="326"/>
    <x v="0"/>
  </r>
  <r>
    <x v="0"/>
    <x v="171"/>
    <x v="171"/>
    <x v="4"/>
    <x v="4"/>
    <x v="4"/>
    <x v="3"/>
    <x v="210"/>
    <x v="148"/>
    <x v="39"/>
    <x v="112"/>
    <x v="93"/>
    <x v="452"/>
    <x v="0"/>
  </r>
  <r>
    <x v="0"/>
    <x v="171"/>
    <x v="171"/>
    <x v="2"/>
    <x v="2"/>
    <x v="2"/>
    <x v="3"/>
    <x v="210"/>
    <x v="148"/>
    <x v="100"/>
    <x v="724"/>
    <x v="127"/>
    <x v="151"/>
    <x v="0"/>
  </r>
  <r>
    <x v="0"/>
    <x v="171"/>
    <x v="171"/>
    <x v="12"/>
    <x v="12"/>
    <x v="12"/>
    <x v="7"/>
    <x v="198"/>
    <x v="43"/>
    <x v="70"/>
    <x v="454"/>
    <x v="93"/>
    <x v="452"/>
    <x v="0"/>
  </r>
  <r>
    <x v="0"/>
    <x v="171"/>
    <x v="171"/>
    <x v="47"/>
    <x v="47"/>
    <x v="47"/>
    <x v="7"/>
    <x v="198"/>
    <x v="43"/>
    <x v="70"/>
    <x v="454"/>
    <x v="93"/>
    <x v="452"/>
    <x v="0"/>
  </r>
  <r>
    <x v="0"/>
    <x v="171"/>
    <x v="171"/>
    <x v="49"/>
    <x v="49"/>
    <x v="49"/>
    <x v="7"/>
    <x v="198"/>
    <x v="43"/>
    <x v="51"/>
    <x v="725"/>
    <x v="127"/>
    <x v="151"/>
    <x v="0"/>
  </r>
  <r>
    <x v="0"/>
    <x v="171"/>
    <x v="171"/>
    <x v="7"/>
    <x v="7"/>
    <x v="7"/>
    <x v="7"/>
    <x v="198"/>
    <x v="43"/>
    <x v="62"/>
    <x v="723"/>
    <x v="123"/>
    <x v="326"/>
    <x v="0"/>
  </r>
  <r>
    <x v="0"/>
    <x v="171"/>
    <x v="171"/>
    <x v="5"/>
    <x v="5"/>
    <x v="5"/>
    <x v="7"/>
    <x v="198"/>
    <x v="43"/>
    <x v="62"/>
    <x v="723"/>
    <x v="123"/>
    <x v="326"/>
    <x v="0"/>
  </r>
  <r>
    <x v="0"/>
    <x v="171"/>
    <x v="171"/>
    <x v="10"/>
    <x v="10"/>
    <x v="10"/>
    <x v="12"/>
    <x v="199"/>
    <x v="134"/>
    <x v="65"/>
    <x v="65"/>
    <x v="110"/>
    <x v="451"/>
    <x v="0"/>
  </r>
  <r>
    <x v="0"/>
    <x v="171"/>
    <x v="171"/>
    <x v="13"/>
    <x v="13"/>
    <x v="13"/>
    <x v="12"/>
    <x v="199"/>
    <x v="134"/>
    <x v="65"/>
    <x v="65"/>
    <x v="110"/>
    <x v="451"/>
    <x v="0"/>
  </r>
  <r>
    <x v="0"/>
    <x v="171"/>
    <x v="171"/>
    <x v="54"/>
    <x v="54"/>
    <x v="54"/>
    <x v="12"/>
    <x v="199"/>
    <x v="134"/>
    <x v="56"/>
    <x v="210"/>
    <x v="93"/>
    <x v="452"/>
    <x v="0"/>
  </r>
  <r>
    <x v="0"/>
    <x v="171"/>
    <x v="171"/>
    <x v="28"/>
    <x v="28"/>
    <x v="28"/>
    <x v="12"/>
    <x v="199"/>
    <x v="134"/>
    <x v="56"/>
    <x v="210"/>
    <x v="93"/>
    <x v="452"/>
    <x v="0"/>
  </r>
  <r>
    <x v="0"/>
    <x v="171"/>
    <x v="171"/>
    <x v="41"/>
    <x v="41"/>
    <x v="41"/>
    <x v="12"/>
    <x v="199"/>
    <x v="134"/>
    <x v="70"/>
    <x v="454"/>
    <x v="123"/>
    <x v="326"/>
    <x v="0"/>
  </r>
  <r>
    <x v="0"/>
    <x v="171"/>
    <x v="171"/>
    <x v="121"/>
    <x v="121"/>
    <x v="121"/>
    <x v="12"/>
    <x v="199"/>
    <x v="134"/>
    <x v="70"/>
    <x v="454"/>
    <x v="123"/>
    <x v="326"/>
    <x v="0"/>
  </r>
  <r>
    <x v="0"/>
    <x v="171"/>
    <x v="171"/>
    <x v="51"/>
    <x v="51"/>
    <x v="51"/>
    <x v="12"/>
    <x v="199"/>
    <x v="134"/>
    <x v="70"/>
    <x v="454"/>
    <x v="123"/>
    <x v="326"/>
    <x v="0"/>
  </r>
  <r>
    <x v="0"/>
    <x v="171"/>
    <x v="171"/>
    <x v="45"/>
    <x v="45"/>
    <x v="45"/>
    <x v="12"/>
    <x v="199"/>
    <x v="134"/>
    <x v="70"/>
    <x v="454"/>
    <x v="123"/>
    <x v="326"/>
    <x v="0"/>
  </r>
  <r>
    <x v="0"/>
    <x v="171"/>
    <x v="171"/>
    <x v="6"/>
    <x v="6"/>
    <x v="6"/>
    <x v="12"/>
    <x v="199"/>
    <x v="134"/>
    <x v="70"/>
    <x v="454"/>
    <x v="123"/>
    <x v="326"/>
    <x v="0"/>
  </r>
  <r>
    <x v="0"/>
    <x v="172"/>
    <x v="172"/>
    <x v="1"/>
    <x v="1"/>
    <x v="1"/>
    <x v="0"/>
    <x v="115"/>
    <x v="531"/>
    <x v="136"/>
    <x v="726"/>
    <x v="123"/>
    <x v="71"/>
    <x v="0"/>
  </r>
  <r>
    <x v="0"/>
    <x v="172"/>
    <x v="172"/>
    <x v="10"/>
    <x v="10"/>
    <x v="10"/>
    <x v="1"/>
    <x v="136"/>
    <x v="217"/>
    <x v="70"/>
    <x v="197"/>
    <x v="71"/>
    <x v="489"/>
    <x v="0"/>
  </r>
  <r>
    <x v="0"/>
    <x v="172"/>
    <x v="172"/>
    <x v="3"/>
    <x v="3"/>
    <x v="3"/>
    <x v="2"/>
    <x v="203"/>
    <x v="269"/>
    <x v="109"/>
    <x v="593"/>
    <x v="123"/>
    <x v="71"/>
    <x v="0"/>
  </r>
  <r>
    <x v="0"/>
    <x v="172"/>
    <x v="172"/>
    <x v="6"/>
    <x v="6"/>
    <x v="6"/>
    <x v="2"/>
    <x v="203"/>
    <x v="269"/>
    <x v="109"/>
    <x v="593"/>
    <x v="123"/>
    <x v="71"/>
    <x v="0"/>
  </r>
  <r>
    <x v="0"/>
    <x v="172"/>
    <x v="172"/>
    <x v="0"/>
    <x v="0"/>
    <x v="0"/>
    <x v="4"/>
    <x v="209"/>
    <x v="280"/>
    <x v="61"/>
    <x v="66"/>
    <x v="119"/>
    <x v="65"/>
    <x v="0"/>
  </r>
  <r>
    <x v="0"/>
    <x v="172"/>
    <x v="172"/>
    <x v="4"/>
    <x v="4"/>
    <x v="4"/>
    <x v="5"/>
    <x v="192"/>
    <x v="101"/>
    <x v="61"/>
    <x v="66"/>
    <x v="110"/>
    <x v="153"/>
    <x v="0"/>
  </r>
  <r>
    <x v="0"/>
    <x v="172"/>
    <x v="172"/>
    <x v="11"/>
    <x v="11"/>
    <x v="11"/>
    <x v="6"/>
    <x v="206"/>
    <x v="124"/>
    <x v="70"/>
    <x v="197"/>
    <x v="104"/>
    <x v="490"/>
    <x v="0"/>
  </r>
  <r>
    <x v="0"/>
    <x v="172"/>
    <x v="172"/>
    <x v="8"/>
    <x v="8"/>
    <x v="8"/>
    <x v="6"/>
    <x v="206"/>
    <x v="124"/>
    <x v="61"/>
    <x v="66"/>
    <x v="93"/>
    <x v="166"/>
    <x v="0"/>
  </r>
  <r>
    <x v="0"/>
    <x v="172"/>
    <x v="172"/>
    <x v="45"/>
    <x v="45"/>
    <x v="45"/>
    <x v="8"/>
    <x v="193"/>
    <x v="532"/>
    <x v="77"/>
    <x v="279"/>
    <x v="108"/>
    <x v="223"/>
    <x v="0"/>
  </r>
  <r>
    <x v="0"/>
    <x v="172"/>
    <x v="172"/>
    <x v="19"/>
    <x v="19"/>
    <x v="19"/>
    <x v="8"/>
    <x v="193"/>
    <x v="532"/>
    <x v="100"/>
    <x v="727"/>
    <x v="119"/>
    <x v="65"/>
    <x v="0"/>
  </r>
  <r>
    <x v="0"/>
    <x v="172"/>
    <x v="172"/>
    <x v="13"/>
    <x v="13"/>
    <x v="13"/>
    <x v="10"/>
    <x v="194"/>
    <x v="6"/>
    <x v="62"/>
    <x v="562"/>
    <x v="109"/>
    <x v="491"/>
    <x v="0"/>
  </r>
  <r>
    <x v="0"/>
    <x v="172"/>
    <x v="172"/>
    <x v="7"/>
    <x v="7"/>
    <x v="7"/>
    <x v="11"/>
    <x v="207"/>
    <x v="369"/>
    <x v="70"/>
    <x v="197"/>
    <x v="109"/>
    <x v="491"/>
    <x v="0"/>
  </r>
  <r>
    <x v="0"/>
    <x v="172"/>
    <x v="172"/>
    <x v="42"/>
    <x v="42"/>
    <x v="42"/>
    <x v="12"/>
    <x v="208"/>
    <x v="106"/>
    <x v="56"/>
    <x v="269"/>
    <x v="109"/>
    <x v="491"/>
    <x v="0"/>
  </r>
  <r>
    <x v="0"/>
    <x v="172"/>
    <x v="172"/>
    <x v="14"/>
    <x v="14"/>
    <x v="14"/>
    <x v="13"/>
    <x v="195"/>
    <x v="74"/>
    <x v="62"/>
    <x v="562"/>
    <x v="119"/>
    <x v="65"/>
    <x v="0"/>
  </r>
  <r>
    <x v="0"/>
    <x v="172"/>
    <x v="172"/>
    <x v="9"/>
    <x v="9"/>
    <x v="9"/>
    <x v="13"/>
    <x v="195"/>
    <x v="74"/>
    <x v="68"/>
    <x v="728"/>
    <x v="127"/>
    <x v="151"/>
    <x v="0"/>
  </r>
  <r>
    <x v="0"/>
    <x v="172"/>
    <x v="172"/>
    <x v="17"/>
    <x v="17"/>
    <x v="17"/>
    <x v="14"/>
    <x v="210"/>
    <x v="50"/>
    <x v="50"/>
    <x v="60"/>
    <x v="98"/>
    <x v="133"/>
    <x v="0"/>
  </r>
  <r>
    <x v="0"/>
    <x v="172"/>
    <x v="172"/>
    <x v="16"/>
    <x v="16"/>
    <x v="16"/>
    <x v="14"/>
    <x v="210"/>
    <x v="50"/>
    <x v="70"/>
    <x v="197"/>
    <x v="119"/>
    <x v="65"/>
    <x v="0"/>
  </r>
  <r>
    <x v="0"/>
    <x v="172"/>
    <x v="172"/>
    <x v="41"/>
    <x v="41"/>
    <x v="41"/>
    <x v="16"/>
    <x v="196"/>
    <x v="52"/>
    <x v="51"/>
    <x v="265"/>
    <x v="93"/>
    <x v="166"/>
    <x v="0"/>
  </r>
  <r>
    <x v="0"/>
    <x v="172"/>
    <x v="172"/>
    <x v="18"/>
    <x v="18"/>
    <x v="18"/>
    <x v="16"/>
    <x v="196"/>
    <x v="52"/>
    <x v="51"/>
    <x v="265"/>
    <x v="93"/>
    <x v="166"/>
    <x v="0"/>
  </r>
  <r>
    <x v="0"/>
    <x v="172"/>
    <x v="172"/>
    <x v="52"/>
    <x v="52"/>
    <x v="52"/>
    <x v="16"/>
    <x v="196"/>
    <x v="52"/>
    <x v="65"/>
    <x v="65"/>
    <x v="123"/>
    <x v="71"/>
    <x v="0"/>
  </r>
  <r>
    <x v="0"/>
    <x v="172"/>
    <x v="172"/>
    <x v="53"/>
    <x v="53"/>
    <x v="53"/>
    <x v="16"/>
    <x v="196"/>
    <x v="52"/>
    <x v="65"/>
    <x v="65"/>
    <x v="127"/>
    <x v="151"/>
    <x v="0"/>
  </r>
  <r>
    <x v="0"/>
    <x v="172"/>
    <x v="172"/>
    <x v="43"/>
    <x v="43"/>
    <x v="43"/>
    <x v="16"/>
    <x v="196"/>
    <x v="52"/>
    <x v="65"/>
    <x v="65"/>
    <x v="98"/>
    <x v="133"/>
    <x v="0"/>
  </r>
  <r>
    <x v="0"/>
    <x v="173"/>
    <x v="173"/>
    <x v="0"/>
    <x v="0"/>
    <x v="0"/>
    <x v="0"/>
    <x v="207"/>
    <x v="90"/>
    <x v="77"/>
    <x v="729"/>
    <x v="123"/>
    <x v="207"/>
    <x v="0"/>
  </r>
  <r>
    <x v="0"/>
    <x v="173"/>
    <x v="173"/>
    <x v="1"/>
    <x v="1"/>
    <x v="1"/>
    <x v="0"/>
    <x v="207"/>
    <x v="90"/>
    <x v="89"/>
    <x v="730"/>
    <x v="127"/>
    <x v="151"/>
    <x v="0"/>
  </r>
  <r>
    <x v="0"/>
    <x v="173"/>
    <x v="173"/>
    <x v="3"/>
    <x v="3"/>
    <x v="3"/>
    <x v="2"/>
    <x v="196"/>
    <x v="148"/>
    <x v="95"/>
    <x v="26"/>
    <x v="127"/>
    <x v="151"/>
    <x v="0"/>
  </r>
  <r>
    <x v="0"/>
    <x v="173"/>
    <x v="173"/>
    <x v="8"/>
    <x v="8"/>
    <x v="8"/>
    <x v="2"/>
    <x v="196"/>
    <x v="148"/>
    <x v="95"/>
    <x v="26"/>
    <x v="127"/>
    <x v="151"/>
    <x v="0"/>
  </r>
  <r>
    <x v="0"/>
    <x v="173"/>
    <x v="173"/>
    <x v="47"/>
    <x v="47"/>
    <x v="47"/>
    <x v="4"/>
    <x v="197"/>
    <x v="22"/>
    <x v="56"/>
    <x v="731"/>
    <x v="110"/>
    <x v="322"/>
    <x v="0"/>
  </r>
  <r>
    <x v="0"/>
    <x v="173"/>
    <x v="173"/>
    <x v="6"/>
    <x v="6"/>
    <x v="6"/>
    <x v="4"/>
    <x v="197"/>
    <x v="22"/>
    <x v="39"/>
    <x v="5"/>
    <x v="127"/>
    <x v="151"/>
    <x v="0"/>
  </r>
  <r>
    <x v="0"/>
    <x v="173"/>
    <x v="173"/>
    <x v="46"/>
    <x v="46"/>
    <x v="46"/>
    <x v="6"/>
    <x v="198"/>
    <x v="301"/>
    <x v="50"/>
    <x v="98"/>
    <x v="110"/>
    <x v="322"/>
    <x v="0"/>
  </r>
  <r>
    <x v="0"/>
    <x v="173"/>
    <x v="173"/>
    <x v="44"/>
    <x v="44"/>
    <x v="44"/>
    <x v="6"/>
    <x v="198"/>
    <x v="301"/>
    <x v="50"/>
    <x v="98"/>
    <x v="110"/>
    <x v="322"/>
    <x v="0"/>
  </r>
  <r>
    <x v="0"/>
    <x v="173"/>
    <x v="173"/>
    <x v="51"/>
    <x v="51"/>
    <x v="51"/>
    <x v="6"/>
    <x v="198"/>
    <x v="301"/>
    <x v="62"/>
    <x v="268"/>
    <x v="123"/>
    <x v="207"/>
    <x v="0"/>
  </r>
  <r>
    <x v="0"/>
    <x v="173"/>
    <x v="173"/>
    <x v="4"/>
    <x v="4"/>
    <x v="4"/>
    <x v="6"/>
    <x v="198"/>
    <x v="301"/>
    <x v="62"/>
    <x v="268"/>
    <x v="123"/>
    <x v="207"/>
    <x v="0"/>
  </r>
  <r>
    <x v="0"/>
    <x v="173"/>
    <x v="173"/>
    <x v="2"/>
    <x v="2"/>
    <x v="2"/>
    <x v="6"/>
    <x v="198"/>
    <x v="301"/>
    <x v="51"/>
    <x v="100"/>
    <x v="127"/>
    <x v="151"/>
    <x v="0"/>
  </r>
  <r>
    <x v="0"/>
    <x v="173"/>
    <x v="173"/>
    <x v="14"/>
    <x v="14"/>
    <x v="14"/>
    <x v="11"/>
    <x v="199"/>
    <x v="106"/>
    <x v="70"/>
    <x v="542"/>
    <x v="123"/>
    <x v="207"/>
    <x v="0"/>
  </r>
  <r>
    <x v="0"/>
    <x v="173"/>
    <x v="173"/>
    <x v="41"/>
    <x v="41"/>
    <x v="41"/>
    <x v="11"/>
    <x v="199"/>
    <x v="106"/>
    <x v="70"/>
    <x v="542"/>
    <x v="123"/>
    <x v="207"/>
    <x v="0"/>
  </r>
  <r>
    <x v="0"/>
    <x v="173"/>
    <x v="173"/>
    <x v="9"/>
    <x v="9"/>
    <x v="9"/>
    <x v="11"/>
    <x v="199"/>
    <x v="106"/>
    <x v="62"/>
    <x v="268"/>
    <x v="127"/>
    <x v="151"/>
    <x v="0"/>
  </r>
  <r>
    <x v="0"/>
    <x v="173"/>
    <x v="173"/>
    <x v="39"/>
    <x v="39"/>
    <x v="39"/>
    <x v="11"/>
    <x v="199"/>
    <x v="106"/>
    <x v="56"/>
    <x v="731"/>
    <x v="93"/>
    <x v="110"/>
    <x v="0"/>
  </r>
  <r>
    <x v="0"/>
    <x v="173"/>
    <x v="173"/>
    <x v="10"/>
    <x v="10"/>
    <x v="10"/>
    <x v="14"/>
    <x v="200"/>
    <x v="171"/>
    <x v="65"/>
    <x v="65"/>
    <x v="108"/>
    <x v="258"/>
    <x v="0"/>
  </r>
  <r>
    <x v="0"/>
    <x v="173"/>
    <x v="173"/>
    <x v="32"/>
    <x v="32"/>
    <x v="32"/>
    <x v="14"/>
    <x v="200"/>
    <x v="171"/>
    <x v="50"/>
    <x v="98"/>
    <x v="93"/>
    <x v="110"/>
    <x v="0"/>
  </r>
  <r>
    <x v="0"/>
    <x v="173"/>
    <x v="173"/>
    <x v="56"/>
    <x v="56"/>
    <x v="56"/>
    <x v="14"/>
    <x v="200"/>
    <x v="171"/>
    <x v="56"/>
    <x v="731"/>
    <x v="123"/>
    <x v="207"/>
    <x v="0"/>
  </r>
  <r>
    <x v="0"/>
    <x v="173"/>
    <x v="173"/>
    <x v="13"/>
    <x v="13"/>
    <x v="13"/>
    <x v="14"/>
    <x v="200"/>
    <x v="171"/>
    <x v="50"/>
    <x v="98"/>
    <x v="93"/>
    <x v="110"/>
    <x v="0"/>
  </r>
  <r>
    <x v="0"/>
    <x v="173"/>
    <x v="173"/>
    <x v="28"/>
    <x v="28"/>
    <x v="28"/>
    <x v="14"/>
    <x v="200"/>
    <x v="171"/>
    <x v="56"/>
    <x v="731"/>
    <x v="123"/>
    <x v="207"/>
    <x v="0"/>
  </r>
  <r>
    <x v="0"/>
    <x v="173"/>
    <x v="173"/>
    <x v="12"/>
    <x v="12"/>
    <x v="12"/>
    <x v="14"/>
    <x v="200"/>
    <x v="171"/>
    <x v="50"/>
    <x v="98"/>
    <x v="93"/>
    <x v="110"/>
    <x v="0"/>
  </r>
  <r>
    <x v="0"/>
    <x v="173"/>
    <x v="173"/>
    <x v="114"/>
    <x v="114"/>
    <x v="114"/>
    <x v="14"/>
    <x v="200"/>
    <x v="171"/>
    <x v="65"/>
    <x v="65"/>
    <x v="108"/>
    <x v="258"/>
    <x v="0"/>
  </r>
  <r>
    <x v="0"/>
    <x v="173"/>
    <x v="173"/>
    <x v="18"/>
    <x v="18"/>
    <x v="18"/>
    <x v="14"/>
    <x v="200"/>
    <x v="171"/>
    <x v="50"/>
    <x v="98"/>
    <x v="93"/>
    <x v="110"/>
    <x v="0"/>
  </r>
  <r>
    <x v="0"/>
    <x v="173"/>
    <x v="173"/>
    <x v="42"/>
    <x v="42"/>
    <x v="42"/>
    <x v="14"/>
    <x v="200"/>
    <x v="171"/>
    <x v="50"/>
    <x v="98"/>
    <x v="93"/>
    <x v="110"/>
    <x v="0"/>
  </r>
  <r>
    <x v="0"/>
    <x v="173"/>
    <x v="173"/>
    <x v="7"/>
    <x v="7"/>
    <x v="7"/>
    <x v="14"/>
    <x v="200"/>
    <x v="171"/>
    <x v="50"/>
    <x v="98"/>
    <x v="93"/>
    <x v="110"/>
    <x v="0"/>
  </r>
  <r>
    <x v="0"/>
    <x v="173"/>
    <x v="173"/>
    <x v="5"/>
    <x v="5"/>
    <x v="5"/>
    <x v="14"/>
    <x v="200"/>
    <x v="171"/>
    <x v="56"/>
    <x v="731"/>
    <x v="123"/>
    <x v="207"/>
    <x v="0"/>
  </r>
  <r>
    <x v="0"/>
    <x v="173"/>
    <x v="173"/>
    <x v="52"/>
    <x v="52"/>
    <x v="52"/>
    <x v="14"/>
    <x v="200"/>
    <x v="171"/>
    <x v="65"/>
    <x v="65"/>
    <x v="127"/>
    <x v="151"/>
    <x v="0"/>
  </r>
  <r>
    <x v="0"/>
    <x v="173"/>
    <x v="173"/>
    <x v="53"/>
    <x v="53"/>
    <x v="53"/>
    <x v="14"/>
    <x v="200"/>
    <x v="171"/>
    <x v="65"/>
    <x v="65"/>
    <x v="93"/>
    <x v="110"/>
    <x v="0"/>
  </r>
  <r>
    <x v="0"/>
    <x v="173"/>
    <x v="173"/>
    <x v="83"/>
    <x v="83"/>
    <x v="83"/>
    <x v="14"/>
    <x v="200"/>
    <x v="171"/>
    <x v="56"/>
    <x v="731"/>
    <x v="123"/>
    <x v="207"/>
    <x v="0"/>
  </r>
  <r>
    <x v="0"/>
    <x v="174"/>
    <x v="174"/>
    <x v="10"/>
    <x v="10"/>
    <x v="10"/>
    <x v="0"/>
    <x v="199"/>
    <x v="409"/>
    <x v="50"/>
    <x v="482"/>
    <x v="108"/>
    <x v="315"/>
    <x v="0"/>
  </r>
  <r>
    <x v="0"/>
    <x v="174"/>
    <x v="174"/>
    <x v="12"/>
    <x v="12"/>
    <x v="12"/>
    <x v="0"/>
    <x v="199"/>
    <x v="409"/>
    <x v="50"/>
    <x v="482"/>
    <x v="108"/>
    <x v="315"/>
    <x v="0"/>
  </r>
  <r>
    <x v="0"/>
    <x v="174"/>
    <x v="174"/>
    <x v="3"/>
    <x v="3"/>
    <x v="3"/>
    <x v="0"/>
    <x v="199"/>
    <x v="409"/>
    <x v="62"/>
    <x v="478"/>
    <x v="127"/>
    <x v="151"/>
    <x v="0"/>
  </r>
  <r>
    <x v="0"/>
    <x v="174"/>
    <x v="174"/>
    <x v="41"/>
    <x v="41"/>
    <x v="41"/>
    <x v="3"/>
    <x v="200"/>
    <x v="355"/>
    <x v="56"/>
    <x v="480"/>
    <x v="127"/>
    <x v="151"/>
    <x v="6"/>
  </r>
  <r>
    <x v="0"/>
    <x v="174"/>
    <x v="174"/>
    <x v="1"/>
    <x v="1"/>
    <x v="1"/>
    <x v="3"/>
    <x v="200"/>
    <x v="355"/>
    <x v="70"/>
    <x v="593"/>
    <x v="127"/>
    <x v="151"/>
    <x v="0"/>
  </r>
  <r>
    <x v="0"/>
    <x v="174"/>
    <x v="174"/>
    <x v="53"/>
    <x v="53"/>
    <x v="53"/>
    <x v="3"/>
    <x v="200"/>
    <x v="355"/>
    <x v="65"/>
    <x v="65"/>
    <x v="127"/>
    <x v="151"/>
    <x v="0"/>
  </r>
  <r>
    <x v="0"/>
    <x v="174"/>
    <x v="174"/>
    <x v="83"/>
    <x v="83"/>
    <x v="83"/>
    <x v="3"/>
    <x v="200"/>
    <x v="355"/>
    <x v="56"/>
    <x v="480"/>
    <x v="123"/>
    <x v="279"/>
    <x v="0"/>
  </r>
  <r>
    <x v="0"/>
    <x v="174"/>
    <x v="174"/>
    <x v="40"/>
    <x v="40"/>
    <x v="40"/>
    <x v="7"/>
    <x v="216"/>
    <x v="447"/>
    <x v="65"/>
    <x v="65"/>
    <x v="93"/>
    <x v="394"/>
    <x v="0"/>
  </r>
  <r>
    <x v="0"/>
    <x v="174"/>
    <x v="174"/>
    <x v="70"/>
    <x v="70"/>
    <x v="70"/>
    <x v="7"/>
    <x v="216"/>
    <x v="447"/>
    <x v="50"/>
    <x v="482"/>
    <x v="123"/>
    <x v="279"/>
    <x v="0"/>
  </r>
  <r>
    <x v="0"/>
    <x v="174"/>
    <x v="174"/>
    <x v="99"/>
    <x v="99"/>
    <x v="99"/>
    <x v="7"/>
    <x v="216"/>
    <x v="447"/>
    <x v="65"/>
    <x v="65"/>
    <x v="93"/>
    <x v="394"/>
    <x v="0"/>
  </r>
  <r>
    <x v="0"/>
    <x v="174"/>
    <x v="174"/>
    <x v="11"/>
    <x v="11"/>
    <x v="11"/>
    <x v="7"/>
    <x v="216"/>
    <x v="447"/>
    <x v="56"/>
    <x v="480"/>
    <x v="127"/>
    <x v="151"/>
    <x v="0"/>
  </r>
  <r>
    <x v="0"/>
    <x v="174"/>
    <x v="174"/>
    <x v="130"/>
    <x v="130"/>
    <x v="130"/>
    <x v="7"/>
    <x v="216"/>
    <x v="447"/>
    <x v="50"/>
    <x v="482"/>
    <x v="123"/>
    <x v="279"/>
    <x v="0"/>
  </r>
  <r>
    <x v="0"/>
    <x v="174"/>
    <x v="174"/>
    <x v="4"/>
    <x v="4"/>
    <x v="4"/>
    <x v="7"/>
    <x v="216"/>
    <x v="447"/>
    <x v="56"/>
    <x v="480"/>
    <x v="127"/>
    <x v="151"/>
    <x v="0"/>
  </r>
  <r>
    <x v="0"/>
    <x v="174"/>
    <x v="174"/>
    <x v="5"/>
    <x v="5"/>
    <x v="5"/>
    <x v="7"/>
    <x v="216"/>
    <x v="447"/>
    <x v="56"/>
    <x v="480"/>
    <x v="127"/>
    <x v="151"/>
    <x v="0"/>
  </r>
  <r>
    <x v="0"/>
    <x v="174"/>
    <x v="174"/>
    <x v="37"/>
    <x v="37"/>
    <x v="37"/>
    <x v="7"/>
    <x v="216"/>
    <x v="447"/>
    <x v="65"/>
    <x v="65"/>
    <x v="123"/>
    <x v="279"/>
    <x v="0"/>
  </r>
  <r>
    <x v="0"/>
    <x v="174"/>
    <x v="174"/>
    <x v="19"/>
    <x v="19"/>
    <x v="19"/>
    <x v="7"/>
    <x v="216"/>
    <x v="447"/>
    <x v="56"/>
    <x v="480"/>
    <x v="127"/>
    <x v="151"/>
    <x v="0"/>
  </r>
  <r>
    <x v="0"/>
    <x v="174"/>
    <x v="174"/>
    <x v="140"/>
    <x v="140"/>
    <x v="140"/>
    <x v="15"/>
    <x v="217"/>
    <x v="88"/>
    <x v="65"/>
    <x v="65"/>
    <x v="123"/>
    <x v="279"/>
    <x v="0"/>
  </r>
  <r>
    <x v="0"/>
    <x v="174"/>
    <x v="174"/>
    <x v="110"/>
    <x v="110"/>
    <x v="110"/>
    <x v="15"/>
    <x v="217"/>
    <x v="88"/>
    <x v="65"/>
    <x v="65"/>
    <x v="123"/>
    <x v="279"/>
    <x v="0"/>
  </r>
  <r>
    <x v="0"/>
    <x v="174"/>
    <x v="174"/>
    <x v="46"/>
    <x v="46"/>
    <x v="46"/>
    <x v="15"/>
    <x v="217"/>
    <x v="88"/>
    <x v="50"/>
    <x v="482"/>
    <x v="127"/>
    <x v="151"/>
    <x v="0"/>
  </r>
  <r>
    <x v="0"/>
    <x v="174"/>
    <x v="174"/>
    <x v="13"/>
    <x v="13"/>
    <x v="13"/>
    <x v="15"/>
    <x v="217"/>
    <x v="88"/>
    <x v="65"/>
    <x v="65"/>
    <x v="123"/>
    <x v="279"/>
    <x v="0"/>
  </r>
  <r>
    <x v="0"/>
    <x v="174"/>
    <x v="174"/>
    <x v="54"/>
    <x v="54"/>
    <x v="54"/>
    <x v="15"/>
    <x v="217"/>
    <x v="88"/>
    <x v="50"/>
    <x v="482"/>
    <x v="127"/>
    <x v="151"/>
    <x v="0"/>
  </r>
  <r>
    <x v="0"/>
    <x v="174"/>
    <x v="174"/>
    <x v="96"/>
    <x v="96"/>
    <x v="96"/>
    <x v="15"/>
    <x v="217"/>
    <x v="88"/>
    <x v="65"/>
    <x v="65"/>
    <x v="123"/>
    <x v="279"/>
    <x v="0"/>
  </r>
  <r>
    <x v="0"/>
    <x v="174"/>
    <x v="174"/>
    <x v="214"/>
    <x v="211"/>
    <x v="214"/>
    <x v="15"/>
    <x v="217"/>
    <x v="88"/>
    <x v="65"/>
    <x v="65"/>
    <x v="123"/>
    <x v="279"/>
    <x v="0"/>
  </r>
  <r>
    <x v="0"/>
    <x v="174"/>
    <x v="174"/>
    <x v="146"/>
    <x v="146"/>
    <x v="146"/>
    <x v="15"/>
    <x v="217"/>
    <x v="88"/>
    <x v="65"/>
    <x v="65"/>
    <x v="123"/>
    <x v="279"/>
    <x v="0"/>
  </r>
  <r>
    <x v="0"/>
    <x v="174"/>
    <x v="174"/>
    <x v="166"/>
    <x v="164"/>
    <x v="166"/>
    <x v="15"/>
    <x v="217"/>
    <x v="88"/>
    <x v="65"/>
    <x v="65"/>
    <x v="123"/>
    <x v="279"/>
    <x v="0"/>
  </r>
  <r>
    <x v="0"/>
    <x v="174"/>
    <x v="174"/>
    <x v="232"/>
    <x v="227"/>
    <x v="232"/>
    <x v="15"/>
    <x v="217"/>
    <x v="88"/>
    <x v="50"/>
    <x v="482"/>
    <x v="127"/>
    <x v="151"/>
    <x v="0"/>
  </r>
  <r>
    <x v="0"/>
    <x v="174"/>
    <x v="174"/>
    <x v="144"/>
    <x v="144"/>
    <x v="144"/>
    <x v="15"/>
    <x v="217"/>
    <x v="88"/>
    <x v="65"/>
    <x v="65"/>
    <x v="123"/>
    <x v="279"/>
    <x v="0"/>
  </r>
  <r>
    <x v="0"/>
    <x v="174"/>
    <x v="174"/>
    <x v="137"/>
    <x v="137"/>
    <x v="137"/>
    <x v="15"/>
    <x v="217"/>
    <x v="88"/>
    <x v="50"/>
    <x v="482"/>
    <x v="127"/>
    <x v="151"/>
    <x v="0"/>
  </r>
  <r>
    <x v="0"/>
    <x v="174"/>
    <x v="174"/>
    <x v="75"/>
    <x v="75"/>
    <x v="75"/>
    <x v="15"/>
    <x v="217"/>
    <x v="88"/>
    <x v="65"/>
    <x v="65"/>
    <x v="127"/>
    <x v="151"/>
    <x v="0"/>
  </r>
  <r>
    <x v="0"/>
    <x v="174"/>
    <x v="174"/>
    <x v="119"/>
    <x v="119"/>
    <x v="119"/>
    <x v="15"/>
    <x v="217"/>
    <x v="88"/>
    <x v="65"/>
    <x v="65"/>
    <x v="123"/>
    <x v="279"/>
    <x v="0"/>
  </r>
  <r>
    <x v="0"/>
    <x v="174"/>
    <x v="174"/>
    <x v="190"/>
    <x v="187"/>
    <x v="190"/>
    <x v="15"/>
    <x v="217"/>
    <x v="88"/>
    <x v="50"/>
    <x v="482"/>
    <x v="127"/>
    <x v="151"/>
    <x v="0"/>
  </r>
  <r>
    <x v="0"/>
    <x v="174"/>
    <x v="174"/>
    <x v="78"/>
    <x v="78"/>
    <x v="78"/>
    <x v="15"/>
    <x v="217"/>
    <x v="88"/>
    <x v="65"/>
    <x v="65"/>
    <x v="127"/>
    <x v="151"/>
    <x v="0"/>
  </r>
  <r>
    <x v="0"/>
    <x v="174"/>
    <x v="174"/>
    <x v="36"/>
    <x v="36"/>
    <x v="36"/>
    <x v="15"/>
    <x v="217"/>
    <x v="88"/>
    <x v="50"/>
    <x v="482"/>
    <x v="127"/>
    <x v="151"/>
    <x v="0"/>
  </r>
  <r>
    <x v="0"/>
    <x v="174"/>
    <x v="174"/>
    <x v="164"/>
    <x v="162"/>
    <x v="164"/>
    <x v="15"/>
    <x v="217"/>
    <x v="88"/>
    <x v="65"/>
    <x v="65"/>
    <x v="123"/>
    <x v="279"/>
    <x v="0"/>
  </r>
  <r>
    <x v="0"/>
    <x v="174"/>
    <x v="174"/>
    <x v="91"/>
    <x v="91"/>
    <x v="91"/>
    <x v="15"/>
    <x v="217"/>
    <x v="88"/>
    <x v="65"/>
    <x v="65"/>
    <x v="123"/>
    <x v="279"/>
    <x v="0"/>
  </r>
  <r>
    <x v="0"/>
    <x v="174"/>
    <x v="174"/>
    <x v="112"/>
    <x v="112"/>
    <x v="112"/>
    <x v="15"/>
    <x v="217"/>
    <x v="88"/>
    <x v="50"/>
    <x v="482"/>
    <x v="127"/>
    <x v="151"/>
    <x v="0"/>
  </r>
  <r>
    <x v="0"/>
    <x v="174"/>
    <x v="174"/>
    <x v="28"/>
    <x v="28"/>
    <x v="28"/>
    <x v="15"/>
    <x v="217"/>
    <x v="88"/>
    <x v="65"/>
    <x v="65"/>
    <x v="123"/>
    <x v="279"/>
    <x v="0"/>
  </r>
  <r>
    <x v="0"/>
    <x v="174"/>
    <x v="174"/>
    <x v="44"/>
    <x v="44"/>
    <x v="44"/>
    <x v="15"/>
    <x v="217"/>
    <x v="88"/>
    <x v="50"/>
    <x v="482"/>
    <x v="127"/>
    <x v="151"/>
    <x v="0"/>
  </r>
  <r>
    <x v="0"/>
    <x v="174"/>
    <x v="174"/>
    <x v="101"/>
    <x v="101"/>
    <x v="101"/>
    <x v="15"/>
    <x v="217"/>
    <x v="88"/>
    <x v="50"/>
    <x v="482"/>
    <x v="127"/>
    <x v="151"/>
    <x v="0"/>
  </r>
  <r>
    <x v="0"/>
    <x v="174"/>
    <x v="174"/>
    <x v="47"/>
    <x v="47"/>
    <x v="47"/>
    <x v="15"/>
    <x v="217"/>
    <x v="88"/>
    <x v="50"/>
    <x v="482"/>
    <x v="127"/>
    <x v="151"/>
    <x v="0"/>
  </r>
  <r>
    <x v="0"/>
    <x v="174"/>
    <x v="174"/>
    <x v="114"/>
    <x v="114"/>
    <x v="114"/>
    <x v="15"/>
    <x v="217"/>
    <x v="88"/>
    <x v="65"/>
    <x v="65"/>
    <x v="123"/>
    <x v="279"/>
    <x v="0"/>
  </r>
  <r>
    <x v="0"/>
    <x v="174"/>
    <x v="174"/>
    <x v="18"/>
    <x v="18"/>
    <x v="18"/>
    <x v="15"/>
    <x v="217"/>
    <x v="88"/>
    <x v="65"/>
    <x v="65"/>
    <x v="123"/>
    <x v="279"/>
    <x v="0"/>
  </r>
  <r>
    <x v="0"/>
    <x v="174"/>
    <x v="174"/>
    <x v="42"/>
    <x v="42"/>
    <x v="42"/>
    <x v="15"/>
    <x v="217"/>
    <x v="88"/>
    <x v="65"/>
    <x v="65"/>
    <x v="123"/>
    <x v="279"/>
    <x v="0"/>
  </r>
  <r>
    <x v="0"/>
    <x v="174"/>
    <x v="174"/>
    <x v="85"/>
    <x v="85"/>
    <x v="85"/>
    <x v="15"/>
    <x v="217"/>
    <x v="88"/>
    <x v="50"/>
    <x v="482"/>
    <x v="127"/>
    <x v="151"/>
    <x v="0"/>
  </r>
  <r>
    <x v="0"/>
    <x v="174"/>
    <x v="174"/>
    <x v="55"/>
    <x v="55"/>
    <x v="55"/>
    <x v="15"/>
    <x v="217"/>
    <x v="88"/>
    <x v="50"/>
    <x v="482"/>
    <x v="127"/>
    <x v="151"/>
    <x v="0"/>
  </r>
  <r>
    <x v="0"/>
    <x v="174"/>
    <x v="174"/>
    <x v="20"/>
    <x v="20"/>
    <x v="20"/>
    <x v="15"/>
    <x v="217"/>
    <x v="88"/>
    <x v="65"/>
    <x v="65"/>
    <x v="123"/>
    <x v="279"/>
    <x v="0"/>
  </r>
  <r>
    <x v="0"/>
    <x v="174"/>
    <x v="174"/>
    <x v="233"/>
    <x v="228"/>
    <x v="233"/>
    <x v="15"/>
    <x v="217"/>
    <x v="88"/>
    <x v="65"/>
    <x v="65"/>
    <x v="123"/>
    <x v="279"/>
    <x v="0"/>
  </r>
  <r>
    <x v="0"/>
    <x v="174"/>
    <x v="174"/>
    <x v="45"/>
    <x v="45"/>
    <x v="45"/>
    <x v="15"/>
    <x v="217"/>
    <x v="88"/>
    <x v="50"/>
    <x v="482"/>
    <x v="127"/>
    <x v="151"/>
    <x v="0"/>
  </r>
  <r>
    <x v="0"/>
    <x v="174"/>
    <x v="174"/>
    <x v="131"/>
    <x v="131"/>
    <x v="131"/>
    <x v="15"/>
    <x v="217"/>
    <x v="88"/>
    <x v="50"/>
    <x v="482"/>
    <x v="127"/>
    <x v="151"/>
    <x v="0"/>
  </r>
  <r>
    <x v="0"/>
    <x v="174"/>
    <x v="174"/>
    <x v="2"/>
    <x v="2"/>
    <x v="2"/>
    <x v="15"/>
    <x v="217"/>
    <x v="88"/>
    <x v="50"/>
    <x v="482"/>
    <x v="127"/>
    <x v="151"/>
    <x v="0"/>
  </r>
  <r>
    <x v="0"/>
    <x v="174"/>
    <x v="174"/>
    <x v="9"/>
    <x v="9"/>
    <x v="9"/>
    <x v="15"/>
    <x v="217"/>
    <x v="88"/>
    <x v="65"/>
    <x v="65"/>
    <x v="123"/>
    <x v="279"/>
    <x v="0"/>
  </r>
  <r>
    <x v="0"/>
    <x v="174"/>
    <x v="174"/>
    <x v="34"/>
    <x v="34"/>
    <x v="34"/>
    <x v="15"/>
    <x v="217"/>
    <x v="88"/>
    <x v="50"/>
    <x v="482"/>
    <x v="127"/>
    <x v="151"/>
    <x v="0"/>
  </r>
  <r>
    <x v="0"/>
    <x v="174"/>
    <x v="174"/>
    <x v="64"/>
    <x v="64"/>
    <x v="64"/>
    <x v="15"/>
    <x v="217"/>
    <x v="88"/>
    <x v="50"/>
    <x v="482"/>
    <x v="127"/>
    <x v="151"/>
    <x v="0"/>
  </r>
  <r>
    <x v="0"/>
    <x v="174"/>
    <x v="174"/>
    <x v="82"/>
    <x v="82"/>
    <x v="82"/>
    <x v="15"/>
    <x v="217"/>
    <x v="88"/>
    <x v="65"/>
    <x v="65"/>
    <x v="127"/>
    <x v="151"/>
    <x v="0"/>
  </r>
  <r>
    <x v="0"/>
    <x v="174"/>
    <x v="174"/>
    <x v="52"/>
    <x v="52"/>
    <x v="52"/>
    <x v="15"/>
    <x v="217"/>
    <x v="88"/>
    <x v="65"/>
    <x v="65"/>
    <x v="127"/>
    <x v="151"/>
    <x v="0"/>
  </r>
  <r>
    <x v="0"/>
    <x v="174"/>
    <x v="174"/>
    <x v="8"/>
    <x v="8"/>
    <x v="8"/>
    <x v="15"/>
    <x v="217"/>
    <x v="88"/>
    <x v="50"/>
    <x v="482"/>
    <x v="127"/>
    <x v="151"/>
    <x v="0"/>
  </r>
  <r>
    <x v="0"/>
    <x v="174"/>
    <x v="174"/>
    <x v="23"/>
    <x v="23"/>
    <x v="23"/>
    <x v="15"/>
    <x v="217"/>
    <x v="88"/>
    <x v="50"/>
    <x v="482"/>
    <x v="127"/>
    <x v="151"/>
    <x v="0"/>
  </r>
  <r>
    <x v="0"/>
    <x v="174"/>
    <x v="174"/>
    <x v="109"/>
    <x v="109"/>
    <x v="109"/>
    <x v="15"/>
    <x v="217"/>
    <x v="88"/>
    <x v="65"/>
    <x v="65"/>
    <x v="123"/>
    <x v="279"/>
    <x v="0"/>
  </r>
  <r>
    <x v="0"/>
    <x v="175"/>
    <x v="175"/>
    <x v="1"/>
    <x v="1"/>
    <x v="1"/>
    <x v="0"/>
    <x v="205"/>
    <x v="533"/>
    <x v="55"/>
    <x v="571"/>
    <x v="127"/>
    <x v="151"/>
    <x v="0"/>
  </r>
  <r>
    <x v="0"/>
    <x v="175"/>
    <x v="175"/>
    <x v="3"/>
    <x v="3"/>
    <x v="3"/>
    <x v="1"/>
    <x v="208"/>
    <x v="470"/>
    <x v="77"/>
    <x v="313"/>
    <x v="127"/>
    <x v="151"/>
    <x v="0"/>
  </r>
  <r>
    <x v="0"/>
    <x v="175"/>
    <x v="175"/>
    <x v="42"/>
    <x v="42"/>
    <x v="42"/>
    <x v="2"/>
    <x v="195"/>
    <x v="238"/>
    <x v="50"/>
    <x v="732"/>
    <x v="109"/>
    <x v="315"/>
    <x v="0"/>
  </r>
  <r>
    <x v="0"/>
    <x v="175"/>
    <x v="175"/>
    <x v="10"/>
    <x v="10"/>
    <x v="10"/>
    <x v="3"/>
    <x v="196"/>
    <x v="148"/>
    <x v="50"/>
    <x v="732"/>
    <x v="67"/>
    <x v="346"/>
    <x v="0"/>
  </r>
  <r>
    <x v="0"/>
    <x v="175"/>
    <x v="175"/>
    <x v="0"/>
    <x v="0"/>
    <x v="0"/>
    <x v="3"/>
    <x v="196"/>
    <x v="148"/>
    <x v="51"/>
    <x v="572"/>
    <x v="93"/>
    <x v="150"/>
    <x v="0"/>
  </r>
  <r>
    <x v="0"/>
    <x v="175"/>
    <x v="175"/>
    <x v="4"/>
    <x v="4"/>
    <x v="4"/>
    <x v="5"/>
    <x v="197"/>
    <x v="22"/>
    <x v="39"/>
    <x v="733"/>
    <x v="127"/>
    <x v="151"/>
    <x v="0"/>
  </r>
  <r>
    <x v="0"/>
    <x v="175"/>
    <x v="175"/>
    <x v="8"/>
    <x v="8"/>
    <x v="8"/>
    <x v="5"/>
    <x v="197"/>
    <x v="22"/>
    <x v="51"/>
    <x v="572"/>
    <x v="127"/>
    <x v="151"/>
    <x v="0"/>
  </r>
  <r>
    <x v="0"/>
    <x v="175"/>
    <x v="175"/>
    <x v="62"/>
    <x v="62"/>
    <x v="62"/>
    <x v="7"/>
    <x v="198"/>
    <x v="301"/>
    <x v="56"/>
    <x v="734"/>
    <x v="108"/>
    <x v="356"/>
    <x v="0"/>
  </r>
  <r>
    <x v="0"/>
    <x v="175"/>
    <x v="175"/>
    <x v="12"/>
    <x v="12"/>
    <x v="12"/>
    <x v="7"/>
    <x v="198"/>
    <x v="301"/>
    <x v="56"/>
    <x v="734"/>
    <x v="123"/>
    <x v="19"/>
    <x v="1"/>
  </r>
  <r>
    <x v="0"/>
    <x v="175"/>
    <x v="175"/>
    <x v="6"/>
    <x v="6"/>
    <x v="6"/>
    <x v="7"/>
    <x v="198"/>
    <x v="301"/>
    <x v="51"/>
    <x v="572"/>
    <x v="127"/>
    <x v="151"/>
    <x v="0"/>
  </r>
  <r>
    <x v="0"/>
    <x v="175"/>
    <x v="175"/>
    <x v="28"/>
    <x v="28"/>
    <x v="28"/>
    <x v="10"/>
    <x v="199"/>
    <x v="106"/>
    <x v="56"/>
    <x v="734"/>
    <x v="93"/>
    <x v="150"/>
    <x v="0"/>
  </r>
  <r>
    <x v="0"/>
    <x v="175"/>
    <x v="175"/>
    <x v="41"/>
    <x v="41"/>
    <x v="41"/>
    <x v="10"/>
    <x v="199"/>
    <x v="106"/>
    <x v="70"/>
    <x v="723"/>
    <x v="123"/>
    <x v="19"/>
    <x v="0"/>
  </r>
  <r>
    <x v="0"/>
    <x v="175"/>
    <x v="175"/>
    <x v="47"/>
    <x v="47"/>
    <x v="47"/>
    <x v="10"/>
    <x v="199"/>
    <x v="106"/>
    <x v="56"/>
    <x v="734"/>
    <x v="93"/>
    <x v="150"/>
    <x v="0"/>
  </r>
  <r>
    <x v="0"/>
    <x v="175"/>
    <x v="175"/>
    <x v="7"/>
    <x v="7"/>
    <x v="7"/>
    <x v="10"/>
    <x v="199"/>
    <x v="106"/>
    <x v="56"/>
    <x v="734"/>
    <x v="93"/>
    <x v="150"/>
    <x v="0"/>
  </r>
  <r>
    <x v="0"/>
    <x v="175"/>
    <x v="175"/>
    <x v="45"/>
    <x v="45"/>
    <x v="45"/>
    <x v="10"/>
    <x v="199"/>
    <x v="106"/>
    <x v="62"/>
    <x v="48"/>
    <x v="127"/>
    <x v="151"/>
    <x v="0"/>
  </r>
  <r>
    <x v="0"/>
    <x v="175"/>
    <x v="175"/>
    <x v="9"/>
    <x v="9"/>
    <x v="9"/>
    <x v="10"/>
    <x v="199"/>
    <x v="106"/>
    <x v="70"/>
    <x v="723"/>
    <x v="123"/>
    <x v="19"/>
    <x v="0"/>
  </r>
  <r>
    <x v="0"/>
    <x v="175"/>
    <x v="175"/>
    <x v="52"/>
    <x v="52"/>
    <x v="52"/>
    <x v="10"/>
    <x v="199"/>
    <x v="106"/>
    <x v="65"/>
    <x v="65"/>
    <x v="127"/>
    <x v="151"/>
    <x v="0"/>
  </r>
  <r>
    <x v="0"/>
    <x v="175"/>
    <x v="175"/>
    <x v="32"/>
    <x v="32"/>
    <x v="32"/>
    <x v="16"/>
    <x v="200"/>
    <x v="171"/>
    <x v="50"/>
    <x v="732"/>
    <x v="93"/>
    <x v="150"/>
    <x v="0"/>
  </r>
  <r>
    <x v="0"/>
    <x v="175"/>
    <x v="175"/>
    <x v="46"/>
    <x v="46"/>
    <x v="46"/>
    <x v="16"/>
    <x v="200"/>
    <x v="171"/>
    <x v="70"/>
    <x v="723"/>
    <x v="127"/>
    <x v="151"/>
    <x v="0"/>
  </r>
  <r>
    <x v="0"/>
    <x v="175"/>
    <x v="175"/>
    <x v="21"/>
    <x v="21"/>
    <x v="21"/>
    <x v="16"/>
    <x v="200"/>
    <x v="171"/>
    <x v="65"/>
    <x v="65"/>
    <x v="108"/>
    <x v="356"/>
    <x v="0"/>
  </r>
  <r>
    <x v="0"/>
    <x v="175"/>
    <x v="175"/>
    <x v="49"/>
    <x v="49"/>
    <x v="49"/>
    <x v="16"/>
    <x v="200"/>
    <x v="171"/>
    <x v="50"/>
    <x v="732"/>
    <x v="93"/>
    <x v="150"/>
    <x v="0"/>
  </r>
  <r>
    <x v="0"/>
    <x v="176"/>
    <x v="176"/>
    <x v="2"/>
    <x v="2"/>
    <x v="2"/>
    <x v="0"/>
    <x v="193"/>
    <x v="302"/>
    <x v="38"/>
    <x v="463"/>
    <x v="127"/>
    <x v="151"/>
    <x v="0"/>
  </r>
  <r>
    <x v="0"/>
    <x v="176"/>
    <x v="176"/>
    <x v="0"/>
    <x v="0"/>
    <x v="0"/>
    <x v="1"/>
    <x v="194"/>
    <x v="326"/>
    <x v="89"/>
    <x v="735"/>
    <x v="123"/>
    <x v="19"/>
    <x v="0"/>
  </r>
  <r>
    <x v="0"/>
    <x v="176"/>
    <x v="176"/>
    <x v="1"/>
    <x v="1"/>
    <x v="1"/>
    <x v="1"/>
    <x v="194"/>
    <x v="326"/>
    <x v="61"/>
    <x v="375"/>
    <x v="127"/>
    <x v="151"/>
    <x v="0"/>
  </r>
  <r>
    <x v="0"/>
    <x v="176"/>
    <x v="176"/>
    <x v="5"/>
    <x v="5"/>
    <x v="5"/>
    <x v="3"/>
    <x v="196"/>
    <x v="534"/>
    <x v="95"/>
    <x v="736"/>
    <x v="127"/>
    <x v="151"/>
    <x v="0"/>
  </r>
  <r>
    <x v="0"/>
    <x v="176"/>
    <x v="176"/>
    <x v="6"/>
    <x v="6"/>
    <x v="6"/>
    <x v="3"/>
    <x v="196"/>
    <x v="534"/>
    <x v="95"/>
    <x v="736"/>
    <x v="127"/>
    <x v="151"/>
    <x v="0"/>
  </r>
  <r>
    <x v="0"/>
    <x v="176"/>
    <x v="176"/>
    <x v="51"/>
    <x v="51"/>
    <x v="51"/>
    <x v="5"/>
    <x v="197"/>
    <x v="327"/>
    <x v="70"/>
    <x v="52"/>
    <x v="108"/>
    <x v="356"/>
    <x v="0"/>
  </r>
  <r>
    <x v="0"/>
    <x v="176"/>
    <x v="176"/>
    <x v="3"/>
    <x v="3"/>
    <x v="3"/>
    <x v="5"/>
    <x v="197"/>
    <x v="327"/>
    <x v="39"/>
    <x v="379"/>
    <x v="127"/>
    <x v="151"/>
    <x v="0"/>
  </r>
  <r>
    <x v="0"/>
    <x v="176"/>
    <x v="176"/>
    <x v="10"/>
    <x v="10"/>
    <x v="10"/>
    <x v="7"/>
    <x v="198"/>
    <x v="130"/>
    <x v="50"/>
    <x v="81"/>
    <x v="110"/>
    <x v="37"/>
    <x v="0"/>
  </r>
  <r>
    <x v="0"/>
    <x v="176"/>
    <x v="176"/>
    <x v="47"/>
    <x v="47"/>
    <x v="47"/>
    <x v="7"/>
    <x v="198"/>
    <x v="130"/>
    <x v="50"/>
    <x v="81"/>
    <x v="110"/>
    <x v="37"/>
    <x v="0"/>
  </r>
  <r>
    <x v="0"/>
    <x v="176"/>
    <x v="176"/>
    <x v="11"/>
    <x v="11"/>
    <x v="11"/>
    <x v="9"/>
    <x v="199"/>
    <x v="324"/>
    <x v="56"/>
    <x v="380"/>
    <x v="93"/>
    <x v="150"/>
    <x v="0"/>
  </r>
  <r>
    <x v="0"/>
    <x v="176"/>
    <x v="176"/>
    <x v="4"/>
    <x v="4"/>
    <x v="4"/>
    <x v="9"/>
    <x v="199"/>
    <x v="324"/>
    <x v="62"/>
    <x v="540"/>
    <x v="127"/>
    <x v="151"/>
    <x v="0"/>
  </r>
  <r>
    <x v="0"/>
    <x v="176"/>
    <x v="176"/>
    <x v="46"/>
    <x v="46"/>
    <x v="46"/>
    <x v="11"/>
    <x v="200"/>
    <x v="49"/>
    <x v="70"/>
    <x v="52"/>
    <x v="127"/>
    <x v="151"/>
    <x v="0"/>
  </r>
  <r>
    <x v="0"/>
    <x v="176"/>
    <x v="176"/>
    <x v="14"/>
    <x v="14"/>
    <x v="14"/>
    <x v="11"/>
    <x v="200"/>
    <x v="49"/>
    <x v="65"/>
    <x v="65"/>
    <x v="108"/>
    <x v="356"/>
    <x v="0"/>
  </r>
  <r>
    <x v="0"/>
    <x v="176"/>
    <x v="176"/>
    <x v="28"/>
    <x v="28"/>
    <x v="28"/>
    <x v="11"/>
    <x v="200"/>
    <x v="49"/>
    <x v="50"/>
    <x v="81"/>
    <x v="93"/>
    <x v="150"/>
    <x v="0"/>
  </r>
  <r>
    <x v="0"/>
    <x v="176"/>
    <x v="176"/>
    <x v="18"/>
    <x v="18"/>
    <x v="18"/>
    <x v="11"/>
    <x v="200"/>
    <x v="49"/>
    <x v="56"/>
    <x v="380"/>
    <x v="123"/>
    <x v="19"/>
    <x v="0"/>
  </r>
  <r>
    <x v="0"/>
    <x v="176"/>
    <x v="176"/>
    <x v="42"/>
    <x v="42"/>
    <x v="42"/>
    <x v="11"/>
    <x v="200"/>
    <x v="49"/>
    <x v="65"/>
    <x v="65"/>
    <x v="108"/>
    <x v="356"/>
    <x v="0"/>
  </r>
  <r>
    <x v="0"/>
    <x v="176"/>
    <x v="176"/>
    <x v="49"/>
    <x v="49"/>
    <x v="49"/>
    <x v="11"/>
    <x v="200"/>
    <x v="49"/>
    <x v="50"/>
    <x v="81"/>
    <x v="93"/>
    <x v="150"/>
    <x v="0"/>
  </r>
  <r>
    <x v="0"/>
    <x v="176"/>
    <x v="176"/>
    <x v="7"/>
    <x v="7"/>
    <x v="7"/>
    <x v="11"/>
    <x v="200"/>
    <x v="49"/>
    <x v="50"/>
    <x v="81"/>
    <x v="93"/>
    <x v="150"/>
    <x v="0"/>
  </r>
  <r>
    <x v="0"/>
    <x v="176"/>
    <x v="176"/>
    <x v="24"/>
    <x v="24"/>
    <x v="24"/>
    <x v="11"/>
    <x v="200"/>
    <x v="49"/>
    <x v="65"/>
    <x v="65"/>
    <x v="108"/>
    <x v="356"/>
    <x v="0"/>
  </r>
  <r>
    <x v="0"/>
    <x v="176"/>
    <x v="176"/>
    <x v="16"/>
    <x v="16"/>
    <x v="16"/>
    <x v="11"/>
    <x v="200"/>
    <x v="49"/>
    <x v="50"/>
    <x v="81"/>
    <x v="93"/>
    <x v="150"/>
    <x v="0"/>
  </r>
  <r>
    <x v="0"/>
    <x v="176"/>
    <x v="176"/>
    <x v="9"/>
    <x v="9"/>
    <x v="9"/>
    <x v="11"/>
    <x v="200"/>
    <x v="49"/>
    <x v="50"/>
    <x v="81"/>
    <x v="93"/>
    <x v="150"/>
    <x v="0"/>
  </r>
  <r>
    <x v="0"/>
    <x v="176"/>
    <x v="176"/>
    <x v="8"/>
    <x v="8"/>
    <x v="8"/>
    <x v="11"/>
    <x v="200"/>
    <x v="49"/>
    <x v="70"/>
    <x v="52"/>
    <x v="127"/>
    <x v="151"/>
    <x v="0"/>
  </r>
  <r>
    <x v="0"/>
    <x v="176"/>
    <x v="176"/>
    <x v="19"/>
    <x v="19"/>
    <x v="19"/>
    <x v="11"/>
    <x v="200"/>
    <x v="49"/>
    <x v="50"/>
    <x v="81"/>
    <x v="93"/>
    <x v="150"/>
    <x v="0"/>
  </r>
  <r>
    <x v="0"/>
    <x v="177"/>
    <x v="177"/>
    <x v="0"/>
    <x v="0"/>
    <x v="0"/>
    <x v="0"/>
    <x v="200"/>
    <x v="372"/>
    <x v="50"/>
    <x v="266"/>
    <x v="93"/>
    <x v="272"/>
    <x v="0"/>
  </r>
  <r>
    <x v="0"/>
    <x v="177"/>
    <x v="177"/>
    <x v="5"/>
    <x v="5"/>
    <x v="5"/>
    <x v="0"/>
    <x v="200"/>
    <x v="372"/>
    <x v="70"/>
    <x v="681"/>
    <x v="127"/>
    <x v="151"/>
    <x v="0"/>
  </r>
  <r>
    <x v="0"/>
    <x v="177"/>
    <x v="177"/>
    <x v="37"/>
    <x v="37"/>
    <x v="37"/>
    <x v="0"/>
    <x v="200"/>
    <x v="372"/>
    <x v="65"/>
    <x v="65"/>
    <x v="108"/>
    <x v="390"/>
    <x v="0"/>
  </r>
  <r>
    <x v="0"/>
    <x v="177"/>
    <x v="177"/>
    <x v="3"/>
    <x v="3"/>
    <x v="3"/>
    <x v="0"/>
    <x v="200"/>
    <x v="372"/>
    <x v="70"/>
    <x v="681"/>
    <x v="127"/>
    <x v="151"/>
    <x v="0"/>
  </r>
  <r>
    <x v="0"/>
    <x v="177"/>
    <x v="177"/>
    <x v="40"/>
    <x v="40"/>
    <x v="40"/>
    <x v="4"/>
    <x v="216"/>
    <x v="327"/>
    <x v="50"/>
    <x v="266"/>
    <x v="123"/>
    <x v="134"/>
    <x v="0"/>
  </r>
  <r>
    <x v="0"/>
    <x v="177"/>
    <x v="177"/>
    <x v="68"/>
    <x v="68"/>
    <x v="68"/>
    <x v="4"/>
    <x v="216"/>
    <x v="327"/>
    <x v="65"/>
    <x v="65"/>
    <x v="93"/>
    <x v="272"/>
    <x v="0"/>
  </r>
  <r>
    <x v="0"/>
    <x v="177"/>
    <x v="177"/>
    <x v="49"/>
    <x v="49"/>
    <x v="49"/>
    <x v="4"/>
    <x v="216"/>
    <x v="327"/>
    <x v="65"/>
    <x v="65"/>
    <x v="93"/>
    <x v="272"/>
    <x v="0"/>
  </r>
  <r>
    <x v="0"/>
    <x v="177"/>
    <x v="177"/>
    <x v="2"/>
    <x v="2"/>
    <x v="2"/>
    <x v="4"/>
    <x v="216"/>
    <x v="327"/>
    <x v="56"/>
    <x v="600"/>
    <x v="127"/>
    <x v="151"/>
    <x v="0"/>
  </r>
  <r>
    <x v="0"/>
    <x v="177"/>
    <x v="177"/>
    <x v="8"/>
    <x v="8"/>
    <x v="8"/>
    <x v="4"/>
    <x v="216"/>
    <x v="327"/>
    <x v="56"/>
    <x v="600"/>
    <x v="127"/>
    <x v="151"/>
    <x v="0"/>
  </r>
  <r>
    <x v="0"/>
    <x v="177"/>
    <x v="177"/>
    <x v="83"/>
    <x v="83"/>
    <x v="83"/>
    <x v="4"/>
    <x v="216"/>
    <x v="327"/>
    <x v="56"/>
    <x v="600"/>
    <x v="127"/>
    <x v="151"/>
    <x v="0"/>
  </r>
  <r>
    <x v="0"/>
    <x v="177"/>
    <x v="177"/>
    <x v="10"/>
    <x v="10"/>
    <x v="10"/>
    <x v="10"/>
    <x v="217"/>
    <x v="49"/>
    <x v="65"/>
    <x v="65"/>
    <x v="123"/>
    <x v="134"/>
    <x v="0"/>
  </r>
  <r>
    <x v="0"/>
    <x v="177"/>
    <x v="177"/>
    <x v="110"/>
    <x v="110"/>
    <x v="110"/>
    <x v="10"/>
    <x v="217"/>
    <x v="49"/>
    <x v="65"/>
    <x v="65"/>
    <x v="123"/>
    <x v="134"/>
    <x v="0"/>
  </r>
  <r>
    <x v="0"/>
    <x v="177"/>
    <x v="177"/>
    <x v="17"/>
    <x v="17"/>
    <x v="17"/>
    <x v="10"/>
    <x v="217"/>
    <x v="49"/>
    <x v="65"/>
    <x v="65"/>
    <x v="123"/>
    <x v="134"/>
    <x v="0"/>
  </r>
  <r>
    <x v="0"/>
    <x v="177"/>
    <x v="177"/>
    <x v="87"/>
    <x v="87"/>
    <x v="87"/>
    <x v="10"/>
    <x v="217"/>
    <x v="49"/>
    <x v="65"/>
    <x v="65"/>
    <x v="123"/>
    <x v="134"/>
    <x v="0"/>
  </r>
  <r>
    <x v="0"/>
    <x v="177"/>
    <x v="177"/>
    <x v="13"/>
    <x v="13"/>
    <x v="13"/>
    <x v="10"/>
    <x v="217"/>
    <x v="49"/>
    <x v="65"/>
    <x v="65"/>
    <x v="123"/>
    <x v="134"/>
    <x v="0"/>
  </r>
  <r>
    <x v="0"/>
    <x v="177"/>
    <x v="177"/>
    <x v="127"/>
    <x v="127"/>
    <x v="127"/>
    <x v="10"/>
    <x v="217"/>
    <x v="49"/>
    <x v="65"/>
    <x v="65"/>
    <x v="127"/>
    <x v="151"/>
    <x v="6"/>
  </r>
  <r>
    <x v="0"/>
    <x v="177"/>
    <x v="177"/>
    <x v="106"/>
    <x v="106"/>
    <x v="106"/>
    <x v="10"/>
    <x v="217"/>
    <x v="49"/>
    <x v="65"/>
    <x v="65"/>
    <x v="123"/>
    <x v="134"/>
    <x v="0"/>
  </r>
  <r>
    <x v="0"/>
    <x v="177"/>
    <x v="177"/>
    <x v="223"/>
    <x v="220"/>
    <x v="223"/>
    <x v="10"/>
    <x v="217"/>
    <x v="49"/>
    <x v="50"/>
    <x v="266"/>
    <x v="127"/>
    <x v="151"/>
    <x v="0"/>
  </r>
  <r>
    <x v="0"/>
    <x v="177"/>
    <x v="177"/>
    <x v="234"/>
    <x v="229"/>
    <x v="234"/>
    <x v="10"/>
    <x v="217"/>
    <x v="49"/>
    <x v="65"/>
    <x v="65"/>
    <x v="123"/>
    <x v="134"/>
    <x v="0"/>
  </r>
  <r>
    <x v="0"/>
    <x v="177"/>
    <x v="177"/>
    <x v="163"/>
    <x v="161"/>
    <x v="163"/>
    <x v="10"/>
    <x v="217"/>
    <x v="49"/>
    <x v="65"/>
    <x v="65"/>
    <x v="123"/>
    <x v="134"/>
    <x v="0"/>
  </r>
  <r>
    <x v="0"/>
    <x v="177"/>
    <x v="177"/>
    <x v="99"/>
    <x v="99"/>
    <x v="99"/>
    <x v="10"/>
    <x v="217"/>
    <x v="49"/>
    <x v="65"/>
    <x v="65"/>
    <x v="123"/>
    <x v="134"/>
    <x v="0"/>
  </r>
  <r>
    <x v="0"/>
    <x v="177"/>
    <x v="177"/>
    <x v="75"/>
    <x v="75"/>
    <x v="75"/>
    <x v="10"/>
    <x v="217"/>
    <x v="49"/>
    <x v="65"/>
    <x v="65"/>
    <x v="127"/>
    <x v="151"/>
    <x v="0"/>
  </r>
  <r>
    <x v="0"/>
    <x v="177"/>
    <x v="177"/>
    <x v="120"/>
    <x v="120"/>
    <x v="120"/>
    <x v="10"/>
    <x v="217"/>
    <x v="49"/>
    <x v="50"/>
    <x v="266"/>
    <x v="127"/>
    <x v="151"/>
    <x v="0"/>
  </r>
  <r>
    <x v="0"/>
    <x v="177"/>
    <x v="177"/>
    <x v="36"/>
    <x v="36"/>
    <x v="36"/>
    <x v="10"/>
    <x v="217"/>
    <x v="49"/>
    <x v="50"/>
    <x v="266"/>
    <x v="127"/>
    <x v="151"/>
    <x v="0"/>
  </r>
  <r>
    <x v="0"/>
    <x v="177"/>
    <x v="177"/>
    <x v="33"/>
    <x v="33"/>
    <x v="33"/>
    <x v="10"/>
    <x v="217"/>
    <x v="49"/>
    <x v="65"/>
    <x v="65"/>
    <x v="123"/>
    <x v="134"/>
    <x v="0"/>
  </r>
  <r>
    <x v="0"/>
    <x v="177"/>
    <x v="177"/>
    <x v="134"/>
    <x v="134"/>
    <x v="134"/>
    <x v="10"/>
    <x v="217"/>
    <x v="49"/>
    <x v="65"/>
    <x v="65"/>
    <x v="123"/>
    <x v="134"/>
    <x v="0"/>
  </r>
  <r>
    <x v="0"/>
    <x v="177"/>
    <x v="177"/>
    <x v="28"/>
    <x v="28"/>
    <x v="28"/>
    <x v="10"/>
    <x v="217"/>
    <x v="49"/>
    <x v="65"/>
    <x v="65"/>
    <x v="123"/>
    <x v="134"/>
    <x v="0"/>
  </r>
  <r>
    <x v="0"/>
    <x v="177"/>
    <x v="177"/>
    <x v="41"/>
    <x v="41"/>
    <x v="41"/>
    <x v="10"/>
    <x v="217"/>
    <x v="49"/>
    <x v="50"/>
    <x v="266"/>
    <x v="127"/>
    <x v="151"/>
    <x v="0"/>
  </r>
  <r>
    <x v="0"/>
    <x v="177"/>
    <x v="177"/>
    <x v="12"/>
    <x v="12"/>
    <x v="12"/>
    <x v="10"/>
    <x v="217"/>
    <x v="49"/>
    <x v="50"/>
    <x v="266"/>
    <x v="127"/>
    <x v="151"/>
    <x v="0"/>
  </r>
  <r>
    <x v="0"/>
    <x v="177"/>
    <x v="177"/>
    <x v="18"/>
    <x v="18"/>
    <x v="18"/>
    <x v="10"/>
    <x v="217"/>
    <x v="49"/>
    <x v="65"/>
    <x v="65"/>
    <x v="123"/>
    <x v="134"/>
    <x v="0"/>
  </r>
  <r>
    <x v="0"/>
    <x v="177"/>
    <x v="177"/>
    <x v="84"/>
    <x v="84"/>
    <x v="84"/>
    <x v="10"/>
    <x v="217"/>
    <x v="49"/>
    <x v="50"/>
    <x v="266"/>
    <x v="127"/>
    <x v="151"/>
    <x v="0"/>
  </r>
  <r>
    <x v="0"/>
    <x v="177"/>
    <x v="177"/>
    <x v="7"/>
    <x v="7"/>
    <x v="7"/>
    <x v="10"/>
    <x v="217"/>
    <x v="49"/>
    <x v="50"/>
    <x v="266"/>
    <x v="127"/>
    <x v="151"/>
    <x v="0"/>
  </r>
  <r>
    <x v="0"/>
    <x v="177"/>
    <x v="177"/>
    <x v="138"/>
    <x v="138"/>
    <x v="138"/>
    <x v="10"/>
    <x v="217"/>
    <x v="49"/>
    <x v="65"/>
    <x v="65"/>
    <x v="123"/>
    <x v="134"/>
    <x v="0"/>
  </r>
  <r>
    <x v="0"/>
    <x v="177"/>
    <x v="177"/>
    <x v="20"/>
    <x v="20"/>
    <x v="20"/>
    <x v="10"/>
    <x v="217"/>
    <x v="49"/>
    <x v="65"/>
    <x v="65"/>
    <x v="123"/>
    <x v="134"/>
    <x v="0"/>
  </r>
  <r>
    <x v="0"/>
    <x v="177"/>
    <x v="177"/>
    <x v="125"/>
    <x v="125"/>
    <x v="125"/>
    <x v="10"/>
    <x v="217"/>
    <x v="49"/>
    <x v="65"/>
    <x v="65"/>
    <x v="123"/>
    <x v="134"/>
    <x v="0"/>
  </r>
  <r>
    <x v="0"/>
    <x v="177"/>
    <x v="177"/>
    <x v="95"/>
    <x v="95"/>
    <x v="95"/>
    <x v="10"/>
    <x v="217"/>
    <x v="49"/>
    <x v="50"/>
    <x v="266"/>
    <x v="127"/>
    <x v="151"/>
    <x v="0"/>
  </r>
  <r>
    <x v="0"/>
    <x v="177"/>
    <x v="177"/>
    <x v="194"/>
    <x v="191"/>
    <x v="194"/>
    <x v="10"/>
    <x v="217"/>
    <x v="49"/>
    <x v="50"/>
    <x v="266"/>
    <x v="127"/>
    <x v="151"/>
    <x v="0"/>
  </r>
  <r>
    <x v="0"/>
    <x v="177"/>
    <x v="177"/>
    <x v="16"/>
    <x v="16"/>
    <x v="16"/>
    <x v="10"/>
    <x v="217"/>
    <x v="49"/>
    <x v="65"/>
    <x v="65"/>
    <x v="123"/>
    <x v="134"/>
    <x v="0"/>
  </r>
  <r>
    <x v="0"/>
    <x v="177"/>
    <x v="177"/>
    <x v="133"/>
    <x v="133"/>
    <x v="133"/>
    <x v="10"/>
    <x v="217"/>
    <x v="49"/>
    <x v="50"/>
    <x v="266"/>
    <x v="127"/>
    <x v="151"/>
    <x v="0"/>
  </r>
  <r>
    <x v="0"/>
    <x v="177"/>
    <x v="177"/>
    <x v="45"/>
    <x v="45"/>
    <x v="45"/>
    <x v="10"/>
    <x v="217"/>
    <x v="49"/>
    <x v="50"/>
    <x v="266"/>
    <x v="127"/>
    <x v="151"/>
    <x v="0"/>
  </r>
  <r>
    <x v="0"/>
    <x v="177"/>
    <x v="177"/>
    <x v="4"/>
    <x v="4"/>
    <x v="4"/>
    <x v="10"/>
    <x v="217"/>
    <x v="49"/>
    <x v="50"/>
    <x v="266"/>
    <x v="127"/>
    <x v="151"/>
    <x v="0"/>
  </r>
  <r>
    <x v="0"/>
    <x v="177"/>
    <x v="177"/>
    <x v="131"/>
    <x v="131"/>
    <x v="131"/>
    <x v="10"/>
    <x v="217"/>
    <x v="49"/>
    <x v="50"/>
    <x v="266"/>
    <x v="127"/>
    <x v="151"/>
    <x v="0"/>
  </r>
  <r>
    <x v="0"/>
    <x v="177"/>
    <x v="177"/>
    <x v="61"/>
    <x v="61"/>
    <x v="61"/>
    <x v="10"/>
    <x v="217"/>
    <x v="49"/>
    <x v="50"/>
    <x v="266"/>
    <x v="127"/>
    <x v="151"/>
    <x v="0"/>
  </r>
  <r>
    <x v="0"/>
    <x v="177"/>
    <x v="177"/>
    <x v="135"/>
    <x v="135"/>
    <x v="135"/>
    <x v="10"/>
    <x v="217"/>
    <x v="49"/>
    <x v="50"/>
    <x v="266"/>
    <x v="127"/>
    <x v="151"/>
    <x v="0"/>
  </r>
  <r>
    <x v="0"/>
    <x v="177"/>
    <x v="177"/>
    <x v="34"/>
    <x v="34"/>
    <x v="34"/>
    <x v="10"/>
    <x v="217"/>
    <x v="49"/>
    <x v="65"/>
    <x v="65"/>
    <x v="123"/>
    <x v="134"/>
    <x v="0"/>
  </r>
  <r>
    <x v="0"/>
    <x v="177"/>
    <x v="177"/>
    <x v="1"/>
    <x v="1"/>
    <x v="1"/>
    <x v="10"/>
    <x v="217"/>
    <x v="49"/>
    <x v="50"/>
    <x v="266"/>
    <x v="127"/>
    <x v="151"/>
    <x v="0"/>
  </r>
  <r>
    <x v="0"/>
    <x v="177"/>
    <x v="177"/>
    <x v="103"/>
    <x v="103"/>
    <x v="103"/>
    <x v="10"/>
    <x v="217"/>
    <x v="49"/>
    <x v="65"/>
    <x v="65"/>
    <x v="123"/>
    <x v="134"/>
    <x v="0"/>
  </r>
  <r>
    <x v="0"/>
    <x v="177"/>
    <x v="177"/>
    <x v="23"/>
    <x v="23"/>
    <x v="23"/>
    <x v="10"/>
    <x v="217"/>
    <x v="49"/>
    <x v="50"/>
    <x v="266"/>
    <x v="127"/>
    <x v="151"/>
    <x v="0"/>
  </r>
  <r>
    <x v="0"/>
    <x v="177"/>
    <x v="177"/>
    <x v="6"/>
    <x v="6"/>
    <x v="6"/>
    <x v="10"/>
    <x v="217"/>
    <x v="49"/>
    <x v="50"/>
    <x v="266"/>
    <x v="127"/>
    <x v="151"/>
    <x v="0"/>
  </r>
  <r>
    <x v="0"/>
    <x v="177"/>
    <x v="177"/>
    <x v="53"/>
    <x v="53"/>
    <x v="53"/>
    <x v="10"/>
    <x v="217"/>
    <x v="49"/>
    <x v="65"/>
    <x v="65"/>
    <x v="127"/>
    <x v="151"/>
    <x v="0"/>
  </r>
  <r>
    <x v="0"/>
    <x v="177"/>
    <x v="177"/>
    <x v="43"/>
    <x v="43"/>
    <x v="43"/>
    <x v="10"/>
    <x v="217"/>
    <x v="49"/>
    <x v="65"/>
    <x v="65"/>
    <x v="127"/>
    <x v="151"/>
    <x v="0"/>
  </r>
  <r>
    <x v="0"/>
    <x v="177"/>
    <x v="177"/>
    <x v="235"/>
    <x v="75"/>
    <x v="235"/>
    <x v="10"/>
    <x v="217"/>
    <x v="49"/>
    <x v="65"/>
    <x v="65"/>
    <x v="123"/>
    <x v="134"/>
    <x v="0"/>
  </r>
  <r>
    <x v="0"/>
    <x v="178"/>
    <x v="178"/>
    <x v="0"/>
    <x v="0"/>
    <x v="0"/>
    <x v="0"/>
    <x v="197"/>
    <x v="186"/>
    <x v="51"/>
    <x v="737"/>
    <x v="127"/>
    <x v="151"/>
    <x v="0"/>
  </r>
  <r>
    <x v="0"/>
    <x v="178"/>
    <x v="178"/>
    <x v="10"/>
    <x v="10"/>
    <x v="10"/>
    <x v="1"/>
    <x v="198"/>
    <x v="478"/>
    <x v="65"/>
    <x v="65"/>
    <x v="119"/>
    <x v="283"/>
    <x v="0"/>
  </r>
  <r>
    <x v="0"/>
    <x v="178"/>
    <x v="178"/>
    <x v="12"/>
    <x v="12"/>
    <x v="12"/>
    <x v="1"/>
    <x v="198"/>
    <x v="478"/>
    <x v="56"/>
    <x v="630"/>
    <x v="108"/>
    <x v="369"/>
    <x v="0"/>
  </r>
  <r>
    <x v="0"/>
    <x v="178"/>
    <x v="178"/>
    <x v="49"/>
    <x v="49"/>
    <x v="49"/>
    <x v="1"/>
    <x v="198"/>
    <x v="478"/>
    <x v="56"/>
    <x v="630"/>
    <x v="108"/>
    <x v="369"/>
    <x v="0"/>
  </r>
  <r>
    <x v="0"/>
    <x v="178"/>
    <x v="178"/>
    <x v="51"/>
    <x v="51"/>
    <x v="51"/>
    <x v="1"/>
    <x v="198"/>
    <x v="478"/>
    <x v="51"/>
    <x v="737"/>
    <x v="127"/>
    <x v="151"/>
    <x v="0"/>
  </r>
  <r>
    <x v="0"/>
    <x v="178"/>
    <x v="178"/>
    <x v="45"/>
    <x v="45"/>
    <x v="45"/>
    <x v="1"/>
    <x v="198"/>
    <x v="478"/>
    <x v="62"/>
    <x v="631"/>
    <x v="123"/>
    <x v="310"/>
    <x v="0"/>
  </r>
  <r>
    <x v="0"/>
    <x v="178"/>
    <x v="178"/>
    <x v="5"/>
    <x v="5"/>
    <x v="5"/>
    <x v="1"/>
    <x v="198"/>
    <x v="478"/>
    <x v="51"/>
    <x v="737"/>
    <x v="127"/>
    <x v="151"/>
    <x v="0"/>
  </r>
  <r>
    <x v="0"/>
    <x v="178"/>
    <x v="178"/>
    <x v="3"/>
    <x v="3"/>
    <x v="3"/>
    <x v="1"/>
    <x v="198"/>
    <x v="478"/>
    <x v="51"/>
    <x v="737"/>
    <x v="127"/>
    <x v="151"/>
    <x v="0"/>
  </r>
  <r>
    <x v="0"/>
    <x v="178"/>
    <x v="178"/>
    <x v="7"/>
    <x v="7"/>
    <x v="7"/>
    <x v="8"/>
    <x v="199"/>
    <x v="443"/>
    <x v="56"/>
    <x v="630"/>
    <x v="93"/>
    <x v="134"/>
    <x v="0"/>
  </r>
  <r>
    <x v="0"/>
    <x v="178"/>
    <x v="178"/>
    <x v="2"/>
    <x v="2"/>
    <x v="2"/>
    <x v="8"/>
    <x v="199"/>
    <x v="443"/>
    <x v="62"/>
    <x v="631"/>
    <x v="127"/>
    <x v="151"/>
    <x v="0"/>
  </r>
  <r>
    <x v="0"/>
    <x v="178"/>
    <x v="178"/>
    <x v="1"/>
    <x v="1"/>
    <x v="1"/>
    <x v="8"/>
    <x v="199"/>
    <x v="443"/>
    <x v="62"/>
    <x v="631"/>
    <x v="127"/>
    <x v="151"/>
    <x v="0"/>
  </r>
  <r>
    <x v="0"/>
    <x v="178"/>
    <x v="178"/>
    <x v="14"/>
    <x v="14"/>
    <x v="14"/>
    <x v="11"/>
    <x v="200"/>
    <x v="178"/>
    <x v="56"/>
    <x v="630"/>
    <x v="123"/>
    <x v="310"/>
    <x v="0"/>
  </r>
  <r>
    <x v="0"/>
    <x v="178"/>
    <x v="178"/>
    <x v="62"/>
    <x v="62"/>
    <x v="62"/>
    <x v="11"/>
    <x v="200"/>
    <x v="178"/>
    <x v="50"/>
    <x v="674"/>
    <x v="93"/>
    <x v="134"/>
    <x v="0"/>
  </r>
  <r>
    <x v="0"/>
    <x v="178"/>
    <x v="178"/>
    <x v="47"/>
    <x v="47"/>
    <x v="47"/>
    <x v="11"/>
    <x v="200"/>
    <x v="178"/>
    <x v="50"/>
    <x v="674"/>
    <x v="93"/>
    <x v="134"/>
    <x v="0"/>
  </r>
  <r>
    <x v="0"/>
    <x v="178"/>
    <x v="178"/>
    <x v="42"/>
    <x v="42"/>
    <x v="42"/>
    <x v="11"/>
    <x v="200"/>
    <x v="178"/>
    <x v="65"/>
    <x v="65"/>
    <x v="108"/>
    <x v="369"/>
    <x v="0"/>
  </r>
  <r>
    <x v="0"/>
    <x v="178"/>
    <x v="178"/>
    <x v="4"/>
    <x v="4"/>
    <x v="4"/>
    <x v="11"/>
    <x v="200"/>
    <x v="178"/>
    <x v="70"/>
    <x v="307"/>
    <x v="127"/>
    <x v="151"/>
    <x v="0"/>
  </r>
  <r>
    <x v="0"/>
    <x v="178"/>
    <x v="178"/>
    <x v="52"/>
    <x v="52"/>
    <x v="52"/>
    <x v="11"/>
    <x v="200"/>
    <x v="178"/>
    <x v="65"/>
    <x v="65"/>
    <x v="127"/>
    <x v="151"/>
    <x v="0"/>
  </r>
  <r>
    <x v="0"/>
    <x v="178"/>
    <x v="178"/>
    <x v="19"/>
    <x v="19"/>
    <x v="19"/>
    <x v="11"/>
    <x v="200"/>
    <x v="178"/>
    <x v="56"/>
    <x v="630"/>
    <x v="123"/>
    <x v="310"/>
    <x v="0"/>
  </r>
  <r>
    <x v="0"/>
    <x v="178"/>
    <x v="178"/>
    <x v="40"/>
    <x v="40"/>
    <x v="40"/>
    <x v="17"/>
    <x v="216"/>
    <x v="118"/>
    <x v="56"/>
    <x v="630"/>
    <x v="127"/>
    <x v="151"/>
    <x v="0"/>
  </r>
  <r>
    <x v="0"/>
    <x v="178"/>
    <x v="178"/>
    <x v="67"/>
    <x v="67"/>
    <x v="67"/>
    <x v="17"/>
    <x v="216"/>
    <x v="118"/>
    <x v="50"/>
    <x v="674"/>
    <x v="123"/>
    <x v="310"/>
    <x v="0"/>
  </r>
  <r>
    <x v="0"/>
    <x v="178"/>
    <x v="178"/>
    <x v="13"/>
    <x v="13"/>
    <x v="13"/>
    <x v="17"/>
    <x v="216"/>
    <x v="118"/>
    <x v="50"/>
    <x v="674"/>
    <x v="123"/>
    <x v="310"/>
    <x v="0"/>
  </r>
  <r>
    <x v="0"/>
    <x v="178"/>
    <x v="178"/>
    <x v="97"/>
    <x v="97"/>
    <x v="97"/>
    <x v="17"/>
    <x v="216"/>
    <x v="118"/>
    <x v="65"/>
    <x v="65"/>
    <x v="93"/>
    <x v="134"/>
    <x v="0"/>
  </r>
  <r>
    <x v="0"/>
    <x v="178"/>
    <x v="178"/>
    <x v="28"/>
    <x v="28"/>
    <x v="28"/>
    <x v="17"/>
    <x v="216"/>
    <x v="118"/>
    <x v="50"/>
    <x v="674"/>
    <x v="123"/>
    <x v="310"/>
    <x v="0"/>
  </r>
  <r>
    <x v="0"/>
    <x v="178"/>
    <x v="178"/>
    <x v="94"/>
    <x v="94"/>
    <x v="94"/>
    <x v="17"/>
    <x v="216"/>
    <x v="118"/>
    <x v="65"/>
    <x v="65"/>
    <x v="93"/>
    <x v="134"/>
    <x v="0"/>
  </r>
  <r>
    <x v="0"/>
    <x v="178"/>
    <x v="178"/>
    <x v="68"/>
    <x v="68"/>
    <x v="68"/>
    <x v="17"/>
    <x v="216"/>
    <x v="118"/>
    <x v="65"/>
    <x v="65"/>
    <x v="93"/>
    <x v="134"/>
    <x v="0"/>
  </r>
  <r>
    <x v="0"/>
    <x v="178"/>
    <x v="178"/>
    <x v="41"/>
    <x v="41"/>
    <x v="41"/>
    <x v="17"/>
    <x v="216"/>
    <x v="118"/>
    <x v="56"/>
    <x v="630"/>
    <x v="127"/>
    <x v="151"/>
    <x v="0"/>
  </r>
  <r>
    <x v="0"/>
    <x v="178"/>
    <x v="178"/>
    <x v="55"/>
    <x v="55"/>
    <x v="55"/>
    <x v="17"/>
    <x v="216"/>
    <x v="118"/>
    <x v="50"/>
    <x v="674"/>
    <x v="123"/>
    <x v="310"/>
    <x v="0"/>
  </r>
  <r>
    <x v="0"/>
    <x v="178"/>
    <x v="178"/>
    <x v="125"/>
    <x v="125"/>
    <x v="125"/>
    <x v="17"/>
    <x v="216"/>
    <x v="118"/>
    <x v="65"/>
    <x v="65"/>
    <x v="93"/>
    <x v="134"/>
    <x v="0"/>
  </r>
  <r>
    <x v="0"/>
    <x v="178"/>
    <x v="178"/>
    <x v="9"/>
    <x v="9"/>
    <x v="9"/>
    <x v="17"/>
    <x v="216"/>
    <x v="118"/>
    <x v="50"/>
    <x v="674"/>
    <x v="123"/>
    <x v="310"/>
    <x v="0"/>
  </r>
  <r>
    <x v="0"/>
    <x v="178"/>
    <x v="178"/>
    <x v="8"/>
    <x v="8"/>
    <x v="8"/>
    <x v="17"/>
    <x v="216"/>
    <x v="118"/>
    <x v="56"/>
    <x v="630"/>
    <x v="127"/>
    <x v="151"/>
    <x v="0"/>
  </r>
  <r>
    <x v="0"/>
    <x v="178"/>
    <x v="178"/>
    <x v="6"/>
    <x v="6"/>
    <x v="6"/>
    <x v="17"/>
    <x v="216"/>
    <x v="118"/>
    <x v="50"/>
    <x v="674"/>
    <x v="123"/>
    <x v="310"/>
    <x v="0"/>
  </r>
  <r>
    <x v="0"/>
    <x v="178"/>
    <x v="178"/>
    <x v="43"/>
    <x v="43"/>
    <x v="43"/>
    <x v="17"/>
    <x v="216"/>
    <x v="118"/>
    <x v="65"/>
    <x v="65"/>
    <x v="123"/>
    <x v="310"/>
    <x v="0"/>
  </r>
  <r>
    <x v="0"/>
    <x v="179"/>
    <x v="179"/>
    <x v="0"/>
    <x v="0"/>
    <x v="0"/>
    <x v="0"/>
    <x v="116"/>
    <x v="535"/>
    <x v="117"/>
    <x v="492"/>
    <x v="67"/>
    <x v="15"/>
    <x v="0"/>
  </r>
  <r>
    <x v="0"/>
    <x v="179"/>
    <x v="179"/>
    <x v="1"/>
    <x v="1"/>
    <x v="1"/>
    <x v="1"/>
    <x v="120"/>
    <x v="485"/>
    <x v="174"/>
    <x v="738"/>
    <x v="93"/>
    <x v="108"/>
    <x v="0"/>
  </r>
  <r>
    <x v="0"/>
    <x v="179"/>
    <x v="179"/>
    <x v="28"/>
    <x v="28"/>
    <x v="28"/>
    <x v="2"/>
    <x v="203"/>
    <x v="424"/>
    <x v="56"/>
    <x v="412"/>
    <x v="125"/>
    <x v="394"/>
    <x v="0"/>
  </r>
  <r>
    <x v="0"/>
    <x v="179"/>
    <x v="179"/>
    <x v="3"/>
    <x v="3"/>
    <x v="3"/>
    <x v="3"/>
    <x v="141"/>
    <x v="55"/>
    <x v="32"/>
    <x v="739"/>
    <x v="93"/>
    <x v="108"/>
    <x v="0"/>
  </r>
  <r>
    <x v="0"/>
    <x v="179"/>
    <x v="179"/>
    <x v="19"/>
    <x v="19"/>
    <x v="19"/>
    <x v="4"/>
    <x v="209"/>
    <x v="158"/>
    <x v="68"/>
    <x v="338"/>
    <x v="113"/>
    <x v="279"/>
    <x v="0"/>
  </r>
  <r>
    <x v="0"/>
    <x v="179"/>
    <x v="179"/>
    <x v="13"/>
    <x v="13"/>
    <x v="13"/>
    <x v="5"/>
    <x v="205"/>
    <x v="160"/>
    <x v="51"/>
    <x v="494"/>
    <x v="106"/>
    <x v="82"/>
    <x v="0"/>
  </r>
  <r>
    <x v="0"/>
    <x v="179"/>
    <x v="179"/>
    <x v="40"/>
    <x v="40"/>
    <x v="40"/>
    <x v="6"/>
    <x v="206"/>
    <x v="130"/>
    <x v="62"/>
    <x v="666"/>
    <x v="106"/>
    <x v="82"/>
    <x v="0"/>
  </r>
  <r>
    <x v="0"/>
    <x v="179"/>
    <x v="179"/>
    <x v="8"/>
    <x v="8"/>
    <x v="8"/>
    <x v="6"/>
    <x v="206"/>
    <x v="130"/>
    <x v="61"/>
    <x v="665"/>
    <x v="93"/>
    <x v="108"/>
    <x v="0"/>
  </r>
  <r>
    <x v="0"/>
    <x v="179"/>
    <x v="179"/>
    <x v="17"/>
    <x v="17"/>
    <x v="17"/>
    <x v="8"/>
    <x v="194"/>
    <x v="214"/>
    <x v="56"/>
    <x v="412"/>
    <x v="106"/>
    <x v="82"/>
    <x v="0"/>
  </r>
  <r>
    <x v="0"/>
    <x v="179"/>
    <x v="179"/>
    <x v="46"/>
    <x v="46"/>
    <x v="46"/>
    <x v="9"/>
    <x v="207"/>
    <x v="27"/>
    <x v="62"/>
    <x v="666"/>
    <x v="98"/>
    <x v="229"/>
    <x v="0"/>
  </r>
  <r>
    <x v="0"/>
    <x v="179"/>
    <x v="179"/>
    <x v="22"/>
    <x v="22"/>
    <x v="22"/>
    <x v="9"/>
    <x v="207"/>
    <x v="27"/>
    <x v="56"/>
    <x v="412"/>
    <x v="113"/>
    <x v="279"/>
    <x v="0"/>
  </r>
  <r>
    <x v="0"/>
    <x v="179"/>
    <x v="179"/>
    <x v="6"/>
    <x v="6"/>
    <x v="6"/>
    <x v="9"/>
    <x v="207"/>
    <x v="27"/>
    <x v="68"/>
    <x v="338"/>
    <x v="93"/>
    <x v="108"/>
    <x v="0"/>
  </r>
  <r>
    <x v="0"/>
    <x v="179"/>
    <x v="179"/>
    <x v="31"/>
    <x v="31"/>
    <x v="31"/>
    <x v="12"/>
    <x v="208"/>
    <x v="72"/>
    <x v="39"/>
    <x v="667"/>
    <x v="110"/>
    <x v="21"/>
    <x v="0"/>
  </r>
  <r>
    <x v="0"/>
    <x v="179"/>
    <x v="179"/>
    <x v="4"/>
    <x v="4"/>
    <x v="4"/>
    <x v="12"/>
    <x v="208"/>
    <x v="72"/>
    <x v="77"/>
    <x v="64"/>
    <x v="127"/>
    <x v="151"/>
    <x v="0"/>
  </r>
  <r>
    <x v="0"/>
    <x v="179"/>
    <x v="179"/>
    <x v="86"/>
    <x v="86"/>
    <x v="86"/>
    <x v="19"/>
    <x v="195"/>
    <x v="134"/>
    <x v="39"/>
    <x v="667"/>
    <x v="108"/>
    <x v="410"/>
    <x v="0"/>
  </r>
  <r>
    <x v="0"/>
    <x v="179"/>
    <x v="179"/>
    <x v="11"/>
    <x v="11"/>
    <x v="11"/>
    <x v="19"/>
    <x v="195"/>
    <x v="134"/>
    <x v="70"/>
    <x v="686"/>
    <x v="67"/>
    <x v="15"/>
    <x v="0"/>
  </r>
  <r>
    <x v="0"/>
    <x v="179"/>
    <x v="179"/>
    <x v="5"/>
    <x v="5"/>
    <x v="5"/>
    <x v="19"/>
    <x v="195"/>
    <x v="134"/>
    <x v="100"/>
    <x v="353"/>
    <x v="123"/>
    <x v="101"/>
    <x v="0"/>
  </r>
  <r>
    <x v="0"/>
    <x v="179"/>
    <x v="179"/>
    <x v="32"/>
    <x v="32"/>
    <x v="32"/>
    <x v="16"/>
    <x v="210"/>
    <x v="10"/>
    <x v="56"/>
    <x v="412"/>
    <x v="67"/>
    <x v="15"/>
    <x v="0"/>
  </r>
  <r>
    <x v="0"/>
    <x v="179"/>
    <x v="179"/>
    <x v="14"/>
    <x v="14"/>
    <x v="14"/>
    <x v="16"/>
    <x v="210"/>
    <x v="10"/>
    <x v="70"/>
    <x v="686"/>
    <x v="119"/>
    <x v="18"/>
    <x v="0"/>
  </r>
  <r>
    <x v="0"/>
    <x v="179"/>
    <x v="179"/>
    <x v="21"/>
    <x v="21"/>
    <x v="21"/>
    <x v="16"/>
    <x v="210"/>
    <x v="10"/>
    <x v="65"/>
    <x v="65"/>
    <x v="109"/>
    <x v="45"/>
    <x v="0"/>
  </r>
  <r>
    <x v="0"/>
    <x v="179"/>
    <x v="179"/>
    <x v="42"/>
    <x v="42"/>
    <x v="42"/>
    <x v="16"/>
    <x v="210"/>
    <x v="10"/>
    <x v="56"/>
    <x v="412"/>
    <x v="67"/>
    <x v="15"/>
    <x v="0"/>
  </r>
  <r>
    <x v="0"/>
    <x v="180"/>
    <x v="180"/>
    <x v="0"/>
    <x v="0"/>
    <x v="0"/>
    <x v="0"/>
    <x v="209"/>
    <x v="375"/>
    <x v="55"/>
    <x v="740"/>
    <x v="108"/>
    <x v="452"/>
    <x v="0"/>
  </r>
  <r>
    <x v="0"/>
    <x v="180"/>
    <x v="180"/>
    <x v="1"/>
    <x v="1"/>
    <x v="1"/>
    <x v="1"/>
    <x v="206"/>
    <x v="217"/>
    <x v="38"/>
    <x v="741"/>
    <x v="123"/>
    <x v="81"/>
    <x v="0"/>
  </r>
  <r>
    <x v="0"/>
    <x v="180"/>
    <x v="180"/>
    <x v="3"/>
    <x v="3"/>
    <x v="3"/>
    <x v="2"/>
    <x v="194"/>
    <x v="186"/>
    <x v="61"/>
    <x v="742"/>
    <x v="127"/>
    <x v="151"/>
    <x v="0"/>
  </r>
  <r>
    <x v="0"/>
    <x v="180"/>
    <x v="180"/>
    <x v="7"/>
    <x v="7"/>
    <x v="7"/>
    <x v="3"/>
    <x v="207"/>
    <x v="335"/>
    <x v="51"/>
    <x v="418"/>
    <x v="67"/>
    <x v="451"/>
    <x v="0"/>
  </r>
  <r>
    <x v="0"/>
    <x v="180"/>
    <x v="180"/>
    <x v="2"/>
    <x v="2"/>
    <x v="2"/>
    <x v="4"/>
    <x v="195"/>
    <x v="426"/>
    <x v="68"/>
    <x v="415"/>
    <x v="127"/>
    <x v="151"/>
    <x v="0"/>
  </r>
  <r>
    <x v="0"/>
    <x v="180"/>
    <x v="180"/>
    <x v="12"/>
    <x v="12"/>
    <x v="12"/>
    <x v="5"/>
    <x v="210"/>
    <x v="443"/>
    <x v="56"/>
    <x v="342"/>
    <x v="67"/>
    <x v="451"/>
    <x v="0"/>
  </r>
  <r>
    <x v="0"/>
    <x v="180"/>
    <x v="180"/>
    <x v="36"/>
    <x v="36"/>
    <x v="36"/>
    <x v="6"/>
    <x v="196"/>
    <x v="532"/>
    <x v="50"/>
    <x v="89"/>
    <x v="67"/>
    <x v="451"/>
    <x v="0"/>
  </r>
  <r>
    <x v="0"/>
    <x v="180"/>
    <x v="180"/>
    <x v="10"/>
    <x v="10"/>
    <x v="10"/>
    <x v="7"/>
    <x v="197"/>
    <x v="178"/>
    <x v="50"/>
    <x v="89"/>
    <x v="119"/>
    <x v="454"/>
    <x v="0"/>
  </r>
  <r>
    <x v="0"/>
    <x v="180"/>
    <x v="180"/>
    <x v="54"/>
    <x v="54"/>
    <x v="54"/>
    <x v="7"/>
    <x v="197"/>
    <x v="178"/>
    <x v="65"/>
    <x v="65"/>
    <x v="67"/>
    <x v="451"/>
    <x v="0"/>
  </r>
  <r>
    <x v="0"/>
    <x v="180"/>
    <x v="180"/>
    <x v="70"/>
    <x v="70"/>
    <x v="70"/>
    <x v="7"/>
    <x v="197"/>
    <x v="178"/>
    <x v="62"/>
    <x v="345"/>
    <x v="93"/>
    <x v="329"/>
    <x v="0"/>
  </r>
  <r>
    <x v="0"/>
    <x v="180"/>
    <x v="180"/>
    <x v="11"/>
    <x v="11"/>
    <x v="11"/>
    <x v="7"/>
    <x v="197"/>
    <x v="178"/>
    <x v="62"/>
    <x v="345"/>
    <x v="93"/>
    <x v="329"/>
    <x v="0"/>
  </r>
  <r>
    <x v="0"/>
    <x v="180"/>
    <x v="180"/>
    <x v="47"/>
    <x v="47"/>
    <x v="47"/>
    <x v="7"/>
    <x v="197"/>
    <x v="178"/>
    <x v="65"/>
    <x v="65"/>
    <x v="67"/>
    <x v="451"/>
    <x v="0"/>
  </r>
  <r>
    <x v="0"/>
    <x v="180"/>
    <x v="180"/>
    <x v="42"/>
    <x v="42"/>
    <x v="42"/>
    <x v="7"/>
    <x v="197"/>
    <x v="178"/>
    <x v="50"/>
    <x v="89"/>
    <x v="119"/>
    <x v="454"/>
    <x v="0"/>
  </r>
  <r>
    <x v="0"/>
    <x v="180"/>
    <x v="180"/>
    <x v="17"/>
    <x v="17"/>
    <x v="17"/>
    <x v="13"/>
    <x v="198"/>
    <x v="8"/>
    <x v="50"/>
    <x v="89"/>
    <x v="110"/>
    <x v="455"/>
    <x v="0"/>
  </r>
  <r>
    <x v="0"/>
    <x v="180"/>
    <x v="180"/>
    <x v="41"/>
    <x v="41"/>
    <x v="41"/>
    <x v="13"/>
    <x v="198"/>
    <x v="8"/>
    <x v="56"/>
    <x v="342"/>
    <x v="108"/>
    <x v="452"/>
    <x v="0"/>
  </r>
  <r>
    <x v="0"/>
    <x v="180"/>
    <x v="180"/>
    <x v="45"/>
    <x v="45"/>
    <x v="45"/>
    <x v="13"/>
    <x v="198"/>
    <x v="8"/>
    <x v="51"/>
    <x v="418"/>
    <x v="127"/>
    <x v="151"/>
    <x v="0"/>
  </r>
  <r>
    <x v="0"/>
    <x v="180"/>
    <x v="180"/>
    <x v="4"/>
    <x v="4"/>
    <x v="4"/>
    <x v="13"/>
    <x v="198"/>
    <x v="8"/>
    <x v="51"/>
    <x v="418"/>
    <x v="127"/>
    <x v="151"/>
    <x v="0"/>
  </r>
  <r>
    <x v="0"/>
    <x v="180"/>
    <x v="180"/>
    <x v="5"/>
    <x v="5"/>
    <x v="5"/>
    <x v="13"/>
    <x v="198"/>
    <x v="8"/>
    <x v="51"/>
    <x v="418"/>
    <x v="127"/>
    <x v="151"/>
    <x v="0"/>
  </r>
  <r>
    <x v="0"/>
    <x v="180"/>
    <x v="180"/>
    <x v="52"/>
    <x v="52"/>
    <x v="52"/>
    <x v="13"/>
    <x v="198"/>
    <x v="8"/>
    <x v="65"/>
    <x v="65"/>
    <x v="127"/>
    <x v="151"/>
    <x v="0"/>
  </r>
  <r>
    <x v="0"/>
    <x v="180"/>
    <x v="180"/>
    <x v="19"/>
    <x v="19"/>
    <x v="19"/>
    <x v="13"/>
    <x v="198"/>
    <x v="8"/>
    <x v="62"/>
    <x v="345"/>
    <x v="123"/>
    <x v="81"/>
    <x v="0"/>
  </r>
  <r>
    <x v="0"/>
    <x v="181"/>
    <x v="181"/>
    <x v="3"/>
    <x v="3"/>
    <x v="3"/>
    <x v="0"/>
    <x v="210"/>
    <x v="536"/>
    <x v="100"/>
    <x v="649"/>
    <x v="127"/>
    <x v="151"/>
    <x v="0"/>
  </r>
  <r>
    <x v="0"/>
    <x v="181"/>
    <x v="181"/>
    <x v="1"/>
    <x v="1"/>
    <x v="1"/>
    <x v="0"/>
    <x v="210"/>
    <x v="536"/>
    <x v="100"/>
    <x v="649"/>
    <x v="127"/>
    <x v="151"/>
    <x v="0"/>
  </r>
  <r>
    <x v="0"/>
    <x v="181"/>
    <x v="181"/>
    <x v="51"/>
    <x v="51"/>
    <x v="51"/>
    <x v="2"/>
    <x v="196"/>
    <x v="409"/>
    <x v="39"/>
    <x v="743"/>
    <x v="123"/>
    <x v="128"/>
    <x v="0"/>
  </r>
  <r>
    <x v="0"/>
    <x v="181"/>
    <x v="181"/>
    <x v="2"/>
    <x v="2"/>
    <x v="2"/>
    <x v="2"/>
    <x v="196"/>
    <x v="409"/>
    <x v="95"/>
    <x v="323"/>
    <x v="127"/>
    <x v="151"/>
    <x v="0"/>
  </r>
  <r>
    <x v="0"/>
    <x v="181"/>
    <x v="181"/>
    <x v="70"/>
    <x v="70"/>
    <x v="70"/>
    <x v="4"/>
    <x v="197"/>
    <x v="241"/>
    <x v="39"/>
    <x v="743"/>
    <x v="127"/>
    <x v="151"/>
    <x v="0"/>
  </r>
  <r>
    <x v="0"/>
    <x v="181"/>
    <x v="181"/>
    <x v="42"/>
    <x v="42"/>
    <x v="42"/>
    <x v="4"/>
    <x v="197"/>
    <x v="241"/>
    <x v="65"/>
    <x v="65"/>
    <x v="67"/>
    <x v="492"/>
    <x v="0"/>
  </r>
  <r>
    <x v="0"/>
    <x v="181"/>
    <x v="181"/>
    <x v="53"/>
    <x v="53"/>
    <x v="53"/>
    <x v="4"/>
    <x v="197"/>
    <x v="241"/>
    <x v="65"/>
    <x v="65"/>
    <x v="127"/>
    <x v="151"/>
    <x v="0"/>
  </r>
  <r>
    <x v="0"/>
    <x v="181"/>
    <x v="181"/>
    <x v="12"/>
    <x v="12"/>
    <x v="12"/>
    <x v="7"/>
    <x v="198"/>
    <x v="537"/>
    <x v="62"/>
    <x v="232"/>
    <x v="123"/>
    <x v="128"/>
    <x v="0"/>
  </r>
  <r>
    <x v="0"/>
    <x v="181"/>
    <x v="181"/>
    <x v="127"/>
    <x v="127"/>
    <x v="127"/>
    <x v="8"/>
    <x v="199"/>
    <x v="229"/>
    <x v="50"/>
    <x v="328"/>
    <x v="108"/>
    <x v="397"/>
    <x v="0"/>
  </r>
  <r>
    <x v="0"/>
    <x v="181"/>
    <x v="181"/>
    <x v="96"/>
    <x v="96"/>
    <x v="96"/>
    <x v="8"/>
    <x v="199"/>
    <x v="229"/>
    <x v="65"/>
    <x v="65"/>
    <x v="110"/>
    <x v="391"/>
    <x v="0"/>
  </r>
  <r>
    <x v="0"/>
    <x v="181"/>
    <x v="181"/>
    <x v="36"/>
    <x v="36"/>
    <x v="36"/>
    <x v="8"/>
    <x v="199"/>
    <x v="229"/>
    <x v="50"/>
    <x v="328"/>
    <x v="108"/>
    <x v="397"/>
    <x v="0"/>
  </r>
  <r>
    <x v="0"/>
    <x v="181"/>
    <x v="181"/>
    <x v="7"/>
    <x v="7"/>
    <x v="7"/>
    <x v="8"/>
    <x v="199"/>
    <x v="229"/>
    <x v="70"/>
    <x v="404"/>
    <x v="123"/>
    <x v="128"/>
    <x v="0"/>
  </r>
  <r>
    <x v="0"/>
    <x v="181"/>
    <x v="181"/>
    <x v="87"/>
    <x v="87"/>
    <x v="87"/>
    <x v="12"/>
    <x v="200"/>
    <x v="43"/>
    <x v="50"/>
    <x v="328"/>
    <x v="93"/>
    <x v="392"/>
    <x v="0"/>
  </r>
  <r>
    <x v="0"/>
    <x v="181"/>
    <x v="181"/>
    <x v="68"/>
    <x v="68"/>
    <x v="68"/>
    <x v="12"/>
    <x v="200"/>
    <x v="43"/>
    <x v="50"/>
    <x v="328"/>
    <x v="93"/>
    <x v="392"/>
    <x v="0"/>
  </r>
  <r>
    <x v="0"/>
    <x v="181"/>
    <x v="181"/>
    <x v="133"/>
    <x v="133"/>
    <x v="133"/>
    <x v="12"/>
    <x v="200"/>
    <x v="43"/>
    <x v="70"/>
    <x v="404"/>
    <x v="127"/>
    <x v="151"/>
    <x v="0"/>
  </r>
  <r>
    <x v="0"/>
    <x v="181"/>
    <x v="181"/>
    <x v="45"/>
    <x v="45"/>
    <x v="45"/>
    <x v="12"/>
    <x v="200"/>
    <x v="43"/>
    <x v="70"/>
    <x v="404"/>
    <x v="127"/>
    <x v="151"/>
    <x v="0"/>
  </r>
  <r>
    <x v="0"/>
    <x v="181"/>
    <x v="181"/>
    <x v="82"/>
    <x v="82"/>
    <x v="82"/>
    <x v="12"/>
    <x v="200"/>
    <x v="43"/>
    <x v="50"/>
    <x v="328"/>
    <x v="127"/>
    <x v="151"/>
    <x v="0"/>
  </r>
  <r>
    <x v="0"/>
    <x v="181"/>
    <x v="181"/>
    <x v="72"/>
    <x v="72"/>
    <x v="72"/>
    <x v="12"/>
    <x v="200"/>
    <x v="43"/>
    <x v="65"/>
    <x v="65"/>
    <x v="123"/>
    <x v="128"/>
    <x v="0"/>
  </r>
  <r>
    <x v="0"/>
    <x v="181"/>
    <x v="181"/>
    <x v="10"/>
    <x v="10"/>
    <x v="10"/>
    <x v="17"/>
    <x v="216"/>
    <x v="180"/>
    <x v="65"/>
    <x v="65"/>
    <x v="93"/>
    <x v="392"/>
    <x v="0"/>
  </r>
  <r>
    <x v="0"/>
    <x v="181"/>
    <x v="181"/>
    <x v="40"/>
    <x v="40"/>
    <x v="40"/>
    <x v="17"/>
    <x v="216"/>
    <x v="180"/>
    <x v="56"/>
    <x v="272"/>
    <x v="127"/>
    <x v="151"/>
    <x v="0"/>
  </r>
  <r>
    <x v="0"/>
    <x v="181"/>
    <x v="181"/>
    <x v="44"/>
    <x v="44"/>
    <x v="44"/>
    <x v="17"/>
    <x v="216"/>
    <x v="180"/>
    <x v="56"/>
    <x v="272"/>
    <x v="127"/>
    <x v="151"/>
    <x v="0"/>
  </r>
  <r>
    <x v="0"/>
    <x v="181"/>
    <x v="181"/>
    <x v="49"/>
    <x v="49"/>
    <x v="49"/>
    <x v="17"/>
    <x v="216"/>
    <x v="180"/>
    <x v="50"/>
    <x v="328"/>
    <x v="123"/>
    <x v="128"/>
    <x v="0"/>
  </r>
  <r>
    <x v="0"/>
    <x v="181"/>
    <x v="181"/>
    <x v="35"/>
    <x v="35"/>
    <x v="35"/>
    <x v="17"/>
    <x v="216"/>
    <x v="180"/>
    <x v="65"/>
    <x v="65"/>
    <x v="93"/>
    <x v="392"/>
    <x v="0"/>
  </r>
  <r>
    <x v="0"/>
    <x v="181"/>
    <x v="181"/>
    <x v="0"/>
    <x v="0"/>
    <x v="0"/>
    <x v="17"/>
    <x v="216"/>
    <x v="180"/>
    <x v="56"/>
    <x v="272"/>
    <x v="127"/>
    <x v="151"/>
    <x v="0"/>
  </r>
  <r>
    <x v="0"/>
    <x v="181"/>
    <x v="181"/>
    <x v="4"/>
    <x v="4"/>
    <x v="4"/>
    <x v="17"/>
    <x v="216"/>
    <x v="180"/>
    <x v="50"/>
    <x v="328"/>
    <x v="123"/>
    <x v="128"/>
    <x v="0"/>
  </r>
  <r>
    <x v="0"/>
    <x v="181"/>
    <x v="181"/>
    <x v="61"/>
    <x v="61"/>
    <x v="61"/>
    <x v="17"/>
    <x v="216"/>
    <x v="180"/>
    <x v="56"/>
    <x v="272"/>
    <x v="127"/>
    <x v="151"/>
    <x v="0"/>
  </r>
  <r>
    <x v="0"/>
    <x v="181"/>
    <x v="181"/>
    <x v="5"/>
    <x v="5"/>
    <x v="5"/>
    <x v="17"/>
    <x v="216"/>
    <x v="180"/>
    <x v="56"/>
    <x v="272"/>
    <x v="127"/>
    <x v="151"/>
    <x v="0"/>
  </r>
  <r>
    <x v="0"/>
    <x v="181"/>
    <x v="181"/>
    <x v="9"/>
    <x v="9"/>
    <x v="9"/>
    <x v="17"/>
    <x v="216"/>
    <x v="180"/>
    <x v="56"/>
    <x v="272"/>
    <x v="127"/>
    <x v="151"/>
    <x v="0"/>
  </r>
  <r>
    <x v="0"/>
    <x v="181"/>
    <x v="181"/>
    <x v="34"/>
    <x v="34"/>
    <x v="34"/>
    <x v="17"/>
    <x v="216"/>
    <x v="180"/>
    <x v="56"/>
    <x v="272"/>
    <x v="127"/>
    <x v="151"/>
    <x v="0"/>
  </r>
  <r>
    <x v="0"/>
    <x v="181"/>
    <x v="181"/>
    <x v="123"/>
    <x v="123"/>
    <x v="123"/>
    <x v="17"/>
    <x v="216"/>
    <x v="180"/>
    <x v="50"/>
    <x v="328"/>
    <x v="127"/>
    <x v="151"/>
    <x v="0"/>
  </r>
  <r>
    <x v="0"/>
    <x v="181"/>
    <x v="181"/>
    <x v="8"/>
    <x v="8"/>
    <x v="8"/>
    <x v="17"/>
    <x v="216"/>
    <x v="180"/>
    <x v="56"/>
    <x v="272"/>
    <x v="127"/>
    <x v="151"/>
    <x v="0"/>
  </r>
  <r>
    <x v="0"/>
    <x v="181"/>
    <x v="181"/>
    <x v="6"/>
    <x v="6"/>
    <x v="6"/>
    <x v="17"/>
    <x v="216"/>
    <x v="180"/>
    <x v="56"/>
    <x v="272"/>
    <x v="127"/>
    <x v="151"/>
    <x v="0"/>
  </r>
  <r>
    <x v="0"/>
    <x v="182"/>
    <x v="182"/>
    <x v="0"/>
    <x v="0"/>
    <x v="0"/>
    <x v="0"/>
    <x v="207"/>
    <x v="336"/>
    <x v="77"/>
    <x v="744"/>
    <x v="123"/>
    <x v="146"/>
    <x v="0"/>
  </r>
  <r>
    <x v="0"/>
    <x v="182"/>
    <x v="182"/>
    <x v="4"/>
    <x v="4"/>
    <x v="4"/>
    <x v="0"/>
    <x v="207"/>
    <x v="336"/>
    <x v="77"/>
    <x v="744"/>
    <x v="123"/>
    <x v="146"/>
    <x v="0"/>
  </r>
  <r>
    <x v="0"/>
    <x v="182"/>
    <x v="182"/>
    <x v="5"/>
    <x v="5"/>
    <x v="5"/>
    <x v="2"/>
    <x v="195"/>
    <x v="538"/>
    <x v="68"/>
    <x v="337"/>
    <x v="127"/>
    <x v="151"/>
    <x v="0"/>
  </r>
  <r>
    <x v="0"/>
    <x v="182"/>
    <x v="182"/>
    <x v="3"/>
    <x v="3"/>
    <x v="3"/>
    <x v="3"/>
    <x v="210"/>
    <x v="137"/>
    <x v="95"/>
    <x v="745"/>
    <x v="123"/>
    <x v="146"/>
    <x v="0"/>
  </r>
  <r>
    <x v="0"/>
    <x v="182"/>
    <x v="182"/>
    <x v="17"/>
    <x v="17"/>
    <x v="17"/>
    <x v="4"/>
    <x v="196"/>
    <x v="242"/>
    <x v="65"/>
    <x v="65"/>
    <x v="98"/>
    <x v="493"/>
    <x v="0"/>
  </r>
  <r>
    <x v="0"/>
    <x v="182"/>
    <x v="182"/>
    <x v="42"/>
    <x v="42"/>
    <x v="42"/>
    <x v="4"/>
    <x v="196"/>
    <x v="242"/>
    <x v="50"/>
    <x v="340"/>
    <x v="67"/>
    <x v="318"/>
    <x v="0"/>
  </r>
  <r>
    <x v="0"/>
    <x v="182"/>
    <x v="182"/>
    <x v="1"/>
    <x v="1"/>
    <x v="1"/>
    <x v="6"/>
    <x v="197"/>
    <x v="139"/>
    <x v="39"/>
    <x v="180"/>
    <x v="127"/>
    <x v="151"/>
    <x v="0"/>
  </r>
  <r>
    <x v="0"/>
    <x v="182"/>
    <x v="182"/>
    <x v="52"/>
    <x v="52"/>
    <x v="52"/>
    <x v="6"/>
    <x v="197"/>
    <x v="139"/>
    <x v="65"/>
    <x v="65"/>
    <x v="127"/>
    <x v="151"/>
    <x v="0"/>
  </r>
  <r>
    <x v="0"/>
    <x v="182"/>
    <x v="182"/>
    <x v="41"/>
    <x v="41"/>
    <x v="41"/>
    <x v="8"/>
    <x v="198"/>
    <x v="40"/>
    <x v="62"/>
    <x v="338"/>
    <x v="123"/>
    <x v="146"/>
    <x v="0"/>
  </r>
  <r>
    <x v="0"/>
    <x v="182"/>
    <x v="182"/>
    <x v="12"/>
    <x v="12"/>
    <x v="12"/>
    <x v="8"/>
    <x v="198"/>
    <x v="40"/>
    <x v="70"/>
    <x v="333"/>
    <x v="93"/>
    <x v="14"/>
    <x v="0"/>
  </r>
  <r>
    <x v="0"/>
    <x v="182"/>
    <x v="182"/>
    <x v="49"/>
    <x v="49"/>
    <x v="49"/>
    <x v="8"/>
    <x v="198"/>
    <x v="40"/>
    <x v="51"/>
    <x v="339"/>
    <x v="127"/>
    <x v="151"/>
    <x v="0"/>
  </r>
  <r>
    <x v="0"/>
    <x v="182"/>
    <x v="182"/>
    <x v="45"/>
    <x v="45"/>
    <x v="45"/>
    <x v="8"/>
    <x v="198"/>
    <x v="40"/>
    <x v="51"/>
    <x v="339"/>
    <x v="127"/>
    <x v="151"/>
    <x v="0"/>
  </r>
  <r>
    <x v="0"/>
    <x v="182"/>
    <x v="182"/>
    <x v="34"/>
    <x v="34"/>
    <x v="34"/>
    <x v="8"/>
    <x v="198"/>
    <x v="40"/>
    <x v="70"/>
    <x v="333"/>
    <x v="93"/>
    <x v="14"/>
    <x v="0"/>
  </r>
  <r>
    <x v="0"/>
    <x v="182"/>
    <x v="182"/>
    <x v="83"/>
    <x v="83"/>
    <x v="83"/>
    <x v="8"/>
    <x v="198"/>
    <x v="40"/>
    <x v="70"/>
    <x v="333"/>
    <x v="93"/>
    <x v="14"/>
    <x v="0"/>
  </r>
  <r>
    <x v="0"/>
    <x v="182"/>
    <x v="182"/>
    <x v="10"/>
    <x v="10"/>
    <x v="10"/>
    <x v="19"/>
    <x v="199"/>
    <x v="310"/>
    <x v="50"/>
    <x v="340"/>
    <x v="108"/>
    <x v="224"/>
    <x v="0"/>
  </r>
  <r>
    <x v="0"/>
    <x v="182"/>
    <x v="182"/>
    <x v="13"/>
    <x v="13"/>
    <x v="13"/>
    <x v="19"/>
    <x v="199"/>
    <x v="310"/>
    <x v="56"/>
    <x v="49"/>
    <x v="93"/>
    <x v="14"/>
    <x v="0"/>
  </r>
  <r>
    <x v="0"/>
    <x v="182"/>
    <x v="182"/>
    <x v="21"/>
    <x v="21"/>
    <x v="21"/>
    <x v="19"/>
    <x v="199"/>
    <x v="310"/>
    <x v="65"/>
    <x v="65"/>
    <x v="110"/>
    <x v="242"/>
    <x v="0"/>
  </r>
  <r>
    <x v="0"/>
    <x v="182"/>
    <x v="182"/>
    <x v="2"/>
    <x v="2"/>
    <x v="2"/>
    <x v="19"/>
    <x v="199"/>
    <x v="310"/>
    <x v="62"/>
    <x v="338"/>
    <x v="127"/>
    <x v="151"/>
    <x v="0"/>
  </r>
  <r>
    <x v="0"/>
    <x v="182"/>
    <x v="182"/>
    <x v="9"/>
    <x v="9"/>
    <x v="9"/>
    <x v="19"/>
    <x v="199"/>
    <x v="310"/>
    <x v="62"/>
    <x v="338"/>
    <x v="127"/>
    <x v="151"/>
    <x v="0"/>
  </r>
  <r>
    <x v="0"/>
    <x v="182"/>
    <x v="182"/>
    <x v="19"/>
    <x v="19"/>
    <x v="19"/>
    <x v="19"/>
    <x v="199"/>
    <x v="310"/>
    <x v="70"/>
    <x v="333"/>
    <x v="123"/>
    <x v="146"/>
    <x v="0"/>
  </r>
  <r>
    <x v="0"/>
    <x v="183"/>
    <x v="183"/>
    <x v="51"/>
    <x v="51"/>
    <x v="51"/>
    <x v="0"/>
    <x v="215"/>
    <x v="365"/>
    <x v="38"/>
    <x v="746"/>
    <x v="113"/>
    <x v="453"/>
    <x v="0"/>
  </r>
  <r>
    <x v="0"/>
    <x v="183"/>
    <x v="183"/>
    <x v="7"/>
    <x v="7"/>
    <x v="7"/>
    <x v="1"/>
    <x v="204"/>
    <x v="226"/>
    <x v="38"/>
    <x v="746"/>
    <x v="110"/>
    <x v="455"/>
    <x v="0"/>
  </r>
  <r>
    <x v="0"/>
    <x v="183"/>
    <x v="183"/>
    <x v="1"/>
    <x v="1"/>
    <x v="1"/>
    <x v="2"/>
    <x v="205"/>
    <x v="1"/>
    <x v="102"/>
    <x v="696"/>
    <x v="123"/>
    <x v="81"/>
    <x v="0"/>
  </r>
  <r>
    <x v="0"/>
    <x v="183"/>
    <x v="183"/>
    <x v="2"/>
    <x v="2"/>
    <x v="2"/>
    <x v="3"/>
    <x v="206"/>
    <x v="217"/>
    <x v="38"/>
    <x v="746"/>
    <x v="123"/>
    <x v="81"/>
    <x v="0"/>
  </r>
  <r>
    <x v="0"/>
    <x v="183"/>
    <x v="183"/>
    <x v="5"/>
    <x v="5"/>
    <x v="5"/>
    <x v="4"/>
    <x v="207"/>
    <x v="335"/>
    <x v="68"/>
    <x v="533"/>
    <x v="93"/>
    <x v="329"/>
    <x v="0"/>
  </r>
  <r>
    <x v="0"/>
    <x v="183"/>
    <x v="183"/>
    <x v="4"/>
    <x v="4"/>
    <x v="4"/>
    <x v="5"/>
    <x v="208"/>
    <x v="478"/>
    <x v="100"/>
    <x v="631"/>
    <x v="93"/>
    <x v="329"/>
    <x v="0"/>
  </r>
  <r>
    <x v="0"/>
    <x v="183"/>
    <x v="183"/>
    <x v="3"/>
    <x v="3"/>
    <x v="3"/>
    <x v="5"/>
    <x v="208"/>
    <x v="478"/>
    <x v="77"/>
    <x v="737"/>
    <x v="127"/>
    <x v="151"/>
    <x v="0"/>
  </r>
  <r>
    <x v="0"/>
    <x v="183"/>
    <x v="183"/>
    <x v="78"/>
    <x v="78"/>
    <x v="78"/>
    <x v="7"/>
    <x v="196"/>
    <x v="532"/>
    <x v="65"/>
    <x v="65"/>
    <x v="67"/>
    <x v="451"/>
    <x v="0"/>
  </r>
  <r>
    <x v="0"/>
    <x v="183"/>
    <x v="183"/>
    <x v="9"/>
    <x v="9"/>
    <x v="9"/>
    <x v="7"/>
    <x v="196"/>
    <x v="532"/>
    <x v="39"/>
    <x v="307"/>
    <x v="123"/>
    <x v="81"/>
    <x v="0"/>
  </r>
  <r>
    <x v="0"/>
    <x v="183"/>
    <x v="183"/>
    <x v="0"/>
    <x v="0"/>
    <x v="0"/>
    <x v="9"/>
    <x v="197"/>
    <x v="178"/>
    <x v="56"/>
    <x v="674"/>
    <x v="108"/>
    <x v="452"/>
    <x v="0"/>
  </r>
  <r>
    <x v="0"/>
    <x v="183"/>
    <x v="183"/>
    <x v="123"/>
    <x v="123"/>
    <x v="123"/>
    <x v="9"/>
    <x v="197"/>
    <x v="178"/>
    <x v="51"/>
    <x v="747"/>
    <x v="123"/>
    <x v="81"/>
    <x v="0"/>
  </r>
  <r>
    <x v="0"/>
    <x v="183"/>
    <x v="183"/>
    <x v="11"/>
    <x v="11"/>
    <x v="11"/>
    <x v="11"/>
    <x v="198"/>
    <x v="8"/>
    <x v="65"/>
    <x v="65"/>
    <x v="119"/>
    <x v="454"/>
    <x v="0"/>
  </r>
  <r>
    <x v="0"/>
    <x v="183"/>
    <x v="183"/>
    <x v="45"/>
    <x v="45"/>
    <x v="45"/>
    <x v="11"/>
    <x v="198"/>
    <x v="8"/>
    <x v="62"/>
    <x v="630"/>
    <x v="123"/>
    <x v="81"/>
    <x v="0"/>
  </r>
  <r>
    <x v="0"/>
    <x v="183"/>
    <x v="183"/>
    <x v="26"/>
    <x v="26"/>
    <x v="26"/>
    <x v="11"/>
    <x v="198"/>
    <x v="8"/>
    <x v="65"/>
    <x v="65"/>
    <x v="119"/>
    <x v="454"/>
    <x v="0"/>
  </r>
  <r>
    <x v="0"/>
    <x v="183"/>
    <x v="183"/>
    <x v="58"/>
    <x v="58"/>
    <x v="58"/>
    <x v="19"/>
    <x v="199"/>
    <x v="118"/>
    <x v="65"/>
    <x v="65"/>
    <x v="110"/>
    <x v="455"/>
    <x v="0"/>
  </r>
  <r>
    <x v="0"/>
    <x v="183"/>
    <x v="183"/>
    <x v="41"/>
    <x v="41"/>
    <x v="41"/>
    <x v="19"/>
    <x v="199"/>
    <x v="118"/>
    <x v="56"/>
    <x v="674"/>
    <x v="93"/>
    <x v="329"/>
    <x v="0"/>
  </r>
  <r>
    <x v="0"/>
    <x v="183"/>
    <x v="183"/>
    <x v="12"/>
    <x v="12"/>
    <x v="12"/>
    <x v="19"/>
    <x v="199"/>
    <x v="118"/>
    <x v="56"/>
    <x v="674"/>
    <x v="93"/>
    <x v="329"/>
    <x v="0"/>
  </r>
  <r>
    <x v="0"/>
    <x v="183"/>
    <x v="183"/>
    <x v="47"/>
    <x v="47"/>
    <x v="47"/>
    <x v="19"/>
    <x v="199"/>
    <x v="118"/>
    <x v="50"/>
    <x v="147"/>
    <x v="108"/>
    <x v="452"/>
    <x v="0"/>
  </r>
  <r>
    <x v="0"/>
    <x v="183"/>
    <x v="183"/>
    <x v="18"/>
    <x v="18"/>
    <x v="18"/>
    <x v="19"/>
    <x v="199"/>
    <x v="118"/>
    <x v="56"/>
    <x v="674"/>
    <x v="93"/>
    <x v="329"/>
    <x v="0"/>
  </r>
  <r>
    <x v="0"/>
    <x v="183"/>
    <x v="183"/>
    <x v="131"/>
    <x v="131"/>
    <x v="131"/>
    <x v="19"/>
    <x v="199"/>
    <x v="118"/>
    <x v="62"/>
    <x v="630"/>
    <x v="127"/>
    <x v="151"/>
    <x v="0"/>
  </r>
  <r>
    <x v="0"/>
    <x v="183"/>
    <x v="183"/>
    <x v="59"/>
    <x v="59"/>
    <x v="59"/>
    <x v="19"/>
    <x v="199"/>
    <x v="118"/>
    <x v="65"/>
    <x v="65"/>
    <x v="110"/>
    <x v="455"/>
    <x v="0"/>
  </r>
  <r>
    <x v="0"/>
    <x v="184"/>
    <x v="184"/>
    <x v="4"/>
    <x v="4"/>
    <x v="4"/>
    <x v="0"/>
    <x v="198"/>
    <x v="19"/>
    <x v="62"/>
    <x v="748"/>
    <x v="123"/>
    <x v="279"/>
    <x v="0"/>
  </r>
  <r>
    <x v="0"/>
    <x v="184"/>
    <x v="184"/>
    <x v="51"/>
    <x v="51"/>
    <x v="51"/>
    <x v="1"/>
    <x v="199"/>
    <x v="539"/>
    <x v="56"/>
    <x v="397"/>
    <x v="93"/>
    <x v="394"/>
    <x v="0"/>
  </r>
  <r>
    <x v="0"/>
    <x v="184"/>
    <x v="184"/>
    <x v="9"/>
    <x v="9"/>
    <x v="9"/>
    <x v="2"/>
    <x v="200"/>
    <x v="396"/>
    <x v="56"/>
    <x v="397"/>
    <x v="123"/>
    <x v="279"/>
    <x v="0"/>
  </r>
  <r>
    <x v="0"/>
    <x v="184"/>
    <x v="184"/>
    <x v="10"/>
    <x v="10"/>
    <x v="10"/>
    <x v="3"/>
    <x v="216"/>
    <x v="398"/>
    <x v="65"/>
    <x v="65"/>
    <x v="93"/>
    <x v="394"/>
    <x v="0"/>
  </r>
  <r>
    <x v="0"/>
    <x v="184"/>
    <x v="184"/>
    <x v="89"/>
    <x v="89"/>
    <x v="89"/>
    <x v="3"/>
    <x v="216"/>
    <x v="398"/>
    <x v="65"/>
    <x v="65"/>
    <x v="93"/>
    <x v="394"/>
    <x v="0"/>
  </r>
  <r>
    <x v="0"/>
    <x v="184"/>
    <x v="184"/>
    <x v="36"/>
    <x v="36"/>
    <x v="36"/>
    <x v="3"/>
    <x v="216"/>
    <x v="398"/>
    <x v="65"/>
    <x v="65"/>
    <x v="93"/>
    <x v="394"/>
    <x v="0"/>
  </r>
  <r>
    <x v="0"/>
    <x v="184"/>
    <x v="184"/>
    <x v="84"/>
    <x v="84"/>
    <x v="84"/>
    <x v="3"/>
    <x v="216"/>
    <x v="398"/>
    <x v="65"/>
    <x v="65"/>
    <x v="93"/>
    <x v="394"/>
    <x v="0"/>
  </r>
  <r>
    <x v="0"/>
    <x v="184"/>
    <x v="184"/>
    <x v="45"/>
    <x v="45"/>
    <x v="45"/>
    <x v="3"/>
    <x v="216"/>
    <x v="398"/>
    <x v="56"/>
    <x v="397"/>
    <x v="127"/>
    <x v="151"/>
    <x v="0"/>
  </r>
  <r>
    <x v="0"/>
    <x v="184"/>
    <x v="184"/>
    <x v="1"/>
    <x v="1"/>
    <x v="1"/>
    <x v="3"/>
    <x v="216"/>
    <x v="398"/>
    <x v="56"/>
    <x v="397"/>
    <x v="127"/>
    <x v="151"/>
    <x v="0"/>
  </r>
  <r>
    <x v="0"/>
    <x v="184"/>
    <x v="184"/>
    <x v="64"/>
    <x v="64"/>
    <x v="64"/>
    <x v="3"/>
    <x v="216"/>
    <x v="398"/>
    <x v="65"/>
    <x v="65"/>
    <x v="93"/>
    <x v="394"/>
    <x v="0"/>
  </r>
  <r>
    <x v="0"/>
    <x v="184"/>
    <x v="184"/>
    <x v="8"/>
    <x v="8"/>
    <x v="8"/>
    <x v="3"/>
    <x v="216"/>
    <x v="398"/>
    <x v="56"/>
    <x v="397"/>
    <x v="127"/>
    <x v="151"/>
    <x v="0"/>
  </r>
  <r>
    <x v="0"/>
    <x v="184"/>
    <x v="184"/>
    <x v="140"/>
    <x v="140"/>
    <x v="140"/>
    <x v="11"/>
    <x v="217"/>
    <x v="84"/>
    <x v="65"/>
    <x v="65"/>
    <x v="123"/>
    <x v="279"/>
    <x v="0"/>
  </r>
  <r>
    <x v="0"/>
    <x v="184"/>
    <x v="184"/>
    <x v="17"/>
    <x v="17"/>
    <x v="17"/>
    <x v="11"/>
    <x v="217"/>
    <x v="84"/>
    <x v="50"/>
    <x v="627"/>
    <x v="127"/>
    <x v="151"/>
    <x v="0"/>
  </r>
  <r>
    <x v="0"/>
    <x v="184"/>
    <x v="184"/>
    <x v="127"/>
    <x v="127"/>
    <x v="127"/>
    <x v="11"/>
    <x v="217"/>
    <x v="84"/>
    <x v="65"/>
    <x v="65"/>
    <x v="123"/>
    <x v="279"/>
    <x v="0"/>
  </r>
  <r>
    <x v="0"/>
    <x v="184"/>
    <x v="184"/>
    <x v="96"/>
    <x v="96"/>
    <x v="96"/>
    <x v="11"/>
    <x v="217"/>
    <x v="84"/>
    <x v="65"/>
    <x v="65"/>
    <x v="123"/>
    <x v="279"/>
    <x v="0"/>
  </r>
  <r>
    <x v="0"/>
    <x v="184"/>
    <x v="184"/>
    <x v="75"/>
    <x v="75"/>
    <x v="75"/>
    <x v="11"/>
    <x v="217"/>
    <x v="84"/>
    <x v="65"/>
    <x v="65"/>
    <x v="127"/>
    <x v="151"/>
    <x v="0"/>
  </r>
  <r>
    <x v="0"/>
    <x v="184"/>
    <x v="184"/>
    <x v="236"/>
    <x v="230"/>
    <x v="236"/>
    <x v="11"/>
    <x v="217"/>
    <x v="84"/>
    <x v="65"/>
    <x v="65"/>
    <x v="123"/>
    <x v="279"/>
    <x v="0"/>
  </r>
  <r>
    <x v="0"/>
    <x v="184"/>
    <x v="184"/>
    <x v="78"/>
    <x v="78"/>
    <x v="78"/>
    <x v="11"/>
    <x v="217"/>
    <x v="84"/>
    <x v="65"/>
    <x v="65"/>
    <x v="123"/>
    <x v="279"/>
    <x v="0"/>
  </r>
  <r>
    <x v="0"/>
    <x v="184"/>
    <x v="184"/>
    <x v="58"/>
    <x v="58"/>
    <x v="58"/>
    <x v="11"/>
    <x v="217"/>
    <x v="84"/>
    <x v="65"/>
    <x v="65"/>
    <x v="123"/>
    <x v="279"/>
    <x v="0"/>
  </r>
  <r>
    <x v="0"/>
    <x v="184"/>
    <x v="184"/>
    <x v="28"/>
    <x v="28"/>
    <x v="28"/>
    <x v="11"/>
    <x v="217"/>
    <x v="84"/>
    <x v="50"/>
    <x v="627"/>
    <x v="127"/>
    <x v="151"/>
    <x v="0"/>
  </r>
  <r>
    <x v="0"/>
    <x v="184"/>
    <x v="184"/>
    <x v="68"/>
    <x v="68"/>
    <x v="68"/>
    <x v="11"/>
    <x v="217"/>
    <x v="84"/>
    <x v="65"/>
    <x v="65"/>
    <x v="123"/>
    <x v="279"/>
    <x v="0"/>
  </r>
  <r>
    <x v="0"/>
    <x v="184"/>
    <x v="184"/>
    <x v="48"/>
    <x v="48"/>
    <x v="48"/>
    <x v="11"/>
    <x v="217"/>
    <x v="84"/>
    <x v="65"/>
    <x v="65"/>
    <x v="123"/>
    <x v="279"/>
    <x v="0"/>
  </r>
  <r>
    <x v="0"/>
    <x v="184"/>
    <x v="184"/>
    <x v="12"/>
    <x v="12"/>
    <x v="12"/>
    <x v="11"/>
    <x v="217"/>
    <x v="84"/>
    <x v="50"/>
    <x v="627"/>
    <x v="127"/>
    <x v="151"/>
    <x v="0"/>
  </r>
  <r>
    <x v="0"/>
    <x v="184"/>
    <x v="184"/>
    <x v="11"/>
    <x v="11"/>
    <x v="11"/>
    <x v="11"/>
    <x v="217"/>
    <x v="84"/>
    <x v="65"/>
    <x v="65"/>
    <x v="123"/>
    <x v="279"/>
    <x v="0"/>
  </r>
  <r>
    <x v="0"/>
    <x v="184"/>
    <x v="184"/>
    <x v="42"/>
    <x v="42"/>
    <x v="42"/>
    <x v="11"/>
    <x v="217"/>
    <x v="84"/>
    <x v="65"/>
    <x v="65"/>
    <x v="123"/>
    <x v="279"/>
    <x v="0"/>
  </r>
  <r>
    <x v="0"/>
    <x v="184"/>
    <x v="184"/>
    <x v="7"/>
    <x v="7"/>
    <x v="7"/>
    <x v="11"/>
    <x v="217"/>
    <x v="84"/>
    <x v="50"/>
    <x v="627"/>
    <x v="127"/>
    <x v="151"/>
    <x v="0"/>
  </r>
  <r>
    <x v="0"/>
    <x v="184"/>
    <x v="184"/>
    <x v="15"/>
    <x v="15"/>
    <x v="15"/>
    <x v="11"/>
    <x v="217"/>
    <x v="84"/>
    <x v="65"/>
    <x v="65"/>
    <x v="123"/>
    <x v="279"/>
    <x v="0"/>
  </r>
  <r>
    <x v="0"/>
    <x v="184"/>
    <x v="184"/>
    <x v="115"/>
    <x v="115"/>
    <x v="115"/>
    <x v="11"/>
    <x v="217"/>
    <x v="84"/>
    <x v="65"/>
    <x v="65"/>
    <x v="123"/>
    <x v="279"/>
    <x v="0"/>
  </r>
  <r>
    <x v="0"/>
    <x v="184"/>
    <x v="184"/>
    <x v="207"/>
    <x v="204"/>
    <x v="207"/>
    <x v="11"/>
    <x v="217"/>
    <x v="84"/>
    <x v="65"/>
    <x v="65"/>
    <x v="123"/>
    <x v="279"/>
    <x v="0"/>
  </r>
  <r>
    <x v="0"/>
    <x v="184"/>
    <x v="184"/>
    <x v="139"/>
    <x v="139"/>
    <x v="139"/>
    <x v="11"/>
    <x v="217"/>
    <x v="84"/>
    <x v="65"/>
    <x v="65"/>
    <x v="123"/>
    <x v="279"/>
    <x v="0"/>
  </r>
  <r>
    <x v="0"/>
    <x v="184"/>
    <x v="184"/>
    <x v="5"/>
    <x v="5"/>
    <x v="5"/>
    <x v="11"/>
    <x v="217"/>
    <x v="84"/>
    <x v="50"/>
    <x v="627"/>
    <x v="127"/>
    <x v="151"/>
    <x v="0"/>
  </r>
  <r>
    <x v="0"/>
    <x v="184"/>
    <x v="184"/>
    <x v="3"/>
    <x v="3"/>
    <x v="3"/>
    <x v="11"/>
    <x v="217"/>
    <x v="84"/>
    <x v="50"/>
    <x v="627"/>
    <x v="127"/>
    <x v="151"/>
    <x v="0"/>
  </r>
  <r>
    <x v="0"/>
    <x v="184"/>
    <x v="184"/>
    <x v="103"/>
    <x v="103"/>
    <x v="103"/>
    <x v="11"/>
    <x v="217"/>
    <x v="84"/>
    <x v="65"/>
    <x v="65"/>
    <x v="123"/>
    <x v="279"/>
    <x v="0"/>
  </r>
  <r>
    <x v="0"/>
    <x v="184"/>
    <x v="184"/>
    <x v="171"/>
    <x v="169"/>
    <x v="171"/>
    <x v="11"/>
    <x v="217"/>
    <x v="84"/>
    <x v="65"/>
    <x v="65"/>
    <x v="123"/>
    <x v="279"/>
    <x v="0"/>
  </r>
  <r>
    <x v="0"/>
    <x v="184"/>
    <x v="184"/>
    <x v="123"/>
    <x v="123"/>
    <x v="123"/>
    <x v="11"/>
    <x v="217"/>
    <x v="84"/>
    <x v="65"/>
    <x v="65"/>
    <x v="123"/>
    <x v="279"/>
    <x v="0"/>
  </r>
  <r>
    <x v="0"/>
    <x v="184"/>
    <x v="184"/>
    <x v="52"/>
    <x v="52"/>
    <x v="52"/>
    <x v="11"/>
    <x v="217"/>
    <x v="84"/>
    <x v="65"/>
    <x v="65"/>
    <x v="127"/>
    <x v="151"/>
    <x v="0"/>
  </r>
  <r>
    <x v="0"/>
    <x v="184"/>
    <x v="184"/>
    <x v="23"/>
    <x v="23"/>
    <x v="23"/>
    <x v="11"/>
    <x v="217"/>
    <x v="84"/>
    <x v="50"/>
    <x v="627"/>
    <x v="127"/>
    <x v="151"/>
    <x v="0"/>
  </r>
  <r>
    <x v="0"/>
    <x v="184"/>
    <x v="184"/>
    <x v="6"/>
    <x v="6"/>
    <x v="6"/>
    <x v="11"/>
    <x v="217"/>
    <x v="84"/>
    <x v="65"/>
    <x v="65"/>
    <x v="123"/>
    <x v="279"/>
    <x v="0"/>
  </r>
  <r>
    <x v="0"/>
    <x v="184"/>
    <x v="184"/>
    <x v="43"/>
    <x v="43"/>
    <x v="43"/>
    <x v="11"/>
    <x v="217"/>
    <x v="84"/>
    <x v="65"/>
    <x v="65"/>
    <x v="127"/>
    <x v="151"/>
    <x v="0"/>
  </r>
  <r>
    <x v="0"/>
    <x v="184"/>
    <x v="184"/>
    <x v="71"/>
    <x v="71"/>
    <x v="71"/>
    <x v="11"/>
    <x v="217"/>
    <x v="84"/>
    <x v="65"/>
    <x v="65"/>
    <x v="123"/>
    <x v="279"/>
    <x v="0"/>
  </r>
  <r>
    <x v="0"/>
    <x v="184"/>
    <x v="184"/>
    <x v="83"/>
    <x v="83"/>
    <x v="83"/>
    <x v="11"/>
    <x v="217"/>
    <x v="84"/>
    <x v="50"/>
    <x v="627"/>
    <x v="127"/>
    <x v="151"/>
    <x v="0"/>
  </r>
  <r>
    <x v="0"/>
    <x v="185"/>
    <x v="185"/>
    <x v="1"/>
    <x v="1"/>
    <x v="1"/>
    <x v="0"/>
    <x v="209"/>
    <x v="540"/>
    <x v="94"/>
    <x v="749"/>
    <x v="93"/>
    <x v="141"/>
    <x v="0"/>
  </r>
  <r>
    <x v="0"/>
    <x v="185"/>
    <x v="185"/>
    <x v="3"/>
    <x v="3"/>
    <x v="3"/>
    <x v="1"/>
    <x v="208"/>
    <x v="201"/>
    <x v="68"/>
    <x v="750"/>
    <x v="123"/>
    <x v="143"/>
    <x v="0"/>
  </r>
  <r>
    <x v="0"/>
    <x v="185"/>
    <x v="185"/>
    <x v="54"/>
    <x v="54"/>
    <x v="54"/>
    <x v="2"/>
    <x v="196"/>
    <x v="537"/>
    <x v="56"/>
    <x v="751"/>
    <x v="119"/>
    <x v="357"/>
    <x v="0"/>
  </r>
  <r>
    <x v="0"/>
    <x v="185"/>
    <x v="185"/>
    <x v="42"/>
    <x v="42"/>
    <x v="42"/>
    <x v="2"/>
    <x v="196"/>
    <x v="537"/>
    <x v="65"/>
    <x v="65"/>
    <x v="98"/>
    <x v="272"/>
    <x v="0"/>
  </r>
  <r>
    <x v="0"/>
    <x v="185"/>
    <x v="185"/>
    <x v="82"/>
    <x v="82"/>
    <x v="82"/>
    <x v="2"/>
    <x v="196"/>
    <x v="537"/>
    <x v="65"/>
    <x v="65"/>
    <x v="98"/>
    <x v="272"/>
    <x v="0"/>
  </r>
  <r>
    <x v="0"/>
    <x v="185"/>
    <x v="185"/>
    <x v="10"/>
    <x v="10"/>
    <x v="10"/>
    <x v="5"/>
    <x v="197"/>
    <x v="306"/>
    <x v="65"/>
    <x v="65"/>
    <x v="67"/>
    <x v="319"/>
    <x v="0"/>
  </r>
  <r>
    <x v="0"/>
    <x v="185"/>
    <x v="185"/>
    <x v="5"/>
    <x v="5"/>
    <x v="5"/>
    <x v="5"/>
    <x v="197"/>
    <x v="306"/>
    <x v="39"/>
    <x v="485"/>
    <x v="127"/>
    <x v="151"/>
    <x v="0"/>
  </r>
  <r>
    <x v="0"/>
    <x v="185"/>
    <x v="185"/>
    <x v="127"/>
    <x v="127"/>
    <x v="127"/>
    <x v="7"/>
    <x v="198"/>
    <x v="532"/>
    <x v="65"/>
    <x v="65"/>
    <x v="119"/>
    <x v="357"/>
    <x v="0"/>
  </r>
  <r>
    <x v="0"/>
    <x v="185"/>
    <x v="185"/>
    <x v="62"/>
    <x v="62"/>
    <x v="62"/>
    <x v="7"/>
    <x v="198"/>
    <x v="532"/>
    <x v="56"/>
    <x v="751"/>
    <x v="108"/>
    <x v="320"/>
    <x v="0"/>
  </r>
  <r>
    <x v="0"/>
    <x v="185"/>
    <x v="185"/>
    <x v="2"/>
    <x v="2"/>
    <x v="2"/>
    <x v="7"/>
    <x v="198"/>
    <x v="532"/>
    <x v="51"/>
    <x v="752"/>
    <x v="127"/>
    <x v="151"/>
    <x v="0"/>
  </r>
  <r>
    <x v="0"/>
    <x v="185"/>
    <x v="185"/>
    <x v="13"/>
    <x v="13"/>
    <x v="13"/>
    <x v="10"/>
    <x v="199"/>
    <x v="309"/>
    <x v="65"/>
    <x v="65"/>
    <x v="110"/>
    <x v="494"/>
    <x v="0"/>
  </r>
  <r>
    <x v="0"/>
    <x v="185"/>
    <x v="185"/>
    <x v="11"/>
    <x v="11"/>
    <x v="11"/>
    <x v="10"/>
    <x v="199"/>
    <x v="309"/>
    <x v="56"/>
    <x v="751"/>
    <x v="93"/>
    <x v="141"/>
    <x v="0"/>
  </r>
  <r>
    <x v="0"/>
    <x v="185"/>
    <x v="185"/>
    <x v="7"/>
    <x v="7"/>
    <x v="7"/>
    <x v="10"/>
    <x v="199"/>
    <x v="309"/>
    <x v="70"/>
    <x v="753"/>
    <x v="123"/>
    <x v="143"/>
    <x v="0"/>
  </r>
  <r>
    <x v="0"/>
    <x v="185"/>
    <x v="185"/>
    <x v="4"/>
    <x v="4"/>
    <x v="4"/>
    <x v="10"/>
    <x v="199"/>
    <x v="309"/>
    <x v="62"/>
    <x v="208"/>
    <x v="127"/>
    <x v="151"/>
    <x v="0"/>
  </r>
  <r>
    <x v="0"/>
    <x v="185"/>
    <x v="185"/>
    <x v="8"/>
    <x v="8"/>
    <x v="8"/>
    <x v="10"/>
    <x v="199"/>
    <x v="309"/>
    <x v="62"/>
    <x v="208"/>
    <x v="127"/>
    <x v="151"/>
    <x v="0"/>
  </r>
  <r>
    <x v="0"/>
    <x v="185"/>
    <x v="185"/>
    <x v="58"/>
    <x v="58"/>
    <x v="58"/>
    <x v="14"/>
    <x v="200"/>
    <x v="76"/>
    <x v="65"/>
    <x v="65"/>
    <x v="108"/>
    <x v="320"/>
    <x v="0"/>
  </r>
  <r>
    <x v="0"/>
    <x v="185"/>
    <x v="185"/>
    <x v="68"/>
    <x v="68"/>
    <x v="68"/>
    <x v="14"/>
    <x v="200"/>
    <x v="76"/>
    <x v="56"/>
    <x v="751"/>
    <x v="123"/>
    <x v="143"/>
    <x v="0"/>
  </r>
  <r>
    <x v="0"/>
    <x v="185"/>
    <x v="185"/>
    <x v="55"/>
    <x v="55"/>
    <x v="55"/>
    <x v="14"/>
    <x v="200"/>
    <x v="76"/>
    <x v="65"/>
    <x v="65"/>
    <x v="108"/>
    <x v="320"/>
    <x v="0"/>
  </r>
  <r>
    <x v="0"/>
    <x v="185"/>
    <x v="185"/>
    <x v="45"/>
    <x v="45"/>
    <x v="45"/>
    <x v="14"/>
    <x v="200"/>
    <x v="76"/>
    <x v="56"/>
    <x v="751"/>
    <x v="123"/>
    <x v="143"/>
    <x v="0"/>
  </r>
  <r>
    <x v="0"/>
    <x v="185"/>
    <x v="185"/>
    <x v="131"/>
    <x v="131"/>
    <x v="131"/>
    <x v="14"/>
    <x v="200"/>
    <x v="76"/>
    <x v="56"/>
    <x v="751"/>
    <x v="123"/>
    <x v="143"/>
    <x v="0"/>
  </r>
  <r>
    <x v="0"/>
    <x v="185"/>
    <x v="185"/>
    <x v="9"/>
    <x v="9"/>
    <x v="9"/>
    <x v="14"/>
    <x v="200"/>
    <x v="76"/>
    <x v="70"/>
    <x v="753"/>
    <x v="127"/>
    <x v="151"/>
    <x v="0"/>
  </r>
  <r>
    <x v="0"/>
    <x v="185"/>
    <x v="185"/>
    <x v="34"/>
    <x v="34"/>
    <x v="34"/>
    <x v="14"/>
    <x v="200"/>
    <x v="76"/>
    <x v="56"/>
    <x v="751"/>
    <x v="123"/>
    <x v="143"/>
    <x v="0"/>
  </r>
  <r>
    <x v="0"/>
    <x v="185"/>
    <x v="185"/>
    <x v="103"/>
    <x v="103"/>
    <x v="103"/>
    <x v="14"/>
    <x v="200"/>
    <x v="76"/>
    <x v="56"/>
    <x v="751"/>
    <x v="123"/>
    <x v="143"/>
    <x v="0"/>
  </r>
  <r>
    <x v="0"/>
    <x v="185"/>
    <x v="185"/>
    <x v="19"/>
    <x v="19"/>
    <x v="19"/>
    <x v="14"/>
    <x v="200"/>
    <x v="76"/>
    <x v="56"/>
    <x v="751"/>
    <x v="123"/>
    <x v="143"/>
    <x v="0"/>
  </r>
  <r>
    <x v="0"/>
    <x v="186"/>
    <x v="186"/>
    <x v="0"/>
    <x v="0"/>
    <x v="0"/>
    <x v="0"/>
    <x v="167"/>
    <x v="541"/>
    <x v="119"/>
    <x v="754"/>
    <x v="110"/>
    <x v="435"/>
    <x v="0"/>
  </r>
  <r>
    <x v="0"/>
    <x v="186"/>
    <x v="186"/>
    <x v="3"/>
    <x v="3"/>
    <x v="3"/>
    <x v="1"/>
    <x v="205"/>
    <x v="542"/>
    <x v="55"/>
    <x v="337"/>
    <x v="127"/>
    <x v="151"/>
    <x v="0"/>
  </r>
  <r>
    <x v="0"/>
    <x v="186"/>
    <x v="186"/>
    <x v="1"/>
    <x v="1"/>
    <x v="1"/>
    <x v="2"/>
    <x v="193"/>
    <x v="314"/>
    <x v="38"/>
    <x v="755"/>
    <x v="127"/>
    <x v="151"/>
    <x v="0"/>
  </r>
  <r>
    <x v="0"/>
    <x v="186"/>
    <x v="186"/>
    <x v="42"/>
    <x v="42"/>
    <x v="42"/>
    <x v="3"/>
    <x v="194"/>
    <x v="478"/>
    <x v="50"/>
    <x v="202"/>
    <x v="104"/>
    <x v="495"/>
    <x v="0"/>
  </r>
  <r>
    <x v="0"/>
    <x v="186"/>
    <x v="186"/>
    <x v="2"/>
    <x v="2"/>
    <x v="2"/>
    <x v="3"/>
    <x v="194"/>
    <x v="478"/>
    <x v="89"/>
    <x v="423"/>
    <x v="123"/>
    <x v="385"/>
    <x v="0"/>
  </r>
  <r>
    <x v="0"/>
    <x v="186"/>
    <x v="186"/>
    <x v="17"/>
    <x v="17"/>
    <x v="17"/>
    <x v="5"/>
    <x v="207"/>
    <x v="256"/>
    <x v="65"/>
    <x v="65"/>
    <x v="104"/>
    <x v="495"/>
    <x v="0"/>
  </r>
  <r>
    <x v="0"/>
    <x v="186"/>
    <x v="186"/>
    <x v="45"/>
    <x v="45"/>
    <x v="45"/>
    <x v="5"/>
    <x v="207"/>
    <x v="256"/>
    <x v="77"/>
    <x v="180"/>
    <x v="123"/>
    <x v="385"/>
    <x v="0"/>
  </r>
  <r>
    <x v="0"/>
    <x v="186"/>
    <x v="186"/>
    <x v="5"/>
    <x v="5"/>
    <x v="5"/>
    <x v="7"/>
    <x v="195"/>
    <x v="293"/>
    <x v="100"/>
    <x v="756"/>
    <x v="123"/>
    <x v="385"/>
    <x v="0"/>
  </r>
  <r>
    <x v="0"/>
    <x v="186"/>
    <x v="186"/>
    <x v="89"/>
    <x v="89"/>
    <x v="89"/>
    <x v="8"/>
    <x v="210"/>
    <x v="103"/>
    <x v="65"/>
    <x v="65"/>
    <x v="109"/>
    <x v="496"/>
    <x v="0"/>
  </r>
  <r>
    <x v="0"/>
    <x v="186"/>
    <x v="186"/>
    <x v="19"/>
    <x v="19"/>
    <x v="19"/>
    <x v="8"/>
    <x v="210"/>
    <x v="103"/>
    <x v="95"/>
    <x v="351"/>
    <x v="123"/>
    <x v="385"/>
    <x v="0"/>
  </r>
  <r>
    <x v="0"/>
    <x v="186"/>
    <x v="186"/>
    <x v="21"/>
    <x v="21"/>
    <x v="21"/>
    <x v="10"/>
    <x v="196"/>
    <x v="324"/>
    <x v="50"/>
    <x v="202"/>
    <x v="67"/>
    <x v="284"/>
    <x v="0"/>
  </r>
  <r>
    <x v="0"/>
    <x v="186"/>
    <x v="186"/>
    <x v="12"/>
    <x v="12"/>
    <x v="12"/>
    <x v="10"/>
    <x v="196"/>
    <x v="324"/>
    <x v="62"/>
    <x v="236"/>
    <x v="108"/>
    <x v="103"/>
    <x v="0"/>
  </r>
  <r>
    <x v="0"/>
    <x v="186"/>
    <x v="186"/>
    <x v="53"/>
    <x v="53"/>
    <x v="53"/>
    <x v="10"/>
    <x v="196"/>
    <x v="324"/>
    <x v="65"/>
    <x v="65"/>
    <x v="123"/>
    <x v="385"/>
    <x v="0"/>
  </r>
  <r>
    <x v="0"/>
    <x v="186"/>
    <x v="186"/>
    <x v="10"/>
    <x v="10"/>
    <x v="10"/>
    <x v="13"/>
    <x v="197"/>
    <x v="48"/>
    <x v="65"/>
    <x v="65"/>
    <x v="67"/>
    <x v="284"/>
    <x v="0"/>
  </r>
  <r>
    <x v="0"/>
    <x v="186"/>
    <x v="186"/>
    <x v="40"/>
    <x v="40"/>
    <x v="40"/>
    <x v="13"/>
    <x v="197"/>
    <x v="48"/>
    <x v="70"/>
    <x v="757"/>
    <x v="108"/>
    <x v="103"/>
    <x v="0"/>
  </r>
  <r>
    <x v="0"/>
    <x v="186"/>
    <x v="186"/>
    <x v="7"/>
    <x v="7"/>
    <x v="7"/>
    <x v="13"/>
    <x v="197"/>
    <x v="48"/>
    <x v="56"/>
    <x v="528"/>
    <x v="110"/>
    <x v="435"/>
    <x v="0"/>
  </r>
  <r>
    <x v="0"/>
    <x v="186"/>
    <x v="186"/>
    <x v="8"/>
    <x v="8"/>
    <x v="8"/>
    <x v="13"/>
    <x v="197"/>
    <x v="48"/>
    <x v="39"/>
    <x v="758"/>
    <x v="127"/>
    <x v="151"/>
    <x v="0"/>
  </r>
  <r>
    <x v="0"/>
    <x v="186"/>
    <x v="186"/>
    <x v="54"/>
    <x v="54"/>
    <x v="54"/>
    <x v="16"/>
    <x v="198"/>
    <x v="10"/>
    <x v="50"/>
    <x v="202"/>
    <x v="110"/>
    <x v="435"/>
    <x v="0"/>
  </r>
  <r>
    <x v="0"/>
    <x v="186"/>
    <x v="186"/>
    <x v="36"/>
    <x v="36"/>
    <x v="36"/>
    <x v="16"/>
    <x v="198"/>
    <x v="10"/>
    <x v="62"/>
    <x v="236"/>
    <x v="123"/>
    <x v="385"/>
    <x v="0"/>
  </r>
  <r>
    <x v="0"/>
    <x v="186"/>
    <x v="186"/>
    <x v="51"/>
    <x v="51"/>
    <x v="51"/>
    <x v="16"/>
    <x v="198"/>
    <x v="10"/>
    <x v="70"/>
    <x v="757"/>
    <x v="93"/>
    <x v="497"/>
    <x v="0"/>
  </r>
  <r>
    <x v="0"/>
    <x v="186"/>
    <x v="186"/>
    <x v="4"/>
    <x v="4"/>
    <x v="4"/>
    <x v="16"/>
    <x v="198"/>
    <x v="10"/>
    <x v="51"/>
    <x v="333"/>
    <x v="127"/>
    <x v="151"/>
    <x v="0"/>
  </r>
  <r>
    <x v="0"/>
    <x v="186"/>
    <x v="186"/>
    <x v="9"/>
    <x v="9"/>
    <x v="9"/>
    <x v="16"/>
    <x v="198"/>
    <x v="10"/>
    <x v="62"/>
    <x v="236"/>
    <x v="123"/>
    <x v="385"/>
    <x v="0"/>
  </r>
  <r>
    <x v="0"/>
    <x v="187"/>
    <x v="187"/>
    <x v="0"/>
    <x v="0"/>
    <x v="0"/>
    <x v="0"/>
    <x v="202"/>
    <x v="250"/>
    <x v="114"/>
    <x v="759"/>
    <x v="104"/>
    <x v="98"/>
    <x v="0"/>
  </r>
  <r>
    <x v="0"/>
    <x v="187"/>
    <x v="187"/>
    <x v="1"/>
    <x v="1"/>
    <x v="1"/>
    <x v="1"/>
    <x v="130"/>
    <x v="458"/>
    <x v="145"/>
    <x v="420"/>
    <x v="108"/>
    <x v="186"/>
    <x v="0"/>
  </r>
  <r>
    <x v="0"/>
    <x v="187"/>
    <x v="187"/>
    <x v="2"/>
    <x v="2"/>
    <x v="2"/>
    <x v="2"/>
    <x v="113"/>
    <x v="201"/>
    <x v="35"/>
    <x v="760"/>
    <x v="127"/>
    <x v="151"/>
    <x v="0"/>
  </r>
  <r>
    <x v="0"/>
    <x v="187"/>
    <x v="187"/>
    <x v="3"/>
    <x v="3"/>
    <x v="3"/>
    <x v="3"/>
    <x v="167"/>
    <x v="39"/>
    <x v="118"/>
    <x v="531"/>
    <x v="127"/>
    <x v="151"/>
    <x v="0"/>
  </r>
  <r>
    <x v="0"/>
    <x v="187"/>
    <x v="187"/>
    <x v="11"/>
    <x v="11"/>
    <x v="11"/>
    <x v="4"/>
    <x v="136"/>
    <x v="543"/>
    <x v="38"/>
    <x v="664"/>
    <x v="79"/>
    <x v="498"/>
    <x v="0"/>
  </r>
  <r>
    <x v="0"/>
    <x v="187"/>
    <x v="187"/>
    <x v="5"/>
    <x v="5"/>
    <x v="5"/>
    <x v="5"/>
    <x v="140"/>
    <x v="5"/>
    <x v="67"/>
    <x v="529"/>
    <x v="123"/>
    <x v="99"/>
    <x v="0"/>
  </r>
  <r>
    <x v="0"/>
    <x v="187"/>
    <x v="187"/>
    <x v="6"/>
    <x v="6"/>
    <x v="6"/>
    <x v="6"/>
    <x v="209"/>
    <x v="41"/>
    <x v="32"/>
    <x v="615"/>
    <x v="123"/>
    <x v="99"/>
    <x v="0"/>
  </r>
  <r>
    <x v="0"/>
    <x v="187"/>
    <x v="187"/>
    <x v="40"/>
    <x v="40"/>
    <x v="40"/>
    <x v="7"/>
    <x v="204"/>
    <x v="369"/>
    <x v="62"/>
    <x v="46"/>
    <x v="79"/>
    <x v="498"/>
    <x v="0"/>
  </r>
  <r>
    <x v="0"/>
    <x v="187"/>
    <x v="187"/>
    <x v="13"/>
    <x v="13"/>
    <x v="13"/>
    <x v="7"/>
    <x v="204"/>
    <x v="369"/>
    <x v="70"/>
    <x v="717"/>
    <x v="76"/>
    <x v="499"/>
    <x v="0"/>
  </r>
  <r>
    <x v="0"/>
    <x v="187"/>
    <x v="187"/>
    <x v="4"/>
    <x v="4"/>
    <x v="4"/>
    <x v="7"/>
    <x v="204"/>
    <x v="369"/>
    <x v="102"/>
    <x v="727"/>
    <x v="108"/>
    <x v="186"/>
    <x v="0"/>
  </r>
  <r>
    <x v="0"/>
    <x v="187"/>
    <x v="187"/>
    <x v="9"/>
    <x v="9"/>
    <x v="9"/>
    <x v="10"/>
    <x v="205"/>
    <x v="107"/>
    <x v="89"/>
    <x v="217"/>
    <x v="110"/>
    <x v="500"/>
    <x v="0"/>
  </r>
  <r>
    <x v="0"/>
    <x v="187"/>
    <x v="187"/>
    <x v="8"/>
    <x v="8"/>
    <x v="8"/>
    <x v="10"/>
    <x v="205"/>
    <x v="107"/>
    <x v="102"/>
    <x v="727"/>
    <x v="123"/>
    <x v="99"/>
    <x v="0"/>
  </r>
  <r>
    <x v="0"/>
    <x v="187"/>
    <x v="187"/>
    <x v="17"/>
    <x v="17"/>
    <x v="17"/>
    <x v="12"/>
    <x v="193"/>
    <x v="29"/>
    <x v="70"/>
    <x v="717"/>
    <x v="106"/>
    <x v="501"/>
    <x v="0"/>
  </r>
  <r>
    <x v="0"/>
    <x v="187"/>
    <x v="187"/>
    <x v="21"/>
    <x v="21"/>
    <x v="21"/>
    <x v="13"/>
    <x v="194"/>
    <x v="10"/>
    <x v="50"/>
    <x v="10"/>
    <x v="104"/>
    <x v="98"/>
    <x v="0"/>
  </r>
  <r>
    <x v="0"/>
    <x v="187"/>
    <x v="187"/>
    <x v="47"/>
    <x v="47"/>
    <x v="47"/>
    <x v="13"/>
    <x v="194"/>
    <x v="10"/>
    <x v="95"/>
    <x v="12"/>
    <x v="119"/>
    <x v="231"/>
    <x v="0"/>
  </r>
  <r>
    <x v="0"/>
    <x v="187"/>
    <x v="187"/>
    <x v="41"/>
    <x v="41"/>
    <x v="41"/>
    <x v="14"/>
    <x v="207"/>
    <x v="13"/>
    <x v="39"/>
    <x v="198"/>
    <x v="119"/>
    <x v="231"/>
    <x v="0"/>
  </r>
  <r>
    <x v="0"/>
    <x v="187"/>
    <x v="187"/>
    <x v="12"/>
    <x v="12"/>
    <x v="12"/>
    <x v="15"/>
    <x v="208"/>
    <x v="18"/>
    <x v="51"/>
    <x v="528"/>
    <x v="119"/>
    <x v="231"/>
    <x v="0"/>
  </r>
  <r>
    <x v="0"/>
    <x v="187"/>
    <x v="187"/>
    <x v="42"/>
    <x v="42"/>
    <x v="42"/>
    <x v="15"/>
    <x v="208"/>
    <x v="18"/>
    <x v="50"/>
    <x v="10"/>
    <x v="113"/>
    <x v="203"/>
    <x v="0"/>
  </r>
  <r>
    <x v="0"/>
    <x v="187"/>
    <x v="187"/>
    <x v="55"/>
    <x v="55"/>
    <x v="55"/>
    <x v="15"/>
    <x v="208"/>
    <x v="18"/>
    <x v="56"/>
    <x v="761"/>
    <x v="109"/>
    <x v="77"/>
    <x v="0"/>
  </r>
  <r>
    <x v="0"/>
    <x v="187"/>
    <x v="187"/>
    <x v="15"/>
    <x v="15"/>
    <x v="15"/>
    <x v="15"/>
    <x v="208"/>
    <x v="18"/>
    <x v="95"/>
    <x v="12"/>
    <x v="108"/>
    <x v="186"/>
    <x v="0"/>
  </r>
  <r>
    <x v="0"/>
    <x v="188"/>
    <x v="188"/>
    <x v="0"/>
    <x v="0"/>
    <x v="0"/>
    <x v="0"/>
    <x v="210"/>
    <x v="536"/>
    <x v="95"/>
    <x v="762"/>
    <x v="127"/>
    <x v="151"/>
    <x v="0"/>
  </r>
  <r>
    <x v="0"/>
    <x v="188"/>
    <x v="188"/>
    <x v="5"/>
    <x v="5"/>
    <x v="5"/>
    <x v="0"/>
    <x v="210"/>
    <x v="536"/>
    <x v="100"/>
    <x v="763"/>
    <x v="127"/>
    <x v="151"/>
    <x v="0"/>
  </r>
  <r>
    <x v="0"/>
    <x v="188"/>
    <x v="188"/>
    <x v="2"/>
    <x v="2"/>
    <x v="2"/>
    <x v="2"/>
    <x v="197"/>
    <x v="241"/>
    <x v="39"/>
    <x v="673"/>
    <x v="127"/>
    <x v="151"/>
    <x v="0"/>
  </r>
  <r>
    <x v="0"/>
    <x v="188"/>
    <x v="188"/>
    <x v="54"/>
    <x v="54"/>
    <x v="54"/>
    <x v="3"/>
    <x v="198"/>
    <x v="537"/>
    <x v="65"/>
    <x v="65"/>
    <x v="119"/>
    <x v="502"/>
    <x v="0"/>
  </r>
  <r>
    <x v="0"/>
    <x v="188"/>
    <x v="188"/>
    <x v="51"/>
    <x v="51"/>
    <x v="51"/>
    <x v="3"/>
    <x v="198"/>
    <x v="537"/>
    <x v="51"/>
    <x v="626"/>
    <x v="127"/>
    <x v="151"/>
    <x v="0"/>
  </r>
  <r>
    <x v="0"/>
    <x v="188"/>
    <x v="188"/>
    <x v="40"/>
    <x v="40"/>
    <x v="40"/>
    <x v="5"/>
    <x v="199"/>
    <x v="229"/>
    <x v="56"/>
    <x v="374"/>
    <x v="93"/>
    <x v="142"/>
    <x v="0"/>
  </r>
  <r>
    <x v="0"/>
    <x v="188"/>
    <x v="188"/>
    <x v="12"/>
    <x v="12"/>
    <x v="12"/>
    <x v="5"/>
    <x v="199"/>
    <x v="229"/>
    <x v="56"/>
    <x v="374"/>
    <x v="93"/>
    <x v="142"/>
    <x v="0"/>
  </r>
  <r>
    <x v="0"/>
    <x v="188"/>
    <x v="188"/>
    <x v="47"/>
    <x v="47"/>
    <x v="47"/>
    <x v="5"/>
    <x v="199"/>
    <x v="229"/>
    <x v="70"/>
    <x v="29"/>
    <x v="123"/>
    <x v="220"/>
    <x v="0"/>
  </r>
  <r>
    <x v="0"/>
    <x v="188"/>
    <x v="188"/>
    <x v="42"/>
    <x v="42"/>
    <x v="42"/>
    <x v="5"/>
    <x v="199"/>
    <x v="229"/>
    <x v="50"/>
    <x v="67"/>
    <x v="108"/>
    <x v="342"/>
    <x v="0"/>
  </r>
  <r>
    <x v="0"/>
    <x v="188"/>
    <x v="188"/>
    <x v="3"/>
    <x v="3"/>
    <x v="3"/>
    <x v="5"/>
    <x v="199"/>
    <x v="229"/>
    <x v="62"/>
    <x v="324"/>
    <x v="127"/>
    <x v="151"/>
    <x v="0"/>
  </r>
  <r>
    <x v="0"/>
    <x v="188"/>
    <x v="188"/>
    <x v="53"/>
    <x v="53"/>
    <x v="53"/>
    <x v="5"/>
    <x v="199"/>
    <x v="229"/>
    <x v="65"/>
    <x v="65"/>
    <x v="127"/>
    <x v="151"/>
    <x v="0"/>
  </r>
  <r>
    <x v="0"/>
    <x v="188"/>
    <x v="188"/>
    <x v="10"/>
    <x v="10"/>
    <x v="10"/>
    <x v="11"/>
    <x v="200"/>
    <x v="43"/>
    <x v="65"/>
    <x v="65"/>
    <x v="108"/>
    <x v="342"/>
    <x v="0"/>
  </r>
  <r>
    <x v="0"/>
    <x v="188"/>
    <x v="188"/>
    <x v="31"/>
    <x v="31"/>
    <x v="31"/>
    <x v="11"/>
    <x v="200"/>
    <x v="43"/>
    <x v="56"/>
    <x v="374"/>
    <x v="123"/>
    <x v="220"/>
    <x v="0"/>
  </r>
  <r>
    <x v="0"/>
    <x v="188"/>
    <x v="188"/>
    <x v="14"/>
    <x v="14"/>
    <x v="14"/>
    <x v="11"/>
    <x v="200"/>
    <x v="43"/>
    <x v="65"/>
    <x v="65"/>
    <x v="108"/>
    <x v="342"/>
    <x v="0"/>
  </r>
  <r>
    <x v="0"/>
    <x v="188"/>
    <x v="188"/>
    <x v="41"/>
    <x v="41"/>
    <x v="41"/>
    <x v="11"/>
    <x v="200"/>
    <x v="43"/>
    <x v="70"/>
    <x v="29"/>
    <x v="127"/>
    <x v="151"/>
    <x v="0"/>
  </r>
  <r>
    <x v="0"/>
    <x v="188"/>
    <x v="188"/>
    <x v="133"/>
    <x v="133"/>
    <x v="133"/>
    <x v="11"/>
    <x v="200"/>
    <x v="43"/>
    <x v="70"/>
    <x v="29"/>
    <x v="127"/>
    <x v="151"/>
    <x v="0"/>
  </r>
  <r>
    <x v="0"/>
    <x v="188"/>
    <x v="188"/>
    <x v="45"/>
    <x v="45"/>
    <x v="45"/>
    <x v="11"/>
    <x v="200"/>
    <x v="43"/>
    <x v="70"/>
    <x v="29"/>
    <x v="127"/>
    <x v="151"/>
    <x v="0"/>
  </r>
  <r>
    <x v="0"/>
    <x v="188"/>
    <x v="188"/>
    <x v="1"/>
    <x v="1"/>
    <x v="1"/>
    <x v="11"/>
    <x v="200"/>
    <x v="43"/>
    <x v="70"/>
    <x v="29"/>
    <x v="127"/>
    <x v="151"/>
    <x v="0"/>
  </r>
  <r>
    <x v="0"/>
    <x v="188"/>
    <x v="188"/>
    <x v="52"/>
    <x v="52"/>
    <x v="52"/>
    <x v="11"/>
    <x v="200"/>
    <x v="43"/>
    <x v="65"/>
    <x v="65"/>
    <x v="127"/>
    <x v="151"/>
    <x v="0"/>
  </r>
  <r>
    <x v="0"/>
    <x v="188"/>
    <x v="188"/>
    <x v="46"/>
    <x v="46"/>
    <x v="46"/>
    <x v="18"/>
    <x v="216"/>
    <x v="180"/>
    <x v="50"/>
    <x v="67"/>
    <x v="123"/>
    <x v="220"/>
    <x v="0"/>
  </r>
  <r>
    <x v="0"/>
    <x v="188"/>
    <x v="188"/>
    <x v="13"/>
    <x v="13"/>
    <x v="13"/>
    <x v="18"/>
    <x v="216"/>
    <x v="180"/>
    <x v="65"/>
    <x v="65"/>
    <x v="93"/>
    <x v="142"/>
    <x v="0"/>
  </r>
  <r>
    <x v="0"/>
    <x v="188"/>
    <x v="188"/>
    <x v="89"/>
    <x v="89"/>
    <x v="89"/>
    <x v="18"/>
    <x v="216"/>
    <x v="180"/>
    <x v="65"/>
    <x v="65"/>
    <x v="93"/>
    <x v="142"/>
    <x v="0"/>
  </r>
  <r>
    <x v="0"/>
    <x v="188"/>
    <x v="188"/>
    <x v="21"/>
    <x v="21"/>
    <x v="21"/>
    <x v="18"/>
    <x v="216"/>
    <x v="180"/>
    <x v="65"/>
    <x v="65"/>
    <x v="93"/>
    <x v="142"/>
    <x v="0"/>
  </r>
  <r>
    <x v="0"/>
    <x v="188"/>
    <x v="188"/>
    <x v="44"/>
    <x v="44"/>
    <x v="44"/>
    <x v="18"/>
    <x v="216"/>
    <x v="180"/>
    <x v="50"/>
    <x v="67"/>
    <x v="123"/>
    <x v="220"/>
    <x v="0"/>
  </r>
  <r>
    <x v="0"/>
    <x v="188"/>
    <x v="188"/>
    <x v="7"/>
    <x v="7"/>
    <x v="7"/>
    <x v="18"/>
    <x v="216"/>
    <x v="180"/>
    <x v="56"/>
    <x v="374"/>
    <x v="127"/>
    <x v="151"/>
    <x v="0"/>
  </r>
  <r>
    <x v="0"/>
    <x v="188"/>
    <x v="188"/>
    <x v="115"/>
    <x v="115"/>
    <x v="115"/>
    <x v="18"/>
    <x v="216"/>
    <x v="180"/>
    <x v="65"/>
    <x v="65"/>
    <x v="93"/>
    <x v="142"/>
    <x v="0"/>
  </r>
  <r>
    <x v="0"/>
    <x v="188"/>
    <x v="188"/>
    <x v="4"/>
    <x v="4"/>
    <x v="4"/>
    <x v="18"/>
    <x v="216"/>
    <x v="180"/>
    <x v="56"/>
    <x v="374"/>
    <x v="127"/>
    <x v="151"/>
    <x v="0"/>
  </r>
  <r>
    <x v="0"/>
    <x v="188"/>
    <x v="188"/>
    <x v="8"/>
    <x v="8"/>
    <x v="8"/>
    <x v="18"/>
    <x v="216"/>
    <x v="180"/>
    <x v="50"/>
    <x v="67"/>
    <x v="123"/>
    <x v="220"/>
    <x v="0"/>
  </r>
  <r>
    <x v="0"/>
    <x v="188"/>
    <x v="188"/>
    <x v="6"/>
    <x v="6"/>
    <x v="6"/>
    <x v="18"/>
    <x v="216"/>
    <x v="180"/>
    <x v="56"/>
    <x v="374"/>
    <x v="127"/>
    <x v="151"/>
    <x v="0"/>
  </r>
  <r>
    <x v="0"/>
    <x v="188"/>
    <x v="188"/>
    <x v="72"/>
    <x v="72"/>
    <x v="72"/>
    <x v="18"/>
    <x v="216"/>
    <x v="180"/>
    <x v="65"/>
    <x v="65"/>
    <x v="127"/>
    <x v="151"/>
    <x v="0"/>
  </r>
  <r>
    <x v="0"/>
    <x v="188"/>
    <x v="188"/>
    <x v="83"/>
    <x v="83"/>
    <x v="83"/>
    <x v="18"/>
    <x v="216"/>
    <x v="180"/>
    <x v="56"/>
    <x v="374"/>
    <x v="127"/>
    <x v="151"/>
    <x v="0"/>
  </r>
  <r>
    <x v="0"/>
    <x v="189"/>
    <x v="189"/>
    <x v="0"/>
    <x v="0"/>
    <x v="0"/>
    <x v="0"/>
    <x v="140"/>
    <x v="544"/>
    <x v="102"/>
    <x v="764"/>
    <x v="98"/>
    <x v="503"/>
    <x v="0"/>
  </r>
  <r>
    <x v="0"/>
    <x v="189"/>
    <x v="189"/>
    <x v="54"/>
    <x v="54"/>
    <x v="54"/>
    <x v="1"/>
    <x v="194"/>
    <x v="428"/>
    <x v="62"/>
    <x v="671"/>
    <x v="109"/>
    <x v="504"/>
    <x v="0"/>
  </r>
  <r>
    <x v="0"/>
    <x v="189"/>
    <x v="189"/>
    <x v="51"/>
    <x v="51"/>
    <x v="51"/>
    <x v="2"/>
    <x v="195"/>
    <x v="545"/>
    <x v="51"/>
    <x v="292"/>
    <x v="110"/>
    <x v="451"/>
    <x v="0"/>
  </r>
  <r>
    <x v="0"/>
    <x v="189"/>
    <x v="189"/>
    <x v="2"/>
    <x v="2"/>
    <x v="2"/>
    <x v="2"/>
    <x v="195"/>
    <x v="545"/>
    <x v="68"/>
    <x v="703"/>
    <x v="127"/>
    <x v="151"/>
    <x v="0"/>
  </r>
  <r>
    <x v="0"/>
    <x v="189"/>
    <x v="189"/>
    <x v="1"/>
    <x v="1"/>
    <x v="1"/>
    <x v="2"/>
    <x v="195"/>
    <x v="545"/>
    <x v="100"/>
    <x v="704"/>
    <x v="123"/>
    <x v="326"/>
    <x v="0"/>
  </r>
  <r>
    <x v="0"/>
    <x v="189"/>
    <x v="189"/>
    <x v="12"/>
    <x v="12"/>
    <x v="12"/>
    <x v="5"/>
    <x v="197"/>
    <x v="546"/>
    <x v="62"/>
    <x v="671"/>
    <x v="93"/>
    <x v="452"/>
    <x v="0"/>
  </r>
  <r>
    <x v="0"/>
    <x v="189"/>
    <x v="189"/>
    <x v="5"/>
    <x v="5"/>
    <x v="5"/>
    <x v="6"/>
    <x v="198"/>
    <x v="306"/>
    <x v="51"/>
    <x v="292"/>
    <x v="127"/>
    <x v="151"/>
    <x v="0"/>
  </r>
  <r>
    <x v="0"/>
    <x v="189"/>
    <x v="189"/>
    <x v="3"/>
    <x v="3"/>
    <x v="3"/>
    <x v="6"/>
    <x v="198"/>
    <x v="306"/>
    <x v="51"/>
    <x v="292"/>
    <x v="127"/>
    <x v="151"/>
    <x v="0"/>
  </r>
  <r>
    <x v="0"/>
    <x v="189"/>
    <x v="189"/>
    <x v="28"/>
    <x v="28"/>
    <x v="28"/>
    <x v="8"/>
    <x v="199"/>
    <x v="81"/>
    <x v="56"/>
    <x v="352"/>
    <x v="93"/>
    <x v="452"/>
    <x v="0"/>
  </r>
  <r>
    <x v="0"/>
    <x v="189"/>
    <x v="189"/>
    <x v="45"/>
    <x v="45"/>
    <x v="45"/>
    <x v="8"/>
    <x v="199"/>
    <x v="81"/>
    <x v="62"/>
    <x v="671"/>
    <x v="127"/>
    <x v="151"/>
    <x v="0"/>
  </r>
  <r>
    <x v="0"/>
    <x v="189"/>
    <x v="189"/>
    <x v="46"/>
    <x v="46"/>
    <x v="46"/>
    <x v="10"/>
    <x v="200"/>
    <x v="8"/>
    <x v="56"/>
    <x v="352"/>
    <x v="123"/>
    <x v="326"/>
    <x v="0"/>
  </r>
  <r>
    <x v="0"/>
    <x v="189"/>
    <x v="189"/>
    <x v="36"/>
    <x v="36"/>
    <x v="36"/>
    <x v="10"/>
    <x v="200"/>
    <x v="8"/>
    <x v="50"/>
    <x v="299"/>
    <x v="93"/>
    <x v="452"/>
    <x v="0"/>
  </r>
  <r>
    <x v="0"/>
    <x v="189"/>
    <x v="189"/>
    <x v="42"/>
    <x v="42"/>
    <x v="42"/>
    <x v="10"/>
    <x v="200"/>
    <x v="8"/>
    <x v="50"/>
    <x v="299"/>
    <x v="93"/>
    <x v="452"/>
    <x v="0"/>
  </r>
  <r>
    <x v="0"/>
    <x v="189"/>
    <x v="189"/>
    <x v="15"/>
    <x v="15"/>
    <x v="15"/>
    <x v="10"/>
    <x v="200"/>
    <x v="8"/>
    <x v="50"/>
    <x v="299"/>
    <x v="93"/>
    <x v="452"/>
    <x v="0"/>
  </r>
  <r>
    <x v="0"/>
    <x v="189"/>
    <x v="189"/>
    <x v="9"/>
    <x v="9"/>
    <x v="9"/>
    <x v="10"/>
    <x v="200"/>
    <x v="8"/>
    <x v="70"/>
    <x v="425"/>
    <x v="127"/>
    <x v="151"/>
    <x v="0"/>
  </r>
  <r>
    <x v="0"/>
    <x v="189"/>
    <x v="189"/>
    <x v="6"/>
    <x v="6"/>
    <x v="6"/>
    <x v="10"/>
    <x v="200"/>
    <x v="8"/>
    <x v="70"/>
    <x v="425"/>
    <x v="127"/>
    <x v="151"/>
    <x v="0"/>
  </r>
  <r>
    <x v="0"/>
    <x v="189"/>
    <x v="189"/>
    <x v="17"/>
    <x v="17"/>
    <x v="17"/>
    <x v="15"/>
    <x v="216"/>
    <x v="181"/>
    <x v="65"/>
    <x v="65"/>
    <x v="93"/>
    <x v="452"/>
    <x v="0"/>
  </r>
  <r>
    <x v="0"/>
    <x v="189"/>
    <x v="189"/>
    <x v="237"/>
    <x v="231"/>
    <x v="237"/>
    <x v="15"/>
    <x v="216"/>
    <x v="181"/>
    <x v="65"/>
    <x v="65"/>
    <x v="93"/>
    <x v="452"/>
    <x v="0"/>
  </r>
  <r>
    <x v="0"/>
    <x v="189"/>
    <x v="189"/>
    <x v="70"/>
    <x v="70"/>
    <x v="70"/>
    <x v="15"/>
    <x v="216"/>
    <x v="181"/>
    <x v="65"/>
    <x v="65"/>
    <x v="93"/>
    <x v="452"/>
    <x v="0"/>
  </r>
  <r>
    <x v="0"/>
    <x v="189"/>
    <x v="189"/>
    <x v="78"/>
    <x v="78"/>
    <x v="78"/>
    <x v="15"/>
    <x v="216"/>
    <x v="181"/>
    <x v="65"/>
    <x v="65"/>
    <x v="93"/>
    <x v="452"/>
    <x v="0"/>
  </r>
  <r>
    <x v="0"/>
    <x v="189"/>
    <x v="189"/>
    <x v="153"/>
    <x v="152"/>
    <x v="153"/>
    <x v="15"/>
    <x v="216"/>
    <x v="181"/>
    <x v="65"/>
    <x v="65"/>
    <x v="93"/>
    <x v="452"/>
    <x v="0"/>
  </r>
  <r>
    <x v="0"/>
    <x v="189"/>
    <x v="189"/>
    <x v="68"/>
    <x v="68"/>
    <x v="68"/>
    <x v="15"/>
    <x v="216"/>
    <x v="181"/>
    <x v="65"/>
    <x v="65"/>
    <x v="93"/>
    <x v="452"/>
    <x v="0"/>
  </r>
  <r>
    <x v="0"/>
    <x v="189"/>
    <x v="189"/>
    <x v="44"/>
    <x v="44"/>
    <x v="44"/>
    <x v="15"/>
    <x v="216"/>
    <x v="181"/>
    <x v="50"/>
    <x v="299"/>
    <x v="123"/>
    <x v="326"/>
    <x v="0"/>
  </r>
  <r>
    <x v="0"/>
    <x v="189"/>
    <x v="189"/>
    <x v="18"/>
    <x v="18"/>
    <x v="18"/>
    <x v="15"/>
    <x v="216"/>
    <x v="181"/>
    <x v="65"/>
    <x v="65"/>
    <x v="93"/>
    <x v="452"/>
    <x v="0"/>
  </r>
  <r>
    <x v="0"/>
    <x v="189"/>
    <x v="189"/>
    <x v="7"/>
    <x v="7"/>
    <x v="7"/>
    <x v="15"/>
    <x v="216"/>
    <x v="181"/>
    <x v="50"/>
    <x v="299"/>
    <x v="123"/>
    <x v="326"/>
    <x v="0"/>
  </r>
  <r>
    <x v="0"/>
    <x v="189"/>
    <x v="189"/>
    <x v="24"/>
    <x v="24"/>
    <x v="24"/>
    <x v="15"/>
    <x v="216"/>
    <x v="181"/>
    <x v="50"/>
    <x v="299"/>
    <x v="123"/>
    <x v="326"/>
    <x v="0"/>
  </r>
  <r>
    <x v="0"/>
    <x v="189"/>
    <x v="189"/>
    <x v="131"/>
    <x v="131"/>
    <x v="131"/>
    <x v="15"/>
    <x v="216"/>
    <x v="181"/>
    <x v="56"/>
    <x v="352"/>
    <x v="127"/>
    <x v="151"/>
    <x v="0"/>
  </r>
  <r>
    <x v="0"/>
    <x v="189"/>
    <x v="189"/>
    <x v="109"/>
    <x v="109"/>
    <x v="109"/>
    <x v="15"/>
    <x v="216"/>
    <x v="181"/>
    <x v="65"/>
    <x v="65"/>
    <x v="93"/>
    <x v="452"/>
    <x v="0"/>
  </r>
  <r>
    <x v="0"/>
    <x v="189"/>
    <x v="189"/>
    <x v="19"/>
    <x v="19"/>
    <x v="19"/>
    <x v="15"/>
    <x v="216"/>
    <x v="181"/>
    <x v="56"/>
    <x v="352"/>
    <x v="127"/>
    <x v="151"/>
    <x v="0"/>
  </r>
  <r>
    <x v="0"/>
    <x v="189"/>
    <x v="189"/>
    <x v="83"/>
    <x v="83"/>
    <x v="83"/>
    <x v="15"/>
    <x v="216"/>
    <x v="181"/>
    <x v="65"/>
    <x v="65"/>
    <x v="93"/>
    <x v="45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BA8EF3-51F5-4628-98D8-D3113BC0959F}" name="pvt_L" cacheId="2128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5" indent="0" outline="1" outlineData="1" multipleFieldFilters="0" rowHeaderCaption="自治体／産業大分類" fieldListSortAscending="1">
  <location ref="A1:H3041" firstHeaderRow="0" firstDataRow="1" firstDataCol="1"/>
  <pivotFields count="11">
    <pivotField showAll="0"/>
    <pivotField showAll="0"/>
    <pivotField axis="axisRow" showAll="0">
      <items count="1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2"/>
    <field x="3"/>
  </rowFields>
  <rowItems count="304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総数／事業所数" fld="4" baseField="0" baseItem="0" numFmtId="176"/>
    <dataField name="総数／構成比" fld="5" baseField="0" baseItem="0" numFmtId="177"/>
    <dataField name="個人／事業所数" fld="6" baseField="0" baseItem="0" numFmtId="176"/>
    <dataField name="個人／構成比" fld="7" baseField="0" baseItem="0" numFmtId="177"/>
    <dataField name="法人／事業所数" fld="8" baseField="0" baseItem="0" numFmtId="176"/>
    <dataField name="法人／構成比" fld="9" baseField="0" baseItem="0" numFmtId="177"/>
    <dataField name="法人以外の団体／事業所数" fld="10" baseField="0" baseItem="0" numFmtId="176"/>
  </dataFields>
  <formats count="16">
    <format dxfId="2709">
      <pivotArea field="2" type="button" dataOnly="0" labelOnly="1" outline="0" axis="axisRow" fieldPosition="0"/>
    </format>
    <format dxfId="2708">
      <pivotArea outline="0" fieldPosition="0">
        <references count="1">
          <reference field="4294967294" count="1">
            <x v="0"/>
          </reference>
        </references>
      </pivotArea>
    </format>
    <format dxfId="2707">
      <pivotArea outline="0" fieldPosition="0">
        <references count="1">
          <reference field="4294967294" count="1">
            <x v="1"/>
          </reference>
        </references>
      </pivotArea>
    </format>
    <format dxfId="2706">
      <pivotArea outline="0" fieldPosition="0">
        <references count="1">
          <reference field="4294967294" count="1">
            <x v="2"/>
          </reference>
        </references>
      </pivotArea>
    </format>
    <format dxfId="2705">
      <pivotArea outline="0" fieldPosition="0">
        <references count="1">
          <reference field="4294967294" count="1">
            <x v="3"/>
          </reference>
        </references>
      </pivotArea>
    </format>
    <format dxfId="2704">
      <pivotArea outline="0" fieldPosition="0">
        <references count="1">
          <reference field="4294967294" count="1">
            <x v="4"/>
          </reference>
        </references>
      </pivotArea>
    </format>
    <format dxfId="2703">
      <pivotArea outline="0" fieldPosition="0">
        <references count="1">
          <reference field="4294967294" count="1">
            <x v="5"/>
          </reference>
        </references>
      </pivotArea>
    </format>
    <format dxfId="2702">
      <pivotArea outline="0" fieldPosition="0">
        <references count="1">
          <reference field="4294967294" count="1">
            <x v="6"/>
          </reference>
        </references>
      </pivotArea>
    </format>
    <format dxfId="2701">
      <pivotArea field="2" type="button" dataOnly="0" labelOnly="1" outline="0" axis="axisRow" fieldPosition="0"/>
    </format>
    <format dxfId="270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99">
      <pivotArea field="2" type="button" dataOnly="0" labelOnly="1" outline="0" axis="axisRow" fieldPosition="0"/>
    </format>
    <format dxfId="269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97">
      <pivotArea field="2" type="button" dataOnly="0" labelOnly="1" outline="0" axis="axisRow" fieldPosition="0"/>
    </format>
    <format dxfId="269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9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9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Dark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28879A-5A4A-41A9-A344-C4F2125F94B8}" name="pvt_M" cacheId="2129" applyNumberFormats="0" applyBorderFormats="0" applyFontFormats="0" applyPatternFormats="0" applyAlignmentFormats="0" applyWidthHeightFormats="1" dataCaption="値" updatedVersion="8" minRefreshableVersion="3" showDrill="0" enableDrill="0" useAutoFormatting="1" rowGrandTotals="0" colGrandTotals="0" itemPrintTitles="1" createdVersion="5" indent="0" outline="1" outlineData="1" multipleFieldFilters="0" rowHeaderCaption="自治体" fieldListSortAscending="1">
  <location ref="A1:I4851" firstHeaderRow="0" firstDataRow="1" firstDataCol="2"/>
  <pivotFields count="14">
    <pivotField showAll="0" defaultSubtotal="0">
      <items count="1">
        <item x="0"/>
      </items>
    </pivotField>
    <pivotField showAll="0" defaultSubtotal="0">
      <items count="190">
        <item x="184"/>
        <item x="14"/>
        <item x="26"/>
        <item x="68"/>
        <item x="71"/>
        <item x="72"/>
        <item x="73"/>
        <item x="69"/>
        <item x="151"/>
        <item x="147"/>
        <item x="70"/>
        <item x="42"/>
        <item x="67"/>
        <item x="94"/>
        <item x="96"/>
        <item x="93"/>
        <item x="95"/>
        <item x="115"/>
        <item x="92"/>
        <item x="157"/>
        <item x="61"/>
        <item x="37"/>
        <item x="167"/>
        <item x="169"/>
        <item x="168"/>
        <item x="161"/>
        <item x="162"/>
        <item x="164"/>
        <item x="163"/>
        <item x="90"/>
        <item x="89"/>
        <item x="91"/>
        <item x="53"/>
        <item x="54"/>
        <item x="20"/>
        <item x="75"/>
        <item x="74"/>
        <item x="52"/>
        <item x="63"/>
        <item x="85"/>
        <item x="105"/>
        <item x="106"/>
        <item x="84"/>
        <item x="107"/>
        <item x="83"/>
        <item x="179"/>
        <item x="16"/>
        <item x="41"/>
        <item x="77"/>
        <item x="76"/>
        <item x="79"/>
        <item x="180"/>
        <item x="181"/>
        <item x="171"/>
        <item x="170"/>
        <item x="27"/>
        <item x="33"/>
        <item x="154"/>
        <item x="155"/>
        <item x="36"/>
        <item x="1"/>
        <item x="9"/>
        <item x="10"/>
        <item x="11"/>
        <item x="8"/>
        <item x="2"/>
        <item x="4"/>
        <item x="7"/>
        <item x="5"/>
        <item x="6"/>
        <item x="3"/>
        <item x="32"/>
        <item x="56"/>
        <item x="30"/>
        <item x="126"/>
        <item x="125"/>
        <item x="124"/>
        <item x="60"/>
        <item x="15"/>
        <item x="134"/>
        <item x="136"/>
        <item x="135"/>
        <item x="66"/>
        <item x="65"/>
        <item x="123"/>
        <item x="178"/>
        <item x="13"/>
        <item x="48"/>
        <item x="49"/>
        <item x="50"/>
        <item x="51"/>
        <item x="101"/>
        <item x="111"/>
        <item x="110"/>
        <item x="102"/>
        <item x="165"/>
        <item x="166"/>
        <item x="97"/>
        <item x="98"/>
        <item x="103"/>
        <item x="99"/>
        <item x="100"/>
        <item x="104"/>
        <item x="109"/>
        <item x="137"/>
        <item x="139"/>
        <item x="138"/>
        <item x="156"/>
        <item x="38"/>
        <item x="62"/>
        <item x="47"/>
        <item x="46"/>
        <item x="44"/>
        <item x="78"/>
        <item x="28"/>
        <item x="34"/>
        <item x="183"/>
        <item x="182"/>
        <item x="116"/>
        <item x="176"/>
        <item x="177"/>
        <item x="17"/>
        <item x="35"/>
        <item x="24"/>
        <item x="113"/>
        <item x="173"/>
        <item x="114"/>
        <item x="112"/>
        <item x="174"/>
        <item x="175"/>
        <item x="172"/>
        <item x="121"/>
        <item x="122"/>
        <item x="127"/>
        <item x="131"/>
        <item x="40"/>
        <item x="64"/>
        <item x="23"/>
        <item x="119"/>
        <item x="120"/>
        <item x="118"/>
        <item x="55"/>
        <item x="160"/>
        <item x="185"/>
        <item x="149"/>
        <item x="12"/>
        <item x="25"/>
        <item x="187"/>
        <item x="188"/>
        <item x="39"/>
        <item x="0"/>
        <item x="18"/>
        <item x="43"/>
        <item x="45"/>
        <item x="159"/>
        <item x="31"/>
        <item x="146"/>
        <item x="133"/>
        <item x="132"/>
        <item x="21"/>
        <item x="189"/>
        <item x="140"/>
        <item x="143"/>
        <item x="144"/>
        <item x="142"/>
        <item x="141"/>
        <item x="145"/>
        <item x="29"/>
        <item x="186"/>
        <item x="153"/>
        <item x="152"/>
        <item x="150"/>
        <item x="108"/>
        <item x="148"/>
        <item x="88"/>
        <item x="87"/>
        <item x="86"/>
        <item x="19"/>
        <item x="80"/>
        <item x="82"/>
        <item x="81"/>
        <item x="158"/>
        <item x="129"/>
        <item x="130"/>
        <item x="117"/>
        <item x="22"/>
        <item x="128"/>
        <item x="59"/>
        <item x="57"/>
        <item x="58"/>
      </items>
    </pivotField>
    <pivotField axis="axisRow" showAll="0" insertBlankRow="1" defaultSubtotal="0">
      <items count="1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</items>
    </pivotField>
    <pivotField showAll="0" defaultSubtotal="0">
      <items count="73">
        <item x="60"/>
        <item x="4"/>
        <item x="5"/>
        <item x="8"/>
        <item x="28"/>
        <item x="49"/>
        <item x="39"/>
        <item x="32"/>
        <item x="45"/>
        <item x="72"/>
        <item x="38"/>
        <item x="50"/>
        <item x="51"/>
        <item x="46"/>
        <item x="66"/>
        <item x="42"/>
        <item x="59"/>
        <item x="40"/>
        <item x="54"/>
        <item x="33"/>
        <item x="71"/>
        <item x="65"/>
        <item x="63"/>
        <item x="44"/>
        <item x="55"/>
        <item x="52"/>
        <item x="56"/>
        <item x="41"/>
        <item x="68"/>
        <item x="70"/>
        <item x="22"/>
        <item x="62"/>
        <item x="64"/>
        <item x="67"/>
        <item x="25"/>
        <item x="35"/>
        <item x="61"/>
        <item x="47"/>
        <item x="48"/>
        <item x="69"/>
        <item x="18"/>
        <item x="17"/>
        <item x="15"/>
        <item x="16"/>
        <item x="53"/>
        <item x="13"/>
        <item x="6"/>
        <item x="11"/>
        <item x="3"/>
        <item x="23"/>
        <item x="24"/>
        <item x="20"/>
        <item x="2"/>
        <item x="31"/>
        <item x="43"/>
        <item x="10"/>
        <item x="58"/>
        <item x="12"/>
        <item x="30"/>
        <item x="0"/>
        <item x="26"/>
        <item x="1"/>
        <item x="19"/>
        <item x="34"/>
        <item x="9"/>
        <item x="7"/>
        <item x="14"/>
        <item x="36"/>
        <item x="27"/>
        <item x="29"/>
        <item x="57"/>
        <item x="21"/>
        <item x="37"/>
      </items>
    </pivotField>
    <pivotField showAll="0" defaultSubtotal="0">
      <items count="73">
        <item x="62"/>
        <item x="56"/>
        <item x="37"/>
        <item x="16"/>
        <item x="9"/>
        <item x="21"/>
        <item x="3"/>
        <item x="19"/>
        <item x="55"/>
        <item x="66"/>
        <item x="72"/>
        <item x="54"/>
        <item x="46"/>
        <item x="7"/>
        <item x="38"/>
        <item x="0"/>
        <item x="18"/>
        <item x="6"/>
        <item x="49"/>
        <item x="48"/>
        <item x="64"/>
        <item x="50"/>
        <item x="45"/>
        <item x="53"/>
        <item x="43"/>
        <item x="15"/>
        <item x="11"/>
        <item x="29"/>
        <item x="12"/>
        <item x="71"/>
        <item x="40"/>
        <item x="17"/>
        <item x="34"/>
        <item x="58"/>
        <item x="60"/>
        <item x="26"/>
        <item x="27"/>
        <item x="14"/>
        <item x="30"/>
        <item x="22"/>
        <item x="13"/>
        <item x="57"/>
        <item x="5"/>
        <item x="28"/>
        <item x="61"/>
        <item x="41"/>
        <item x="33"/>
        <item x="51"/>
        <item x="8"/>
        <item x="10"/>
        <item x="1"/>
        <item x="39"/>
        <item x="47"/>
        <item x="4"/>
        <item x="68"/>
        <item x="59"/>
        <item x="67"/>
        <item x="63"/>
        <item x="52"/>
        <item x="65"/>
        <item x="35"/>
        <item x="25"/>
        <item x="36"/>
        <item x="20"/>
        <item x="2"/>
        <item x="31"/>
        <item x="24"/>
        <item x="70"/>
        <item x="23"/>
        <item x="32"/>
        <item x="44"/>
        <item x="69"/>
        <item x="42"/>
      </items>
    </pivotField>
    <pivotField axis="axisRow" showAll="0" defaultSubtotal="0">
      <items count="73">
        <item x="60"/>
        <item x="4"/>
        <item x="5"/>
        <item x="8"/>
        <item x="28"/>
        <item x="49"/>
        <item x="39"/>
        <item x="32"/>
        <item x="45"/>
        <item x="72"/>
        <item x="38"/>
        <item x="50"/>
        <item x="51"/>
        <item x="46"/>
        <item x="66"/>
        <item x="42"/>
        <item x="59"/>
        <item x="40"/>
        <item x="54"/>
        <item x="33"/>
        <item x="71"/>
        <item x="65"/>
        <item x="63"/>
        <item x="44"/>
        <item x="55"/>
        <item x="52"/>
        <item x="56"/>
        <item x="41"/>
        <item x="68"/>
        <item x="70"/>
        <item x="22"/>
        <item x="62"/>
        <item x="64"/>
        <item x="67"/>
        <item x="25"/>
        <item x="35"/>
        <item x="61"/>
        <item x="47"/>
        <item x="48"/>
        <item x="69"/>
        <item x="18"/>
        <item x="17"/>
        <item x="15"/>
        <item x="16"/>
        <item x="53"/>
        <item x="13"/>
        <item x="6"/>
        <item x="11"/>
        <item x="3"/>
        <item x="23"/>
        <item x="24"/>
        <item x="20"/>
        <item x="2"/>
        <item x="31"/>
        <item x="43"/>
        <item x="10"/>
        <item x="58"/>
        <item x="12"/>
        <item x="30"/>
        <item x="0"/>
        <item x="26"/>
        <item x="1"/>
        <item x="19"/>
        <item x="34"/>
        <item x="9"/>
        <item x="7"/>
        <item x="14"/>
        <item x="36"/>
        <item x="27"/>
        <item x="29"/>
        <item x="57"/>
        <item x="21"/>
        <item x="37"/>
      </items>
    </pivotField>
    <pivotField axis="axisRow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 defaultSubtotal="0">
      <items count="290">
        <item x="287"/>
        <item x="252"/>
        <item x="251"/>
        <item x="250"/>
        <item x="249"/>
        <item x="248"/>
        <item x="247"/>
        <item x="269"/>
        <item x="268"/>
        <item x="280"/>
        <item x="264"/>
        <item x="263"/>
        <item x="246"/>
        <item x="279"/>
        <item x="267"/>
        <item x="262"/>
        <item x="261"/>
        <item x="259"/>
        <item x="258"/>
        <item x="245"/>
        <item x="260"/>
        <item x="164"/>
        <item x="175"/>
        <item x="163"/>
        <item x="162"/>
        <item x="140"/>
        <item x="139"/>
        <item x="138"/>
        <item x="174"/>
        <item x="137"/>
        <item x="161"/>
        <item x="136"/>
        <item x="218"/>
        <item x="160"/>
        <item x="135"/>
        <item x="198"/>
        <item x="266"/>
        <item x="244"/>
        <item x="217"/>
        <item x="283"/>
        <item x="197"/>
        <item x="134"/>
        <item x="159"/>
        <item x="133"/>
        <item x="154"/>
        <item x="169"/>
        <item x="124"/>
        <item x="168"/>
        <item x="158"/>
        <item x="196"/>
        <item x="216"/>
        <item x="157"/>
        <item x="278"/>
        <item x="173"/>
        <item x="156"/>
        <item x="257"/>
        <item x="195"/>
        <item x="123"/>
        <item x="194"/>
        <item x="153"/>
        <item x="152"/>
        <item x="122"/>
        <item x="132"/>
        <item x="95"/>
        <item x="131"/>
        <item x="110"/>
        <item x="237"/>
        <item x="109"/>
        <item x="288"/>
        <item x="130"/>
        <item x="94"/>
        <item x="108"/>
        <item x="77"/>
        <item x="265"/>
        <item x="289"/>
        <item x="172"/>
        <item x="276"/>
        <item x="107"/>
        <item x="256"/>
        <item x="121"/>
        <item x="76"/>
        <item x="151"/>
        <item x="75"/>
        <item x="120"/>
        <item x="215"/>
        <item x="227"/>
        <item x="74"/>
        <item x="150"/>
        <item x="243"/>
        <item x="93"/>
        <item x="190"/>
        <item x="171"/>
        <item x="167"/>
        <item x="119"/>
        <item x="92"/>
        <item x="73"/>
        <item x="149"/>
        <item x="189"/>
        <item x="91"/>
        <item x="90"/>
        <item x="226"/>
        <item x="72"/>
        <item x="118"/>
        <item x="286"/>
        <item x="188"/>
        <item x="71"/>
        <item x="129"/>
        <item x="106"/>
        <item x="105"/>
        <item x="89"/>
        <item x="155"/>
        <item x="70"/>
        <item x="88"/>
        <item x="242"/>
        <item x="87"/>
        <item x="170"/>
        <item x="211"/>
        <item x="128"/>
        <item x="104"/>
        <item x="284"/>
        <item x="69"/>
        <item x="68"/>
        <item x="236"/>
        <item x="148"/>
        <item x="235"/>
        <item x="275"/>
        <item x="282"/>
        <item x="234"/>
        <item x="187"/>
        <item x="147"/>
        <item x="225"/>
        <item x="214"/>
        <item x="210"/>
        <item x="58"/>
        <item x="166"/>
        <item x="117"/>
        <item x="57"/>
        <item x="103"/>
        <item x="67"/>
        <item x="116"/>
        <item x="115"/>
        <item x="186"/>
        <item x="146"/>
        <item x="277"/>
        <item x="145"/>
        <item x="86"/>
        <item x="224"/>
        <item x="223"/>
        <item x="56"/>
        <item x="114"/>
        <item x="209"/>
        <item x="222"/>
        <item x="85"/>
        <item x="274"/>
        <item x="102"/>
        <item x="55"/>
        <item x="241"/>
        <item x="144"/>
        <item x="233"/>
        <item x="213"/>
        <item x="66"/>
        <item x="101"/>
        <item x="255"/>
        <item x="273"/>
        <item x="84"/>
        <item x="54"/>
        <item x="254"/>
        <item x="253"/>
        <item x="185"/>
        <item x="272"/>
        <item x="208"/>
        <item x="184"/>
        <item x="53"/>
        <item x="281"/>
        <item x="127"/>
        <item x="65"/>
        <item x="165"/>
        <item x="207"/>
        <item x="183"/>
        <item x="100"/>
        <item x="126"/>
        <item x="240"/>
        <item x="206"/>
        <item x="232"/>
        <item x="52"/>
        <item x="205"/>
        <item x="182"/>
        <item x="51"/>
        <item x="83"/>
        <item x="82"/>
        <item x="50"/>
        <item x="285"/>
        <item x="113"/>
        <item x="81"/>
        <item x="193"/>
        <item x="125"/>
        <item x="49"/>
        <item x="48"/>
        <item x="231"/>
        <item x="64"/>
        <item x="63"/>
        <item x="192"/>
        <item x="239"/>
        <item x="99"/>
        <item x="212"/>
        <item x="143"/>
        <item x="230"/>
        <item x="98"/>
        <item x="47"/>
        <item x="80"/>
        <item x="97"/>
        <item x="62"/>
        <item x="238"/>
        <item x="46"/>
        <item x="181"/>
        <item x="112"/>
        <item x="142"/>
        <item x="61"/>
        <item x="204"/>
        <item x="45"/>
        <item x="203"/>
        <item x="79"/>
        <item x="180"/>
        <item x="271"/>
        <item x="270"/>
        <item x="191"/>
        <item x="202"/>
        <item x="179"/>
        <item x="60"/>
        <item x="59"/>
        <item x="141"/>
        <item x="221"/>
        <item x="220"/>
        <item x="178"/>
        <item x="229"/>
        <item x="44"/>
        <item x="39"/>
        <item x="78"/>
        <item x="38"/>
        <item x="37"/>
        <item x="96"/>
        <item x="111"/>
        <item x="201"/>
        <item x="36"/>
        <item x="35"/>
        <item x="228"/>
        <item x="219"/>
        <item x="177"/>
        <item x="34"/>
        <item x="43"/>
        <item x="176"/>
        <item x="33"/>
        <item x="32"/>
        <item x="200"/>
        <item x="42"/>
        <item x="31"/>
        <item x="41"/>
        <item x="199"/>
        <item x="30"/>
        <item x="29"/>
        <item x="19"/>
        <item x="28"/>
        <item x="18"/>
        <item x="27"/>
        <item x="26"/>
        <item x="25"/>
        <item x="17"/>
        <item x="24"/>
        <item x="16"/>
        <item x="23"/>
        <item x="15"/>
        <item x="40"/>
        <item x="14"/>
        <item x="13"/>
        <item x="12"/>
        <item x="11"/>
        <item x="10"/>
        <item x="22"/>
        <item x="9"/>
        <item x="8"/>
        <item x="7"/>
        <item x="21"/>
        <item x="6"/>
        <item x="20"/>
        <item x="5"/>
        <item x="4"/>
        <item x="3"/>
        <item x="2"/>
        <item x="1"/>
        <item x="0"/>
      </items>
    </pivotField>
    <pivotField dataField="1" showAll="0" defaultSubtotal="0">
      <items count="929">
        <item x="567"/>
        <item x="874"/>
        <item x="328"/>
        <item x="554"/>
        <item x="358"/>
        <item x="338"/>
        <item x="870"/>
        <item x="760"/>
        <item x="431"/>
        <item x="717"/>
        <item x="643"/>
        <item x="691"/>
        <item x="504"/>
        <item x="327"/>
        <item x="496"/>
        <item x="578"/>
        <item x="746"/>
        <item x="266"/>
        <item x="816"/>
        <item x="388"/>
        <item x="277"/>
        <item x="754"/>
        <item x="349"/>
        <item x="403"/>
        <item x="532"/>
        <item x="545"/>
        <item x="210"/>
        <item x="479"/>
        <item x="337"/>
        <item x="448"/>
        <item x="456"/>
        <item x="326"/>
        <item x="348"/>
        <item x="18"/>
        <item x="140"/>
        <item x="289"/>
        <item x="357"/>
        <item x="513"/>
        <item x="126"/>
        <item x="455"/>
        <item x="17"/>
        <item x="233"/>
        <item x="55"/>
        <item x="125"/>
        <item x="802"/>
        <item x="54"/>
        <item x="288"/>
        <item x="115"/>
        <item x="85"/>
        <item x="209"/>
        <item x="232"/>
        <item x="181"/>
        <item x="167"/>
        <item x="99"/>
        <item x="402"/>
        <item x="231"/>
        <item x="336"/>
        <item x="71"/>
        <item x="16"/>
        <item x="208"/>
        <item x="859"/>
        <item x="310"/>
        <item x="53"/>
        <item x="15"/>
        <item x="38"/>
        <item x="221"/>
        <item x="320"/>
        <item x="124"/>
        <item x="413"/>
        <item x="180"/>
        <item x="154"/>
        <item x="52"/>
        <item x="395"/>
        <item x="98"/>
        <item x="139"/>
        <item x="37"/>
        <item x="242"/>
        <item x="138"/>
        <item x="258"/>
        <item x="36"/>
        <item x="923"/>
        <item x="374"/>
        <item x="123"/>
        <item x="14"/>
        <item x="394"/>
        <item x="137"/>
        <item x="319"/>
        <item x="51"/>
        <item x="713"/>
        <item x="166"/>
        <item x="298"/>
        <item x="114"/>
        <item x="35"/>
        <item x="759"/>
        <item x="309"/>
        <item x="194"/>
        <item x="430"/>
        <item x="318"/>
        <item x="97"/>
        <item x="84"/>
        <item x="241"/>
        <item x="364"/>
        <item x="287"/>
        <item x="207"/>
        <item x="34"/>
        <item x="70"/>
        <item x="83"/>
        <item x="297"/>
        <item x="412"/>
        <item x="276"/>
        <item x="206"/>
        <item x="473"/>
        <item x="495"/>
        <item x="193"/>
        <item x="153"/>
        <item x="373"/>
        <item x="33"/>
        <item x="69"/>
        <item x="179"/>
        <item x="265"/>
        <item x="13"/>
        <item x="275"/>
        <item x="220"/>
        <item x="665"/>
        <item x="12"/>
        <item x="122"/>
        <item x="82"/>
        <item x="219"/>
        <item x="11"/>
        <item x="630"/>
        <item x="463"/>
        <item x="308"/>
        <item x="230"/>
        <item x="32"/>
        <item x="152"/>
        <item x="782"/>
        <item x="136"/>
        <item x="317"/>
        <item x="363"/>
        <item x="205"/>
        <item x="31"/>
        <item x="192"/>
        <item x="68"/>
        <item x="50"/>
        <item x="610"/>
        <item x="113"/>
        <item x="204"/>
        <item x="710"/>
        <item x="257"/>
        <item x="419"/>
        <item x="49"/>
        <item x="165"/>
        <item x="135"/>
        <item x="30"/>
        <item x="81"/>
        <item x="296"/>
        <item x="151"/>
        <item x="112"/>
        <item x="286"/>
        <item x="356"/>
        <item x="96"/>
        <item x="10"/>
        <item x="95"/>
        <item x="668"/>
        <item x="150"/>
        <item x="67"/>
        <item x="191"/>
        <item x="66"/>
        <item x="249"/>
        <item x="285"/>
        <item x="307"/>
        <item x="48"/>
        <item x="178"/>
        <item x="418"/>
        <item x="440"/>
        <item x="387"/>
        <item x="47"/>
        <item x="347"/>
        <item x="636"/>
        <item x="248"/>
        <item x="472"/>
        <item x="462"/>
        <item x="164"/>
        <item x="487"/>
        <item x="738"/>
        <item x="111"/>
        <item x="94"/>
        <item x="29"/>
        <item x="527"/>
        <item x="203"/>
        <item x="284"/>
        <item x="110"/>
        <item x="218"/>
        <item x="618"/>
        <item x="478"/>
        <item x="825"/>
        <item x="417"/>
        <item x="274"/>
        <item x="604"/>
        <item x="775"/>
        <item x="335"/>
        <item x="28"/>
        <item x="651"/>
        <item x="109"/>
        <item x="439"/>
        <item x="429"/>
        <item x="190"/>
        <item x="9"/>
        <item x="65"/>
        <item x="108"/>
        <item x="538"/>
        <item x="494"/>
        <item x="617"/>
        <item x="306"/>
        <item x="107"/>
        <item x="273"/>
        <item x="46"/>
        <item x="121"/>
        <item x="853"/>
        <item x="189"/>
        <item x="438"/>
        <item x="149"/>
        <item x="264"/>
        <item x="401"/>
        <item x="217"/>
        <item x="512"/>
        <item x="120"/>
        <item x="148"/>
        <item x="256"/>
        <item x="447"/>
        <item x="372"/>
        <item x="411"/>
        <item x="894"/>
        <item x="700"/>
        <item x="177"/>
        <item x="93"/>
        <item x="255"/>
        <item x="751"/>
        <item x="852"/>
        <item x="254"/>
        <item x="134"/>
        <item x="163"/>
        <item x="272"/>
        <item x="45"/>
        <item x="8"/>
        <item x="325"/>
        <item x="202"/>
        <item x="503"/>
        <item x="80"/>
        <item x="624"/>
        <item x="410"/>
        <item x="771"/>
        <item x="562"/>
        <item x="928"/>
        <item x="7"/>
        <item x="461"/>
        <item x="629"/>
        <item x="609"/>
        <item x="240"/>
        <item x="133"/>
        <item x="44"/>
        <item x="664"/>
        <item x="486"/>
        <item x="239"/>
        <item x="295"/>
        <item x="305"/>
        <item x="316"/>
        <item x="722"/>
        <item x="247"/>
        <item x="471"/>
        <item x="847"/>
        <item x="362"/>
        <item x="79"/>
        <item x="64"/>
        <item x="238"/>
        <item x="386"/>
        <item x="188"/>
        <item x="858"/>
        <item x="460"/>
        <item x="147"/>
        <item x="727"/>
        <item x="642"/>
        <item x="132"/>
        <item x="27"/>
        <item x="409"/>
        <item x="400"/>
        <item x="446"/>
        <item x="201"/>
        <item x="428"/>
        <item x="650"/>
        <item x="92"/>
        <item x="477"/>
        <item x="6"/>
        <item x="485"/>
        <item x="628"/>
        <item x="176"/>
        <item x="616"/>
        <item x="146"/>
        <item x="824"/>
        <item x="801"/>
        <item x="493"/>
        <item x="742"/>
        <item x="200"/>
        <item x="229"/>
        <item x="914"/>
        <item x="380"/>
        <item x="808"/>
        <item x="371"/>
        <item x="26"/>
        <item x="78"/>
        <item x="228"/>
        <item x="91"/>
        <item x="615"/>
        <item x="199"/>
        <item x="361"/>
        <item x="901"/>
        <item x="216"/>
        <item x="253"/>
        <item x="63"/>
        <item x="106"/>
        <item x="370"/>
        <item x="549"/>
        <item x="526"/>
        <item x="623"/>
        <item x="25"/>
        <item x="399"/>
        <item x="131"/>
        <item x="561"/>
        <item x="811"/>
        <item x="785"/>
        <item x="24"/>
        <item x="283"/>
        <item x="832"/>
        <item x="62"/>
        <item x="105"/>
        <item x="511"/>
        <item x="577"/>
        <item x="379"/>
        <item x="104"/>
        <item x="649"/>
        <item x="857"/>
        <item x="582"/>
        <item x="807"/>
        <item x="660"/>
        <item x="758"/>
        <item x="227"/>
        <item x="369"/>
        <item x="797"/>
        <item x="548"/>
        <item x="175"/>
        <item x="334"/>
        <item x="23"/>
        <item x="673"/>
        <item x="800"/>
        <item x="679"/>
        <item x="5"/>
        <item x="525"/>
        <item x="226"/>
        <item x="304"/>
        <item x="641"/>
        <item x="315"/>
        <item x="162"/>
        <item x="145"/>
        <item x="385"/>
        <item x="271"/>
        <item x="174"/>
        <item x="408"/>
        <item x="690"/>
        <item x="845"/>
        <item x="103"/>
        <item x="246"/>
        <item x="130"/>
        <item x="215"/>
        <item x="831"/>
        <item x="22"/>
        <item x="161"/>
        <item x="470"/>
        <item x="393"/>
        <item x="437"/>
        <item x="589"/>
        <item x="324"/>
        <item x="537"/>
        <item x="492"/>
        <item x="90"/>
        <item x="879"/>
        <item x="4"/>
        <item x="922"/>
        <item x="510"/>
        <item x="763"/>
        <item x="576"/>
        <item x="160"/>
        <item x="622"/>
        <item x="270"/>
        <item x="43"/>
        <item x="519"/>
        <item x="303"/>
        <item x="333"/>
        <item x="699"/>
        <item x="890"/>
        <item x="144"/>
        <item x="815"/>
        <item x="469"/>
        <item x="659"/>
        <item x="392"/>
        <item x="427"/>
        <item x="484"/>
        <item x="294"/>
        <item x="355"/>
        <item x="753"/>
        <item x="468"/>
        <item x="119"/>
        <item x="436"/>
        <item x="806"/>
        <item x="719"/>
        <item x="794"/>
        <item x="314"/>
        <item x="302"/>
        <item x="346"/>
        <item x="770"/>
        <item x="77"/>
        <item x="524"/>
        <item x="869"/>
        <item x="76"/>
        <item x="187"/>
        <item x="454"/>
        <item x="237"/>
        <item x="173"/>
        <item x="594"/>
        <item x="544"/>
        <item x="851"/>
        <item x="453"/>
        <item x="868"/>
        <item x="282"/>
        <item x="864"/>
        <item x="909"/>
        <item x="214"/>
        <item x="708"/>
        <item x="354"/>
        <item x="836"/>
        <item x="159"/>
        <item x="483"/>
        <item x="686"/>
        <item x="912"/>
        <item x="245"/>
        <item x="698"/>
        <item x="75"/>
        <item x="672"/>
        <item x="422"/>
        <item x="810"/>
        <item x="881"/>
        <item x="749"/>
        <item x="416"/>
        <item x="523"/>
        <item x="61"/>
        <item x="498"/>
        <item x="293"/>
        <item x="560"/>
        <item x="813"/>
        <item x="482"/>
        <item x="925"/>
        <item x="345"/>
        <item x="467"/>
        <item x="60"/>
        <item x="681"/>
        <item x="575"/>
        <item x="301"/>
        <item x="407"/>
        <item x="588"/>
        <item x="466"/>
        <item x="543"/>
        <item x="344"/>
        <item x="823"/>
        <item x="748"/>
        <item x="3"/>
        <item x="509"/>
        <item x="186"/>
        <item x="491"/>
        <item x="863"/>
        <item x="313"/>
        <item x="663"/>
        <item x="790"/>
        <item x="553"/>
        <item x="368"/>
        <item x="667"/>
        <item x="158"/>
        <item x="887"/>
        <item x="697"/>
        <item x="793"/>
        <item x="911"/>
        <item x="406"/>
        <item x="452"/>
        <item x="343"/>
        <item x="536"/>
        <item x="445"/>
        <item x="518"/>
        <item x="638"/>
        <item x="465"/>
        <item x="741"/>
        <item x="809"/>
        <item x="689"/>
        <item x="263"/>
        <item x="581"/>
        <item x="391"/>
        <item x="172"/>
        <item x="502"/>
        <item x="225"/>
        <item x="872"/>
        <item x="917"/>
        <item x="850"/>
        <item x="185"/>
        <item x="769"/>
        <item x="675"/>
        <item x="693"/>
        <item x="332"/>
        <item x="508"/>
        <item x="398"/>
        <item x="704"/>
        <item x="862"/>
        <item x="678"/>
        <item x="171"/>
        <item x="707"/>
        <item x="198"/>
        <item x="89"/>
        <item x="614"/>
        <item x="540"/>
        <item x="426"/>
        <item x="603"/>
        <item x="695"/>
        <item x="721"/>
        <item x="910"/>
        <item x="342"/>
        <item x="522"/>
        <item x="476"/>
        <item x="747"/>
        <item x="59"/>
        <item x="312"/>
        <item x="799"/>
        <item x="170"/>
        <item x="680"/>
        <item x="378"/>
        <item x="648"/>
        <item x="415"/>
        <item x="88"/>
        <item x="900"/>
        <item x="384"/>
        <item x="587"/>
        <item x="702"/>
        <item x="42"/>
        <item x="74"/>
        <item x="835"/>
        <item x="841"/>
        <item x="726"/>
        <item x="425"/>
        <item x="640"/>
        <item x="658"/>
        <item x="157"/>
        <item x="889"/>
        <item x="898"/>
        <item x="683"/>
        <item x="867"/>
        <item x="58"/>
        <item x="730"/>
        <item x="621"/>
        <item x="593"/>
        <item x="156"/>
        <item x="787"/>
        <item x="694"/>
        <item x="559"/>
        <item x="685"/>
        <item x="897"/>
        <item x="444"/>
        <item x="557"/>
        <item x="627"/>
        <item x="341"/>
        <item x="908"/>
        <item x="87"/>
        <item x="613"/>
        <item x="102"/>
        <item x="281"/>
        <item x="292"/>
        <item x="464"/>
        <item x="766"/>
        <item x="515"/>
        <item x="451"/>
        <item x="184"/>
        <item x="820"/>
        <item x="331"/>
        <item x="566"/>
        <item x="323"/>
        <item x="608"/>
        <item x="757"/>
        <item x="570"/>
        <item x="252"/>
        <item x="353"/>
        <item x="143"/>
        <item x="367"/>
        <item x="657"/>
        <item x="885"/>
        <item x="73"/>
        <item x="41"/>
        <item x="475"/>
        <item x="716"/>
        <item x="481"/>
        <item x="733"/>
        <item x="729"/>
        <item x="828"/>
        <item x="839"/>
        <item x="599"/>
        <item x="701"/>
        <item x="620"/>
        <item x="877"/>
        <item x="2"/>
        <item x="884"/>
        <item x="443"/>
        <item x="435"/>
        <item x="788"/>
        <item x="784"/>
        <item x="169"/>
        <item x="129"/>
        <item x="535"/>
        <item x="224"/>
        <item x="834"/>
        <item x="552"/>
        <item x="213"/>
        <item x="590"/>
        <item x="893"/>
        <item x="531"/>
        <item x="647"/>
        <item x="706"/>
        <item x="21"/>
        <item x="383"/>
        <item x="805"/>
        <item x="40"/>
        <item x="709"/>
        <item x="340"/>
        <item x="778"/>
        <item x="822"/>
        <item x="696"/>
        <item x="732"/>
        <item x="521"/>
        <item x="574"/>
        <item x="674"/>
        <item x="644"/>
        <item x="886"/>
        <item x="671"/>
        <item x="607"/>
        <item x="878"/>
        <item x="490"/>
        <item x="740"/>
        <item x="619"/>
        <item x="817"/>
        <item x="920"/>
        <item x="507"/>
        <item x="197"/>
        <item x="907"/>
        <item x="905"/>
        <item x="573"/>
        <item x="838"/>
        <item x="779"/>
        <item x="783"/>
        <item x="662"/>
        <item x="517"/>
        <item x="542"/>
        <item x="280"/>
        <item x="474"/>
        <item x="551"/>
        <item x="856"/>
        <item x="646"/>
        <item x="692"/>
        <item x="684"/>
        <item x="896"/>
        <item x="656"/>
        <item x="781"/>
        <item x="712"/>
        <item x="645"/>
        <item x="586"/>
        <item x="57"/>
        <item x="534"/>
        <item x="756"/>
        <item x="906"/>
        <item x="866"/>
        <item x="382"/>
        <item x="450"/>
        <item x="56"/>
        <item x="762"/>
        <item x="899"/>
        <item x="846"/>
        <item x="434"/>
        <item x="572"/>
        <item x="705"/>
        <item x="737"/>
        <item x="547"/>
        <item x="128"/>
        <item x="745"/>
        <item x="883"/>
        <item x="489"/>
        <item x="421"/>
        <item x="262"/>
        <item x="1"/>
        <item x="849"/>
        <item x="168"/>
        <item x="556"/>
        <item x="677"/>
        <item x="433"/>
        <item x="142"/>
        <item x="196"/>
        <item x="774"/>
        <item x="826"/>
        <item x="118"/>
        <item x="442"/>
        <item x="655"/>
        <item x="635"/>
        <item x="506"/>
        <item x="223"/>
        <item x="752"/>
        <item x="861"/>
        <item x="670"/>
        <item x="812"/>
        <item x="764"/>
        <item x="892"/>
        <item x="101"/>
        <item x="514"/>
        <item x="366"/>
        <item x="117"/>
        <item x="244"/>
        <item x="565"/>
        <item x="360"/>
        <item x="903"/>
        <item x="236"/>
        <item x="530"/>
        <item x="585"/>
        <item x="269"/>
        <item x="855"/>
        <item x="235"/>
        <item x="251"/>
        <item x="633"/>
        <item x="876"/>
        <item x="724"/>
        <item x="377"/>
        <item x="555"/>
        <item x="322"/>
        <item x="626"/>
        <item x="212"/>
        <item x="744"/>
        <item x="843"/>
        <item x="20"/>
        <item x="279"/>
        <item x="397"/>
        <item x="602"/>
        <item x="339"/>
        <item x="155"/>
        <item x="571"/>
        <item x="814"/>
        <item x="268"/>
        <item x="606"/>
        <item x="830"/>
        <item x="183"/>
        <item x="891"/>
        <item x="300"/>
        <item x="267"/>
        <item x="459"/>
        <item x="895"/>
        <item x="299"/>
        <item x="796"/>
        <item x="731"/>
        <item x="804"/>
        <item x="798"/>
        <item x="792"/>
        <item x="505"/>
        <item x="497"/>
        <item x="291"/>
        <item x="919"/>
        <item x="902"/>
        <item x="739"/>
        <item x="458"/>
        <item x="789"/>
        <item x="786"/>
        <item x="501"/>
        <item x="520"/>
        <item x="19"/>
        <item x="837"/>
        <item x="529"/>
        <item x="723"/>
        <item x="639"/>
        <item x="653"/>
        <item x="564"/>
        <item x="533"/>
        <item x="0"/>
        <item x="182"/>
        <item x="569"/>
        <item x="278"/>
        <item x="854"/>
        <item x="882"/>
        <item x="669"/>
        <item x="761"/>
        <item x="598"/>
        <item x="734"/>
        <item x="352"/>
        <item x="913"/>
        <item x="676"/>
        <item x="921"/>
        <item x="819"/>
        <item x="441"/>
        <item x="405"/>
        <item x="736"/>
        <item x="250"/>
        <item x="873"/>
        <item x="791"/>
        <item x="632"/>
        <item x="821"/>
        <item x="321"/>
        <item x="829"/>
        <item x="480"/>
        <item x="351"/>
        <item x="927"/>
        <item x="457"/>
        <item x="211"/>
        <item x="827"/>
        <item x="420"/>
        <item x="539"/>
        <item x="860"/>
        <item x="488"/>
        <item x="528"/>
        <item x="72"/>
        <item x="424"/>
        <item x="390"/>
        <item x="924"/>
        <item x="580"/>
        <item x="844"/>
        <item x="558"/>
        <item x="725"/>
        <item x="127"/>
        <item x="116"/>
        <item x="728"/>
        <item x="875"/>
        <item x="848"/>
        <item x="605"/>
        <item x="261"/>
        <item x="516"/>
        <item x="500"/>
        <item x="612"/>
        <item x="597"/>
        <item x="768"/>
        <item x="654"/>
        <item x="290"/>
        <item x="584"/>
        <item x="601"/>
        <item x="773"/>
        <item x="376"/>
        <item x="871"/>
        <item x="260"/>
        <item x="780"/>
        <item x="375"/>
        <item x="803"/>
        <item x="703"/>
        <item x="842"/>
        <item x="330"/>
        <item x="735"/>
        <item x="381"/>
        <item x="865"/>
        <item x="350"/>
        <item x="592"/>
        <item x="918"/>
        <item x="631"/>
        <item x="926"/>
        <item x="904"/>
        <item x="449"/>
        <item x="568"/>
        <item x="86"/>
        <item x="141"/>
        <item x="195"/>
        <item x="682"/>
        <item x="423"/>
        <item x="541"/>
        <item x="243"/>
        <item x="591"/>
        <item x="389"/>
        <item x="222"/>
        <item x="743"/>
        <item x="499"/>
        <item x="596"/>
        <item x="329"/>
        <item x="365"/>
        <item x="888"/>
        <item x="600"/>
        <item x="546"/>
        <item x="767"/>
        <item x="777"/>
        <item x="311"/>
        <item x="404"/>
        <item x="755"/>
        <item x="652"/>
        <item x="625"/>
        <item x="637"/>
        <item x="583"/>
        <item x="234"/>
        <item x="359"/>
        <item x="550"/>
        <item x="563"/>
        <item x="776"/>
        <item x="880"/>
        <item x="666"/>
        <item x="432"/>
        <item x="688"/>
        <item x="396"/>
        <item x="840"/>
        <item x="611"/>
        <item x="765"/>
        <item x="259"/>
        <item x="715"/>
        <item x="720"/>
        <item x="414"/>
        <item x="915"/>
        <item x="772"/>
        <item x="714"/>
        <item x="634"/>
        <item x="916"/>
        <item x="661"/>
        <item x="100"/>
        <item x="687"/>
        <item x="711"/>
        <item x="818"/>
        <item x="579"/>
        <item x="833"/>
        <item x="39"/>
        <item x="795"/>
        <item x="750"/>
        <item x="595"/>
        <item x="718"/>
      </items>
    </pivotField>
    <pivotField dataField="1" showAll="0" defaultSubtotal="0">
      <items count="191">
        <item x="77"/>
        <item x="48"/>
        <item x="64"/>
        <item x="52"/>
        <item x="51"/>
        <item x="65"/>
        <item x="82"/>
        <item x="53"/>
        <item x="50"/>
        <item x="96"/>
        <item x="78"/>
        <item x="70"/>
        <item x="58"/>
        <item x="38"/>
        <item x="111"/>
        <item x="92"/>
        <item x="31"/>
        <item x="34"/>
        <item x="76"/>
        <item x="117"/>
        <item x="61"/>
        <item x="74"/>
        <item x="115"/>
        <item x="66"/>
        <item x="69"/>
        <item x="57"/>
        <item x="110"/>
        <item x="166"/>
        <item x="98"/>
        <item x="39"/>
        <item x="97"/>
        <item x="119"/>
        <item x="152"/>
        <item x="138"/>
        <item x="131"/>
        <item x="37"/>
        <item x="33"/>
        <item x="63"/>
        <item x="158"/>
        <item x="14"/>
        <item x="137"/>
        <item x="84"/>
        <item x="148"/>
        <item x="72"/>
        <item x="91"/>
        <item x="109"/>
        <item x="85"/>
        <item x="132"/>
        <item x="103"/>
        <item x="46"/>
        <item x="156"/>
        <item x="106"/>
        <item x="151"/>
        <item x="75"/>
        <item x="122"/>
        <item x="121"/>
        <item x="149"/>
        <item x="183"/>
        <item x="185"/>
        <item x="25"/>
        <item x="187"/>
        <item x="188"/>
        <item x="105"/>
        <item x="155"/>
        <item x="170"/>
        <item x="116"/>
        <item x="28"/>
        <item x="186"/>
        <item x="90"/>
        <item x="181"/>
        <item x="62"/>
        <item x="49"/>
        <item x="108"/>
        <item x="176"/>
        <item x="184"/>
        <item x="175"/>
        <item x="145"/>
        <item x="167"/>
        <item x="182"/>
        <item x="128"/>
        <item x="189"/>
        <item x="104"/>
        <item x="135"/>
        <item x="190"/>
        <item x="60"/>
        <item x="171"/>
        <item x="144"/>
        <item x="177"/>
        <item x="114"/>
        <item x="107"/>
        <item x="120"/>
        <item x="160"/>
        <item x="157"/>
        <item x="136"/>
        <item x="154"/>
        <item x="143"/>
        <item x="113"/>
        <item x="180"/>
        <item x="174"/>
        <item x="147"/>
        <item x="73"/>
        <item x="164"/>
        <item x="15"/>
        <item x="118"/>
        <item x="89"/>
        <item x="83"/>
        <item x="35"/>
        <item x="44"/>
        <item x="179"/>
        <item x="93"/>
        <item x="146"/>
        <item x="172"/>
        <item x="102"/>
        <item x="130"/>
        <item x="23"/>
        <item x="59"/>
        <item x="142"/>
        <item x="95"/>
        <item x="165"/>
        <item x="161"/>
        <item x="94"/>
        <item x="129"/>
        <item x="17"/>
        <item x="173"/>
        <item x="112"/>
        <item x="47"/>
        <item x="36"/>
        <item x="18"/>
        <item x="30"/>
        <item x="54"/>
        <item x="16"/>
        <item x="126"/>
        <item x="178"/>
        <item x="88"/>
        <item x="71"/>
        <item x="101"/>
        <item x="127"/>
        <item x="99"/>
        <item x="134"/>
        <item x="125"/>
        <item x="81"/>
        <item x="163"/>
        <item x="80"/>
        <item x="87"/>
        <item x="67"/>
        <item x="150"/>
        <item x="100"/>
        <item x="56"/>
        <item x="68"/>
        <item x="45"/>
        <item x="41"/>
        <item x="162"/>
        <item x="32"/>
        <item x="133"/>
        <item x="169"/>
        <item x="168"/>
        <item x="86"/>
        <item x="55"/>
        <item x="141"/>
        <item x="79"/>
        <item x="153"/>
        <item x="24"/>
        <item x="159"/>
        <item x="43"/>
        <item x="42"/>
        <item x="8"/>
        <item x="19"/>
        <item x="124"/>
        <item x="123"/>
        <item x="29"/>
        <item x="12"/>
        <item x="140"/>
        <item x="4"/>
        <item x="139"/>
        <item x="13"/>
        <item x="26"/>
        <item x="11"/>
        <item x="27"/>
        <item x="5"/>
        <item x="40"/>
        <item x="10"/>
        <item x="20"/>
        <item x="9"/>
        <item x="6"/>
        <item x="22"/>
        <item x="3"/>
        <item x="21"/>
        <item x="7"/>
        <item x="2"/>
        <item x="1"/>
        <item x="0"/>
      </items>
    </pivotField>
    <pivotField dataField="1" showAll="0" defaultSubtotal="0">
      <items count="949">
        <item x="83"/>
        <item x="47"/>
        <item x="235"/>
        <item x="63"/>
        <item x="14"/>
        <item x="211"/>
        <item x="37"/>
        <item x="51"/>
        <item x="210"/>
        <item x="31"/>
        <item x="66"/>
        <item x="75"/>
        <item x="412"/>
        <item x="52"/>
        <item x="312"/>
        <item x="50"/>
        <item x="38"/>
        <item x="77"/>
        <item x="197"/>
        <item x="15"/>
        <item x="36"/>
        <item x="33"/>
        <item x="93"/>
        <item x="492"/>
        <item x="128"/>
        <item x="219"/>
        <item x="17"/>
        <item x="18"/>
        <item x="16"/>
        <item x="85"/>
        <item x="185"/>
        <item x="91"/>
        <item x="318"/>
        <item x="943"/>
        <item x="25"/>
        <item x="366"/>
        <item x="250"/>
        <item x="186"/>
        <item x="28"/>
        <item x="135"/>
        <item x="58"/>
        <item x="160"/>
        <item x="155"/>
        <item x="249"/>
        <item x="341"/>
        <item x="420"/>
        <item x="374"/>
        <item x="82"/>
        <item x="224"/>
        <item x="113"/>
        <item x="320"/>
        <item x="277"/>
        <item x="408"/>
        <item x="883"/>
        <item x="293"/>
        <item x="367"/>
        <item x="468"/>
        <item x="196"/>
        <item x="559"/>
        <item x="801"/>
        <item x="334"/>
        <item x="108"/>
        <item x="86"/>
        <item x="286"/>
        <item x="57"/>
        <item x="261"/>
        <item x="672"/>
        <item x="154"/>
        <item x="72"/>
        <item x="453"/>
        <item x="198"/>
        <item x="379"/>
        <item x="283"/>
        <item x="448"/>
        <item x="349"/>
        <item x="223"/>
        <item x="399"/>
        <item x="230"/>
        <item x="268"/>
        <item x="531"/>
        <item x="417"/>
        <item x="34"/>
        <item x="516"/>
        <item x="136"/>
        <item x="820"/>
        <item x="216"/>
        <item x="459"/>
        <item x="171"/>
        <item x="387"/>
        <item x="153"/>
        <item x="8"/>
        <item x="67"/>
        <item x="23"/>
        <item x="110"/>
        <item x="105"/>
        <item x="340"/>
        <item x="19"/>
        <item x="467"/>
        <item x="400"/>
        <item x="179"/>
        <item x="129"/>
        <item x="234"/>
        <item x="146"/>
        <item x="798"/>
        <item x="170"/>
        <item x="118"/>
        <item x="45"/>
        <item x="139"/>
        <item x="317"/>
        <item x="103"/>
        <item x="62"/>
        <item x="879"/>
        <item x="255"/>
        <item x="12"/>
        <item x="35"/>
        <item x="80"/>
        <item x="364"/>
        <item x="348"/>
        <item x="852"/>
        <item x="30"/>
        <item x="259"/>
        <item x="161"/>
        <item x="490"/>
        <item x="243"/>
        <item x="308"/>
        <item x="532"/>
        <item x="411"/>
        <item x="542"/>
        <item x="68"/>
        <item x="4"/>
        <item x="48"/>
        <item x="822"/>
        <item x="628"/>
        <item x="184"/>
        <item x="855"/>
        <item x="126"/>
        <item x="564"/>
        <item x="78"/>
        <item x="238"/>
        <item x="247"/>
        <item x="56"/>
        <item x="407"/>
        <item x="237"/>
        <item x="89"/>
        <item x="285"/>
        <item x="458"/>
        <item x="246"/>
        <item x="663"/>
        <item x="13"/>
        <item x="236"/>
        <item x="220"/>
        <item x="144"/>
        <item x="169"/>
        <item x="134"/>
        <item x="191"/>
        <item x="177"/>
        <item x="71"/>
        <item x="49"/>
        <item x="358"/>
        <item x="299"/>
        <item x="463"/>
        <item x="112"/>
        <item x="660"/>
        <item x="714"/>
        <item x="321"/>
        <item x="828"/>
        <item x="270"/>
        <item x="550"/>
        <item x="159"/>
        <item x="595"/>
        <item x="884"/>
        <item x="95"/>
        <item x="494"/>
        <item x="928"/>
        <item x="143"/>
        <item x="537"/>
        <item x="447"/>
        <item x="350"/>
        <item x="380"/>
        <item x="621"/>
        <item x="719"/>
        <item x="933"/>
        <item x="307"/>
        <item x="167"/>
        <item x="218"/>
        <item x="281"/>
        <item x="207"/>
        <item x="231"/>
        <item x="331"/>
        <item x="11"/>
        <item x="194"/>
        <item x="263"/>
        <item x="493"/>
        <item x="409"/>
        <item x="626"/>
        <item x="637"/>
        <item x="551"/>
        <item x="182"/>
        <item x="262"/>
        <item x="386"/>
        <item x="806"/>
        <item x="64"/>
        <item x="587"/>
        <item x="526"/>
        <item x="309"/>
        <item x="796"/>
        <item x="221"/>
        <item x="475"/>
        <item x="162"/>
        <item x="600"/>
        <item x="32"/>
        <item x="368"/>
        <item x="65"/>
        <item x="322"/>
        <item x="680"/>
        <item x="469"/>
        <item x="152"/>
        <item x="388"/>
        <item x="328"/>
        <item x="205"/>
        <item x="84"/>
        <item x="258"/>
        <item x="891"/>
        <item x="378"/>
        <item x="750"/>
        <item x="635"/>
        <item x="311"/>
        <item x="549"/>
        <item x="178"/>
        <item x="260"/>
        <item x="434"/>
        <item x="356"/>
        <item x="229"/>
        <item x="483"/>
        <item x="102"/>
        <item x="96"/>
        <item x="304"/>
        <item x="149"/>
        <item x="797"/>
        <item x="339"/>
        <item x="471"/>
        <item x="272"/>
        <item x="530"/>
        <item x="457"/>
        <item x="104"/>
        <item x="183"/>
        <item x="329"/>
        <item x="147"/>
        <item x="515"/>
        <item x="165"/>
        <item x="586"/>
        <item x="256"/>
        <item x="248"/>
        <item x="5"/>
        <item x="484"/>
        <item x="428"/>
        <item x="552"/>
        <item x="193"/>
        <item x="116"/>
        <item x="203"/>
        <item x="567"/>
        <item x="934"/>
        <item x="206"/>
        <item x="713"/>
        <item x="365"/>
        <item x="351"/>
        <item x="97"/>
        <item x="74"/>
        <item x="209"/>
        <item x="466"/>
        <item x="377"/>
        <item x="410"/>
        <item x="222"/>
        <item x="474"/>
        <item x="900"/>
        <item x="419"/>
        <item x="890"/>
        <item x="767"/>
        <item x="926"/>
        <item x="301"/>
        <item x="43"/>
        <item x="862"/>
        <item x="363"/>
        <item x="338"/>
        <item x="24"/>
        <item x="521"/>
        <item x="636"/>
        <item x="310"/>
        <item x="117"/>
        <item x="941"/>
        <item x="151"/>
        <item x="138"/>
        <item x="821"/>
        <item x="859"/>
        <item x="837"/>
        <item x="257"/>
        <item x="319"/>
        <item x="10"/>
        <item x="109"/>
        <item x="123"/>
        <item x="195"/>
        <item x="718"/>
        <item x="345"/>
        <item x="833"/>
        <item x="330"/>
        <item x="476"/>
        <item x="571"/>
        <item x="707"/>
        <item x="115"/>
        <item x="396"/>
        <item x="782"/>
        <item x="456"/>
        <item x="208"/>
        <item x="712"/>
        <item x="745"/>
        <item x="292"/>
        <item x="271"/>
        <item x="373"/>
        <item x="127"/>
        <item x="738"/>
        <item x="59"/>
        <item x="244"/>
        <item x="405"/>
        <item x="465"/>
        <item x="486"/>
        <item x="665"/>
        <item x="478"/>
        <item x="812"/>
        <item x="132"/>
        <item x="79"/>
        <item x="332"/>
        <item x="536"/>
        <item x="276"/>
        <item x="416"/>
        <item x="361"/>
        <item x="92"/>
        <item x="375"/>
        <item x="752"/>
        <item x="942"/>
        <item x="454"/>
        <item x="932"/>
        <item x="284"/>
        <item x="398"/>
        <item x="499"/>
        <item x="544"/>
        <item x="305"/>
        <item x="384"/>
        <item x="298"/>
        <item x="610"/>
        <item x="242"/>
        <item x="581"/>
        <item x="202"/>
        <item x="936"/>
        <item x="641"/>
        <item x="376"/>
        <item x="9"/>
        <item x="282"/>
        <item x="46"/>
        <item x="233"/>
        <item x="847"/>
        <item x="81"/>
        <item x="232"/>
        <item x="867"/>
        <item x="863"/>
        <item x="228"/>
        <item x="625"/>
        <item x="347"/>
        <item x="6"/>
        <item x="880"/>
        <item x="217"/>
        <item x="743"/>
        <item x="548"/>
        <item x="676"/>
        <item x="508"/>
        <item x="125"/>
        <item x="395"/>
        <item x="927"/>
        <item x="566"/>
        <item x="279"/>
        <item x="181"/>
        <item x="444"/>
        <item x="554"/>
        <item x="269"/>
        <item x="525"/>
        <item x="316"/>
        <item x="842"/>
        <item x="655"/>
        <item x="403"/>
        <item x="834"/>
        <item x="297"/>
        <item x="649"/>
        <item x="497"/>
        <item x="424"/>
        <item x="278"/>
        <item x="895"/>
        <item x="362"/>
        <item x="546"/>
        <item x="940"/>
        <item x="819"/>
        <item x="668"/>
        <item x="385"/>
        <item x="397"/>
        <item x="333"/>
        <item x="759"/>
        <item x="3"/>
        <item x="29"/>
        <item x="615"/>
        <item x="300"/>
        <item x="446"/>
        <item x="881"/>
        <item x="659"/>
        <item x="795"/>
        <item x="904"/>
        <item x="372"/>
        <item x="477"/>
        <item x="114"/>
        <item x="291"/>
        <item x="787"/>
        <item x="215"/>
        <item x="180"/>
        <item x="157"/>
        <item x="756"/>
        <item x="431"/>
        <item x="357"/>
        <item x="850"/>
        <item x="481"/>
        <item x="574"/>
        <item x="818"/>
        <item x="699"/>
        <item x="254"/>
        <item x="658"/>
        <item x="603"/>
        <item x="439"/>
        <item x="241"/>
        <item x="491"/>
        <item x="794"/>
        <item x="627"/>
        <item x="557"/>
        <item x="717"/>
        <item x="633"/>
        <item x="899"/>
        <item x="702"/>
        <item x="423"/>
        <item x="596"/>
        <item x="541"/>
        <item x="882"/>
        <item x="61"/>
        <item x="866"/>
        <item x="488"/>
        <item x="512"/>
        <item x="585"/>
        <item x="524"/>
        <item x="290"/>
        <item x="777"/>
        <item x="914"/>
        <item x="634"/>
        <item x="427"/>
        <item x="166"/>
        <item x="903"/>
        <item x="141"/>
        <item x="507"/>
        <item x="753"/>
        <item x="280"/>
        <item x="695"/>
        <item x="540"/>
        <item x="337"/>
        <item x="175"/>
        <item x="150"/>
        <item x="678"/>
        <item x="657"/>
        <item x="674"/>
        <item x="355"/>
        <item x="808"/>
        <item x="124"/>
        <item x="671"/>
        <item x="438"/>
        <item x="609"/>
        <item x="868"/>
        <item x="137"/>
        <item x="443"/>
        <item x="897"/>
        <item x="7"/>
        <item x="306"/>
        <item x="811"/>
        <item x="462"/>
        <item x="190"/>
        <item x="392"/>
        <item x="418"/>
        <item x="920"/>
        <item x="893"/>
        <item x="189"/>
        <item x="911"/>
        <item x="245"/>
        <item x="464"/>
        <item x="547"/>
        <item x="722"/>
        <item x="514"/>
        <item x="827"/>
        <item x="592"/>
        <item x="602"/>
        <item x="296"/>
        <item x="901"/>
        <item x="803"/>
        <item x="758"/>
        <item x="26"/>
        <item x="556"/>
        <item x="168"/>
        <item x="529"/>
        <item x="889"/>
        <item x="922"/>
        <item x="835"/>
        <item x="327"/>
        <item x="573"/>
        <item x="599"/>
        <item x="846"/>
        <item x="781"/>
        <item x="176"/>
        <item x="204"/>
        <item x="682"/>
        <item x="841"/>
        <item x="44"/>
        <item x="645"/>
        <item x="854"/>
        <item x="945"/>
        <item x="455"/>
        <item x="445"/>
        <item x="606"/>
        <item x="472"/>
        <item x="565"/>
        <item x="40"/>
        <item x="558"/>
        <item x="799"/>
        <item x="511"/>
        <item x="404"/>
        <item x="748"/>
        <item x="815"/>
        <item x="875"/>
        <item x="192"/>
        <item x="452"/>
        <item x="433"/>
        <item x="489"/>
        <item x="724"/>
        <item x="898"/>
        <item x="857"/>
        <item x="482"/>
        <item x="768"/>
        <item x="697"/>
        <item x="415"/>
        <item x="523"/>
        <item x="869"/>
        <item x="878"/>
        <item x="506"/>
        <item x="174"/>
        <item x="830"/>
        <item x="111"/>
        <item x="520"/>
        <item x="406"/>
        <item x="888"/>
        <item x="611"/>
        <item x="703"/>
        <item x="729"/>
        <item x="894"/>
        <item x="326"/>
        <item x="148"/>
        <item x="839"/>
        <item x="793"/>
        <item x="94"/>
        <item x="656"/>
        <item x="684"/>
        <item x="76"/>
        <item x="918"/>
        <item x="923"/>
        <item x="429"/>
        <item x="27"/>
        <item x="757"/>
        <item x="843"/>
        <item x="734"/>
        <item x="805"/>
        <item x="391"/>
        <item x="253"/>
        <item x="775"/>
        <item x="576"/>
        <item x="432"/>
        <item x="451"/>
        <item x="865"/>
        <item x="814"/>
        <item x="164"/>
        <item x="315"/>
        <item x="786"/>
        <item x="371"/>
        <item x="101"/>
        <item x="647"/>
        <item x="163"/>
        <item x="624"/>
        <item x="214"/>
        <item x="772"/>
        <item x="354"/>
        <item x="535"/>
        <item x="60"/>
        <item x="919"/>
        <item x="2"/>
        <item x="946"/>
        <item x="691"/>
        <item x="122"/>
        <item x="614"/>
        <item x="590"/>
        <item x="267"/>
        <item x="851"/>
        <item x="498"/>
        <item x="858"/>
        <item x="746"/>
        <item x="711"/>
        <item x="906"/>
        <item x="730"/>
        <item x="545"/>
        <item x="201"/>
        <item x="688"/>
        <item x="442"/>
        <item x="562"/>
        <item x="513"/>
        <item x="570"/>
        <item x="721"/>
        <item x="939"/>
        <item x="706"/>
        <item x="344"/>
        <item x="629"/>
        <item x="584"/>
        <item x="773"/>
        <item x="824"/>
        <item x="133"/>
        <item x="675"/>
        <item x="594"/>
        <item x="539"/>
        <item x="804"/>
        <item x="690"/>
        <item x="473"/>
        <item x="346"/>
        <item x="510"/>
        <item x="710"/>
        <item x="580"/>
        <item x="909"/>
        <item x="519"/>
        <item x="687"/>
        <item x="568"/>
        <item x="487"/>
        <item x="831"/>
        <item x="727"/>
        <item x="677"/>
        <item x="53"/>
        <item x="838"/>
        <item x="563"/>
        <item x="696"/>
        <item x="528"/>
        <item x="500"/>
        <item x="735"/>
        <item x="325"/>
        <item x="778"/>
        <item x="732"/>
        <item x="145"/>
        <item x="640"/>
        <item x="886"/>
        <item x="747"/>
        <item x="265"/>
        <item x="654"/>
        <item x="716"/>
        <item x="42"/>
        <item x="705"/>
        <item x="725"/>
        <item x="437"/>
        <item x="912"/>
        <item x="741"/>
        <item x="698"/>
        <item x="664"/>
        <item x="504"/>
        <item x="591"/>
        <item x="534"/>
        <item x="770"/>
        <item x="577"/>
        <item x="41"/>
        <item x="620"/>
        <item x="832"/>
        <item x="692"/>
        <item x="505"/>
        <item x="648"/>
        <item x="598"/>
        <item x="631"/>
        <item x="913"/>
        <item x="608"/>
        <item x="681"/>
        <item x="343"/>
        <item x="644"/>
        <item x="948"/>
        <item x="653"/>
        <item x="937"/>
        <item x="740"/>
        <item x="737"/>
        <item x="142"/>
        <item x="20"/>
        <item x="561"/>
        <item x="274"/>
        <item x="771"/>
        <item x="130"/>
        <item x="780"/>
        <item x="100"/>
        <item x="790"/>
        <item x="670"/>
        <item x="289"/>
        <item x="785"/>
        <item x="383"/>
        <item x="227"/>
        <item x="73"/>
        <item x="667"/>
        <item x="845"/>
        <item x="826"/>
        <item x="896"/>
        <item x="887"/>
        <item x="572"/>
        <item x="861"/>
        <item x="902"/>
        <item x="583"/>
        <item x="509"/>
        <item x="436"/>
        <item x="106"/>
        <item x="121"/>
        <item x="892"/>
        <item x="518"/>
        <item x="800"/>
        <item x="450"/>
        <item x="597"/>
        <item x="844"/>
        <item x="701"/>
        <item x="589"/>
        <item x="885"/>
        <item x="726"/>
        <item x="877"/>
        <item x="916"/>
        <item x="158"/>
        <item x="553"/>
        <item x="360"/>
        <item x="287"/>
        <item x="632"/>
        <item x="582"/>
        <item x="925"/>
        <item x="683"/>
        <item x="938"/>
        <item x="871"/>
        <item x="601"/>
        <item x="90"/>
        <item x="324"/>
        <item x="422"/>
        <item x="470"/>
        <item x="425"/>
        <item x="905"/>
        <item x="119"/>
        <item x="673"/>
        <item x="370"/>
        <item x="873"/>
        <item x="623"/>
        <item x="226"/>
        <item x="754"/>
        <item x="749"/>
        <item x="779"/>
        <item x="693"/>
        <item x="849"/>
        <item x="441"/>
        <item x="88"/>
        <item x="856"/>
        <item x="708"/>
        <item x="679"/>
        <item x="575"/>
        <item x="22"/>
        <item x="642"/>
        <item x="728"/>
        <item x="55"/>
        <item x="213"/>
        <item x="813"/>
        <item x="872"/>
        <item x="910"/>
        <item x="593"/>
        <item x="288"/>
        <item x="461"/>
        <item x="240"/>
        <item x="1"/>
        <item x="783"/>
        <item x="652"/>
        <item x="342"/>
        <item x="792"/>
        <item x="766"/>
        <item x="107"/>
        <item x="460"/>
        <item x="709"/>
        <item x="295"/>
        <item x="381"/>
        <item x="496"/>
        <item x="784"/>
        <item x="917"/>
        <item x="736"/>
        <item x="275"/>
        <item x="517"/>
        <item x="188"/>
        <item x="200"/>
        <item x="619"/>
        <item x="613"/>
        <item x="69"/>
        <item x="99"/>
        <item x="323"/>
        <item x="588"/>
        <item x="643"/>
        <item x="915"/>
        <item x="689"/>
        <item x="252"/>
        <item x="802"/>
        <item x="646"/>
        <item x="810"/>
        <item x="173"/>
        <item x="426"/>
        <item x="744"/>
        <item x="731"/>
        <item x="876"/>
        <item x="765"/>
        <item x="817"/>
        <item x="273"/>
        <item x="686"/>
        <item x="172"/>
        <item x="120"/>
        <item x="579"/>
        <item x="495"/>
        <item x="694"/>
        <item x="538"/>
        <item x="314"/>
        <item x="605"/>
        <item x="704"/>
        <item x="617"/>
        <item x="533"/>
        <item x="480"/>
        <item x="394"/>
        <item x="935"/>
        <item x="414"/>
        <item x="402"/>
        <item x="382"/>
        <item x="156"/>
        <item x="809"/>
        <item x="761"/>
        <item x="543"/>
        <item x="618"/>
        <item x="70"/>
        <item x="353"/>
        <item x="769"/>
        <item x="435"/>
        <item x="578"/>
        <item x="522"/>
        <item x="266"/>
        <item x="390"/>
        <item x="742"/>
        <item x="791"/>
        <item x="700"/>
        <item x="829"/>
        <item x="764"/>
        <item x="630"/>
        <item x="440"/>
        <item x="650"/>
        <item x="776"/>
        <item x="479"/>
        <item x="816"/>
        <item x="0"/>
        <item x="140"/>
        <item x="848"/>
        <item x="430"/>
        <item x="908"/>
        <item x="303"/>
        <item x="931"/>
        <item x="527"/>
        <item x="870"/>
        <item x="860"/>
        <item x="199"/>
        <item x="853"/>
        <item x="131"/>
        <item x="616"/>
        <item x="302"/>
        <item x="503"/>
        <item x="294"/>
        <item x="788"/>
        <item x="21"/>
        <item x="251"/>
        <item x="720"/>
        <item x="54"/>
        <item x="502"/>
        <item x="755"/>
        <item x="336"/>
        <item x="369"/>
        <item x="944"/>
        <item x="840"/>
        <item x="864"/>
        <item x="622"/>
        <item x="612"/>
        <item x="604"/>
        <item x="413"/>
        <item x="449"/>
        <item x="639"/>
        <item x="359"/>
        <item x="685"/>
        <item x="823"/>
        <item x="715"/>
        <item x="947"/>
        <item x="651"/>
        <item x="393"/>
        <item x="485"/>
        <item x="555"/>
        <item x="774"/>
        <item x="733"/>
        <item x="187"/>
        <item x="930"/>
        <item x="87"/>
        <item x="638"/>
        <item x="98"/>
        <item x="239"/>
        <item x="907"/>
        <item x="264"/>
        <item x="662"/>
        <item x="225"/>
        <item x="751"/>
        <item x="212"/>
        <item x="313"/>
        <item x="836"/>
        <item x="569"/>
        <item x="789"/>
        <item x="335"/>
        <item x="560"/>
        <item x="874"/>
        <item x="924"/>
        <item x="421"/>
        <item x="352"/>
        <item x="607"/>
        <item x="661"/>
        <item x="807"/>
        <item x="825"/>
        <item x="389"/>
        <item x="760"/>
        <item x="763"/>
        <item x="921"/>
        <item x="666"/>
        <item x="401"/>
        <item x="669"/>
        <item x="762"/>
        <item x="501"/>
        <item x="39"/>
        <item x="929"/>
        <item x="723"/>
        <item x="739"/>
      </items>
    </pivotField>
    <pivotField dataField="1" showAll="0" defaultSubtotal="0">
      <items count="221">
        <item x="211"/>
        <item x="160"/>
        <item x="163"/>
        <item x="209"/>
        <item x="132"/>
        <item x="210"/>
        <item x="189"/>
        <item x="190"/>
        <item x="206"/>
        <item x="197"/>
        <item x="215"/>
        <item x="213"/>
        <item x="212"/>
        <item x="214"/>
        <item x="157"/>
        <item x="134"/>
        <item x="208"/>
        <item x="135"/>
        <item x="165"/>
        <item x="127"/>
        <item x="150"/>
        <item x="128"/>
        <item x="131"/>
        <item x="109"/>
        <item x="164"/>
        <item x="153"/>
        <item x="136"/>
        <item x="133"/>
        <item x="145"/>
        <item x="191"/>
        <item x="155"/>
        <item x="118"/>
        <item x="122"/>
        <item x="129"/>
        <item x="152"/>
        <item x="103"/>
        <item x="219"/>
        <item x="114"/>
        <item x="86"/>
        <item x="139"/>
        <item x="91"/>
        <item x="130"/>
        <item x="148"/>
        <item x="82"/>
        <item x="154"/>
        <item x="121"/>
        <item x="119"/>
        <item x="151"/>
        <item x="147"/>
        <item x="205"/>
        <item x="77"/>
        <item x="99"/>
        <item x="67"/>
        <item x="220"/>
        <item x="95"/>
        <item x="108"/>
        <item x="70"/>
        <item x="149"/>
        <item x="125"/>
        <item x="124"/>
        <item x="89"/>
        <item x="120"/>
        <item x="113"/>
        <item x="144"/>
        <item x="110"/>
        <item x="111"/>
        <item x="94"/>
        <item x="76"/>
        <item x="218"/>
        <item x="73"/>
        <item x="207"/>
        <item x="159"/>
        <item x="177"/>
        <item x="173"/>
        <item x="174"/>
        <item x="72"/>
        <item x="97"/>
        <item x="75"/>
        <item x="45"/>
        <item x="193"/>
        <item x="62"/>
        <item x="79"/>
        <item x="93"/>
        <item x="158"/>
        <item x="196"/>
        <item x="90"/>
        <item x="92"/>
        <item x="68"/>
        <item x="126"/>
        <item x="74"/>
        <item x="88"/>
        <item x="201"/>
        <item x="192"/>
        <item x="105"/>
        <item x="117"/>
        <item x="106"/>
        <item x="143"/>
        <item x="187"/>
        <item x="156"/>
        <item x="162"/>
        <item x="203"/>
        <item x="141"/>
        <item x="107"/>
        <item x="116"/>
        <item x="61"/>
        <item x="202"/>
        <item x="161"/>
        <item x="204"/>
        <item x="87"/>
        <item x="166"/>
        <item x="195"/>
        <item x="188"/>
        <item x="176"/>
        <item x="71"/>
        <item x="69"/>
        <item x="200"/>
        <item x="186"/>
        <item x="142"/>
        <item x="59"/>
        <item x="115"/>
        <item x="123"/>
        <item x="104"/>
        <item x="179"/>
        <item x="58"/>
        <item x="146"/>
        <item x="84"/>
        <item x="194"/>
        <item x="140"/>
        <item x="47"/>
        <item x="217"/>
        <item x="178"/>
        <item x="66"/>
        <item x="57"/>
        <item x="185"/>
        <item x="171"/>
        <item x="138"/>
        <item x="85"/>
        <item x="102"/>
        <item x="56"/>
        <item x="55"/>
        <item x="172"/>
        <item x="198"/>
        <item x="50"/>
        <item x="169"/>
        <item x="175"/>
        <item x="54"/>
        <item x="216"/>
        <item x="199"/>
        <item x="184"/>
        <item x="101"/>
        <item x="100"/>
        <item x="49"/>
        <item x="53"/>
        <item x="51"/>
        <item x="83"/>
        <item x="52"/>
        <item x="137"/>
        <item x="81"/>
        <item x="168"/>
        <item x="96"/>
        <item x="183"/>
        <item x="167"/>
        <item x="43"/>
        <item x="48"/>
        <item x="65"/>
        <item x="64"/>
        <item x="181"/>
        <item x="112"/>
        <item x="180"/>
        <item x="98"/>
        <item x="60"/>
        <item x="46"/>
        <item x="170"/>
        <item x="80"/>
        <item x="42"/>
        <item x="63"/>
        <item x="182"/>
        <item x="78"/>
        <item x="27"/>
        <item x="29"/>
        <item x="44"/>
        <item x="36"/>
        <item x="32"/>
        <item x="39"/>
        <item x="37"/>
        <item x="35"/>
        <item x="38"/>
        <item x="40"/>
        <item x="41"/>
        <item x="7"/>
        <item x="26"/>
        <item x="34"/>
        <item x="19"/>
        <item x="33"/>
        <item x="9"/>
        <item x="30"/>
        <item x="31"/>
        <item x="22"/>
        <item x="10"/>
        <item x="21"/>
        <item x="24"/>
        <item x="18"/>
        <item x="28"/>
        <item x="17"/>
        <item x="16"/>
        <item x="25"/>
        <item x="13"/>
        <item x="23"/>
        <item x="11"/>
        <item x="12"/>
        <item x="15"/>
        <item x="14"/>
        <item x="1"/>
        <item x="6"/>
        <item x="0"/>
        <item x="20"/>
        <item x="8"/>
        <item x="5"/>
        <item x="3"/>
        <item x="2"/>
        <item x="4"/>
      </items>
    </pivotField>
    <pivotField dataField="1" showAll="0" defaultSubtotal="0">
      <items count="760">
        <item x="274"/>
        <item x="173"/>
        <item x="185"/>
        <item x="384"/>
        <item x="707"/>
        <item x="356"/>
        <item x="133"/>
        <item x="369"/>
        <item x="298"/>
        <item x="428"/>
        <item x="242"/>
        <item x="423"/>
        <item x="568"/>
        <item x="329"/>
        <item x="291"/>
        <item x="667"/>
        <item x="263"/>
        <item x="411"/>
        <item x="228"/>
        <item x="633"/>
        <item x="708"/>
        <item x="357"/>
        <item x="472"/>
        <item x="337"/>
        <item x="234"/>
        <item x="367"/>
        <item x="481"/>
        <item x="582"/>
        <item x="576"/>
        <item x="301"/>
        <item x="346"/>
        <item x="470"/>
        <item x="102"/>
        <item x="251"/>
        <item x="737"/>
        <item x="675"/>
        <item x="501"/>
        <item x="519"/>
        <item x="306"/>
        <item x="212"/>
        <item x="385"/>
        <item x="567"/>
        <item x="478"/>
        <item x="349"/>
        <item x="717"/>
        <item x="204"/>
        <item x="326"/>
        <item x="454"/>
        <item x="354"/>
        <item x="292"/>
        <item x="223"/>
        <item x="444"/>
        <item x="393"/>
        <item x="268"/>
        <item x="666"/>
        <item x="749"/>
        <item x="7"/>
        <item x="319"/>
        <item x="266"/>
        <item x="195"/>
        <item x="208"/>
        <item x="388"/>
        <item x="696"/>
        <item x="542"/>
        <item x="246"/>
        <item x="80"/>
        <item x="96"/>
        <item x="257"/>
        <item x="43"/>
        <item x="549"/>
        <item x="84"/>
        <item x="149"/>
        <item x="135"/>
        <item x="198"/>
        <item x="19"/>
        <item x="636"/>
        <item x="625"/>
        <item x="76"/>
        <item x="174"/>
        <item x="233"/>
        <item x="396"/>
        <item x="284"/>
        <item x="368"/>
        <item x="9"/>
        <item x="327"/>
        <item x="27"/>
        <item x="136"/>
        <item x="752"/>
        <item x="572"/>
        <item x="504"/>
        <item x="290"/>
        <item x="684"/>
        <item x="604"/>
        <item x="71"/>
        <item x="724"/>
        <item x="113"/>
        <item x="310"/>
        <item x="439"/>
        <item x="62"/>
        <item x="121"/>
        <item x="453"/>
        <item x="267"/>
        <item x="128"/>
        <item x="86"/>
        <item x="182"/>
        <item x="502"/>
        <item x="661"/>
        <item x="87"/>
        <item x="65"/>
        <item x="253"/>
        <item x="744"/>
        <item x="412"/>
        <item x="424"/>
        <item x="29"/>
        <item x="91"/>
        <item x="10"/>
        <item x="245"/>
        <item x="131"/>
        <item x="158"/>
        <item x="629"/>
        <item x="108"/>
        <item x="144"/>
        <item x="197"/>
        <item x="82"/>
        <item x="175"/>
        <item x="101"/>
        <item x="599"/>
        <item x="299"/>
        <item x="702"/>
        <item x="178"/>
        <item x="505"/>
        <item x="293"/>
        <item x="311"/>
        <item x="406"/>
        <item x="336"/>
        <item x="213"/>
        <item x="70"/>
        <item x="236"/>
        <item x="54"/>
        <item x="146"/>
        <item x="377"/>
        <item x="456"/>
        <item x="370"/>
        <item x="341"/>
        <item x="67"/>
        <item x="483"/>
        <item x="187"/>
        <item x="35"/>
        <item x="309"/>
        <item x="394"/>
        <item x="18"/>
        <item x="244"/>
        <item x="103"/>
        <item x="159"/>
        <item x="120"/>
        <item x="104"/>
        <item x="569"/>
        <item x="464"/>
        <item x="199"/>
        <item x="116"/>
        <item x="32"/>
        <item x="134"/>
        <item x="300"/>
        <item x="186"/>
        <item x="37"/>
        <item x="757"/>
        <item x="328"/>
        <item x="495"/>
        <item x="66"/>
        <item x="445"/>
        <item x="53"/>
        <item x="431"/>
        <item x="463"/>
        <item x="345"/>
        <item x="69"/>
        <item x="36"/>
        <item x="115"/>
        <item x="471"/>
        <item x="148"/>
        <item x="395"/>
        <item x="34"/>
        <item x="17"/>
        <item x="57"/>
        <item x="52"/>
        <item x="16"/>
        <item x="269"/>
        <item x="229"/>
        <item x="637"/>
        <item x="162"/>
        <item x="221"/>
        <item x="13"/>
        <item x="166"/>
        <item x="565"/>
        <item x="73"/>
        <item x="232"/>
        <item x="715"/>
        <item x="85"/>
        <item x="741"/>
        <item x="89"/>
        <item x="283"/>
        <item x="51"/>
        <item x="716"/>
        <item x="362"/>
        <item x="63"/>
        <item x="235"/>
        <item x="83"/>
        <item x="324"/>
        <item x="47"/>
        <item x="68"/>
        <item x="405"/>
        <item x="437"/>
        <item x="646"/>
        <item x="26"/>
        <item x="196"/>
        <item x="11"/>
        <item x="510"/>
        <item x="12"/>
        <item x="163"/>
        <item x="376"/>
        <item x="689"/>
        <item x="81"/>
        <item x="534"/>
        <item x="119"/>
        <item x="578"/>
        <item x="417"/>
        <item x="727"/>
        <item x="107"/>
        <item x="294"/>
        <item x="256"/>
        <item x="15"/>
        <item x="50"/>
        <item x="438"/>
        <item x="218"/>
        <item x="210"/>
        <item x="276"/>
        <item x="681"/>
        <item x="14"/>
        <item x="258"/>
        <item x="360"/>
        <item x="430"/>
        <item x="552"/>
        <item x="222"/>
        <item x="211"/>
        <item x="308"/>
        <item x="161"/>
        <item x="462"/>
        <item x="1"/>
        <item x="676"/>
        <item x="56"/>
        <item x="335"/>
        <item x="656"/>
        <item x="46"/>
        <item x="160"/>
        <item x="207"/>
        <item x="33"/>
        <item x="98"/>
        <item x="287"/>
        <item x="188"/>
        <item x="668"/>
        <item x="99"/>
        <item x="132"/>
        <item x="366"/>
        <item x="317"/>
        <item x="254"/>
        <item x="398"/>
        <item x="381"/>
        <item x="219"/>
        <item x="172"/>
        <item x="49"/>
        <item x="247"/>
        <item x="6"/>
        <item x="628"/>
        <item x="30"/>
        <item x="461"/>
        <item x="338"/>
        <item x="662"/>
        <item x="48"/>
        <item x="286"/>
        <item x="550"/>
        <item x="100"/>
        <item x="688"/>
        <item x="731"/>
        <item x="243"/>
        <item x="209"/>
        <item x="320"/>
        <item x="756"/>
        <item x="31"/>
        <item x="138"/>
        <item x="451"/>
        <item x="22"/>
        <item x="171"/>
        <item x="64"/>
        <item x="237"/>
        <item x="118"/>
        <item x="147"/>
        <item x="255"/>
        <item x="164"/>
        <item x="114"/>
        <item x="374"/>
        <item x="554"/>
        <item x="403"/>
        <item x="117"/>
        <item x="220"/>
        <item x="280"/>
        <item x="562"/>
        <item x="184"/>
        <item x="139"/>
        <item x="736"/>
        <item x="615"/>
        <item x="206"/>
        <item x="382"/>
        <item x="674"/>
        <item x="176"/>
        <item x="231"/>
        <item x="262"/>
        <item x="0"/>
        <item x="677"/>
        <item x="41"/>
        <item x="157"/>
        <item x="265"/>
        <item x="415"/>
        <item x="230"/>
        <item x="281"/>
        <item x="94"/>
        <item x="422"/>
        <item x="45"/>
        <item x="225"/>
        <item x="571"/>
        <item x="318"/>
        <item x="509"/>
        <item x="152"/>
        <item x="429"/>
        <item x="436"/>
        <item x="307"/>
        <item x="653"/>
        <item x="563"/>
        <item x="459"/>
        <item x="21"/>
        <item x="363"/>
        <item x="477"/>
        <item x="722"/>
        <item x="145"/>
        <item x="264"/>
        <item x="316"/>
        <item x="78"/>
        <item x="183"/>
        <item x="129"/>
        <item x="205"/>
        <item x="665"/>
        <item x="325"/>
        <item x="155"/>
        <item x="344"/>
        <item x="44"/>
        <item x="488"/>
        <item x="142"/>
        <item x="391"/>
        <item x="631"/>
        <item x="61"/>
        <item x="355"/>
        <item x="404"/>
        <item x="193"/>
        <item x="124"/>
        <item x="112"/>
        <item x="97"/>
        <item x="156"/>
        <item x="672"/>
        <item x="106"/>
        <item x="443"/>
        <item x="123"/>
        <item x="659"/>
        <item x="392"/>
        <item x="312"/>
        <item x="151"/>
        <item x="720"/>
        <item x="40"/>
        <item x="130"/>
        <item x="446"/>
        <item x="616"/>
        <item x="282"/>
        <item x="350"/>
        <item x="513"/>
        <item x="339"/>
        <item x="421"/>
        <item x="250"/>
        <item x="503"/>
        <item x="365"/>
        <item x="680"/>
        <item x="645"/>
        <item x="79"/>
        <item x="624"/>
        <item x="399"/>
        <item x="735"/>
        <item x="217"/>
        <item x="537"/>
        <item x="111"/>
        <item x="440"/>
        <item x="279"/>
        <item x="714"/>
        <item x="527"/>
        <item x="24"/>
        <item x="240"/>
        <item x="194"/>
        <item x="8"/>
        <item x="433"/>
        <item x="261"/>
        <item x="200"/>
        <item x="574"/>
        <item x="654"/>
        <item x="389"/>
        <item x="721"/>
        <item x="416"/>
        <item x="191"/>
        <item x="482"/>
        <item x="475"/>
        <item x="598"/>
        <item x="409"/>
        <item x="252"/>
        <item x="241"/>
        <item x="469"/>
        <item x="699"/>
        <item x="753"/>
        <item x="739"/>
        <item x="154"/>
        <item x="28"/>
        <item x="489"/>
        <item x="390"/>
        <item x="95"/>
        <item x="506"/>
        <item x="226"/>
        <item x="635"/>
        <item x="375"/>
        <item x="358"/>
        <item x="334"/>
        <item x="153"/>
        <item x="143"/>
        <item x="426"/>
        <item x="452"/>
        <item x="605"/>
        <item x="726"/>
        <item x="297"/>
        <item x="548"/>
        <item x="594"/>
        <item x="401"/>
        <item x="732"/>
        <item x="500"/>
        <item x="238"/>
        <item x="664"/>
        <item x="181"/>
        <item x="515"/>
        <item x="304"/>
        <item x="203"/>
        <item x="693"/>
        <item x="474"/>
        <item x="5"/>
        <item x="42"/>
        <item x="170"/>
        <item x="351"/>
        <item x="419"/>
        <item x="296"/>
        <item x="273"/>
        <item x="579"/>
        <item x="314"/>
        <item x="476"/>
        <item x="623"/>
        <item x="747"/>
        <item x="397"/>
        <item x="601"/>
        <item x="333"/>
        <item x="468"/>
        <item x="657"/>
        <item x="202"/>
        <item x="25"/>
        <item x="650"/>
        <item x="216"/>
        <item x="518"/>
        <item x="460"/>
        <item x="383"/>
        <item x="743"/>
        <item x="141"/>
        <item x="373"/>
        <item x="126"/>
        <item x="361"/>
        <item x="533"/>
        <item x="110"/>
        <item x="450"/>
        <item x="643"/>
        <item x="499"/>
        <item x="494"/>
        <item x="239"/>
        <item x="566"/>
        <item x="23"/>
        <item x="457"/>
        <item x="663"/>
        <item x="703"/>
        <item x="109"/>
        <item x="227"/>
        <item x="259"/>
        <item x="379"/>
        <item x="521"/>
        <item x="386"/>
        <item x="673"/>
        <item x="343"/>
        <item x="140"/>
        <item x="93"/>
        <item x="214"/>
        <item x="517"/>
        <item x="92"/>
        <item x="728"/>
        <item x="285"/>
        <item x="597"/>
        <item x="638"/>
        <item x="277"/>
        <item x="248"/>
        <item x="77"/>
        <item x="3"/>
        <item x="2"/>
        <item x="458"/>
        <item x="359"/>
        <item x="272"/>
        <item x="190"/>
        <item x="719"/>
        <item x="497"/>
        <item x="303"/>
        <item x="260"/>
        <item x="622"/>
        <item x="169"/>
        <item x="127"/>
        <item x="332"/>
        <item x="683"/>
        <item x="540"/>
        <item x="189"/>
        <item x="541"/>
        <item x="585"/>
        <item x="687"/>
        <item x="180"/>
        <item x="75"/>
        <item x="640"/>
        <item x="380"/>
        <item x="671"/>
        <item x="577"/>
        <item x="603"/>
        <item x="508"/>
        <item x="660"/>
        <item x="573"/>
        <item x="353"/>
        <item x="4"/>
        <item x="632"/>
        <item x="249"/>
        <item x="215"/>
        <item x="754"/>
        <item x="323"/>
        <item x="467"/>
        <item x="305"/>
        <item x="313"/>
        <item x="410"/>
        <item x="224"/>
        <item x="695"/>
        <item x="420"/>
        <item x="491"/>
        <item x="315"/>
        <item x="644"/>
        <item x="441"/>
        <item x="60"/>
        <item x="387"/>
        <item x="59"/>
        <item x="275"/>
        <item x="686"/>
        <item x="602"/>
        <item x="352"/>
        <item x="435"/>
        <item x="670"/>
        <item x="165"/>
        <item x="723"/>
        <item x="620"/>
        <item x="634"/>
        <item x="88"/>
        <item x="485"/>
        <item x="400"/>
        <item x="168"/>
        <item x="755"/>
        <item x="192"/>
        <item x="734"/>
        <item x="523"/>
        <item x="581"/>
        <item x="55"/>
        <item x="402"/>
        <item x="596"/>
        <item x="38"/>
        <item x="701"/>
        <item x="544"/>
        <item x="167"/>
        <item x="434"/>
        <item x="524"/>
        <item x="125"/>
        <item x="342"/>
        <item x="547"/>
        <item x="449"/>
        <item x="371"/>
        <item x="321"/>
        <item x="730"/>
        <item x="295"/>
        <item x="647"/>
        <item x="658"/>
        <item x="289"/>
        <item x="652"/>
        <item x="39"/>
        <item x="74"/>
        <item x="278"/>
        <item x="570"/>
        <item x="58"/>
        <item x="546"/>
        <item x="614"/>
        <item x="407"/>
        <item x="378"/>
        <item x="498"/>
        <item x="302"/>
        <item x="179"/>
        <item x="642"/>
        <item x="288"/>
        <item x="575"/>
        <item x="442"/>
        <item x="90"/>
        <item x="480"/>
        <item x="738"/>
        <item x="610"/>
        <item x="746"/>
        <item x="507"/>
        <item x="447"/>
        <item x="72"/>
        <item x="512"/>
        <item x="20"/>
        <item x="425"/>
        <item x="177"/>
        <item x="692"/>
        <item x="532"/>
        <item x="641"/>
        <item x="748"/>
        <item x="712"/>
        <item x="448"/>
        <item x="704"/>
        <item x="340"/>
        <item x="729"/>
        <item x="455"/>
        <item x="330"/>
        <item x="694"/>
        <item x="700"/>
        <item x="678"/>
        <item x="137"/>
        <item x="466"/>
        <item x="490"/>
        <item x="750"/>
        <item x="655"/>
        <item x="271"/>
        <item x="511"/>
        <item x="493"/>
        <item x="372"/>
        <item x="553"/>
        <item x="531"/>
        <item x="742"/>
        <item x="408"/>
        <item x="122"/>
        <item x="418"/>
        <item x="201"/>
        <item x="583"/>
        <item x="593"/>
        <item x="759"/>
        <item x="496"/>
        <item x="465"/>
        <item x="364"/>
        <item x="514"/>
        <item x="413"/>
        <item x="348"/>
        <item x="427"/>
        <item x="551"/>
        <item x="473"/>
        <item x="520"/>
        <item x="706"/>
        <item x="619"/>
        <item x="558"/>
        <item x="758"/>
        <item x="745"/>
        <item x="600"/>
        <item x="331"/>
        <item x="539"/>
        <item x="697"/>
        <item x="516"/>
        <item x="561"/>
        <item x="705"/>
        <item x="322"/>
        <item x="525"/>
        <item x="580"/>
        <item x="606"/>
        <item x="608"/>
        <item x="733"/>
        <item x="718"/>
        <item x="560"/>
        <item x="492"/>
        <item x="691"/>
        <item x="528"/>
        <item x="432"/>
        <item x="679"/>
        <item x="564"/>
        <item x="713"/>
        <item x="479"/>
        <item x="682"/>
        <item x="105"/>
        <item x="740"/>
        <item x="522"/>
        <item x="725"/>
        <item x="587"/>
        <item x="592"/>
        <item x="150"/>
        <item x="685"/>
        <item x="556"/>
        <item x="621"/>
        <item x="487"/>
        <item x="595"/>
        <item x="538"/>
        <item x="526"/>
        <item x="584"/>
        <item x="709"/>
        <item x="557"/>
        <item x="751"/>
        <item x="711"/>
        <item x="530"/>
        <item x="669"/>
        <item x="618"/>
        <item x="486"/>
        <item x="648"/>
        <item x="589"/>
        <item x="609"/>
        <item x="651"/>
        <item x="529"/>
        <item x="270"/>
        <item x="347"/>
        <item x="484"/>
        <item x="630"/>
        <item x="627"/>
        <item x="536"/>
        <item x="545"/>
        <item x="698"/>
        <item x="543"/>
        <item x="626"/>
        <item x="611"/>
        <item x="559"/>
        <item x="710"/>
        <item x="612"/>
        <item x="613"/>
        <item x="414"/>
        <item x="535"/>
        <item x="588"/>
        <item x="586"/>
        <item x="690"/>
        <item x="590"/>
        <item x="639"/>
        <item x="555"/>
        <item x="607"/>
        <item x="591"/>
        <item x="617"/>
        <item x="649"/>
      </items>
    </pivotField>
    <pivotField dataField="1" showAll="0" defaultSubtotal="0">
      <items count="15">
        <item x="5"/>
        <item x="4"/>
        <item x="10"/>
        <item x="11"/>
        <item x="13"/>
        <item x="3"/>
        <item x="12"/>
        <item x="1"/>
        <item x="2"/>
        <item x="0"/>
        <item x="14"/>
        <item x="8"/>
        <item x="7"/>
        <item x="6"/>
        <item x="9"/>
      </items>
    </pivotField>
  </pivotFields>
  <rowFields count="3">
    <field x="2"/>
    <field x="6"/>
    <field x="5"/>
  </rowFields>
  <rowItems count="4850">
    <i>
      <x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1"/>
    </i>
    <i r="1">
      <x v="5"/>
      <x v="2"/>
    </i>
    <i r="1">
      <x v="6"/>
      <x v="46"/>
    </i>
    <i r="1">
      <x v="7"/>
      <x v="65"/>
    </i>
    <i r="1">
      <x v="8"/>
      <x v="3"/>
    </i>
    <i r="1">
      <x v="9"/>
      <x v="64"/>
    </i>
    <i r="1">
      <x v="10"/>
      <x v="55"/>
    </i>
    <i r="1">
      <x v="11"/>
      <x v="47"/>
    </i>
    <i r="1">
      <x v="12"/>
      <x v="57"/>
    </i>
    <i r="1">
      <x v="13"/>
      <x v="45"/>
    </i>
    <i r="1">
      <x v="14"/>
      <x v="66"/>
    </i>
    <i r="1">
      <x v="15"/>
      <x v="42"/>
    </i>
    <i r="1">
      <x v="16"/>
      <x v="43"/>
    </i>
    <i r="1">
      <x v="17"/>
      <x v="41"/>
    </i>
    <i r="1">
      <x v="18"/>
      <x v="40"/>
    </i>
    <i r="1">
      <x v="19"/>
      <x v="62"/>
    </i>
    <i t="blank">
      <x/>
    </i>
    <i>
      <x v="1"/>
    </i>
    <i r="1">
      <x/>
      <x v="52"/>
    </i>
    <i r="1">
      <x v="1"/>
      <x v="59"/>
    </i>
    <i r="1">
      <x v="2"/>
      <x v="61"/>
    </i>
    <i r="1">
      <x v="3"/>
      <x v="2"/>
    </i>
    <i r="1">
      <x v="4"/>
      <x v="48"/>
    </i>
    <i r="1">
      <x v="5"/>
      <x v="1"/>
    </i>
    <i r="1">
      <x v="6"/>
      <x v="55"/>
    </i>
    <i r="1">
      <x v="7"/>
      <x v="65"/>
    </i>
    <i r="1">
      <x v="8"/>
      <x v="3"/>
    </i>
    <i r="1">
      <x v="9"/>
      <x v="64"/>
    </i>
    <i r="1">
      <x v="10"/>
      <x v="57"/>
    </i>
    <i r="1">
      <x v="11"/>
      <x v="42"/>
    </i>
    <i r="1">
      <x v="12"/>
      <x v="46"/>
    </i>
    <i r="1">
      <x v="13"/>
      <x v="43"/>
    </i>
    <i r="1">
      <x v="14"/>
      <x v="51"/>
    </i>
    <i r="1">
      <x v="15"/>
      <x v="45"/>
    </i>
    <i r="1">
      <x v="16"/>
      <x v="47"/>
    </i>
    <i r="1">
      <x v="17"/>
      <x v="71"/>
    </i>
    <i r="1">
      <x v="18"/>
      <x v="66"/>
    </i>
    <i r="1">
      <x v="19"/>
      <x v="41"/>
    </i>
    <i t="blank">
      <x v="1"/>
    </i>
    <i>
      <x v="2"/>
    </i>
    <i r="1">
      <x/>
      <x v="59"/>
    </i>
    <i r="1">
      <x v="1"/>
      <x v="52"/>
    </i>
    <i r="1">
      <x v="2"/>
      <x v="55"/>
    </i>
    <i r="1">
      <x v="3"/>
      <x v="61"/>
    </i>
    <i r="1">
      <x v="4"/>
      <x v="48"/>
    </i>
    <i r="1">
      <x v="5"/>
      <x v="65"/>
    </i>
    <i r="1">
      <x v="6"/>
      <x v="45"/>
    </i>
    <i r="1">
      <x v="7"/>
      <x v="64"/>
    </i>
    <i r="1">
      <x v="8"/>
      <x v="51"/>
    </i>
    <i r="1">
      <x v="9"/>
      <x v="57"/>
    </i>
    <i r="1">
      <x v="10"/>
      <x v="46"/>
    </i>
    <i r="2">
      <x v="71"/>
    </i>
    <i r="1">
      <x v="12"/>
      <x v="42"/>
    </i>
    <i r="1">
      <x v="13"/>
      <x v="43"/>
    </i>
    <i r="1">
      <x v="14"/>
      <x v="1"/>
    </i>
    <i r="1">
      <x v="15"/>
      <x v="40"/>
    </i>
    <i r="1">
      <x v="16"/>
      <x v="30"/>
    </i>
    <i r="1">
      <x v="17"/>
      <x v="41"/>
    </i>
    <i r="1">
      <x v="18"/>
      <x v="3"/>
    </i>
    <i r="1">
      <x v="19"/>
      <x v="2"/>
    </i>
    <i t="blank">
      <x v="2"/>
    </i>
    <i>
      <x v="3"/>
    </i>
    <i r="1">
      <x/>
      <x v="52"/>
    </i>
    <i r="1">
      <x v="1"/>
      <x v="61"/>
    </i>
    <i r="1">
      <x v="2"/>
      <x v="59"/>
    </i>
    <i r="1">
      <x v="3"/>
      <x v="2"/>
    </i>
    <i r="1">
      <x v="4"/>
      <x v="3"/>
    </i>
    <i r="1">
      <x v="5"/>
      <x v="1"/>
    </i>
    <i r="1">
      <x v="6"/>
      <x v="48"/>
    </i>
    <i r="1">
      <x v="7"/>
      <x v="65"/>
    </i>
    <i r="1">
      <x v="8"/>
      <x v="55"/>
    </i>
    <i r="1">
      <x v="9"/>
      <x v="57"/>
    </i>
    <i r="1">
      <x v="10"/>
      <x v="64"/>
    </i>
    <i r="1">
      <x v="11"/>
      <x v="42"/>
    </i>
    <i r="1">
      <x v="12"/>
      <x v="47"/>
    </i>
    <i r="1">
      <x v="13"/>
      <x v="46"/>
    </i>
    <i r="1">
      <x v="14"/>
      <x v="43"/>
    </i>
    <i r="1">
      <x v="15"/>
      <x v="51"/>
    </i>
    <i r="1">
      <x v="16"/>
      <x v="71"/>
    </i>
    <i r="1">
      <x v="17"/>
      <x v="45"/>
    </i>
    <i r="1">
      <x v="18"/>
      <x v="66"/>
    </i>
    <i r="1">
      <x v="19"/>
      <x v="62"/>
    </i>
    <i t="blank">
      <x v="3"/>
    </i>
    <i>
      <x v="4"/>
    </i>
    <i r="1">
      <x/>
      <x v="52"/>
    </i>
    <i r="1">
      <x v="1"/>
      <x v="61"/>
    </i>
    <i r="1">
      <x v="2"/>
      <x v="2"/>
    </i>
    <i r="1">
      <x v="3"/>
      <x v="3"/>
    </i>
    <i r="1">
      <x v="4"/>
      <x v="59"/>
    </i>
    <i r="1">
      <x v="5"/>
      <x v="1"/>
    </i>
    <i r="1">
      <x v="6"/>
      <x v="48"/>
    </i>
    <i r="1">
      <x v="7"/>
      <x v="42"/>
    </i>
    <i r="1">
      <x v="8"/>
      <x v="65"/>
    </i>
    <i r="1">
      <x v="9"/>
      <x v="43"/>
    </i>
    <i r="1">
      <x v="10"/>
      <x v="47"/>
    </i>
    <i r="1">
      <x v="11"/>
      <x v="55"/>
    </i>
    <i r="1">
      <x v="12"/>
      <x v="57"/>
    </i>
    <i r="1">
      <x v="13"/>
      <x v="64"/>
    </i>
    <i r="1">
      <x v="14"/>
      <x v="41"/>
    </i>
    <i r="1">
      <x v="15"/>
      <x v="66"/>
    </i>
    <i r="1">
      <x v="16"/>
      <x v="51"/>
    </i>
    <i r="1">
      <x v="17"/>
      <x v="46"/>
    </i>
    <i r="1">
      <x v="18"/>
      <x v="71"/>
    </i>
    <i r="1">
      <x v="19"/>
      <x v="45"/>
    </i>
    <i t="blank">
      <x v="4"/>
    </i>
    <i>
      <x v="5"/>
    </i>
    <i r="1">
      <x/>
      <x v="52"/>
    </i>
    <i r="1">
      <x v="1"/>
      <x v="61"/>
    </i>
    <i r="1">
      <x v="2"/>
      <x v="2"/>
    </i>
    <i r="1">
      <x v="3"/>
      <x v="59"/>
    </i>
    <i r="1">
      <x v="4"/>
      <x v="1"/>
    </i>
    <i r="2">
      <x v="3"/>
    </i>
    <i r="1">
      <x v="6"/>
      <x v="48"/>
    </i>
    <i r="1">
      <x v="7"/>
      <x v="42"/>
    </i>
    <i r="1">
      <x v="8"/>
      <x v="65"/>
    </i>
    <i r="1">
      <x v="9"/>
      <x v="43"/>
    </i>
    <i r="1">
      <x v="10"/>
      <x v="47"/>
    </i>
    <i r="1">
      <x v="11"/>
      <x v="57"/>
    </i>
    <i r="1">
      <x v="12"/>
      <x v="41"/>
    </i>
    <i r="1">
      <x v="13"/>
      <x v="46"/>
    </i>
    <i r="1">
      <x v="14"/>
      <x v="55"/>
    </i>
    <i r="1">
      <x v="15"/>
      <x v="51"/>
    </i>
    <i r="1">
      <x v="16"/>
      <x v="64"/>
    </i>
    <i r="1">
      <x v="17"/>
      <x v="49"/>
    </i>
    <i r="1">
      <x v="18"/>
      <x v="66"/>
    </i>
    <i r="1">
      <x v="19"/>
      <x v="40"/>
    </i>
    <i t="blank">
      <x v="5"/>
    </i>
    <i>
      <x v="6"/>
    </i>
    <i r="1">
      <x/>
      <x v="52"/>
    </i>
    <i r="1">
      <x v="1"/>
      <x v="61"/>
    </i>
    <i r="1">
      <x v="2"/>
      <x v="59"/>
    </i>
    <i r="1">
      <x v="3"/>
      <x v="65"/>
    </i>
    <i r="1">
      <x v="4"/>
      <x v="1"/>
    </i>
    <i r="1">
      <x v="5"/>
      <x v="2"/>
    </i>
    <i r="1">
      <x v="6"/>
      <x v="48"/>
    </i>
    <i r="1">
      <x v="7"/>
      <x v="3"/>
    </i>
    <i r="1">
      <x v="8"/>
      <x v="51"/>
    </i>
    <i r="1">
      <x v="9"/>
      <x v="64"/>
    </i>
    <i r="1">
      <x v="10"/>
      <x v="57"/>
    </i>
    <i r="1">
      <x v="11"/>
      <x v="55"/>
    </i>
    <i r="1">
      <x v="12"/>
      <x v="46"/>
    </i>
    <i r="1">
      <x v="13"/>
      <x v="43"/>
    </i>
    <i r="1">
      <x v="14"/>
      <x v="66"/>
    </i>
    <i r="1">
      <x v="15"/>
      <x v="42"/>
    </i>
    <i r="1">
      <x v="16"/>
      <x v="71"/>
    </i>
    <i r="1">
      <x v="17"/>
      <x v="47"/>
    </i>
    <i r="2">
      <x v="50"/>
    </i>
    <i r="2">
      <x v="62"/>
    </i>
    <i t="blank">
      <x v="6"/>
    </i>
    <i>
      <x v="7"/>
    </i>
    <i r="1">
      <x/>
      <x v="52"/>
    </i>
    <i r="1">
      <x v="1"/>
      <x v="61"/>
    </i>
    <i r="1">
      <x v="2"/>
      <x v="59"/>
    </i>
    <i r="1">
      <x v="3"/>
      <x v="1"/>
    </i>
    <i r="1">
      <x v="4"/>
      <x v="48"/>
    </i>
    <i r="1">
      <x v="5"/>
      <x v="2"/>
    </i>
    <i r="1">
      <x v="6"/>
      <x v="65"/>
    </i>
    <i r="1">
      <x v="7"/>
      <x v="57"/>
    </i>
    <i r="1">
      <x v="8"/>
      <x v="3"/>
    </i>
    <i r="2">
      <x v="64"/>
    </i>
    <i r="1">
      <x v="10"/>
      <x v="46"/>
    </i>
    <i r="1">
      <x v="11"/>
      <x v="55"/>
    </i>
    <i r="1">
      <x v="12"/>
      <x v="66"/>
    </i>
    <i r="1">
      <x v="13"/>
      <x v="47"/>
    </i>
    <i r="1">
      <x v="14"/>
      <x v="34"/>
    </i>
    <i r="1">
      <x v="15"/>
      <x v="43"/>
    </i>
    <i r="2">
      <x v="71"/>
    </i>
    <i r="1">
      <x v="17"/>
      <x v="62"/>
    </i>
    <i r="1">
      <x v="18"/>
      <x v="45"/>
    </i>
    <i r="1">
      <x v="19"/>
      <x v="51"/>
    </i>
    <i t="blank">
      <x v="7"/>
    </i>
    <i>
      <x v="8"/>
    </i>
    <i r="1">
      <x/>
      <x v="52"/>
    </i>
    <i r="1">
      <x v="1"/>
      <x v="59"/>
    </i>
    <i r="1">
      <x v="2"/>
      <x v="61"/>
    </i>
    <i r="1">
      <x v="3"/>
      <x v="2"/>
    </i>
    <i r="1">
      <x v="4"/>
      <x v="65"/>
    </i>
    <i r="1">
      <x v="5"/>
      <x v="1"/>
    </i>
    <i r="1">
      <x v="6"/>
      <x v="48"/>
    </i>
    <i r="1">
      <x v="7"/>
      <x v="3"/>
    </i>
    <i r="1">
      <x v="8"/>
      <x v="64"/>
    </i>
    <i r="1">
      <x v="9"/>
      <x v="55"/>
    </i>
    <i r="1">
      <x v="10"/>
      <x v="57"/>
    </i>
    <i r="1">
      <x v="11"/>
      <x v="46"/>
    </i>
    <i r="1">
      <x v="12"/>
      <x v="40"/>
    </i>
    <i r="1">
      <x v="13"/>
      <x v="66"/>
    </i>
    <i r="1">
      <x v="14"/>
      <x v="42"/>
    </i>
    <i r="1">
      <x v="15"/>
      <x v="47"/>
    </i>
    <i r="1">
      <x v="16"/>
      <x v="43"/>
    </i>
    <i r="1">
      <x v="17"/>
      <x v="51"/>
    </i>
    <i r="1">
      <x v="18"/>
      <x v="45"/>
    </i>
    <i r="1">
      <x v="19"/>
      <x v="62"/>
    </i>
    <i t="blank">
      <x v="8"/>
    </i>
    <i>
      <x v="9"/>
    </i>
    <i r="1">
      <x/>
      <x v="52"/>
    </i>
    <i r="1">
      <x v="1"/>
      <x v="61"/>
    </i>
    <i r="1">
      <x v="2"/>
      <x v="59"/>
    </i>
    <i r="1">
      <x v="3"/>
      <x v="48"/>
    </i>
    <i r="1">
      <x v="4"/>
      <x v="65"/>
    </i>
    <i r="1">
      <x v="5"/>
      <x v="1"/>
    </i>
    <i r="1">
      <x v="6"/>
      <x v="2"/>
    </i>
    <i r="1">
      <x v="7"/>
      <x v="45"/>
    </i>
    <i r="1">
      <x v="8"/>
      <x v="3"/>
    </i>
    <i r="1">
      <x v="9"/>
      <x v="64"/>
    </i>
    <i r="1">
      <x v="10"/>
      <x v="55"/>
    </i>
    <i r="2">
      <x v="57"/>
    </i>
    <i r="1">
      <x v="12"/>
      <x v="42"/>
    </i>
    <i r="2">
      <x v="43"/>
    </i>
    <i r="1">
      <x v="14"/>
      <x v="46"/>
    </i>
    <i r="1">
      <x v="15"/>
      <x v="30"/>
    </i>
    <i r="2">
      <x v="47"/>
    </i>
    <i r="1">
      <x v="17"/>
      <x v="60"/>
    </i>
    <i r="1">
      <x v="18"/>
      <x v="71"/>
    </i>
    <i r="1">
      <x v="19"/>
      <x v="66"/>
    </i>
    <i t="blank">
      <x v="9"/>
    </i>
    <i>
      <x v="10"/>
    </i>
    <i r="1">
      <x/>
      <x v="61"/>
    </i>
    <i r="1">
      <x v="1"/>
      <x v="52"/>
    </i>
    <i r="1">
      <x v="2"/>
      <x v="59"/>
    </i>
    <i r="1">
      <x v="3"/>
      <x v="2"/>
    </i>
    <i r="1">
      <x v="4"/>
      <x v="1"/>
    </i>
    <i r="1">
      <x v="5"/>
      <x v="65"/>
    </i>
    <i r="1">
      <x v="6"/>
      <x v="3"/>
    </i>
    <i r="1">
      <x v="7"/>
      <x v="48"/>
    </i>
    <i r="1">
      <x v="8"/>
      <x v="64"/>
    </i>
    <i r="1">
      <x v="9"/>
      <x v="47"/>
    </i>
    <i r="1">
      <x v="10"/>
      <x v="57"/>
    </i>
    <i r="1">
      <x v="11"/>
      <x v="34"/>
    </i>
    <i r="1">
      <x v="12"/>
      <x v="46"/>
    </i>
    <i r="1">
      <x v="13"/>
      <x v="55"/>
    </i>
    <i r="2">
      <x v="66"/>
    </i>
    <i r="1">
      <x v="15"/>
      <x v="62"/>
    </i>
    <i r="1">
      <x v="16"/>
      <x v="43"/>
    </i>
    <i r="1">
      <x v="17"/>
      <x v="45"/>
    </i>
    <i r="2">
      <x v="60"/>
    </i>
    <i r="1">
      <x v="19"/>
      <x v="71"/>
    </i>
    <i t="blank">
      <x v="10"/>
    </i>
    <i>
      <x v="11"/>
    </i>
    <i r="1">
      <x/>
      <x v="61"/>
    </i>
    <i r="1">
      <x v="1"/>
      <x v="52"/>
    </i>
    <i r="1">
      <x v="2"/>
      <x v="59"/>
    </i>
    <i r="1">
      <x v="3"/>
      <x v="2"/>
    </i>
    <i r="1">
      <x v="4"/>
      <x v="1"/>
    </i>
    <i r="1">
      <x v="5"/>
      <x v="3"/>
    </i>
    <i r="1">
      <x v="6"/>
      <x v="48"/>
    </i>
    <i r="1">
      <x v="7"/>
      <x v="64"/>
    </i>
    <i r="1">
      <x v="8"/>
      <x v="65"/>
    </i>
    <i r="1">
      <x v="9"/>
      <x v="47"/>
    </i>
    <i r="1">
      <x v="10"/>
      <x v="55"/>
    </i>
    <i r="1">
      <x v="11"/>
      <x v="57"/>
    </i>
    <i r="1">
      <x v="12"/>
      <x v="34"/>
    </i>
    <i r="1">
      <x v="13"/>
      <x v="46"/>
    </i>
    <i r="1">
      <x v="14"/>
      <x v="66"/>
    </i>
    <i r="1">
      <x v="15"/>
      <x v="49"/>
    </i>
    <i r="1">
      <x v="16"/>
      <x v="62"/>
    </i>
    <i r="1">
      <x v="17"/>
      <x v="45"/>
    </i>
    <i r="1">
      <x v="18"/>
      <x v="43"/>
    </i>
    <i r="1">
      <x v="19"/>
      <x v="42"/>
    </i>
    <i t="blank">
      <x v="11"/>
    </i>
    <i>
      <x v="12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46"/>
    </i>
    <i r="1">
      <x v="5"/>
      <x v="1"/>
    </i>
    <i r="1">
      <x v="6"/>
      <x v="2"/>
    </i>
    <i r="1">
      <x v="7"/>
      <x v="3"/>
    </i>
    <i r="1">
      <x v="8"/>
      <x v="65"/>
    </i>
    <i r="1">
      <x v="9"/>
      <x v="64"/>
    </i>
    <i r="1">
      <x v="10"/>
      <x v="47"/>
    </i>
    <i r="1">
      <x v="11"/>
      <x v="55"/>
    </i>
    <i r="1">
      <x v="12"/>
      <x v="57"/>
    </i>
    <i r="1">
      <x v="13"/>
      <x v="66"/>
    </i>
    <i r="1">
      <x v="14"/>
      <x v="45"/>
    </i>
    <i r="1">
      <x v="15"/>
      <x v="40"/>
    </i>
    <i r="2">
      <x v="42"/>
    </i>
    <i r="1">
      <x v="17"/>
      <x v="62"/>
    </i>
    <i r="1">
      <x v="18"/>
      <x v="68"/>
    </i>
    <i r="1">
      <x v="19"/>
      <x v="43"/>
    </i>
    <i t="blank">
      <x v="12"/>
    </i>
    <i>
      <x v="13"/>
    </i>
    <i r="1">
      <x/>
      <x v="59"/>
    </i>
    <i r="1">
      <x v="1"/>
      <x v="61"/>
    </i>
    <i r="1">
      <x v="2"/>
      <x v="48"/>
    </i>
    <i r="1">
      <x v="3"/>
      <x v="46"/>
    </i>
    <i r="1">
      <x v="4"/>
      <x v="1"/>
    </i>
    <i r="1">
      <x v="5"/>
      <x v="52"/>
    </i>
    <i r="1">
      <x v="6"/>
      <x v="65"/>
    </i>
    <i r="1">
      <x v="7"/>
      <x v="2"/>
    </i>
    <i r="1">
      <x v="8"/>
      <x v="45"/>
    </i>
    <i r="1">
      <x v="9"/>
      <x v="47"/>
    </i>
    <i r="1">
      <x v="10"/>
      <x v="64"/>
    </i>
    <i r="1">
      <x v="11"/>
      <x v="3"/>
    </i>
    <i r="1">
      <x v="12"/>
      <x v="40"/>
    </i>
    <i r="1">
      <x v="13"/>
      <x v="41"/>
    </i>
    <i r="1">
      <x v="14"/>
      <x v="66"/>
    </i>
    <i r="1">
      <x v="15"/>
      <x v="55"/>
    </i>
    <i r="1">
      <x v="16"/>
      <x v="43"/>
    </i>
    <i r="1">
      <x v="17"/>
      <x v="4"/>
    </i>
    <i r="1">
      <x v="18"/>
      <x v="57"/>
    </i>
    <i r="1">
      <x v="19"/>
      <x v="42"/>
    </i>
    <i t="blank">
      <x v="13"/>
    </i>
    <i>
      <x v="14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1"/>
    </i>
    <i r="1">
      <x v="5"/>
      <x v="2"/>
    </i>
    <i r="1">
      <x v="6"/>
      <x v="65"/>
    </i>
    <i r="1">
      <x v="7"/>
      <x v="3"/>
    </i>
    <i r="1">
      <x v="8"/>
      <x v="47"/>
    </i>
    <i r="1">
      <x v="9"/>
      <x v="46"/>
    </i>
    <i r="1">
      <x v="10"/>
      <x v="45"/>
    </i>
    <i r="1">
      <x v="11"/>
      <x v="64"/>
    </i>
    <i r="1">
      <x v="12"/>
      <x v="55"/>
    </i>
    <i r="1">
      <x v="13"/>
      <x v="66"/>
    </i>
    <i r="1">
      <x v="14"/>
      <x v="57"/>
    </i>
    <i r="1">
      <x v="15"/>
      <x v="42"/>
    </i>
    <i r="1">
      <x v="16"/>
      <x v="43"/>
    </i>
    <i r="2">
      <x v="51"/>
    </i>
    <i r="1">
      <x v="18"/>
      <x v="41"/>
    </i>
    <i r="1">
      <x v="19"/>
      <x v="68"/>
    </i>
    <i t="blank">
      <x v="14"/>
    </i>
    <i>
      <x v="15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46"/>
    </i>
    <i r="1">
      <x v="5"/>
      <x v="1"/>
    </i>
    <i r="1">
      <x v="6"/>
      <x v="2"/>
    </i>
    <i r="1">
      <x v="7"/>
      <x v="3"/>
    </i>
    <i r="1">
      <x v="8"/>
      <x v="65"/>
    </i>
    <i r="1">
      <x v="9"/>
      <x v="47"/>
    </i>
    <i r="1">
      <x v="10"/>
      <x v="41"/>
    </i>
    <i r="2">
      <x v="42"/>
    </i>
    <i r="1">
      <x v="12"/>
      <x v="45"/>
    </i>
    <i r="1">
      <x v="13"/>
      <x v="64"/>
    </i>
    <i r="1">
      <x v="14"/>
      <x v="55"/>
    </i>
    <i r="1">
      <x v="15"/>
      <x v="50"/>
    </i>
    <i r="1">
      <x v="16"/>
      <x v="57"/>
    </i>
    <i r="1">
      <x v="17"/>
      <x v="66"/>
    </i>
    <i r="1">
      <x v="18"/>
      <x v="69"/>
    </i>
    <i r="1">
      <x v="19"/>
      <x v="43"/>
    </i>
    <i t="blank">
      <x v="15"/>
    </i>
    <i>
      <x v="16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1"/>
    </i>
    <i r="1">
      <x v="5"/>
      <x v="2"/>
    </i>
    <i r="1">
      <x v="6"/>
      <x v="46"/>
    </i>
    <i r="1">
      <x v="7"/>
      <x v="3"/>
    </i>
    <i r="1">
      <x v="8"/>
      <x v="47"/>
    </i>
    <i r="1">
      <x v="9"/>
      <x v="64"/>
    </i>
    <i r="1">
      <x v="10"/>
      <x v="65"/>
    </i>
    <i r="1">
      <x v="11"/>
      <x v="57"/>
    </i>
    <i r="1">
      <x v="12"/>
      <x v="66"/>
    </i>
    <i r="1">
      <x v="13"/>
      <x v="42"/>
    </i>
    <i r="2">
      <x v="45"/>
    </i>
    <i r="1">
      <x v="15"/>
      <x v="55"/>
    </i>
    <i r="2">
      <x v="68"/>
    </i>
    <i r="1">
      <x v="17"/>
      <x v="41"/>
    </i>
    <i r="1">
      <x v="18"/>
      <x v="43"/>
    </i>
    <i r="1">
      <x v="19"/>
      <x v="58"/>
    </i>
    <i t="blank">
      <x v="16"/>
    </i>
    <i>
      <x v="17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1"/>
    </i>
    <i r="1">
      <x v="5"/>
      <x v="2"/>
    </i>
    <i r="1">
      <x v="6"/>
      <x v="65"/>
    </i>
    <i r="1">
      <x v="7"/>
      <x v="3"/>
    </i>
    <i r="1">
      <x v="8"/>
      <x v="64"/>
    </i>
    <i r="1">
      <x v="9"/>
      <x v="46"/>
    </i>
    <i r="1">
      <x v="10"/>
      <x v="45"/>
    </i>
    <i r="1">
      <x v="11"/>
      <x v="47"/>
    </i>
    <i r="1">
      <x v="12"/>
      <x v="57"/>
    </i>
    <i r="1">
      <x v="13"/>
      <x v="55"/>
    </i>
    <i r="1">
      <x v="14"/>
      <x v="42"/>
    </i>
    <i r="1">
      <x v="15"/>
      <x v="43"/>
    </i>
    <i r="1">
      <x v="16"/>
      <x v="68"/>
    </i>
    <i r="1">
      <x v="17"/>
      <x v="41"/>
    </i>
    <i r="1">
      <x v="18"/>
      <x v="66"/>
    </i>
    <i r="1">
      <x v="19"/>
      <x v="50"/>
    </i>
    <i t="blank">
      <x v="17"/>
    </i>
    <i>
      <x v="18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1"/>
    </i>
    <i r="1">
      <x v="5"/>
      <x v="2"/>
    </i>
    <i r="1">
      <x v="6"/>
      <x v="46"/>
    </i>
    <i r="1">
      <x v="7"/>
      <x v="45"/>
    </i>
    <i r="1">
      <x v="8"/>
      <x v="65"/>
    </i>
    <i r="1">
      <x v="9"/>
      <x v="66"/>
    </i>
    <i r="1">
      <x v="10"/>
      <x v="3"/>
    </i>
    <i r="2">
      <x v="47"/>
    </i>
    <i r="1">
      <x v="12"/>
      <x v="42"/>
    </i>
    <i r="1">
      <x v="13"/>
      <x v="43"/>
    </i>
    <i r="2">
      <x v="64"/>
    </i>
    <i r="1">
      <x v="15"/>
      <x v="57"/>
    </i>
    <i r="1">
      <x v="16"/>
      <x v="41"/>
    </i>
    <i r="1">
      <x v="17"/>
      <x v="55"/>
    </i>
    <i r="1">
      <x v="18"/>
      <x v="69"/>
    </i>
    <i r="1">
      <x v="19"/>
      <x v="58"/>
    </i>
    <i r="2">
      <x v="68"/>
    </i>
    <i t="blank">
      <x v="18"/>
    </i>
    <i>
      <x v="19"/>
    </i>
    <i r="1">
      <x/>
      <x v="61"/>
    </i>
    <i r="1">
      <x v="1"/>
      <x v="48"/>
    </i>
    <i r="1">
      <x v="2"/>
      <x v="59"/>
    </i>
    <i r="1">
      <x v="3"/>
      <x v="46"/>
    </i>
    <i r="1">
      <x v="4"/>
      <x v="66"/>
    </i>
    <i r="1">
      <x v="5"/>
      <x v="1"/>
    </i>
    <i r="1">
      <x v="6"/>
      <x v="68"/>
    </i>
    <i r="1">
      <x v="7"/>
      <x v="3"/>
    </i>
    <i r="2">
      <x v="47"/>
    </i>
    <i r="2">
      <x v="65"/>
    </i>
    <i r="1">
      <x v="10"/>
      <x v="45"/>
    </i>
    <i r="1">
      <x v="11"/>
      <x v="4"/>
    </i>
    <i r="2">
      <x v="52"/>
    </i>
    <i r="2">
      <x v="53"/>
    </i>
    <i r="2">
      <x v="58"/>
    </i>
    <i r="2">
      <x v="64"/>
    </i>
    <i r="1">
      <x v="16"/>
      <x v="2"/>
    </i>
    <i r="2">
      <x v="7"/>
    </i>
    <i r="2">
      <x v="19"/>
    </i>
    <i r="2">
      <x v="41"/>
    </i>
    <i r="2">
      <x v="55"/>
    </i>
    <i r="2">
      <x v="62"/>
    </i>
    <i t="blank">
      <x v="19"/>
    </i>
    <i>
      <x v="20"/>
    </i>
    <i r="1">
      <x/>
      <x v="61"/>
    </i>
    <i r="1">
      <x v="1"/>
      <x v="52"/>
    </i>
    <i r="1">
      <x v="2"/>
      <x v="59"/>
    </i>
    <i r="1">
      <x v="3"/>
      <x v="48"/>
    </i>
    <i r="1">
      <x v="4"/>
      <x v="1"/>
    </i>
    <i r="1">
      <x v="5"/>
      <x v="2"/>
    </i>
    <i r="1">
      <x v="6"/>
      <x v="46"/>
    </i>
    <i r="1">
      <x v="7"/>
      <x v="65"/>
    </i>
    <i r="1">
      <x v="8"/>
      <x v="66"/>
    </i>
    <i r="1">
      <x v="9"/>
      <x v="47"/>
    </i>
    <i r="1">
      <x v="10"/>
      <x v="55"/>
    </i>
    <i r="1">
      <x v="11"/>
      <x v="3"/>
    </i>
    <i r="1">
      <x v="12"/>
      <x v="64"/>
    </i>
    <i r="1">
      <x v="13"/>
      <x v="45"/>
    </i>
    <i r="1">
      <x v="14"/>
      <x v="57"/>
    </i>
    <i r="1">
      <x v="15"/>
      <x v="41"/>
    </i>
    <i r="1">
      <x v="16"/>
      <x v="62"/>
    </i>
    <i r="1">
      <x v="17"/>
      <x v="42"/>
    </i>
    <i r="1">
      <x v="18"/>
      <x v="49"/>
    </i>
    <i r="2">
      <x v="68"/>
    </i>
    <i t="blank">
      <x v="20"/>
    </i>
    <i>
      <x v="21"/>
    </i>
    <i r="1">
      <x/>
      <x v="52"/>
    </i>
    <i r="1">
      <x v="1"/>
      <x v="61"/>
    </i>
    <i r="1">
      <x v="2"/>
      <x v="59"/>
    </i>
    <i r="1">
      <x v="3"/>
      <x v="48"/>
    </i>
    <i r="1">
      <x v="4"/>
      <x v="1"/>
    </i>
    <i r="1">
      <x v="5"/>
      <x v="2"/>
    </i>
    <i r="2">
      <x v="46"/>
    </i>
    <i r="1">
      <x v="7"/>
      <x v="4"/>
    </i>
    <i r="1">
      <x v="8"/>
      <x v="3"/>
    </i>
    <i r="1">
      <x v="9"/>
      <x v="47"/>
    </i>
    <i r="1">
      <x v="10"/>
      <x v="65"/>
    </i>
    <i r="1">
      <x v="11"/>
      <x v="55"/>
    </i>
    <i r="2">
      <x v="66"/>
    </i>
    <i r="1">
      <x v="13"/>
      <x v="57"/>
    </i>
    <i r="1">
      <x v="14"/>
      <x v="58"/>
    </i>
    <i r="2">
      <x v="64"/>
    </i>
    <i r="1">
      <x v="16"/>
      <x v="42"/>
    </i>
    <i r="2">
      <x v="45"/>
    </i>
    <i r="1">
      <x v="18"/>
      <x v="49"/>
    </i>
    <i r="1">
      <x v="19"/>
      <x v="40"/>
    </i>
    <i r="2">
      <x v="60"/>
    </i>
    <i r="2">
      <x v="63"/>
    </i>
    <i t="blank">
      <x v="21"/>
    </i>
    <i>
      <x v="22"/>
    </i>
    <i r="1">
      <x/>
      <x v="59"/>
    </i>
    <i r="1">
      <x v="1"/>
      <x v="61"/>
    </i>
    <i r="1">
      <x v="2"/>
      <x v="48"/>
    </i>
    <i r="1">
      <x v="3"/>
      <x v="52"/>
    </i>
    <i r="1">
      <x v="4"/>
      <x v="2"/>
    </i>
    <i r="2">
      <x v="46"/>
    </i>
    <i r="1">
      <x v="6"/>
      <x v="47"/>
    </i>
    <i r="1">
      <x v="7"/>
      <x v="1"/>
    </i>
    <i r="1">
      <x v="8"/>
      <x v="3"/>
    </i>
    <i r="2">
      <x v="65"/>
    </i>
    <i r="1">
      <x v="10"/>
      <x v="57"/>
    </i>
    <i r="1">
      <x v="11"/>
      <x v="45"/>
    </i>
    <i r="2">
      <x v="49"/>
    </i>
    <i r="2">
      <x v="66"/>
    </i>
    <i r="1">
      <x v="14"/>
      <x v="55"/>
    </i>
    <i r="2">
      <x v="68"/>
    </i>
    <i r="1">
      <x v="16"/>
      <x v="64"/>
    </i>
    <i r="1">
      <x v="17"/>
      <x v="35"/>
    </i>
    <i r="2">
      <x v="41"/>
    </i>
    <i r="2">
      <x v="50"/>
    </i>
    <i r="2">
      <x v="58"/>
    </i>
    <i r="2">
      <x v="62"/>
    </i>
    <i r="2">
      <x v="67"/>
    </i>
    <i r="2">
      <x v="72"/>
    </i>
    <i t="blank">
      <x v="22"/>
    </i>
    <i>
      <x v="23"/>
    </i>
    <i r="1">
      <x/>
      <x v="59"/>
    </i>
    <i r="1">
      <x v="1"/>
      <x v="61"/>
    </i>
    <i r="1">
      <x v="2"/>
      <x v="1"/>
    </i>
    <i r="1">
      <x v="3"/>
      <x v="2"/>
    </i>
    <i r="1">
      <x v="4"/>
      <x v="48"/>
    </i>
    <i r="1">
      <x v="5"/>
      <x v="3"/>
    </i>
    <i r="1">
      <x v="6"/>
      <x v="52"/>
    </i>
    <i r="1">
      <x v="7"/>
      <x v="64"/>
    </i>
    <i r="1">
      <x v="8"/>
      <x v="65"/>
    </i>
    <i r="1">
      <x v="9"/>
      <x v="41"/>
    </i>
    <i r="1">
      <x v="10"/>
      <x v="47"/>
    </i>
    <i r="1">
      <x v="11"/>
      <x v="45"/>
    </i>
    <i r="2">
      <x v="46"/>
    </i>
    <i r="1">
      <x v="13"/>
      <x v="55"/>
    </i>
    <i r="1">
      <x v="14"/>
      <x v="42"/>
    </i>
    <i r="1">
      <x v="15"/>
      <x v="49"/>
    </i>
    <i r="2">
      <x v="66"/>
    </i>
    <i r="1">
      <x v="17"/>
      <x v="57"/>
    </i>
    <i r="1">
      <x v="18"/>
      <x v="60"/>
    </i>
    <i r="1">
      <x v="19"/>
      <x v="62"/>
    </i>
    <i t="blank">
      <x v="23"/>
    </i>
    <i>
      <x v="24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2"/>
    </i>
    <i r="1">
      <x v="5"/>
      <x v="1"/>
    </i>
    <i r="1">
      <x v="6"/>
      <x v="46"/>
    </i>
    <i r="1">
      <x v="7"/>
      <x v="41"/>
    </i>
    <i r="1">
      <x v="8"/>
      <x v="3"/>
    </i>
    <i r="1">
      <x v="9"/>
      <x v="65"/>
    </i>
    <i r="1">
      <x v="10"/>
      <x v="4"/>
    </i>
    <i r="2">
      <x v="42"/>
    </i>
    <i r="1">
      <x v="12"/>
      <x v="47"/>
    </i>
    <i r="2">
      <x v="64"/>
    </i>
    <i r="2">
      <x v="66"/>
    </i>
    <i r="1">
      <x v="15"/>
      <x v="45"/>
    </i>
    <i r="1">
      <x v="16"/>
      <x v="57"/>
    </i>
    <i r="2">
      <x v="58"/>
    </i>
    <i r="2">
      <x v="68"/>
    </i>
    <i r="1">
      <x v="19"/>
      <x v="43"/>
    </i>
    <i r="2">
      <x v="50"/>
    </i>
    <i t="blank">
      <x v="24"/>
    </i>
    <i>
      <x v="25"/>
    </i>
    <i r="1">
      <x/>
      <x v="61"/>
    </i>
    <i r="1">
      <x v="1"/>
      <x v="59"/>
    </i>
    <i r="1">
      <x v="2"/>
      <x v="52"/>
    </i>
    <i r="1">
      <x v="3"/>
      <x v="48"/>
    </i>
    <i r="1">
      <x v="4"/>
      <x v="2"/>
    </i>
    <i r="1">
      <x v="5"/>
      <x v="1"/>
    </i>
    <i r="1">
      <x v="6"/>
      <x v="46"/>
    </i>
    <i r="1">
      <x v="7"/>
      <x v="45"/>
    </i>
    <i r="1">
      <x v="8"/>
      <x v="3"/>
    </i>
    <i r="1">
      <x v="9"/>
      <x v="47"/>
    </i>
    <i r="2">
      <x v="64"/>
    </i>
    <i r="2">
      <x v="65"/>
    </i>
    <i r="1">
      <x v="12"/>
      <x v="41"/>
    </i>
    <i r="1">
      <x v="13"/>
      <x v="49"/>
    </i>
    <i r="2">
      <x v="68"/>
    </i>
    <i r="1">
      <x v="15"/>
      <x v="10"/>
    </i>
    <i r="2">
      <x v="19"/>
    </i>
    <i r="2">
      <x v="63"/>
    </i>
    <i r="1">
      <x v="18"/>
      <x v="4"/>
    </i>
    <i r="2">
      <x v="6"/>
    </i>
    <i r="2">
      <x v="55"/>
    </i>
    <i r="2">
      <x v="62"/>
    </i>
    <i r="2">
      <x v="66"/>
    </i>
    <i r="2">
      <x v="71"/>
    </i>
    <i t="blank">
      <x v="25"/>
    </i>
    <i>
      <x v="26"/>
    </i>
    <i r="1">
      <x/>
      <x v="59"/>
    </i>
    <i r="1">
      <x v="1"/>
      <x v="61"/>
    </i>
    <i r="1">
      <x v="2"/>
      <x v="48"/>
    </i>
    <i r="1">
      <x v="3"/>
      <x v="66"/>
    </i>
    <i r="1">
      <x v="4"/>
      <x v="46"/>
    </i>
    <i r="2">
      <x v="52"/>
    </i>
    <i r="1">
      <x v="6"/>
      <x v="2"/>
    </i>
    <i r="2">
      <x v="47"/>
    </i>
    <i r="1">
      <x v="8"/>
      <x v="1"/>
    </i>
    <i r="2">
      <x v="65"/>
    </i>
    <i r="1">
      <x v="10"/>
      <x v="71"/>
    </i>
    <i r="1">
      <x v="11"/>
      <x v="3"/>
    </i>
    <i r="2">
      <x v="4"/>
    </i>
    <i r="2">
      <x v="45"/>
    </i>
    <i r="2">
      <x v="50"/>
    </i>
    <i r="1">
      <x v="15"/>
      <x v="40"/>
    </i>
    <i r="2">
      <x v="68"/>
    </i>
    <i r="1">
      <x v="17"/>
      <x v="64"/>
    </i>
    <i r="2">
      <x v="69"/>
    </i>
    <i r="1">
      <x v="19"/>
      <x v="10"/>
    </i>
    <i r="2">
      <x v="17"/>
    </i>
    <i r="2">
      <x v="53"/>
    </i>
    <i r="2">
      <x v="55"/>
    </i>
    <i r="2">
      <x v="58"/>
    </i>
    <i r="2">
      <x v="60"/>
    </i>
    <i r="2">
      <x v="62"/>
    </i>
    <i t="blank">
      <x v="26"/>
    </i>
    <i>
      <x v="27"/>
    </i>
    <i r="1">
      <x/>
      <x v="61"/>
    </i>
    <i r="1">
      <x v="1"/>
      <x v="59"/>
    </i>
    <i r="1">
      <x v="2"/>
      <x v="52"/>
    </i>
    <i r="1">
      <x v="3"/>
      <x v="2"/>
    </i>
    <i r="1">
      <x v="4"/>
      <x v="64"/>
    </i>
    <i r="1">
      <x v="5"/>
      <x v="65"/>
    </i>
    <i r="1">
      <x v="6"/>
      <x v="48"/>
    </i>
    <i r="1">
      <x v="7"/>
      <x v="1"/>
    </i>
    <i r="1">
      <x v="8"/>
      <x v="3"/>
    </i>
    <i r="1">
      <x v="9"/>
      <x v="47"/>
    </i>
    <i r="1">
      <x v="10"/>
      <x v="66"/>
    </i>
    <i r="1">
      <x v="11"/>
      <x v="46"/>
    </i>
    <i r="1">
      <x v="12"/>
      <x v="57"/>
    </i>
    <i r="1">
      <x v="13"/>
      <x v="55"/>
    </i>
    <i r="1">
      <x v="14"/>
      <x v="42"/>
    </i>
    <i r="1">
      <x v="15"/>
      <x v="41"/>
    </i>
    <i r="2">
      <x v="62"/>
    </i>
    <i r="1">
      <x v="17"/>
      <x v="45"/>
    </i>
    <i r="2">
      <x v="68"/>
    </i>
    <i r="1">
      <x v="19"/>
      <x v="43"/>
    </i>
    <i r="2">
      <x v="49"/>
    </i>
    <i t="blank">
      <x v="27"/>
    </i>
    <i>
      <x v="28"/>
    </i>
    <i r="1">
      <x/>
      <x v="61"/>
    </i>
    <i r="1">
      <x v="1"/>
      <x v="59"/>
    </i>
    <i r="1">
      <x v="2"/>
      <x v="48"/>
    </i>
    <i r="1">
      <x v="3"/>
      <x v="46"/>
    </i>
    <i r="1">
      <x v="4"/>
      <x v="2"/>
    </i>
    <i r="1">
      <x v="5"/>
      <x v="66"/>
    </i>
    <i r="1">
      <x v="6"/>
      <x v="1"/>
    </i>
    <i r="2">
      <x v="3"/>
    </i>
    <i r="2">
      <x v="47"/>
    </i>
    <i r="1">
      <x v="9"/>
      <x v="65"/>
    </i>
    <i r="1">
      <x v="10"/>
      <x v="45"/>
    </i>
    <i r="1">
      <x v="11"/>
      <x v="62"/>
    </i>
    <i r="2">
      <x v="64"/>
    </i>
    <i r="1">
      <x v="13"/>
      <x v="41"/>
    </i>
    <i r="2">
      <x v="52"/>
    </i>
    <i r="1">
      <x v="15"/>
      <x v="60"/>
    </i>
    <i r="2">
      <x v="67"/>
    </i>
    <i r="1">
      <x v="17"/>
      <x v="4"/>
    </i>
    <i r="2">
      <x v="7"/>
    </i>
    <i r="2">
      <x v="10"/>
    </i>
    <i r="2">
      <x v="17"/>
    </i>
    <i r="2">
      <x v="42"/>
    </i>
    <i r="2">
      <x v="57"/>
    </i>
    <i r="2">
      <x v="68"/>
    </i>
    <i t="blank">
      <x v="28"/>
    </i>
    <i>
      <x v="29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1"/>
    </i>
    <i r="1">
      <x v="5"/>
      <x v="46"/>
    </i>
    <i r="1">
      <x v="6"/>
      <x v="2"/>
    </i>
    <i r="1">
      <x v="7"/>
      <x v="47"/>
    </i>
    <i r="1">
      <x v="8"/>
      <x v="3"/>
    </i>
    <i r="1">
      <x v="9"/>
      <x v="55"/>
    </i>
    <i r="1">
      <x v="10"/>
      <x v="40"/>
    </i>
    <i r="2">
      <x v="41"/>
    </i>
    <i r="2">
      <x v="65"/>
    </i>
    <i r="1">
      <x v="13"/>
      <x v="43"/>
    </i>
    <i r="2">
      <x v="66"/>
    </i>
    <i r="1">
      <x v="15"/>
      <x v="50"/>
    </i>
    <i r="2">
      <x v="64"/>
    </i>
    <i r="1">
      <x v="17"/>
      <x v="68"/>
    </i>
    <i r="1">
      <x v="18"/>
      <x v="4"/>
    </i>
    <i r="1">
      <x v="19"/>
      <x v="42"/>
    </i>
    <i r="2">
      <x v="58"/>
    </i>
    <i t="blank">
      <x v="29"/>
    </i>
    <i>
      <x v="30"/>
    </i>
    <i r="1">
      <x/>
      <x v="59"/>
    </i>
    <i r="1">
      <x v="1"/>
      <x v="61"/>
    </i>
    <i r="1">
      <x v="2"/>
      <x v="48"/>
    </i>
    <i r="1">
      <x v="3"/>
      <x v="52"/>
    </i>
    <i r="1">
      <x v="4"/>
      <x v="2"/>
    </i>
    <i r="1">
      <x v="5"/>
      <x v="46"/>
    </i>
    <i r="1">
      <x v="6"/>
      <x v="1"/>
    </i>
    <i r="1">
      <x v="7"/>
      <x v="64"/>
    </i>
    <i r="1">
      <x v="8"/>
      <x v="65"/>
    </i>
    <i r="1">
      <x v="9"/>
      <x v="47"/>
    </i>
    <i r="2">
      <x v="66"/>
    </i>
    <i r="1">
      <x v="11"/>
      <x v="68"/>
    </i>
    <i r="1">
      <x v="12"/>
      <x v="3"/>
    </i>
    <i r="1">
      <x v="13"/>
      <x v="58"/>
    </i>
    <i r="1">
      <x v="14"/>
      <x v="43"/>
    </i>
    <i r="2">
      <x v="45"/>
    </i>
    <i r="2">
      <x v="62"/>
    </i>
    <i r="1">
      <x v="17"/>
      <x v="41"/>
    </i>
    <i r="2">
      <x v="55"/>
    </i>
    <i r="2">
      <x v="57"/>
    </i>
    <i t="blank">
      <x v="30"/>
    </i>
    <i>
      <x v="31"/>
    </i>
    <i r="1">
      <x/>
      <x v="52"/>
    </i>
    <i r="1">
      <x v="1"/>
      <x v="59"/>
    </i>
    <i r="1">
      <x v="2"/>
      <x v="61"/>
    </i>
    <i r="1">
      <x v="3"/>
      <x v="48"/>
    </i>
    <i r="1">
      <x v="4"/>
      <x v="46"/>
    </i>
    <i r="1">
      <x v="5"/>
      <x v="65"/>
    </i>
    <i r="1">
      <x v="6"/>
      <x v="2"/>
    </i>
    <i r="1">
      <x v="7"/>
      <x v="1"/>
    </i>
    <i r="1">
      <x v="8"/>
      <x v="47"/>
    </i>
    <i r="2">
      <x v="64"/>
    </i>
    <i r="1">
      <x v="10"/>
      <x v="66"/>
    </i>
    <i r="1">
      <x v="11"/>
      <x v="3"/>
    </i>
    <i r="1">
      <x v="12"/>
      <x v="45"/>
    </i>
    <i r="2">
      <x v="50"/>
    </i>
    <i r="2">
      <x v="57"/>
    </i>
    <i r="2">
      <x v="58"/>
    </i>
    <i r="2">
      <x v="62"/>
    </i>
    <i r="2">
      <x v="71"/>
    </i>
    <i r="1">
      <x v="18"/>
      <x v="55"/>
    </i>
    <i r="1">
      <x v="19"/>
      <x v="4"/>
    </i>
    <i r="2">
      <x v="41"/>
    </i>
    <i r="2">
      <x v="63"/>
    </i>
    <i t="blank">
      <x v="31"/>
    </i>
    <i>
      <x v="32"/>
    </i>
    <i r="1">
      <x/>
      <x v="61"/>
    </i>
    <i r="1">
      <x v="1"/>
      <x v="59"/>
    </i>
    <i r="1">
      <x v="2"/>
      <x v="46"/>
    </i>
    <i r="2">
      <x v="48"/>
    </i>
    <i r="1">
      <x v="4"/>
      <x v="1"/>
    </i>
    <i r="1">
      <x v="5"/>
      <x v="2"/>
    </i>
    <i r="2">
      <x v="45"/>
    </i>
    <i r="1">
      <x v="7"/>
      <x v="3"/>
    </i>
    <i r="1">
      <x v="8"/>
      <x v="47"/>
    </i>
    <i r="1">
      <x v="9"/>
      <x v="49"/>
    </i>
    <i r="2">
      <x v="66"/>
    </i>
    <i r="1">
      <x v="11"/>
      <x v="7"/>
    </i>
    <i r="2">
      <x v="27"/>
    </i>
    <i r="2">
      <x v="41"/>
    </i>
    <i r="2">
      <x v="52"/>
    </i>
    <i r="2">
      <x v="60"/>
    </i>
    <i r="2">
      <x v="64"/>
    </i>
    <i r="2">
      <x v="71"/>
    </i>
    <i r="1">
      <x v="18"/>
      <x v="4"/>
    </i>
    <i r="2">
      <x v="15"/>
    </i>
    <i r="2">
      <x v="42"/>
    </i>
    <i r="2">
      <x v="54"/>
    </i>
    <i r="2">
      <x v="58"/>
    </i>
    <i r="2">
      <x v="62"/>
    </i>
    <i r="2">
      <x v="63"/>
    </i>
    <i r="2">
      <x v="69"/>
    </i>
    <i t="blank">
      <x v="32"/>
    </i>
    <i>
      <x v="33"/>
    </i>
    <i r="1">
      <x/>
      <x v="59"/>
    </i>
    <i r="1">
      <x v="1"/>
      <x v="61"/>
    </i>
    <i r="1">
      <x v="2"/>
      <x v="48"/>
    </i>
    <i r="1">
      <x v="3"/>
      <x v="52"/>
    </i>
    <i r="1">
      <x v="4"/>
      <x v="4"/>
    </i>
    <i r="1">
      <x v="5"/>
      <x v="1"/>
    </i>
    <i r="1">
      <x v="6"/>
      <x v="46"/>
    </i>
    <i r="1">
      <x v="7"/>
      <x v="2"/>
    </i>
    <i r="1">
      <x v="8"/>
      <x v="40"/>
    </i>
    <i r="1">
      <x v="9"/>
      <x v="64"/>
    </i>
    <i r="1">
      <x v="10"/>
      <x v="58"/>
    </i>
    <i r="1">
      <x v="11"/>
      <x v="45"/>
    </i>
    <i r="2">
      <x v="66"/>
    </i>
    <i r="1">
      <x v="13"/>
      <x v="47"/>
    </i>
    <i r="1">
      <x v="14"/>
      <x v="65"/>
    </i>
    <i r="2">
      <x v="68"/>
    </i>
    <i r="1">
      <x v="16"/>
      <x v="3"/>
    </i>
    <i r="1">
      <x v="17"/>
      <x v="41"/>
    </i>
    <i r="2">
      <x v="57"/>
    </i>
    <i r="1">
      <x v="19"/>
      <x v="23"/>
    </i>
    <i r="2">
      <x v="62"/>
    </i>
    <i t="blank">
      <x v="33"/>
    </i>
    <i>
      <x v="34"/>
    </i>
    <i r="1">
      <x/>
      <x v="59"/>
    </i>
    <i r="1">
      <x v="1"/>
      <x v="61"/>
    </i>
    <i r="1">
      <x v="2"/>
      <x v="48"/>
    </i>
    <i r="1">
      <x v="3"/>
      <x v="1"/>
    </i>
    <i r="1">
      <x v="4"/>
      <x v="64"/>
    </i>
    <i r="1">
      <x v="5"/>
      <x v="46"/>
    </i>
    <i r="2">
      <x v="65"/>
    </i>
    <i r="1">
      <x v="7"/>
      <x v="2"/>
    </i>
    <i r="1">
      <x v="8"/>
      <x v="52"/>
    </i>
    <i r="1">
      <x v="9"/>
      <x v="45"/>
    </i>
    <i r="1">
      <x v="10"/>
      <x v="3"/>
    </i>
    <i r="1">
      <x v="11"/>
      <x v="47"/>
    </i>
    <i r="1">
      <x v="12"/>
      <x v="57"/>
    </i>
    <i r="1">
      <x v="13"/>
      <x v="55"/>
    </i>
    <i r="1">
      <x v="14"/>
      <x v="66"/>
    </i>
    <i r="1">
      <x v="15"/>
      <x v="41"/>
    </i>
    <i r="1">
      <x v="16"/>
      <x v="62"/>
    </i>
    <i r="1">
      <x v="17"/>
      <x v="51"/>
    </i>
    <i r="2">
      <x v="68"/>
    </i>
    <i r="1">
      <x v="19"/>
      <x v="42"/>
    </i>
    <i t="blank">
      <x v="34"/>
    </i>
    <i>
      <x v="35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2"/>
    </i>
    <i r="1">
      <x v="5"/>
      <x v="1"/>
    </i>
    <i r="1">
      <x v="6"/>
      <x v="65"/>
    </i>
    <i r="1">
      <x v="7"/>
      <x v="3"/>
    </i>
    <i r="1">
      <x v="8"/>
      <x v="47"/>
    </i>
    <i r="1">
      <x v="9"/>
      <x v="64"/>
    </i>
    <i r="1">
      <x v="10"/>
      <x v="45"/>
    </i>
    <i r="1">
      <x v="11"/>
      <x v="46"/>
    </i>
    <i r="1">
      <x v="12"/>
      <x v="55"/>
    </i>
    <i r="1">
      <x v="13"/>
      <x v="41"/>
    </i>
    <i r="1">
      <x v="14"/>
      <x v="72"/>
    </i>
    <i r="1">
      <x v="15"/>
      <x v="57"/>
    </i>
    <i r="2">
      <x v="62"/>
    </i>
    <i r="1">
      <x v="17"/>
      <x v="66"/>
    </i>
    <i r="1">
      <x v="18"/>
      <x v="42"/>
    </i>
    <i r="2">
      <x v="68"/>
    </i>
    <i t="blank">
      <x v="35"/>
    </i>
    <i>
      <x v="36"/>
    </i>
    <i r="1">
      <x/>
      <x v="59"/>
    </i>
    <i r="1">
      <x v="1"/>
      <x v="61"/>
    </i>
    <i r="1">
      <x v="2"/>
      <x v="48"/>
    </i>
    <i r="1">
      <x v="3"/>
      <x v="2"/>
    </i>
    <i r="2">
      <x v="52"/>
    </i>
    <i r="1">
      <x v="5"/>
      <x v="1"/>
    </i>
    <i r="1">
      <x v="6"/>
      <x v="46"/>
    </i>
    <i r="2">
      <x v="66"/>
    </i>
    <i r="1">
      <x v="8"/>
      <x v="65"/>
    </i>
    <i r="1">
      <x v="9"/>
      <x v="64"/>
    </i>
    <i r="1">
      <x v="10"/>
      <x v="3"/>
    </i>
    <i r="2">
      <x v="47"/>
    </i>
    <i r="1">
      <x v="12"/>
      <x v="55"/>
    </i>
    <i r="1">
      <x v="13"/>
      <x v="58"/>
    </i>
    <i r="1">
      <x v="14"/>
      <x v="68"/>
    </i>
    <i r="1">
      <x v="15"/>
      <x v="62"/>
    </i>
    <i r="1">
      <x v="16"/>
      <x v="45"/>
    </i>
    <i r="2">
      <x v="49"/>
    </i>
    <i r="2">
      <x v="57"/>
    </i>
    <i r="1">
      <x v="19"/>
      <x v="40"/>
    </i>
    <i r="2">
      <x v="43"/>
    </i>
    <i r="2">
      <x v="53"/>
    </i>
    <i t="blank">
      <x v="36"/>
    </i>
    <i>
      <x v="37"/>
    </i>
    <i r="1">
      <x/>
      <x v="48"/>
    </i>
    <i r="1">
      <x v="1"/>
      <x v="61"/>
    </i>
    <i r="1">
      <x v="2"/>
      <x v="1"/>
    </i>
    <i r="2">
      <x v="66"/>
    </i>
    <i r="1">
      <x v="4"/>
      <x v="64"/>
    </i>
    <i r="1">
      <x v="5"/>
      <x v="2"/>
    </i>
    <i r="2">
      <x v="3"/>
    </i>
    <i r="2">
      <x v="59"/>
    </i>
    <i r="1">
      <x v="8"/>
      <x v="27"/>
    </i>
    <i r="2">
      <x v="45"/>
    </i>
    <i r="2">
      <x v="46"/>
    </i>
    <i r="2">
      <x v="47"/>
    </i>
    <i r="2">
      <x v="52"/>
    </i>
    <i r="2">
      <x v="58"/>
    </i>
    <i r="2">
      <x v="65"/>
    </i>
    <i r="2">
      <x v="67"/>
    </i>
    <i r="1">
      <x v="16"/>
      <x v="8"/>
    </i>
    <i r="2">
      <x v="13"/>
    </i>
    <i r="2">
      <x v="30"/>
    </i>
    <i r="2">
      <x v="37"/>
    </i>
    <i r="2">
      <x v="38"/>
    </i>
    <i r="2">
      <x v="49"/>
    </i>
    <i r="2">
      <x v="50"/>
    </i>
    <i r="2">
      <x v="62"/>
    </i>
    <i r="2">
      <x v="63"/>
    </i>
    <i r="2">
      <x v="68"/>
    </i>
    <i r="2">
      <x v="69"/>
    </i>
    <i r="2">
      <x v="71"/>
    </i>
    <i t="blank">
      <x v="37"/>
    </i>
    <i>
      <x v="38"/>
    </i>
    <i r="1">
      <x/>
      <x v="59"/>
    </i>
    <i r="1">
      <x v="1"/>
      <x v="61"/>
    </i>
    <i r="1">
      <x v="2"/>
      <x v="48"/>
    </i>
    <i r="1">
      <x v="3"/>
      <x v="52"/>
    </i>
    <i r="1">
      <x v="4"/>
      <x v="46"/>
    </i>
    <i r="1">
      <x v="5"/>
      <x v="1"/>
    </i>
    <i r="1">
      <x v="6"/>
      <x v="47"/>
    </i>
    <i r="1">
      <x v="7"/>
      <x v="2"/>
    </i>
    <i r="2">
      <x v="65"/>
    </i>
    <i r="1">
      <x v="9"/>
      <x v="45"/>
    </i>
    <i r="1">
      <x v="10"/>
      <x v="3"/>
    </i>
    <i r="2">
      <x v="57"/>
    </i>
    <i r="1">
      <x v="12"/>
      <x v="58"/>
    </i>
    <i r="2">
      <x v="64"/>
    </i>
    <i r="1">
      <x v="14"/>
      <x v="41"/>
    </i>
    <i r="2">
      <x v="55"/>
    </i>
    <i r="1">
      <x v="16"/>
      <x v="62"/>
    </i>
    <i r="2">
      <x v="66"/>
    </i>
    <i r="1">
      <x v="18"/>
      <x v="63"/>
    </i>
    <i r="1">
      <x v="19"/>
      <x v="15"/>
    </i>
    <i r="2">
      <x v="50"/>
    </i>
    <i r="2">
      <x v="71"/>
    </i>
    <i t="blank">
      <x v="38"/>
    </i>
    <i>
      <x v="39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46"/>
    </i>
    <i r="1">
      <x v="5"/>
      <x v="58"/>
    </i>
    <i r="1">
      <x v="6"/>
      <x v="65"/>
    </i>
    <i r="1">
      <x v="7"/>
      <x v="47"/>
    </i>
    <i r="1">
      <x v="8"/>
      <x v="2"/>
    </i>
    <i r="1">
      <x v="9"/>
      <x v="64"/>
    </i>
    <i r="1">
      <x v="10"/>
      <x v="1"/>
    </i>
    <i r="1">
      <x v="11"/>
      <x v="45"/>
    </i>
    <i r="1">
      <x v="12"/>
      <x v="55"/>
    </i>
    <i r="1">
      <x v="13"/>
      <x v="40"/>
    </i>
    <i r="2">
      <x v="62"/>
    </i>
    <i r="1">
      <x v="15"/>
      <x v="3"/>
    </i>
    <i r="2">
      <x v="4"/>
    </i>
    <i r="2">
      <x v="66"/>
    </i>
    <i r="1">
      <x v="18"/>
      <x v="57"/>
    </i>
    <i r="1">
      <x v="19"/>
      <x v="42"/>
    </i>
    <i t="blank">
      <x v="39"/>
    </i>
    <i>
      <x v="40"/>
    </i>
    <i r="1">
      <x/>
      <x v="61"/>
    </i>
    <i r="1">
      <x v="1"/>
      <x v="59"/>
    </i>
    <i r="1">
      <x v="2"/>
      <x v="1"/>
    </i>
    <i r="1">
      <x v="3"/>
      <x v="52"/>
    </i>
    <i r="1">
      <x v="4"/>
      <x v="2"/>
    </i>
    <i r="1">
      <x v="5"/>
      <x v="48"/>
    </i>
    <i r="1">
      <x v="6"/>
      <x v="65"/>
    </i>
    <i r="1">
      <x v="7"/>
      <x v="64"/>
    </i>
    <i r="1">
      <x v="8"/>
      <x v="47"/>
    </i>
    <i r="1">
      <x v="9"/>
      <x v="3"/>
    </i>
    <i r="2">
      <x v="66"/>
    </i>
    <i r="1">
      <x v="11"/>
      <x v="46"/>
    </i>
    <i r="1">
      <x v="12"/>
      <x v="45"/>
    </i>
    <i r="1">
      <x v="13"/>
      <x v="57"/>
    </i>
    <i r="1">
      <x v="14"/>
      <x v="41"/>
    </i>
    <i r="2">
      <x v="62"/>
    </i>
    <i r="1">
      <x v="16"/>
      <x v="68"/>
    </i>
    <i r="1">
      <x v="17"/>
      <x v="50"/>
    </i>
    <i r="2">
      <x v="58"/>
    </i>
    <i r="1">
      <x v="19"/>
      <x v="49"/>
    </i>
    <i t="blank">
      <x v="40"/>
    </i>
    <i>
      <x v="41"/>
    </i>
    <i r="1">
      <x/>
      <x v="61"/>
    </i>
    <i r="1">
      <x v="1"/>
      <x v="59"/>
    </i>
    <i r="1">
      <x v="2"/>
      <x v="52"/>
    </i>
    <i r="1">
      <x v="3"/>
      <x v="48"/>
    </i>
    <i r="1">
      <x v="4"/>
      <x v="64"/>
    </i>
    <i r="1">
      <x v="5"/>
      <x v="1"/>
    </i>
    <i r="1">
      <x v="6"/>
      <x v="2"/>
    </i>
    <i r="1">
      <x v="7"/>
      <x v="65"/>
    </i>
    <i r="1">
      <x v="8"/>
      <x v="3"/>
    </i>
    <i r="1">
      <x v="9"/>
      <x v="46"/>
    </i>
    <i r="2">
      <x v="47"/>
    </i>
    <i r="1">
      <x v="11"/>
      <x v="57"/>
    </i>
    <i r="1">
      <x v="12"/>
      <x v="66"/>
    </i>
    <i r="1">
      <x v="13"/>
      <x v="55"/>
    </i>
    <i r="2">
      <x v="62"/>
    </i>
    <i r="1">
      <x v="15"/>
      <x v="43"/>
    </i>
    <i r="2">
      <x v="50"/>
    </i>
    <i r="2">
      <x v="60"/>
    </i>
    <i r="1">
      <x v="18"/>
      <x v="68"/>
    </i>
    <i r="1">
      <x v="19"/>
      <x v="42"/>
    </i>
    <i t="blank">
      <x v="41"/>
    </i>
    <i>
      <x v="42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1"/>
    </i>
    <i r="1">
      <x v="5"/>
      <x v="65"/>
    </i>
    <i r="1">
      <x v="6"/>
      <x v="2"/>
    </i>
    <i r="1">
      <x v="7"/>
      <x v="46"/>
    </i>
    <i r="1">
      <x v="8"/>
      <x v="47"/>
    </i>
    <i r="1">
      <x v="9"/>
      <x v="66"/>
    </i>
    <i r="1">
      <x v="10"/>
      <x v="64"/>
    </i>
    <i r="1">
      <x v="11"/>
      <x v="57"/>
    </i>
    <i r="2">
      <x v="60"/>
    </i>
    <i r="1">
      <x v="13"/>
      <x v="3"/>
    </i>
    <i r="2">
      <x v="41"/>
    </i>
    <i r="1">
      <x v="15"/>
      <x v="55"/>
    </i>
    <i r="2">
      <x v="68"/>
    </i>
    <i r="1">
      <x v="17"/>
      <x v="45"/>
    </i>
    <i r="1">
      <x v="18"/>
      <x v="8"/>
    </i>
    <i r="2">
      <x v="40"/>
    </i>
    <i r="2">
      <x v="50"/>
    </i>
    <i r="2">
      <x v="58"/>
    </i>
    <i r="2">
      <x v="62"/>
    </i>
    <i r="2">
      <x v="71"/>
    </i>
    <i t="blank">
      <x v="42"/>
    </i>
    <i>
      <x v="43"/>
    </i>
    <i r="1">
      <x/>
      <x v="1"/>
    </i>
    <i r="1">
      <x v="1"/>
      <x v="61"/>
    </i>
    <i r="1">
      <x v="2"/>
      <x v="48"/>
    </i>
    <i r="1">
      <x v="3"/>
      <x v="2"/>
    </i>
    <i r="1">
      <x v="4"/>
      <x v="59"/>
    </i>
    <i r="1">
      <x v="5"/>
      <x v="52"/>
    </i>
    <i r="1">
      <x v="6"/>
      <x v="3"/>
    </i>
    <i r="1">
      <x v="7"/>
      <x v="65"/>
    </i>
    <i r="1">
      <x v="8"/>
      <x v="57"/>
    </i>
    <i r="1">
      <x v="9"/>
      <x v="47"/>
    </i>
    <i r="1">
      <x v="10"/>
      <x v="41"/>
    </i>
    <i r="2">
      <x v="45"/>
    </i>
    <i r="1">
      <x v="12"/>
      <x v="46"/>
    </i>
    <i r="2">
      <x v="68"/>
    </i>
    <i r="1">
      <x v="14"/>
      <x v="42"/>
    </i>
    <i r="2">
      <x v="64"/>
    </i>
    <i r="1">
      <x v="16"/>
      <x v="40"/>
    </i>
    <i r="1">
      <x v="17"/>
      <x v="66"/>
    </i>
    <i r="1">
      <x v="18"/>
      <x v="17"/>
    </i>
    <i r="1">
      <x v="19"/>
      <x v="55"/>
    </i>
    <i r="2">
      <x v="62"/>
    </i>
    <i t="blank">
      <x v="43"/>
    </i>
    <i>
      <x v="44"/>
    </i>
    <i r="1">
      <x/>
      <x v="2"/>
    </i>
    <i r="1">
      <x v="1"/>
      <x v="61"/>
    </i>
    <i r="1">
      <x v="2"/>
      <x v="1"/>
    </i>
    <i r="1">
      <x v="3"/>
      <x v="59"/>
    </i>
    <i r="1">
      <x v="4"/>
      <x v="3"/>
    </i>
    <i r="1">
      <x v="5"/>
      <x v="48"/>
    </i>
    <i r="1">
      <x v="6"/>
      <x v="66"/>
    </i>
    <i r="1">
      <x v="7"/>
      <x v="65"/>
    </i>
    <i r="1">
      <x v="8"/>
      <x v="17"/>
    </i>
    <i r="2">
      <x v="46"/>
    </i>
    <i r="1">
      <x v="10"/>
      <x v="47"/>
    </i>
    <i r="1">
      <x v="11"/>
      <x v="52"/>
    </i>
    <i r="2">
      <x v="68"/>
    </i>
    <i r="1">
      <x v="13"/>
      <x v="57"/>
    </i>
    <i r="2">
      <x v="64"/>
    </i>
    <i r="1">
      <x v="15"/>
      <x v="42"/>
    </i>
    <i r="1">
      <x v="16"/>
      <x v="41"/>
    </i>
    <i r="1">
      <x v="17"/>
      <x v="71"/>
    </i>
    <i r="1">
      <x v="18"/>
      <x v="43"/>
    </i>
    <i r="1">
      <x v="19"/>
      <x v="60"/>
    </i>
    <i t="blank">
      <x v="44"/>
    </i>
    <i>
      <x v="45"/>
    </i>
    <i r="1">
      <x/>
      <x v="61"/>
    </i>
    <i r="1">
      <x v="1"/>
      <x v="1"/>
    </i>
    <i r="1">
      <x v="2"/>
      <x v="59"/>
    </i>
    <i r="1">
      <x v="3"/>
      <x v="48"/>
    </i>
    <i r="1">
      <x v="4"/>
      <x v="46"/>
    </i>
    <i r="1">
      <x v="5"/>
      <x v="2"/>
    </i>
    <i r="1">
      <x v="6"/>
      <x v="3"/>
    </i>
    <i r="2">
      <x v="64"/>
    </i>
    <i r="1">
      <x v="8"/>
      <x v="47"/>
    </i>
    <i r="1">
      <x v="9"/>
      <x v="57"/>
    </i>
    <i r="1">
      <x v="10"/>
      <x v="66"/>
    </i>
    <i r="1">
      <x v="11"/>
      <x v="52"/>
    </i>
    <i r="2">
      <x v="65"/>
    </i>
    <i r="1">
      <x v="13"/>
      <x v="68"/>
    </i>
    <i r="1">
      <x v="14"/>
      <x v="40"/>
    </i>
    <i r="2">
      <x v="45"/>
    </i>
    <i r="1">
      <x v="16"/>
      <x v="41"/>
    </i>
    <i r="2">
      <x v="42"/>
    </i>
    <i r="1">
      <x v="18"/>
      <x v="58"/>
    </i>
    <i r="1">
      <x v="19"/>
      <x v="15"/>
    </i>
    <i r="2">
      <x v="35"/>
    </i>
    <i r="2">
      <x v="43"/>
    </i>
    <i r="2">
      <x v="62"/>
    </i>
    <i t="blank">
      <x v="45"/>
    </i>
    <i>
      <x v="46"/>
    </i>
    <i r="1">
      <x/>
      <x v="52"/>
    </i>
    <i r="1">
      <x v="1"/>
      <x v="61"/>
    </i>
    <i r="1">
      <x v="2"/>
      <x v="2"/>
    </i>
    <i r="1">
      <x v="3"/>
      <x v="1"/>
    </i>
    <i r="1">
      <x v="4"/>
      <x v="48"/>
    </i>
    <i r="2">
      <x v="59"/>
    </i>
    <i r="1">
      <x v="6"/>
      <x v="46"/>
    </i>
    <i r="1">
      <x v="7"/>
      <x v="47"/>
    </i>
    <i r="1">
      <x v="8"/>
      <x v="66"/>
    </i>
    <i r="1">
      <x v="9"/>
      <x v="3"/>
    </i>
    <i r="2">
      <x v="64"/>
    </i>
    <i r="1">
      <x v="11"/>
      <x v="57"/>
    </i>
    <i r="1">
      <x v="12"/>
      <x v="17"/>
    </i>
    <i r="1">
      <x v="13"/>
      <x v="4"/>
    </i>
    <i r="2">
      <x v="58"/>
    </i>
    <i r="2">
      <x v="62"/>
    </i>
    <i r="1">
      <x v="16"/>
      <x v="43"/>
    </i>
    <i r="1">
      <x v="17"/>
      <x v="45"/>
    </i>
    <i r="2">
      <x v="55"/>
    </i>
    <i r="1">
      <x v="19"/>
      <x v="30"/>
    </i>
    <i r="2">
      <x v="40"/>
    </i>
    <i r="2">
      <x v="41"/>
    </i>
    <i r="2">
      <x v="49"/>
    </i>
    <i r="2">
      <x v="50"/>
    </i>
    <i r="2">
      <x v="68"/>
    </i>
    <i t="blank">
      <x v="46"/>
    </i>
    <i>
      <x v="47"/>
    </i>
    <i r="1">
      <x/>
      <x v="4"/>
    </i>
    <i r="1">
      <x v="1"/>
      <x v="48"/>
    </i>
    <i r="2">
      <x v="59"/>
    </i>
    <i r="2">
      <x v="60"/>
    </i>
    <i r="1">
      <x v="4"/>
      <x v="1"/>
    </i>
    <i r="2">
      <x v="3"/>
    </i>
    <i r="2">
      <x v="5"/>
    </i>
    <i r="2">
      <x v="61"/>
    </i>
    <i r="2">
      <x v="63"/>
    </i>
    <i r="2">
      <x v="66"/>
    </i>
    <i r="1">
      <x v="10"/>
      <x v="2"/>
    </i>
    <i r="2">
      <x v="34"/>
    </i>
    <i r="2">
      <x v="38"/>
    </i>
    <i r="2">
      <x v="40"/>
    </i>
    <i r="2">
      <x v="41"/>
    </i>
    <i r="2">
      <x v="46"/>
    </i>
    <i r="2">
      <x v="52"/>
    </i>
    <i r="2">
      <x v="68"/>
    </i>
    <i t="blank">
      <x v="47"/>
    </i>
    <i>
      <x v="48"/>
    </i>
    <i r="1">
      <x/>
      <x v="61"/>
    </i>
    <i r="1">
      <x v="1"/>
      <x v="48"/>
    </i>
    <i r="1">
      <x v="2"/>
      <x v="46"/>
    </i>
    <i r="1">
      <x v="3"/>
      <x v="2"/>
    </i>
    <i r="1">
      <x v="4"/>
      <x v="1"/>
    </i>
    <i r="1">
      <x v="5"/>
      <x v="47"/>
    </i>
    <i r="2">
      <x v="52"/>
    </i>
    <i r="1">
      <x v="7"/>
      <x v="59"/>
    </i>
    <i r="1">
      <x v="8"/>
      <x v="3"/>
    </i>
    <i r="2">
      <x v="66"/>
    </i>
    <i r="1">
      <x v="10"/>
      <x v="65"/>
    </i>
    <i r="1">
      <x v="11"/>
      <x v="45"/>
    </i>
    <i r="2">
      <x v="63"/>
    </i>
    <i r="1">
      <x v="13"/>
      <x v="4"/>
    </i>
    <i r="2">
      <x v="41"/>
    </i>
    <i r="2">
      <x v="57"/>
    </i>
    <i r="2">
      <x v="64"/>
    </i>
    <i r="2">
      <x v="69"/>
    </i>
    <i r="1">
      <x v="18"/>
      <x v="15"/>
    </i>
    <i r="2">
      <x v="58"/>
    </i>
    <i r="2">
      <x v="62"/>
    </i>
    <i t="blank">
      <x v="48"/>
    </i>
    <i>
      <x v="49"/>
    </i>
    <i r="1">
      <x/>
      <x v="61"/>
    </i>
    <i r="1">
      <x v="1"/>
      <x v="46"/>
    </i>
    <i r="1">
      <x v="2"/>
      <x v="48"/>
    </i>
    <i r="1">
      <x v="3"/>
      <x v="1"/>
    </i>
    <i r="2">
      <x v="59"/>
    </i>
    <i r="1">
      <x v="5"/>
      <x v="52"/>
    </i>
    <i r="1">
      <x v="6"/>
      <x v="2"/>
    </i>
    <i r="1">
      <x v="7"/>
      <x v="64"/>
    </i>
    <i r="1">
      <x v="8"/>
      <x v="3"/>
    </i>
    <i r="2">
      <x v="65"/>
    </i>
    <i r="1">
      <x v="10"/>
      <x v="67"/>
    </i>
    <i r="1">
      <x v="11"/>
      <x v="66"/>
    </i>
    <i r="1">
      <x v="12"/>
      <x v="4"/>
    </i>
    <i r="2">
      <x v="45"/>
    </i>
    <i r="2">
      <x v="47"/>
    </i>
    <i r="2">
      <x v="58"/>
    </i>
    <i r="1">
      <x v="16"/>
      <x v="8"/>
    </i>
    <i r="2">
      <x v="27"/>
    </i>
    <i r="2">
      <x v="40"/>
    </i>
    <i r="2">
      <x v="41"/>
    </i>
    <i r="2">
      <x v="43"/>
    </i>
    <i r="2">
      <x v="55"/>
    </i>
    <i r="2">
      <x v="57"/>
    </i>
    <i r="2">
      <x v="62"/>
    </i>
    <i r="2">
      <x v="68"/>
    </i>
    <i t="blank">
      <x v="49"/>
    </i>
    <i>
      <x v="50"/>
    </i>
    <i r="1">
      <x/>
      <x v="61"/>
    </i>
    <i r="1">
      <x v="1"/>
      <x v="59"/>
    </i>
    <i r="1">
      <x v="2"/>
      <x v="58"/>
    </i>
    <i r="1">
      <x v="3"/>
      <x v="1"/>
    </i>
    <i r="1">
      <x v="4"/>
      <x v="46"/>
    </i>
    <i r="2">
      <x v="48"/>
    </i>
    <i r="1">
      <x v="6"/>
      <x v="2"/>
    </i>
    <i r="2">
      <x v="4"/>
    </i>
    <i r="1">
      <x v="8"/>
      <x v="3"/>
    </i>
    <i r="1">
      <x v="9"/>
      <x v="64"/>
    </i>
    <i r="1">
      <x v="10"/>
      <x v="7"/>
    </i>
    <i r="2">
      <x v="8"/>
    </i>
    <i r="2">
      <x v="52"/>
    </i>
    <i r="2">
      <x v="55"/>
    </i>
    <i r="1">
      <x v="14"/>
      <x v="11"/>
    </i>
    <i r="2">
      <x v="12"/>
    </i>
    <i r="2">
      <x v="17"/>
    </i>
    <i r="2">
      <x v="23"/>
    </i>
    <i r="2">
      <x v="25"/>
    </i>
    <i r="2">
      <x v="27"/>
    </i>
    <i r="2">
      <x v="30"/>
    </i>
    <i r="2">
      <x v="35"/>
    </i>
    <i r="2">
      <x v="40"/>
    </i>
    <i r="2">
      <x v="41"/>
    </i>
    <i r="2">
      <x v="43"/>
    </i>
    <i r="2">
      <x v="44"/>
    </i>
    <i r="2">
      <x v="45"/>
    </i>
    <i r="2">
      <x v="47"/>
    </i>
    <i r="2">
      <x v="50"/>
    </i>
    <i r="2">
      <x v="57"/>
    </i>
    <i r="2">
      <x v="60"/>
    </i>
    <i r="2">
      <x v="63"/>
    </i>
    <i r="2">
      <x v="65"/>
    </i>
    <i r="2">
      <x v="67"/>
    </i>
    <i r="2">
      <x v="68"/>
    </i>
    <i r="2">
      <x v="71"/>
    </i>
    <i t="blank">
      <x v="50"/>
    </i>
    <i>
      <x v="51"/>
    </i>
    <i r="1">
      <x/>
      <x v="59"/>
    </i>
    <i r="2">
      <x v="61"/>
    </i>
    <i r="1">
      <x v="2"/>
      <x v="48"/>
    </i>
    <i r="1">
      <x v="3"/>
      <x v="1"/>
    </i>
    <i r="1">
      <x v="4"/>
      <x v="46"/>
    </i>
    <i r="1">
      <x v="5"/>
      <x v="2"/>
    </i>
    <i r="1">
      <x v="6"/>
      <x v="47"/>
    </i>
    <i r="1">
      <x v="7"/>
      <x v="3"/>
    </i>
    <i r="2">
      <x v="45"/>
    </i>
    <i r="2">
      <x v="57"/>
    </i>
    <i r="1">
      <x v="10"/>
      <x v="15"/>
    </i>
    <i r="2">
      <x v="50"/>
    </i>
    <i r="2">
      <x v="58"/>
    </i>
    <i r="2">
      <x v="62"/>
    </i>
    <i r="2">
      <x v="64"/>
    </i>
    <i r="1">
      <x v="15"/>
      <x v="8"/>
    </i>
    <i r="2">
      <x v="34"/>
    </i>
    <i r="2">
      <x v="52"/>
    </i>
    <i r="2">
      <x v="53"/>
    </i>
    <i r="2">
      <x v="63"/>
    </i>
    <i r="2">
      <x v="68"/>
    </i>
    <i t="blank">
      <x v="51"/>
    </i>
    <i>
      <x v="52"/>
    </i>
    <i r="1">
      <x/>
      <x v="61"/>
    </i>
    <i r="1">
      <x v="1"/>
      <x v="1"/>
    </i>
    <i r="1">
      <x v="2"/>
      <x v="59"/>
    </i>
    <i r="1">
      <x v="3"/>
      <x v="3"/>
    </i>
    <i r="2">
      <x v="66"/>
    </i>
    <i r="1">
      <x v="5"/>
      <x v="48"/>
    </i>
    <i r="1">
      <x v="6"/>
      <x v="46"/>
    </i>
    <i r="1">
      <x v="7"/>
      <x v="2"/>
    </i>
    <i r="1">
      <x v="8"/>
      <x v="68"/>
    </i>
    <i r="1">
      <x v="9"/>
      <x v="65"/>
    </i>
    <i r="1">
      <x v="10"/>
      <x v="57"/>
    </i>
    <i r="2">
      <x v="64"/>
    </i>
    <i r="1">
      <x v="12"/>
      <x v="47"/>
    </i>
    <i r="2">
      <x v="52"/>
    </i>
    <i r="1">
      <x v="14"/>
      <x v="41"/>
    </i>
    <i r="1">
      <x v="15"/>
      <x v="60"/>
    </i>
    <i r="1">
      <x v="16"/>
      <x v="62"/>
    </i>
    <i r="1">
      <x v="17"/>
      <x v="67"/>
    </i>
    <i r="1">
      <x v="18"/>
      <x v="4"/>
    </i>
    <i r="2">
      <x v="8"/>
    </i>
    <i t="blank">
      <x v="52"/>
    </i>
    <i>
      <x v="53"/>
    </i>
    <i r="1">
      <x/>
      <x v="61"/>
    </i>
    <i r="1">
      <x v="1"/>
      <x v="1"/>
    </i>
    <i r="1">
      <x v="2"/>
      <x v="46"/>
    </i>
    <i r="2">
      <x v="59"/>
    </i>
    <i r="1">
      <x v="4"/>
      <x v="48"/>
    </i>
    <i r="1">
      <x v="5"/>
      <x v="2"/>
    </i>
    <i r="1">
      <x v="6"/>
      <x v="3"/>
    </i>
    <i r="2">
      <x v="58"/>
    </i>
    <i r="1">
      <x v="8"/>
      <x v="4"/>
    </i>
    <i r="2">
      <x v="15"/>
    </i>
    <i r="2">
      <x v="23"/>
    </i>
    <i r="2">
      <x v="40"/>
    </i>
    <i r="2">
      <x v="47"/>
    </i>
    <i r="2">
      <x v="64"/>
    </i>
    <i r="2">
      <x v="66"/>
    </i>
    <i r="2">
      <x v="68"/>
    </i>
    <i r="1">
      <x v="16"/>
      <x v="5"/>
    </i>
    <i r="2">
      <x v="7"/>
    </i>
    <i r="2">
      <x v="18"/>
    </i>
    <i r="2">
      <x v="25"/>
    </i>
    <i r="2">
      <x v="35"/>
    </i>
    <i r="2">
      <x v="43"/>
    </i>
    <i r="2">
      <x v="49"/>
    </i>
    <i r="2">
      <x v="60"/>
    </i>
    <i r="2">
      <x v="62"/>
    </i>
    <i r="2">
      <x v="65"/>
    </i>
    <i r="2">
      <x v="69"/>
    </i>
    <i r="2">
      <x v="71"/>
    </i>
    <i t="blank">
      <x v="53"/>
    </i>
    <i>
      <x v="54"/>
    </i>
    <i r="1">
      <x/>
      <x v="61"/>
    </i>
    <i r="1">
      <x v="1"/>
      <x v="59"/>
    </i>
    <i r="1">
      <x v="2"/>
      <x v="46"/>
    </i>
    <i r="1">
      <x v="3"/>
      <x v="1"/>
    </i>
    <i r="1">
      <x v="4"/>
      <x v="48"/>
    </i>
    <i r="1">
      <x v="5"/>
      <x v="2"/>
    </i>
    <i r="1">
      <x v="6"/>
      <x v="4"/>
    </i>
    <i r="2">
      <x v="52"/>
    </i>
    <i r="1">
      <x v="8"/>
      <x v="66"/>
    </i>
    <i r="1">
      <x v="9"/>
      <x v="68"/>
    </i>
    <i r="1">
      <x v="10"/>
      <x v="47"/>
    </i>
    <i r="1">
      <x v="11"/>
      <x v="40"/>
    </i>
    <i r="1">
      <x v="12"/>
      <x v="3"/>
    </i>
    <i r="2">
      <x v="64"/>
    </i>
    <i r="1">
      <x v="14"/>
      <x v="57"/>
    </i>
    <i r="1">
      <x v="15"/>
      <x v="65"/>
    </i>
    <i r="1">
      <x v="16"/>
      <x v="58"/>
    </i>
    <i r="1">
      <x v="17"/>
      <x v="35"/>
    </i>
    <i r="1">
      <x v="18"/>
      <x v="23"/>
    </i>
    <i r="1">
      <x v="19"/>
      <x v="45"/>
    </i>
    <i r="2">
      <x v="67"/>
    </i>
    <i t="blank">
      <x v="54"/>
    </i>
    <i>
      <x v="55"/>
    </i>
    <i r="1">
      <x/>
      <x v="59"/>
    </i>
    <i r="1">
      <x v="1"/>
      <x v="61"/>
    </i>
    <i r="1">
      <x v="2"/>
      <x v="1"/>
    </i>
    <i r="2">
      <x v="46"/>
    </i>
    <i r="2">
      <x v="48"/>
    </i>
    <i r="1">
      <x v="5"/>
      <x v="52"/>
    </i>
    <i r="1">
      <x v="6"/>
      <x v="2"/>
    </i>
    <i r="1">
      <x v="7"/>
      <x v="47"/>
    </i>
    <i r="1">
      <x v="8"/>
      <x v="58"/>
    </i>
    <i r="1">
      <x v="9"/>
      <x v="3"/>
    </i>
    <i r="1">
      <x v="10"/>
      <x v="45"/>
    </i>
    <i r="1">
      <x v="11"/>
      <x v="4"/>
    </i>
    <i r="2">
      <x v="42"/>
    </i>
    <i r="2">
      <x v="65"/>
    </i>
    <i r="2">
      <x v="68"/>
    </i>
    <i r="1">
      <x v="15"/>
      <x v="63"/>
    </i>
    <i r="2">
      <x v="71"/>
    </i>
    <i r="1">
      <x v="17"/>
      <x v="5"/>
    </i>
    <i r="2">
      <x v="69"/>
    </i>
    <i r="1">
      <x v="19"/>
      <x v="23"/>
    </i>
    <i r="2">
      <x v="66"/>
    </i>
    <i t="blank">
      <x v="55"/>
    </i>
    <i>
      <x v="56"/>
    </i>
    <i r="1">
      <x/>
      <x v="59"/>
    </i>
    <i r="1">
      <x v="1"/>
      <x v="48"/>
    </i>
    <i r="2">
      <x v="61"/>
    </i>
    <i r="1">
      <x v="3"/>
      <x v="46"/>
    </i>
    <i r="1">
      <x v="4"/>
      <x v="2"/>
    </i>
    <i r="1">
      <x v="5"/>
      <x v="1"/>
    </i>
    <i r="2">
      <x v="4"/>
    </i>
    <i r="1">
      <x v="7"/>
      <x v="45"/>
    </i>
    <i r="2">
      <x v="64"/>
    </i>
    <i r="1">
      <x v="9"/>
      <x v="3"/>
    </i>
    <i r="2">
      <x v="65"/>
    </i>
    <i r="1">
      <x v="11"/>
      <x v="47"/>
    </i>
    <i r="2">
      <x v="58"/>
    </i>
    <i r="2">
      <x v="69"/>
    </i>
    <i r="1">
      <x v="14"/>
      <x v="41"/>
    </i>
    <i r="2">
      <x v="57"/>
    </i>
    <i r="2">
      <x v="60"/>
    </i>
    <i r="2">
      <x v="67"/>
    </i>
    <i r="2">
      <x v="68"/>
    </i>
    <i r="1">
      <x v="19"/>
      <x v="7"/>
    </i>
    <i r="2">
      <x v="24"/>
    </i>
    <i r="2">
      <x v="26"/>
    </i>
    <i r="2">
      <x v="40"/>
    </i>
    <i r="2">
      <x v="50"/>
    </i>
    <i r="2">
      <x v="52"/>
    </i>
    <i r="2">
      <x v="63"/>
    </i>
    <i r="2">
      <x v="66"/>
    </i>
    <i r="2">
      <x v="71"/>
    </i>
    <i t="blank">
      <x v="56"/>
    </i>
    <i>
      <x v="57"/>
    </i>
    <i r="1">
      <x/>
      <x v="59"/>
    </i>
    <i r="1">
      <x v="1"/>
      <x v="48"/>
    </i>
    <i r="2">
      <x v="61"/>
    </i>
    <i r="1">
      <x v="3"/>
      <x v="2"/>
    </i>
    <i r="1">
      <x v="4"/>
      <x v="46"/>
    </i>
    <i r="1">
      <x v="5"/>
      <x v="1"/>
    </i>
    <i r="1">
      <x v="6"/>
      <x v="52"/>
    </i>
    <i r="1">
      <x v="7"/>
      <x v="3"/>
    </i>
    <i r="2">
      <x v="66"/>
    </i>
    <i r="1">
      <x v="9"/>
      <x v="64"/>
    </i>
    <i r="1">
      <x v="10"/>
      <x v="47"/>
    </i>
    <i r="2">
      <x v="60"/>
    </i>
    <i r="2">
      <x v="65"/>
    </i>
    <i r="1">
      <x v="13"/>
      <x v="45"/>
    </i>
    <i r="2">
      <x v="57"/>
    </i>
    <i r="1">
      <x v="15"/>
      <x v="24"/>
    </i>
    <i r="2">
      <x v="40"/>
    </i>
    <i r="1">
      <x v="17"/>
      <x v="4"/>
    </i>
    <i r="2">
      <x v="15"/>
    </i>
    <i r="2">
      <x v="53"/>
    </i>
    <i r="2">
      <x v="55"/>
    </i>
    <i r="2">
      <x v="58"/>
    </i>
    <i r="2">
      <x v="62"/>
    </i>
    <i r="2">
      <x v="68"/>
    </i>
    <i t="blank">
      <x v="57"/>
    </i>
    <i>
      <x v="58"/>
    </i>
    <i r="1">
      <x/>
      <x v="61"/>
    </i>
    <i r="1">
      <x v="1"/>
      <x v="46"/>
    </i>
    <i r="2">
      <x v="48"/>
    </i>
    <i r="1">
      <x v="3"/>
      <x v="59"/>
    </i>
    <i r="1">
      <x v="4"/>
      <x v="1"/>
    </i>
    <i r="1">
      <x v="5"/>
      <x v="3"/>
    </i>
    <i r="2">
      <x v="58"/>
    </i>
    <i r="1">
      <x v="7"/>
      <x v="2"/>
    </i>
    <i r="1">
      <x v="8"/>
      <x v="4"/>
    </i>
    <i r="2">
      <x v="65"/>
    </i>
    <i r="1">
      <x v="10"/>
      <x v="15"/>
    </i>
    <i r="2">
      <x v="34"/>
    </i>
    <i r="2">
      <x v="40"/>
    </i>
    <i r="2">
      <x v="41"/>
    </i>
    <i r="2">
      <x v="45"/>
    </i>
    <i r="2">
      <x v="49"/>
    </i>
    <i r="2">
      <x v="64"/>
    </i>
    <i r="2">
      <x v="67"/>
    </i>
    <i r="2">
      <x v="71"/>
    </i>
    <i r="1">
      <x v="19"/>
      <x v="6"/>
    </i>
    <i r="2">
      <x v="7"/>
    </i>
    <i r="2">
      <x v="23"/>
    </i>
    <i r="2">
      <x v="27"/>
    </i>
    <i r="2">
      <x v="35"/>
    </i>
    <i r="2">
      <x v="38"/>
    </i>
    <i r="2">
      <x v="43"/>
    </i>
    <i r="2">
      <x v="47"/>
    </i>
    <i r="2">
      <x v="50"/>
    </i>
    <i r="2">
      <x v="51"/>
    </i>
    <i r="2">
      <x v="52"/>
    </i>
    <i r="2">
      <x v="54"/>
    </i>
    <i r="2">
      <x v="62"/>
    </i>
    <i r="2">
      <x v="63"/>
    </i>
    <i r="2">
      <x v="68"/>
    </i>
    <i r="2">
      <x v="70"/>
    </i>
    <i t="blank">
      <x v="58"/>
    </i>
    <i>
      <x v="59"/>
    </i>
    <i r="1">
      <x/>
      <x v="59"/>
    </i>
    <i r="1">
      <x v="1"/>
      <x v="46"/>
    </i>
    <i r="2">
      <x v="61"/>
    </i>
    <i r="1">
      <x v="3"/>
      <x v="1"/>
    </i>
    <i r="2">
      <x v="48"/>
    </i>
    <i r="1">
      <x v="5"/>
      <x v="52"/>
    </i>
    <i r="1">
      <x v="6"/>
      <x v="2"/>
    </i>
    <i r="2">
      <x v="45"/>
    </i>
    <i r="2">
      <x v="64"/>
    </i>
    <i r="1">
      <x v="9"/>
      <x v="7"/>
    </i>
    <i r="2">
      <x v="43"/>
    </i>
    <i r="2">
      <x v="71"/>
    </i>
    <i r="1">
      <x v="12"/>
      <x v="3"/>
    </i>
    <i r="2">
      <x v="4"/>
    </i>
    <i r="2">
      <x v="35"/>
    </i>
    <i r="2">
      <x v="47"/>
    </i>
    <i r="2">
      <x v="57"/>
    </i>
    <i r="2">
      <x v="62"/>
    </i>
    <i r="2">
      <x v="66"/>
    </i>
    <i r="2">
      <x v="68"/>
    </i>
    <i r="2">
      <x v="72"/>
    </i>
    <i t="blank">
      <x v="59"/>
    </i>
    <i>
      <x v="60"/>
    </i>
    <i r="1">
      <x/>
      <x v="61"/>
    </i>
    <i r="1">
      <x v="1"/>
      <x v="48"/>
    </i>
    <i r="1">
      <x v="2"/>
      <x v="1"/>
    </i>
    <i r="2">
      <x v="59"/>
    </i>
    <i r="1">
      <x v="4"/>
      <x v="46"/>
    </i>
    <i r="2">
      <x v="66"/>
    </i>
    <i r="1">
      <x v="6"/>
      <x v="2"/>
    </i>
    <i r="1">
      <x v="7"/>
      <x v="4"/>
    </i>
    <i r="2">
      <x v="47"/>
    </i>
    <i r="2">
      <x v="58"/>
    </i>
    <i r="2">
      <x v="64"/>
    </i>
    <i r="1">
      <x v="11"/>
      <x v="3"/>
    </i>
    <i r="2">
      <x v="5"/>
    </i>
    <i r="2">
      <x v="40"/>
    </i>
    <i r="2">
      <x v="45"/>
    </i>
    <i r="2">
      <x v="49"/>
    </i>
    <i r="2">
      <x v="65"/>
    </i>
    <i r="1">
      <x v="17"/>
      <x v="57"/>
    </i>
    <i r="2">
      <x v="63"/>
    </i>
    <i r="2">
      <x v="67"/>
    </i>
    <i r="2">
      <x v="71"/>
    </i>
    <i t="blank">
      <x v="60"/>
    </i>
    <i>
      <x v="61"/>
    </i>
    <i r="1">
      <x/>
      <x v="59"/>
    </i>
    <i r="1">
      <x v="1"/>
      <x v="58"/>
    </i>
    <i r="1">
      <x v="2"/>
      <x v="46"/>
    </i>
    <i r="1">
      <x v="3"/>
      <x v="61"/>
    </i>
    <i r="1">
      <x v="4"/>
      <x v="48"/>
    </i>
    <i r="1">
      <x v="5"/>
      <x v="4"/>
    </i>
    <i r="1">
      <x v="6"/>
      <x v="52"/>
    </i>
    <i r="1">
      <x v="7"/>
      <x v="1"/>
    </i>
    <i r="2">
      <x v="3"/>
    </i>
    <i r="2">
      <x v="40"/>
    </i>
    <i r="2">
      <x v="47"/>
    </i>
    <i r="2">
      <x v="67"/>
    </i>
    <i r="1">
      <x v="12"/>
      <x v="53"/>
    </i>
    <i r="1">
      <x v="13"/>
      <x v="15"/>
    </i>
    <i r="2">
      <x v="49"/>
    </i>
    <i r="2">
      <x v="57"/>
    </i>
    <i r="2">
      <x v="66"/>
    </i>
    <i r="2">
      <x v="69"/>
    </i>
    <i r="1">
      <x v="18"/>
      <x v="2"/>
    </i>
    <i r="2">
      <x v="7"/>
    </i>
    <i r="2">
      <x v="27"/>
    </i>
    <i r="2">
      <x v="34"/>
    </i>
    <i r="2">
      <x v="41"/>
    </i>
    <i r="2">
      <x v="43"/>
    </i>
    <i r="2">
      <x v="44"/>
    </i>
    <i r="2">
      <x v="50"/>
    </i>
    <i r="2">
      <x v="64"/>
    </i>
    <i r="2">
      <x v="65"/>
    </i>
    <i t="blank">
      <x v="61"/>
    </i>
    <i>
      <x v="62"/>
    </i>
    <i r="1">
      <x/>
      <x v="59"/>
    </i>
    <i r="1">
      <x v="1"/>
      <x v="61"/>
    </i>
    <i r="1">
      <x v="2"/>
      <x v="48"/>
    </i>
    <i r="1">
      <x v="3"/>
      <x v="1"/>
    </i>
    <i r="1">
      <x v="4"/>
      <x v="64"/>
    </i>
    <i r="1">
      <x v="5"/>
      <x v="52"/>
    </i>
    <i r="1">
      <x v="6"/>
      <x v="2"/>
    </i>
    <i r="2">
      <x v="45"/>
    </i>
    <i r="2">
      <x v="47"/>
    </i>
    <i r="1">
      <x v="9"/>
      <x v="3"/>
    </i>
    <i r="2">
      <x v="46"/>
    </i>
    <i r="1">
      <x v="11"/>
      <x v="57"/>
    </i>
    <i r="1">
      <x v="12"/>
      <x v="27"/>
    </i>
    <i r="2">
      <x v="58"/>
    </i>
    <i r="2">
      <x v="66"/>
    </i>
    <i r="2">
      <x v="68"/>
    </i>
    <i r="1">
      <x v="16"/>
      <x v="4"/>
    </i>
    <i r="2">
      <x v="8"/>
    </i>
    <i r="2">
      <x v="10"/>
    </i>
    <i r="2">
      <x v="15"/>
    </i>
    <i r="2">
      <x v="41"/>
    </i>
    <i r="2">
      <x v="62"/>
    </i>
    <i r="2">
      <x v="65"/>
    </i>
    <i t="blank">
      <x v="62"/>
    </i>
    <i>
      <x v="63"/>
    </i>
    <i r="1">
      <x/>
      <x v="59"/>
    </i>
    <i r="1">
      <x v="1"/>
      <x v="61"/>
    </i>
    <i r="1">
      <x v="2"/>
      <x v="48"/>
    </i>
    <i r="1">
      <x v="3"/>
      <x v="46"/>
    </i>
    <i r="1">
      <x v="4"/>
      <x v="1"/>
    </i>
    <i r="1">
      <x v="5"/>
      <x v="2"/>
    </i>
    <i r="1">
      <x v="6"/>
      <x v="3"/>
    </i>
    <i r="1">
      <x v="7"/>
      <x v="66"/>
    </i>
    <i r="1">
      <x v="8"/>
      <x v="52"/>
    </i>
    <i r="1">
      <x v="9"/>
      <x v="45"/>
    </i>
    <i r="1">
      <x v="10"/>
      <x v="58"/>
    </i>
    <i r="1">
      <x v="11"/>
      <x v="40"/>
    </i>
    <i r="2">
      <x v="65"/>
    </i>
    <i r="1">
      <x v="13"/>
      <x v="4"/>
    </i>
    <i r="2">
      <x v="64"/>
    </i>
    <i r="1">
      <x v="15"/>
      <x v="57"/>
    </i>
    <i r="2">
      <x v="69"/>
    </i>
    <i r="1">
      <x v="17"/>
      <x v="8"/>
    </i>
    <i r="2">
      <x v="38"/>
    </i>
    <i r="2">
      <x v="47"/>
    </i>
    <i r="2">
      <x v="62"/>
    </i>
    <i r="2">
      <x v="68"/>
    </i>
    <i r="2">
      <x v="71"/>
    </i>
    <i t="blank">
      <x v="63"/>
    </i>
    <i>
      <x v="64"/>
    </i>
    <i r="1">
      <x/>
      <x v="58"/>
    </i>
    <i r="1">
      <x v="1"/>
      <x v="46"/>
    </i>
    <i r="1">
      <x v="2"/>
      <x v="1"/>
    </i>
    <i r="2">
      <x v="4"/>
    </i>
    <i r="2">
      <x v="61"/>
    </i>
    <i r="1">
      <x v="5"/>
      <x v="48"/>
    </i>
    <i r="1">
      <x v="6"/>
      <x v="59"/>
    </i>
    <i r="1">
      <x v="7"/>
      <x v="2"/>
    </i>
    <i r="2">
      <x v="3"/>
    </i>
    <i r="2">
      <x v="27"/>
    </i>
    <i r="2">
      <x v="34"/>
    </i>
    <i r="2">
      <x v="40"/>
    </i>
    <i r="2">
      <x v="51"/>
    </i>
    <i r="2">
      <x v="54"/>
    </i>
    <i r="2">
      <x v="56"/>
    </i>
    <i r="2">
      <x v="62"/>
    </i>
    <i r="2">
      <x v="64"/>
    </i>
    <i r="2">
      <x v="65"/>
    </i>
    <i r="2">
      <x v="66"/>
    </i>
    <i t="blank">
      <x v="64"/>
    </i>
    <i>
      <x v="65"/>
    </i>
    <i r="1">
      <x/>
      <x v="59"/>
    </i>
    <i r="1">
      <x v="1"/>
      <x v="46"/>
    </i>
    <i r="1">
      <x v="2"/>
      <x v="48"/>
    </i>
    <i r="1">
      <x v="3"/>
      <x v="61"/>
    </i>
    <i r="1">
      <x v="4"/>
      <x v="1"/>
    </i>
    <i r="2">
      <x v="3"/>
    </i>
    <i r="1">
      <x v="6"/>
      <x v="4"/>
    </i>
    <i r="1">
      <x v="7"/>
      <x v="40"/>
    </i>
    <i r="2">
      <x v="52"/>
    </i>
    <i r="1">
      <x v="9"/>
      <x v="2"/>
    </i>
    <i r="2">
      <x v="27"/>
    </i>
    <i r="2">
      <x v="45"/>
    </i>
    <i r="2">
      <x v="47"/>
    </i>
    <i r="2">
      <x v="62"/>
    </i>
    <i r="1">
      <x v="14"/>
      <x v="10"/>
    </i>
    <i r="2">
      <x v="16"/>
    </i>
    <i r="2">
      <x v="25"/>
    </i>
    <i r="2">
      <x v="34"/>
    </i>
    <i r="2">
      <x v="35"/>
    </i>
    <i r="2">
      <x v="38"/>
    </i>
    <i r="2">
      <x v="57"/>
    </i>
    <i r="2">
      <x v="58"/>
    </i>
    <i r="2">
      <x v="63"/>
    </i>
    <i r="2">
      <x v="64"/>
    </i>
    <i r="2">
      <x v="65"/>
    </i>
    <i r="2">
      <x v="66"/>
    </i>
    <i r="2">
      <x v="67"/>
    </i>
    <i r="2">
      <x v="68"/>
    </i>
    <i t="blank">
      <x v="65"/>
    </i>
    <i>
      <x v="66"/>
    </i>
    <i r="1">
      <x/>
      <x v="46"/>
    </i>
    <i r="1">
      <x v="1"/>
      <x v="48"/>
    </i>
    <i r="1">
      <x v="2"/>
      <x v="59"/>
    </i>
    <i r="2">
      <x v="61"/>
    </i>
    <i r="1">
      <x v="4"/>
      <x v="52"/>
    </i>
    <i r="1">
      <x v="5"/>
      <x v="2"/>
    </i>
    <i r="2">
      <x v="49"/>
    </i>
    <i r="2">
      <x v="66"/>
    </i>
    <i r="1">
      <x v="8"/>
      <x v="1"/>
    </i>
    <i r="2">
      <x v="53"/>
    </i>
    <i r="2">
      <x v="55"/>
    </i>
    <i r="2">
      <x v="58"/>
    </i>
    <i r="1">
      <x v="12"/>
      <x v="3"/>
    </i>
    <i r="2">
      <x v="4"/>
    </i>
    <i r="2">
      <x v="47"/>
    </i>
    <i r="2">
      <x v="57"/>
    </i>
    <i r="2">
      <x v="60"/>
    </i>
    <i r="2">
      <x v="64"/>
    </i>
    <i r="1">
      <x v="18"/>
      <x v="5"/>
    </i>
    <i r="2">
      <x v="24"/>
    </i>
    <i r="2">
      <x v="38"/>
    </i>
    <i r="2">
      <x v="43"/>
    </i>
    <i r="2">
      <x v="63"/>
    </i>
    <i r="2">
      <x v="65"/>
    </i>
    <i r="2">
      <x v="67"/>
    </i>
    <i r="2">
      <x v="68"/>
    </i>
    <i r="2">
      <x v="69"/>
    </i>
    <i r="2">
      <x v="70"/>
    </i>
    <i t="blank">
      <x v="66"/>
    </i>
    <i>
      <x v="67"/>
    </i>
    <i r="1">
      <x/>
      <x v="46"/>
    </i>
    <i r="1">
      <x v="1"/>
      <x v="59"/>
    </i>
    <i r="1">
      <x v="2"/>
      <x v="1"/>
    </i>
    <i r="1">
      <x v="3"/>
      <x v="48"/>
    </i>
    <i r="1">
      <x v="4"/>
      <x v="58"/>
    </i>
    <i r="2">
      <x v="66"/>
    </i>
    <i r="1">
      <x v="6"/>
      <x v="72"/>
    </i>
    <i r="1">
      <x v="7"/>
      <x v="2"/>
    </i>
    <i r="2">
      <x v="3"/>
    </i>
    <i r="2">
      <x v="61"/>
    </i>
    <i r="2">
      <x v="64"/>
    </i>
    <i r="1">
      <x v="11"/>
      <x v="47"/>
    </i>
    <i r="2">
      <x v="52"/>
    </i>
    <i r="1">
      <x v="13"/>
      <x v="4"/>
    </i>
    <i r="2">
      <x v="65"/>
    </i>
    <i r="1">
      <x v="15"/>
      <x v="41"/>
    </i>
    <i r="2">
      <x v="45"/>
    </i>
    <i r="2">
      <x v="53"/>
    </i>
    <i r="2">
      <x v="55"/>
    </i>
    <i r="2">
      <x v="60"/>
    </i>
    <i r="2">
      <x v="67"/>
    </i>
    <i t="blank">
      <x v="67"/>
    </i>
    <i>
      <x v="68"/>
    </i>
    <i r="1">
      <x/>
      <x v="59"/>
    </i>
    <i r="1">
      <x v="1"/>
      <x v="58"/>
    </i>
    <i r="1">
      <x v="2"/>
      <x v="46"/>
    </i>
    <i r="1">
      <x v="3"/>
      <x v="48"/>
    </i>
    <i r="1">
      <x v="4"/>
      <x v="1"/>
    </i>
    <i r="2">
      <x v="61"/>
    </i>
    <i r="1">
      <x v="6"/>
      <x v="51"/>
    </i>
    <i r="1">
      <x v="7"/>
      <x v="4"/>
    </i>
    <i r="2">
      <x v="42"/>
    </i>
    <i r="2">
      <x v="45"/>
    </i>
    <i r="2">
      <x v="49"/>
    </i>
    <i r="2">
      <x v="55"/>
    </i>
    <i r="2">
      <x v="65"/>
    </i>
    <i r="1">
      <x v="13"/>
      <x v="47"/>
    </i>
    <i r="2">
      <x v="52"/>
    </i>
    <i r="2">
      <x v="62"/>
    </i>
    <i r="2">
      <x v="63"/>
    </i>
    <i r="2">
      <x v="64"/>
    </i>
    <i r="2">
      <x v="71"/>
    </i>
    <i r="1">
      <x v="19"/>
      <x v="5"/>
    </i>
    <i r="2">
      <x v="8"/>
    </i>
    <i r="2">
      <x v="60"/>
    </i>
    <i t="blank">
      <x v="68"/>
    </i>
    <i>
      <x v="69"/>
    </i>
    <i r="1">
      <x/>
      <x v="59"/>
    </i>
    <i r="1">
      <x v="1"/>
      <x v="46"/>
    </i>
    <i r="1">
      <x v="2"/>
      <x v="2"/>
    </i>
    <i r="2">
      <x v="48"/>
    </i>
    <i r="2">
      <x v="60"/>
    </i>
    <i r="1">
      <x v="5"/>
      <x v="58"/>
    </i>
    <i r="2">
      <x v="61"/>
    </i>
    <i r="2">
      <x v="66"/>
    </i>
    <i r="1">
      <x v="8"/>
      <x v="1"/>
    </i>
    <i r="2">
      <x v="35"/>
    </i>
    <i r="2">
      <x v="42"/>
    </i>
    <i r="2">
      <x v="63"/>
    </i>
    <i r="2">
      <x v="64"/>
    </i>
    <i r="1">
      <x v="13"/>
      <x v="3"/>
    </i>
    <i r="2">
      <x v="5"/>
    </i>
    <i r="2">
      <x v="27"/>
    </i>
    <i r="2">
      <x v="38"/>
    </i>
    <i r="2">
      <x v="40"/>
    </i>
    <i r="2">
      <x v="49"/>
    </i>
    <i r="2">
      <x v="51"/>
    </i>
    <i r="2">
      <x v="52"/>
    </i>
    <i r="2">
      <x v="65"/>
    </i>
    <i r="2">
      <x v="67"/>
    </i>
    <i r="2">
      <x v="68"/>
    </i>
    <i t="blank">
      <x v="69"/>
    </i>
    <i>
      <x v="70"/>
    </i>
    <i r="1">
      <x/>
      <x v="59"/>
    </i>
    <i r="1">
      <x v="1"/>
      <x v="46"/>
    </i>
    <i r="1">
      <x v="2"/>
      <x v="58"/>
    </i>
    <i r="1">
      <x v="3"/>
      <x v="52"/>
    </i>
    <i r="1">
      <x v="4"/>
      <x v="60"/>
    </i>
    <i r="1">
      <x v="5"/>
      <x v="48"/>
    </i>
    <i r="1">
      <x v="6"/>
      <x v="69"/>
    </i>
    <i r="1">
      <x v="7"/>
      <x v="4"/>
    </i>
    <i r="2">
      <x v="27"/>
    </i>
    <i r="2">
      <x v="61"/>
    </i>
    <i r="2">
      <x v="64"/>
    </i>
    <i r="1">
      <x v="11"/>
      <x v="1"/>
    </i>
    <i r="2">
      <x v="3"/>
    </i>
    <i r="2">
      <x v="6"/>
    </i>
    <i r="2">
      <x v="19"/>
    </i>
    <i r="2">
      <x v="40"/>
    </i>
    <i r="2">
      <x v="45"/>
    </i>
    <i r="2">
      <x v="47"/>
    </i>
    <i r="2">
      <x v="51"/>
    </i>
    <i r="2">
      <x v="65"/>
    </i>
    <i r="2">
      <x v="66"/>
    </i>
    <i r="2">
      <x v="71"/>
    </i>
    <i t="blank">
      <x v="70"/>
    </i>
    <i>
      <x v="71"/>
    </i>
    <i r="1">
      <x/>
      <x v="59"/>
    </i>
    <i r="1">
      <x v="1"/>
      <x v="46"/>
    </i>
    <i r="1">
      <x v="2"/>
      <x v="48"/>
    </i>
    <i r="1">
      <x v="3"/>
      <x v="61"/>
    </i>
    <i r="1">
      <x v="4"/>
      <x v="1"/>
    </i>
    <i r="2">
      <x v="55"/>
    </i>
    <i r="2">
      <x v="58"/>
    </i>
    <i r="2">
      <x v="66"/>
    </i>
    <i r="1">
      <x v="8"/>
      <x v="3"/>
    </i>
    <i r="2">
      <x v="27"/>
    </i>
    <i r="2">
      <x v="60"/>
    </i>
    <i r="1">
      <x v="11"/>
      <x/>
    </i>
    <i r="2">
      <x v="7"/>
    </i>
    <i r="2">
      <x v="19"/>
    </i>
    <i r="2">
      <x v="37"/>
    </i>
    <i r="2">
      <x v="38"/>
    </i>
    <i r="2">
      <x v="40"/>
    </i>
    <i r="2">
      <x v="42"/>
    </i>
    <i r="2">
      <x v="43"/>
    </i>
    <i r="2">
      <x v="45"/>
    </i>
    <i r="2">
      <x v="47"/>
    </i>
    <i r="2">
      <x v="50"/>
    </i>
    <i r="2">
      <x v="52"/>
    </i>
    <i r="2">
      <x v="63"/>
    </i>
    <i r="2">
      <x v="64"/>
    </i>
    <i r="2">
      <x v="68"/>
    </i>
    <i r="2">
      <x v="69"/>
    </i>
    <i r="2">
      <x v="71"/>
    </i>
    <i t="blank">
      <x v="71"/>
    </i>
    <i>
      <x v="72"/>
    </i>
    <i r="1">
      <x/>
      <x v="59"/>
    </i>
    <i r="1">
      <x v="1"/>
      <x v="61"/>
    </i>
    <i r="1">
      <x v="2"/>
      <x v="1"/>
    </i>
    <i r="2">
      <x v="46"/>
    </i>
    <i r="2">
      <x v="52"/>
    </i>
    <i r="1">
      <x v="5"/>
      <x v="48"/>
    </i>
    <i r="1">
      <x v="6"/>
      <x v="40"/>
    </i>
    <i r="2">
      <x v="68"/>
    </i>
    <i r="1">
      <x v="8"/>
      <x v="3"/>
    </i>
    <i r="2">
      <x v="15"/>
    </i>
    <i r="2">
      <x v="18"/>
    </i>
    <i r="2">
      <x v="53"/>
    </i>
    <i r="2">
      <x v="58"/>
    </i>
    <i r="2">
      <x v="60"/>
    </i>
    <i r="2">
      <x v="64"/>
    </i>
    <i r="1">
      <x v="15"/>
      <x v="2"/>
    </i>
    <i r="2">
      <x v="4"/>
    </i>
    <i r="2">
      <x v="27"/>
    </i>
    <i r="2">
      <x v="34"/>
    </i>
    <i r="2">
      <x v="35"/>
    </i>
    <i r="2">
      <x v="38"/>
    </i>
    <i r="2">
      <x v="41"/>
    </i>
    <i r="2">
      <x v="45"/>
    </i>
    <i r="2">
      <x v="47"/>
    </i>
    <i r="2">
      <x v="57"/>
    </i>
    <i r="2">
      <x v="65"/>
    </i>
    <i r="2">
      <x v="71"/>
    </i>
    <i t="blank">
      <x v="72"/>
    </i>
    <i>
      <x v="73"/>
    </i>
    <i r="1">
      <x/>
      <x v="59"/>
    </i>
    <i r="1">
      <x v="1"/>
      <x v="52"/>
    </i>
    <i r="1">
      <x v="2"/>
      <x v="58"/>
    </i>
    <i r="1">
      <x v="3"/>
      <x v="61"/>
    </i>
    <i r="1">
      <x v="4"/>
      <x v="1"/>
    </i>
    <i r="1">
      <x v="5"/>
      <x v="64"/>
    </i>
    <i r="1">
      <x v="6"/>
      <x v="48"/>
    </i>
    <i r="1">
      <x v="7"/>
      <x v="2"/>
    </i>
    <i r="1">
      <x v="8"/>
      <x v="65"/>
    </i>
    <i r="1">
      <x v="9"/>
      <x v="46"/>
    </i>
    <i r="1">
      <x v="10"/>
      <x v="66"/>
    </i>
    <i r="1">
      <x v="11"/>
      <x v="51"/>
    </i>
    <i r="1">
      <x v="12"/>
      <x v="45"/>
    </i>
    <i r="2">
      <x v="55"/>
    </i>
    <i r="2">
      <x v="57"/>
    </i>
    <i r="2">
      <x v="62"/>
    </i>
    <i r="1">
      <x v="16"/>
      <x v="3"/>
    </i>
    <i r="2">
      <x v="42"/>
    </i>
    <i r="2">
      <x v="63"/>
    </i>
    <i r="2">
      <x v="68"/>
    </i>
    <i t="blank">
      <x v="73"/>
    </i>
    <i>
      <x v="74"/>
    </i>
    <i r="1">
      <x/>
      <x v="58"/>
    </i>
    <i r="1">
      <x v="1"/>
      <x v="61"/>
    </i>
    <i r="1">
      <x v="2"/>
      <x v="1"/>
    </i>
    <i r="2">
      <x v="48"/>
    </i>
    <i r="1">
      <x v="4"/>
      <x v="2"/>
    </i>
    <i r="2">
      <x v="66"/>
    </i>
    <i r="1">
      <x v="6"/>
      <x v="52"/>
    </i>
    <i r="2">
      <x v="59"/>
    </i>
    <i r="2">
      <x v="72"/>
    </i>
    <i r="1">
      <x v="9"/>
      <x v="46"/>
    </i>
    <i r="1">
      <x v="10"/>
      <x v="3"/>
    </i>
    <i r="2">
      <x v="12"/>
    </i>
    <i r="2">
      <x v="64"/>
    </i>
    <i r="2">
      <x v="68"/>
    </i>
    <i r="2">
      <x v="69"/>
    </i>
    <i r="1">
      <x v="15"/>
      <x v="4"/>
    </i>
    <i r="2">
      <x v="24"/>
    </i>
    <i r="2">
      <x v="35"/>
    </i>
    <i r="2">
      <x v="40"/>
    </i>
    <i r="2">
      <x v="41"/>
    </i>
    <i r="2">
      <x v="43"/>
    </i>
    <i r="2">
      <x v="53"/>
    </i>
    <i r="2">
      <x v="65"/>
    </i>
    <i t="blank">
      <x v="74"/>
    </i>
    <i>
      <x v="75"/>
    </i>
    <i r="1">
      <x/>
      <x v="59"/>
    </i>
    <i r="1">
      <x v="1"/>
      <x v="52"/>
    </i>
    <i r="2">
      <x v="61"/>
    </i>
    <i r="1">
      <x v="3"/>
      <x v="48"/>
    </i>
    <i r="1">
      <x v="4"/>
      <x v="46"/>
    </i>
    <i r="1">
      <x v="5"/>
      <x v="1"/>
    </i>
    <i r="2">
      <x v="2"/>
    </i>
    <i r="1">
      <x v="7"/>
      <x v="65"/>
    </i>
    <i r="1">
      <x v="8"/>
      <x v="3"/>
    </i>
    <i r="2">
      <x v="45"/>
    </i>
    <i r="1">
      <x v="10"/>
      <x v="47"/>
    </i>
    <i r="1">
      <x v="11"/>
      <x v="64"/>
    </i>
    <i r="1">
      <x v="12"/>
      <x v="58"/>
    </i>
    <i r="2">
      <x v="60"/>
    </i>
    <i r="1">
      <x v="14"/>
      <x v="4"/>
    </i>
    <i r="2">
      <x v="55"/>
    </i>
    <i r="1">
      <x v="16"/>
      <x v="50"/>
    </i>
    <i r="1">
      <x v="17"/>
      <x v="40"/>
    </i>
    <i r="2">
      <x v="43"/>
    </i>
    <i r="1">
      <x v="19"/>
      <x v="10"/>
    </i>
    <i r="2">
      <x v="41"/>
    </i>
    <i r="2">
      <x v="66"/>
    </i>
    <i t="blank">
      <x v="75"/>
    </i>
    <i>
      <x v="76"/>
    </i>
    <i r="1">
      <x/>
      <x v="46"/>
    </i>
    <i r="1">
      <x v="1"/>
      <x v="3"/>
    </i>
    <i r="1">
      <x v="2"/>
      <x v="58"/>
    </i>
    <i r="1">
      <x v="3"/>
      <x v="1"/>
    </i>
    <i r="1">
      <x v="4"/>
      <x v="2"/>
    </i>
    <i r="2">
      <x v="61"/>
    </i>
    <i r="1">
      <x v="6"/>
      <x v="42"/>
    </i>
    <i r="2">
      <x v="48"/>
    </i>
    <i r="1">
      <x v="8"/>
      <x v="52"/>
    </i>
    <i r="2">
      <x v="60"/>
    </i>
    <i r="2">
      <x v="64"/>
    </i>
    <i r="1">
      <x v="11"/>
      <x v="24"/>
    </i>
    <i r="2">
      <x v="25"/>
    </i>
    <i r="2">
      <x v="27"/>
    </i>
    <i r="2">
      <x v="47"/>
    </i>
    <i r="2">
      <x v="50"/>
    </i>
    <i r="2">
      <x v="65"/>
    </i>
    <i r="2">
      <x v="66"/>
    </i>
    <i t="blank">
      <x v="76"/>
    </i>
    <i>
      <x v="77"/>
    </i>
    <i r="1">
      <x/>
      <x v="46"/>
    </i>
    <i r="2">
      <x v="59"/>
    </i>
    <i r="1">
      <x v="2"/>
      <x v="48"/>
    </i>
    <i r="2">
      <x v="58"/>
    </i>
    <i r="1">
      <x v="4"/>
      <x v="61"/>
    </i>
    <i r="1">
      <x v="5"/>
      <x v="66"/>
    </i>
    <i r="1">
      <x v="6"/>
      <x v="1"/>
    </i>
    <i r="2">
      <x v="2"/>
    </i>
    <i r="2">
      <x v="3"/>
    </i>
    <i r="2">
      <x v="4"/>
    </i>
    <i r="2">
      <x v="27"/>
    </i>
    <i r="2">
      <x v="30"/>
    </i>
    <i r="2">
      <x v="52"/>
    </i>
    <i r="2">
      <x v="65"/>
    </i>
    <i r="2">
      <x v="67"/>
    </i>
    <i r="2">
      <x v="68"/>
    </i>
    <i t="blank">
      <x v="77"/>
    </i>
    <i>
      <x v="78"/>
    </i>
    <i r="1">
      <x/>
      <x v="48"/>
    </i>
    <i r="2">
      <x v="59"/>
    </i>
    <i r="1">
      <x v="2"/>
      <x v="46"/>
    </i>
    <i r="2">
      <x v="58"/>
    </i>
    <i r="1">
      <x v="4"/>
      <x v="1"/>
    </i>
    <i r="1">
      <x v="5"/>
      <x v="63"/>
    </i>
    <i r="1">
      <x v="6"/>
      <x v="61"/>
    </i>
    <i r="1">
      <x v="7"/>
      <x v="4"/>
    </i>
    <i r="2">
      <x v="40"/>
    </i>
    <i r="2">
      <x v="66"/>
    </i>
    <i r="1">
      <x v="10"/>
      <x v="3"/>
    </i>
    <i r="2">
      <x v="5"/>
    </i>
    <i r="2">
      <x v="45"/>
    </i>
    <i r="2">
      <x v="60"/>
    </i>
    <i r="1">
      <x v="14"/>
      <x v="34"/>
    </i>
    <i r="2">
      <x v="36"/>
    </i>
    <i r="2">
      <x v="41"/>
    </i>
    <i r="2">
      <x v="43"/>
    </i>
    <i r="2">
      <x v="49"/>
    </i>
    <i r="2">
      <x v="64"/>
    </i>
    <i r="2">
      <x v="65"/>
    </i>
    <i t="blank">
      <x v="78"/>
    </i>
    <i>
      <x v="79"/>
    </i>
    <i r="1">
      <x/>
      <x v="61"/>
    </i>
    <i r="1">
      <x v="1"/>
      <x v="48"/>
    </i>
    <i r="1">
      <x v="2"/>
      <x v="46"/>
    </i>
    <i r="2">
      <x v="59"/>
    </i>
    <i r="1">
      <x v="4"/>
      <x v="2"/>
    </i>
    <i r="1">
      <x v="5"/>
      <x v="63"/>
    </i>
    <i r="1">
      <x v="6"/>
      <x v="1"/>
    </i>
    <i r="2">
      <x v="3"/>
    </i>
    <i r="2">
      <x v="45"/>
    </i>
    <i r="2">
      <x v="65"/>
    </i>
    <i r="2">
      <x v="66"/>
    </i>
    <i r="1">
      <x v="11"/>
      <x v="27"/>
    </i>
    <i r="2">
      <x v="60"/>
    </i>
    <i r="1">
      <x v="13"/>
      <x v="4"/>
    </i>
    <i r="2">
      <x v="23"/>
    </i>
    <i r="2">
      <x v="52"/>
    </i>
    <i r="2">
      <x v="58"/>
    </i>
    <i r="2">
      <x v="71"/>
    </i>
    <i r="1">
      <x v="18"/>
      <x v="5"/>
    </i>
    <i r="2">
      <x v="7"/>
    </i>
    <i r="2">
      <x v="8"/>
    </i>
    <i r="2">
      <x v="16"/>
    </i>
    <i r="2">
      <x v="40"/>
    </i>
    <i r="2">
      <x v="49"/>
    </i>
    <i r="2">
      <x v="50"/>
    </i>
    <i r="2">
      <x v="62"/>
    </i>
    <i r="2">
      <x v="64"/>
    </i>
    <i r="2">
      <x v="68"/>
    </i>
    <i r="2">
      <x v="69"/>
    </i>
    <i t="blank">
      <x v="79"/>
    </i>
    <i>
      <x v="80"/>
    </i>
    <i r="1">
      <x/>
      <x v="59"/>
    </i>
    <i r="1">
      <x v="1"/>
      <x v="61"/>
    </i>
    <i r="1">
      <x v="2"/>
      <x v="1"/>
    </i>
    <i r="2">
      <x v="52"/>
    </i>
    <i r="2">
      <x v="66"/>
    </i>
    <i r="1">
      <x v="5"/>
      <x v="5"/>
    </i>
    <i r="2">
      <x v="46"/>
    </i>
    <i r="2">
      <x v="48"/>
    </i>
    <i r="1">
      <x v="8"/>
      <x v="40"/>
    </i>
    <i r="2">
      <x v="65"/>
    </i>
    <i r="2">
      <x v="72"/>
    </i>
    <i r="1">
      <x v="11"/>
      <x v="2"/>
    </i>
    <i r="2">
      <x v="15"/>
    </i>
    <i r="2">
      <x v="68"/>
    </i>
    <i r="1">
      <x v="14"/>
      <x v="3"/>
    </i>
    <i r="2">
      <x v="11"/>
    </i>
    <i r="2">
      <x v="27"/>
    </i>
    <i r="2">
      <x v="31"/>
    </i>
    <i r="2">
      <x v="38"/>
    </i>
    <i r="2">
      <x v="41"/>
    </i>
    <i r="2">
      <x v="49"/>
    </i>
    <i r="2">
      <x v="53"/>
    </i>
    <i r="2">
      <x v="55"/>
    </i>
    <i r="2">
      <x v="60"/>
    </i>
    <i r="2">
      <x v="67"/>
    </i>
    <i t="blank">
      <x v="80"/>
    </i>
    <i>
      <x v="81"/>
    </i>
    <i r="1">
      <x/>
      <x v="61"/>
    </i>
    <i r="1">
      <x v="1"/>
      <x v="59"/>
    </i>
    <i r="1">
      <x v="2"/>
      <x v="52"/>
    </i>
    <i r="1">
      <x v="3"/>
      <x v="48"/>
    </i>
    <i r="1">
      <x v="4"/>
      <x v="46"/>
    </i>
    <i r="1">
      <x v="5"/>
      <x v="2"/>
    </i>
    <i r="1">
      <x v="6"/>
      <x v="1"/>
    </i>
    <i r="1">
      <x v="7"/>
      <x v="66"/>
    </i>
    <i r="1">
      <x v="8"/>
      <x v="58"/>
    </i>
    <i r="1">
      <x v="9"/>
      <x v="65"/>
    </i>
    <i r="1">
      <x v="10"/>
      <x v="40"/>
    </i>
    <i r="2">
      <x v="47"/>
    </i>
    <i r="1">
      <x v="12"/>
      <x v="45"/>
    </i>
    <i r="1">
      <x v="13"/>
      <x v="4"/>
    </i>
    <i r="1">
      <x v="14"/>
      <x v="64"/>
    </i>
    <i r="1">
      <x v="15"/>
      <x v="51"/>
    </i>
    <i r="2">
      <x v="55"/>
    </i>
    <i r="1">
      <x v="17"/>
      <x v="41"/>
    </i>
    <i r="2">
      <x v="57"/>
    </i>
    <i r="1">
      <x v="19"/>
      <x v="3"/>
    </i>
    <i r="2">
      <x v="49"/>
    </i>
    <i r="2">
      <x v="62"/>
    </i>
    <i t="blank">
      <x v="81"/>
    </i>
    <i>
      <x v="82"/>
    </i>
    <i r="1">
      <x/>
      <x v="58"/>
    </i>
    <i r="1">
      <x v="1"/>
      <x v="1"/>
    </i>
    <i r="2">
      <x v="48"/>
    </i>
    <i r="2">
      <x v="59"/>
    </i>
    <i r="1">
      <x v="4"/>
      <x v="8"/>
    </i>
    <i r="2">
      <x v="15"/>
    </i>
    <i r="2">
      <x v="27"/>
    </i>
    <i r="2">
      <x v="34"/>
    </i>
    <i r="2">
      <x v="41"/>
    </i>
    <i r="2">
      <x v="43"/>
    </i>
    <i r="2">
      <x v="49"/>
    </i>
    <i r="2">
      <x v="61"/>
    </i>
    <i r="2">
      <x v="67"/>
    </i>
    <i r="2">
      <x v="68"/>
    </i>
    <i r="2">
      <x v="71"/>
    </i>
    <i t="blank">
      <x v="82"/>
    </i>
    <i>
      <x v="83"/>
    </i>
    <i r="1">
      <x/>
      <x v="59"/>
    </i>
    <i r="1">
      <x v="1"/>
      <x v="61"/>
    </i>
    <i r="1">
      <x v="2"/>
      <x v="1"/>
    </i>
    <i r="1">
      <x v="3"/>
      <x v="48"/>
    </i>
    <i r="2">
      <x v="65"/>
    </i>
    <i r="1">
      <x v="5"/>
      <x v="2"/>
    </i>
    <i r="2">
      <x v="3"/>
    </i>
    <i r="2">
      <x v="4"/>
    </i>
    <i r="1">
      <x v="8"/>
      <x v="47"/>
    </i>
    <i r="2">
      <x v="52"/>
    </i>
    <i r="2">
      <x v="68"/>
    </i>
    <i r="1">
      <x v="11"/>
      <x v="40"/>
    </i>
    <i r="2">
      <x v="57"/>
    </i>
    <i r="2">
      <x v="60"/>
    </i>
    <i r="2">
      <x v="63"/>
    </i>
    <i r="1">
      <x v="15"/>
      <x v="17"/>
    </i>
    <i r="2">
      <x v="24"/>
    </i>
    <i r="2">
      <x v="41"/>
    </i>
    <i r="1">
      <x v="18"/>
      <x v="38"/>
    </i>
    <i r="2">
      <x v="46"/>
    </i>
    <i r="2">
      <x v="55"/>
    </i>
    <i r="2">
      <x v="62"/>
    </i>
    <i r="2">
      <x v="64"/>
    </i>
    <i t="blank">
      <x v="83"/>
    </i>
    <i>
      <x v="84"/>
    </i>
    <i r="1">
      <x/>
      <x v="2"/>
    </i>
    <i r="1">
      <x v="1"/>
      <x v="1"/>
    </i>
    <i r="2">
      <x v="59"/>
    </i>
    <i r="1">
      <x v="3"/>
      <x v="48"/>
    </i>
    <i r="2">
      <x v="66"/>
    </i>
    <i r="1">
      <x v="5"/>
      <x v="52"/>
    </i>
    <i r="1">
      <x v="6"/>
      <x v="61"/>
    </i>
    <i r="1">
      <x v="7"/>
      <x v="46"/>
    </i>
    <i r="1">
      <x v="8"/>
      <x v="3"/>
    </i>
    <i r="2">
      <x v="64"/>
    </i>
    <i r="2">
      <x v="65"/>
    </i>
    <i r="1">
      <x v="11"/>
      <x v="41"/>
    </i>
    <i r="2">
      <x v="45"/>
    </i>
    <i r="2">
      <x v="47"/>
    </i>
    <i r="1">
      <x v="14"/>
      <x v="4"/>
    </i>
    <i r="2">
      <x v="5"/>
    </i>
    <i r="2">
      <x v="15"/>
    </i>
    <i r="2">
      <x v="53"/>
    </i>
    <i r="2">
      <x v="55"/>
    </i>
    <i r="2">
      <x v="57"/>
    </i>
    <i r="2">
      <x v="60"/>
    </i>
    <i r="2">
      <x v="62"/>
    </i>
    <i t="blank">
      <x v="84"/>
    </i>
    <i>
      <x v="85"/>
    </i>
    <i r="1">
      <x/>
      <x v="61"/>
    </i>
    <i r="1">
      <x v="1"/>
      <x v="2"/>
    </i>
    <i r="2">
      <x v="48"/>
    </i>
    <i r="1">
      <x v="3"/>
      <x v="1"/>
    </i>
    <i r="2">
      <x v="46"/>
    </i>
    <i r="2">
      <x v="66"/>
    </i>
    <i r="1">
      <x v="6"/>
      <x v="67"/>
    </i>
    <i r="1">
      <x v="7"/>
      <x v="3"/>
    </i>
    <i r="2">
      <x v="4"/>
    </i>
    <i r="2">
      <x v="45"/>
    </i>
    <i r="2">
      <x v="47"/>
    </i>
    <i r="2">
      <x v="52"/>
    </i>
    <i r="2">
      <x v="63"/>
    </i>
    <i r="2">
      <x v="72"/>
    </i>
    <i r="1">
      <x v="14"/>
      <x v="10"/>
    </i>
    <i r="2">
      <x v="12"/>
    </i>
    <i r="2">
      <x v="22"/>
    </i>
    <i r="2">
      <x v="27"/>
    </i>
    <i r="2">
      <x v="30"/>
    </i>
    <i r="2">
      <x v="35"/>
    </i>
    <i r="2">
      <x v="41"/>
    </i>
    <i r="2">
      <x v="43"/>
    </i>
    <i r="2">
      <x v="59"/>
    </i>
    <i t="blank">
      <x v="85"/>
    </i>
    <i>
      <x v="86"/>
    </i>
    <i r="1">
      <x/>
      <x v="61"/>
    </i>
    <i r="1">
      <x v="1"/>
      <x v="59"/>
    </i>
    <i r="1">
      <x v="2"/>
      <x v="46"/>
    </i>
    <i r="1">
      <x v="3"/>
      <x v="48"/>
    </i>
    <i r="1">
      <x v="4"/>
      <x v="3"/>
    </i>
    <i r="2">
      <x v="47"/>
    </i>
    <i r="1">
      <x v="6"/>
      <x v="2"/>
    </i>
    <i r="2">
      <x v="15"/>
    </i>
    <i r="2">
      <x v="64"/>
    </i>
    <i r="2">
      <x v="66"/>
    </i>
    <i r="2">
      <x v="69"/>
    </i>
    <i r="1">
      <x v="11"/>
      <x v="1"/>
    </i>
    <i r="2">
      <x v="52"/>
    </i>
    <i r="2">
      <x v="60"/>
    </i>
    <i r="1">
      <x v="14"/>
      <x v="4"/>
    </i>
    <i r="2">
      <x v="10"/>
    </i>
    <i r="2">
      <x v="42"/>
    </i>
    <i r="2">
      <x v="57"/>
    </i>
    <i r="2">
      <x v="58"/>
    </i>
    <i r="2">
      <x v="65"/>
    </i>
    <i r="2">
      <x v="71"/>
    </i>
    <i t="blank">
      <x v="86"/>
    </i>
    <i>
      <x v="87"/>
    </i>
    <i r="1">
      <x/>
      <x v="59"/>
    </i>
    <i r="1">
      <x v="1"/>
      <x v="48"/>
    </i>
    <i r="1">
      <x v="2"/>
      <x v="61"/>
    </i>
    <i r="1">
      <x v="3"/>
      <x v="52"/>
    </i>
    <i r="1">
      <x v="4"/>
      <x v="2"/>
    </i>
    <i r="1">
      <x v="5"/>
      <x v="46"/>
    </i>
    <i r="1">
      <x v="6"/>
      <x v="1"/>
    </i>
    <i r="2">
      <x v="66"/>
    </i>
    <i r="1">
      <x v="8"/>
      <x v="47"/>
    </i>
    <i r="1">
      <x v="9"/>
      <x v="45"/>
    </i>
    <i r="2">
      <x v="55"/>
    </i>
    <i r="1">
      <x v="11"/>
      <x v="42"/>
    </i>
    <i r="1">
      <x v="12"/>
      <x v="3"/>
    </i>
    <i r="2">
      <x v="15"/>
    </i>
    <i r="2">
      <x v="65"/>
    </i>
    <i r="2">
      <x v="68"/>
    </i>
    <i r="1">
      <x v="16"/>
      <x v="17"/>
    </i>
    <i r="2">
      <x v="41"/>
    </i>
    <i r="2">
      <x v="57"/>
    </i>
    <i r="2">
      <x v="62"/>
    </i>
    <i r="2">
      <x v="67"/>
    </i>
    <i t="blank">
      <x v="87"/>
    </i>
    <i>
      <x v="88"/>
    </i>
    <i r="1">
      <x/>
      <x v="59"/>
    </i>
    <i r="1">
      <x v="1"/>
      <x v="61"/>
    </i>
    <i r="1">
      <x v="2"/>
      <x v="48"/>
    </i>
    <i r="1">
      <x v="3"/>
      <x v="52"/>
    </i>
    <i r="1">
      <x v="4"/>
      <x v="1"/>
    </i>
    <i r="1">
      <x v="5"/>
      <x v="47"/>
    </i>
    <i r="1">
      <x v="6"/>
      <x v="2"/>
    </i>
    <i r="1">
      <x v="7"/>
      <x v="46"/>
    </i>
    <i r="1">
      <x v="8"/>
      <x v="68"/>
    </i>
    <i r="1">
      <x v="9"/>
      <x v="3"/>
    </i>
    <i r="2">
      <x v="65"/>
    </i>
    <i r="1">
      <x v="11"/>
      <x v="64"/>
    </i>
    <i r="1">
      <x v="12"/>
      <x v="45"/>
    </i>
    <i r="2">
      <x v="66"/>
    </i>
    <i r="1">
      <x v="14"/>
      <x v="40"/>
    </i>
    <i r="2">
      <x v="41"/>
    </i>
    <i r="2">
      <x v="42"/>
    </i>
    <i r="2">
      <x v="55"/>
    </i>
    <i r="1">
      <x v="18"/>
      <x v="4"/>
    </i>
    <i r="2">
      <x v="57"/>
    </i>
    <i r="2">
      <x v="60"/>
    </i>
    <i r="2">
      <x v="62"/>
    </i>
    <i r="2">
      <x v="71"/>
    </i>
    <i t="blank">
      <x v="88"/>
    </i>
    <i>
      <x v="89"/>
    </i>
    <i r="1">
      <x/>
      <x v="48"/>
    </i>
    <i r="2">
      <x v="59"/>
    </i>
    <i r="1">
      <x v="2"/>
      <x v="46"/>
    </i>
    <i r="1">
      <x v="3"/>
      <x v="1"/>
    </i>
    <i r="1">
      <x v="4"/>
      <x v="2"/>
    </i>
    <i r="1">
      <x v="5"/>
      <x v="66"/>
    </i>
    <i r="1">
      <x v="6"/>
      <x v="52"/>
    </i>
    <i r="2">
      <x v="60"/>
    </i>
    <i r="2">
      <x v="61"/>
    </i>
    <i r="2">
      <x v="64"/>
    </i>
    <i r="1">
      <x v="10"/>
      <x v="3"/>
    </i>
    <i r="2">
      <x v="5"/>
    </i>
    <i r="2">
      <x v="62"/>
    </i>
    <i r="1">
      <x v="13"/>
      <x v="4"/>
    </i>
    <i r="2">
      <x v="7"/>
    </i>
    <i r="2">
      <x v="8"/>
    </i>
    <i r="2">
      <x v="15"/>
    </i>
    <i r="2">
      <x v="17"/>
    </i>
    <i r="2">
      <x v="24"/>
    </i>
    <i r="2">
      <x v="38"/>
    </i>
    <i r="2">
      <x v="44"/>
    </i>
    <i r="2">
      <x v="45"/>
    </i>
    <i r="2">
      <x v="63"/>
    </i>
    <i r="2">
      <x v="67"/>
    </i>
    <i r="2">
      <x v="68"/>
    </i>
    <i r="2">
      <x v="70"/>
    </i>
    <i r="2">
      <x v="71"/>
    </i>
    <i t="blank">
      <x v="89"/>
    </i>
    <i>
      <x v="90"/>
    </i>
    <i r="1">
      <x/>
      <x v="48"/>
    </i>
    <i r="2">
      <x v="59"/>
    </i>
    <i r="1">
      <x v="2"/>
      <x v="46"/>
    </i>
    <i r="1">
      <x v="3"/>
      <x v="1"/>
    </i>
    <i r="2">
      <x v="61"/>
    </i>
    <i r="2">
      <x v="64"/>
    </i>
    <i r="1">
      <x v="6"/>
      <x v="2"/>
    </i>
    <i r="2">
      <x v="42"/>
    </i>
    <i r="2">
      <x v="68"/>
    </i>
    <i r="1">
      <x v="9"/>
      <x v="3"/>
    </i>
    <i r="2">
      <x v="4"/>
    </i>
    <i r="2">
      <x v="5"/>
    </i>
    <i r="2">
      <x v="7"/>
    </i>
    <i r="2">
      <x v="13"/>
    </i>
    <i r="2">
      <x v="17"/>
    </i>
    <i r="2">
      <x v="22"/>
    </i>
    <i r="2">
      <x v="34"/>
    </i>
    <i r="2">
      <x v="45"/>
    </i>
    <i r="2">
      <x v="55"/>
    </i>
    <i r="2">
      <x v="63"/>
    </i>
    <i r="2">
      <x v="65"/>
    </i>
    <i r="2">
      <x v="67"/>
    </i>
    <i r="2">
      <x v="69"/>
    </i>
    <i t="blank">
      <x v="90"/>
    </i>
    <i>
      <x v="91"/>
    </i>
    <i r="1">
      <x/>
      <x v="1"/>
    </i>
    <i r="2">
      <x v="2"/>
    </i>
    <i r="1">
      <x v="2"/>
      <x v="61"/>
    </i>
    <i r="1">
      <x v="3"/>
      <x v="48"/>
    </i>
    <i r="2">
      <x v="59"/>
    </i>
    <i r="1">
      <x v="5"/>
      <x v="52"/>
    </i>
    <i r="1">
      <x v="6"/>
      <x v="46"/>
    </i>
    <i r="1">
      <x v="7"/>
      <x v="71"/>
    </i>
    <i r="1">
      <x v="8"/>
      <x v="3"/>
    </i>
    <i r="2">
      <x v="41"/>
    </i>
    <i r="2">
      <x v="47"/>
    </i>
    <i r="2">
      <x v="64"/>
    </i>
    <i r="2">
      <x v="65"/>
    </i>
    <i r="2">
      <x v="68"/>
    </i>
    <i r="1">
      <x v="14"/>
      <x v="4"/>
    </i>
    <i r="2">
      <x v="5"/>
    </i>
    <i r="2">
      <x v="12"/>
    </i>
    <i r="2">
      <x v="15"/>
    </i>
    <i r="2">
      <x v="16"/>
    </i>
    <i r="2">
      <x v="17"/>
    </i>
    <i r="2">
      <x v="24"/>
    </i>
    <i r="2">
      <x v="34"/>
    </i>
    <i r="2">
      <x v="40"/>
    </i>
    <i r="2">
      <x v="42"/>
    </i>
    <i r="2">
      <x v="45"/>
    </i>
    <i r="2">
      <x v="53"/>
    </i>
    <i r="2">
      <x v="60"/>
    </i>
    <i r="2">
      <x v="62"/>
    </i>
    <i r="2">
      <x v="69"/>
    </i>
    <i t="blank">
      <x v="91"/>
    </i>
    <i>
      <x v="92"/>
    </i>
    <i r="1">
      <x/>
      <x v="48"/>
    </i>
    <i r="2">
      <x v="59"/>
    </i>
    <i r="2">
      <x v="61"/>
    </i>
    <i r="1">
      <x v="3"/>
      <x v="1"/>
    </i>
    <i r="2">
      <x v="2"/>
    </i>
    <i r="2">
      <x v="64"/>
    </i>
    <i r="1">
      <x v="6"/>
      <x v="45"/>
    </i>
    <i r="2">
      <x v="47"/>
    </i>
    <i r="1">
      <x v="8"/>
      <x v="3"/>
    </i>
    <i r="2">
      <x v="46"/>
    </i>
    <i r="2">
      <x v="66"/>
    </i>
    <i r="1">
      <x v="11"/>
      <x v="4"/>
    </i>
    <i r="2">
      <x v="57"/>
    </i>
    <i r="2">
      <x v="65"/>
    </i>
    <i r="2">
      <x v="67"/>
    </i>
    <i r="1">
      <x v="15"/>
      <x v="6"/>
    </i>
    <i r="2">
      <x v="10"/>
    </i>
    <i r="2">
      <x v="17"/>
    </i>
    <i r="2">
      <x v="19"/>
    </i>
    <i r="2">
      <x v="27"/>
    </i>
    <i r="2">
      <x v="37"/>
    </i>
    <i r="2">
      <x v="43"/>
    </i>
    <i r="2">
      <x v="58"/>
    </i>
    <i r="2">
      <x v="63"/>
    </i>
    <i t="blank">
      <x v="92"/>
    </i>
    <i>
      <x v="93"/>
    </i>
    <i r="1">
      <x/>
      <x v="59"/>
    </i>
    <i r="1">
      <x v="1"/>
      <x v="61"/>
    </i>
    <i r="1">
      <x v="2"/>
      <x v="47"/>
    </i>
    <i r="1">
      <x v="3"/>
      <x v="48"/>
    </i>
    <i r="2">
      <x v="65"/>
    </i>
    <i r="1">
      <x v="5"/>
      <x v="46"/>
    </i>
    <i r="2">
      <x v="66"/>
    </i>
    <i r="1">
      <x v="7"/>
      <x v="1"/>
    </i>
    <i r="2">
      <x v="2"/>
    </i>
    <i r="2">
      <x v="17"/>
    </i>
    <i r="2">
      <x v="49"/>
    </i>
    <i r="2">
      <x v="52"/>
    </i>
    <i r="2">
      <x v="57"/>
    </i>
    <i r="1">
      <x v="13"/>
      <x v="3"/>
    </i>
    <i r="2">
      <x v="4"/>
    </i>
    <i r="2">
      <x v="7"/>
    </i>
    <i r="2">
      <x v="27"/>
    </i>
    <i r="2">
      <x v="32"/>
    </i>
    <i r="2">
      <x v="35"/>
    </i>
    <i r="2">
      <x v="40"/>
    </i>
    <i r="2">
      <x v="41"/>
    </i>
    <i r="2">
      <x v="42"/>
    </i>
    <i r="2">
      <x v="53"/>
    </i>
    <i r="2">
      <x v="63"/>
    </i>
    <i r="2">
      <x v="64"/>
    </i>
    <i r="2">
      <x v="67"/>
    </i>
    <i t="blank">
      <x v="93"/>
    </i>
    <i>
      <x v="94"/>
    </i>
    <i r="1">
      <x/>
      <x v="61"/>
    </i>
    <i r="1">
      <x v="1"/>
      <x v="1"/>
    </i>
    <i r="1">
      <x v="2"/>
      <x v="48"/>
    </i>
    <i r="1">
      <x v="3"/>
      <x v="59"/>
    </i>
    <i r="1">
      <x v="4"/>
      <x v="2"/>
    </i>
    <i r="2">
      <x v="47"/>
    </i>
    <i r="2">
      <x v="65"/>
    </i>
    <i r="2">
      <x v="68"/>
    </i>
    <i r="1">
      <x v="8"/>
      <x v="40"/>
    </i>
    <i r="2">
      <x v="43"/>
    </i>
    <i r="2">
      <x v="58"/>
    </i>
    <i r="1">
      <x v="11"/>
      <x v="3"/>
    </i>
    <i r="2">
      <x v="4"/>
    </i>
    <i r="2">
      <x v="27"/>
    </i>
    <i r="2">
      <x v="34"/>
    </i>
    <i r="2">
      <x v="35"/>
    </i>
    <i r="2">
      <x v="45"/>
    </i>
    <i r="2">
      <x v="46"/>
    </i>
    <i r="2">
      <x v="55"/>
    </i>
    <i r="2">
      <x v="57"/>
    </i>
    <i r="2">
      <x v="63"/>
    </i>
    <i t="blank">
      <x v="94"/>
    </i>
    <i>
      <x v="95"/>
    </i>
    <i r="1">
      <x/>
      <x v="48"/>
    </i>
    <i r="1">
      <x v="1"/>
      <x v="59"/>
    </i>
    <i r="1">
      <x v="2"/>
      <x v="1"/>
    </i>
    <i r="2">
      <x v="61"/>
    </i>
    <i r="1">
      <x v="4"/>
      <x v="65"/>
    </i>
    <i r="1">
      <x v="5"/>
      <x v="46"/>
    </i>
    <i r="2">
      <x v="69"/>
    </i>
    <i r="1">
      <x v="7"/>
      <x/>
    </i>
    <i r="2">
      <x v="2"/>
    </i>
    <i r="2">
      <x v="27"/>
    </i>
    <i r="2">
      <x v="34"/>
    </i>
    <i r="2">
      <x v="47"/>
    </i>
    <i r="2">
      <x v="52"/>
    </i>
    <i r="2">
      <x v="53"/>
    </i>
    <i r="2">
      <x v="66"/>
    </i>
    <i r="2">
      <x v="72"/>
    </i>
    <i t="blank">
      <x v="95"/>
    </i>
    <i>
      <x v="96"/>
    </i>
    <i r="1">
      <x/>
      <x v="59"/>
    </i>
    <i r="1">
      <x v="1"/>
      <x v="48"/>
    </i>
    <i r="2">
      <x v="61"/>
    </i>
    <i r="1">
      <x v="3"/>
      <x v="2"/>
    </i>
    <i r="1">
      <x v="4"/>
      <x v="46"/>
    </i>
    <i r="2">
      <x v="64"/>
    </i>
    <i r="1">
      <x v="6"/>
      <x v="71"/>
    </i>
    <i r="1">
      <x v="7"/>
      <x v="1"/>
    </i>
    <i r="1">
      <x v="8"/>
      <x v="3"/>
    </i>
    <i r="2">
      <x v="8"/>
    </i>
    <i r="2">
      <x v="37"/>
    </i>
    <i r="2">
      <x v="41"/>
    </i>
    <i r="2">
      <x v="45"/>
    </i>
    <i r="2">
      <x v="47"/>
    </i>
    <i r="2">
      <x v="63"/>
    </i>
    <i r="2">
      <x v="65"/>
    </i>
    <i r="1">
      <x v="16"/>
      <x/>
    </i>
    <i r="2">
      <x v="10"/>
    </i>
    <i r="2">
      <x v="17"/>
    </i>
    <i r="2">
      <x v="21"/>
    </i>
    <i r="2">
      <x v="27"/>
    </i>
    <i r="2">
      <x v="30"/>
    </i>
    <i r="2">
      <x v="34"/>
    </i>
    <i r="2">
      <x v="35"/>
    </i>
    <i r="2">
      <x v="43"/>
    </i>
    <i r="2">
      <x v="49"/>
    </i>
    <i r="2">
      <x v="50"/>
    </i>
    <i r="2">
      <x v="52"/>
    </i>
    <i r="2">
      <x v="53"/>
    </i>
    <i r="2">
      <x v="57"/>
    </i>
    <i r="2">
      <x v="60"/>
    </i>
    <i r="2">
      <x v="62"/>
    </i>
    <i r="2">
      <x v="66"/>
    </i>
    <i r="2">
      <x v="67"/>
    </i>
    <i t="blank">
      <x v="96"/>
    </i>
    <i>
      <x v="97"/>
    </i>
    <i r="1">
      <x/>
      <x v="2"/>
    </i>
    <i r="1">
      <x v="1"/>
      <x v="1"/>
    </i>
    <i r="1">
      <x v="2"/>
      <x v="59"/>
    </i>
    <i r="1">
      <x v="3"/>
      <x v="48"/>
    </i>
    <i r="1">
      <x v="4"/>
      <x v="61"/>
    </i>
    <i r="1">
      <x v="5"/>
      <x v="3"/>
    </i>
    <i r="1">
      <x v="6"/>
      <x v="46"/>
    </i>
    <i r="2">
      <x v="49"/>
    </i>
    <i r="2">
      <x v="65"/>
    </i>
    <i r="2">
      <x v="66"/>
    </i>
    <i r="1">
      <x v="10"/>
      <x v="4"/>
    </i>
    <i r="2">
      <x v="62"/>
    </i>
    <i r="2">
      <x v="69"/>
    </i>
    <i r="1">
      <x v="13"/>
      <x v="15"/>
    </i>
    <i r="2">
      <x v="40"/>
    </i>
    <i r="2">
      <x v="41"/>
    </i>
    <i r="2">
      <x v="42"/>
    </i>
    <i r="2">
      <x v="47"/>
    </i>
    <i r="2">
      <x v="52"/>
    </i>
    <i r="2">
      <x v="57"/>
    </i>
    <i t="blank">
      <x v="97"/>
    </i>
    <i>
      <x v="98"/>
    </i>
    <i r="1">
      <x/>
      <x v="59"/>
    </i>
    <i r="2">
      <x v="61"/>
    </i>
    <i r="1">
      <x v="2"/>
      <x v="2"/>
    </i>
    <i r="1">
      <x v="3"/>
      <x v="48"/>
    </i>
    <i r="1">
      <x v="4"/>
      <x v="1"/>
    </i>
    <i r="1">
      <x v="5"/>
      <x v="64"/>
    </i>
    <i r="1">
      <x v="6"/>
      <x v="46"/>
    </i>
    <i r="2">
      <x v="66"/>
    </i>
    <i r="1">
      <x v="8"/>
      <x v="3"/>
    </i>
    <i r="2">
      <x v="8"/>
    </i>
    <i r="1">
      <x v="10"/>
      <x v="65"/>
    </i>
    <i r="1">
      <x v="11"/>
      <x v="52"/>
    </i>
    <i r="2">
      <x v="53"/>
    </i>
    <i r="2">
      <x v="62"/>
    </i>
    <i r="1">
      <x v="14"/>
      <x v="45"/>
    </i>
    <i r="1">
      <x v="15"/>
      <x v="17"/>
    </i>
    <i r="2">
      <x v="51"/>
    </i>
    <i r="2">
      <x v="57"/>
    </i>
    <i r="2">
      <x v="68"/>
    </i>
    <i r="1">
      <x v="19"/>
      <x v="4"/>
    </i>
    <i r="2">
      <x v="30"/>
    </i>
    <i r="2">
      <x v="42"/>
    </i>
    <i r="2">
      <x v="47"/>
    </i>
    <i r="2">
      <x v="49"/>
    </i>
    <i r="2">
      <x v="50"/>
    </i>
    <i r="2">
      <x v="55"/>
    </i>
    <i r="2">
      <x v="69"/>
    </i>
    <i r="2">
      <x v="72"/>
    </i>
    <i t="blank">
      <x v="98"/>
    </i>
    <i>
      <x v="99"/>
    </i>
    <i r="1">
      <x/>
      <x v="48"/>
    </i>
    <i r="1">
      <x v="1"/>
      <x v="46"/>
    </i>
    <i r="2">
      <x v="52"/>
    </i>
    <i r="2">
      <x v="59"/>
    </i>
    <i r="1">
      <x v="4"/>
      <x v="61"/>
    </i>
    <i r="1">
      <x v="5"/>
      <x v="1"/>
    </i>
    <i r="1">
      <x v="6"/>
      <x v="2"/>
    </i>
    <i r="1">
      <x v="7"/>
      <x v="49"/>
    </i>
    <i r="2">
      <x v="64"/>
    </i>
    <i r="2">
      <x v="66"/>
    </i>
    <i r="1">
      <x v="10"/>
      <x v="41"/>
    </i>
    <i r="2">
      <x v="57"/>
    </i>
    <i r="2">
      <x v="63"/>
    </i>
    <i r="1">
      <x v="13"/>
      <x v="12"/>
    </i>
    <i r="2">
      <x v="15"/>
    </i>
    <i r="2">
      <x v="47"/>
    </i>
    <i r="2">
      <x v="53"/>
    </i>
    <i r="2">
      <x v="58"/>
    </i>
    <i r="1">
      <x v="18"/>
      <x v="3"/>
    </i>
    <i r="2">
      <x v="65"/>
    </i>
    <i t="blank">
      <x v="99"/>
    </i>
    <i>
      <x v="100"/>
    </i>
    <i r="1">
      <x/>
      <x v="48"/>
    </i>
    <i r="1">
      <x v="1"/>
      <x v="1"/>
    </i>
    <i r="1">
      <x v="2"/>
      <x v="2"/>
    </i>
    <i r="1">
      <x v="3"/>
      <x v="61"/>
    </i>
    <i r="1">
      <x v="4"/>
      <x v="3"/>
    </i>
    <i r="2">
      <x v="59"/>
    </i>
    <i r="2">
      <x v="65"/>
    </i>
    <i r="1">
      <x v="7"/>
      <x v="46"/>
    </i>
    <i r="2">
      <x v="49"/>
    </i>
    <i r="1">
      <x v="9"/>
      <x v="47"/>
    </i>
    <i r="1">
      <x v="10"/>
      <x v="7"/>
    </i>
    <i r="2">
      <x v="15"/>
    </i>
    <i r="2">
      <x v="41"/>
    </i>
    <i r="2">
      <x v="52"/>
    </i>
    <i r="2">
      <x v="57"/>
    </i>
    <i r="2">
      <x v="62"/>
    </i>
    <i r="2">
      <x v="63"/>
    </i>
    <i r="2">
      <x v="64"/>
    </i>
    <i r="1">
      <x v="18"/>
      <x v="4"/>
    </i>
    <i r="2">
      <x v="8"/>
    </i>
    <i r="2">
      <x v="16"/>
    </i>
    <i r="2">
      <x v="17"/>
    </i>
    <i r="2">
      <x v="27"/>
    </i>
    <i r="2">
      <x v="32"/>
    </i>
    <i r="2">
      <x v="35"/>
    </i>
    <i r="2">
      <x v="40"/>
    </i>
    <i r="2">
      <x v="42"/>
    </i>
    <i r="2">
      <x v="43"/>
    </i>
    <i r="2">
      <x v="45"/>
    </i>
    <i r="2">
      <x v="53"/>
    </i>
    <i r="2">
      <x v="55"/>
    </i>
    <i r="2">
      <x v="60"/>
    </i>
    <i r="2">
      <x v="66"/>
    </i>
    <i r="2">
      <x v="68"/>
    </i>
    <i r="2">
      <x v="70"/>
    </i>
    <i t="blank">
      <x v="100"/>
    </i>
    <i>
      <x v="101"/>
    </i>
    <i r="1">
      <x/>
      <x v="59"/>
    </i>
    <i r="1">
      <x v="1"/>
      <x v="61"/>
    </i>
    <i r="1">
      <x v="2"/>
      <x v="1"/>
    </i>
    <i r="2">
      <x v="2"/>
    </i>
    <i r="2">
      <x v="48"/>
    </i>
    <i r="1">
      <x v="5"/>
      <x v="46"/>
    </i>
    <i r="2">
      <x v="49"/>
    </i>
    <i r="2">
      <x v="65"/>
    </i>
    <i r="1">
      <x v="8"/>
      <x v="3"/>
    </i>
    <i r="2">
      <x v="4"/>
    </i>
    <i r="2">
      <x v="15"/>
    </i>
    <i r="2">
      <x v="24"/>
    </i>
    <i r="2">
      <x v="27"/>
    </i>
    <i r="2">
      <x v="41"/>
    </i>
    <i r="2">
      <x v="45"/>
    </i>
    <i r="2">
      <x v="57"/>
    </i>
    <i r="2">
      <x v="62"/>
    </i>
    <i r="2">
      <x v="68"/>
    </i>
    <i r="1">
      <x v="18"/>
      <x v="7"/>
    </i>
    <i r="2">
      <x v="16"/>
    </i>
    <i r="2">
      <x v="34"/>
    </i>
    <i r="2">
      <x v="35"/>
    </i>
    <i r="2">
      <x v="40"/>
    </i>
    <i r="2">
      <x v="47"/>
    </i>
    <i r="2">
      <x v="55"/>
    </i>
    <i r="2">
      <x v="63"/>
    </i>
    <i r="2">
      <x v="64"/>
    </i>
    <i r="2">
      <x v="66"/>
    </i>
    <i r="2">
      <x v="67"/>
    </i>
    <i r="2">
      <x v="69"/>
    </i>
    <i r="2">
      <x v="71"/>
    </i>
    <i t="blank">
      <x v="101"/>
    </i>
    <i>
      <x v="102"/>
    </i>
    <i r="1">
      <x/>
      <x v="59"/>
    </i>
    <i r="1">
      <x v="1"/>
      <x v="48"/>
    </i>
    <i r="1">
      <x v="2"/>
      <x v="61"/>
    </i>
    <i r="1">
      <x v="3"/>
      <x v="46"/>
    </i>
    <i r="2">
      <x v="58"/>
    </i>
    <i r="1">
      <x v="5"/>
      <x v="66"/>
    </i>
    <i r="1">
      <x v="6"/>
      <x v="1"/>
    </i>
    <i r="2">
      <x v="2"/>
    </i>
    <i r="2">
      <x v="4"/>
    </i>
    <i r="2">
      <x v="47"/>
    </i>
    <i r="2">
      <x v="64"/>
    </i>
    <i r="2">
      <x v="65"/>
    </i>
    <i r="1">
      <x v="12"/>
      <x v="15"/>
    </i>
    <i r="2">
      <x v="71"/>
    </i>
    <i r="1">
      <x v="14"/>
      <x v="3"/>
    </i>
    <i r="2">
      <x v="5"/>
    </i>
    <i r="2">
      <x v="7"/>
    </i>
    <i r="2">
      <x v="8"/>
    </i>
    <i r="2">
      <x v="43"/>
    </i>
    <i r="2">
      <x v="45"/>
    </i>
    <i r="2">
      <x v="52"/>
    </i>
    <i r="2">
      <x v="53"/>
    </i>
    <i r="2">
      <x v="55"/>
    </i>
    <i r="2">
      <x v="57"/>
    </i>
    <i r="2">
      <x v="67"/>
    </i>
    <i t="blank">
      <x v="102"/>
    </i>
    <i>
      <x v="103"/>
    </i>
    <i r="1">
      <x/>
      <x v="8"/>
    </i>
    <i r="1">
      <x v="1"/>
      <x v="59"/>
    </i>
    <i r="1">
      <x v="2"/>
      <x v="46"/>
    </i>
    <i r="2">
      <x v="48"/>
    </i>
    <i r="1">
      <x v="4"/>
      <x v="61"/>
    </i>
    <i r="1">
      <x v="5"/>
      <x v="1"/>
    </i>
    <i r="1">
      <x v="6"/>
      <x v="45"/>
    </i>
    <i r="1">
      <x v="7"/>
      <x v="7"/>
    </i>
    <i r="2">
      <x v="49"/>
    </i>
    <i r="1">
      <x v="9"/>
      <x v="3"/>
    </i>
    <i r="2">
      <x v="4"/>
    </i>
    <i r="2">
      <x v="17"/>
    </i>
    <i r="2">
      <x v="55"/>
    </i>
    <i r="2">
      <x v="58"/>
    </i>
    <i r="1">
      <x v="14"/>
      <x v="2"/>
    </i>
    <i r="2">
      <x v="42"/>
    </i>
    <i r="2">
      <x v="43"/>
    </i>
    <i r="2">
      <x v="47"/>
    </i>
    <i r="2">
      <x v="64"/>
    </i>
    <i r="2">
      <x v="65"/>
    </i>
    <i r="2">
      <x v="66"/>
    </i>
    <i t="blank">
      <x v="103"/>
    </i>
    <i>
      <x v="104"/>
    </i>
    <i r="1">
      <x/>
      <x v="58"/>
    </i>
    <i r="2">
      <x v="59"/>
    </i>
    <i r="1">
      <x v="2"/>
      <x v="61"/>
    </i>
    <i r="1">
      <x v="3"/>
      <x v="46"/>
    </i>
    <i r="1">
      <x v="4"/>
      <x v="48"/>
    </i>
    <i r="1">
      <x v="5"/>
      <x v="64"/>
    </i>
    <i r="1">
      <x v="6"/>
      <x v="1"/>
    </i>
    <i r="2">
      <x v="47"/>
    </i>
    <i r="1">
      <x v="8"/>
      <x v="3"/>
    </i>
    <i r="2">
      <x v="52"/>
    </i>
    <i r="1">
      <x v="10"/>
      <x v="2"/>
    </i>
    <i r="2">
      <x v="57"/>
    </i>
    <i r="1">
      <x v="12"/>
      <x v="42"/>
    </i>
    <i r="2">
      <x v="62"/>
    </i>
    <i r="2">
      <x v="65"/>
    </i>
    <i r="1">
      <x v="15"/>
      <x v="66"/>
    </i>
    <i r="2">
      <x v="68"/>
    </i>
    <i r="1">
      <x v="17"/>
      <x v="8"/>
    </i>
    <i r="2">
      <x v="19"/>
    </i>
    <i r="2">
      <x v="43"/>
    </i>
    <i r="2">
      <x v="49"/>
    </i>
    <i r="2">
      <x v="53"/>
    </i>
    <i t="blank">
      <x v="104"/>
    </i>
    <i>
      <x v="105"/>
    </i>
    <i r="1">
      <x/>
      <x v="59"/>
    </i>
    <i r="1">
      <x v="1"/>
      <x v="52"/>
    </i>
    <i r="1">
      <x v="2"/>
      <x v="61"/>
    </i>
    <i r="1">
      <x v="3"/>
      <x v="48"/>
    </i>
    <i r="1">
      <x v="4"/>
      <x v="58"/>
    </i>
    <i r="1">
      <x v="5"/>
      <x v="46"/>
    </i>
    <i r="2">
      <x v="47"/>
    </i>
    <i r="1">
      <x v="7"/>
      <x v="65"/>
    </i>
    <i r="1">
      <x v="8"/>
      <x v="45"/>
    </i>
    <i r="1">
      <x v="9"/>
      <x v="1"/>
    </i>
    <i r="1">
      <x v="10"/>
      <x v="49"/>
    </i>
    <i r="1">
      <x v="11"/>
      <x v="64"/>
    </i>
    <i r="1">
      <x v="12"/>
      <x v="2"/>
    </i>
    <i r="2">
      <x v="66"/>
    </i>
    <i r="1">
      <x v="14"/>
      <x v="55"/>
    </i>
    <i r="2">
      <x v="57"/>
    </i>
    <i r="1">
      <x v="16"/>
      <x v="3"/>
    </i>
    <i r="2">
      <x v="4"/>
    </i>
    <i r="2">
      <x v="35"/>
    </i>
    <i r="2">
      <x v="40"/>
    </i>
    <i r="2">
      <x v="69"/>
    </i>
    <i t="blank">
      <x v="105"/>
    </i>
    <i>
      <x v="106"/>
    </i>
    <i r="1">
      <x/>
      <x v="59"/>
    </i>
    <i r="1">
      <x v="1"/>
      <x v="58"/>
    </i>
    <i r="1">
      <x v="2"/>
      <x v="46"/>
    </i>
    <i r="2">
      <x v="61"/>
    </i>
    <i r="1">
      <x v="4"/>
      <x v="48"/>
    </i>
    <i r="1">
      <x v="5"/>
      <x v="64"/>
    </i>
    <i r="1">
      <x v="6"/>
      <x v="43"/>
    </i>
    <i r="1">
      <x v="7"/>
      <x v="1"/>
    </i>
    <i r="2">
      <x v="2"/>
    </i>
    <i r="2">
      <x v="3"/>
    </i>
    <i r="2">
      <x v="60"/>
    </i>
    <i r="2">
      <x v="68"/>
    </i>
    <i r="1">
      <x v="12"/>
      <x v="47"/>
    </i>
    <i r="2">
      <x v="51"/>
    </i>
    <i r="2">
      <x v="52"/>
    </i>
    <i r="2">
      <x v="65"/>
    </i>
    <i r="1">
      <x v="16"/>
      <x v="4"/>
    </i>
    <i r="2">
      <x v="5"/>
    </i>
    <i r="2">
      <x v="7"/>
    </i>
    <i r="2">
      <x v="24"/>
    </i>
    <i r="2">
      <x v="27"/>
    </i>
    <i r="2">
      <x v="30"/>
    </i>
    <i r="2">
      <x v="41"/>
    </i>
    <i r="2">
      <x v="45"/>
    </i>
    <i r="2">
      <x v="49"/>
    </i>
    <i r="2">
      <x v="63"/>
    </i>
    <i r="2">
      <x v="69"/>
    </i>
    <i t="blank">
      <x v="106"/>
    </i>
    <i>
      <x v="107"/>
    </i>
    <i r="1">
      <x/>
      <x v="59"/>
    </i>
    <i r="1">
      <x v="1"/>
      <x v="48"/>
    </i>
    <i r="1">
      <x v="2"/>
      <x v="61"/>
    </i>
    <i r="1">
      <x v="3"/>
      <x v="1"/>
    </i>
    <i r="2">
      <x v="46"/>
    </i>
    <i r="1">
      <x v="5"/>
      <x v="2"/>
    </i>
    <i r="2">
      <x v="4"/>
    </i>
    <i r="2">
      <x v="27"/>
    </i>
    <i r="1">
      <x v="8"/>
      <x v="3"/>
    </i>
    <i r="2">
      <x v="38"/>
    </i>
    <i r="2">
      <x v="51"/>
    </i>
    <i r="2">
      <x v="60"/>
    </i>
    <i r="2">
      <x v="62"/>
    </i>
    <i r="2">
      <x v="63"/>
    </i>
    <i r="2">
      <x v="65"/>
    </i>
    <i r="2">
      <x v="71"/>
    </i>
    <i r="1">
      <x v="16"/>
      <x/>
    </i>
    <i r="2">
      <x v="14"/>
    </i>
    <i r="2">
      <x v="15"/>
    </i>
    <i r="2">
      <x v="24"/>
    </i>
    <i r="2">
      <x v="35"/>
    </i>
    <i r="2">
      <x v="36"/>
    </i>
    <i r="2">
      <x v="43"/>
    </i>
    <i r="2">
      <x v="57"/>
    </i>
    <i r="2">
      <x v="66"/>
    </i>
    <i r="2">
      <x v="69"/>
    </i>
    <i r="2">
      <x v="70"/>
    </i>
    <i t="blank">
      <x v="107"/>
    </i>
    <i>
      <x v="108"/>
    </i>
    <i r="1">
      <x/>
      <x v="59"/>
    </i>
    <i r="1">
      <x v="1"/>
      <x v="58"/>
    </i>
    <i r="1">
      <x v="2"/>
      <x v="48"/>
    </i>
    <i r="2">
      <x v="61"/>
    </i>
    <i r="2">
      <x v="66"/>
    </i>
    <i r="1">
      <x v="5"/>
      <x v="68"/>
    </i>
    <i r="1">
      <x v="6"/>
      <x v="27"/>
    </i>
    <i r="2">
      <x v="40"/>
    </i>
    <i r="2">
      <x v="46"/>
    </i>
    <i r="2">
      <x v="55"/>
    </i>
    <i r="2">
      <x v="64"/>
    </i>
    <i r="2">
      <x v="65"/>
    </i>
    <i r="1">
      <x v="12"/>
      <x v="2"/>
    </i>
    <i r="2">
      <x v="3"/>
    </i>
    <i r="2">
      <x v="4"/>
    </i>
    <i r="2">
      <x v="7"/>
    </i>
    <i r="2">
      <x v="10"/>
    </i>
    <i r="2">
      <x v="24"/>
    </i>
    <i r="2">
      <x v="36"/>
    </i>
    <i r="2">
      <x v="50"/>
    </i>
    <i r="2">
      <x v="52"/>
    </i>
    <i r="2">
      <x v="53"/>
    </i>
    <i r="2">
      <x v="60"/>
    </i>
    <i r="2">
      <x v="63"/>
    </i>
    <i r="2">
      <x v="67"/>
    </i>
    <i t="blank">
      <x v="108"/>
    </i>
    <i>
      <x v="109"/>
    </i>
    <i r="1">
      <x/>
      <x v="59"/>
    </i>
    <i r="1">
      <x v="1"/>
      <x v="46"/>
    </i>
    <i r="1">
      <x v="2"/>
      <x v="61"/>
    </i>
    <i r="1">
      <x v="3"/>
      <x v="48"/>
    </i>
    <i r="1">
      <x v="4"/>
      <x v="47"/>
    </i>
    <i r="1">
      <x v="5"/>
      <x v="64"/>
    </i>
    <i r="2">
      <x v="65"/>
    </i>
    <i r="1">
      <x v="7"/>
      <x v="45"/>
    </i>
    <i r="2">
      <x v="71"/>
    </i>
    <i r="1">
      <x v="9"/>
      <x v="1"/>
    </i>
    <i r="2">
      <x v="2"/>
    </i>
    <i r="2">
      <x v="7"/>
    </i>
    <i r="2">
      <x v="32"/>
    </i>
    <i r="2">
      <x v="35"/>
    </i>
    <i r="2">
      <x v="54"/>
    </i>
    <i r="2">
      <x v="57"/>
    </i>
    <i r="2">
      <x v="62"/>
    </i>
    <i r="1">
      <x v="17"/>
      <x v="3"/>
    </i>
    <i r="2">
      <x v="4"/>
    </i>
    <i r="2">
      <x v="8"/>
    </i>
    <i r="2">
      <x v="17"/>
    </i>
    <i r="2">
      <x v="24"/>
    </i>
    <i r="2">
      <x v="27"/>
    </i>
    <i r="2">
      <x v="34"/>
    </i>
    <i r="2">
      <x v="41"/>
    </i>
    <i r="2">
      <x v="42"/>
    </i>
    <i r="2">
      <x v="58"/>
    </i>
    <i r="2">
      <x v="66"/>
    </i>
    <i r="2">
      <x v="67"/>
    </i>
    <i r="2">
      <x v="68"/>
    </i>
    <i r="2">
      <x v="69"/>
    </i>
    <i t="blank">
      <x v="109"/>
    </i>
    <i>
      <x v="110"/>
    </i>
    <i r="1">
      <x/>
      <x v="48"/>
    </i>
    <i r="2">
      <x v="59"/>
    </i>
    <i r="1">
      <x v="2"/>
      <x v="1"/>
    </i>
    <i r="2">
      <x v="46"/>
    </i>
    <i r="1">
      <x v="4"/>
      <x v="47"/>
    </i>
    <i r="2">
      <x v="61"/>
    </i>
    <i r="2">
      <x v="65"/>
    </i>
    <i r="1">
      <x v="7"/>
      <x v="27"/>
    </i>
    <i r="2">
      <x v="64"/>
    </i>
    <i r="1">
      <x v="9"/>
      <x v="2"/>
    </i>
    <i r="2">
      <x v="3"/>
    </i>
    <i r="2">
      <x v="38"/>
    </i>
    <i r="2">
      <x v="45"/>
    </i>
    <i r="2">
      <x v="57"/>
    </i>
    <i r="1">
      <x v="14"/>
      <x v="4"/>
    </i>
    <i r="2">
      <x v="5"/>
    </i>
    <i r="2">
      <x v="6"/>
    </i>
    <i r="2">
      <x v="8"/>
    </i>
    <i r="2">
      <x v="17"/>
    </i>
    <i r="2">
      <x v="30"/>
    </i>
    <i r="2">
      <x v="40"/>
    </i>
    <i r="2">
      <x v="43"/>
    </i>
    <i r="2">
      <x v="49"/>
    </i>
    <i r="2">
      <x v="52"/>
    </i>
    <i r="2">
      <x v="53"/>
    </i>
    <i r="2">
      <x v="58"/>
    </i>
    <i r="2">
      <x v="63"/>
    </i>
    <i r="2">
      <x v="66"/>
    </i>
    <i r="2">
      <x v="67"/>
    </i>
    <i r="2">
      <x v="68"/>
    </i>
    <i r="2">
      <x v="70"/>
    </i>
    <i t="blank">
      <x v="110"/>
    </i>
    <i>
      <x v="111"/>
    </i>
    <i r="1">
      <x/>
      <x v="59"/>
    </i>
    <i r="1">
      <x v="1"/>
      <x v="1"/>
    </i>
    <i r="1">
      <x v="2"/>
      <x v="61"/>
    </i>
    <i r="1">
      <x v="3"/>
      <x v="48"/>
    </i>
    <i r="1">
      <x v="4"/>
      <x v="4"/>
    </i>
    <i r="2">
      <x v="46"/>
    </i>
    <i r="2">
      <x v="63"/>
    </i>
    <i r="1">
      <x v="7"/>
      <x v="7"/>
    </i>
    <i r="2">
      <x v="64"/>
    </i>
    <i r="1">
      <x v="9"/>
      <x v="11"/>
    </i>
    <i r="2">
      <x v="40"/>
    </i>
    <i r="2">
      <x v="52"/>
    </i>
    <i r="2">
      <x v="65"/>
    </i>
    <i r="2">
      <x v="66"/>
    </i>
    <i r="1">
      <x v="14"/>
      <x v="2"/>
    </i>
    <i r="2">
      <x v="5"/>
    </i>
    <i r="2">
      <x v="27"/>
    </i>
    <i r="2">
      <x v="32"/>
    </i>
    <i r="2">
      <x v="38"/>
    </i>
    <i r="2">
      <x v="47"/>
    </i>
    <i r="2">
      <x v="54"/>
    </i>
    <i r="2">
      <x v="55"/>
    </i>
    <i r="2">
      <x v="58"/>
    </i>
    <i r="2">
      <x v="62"/>
    </i>
    <i r="2">
      <x v="69"/>
    </i>
    <i t="blank">
      <x v="111"/>
    </i>
    <i>
      <x v="112"/>
    </i>
    <i r="1">
      <x/>
      <x v="48"/>
    </i>
    <i r="1">
      <x v="1"/>
      <x v="59"/>
    </i>
    <i r="1">
      <x v="2"/>
      <x v="61"/>
    </i>
    <i r="1">
      <x v="3"/>
      <x v="1"/>
    </i>
    <i r="1">
      <x v="4"/>
      <x v="46"/>
    </i>
    <i r="1">
      <x v="5"/>
      <x v="3"/>
    </i>
    <i r="2">
      <x v="47"/>
    </i>
    <i r="2">
      <x v="58"/>
    </i>
    <i r="1">
      <x v="8"/>
      <x v="4"/>
    </i>
    <i r="1">
      <x v="9"/>
      <x v="2"/>
    </i>
    <i r="2">
      <x v="5"/>
    </i>
    <i r="2">
      <x v="15"/>
    </i>
    <i r="2">
      <x v="45"/>
    </i>
    <i r="2">
      <x v="64"/>
    </i>
    <i r="2">
      <x v="71"/>
    </i>
    <i r="1">
      <x v="15"/>
      <x v="7"/>
    </i>
    <i r="2">
      <x v="10"/>
    </i>
    <i r="2">
      <x v="35"/>
    </i>
    <i r="2">
      <x v="52"/>
    </i>
    <i r="2">
      <x v="55"/>
    </i>
    <i r="2">
      <x v="60"/>
    </i>
    <i r="2">
      <x v="62"/>
    </i>
    <i r="2">
      <x v="66"/>
    </i>
    <i t="blank">
      <x v="112"/>
    </i>
    <i>
      <x v="113"/>
    </i>
    <i r="1">
      <x/>
      <x v="46"/>
    </i>
    <i r="2">
      <x v="59"/>
    </i>
    <i r="1">
      <x v="2"/>
      <x v="1"/>
    </i>
    <i r="2">
      <x v="48"/>
    </i>
    <i r="1">
      <x v="4"/>
      <x v="4"/>
    </i>
    <i r="2">
      <x v="27"/>
    </i>
    <i r="2">
      <x v="34"/>
    </i>
    <i r="2">
      <x v="58"/>
    </i>
    <i r="1">
      <x v="8"/>
      <x v="3"/>
    </i>
    <i r="2">
      <x v="7"/>
    </i>
    <i r="2">
      <x v="33"/>
    </i>
    <i r="2">
      <x v="45"/>
    </i>
    <i r="2">
      <x v="61"/>
    </i>
    <i r="2">
      <x v="63"/>
    </i>
    <i r="2">
      <x v="64"/>
    </i>
    <i r="2">
      <x v="66"/>
    </i>
    <i r="2">
      <x v="68"/>
    </i>
    <i t="blank">
      <x v="113"/>
    </i>
    <i>
      <x v="114"/>
    </i>
    <i r="1">
      <x/>
      <x v="48"/>
    </i>
    <i r="2">
      <x v="59"/>
    </i>
    <i r="1">
      <x v="2"/>
      <x v="61"/>
    </i>
    <i r="1">
      <x v="3"/>
      <x v="7"/>
    </i>
    <i r="2">
      <x v="15"/>
    </i>
    <i r="1">
      <x v="5"/>
      <x v="46"/>
    </i>
    <i r="2">
      <x v="47"/>
    </i>
    <i r="1">
      <x v="7"/>
      <x v="1"/>
    </i>
    <i r="2">
      <x v="45"/>
    </i>
    <i r="2">
      <x v="49"/>
    </i>
    <i r="2">
      <x v="52"/>
    </i>
    <i r="2">
      <x v="53"/>
    </i>
    <i r="2">
      <x v="57"/>
    </i>
    <i r="2">
      <x v="64"/>
    </i>
    <i r="1">
      <x v="14"/>
      <x v="2"/>
    </i>
    <i r="2">
      <x v="3"/>
    </i>
    <i r="2">
      <x v="4"/>
    </i>
    <i r="2">
      <x v="5"/>
    </i>
    <i r="2">
      <x v="17"/>
    </i>
    <i r="2">
      <x v="27"/>
    </i>
    <i r="2">
      <x v="35"/>
    </i>
    <i r="2">
      <x v="38"/>
    </i>
    <i r="2">
      <x v="40"/>
    </i>
    <i r="2">
      <x v="42"/>
    </i>
    <i r="2">
      <x v="43"/>
    </i>
    <i r="2">
      <x v="50"/>
    </i>
    <i r="2">
      <x v="54"/>
    </i>
    <i r="2">
      <x v="58"/>
    </i>
    <i r="2">
      <x v="60"/>
    </i>
    <i r="2">
      <x v="62"/>
    </i>
    <i r="2">
      <x v="63"/>
    </i>
    <i r="2">
      <x v="65"/>
    </i>
    <i r="2">
      <x v="68"/>
    </i>
    <i r="2">
      <x v="71"/>
    </i>
    <i t="blank">
      <x v="114"/>
    </i>
    <i>
      <x v="115"/>
    </i>
    <i r="1">
      <x/>
      <x v="4"/>
    </i>
    <i r="2">
      <x v="48"/>
    </i>
    <i r="1">
      <x v="2"/>
      <x v="59"/>
    </i>
    <i r="1">
      <x v="3"/>
      <x v="1"/>
    </i>
    <i r="2">
      <x v="2"/>
    </i>
    <i r="2">
      <x v="27"/>
    </i>
    <i r="2">
      <x v="46"/>
    </i>
    <i r="2">
      <x v="58"/>
    </i>
    <i r="2">
      <x v="61"/>
    </i>
    <i r="2">
      <x v="68"/>
    </i>
    <i r="1">
      <x v="10"/>
      <x v="3"/>
    </i>
    <i r="2">
      <x v="5"/>
    </i>
    <i r="2">
      <x v="7"/>
    </i>
    <i r="2">
      <x v="19"/>
    </i>
    <i r="2">
      <x v="35"/>
    </i>
    <i r="2">
      <x v="36"/>
    </i>
    <i r="2">
      <x v="38"/>
    </i>
    <i r="2">
      <x v="45"/>
    </i>
    <i r="2">
      <x v="47"/>
    </i>
    <i r="2">
      <x v="52"/>
    </i>
    <i r="2">
      <x v="53"/>
    </i>
    <i r="2">
      <x v="55"/>
    </i>
    <i r="2">
      <x v="60"/>
    </i>
    <i r="2">
      <x v="63"/>
    </i>
    <i r="2">
      <x v="65"/>
    </i>
    <i t="blank">
      <x v="115"/>
    </i>
    <i>
      <x v="116"/>
    </i>
    <i r="1">
      <x/>
      <x v="59"/>
    </i>
    <i r="1">
      <x v="1"/>
      <x v="46"/>
    </i>
    <i r="2">
      <x v="48"/>
    </i>
    <i r="1">
      <x v="3"/>
      <x v="2"/>
    </i>
    <i r="2">
      <x v="61"/>
    </i>
    <i r="1">
      <x v="5"/>
      <x v="58"/>
    </i>
    <i r="1">
      <x v="6"/>
      <x v="1"/>
    </i>
    <i r="1">
      <x v="7"/>
      <x v="4"/>
    </i>
    <i r="2">
      <x v="66"/>
    </i>
    <i r="1">
      <x v="9"/>
      <x v="47"/>
    </i>
    <i r="2">
      <x v="63"/>
    </i>
    <i r="2">
      <x v="64"/>
    </i>
    <i r="1">
      <x v="12"/>
      <x v="40"/>
    </i>
    <i r="2">
      <x v="52"/>
    </i>
    <i r="2">
      <x v="68"/>
    </i>
    <i r="1">
      <x v="15"/>
      <x/>
    </i>
    <i r="2">
      <x v="3"/>
    </i>
    <i r="2">
      <x v="10"/>
    </i>
    <i r="2">
      <x v="23"/>
    </i>
    <i r="2">
      <x v="45"/>
    </i>
    <i r="2">
      <x v="62"/>
    </i>
    <i r="2">
      <x v="65"/>
    </i>
    <i t="blank">
      <x v="116"/>
    </i>
    <i>
      <x v="117"/>
    </i>
    <i r="1">
      <x/>
      <x v="2"/>
    </i>
    <i r="2">
      <x v="48"/>
    </i>
    <i r="1">
      <x v="2"/>
      <x v="46"/>
    </i>
    <i r="1">
      <x v="3"/>
      <x v="59"/>
    </i>
    <i r="1">
      <x v="4"/>
      <x v="61"/>
    </i>
    <i r="2">
      <x v="64"/>
    </i>
    <i r="1">
      <x v="6"/>
      <x v="3"/>
    </i>
    <i r="1">
      <x v="7"/>
      <x v="1"/>
    </i>
    <i r="2">
      <x v="35"/>
    </i>
    <i r="2">
      <x v="58"/>
    </i>
    <i r="2">
      <x v="66"/>
    </i>
    <i r="1">
      <x v="11"/>
      <x v="4"/>
    </i>
    <i r="2">
      <x v="27"/>
    </i>
    <i r="2">
      <x v="34"/>
    </i>
    <i r="2">
      <x v="38"/>
    </i>
    <i r="2">
      <x v="52"/>
    </i>
    <i r="2">
      <x v="65"/>
    </i>
    <i r="1">
      <x v="17"/>
      <x v="47"/>
    </i>
    <i r="2">
      <x v="60"/>
    </i>
    <i r="2">
      <x v="63"/>
    </i>
    <i t="blank">
      <x v="117"/>
    </i>
    <i>
      <x v="118"/>
    </i>
    <i r="1">
      <x/>
      <x v="59"/>
    </i>
    <i r="1">
      <x v="1"/>
      <x v="1"/>
    </i>
    <i r="1">
      <x v="2"/>
      <x v="48"/>
    </i>
    <i r="1">
      <x v="3"/>
      <x v="61"/>
    </i>
    <i r="1">
      <x v="4"/>
      <x v="2"/>
    </i>
    <i r="2">
      <x v="46"/>
    </i>
    <i r="2">
      <x v="58"/>
    </i>
    <i r="1">
      <x v="7"/>
      <x v="3"/>
    </i>
    <i r="2">
      <x v="4"/>
    </i>
    <i r="2">
      <x v="7"/>
    </i>
    <i r="2">
      <x v="25"/>
    </i>
    <i r="2">
      <x v="38"/>
    </i>
    <i r="2">
      <x v="40"/>
    </i>
    <i r="2">
      <x v="45"/>
    </i>
    <i r="2">
      <x v="47"/>
    </i>
    <i r="2">
      <x v="52"/>
    </i>
    <i r="2">
      <x v="68"/>
    </i>
    <i r="2">
      <x v="71"/>
    </i>
    <i r="1">
      <x v="18"/>
      <x v="5"/>
    </i>
    <i r="2">
      <x v="10"/>
    </i>
    <i r="2">
      <x v="12"/>
    </i>
    <i r="2">
      <x v="23"/>
    </i>
    <i r="2">
      <x v="27"/>
    </i>
    <i r="2">
      <x v="32"/>
    </i>
    <i r="2">
      <x v="35"/>
    </i>
    <i r="2">
      <x v="41"/>
    </i>
    <i r="2">
      <x v="42"/>
    </i>
    <i r="2">
      <x v="43"/>
    </i>
    <i r="2">
      <x v="53"/>
    </i>
    <i r="2">
      <x v="57"/>
    </i>
    <i r="2">
      <x v="60"/>
    </i>
    <i r="2">
      <x v="62"/>
    </i>
    <i r="2">
      <x v="65"/>
    </i>
    <i r="2">
      <x v="67"/>
    </i>
    <i r="2">
      <x v="69"/>
    </i>
    <i t="blank">
      <x v="118"/>
    </i>
    <i>
      <x v="119"/>
    </i>
    <i r="1">
      <x/>
      <x v="59"/>
    </i>
    <i r="1">
      <x v="1"/>
      <x v="61"/>
    </i>
    <i r="1">
      <x v="2"/>
      <x v="46"/>
    </i>
    <i r="2">
      <x v="48"/>
    </i>
    <i r="1">
      <x v="4"/>
      <x v="58"/>
    </i>
    <i r="1">
      <x v="5"/>
      <x v="2"/>
    </i>
    <i r="1">
      <x v="6"/>
      <x v="52"/>
    </i>
    <i r="1">
      <x v="7"/>
      <x v="1"/>
    </i>
    <i r="1">
      <x v="8"/>
      <x v="3"/>
    </i>
    <i r="1">
      <x v="9"/>
      <x v="4"/>
    </i>
    <i r="2">
      <x v="41"/>
    </i>
    <i r="2">
      <x v="45"/>
    </i>
    <i r="1">
      <x v="12"/>
      <x v="64"/>
    </i>
    <i r="2">
      <x v="65"/>
    </i>
    <i r="1">
      <x v="14"/>
      <x v="47"/>
    </i>
    <i r="2">
      <x v="66"/>
    </i>
    <i r="1">
      <x v="16"/>
      <x v="53"/>
    </i>
    <i r="2">
      <x v="55"/>
    </i>
    <i r="2">
      <x v="57"/>
    </i>
    <i r="2">
      <x v="63"/>
    </i>
    <i r="2">
      <x v="68"/>
    </i>
    <i r="2">
      <x v="69"/>
    </i>
    <i r="2">
      <x v="71"/>
    </i>
    <i t="blank">
      <x v="119"/>
    </i>
    <i>
      <x v="120"/>
    </i>
    <i r="1">
      <x/>
      <x v="1"/>
    </i>
    <i r="1">
      <x v="1"/>
      <x v="59"/>
    </i>
    <i r="1">
      <x v="2"/>
      <x v="48"/>
    </i>
    <i r="1">
      <x v="3"/>
      <x v="54"/>
    </i>
    <i r="2">
      <x v="61"/>
    </i>
    <i r="2">
      <x v="65"/>
    </i>
    <i r="1">
      <x v="6"/>
      <x v="3"/>
    </i>
    <i r="2">
      <x v="4"/>
    </i>
    <i r="2">
      <x v="10"/>
    </i>
    <i r="2">
      <x v="27"/>
    </i>
    <i r="2">
      <x v="34"/>
    </i>
    <i r="2">
      <x v="35"/>
    </i>
    <i r="2">
      <x v="46"/>
    </i>
    <i r="2">
      <x v="60"/>
    </i>
    <i r="2">
      <x v="66"/>
    </i>
    <i r="2">
      <x v="68"/>
    </i>
    <i t="blank">
      <x v="120"/>
    </i>
    <i>
      <x v="121"/>
    </i>
    <i r="1">
      <x/>
      <x v="59"/>
    </i>
    <i r="1">
      <x v="1"/>
      <x v="48"/>
    </i>
    <i r="1">
      <x v="2"/>
      <x v="61"/>
    </i>
    <i r="1">
      <x v="3"/>
      <x v="2"/>
    </i>
    <i r="1">
      <x v="4"/>
      <x v="1"/>
    </i>
    <i r="2">
      <x v="46"/>
    </i>
    <i r="2">
      <x v="47"/>
    </i>
    <i r="1">
      <x v="7"/>
      <x v="15"/>
    </i>
    <i r="2">
      <x v="35"/>
    </i>
    <i r="2">
      <x v="41"/>
    </i>
    <i r="2">
      <x v="45"/>
    </i>
    <i r="2">
      <x v="55"/>
    </i>
    <i r="2">
      <x v="57"/>
    </i>
    <i r="2">
      <x v="62"/>
    </i>
    <i r="2">
      <x v="63"/>
    </i>
    <i r="2">
      <x v="64"/>
    </i>
    <i r="2">
      <x v="67"/>
    </i>
    <i r="2">
      <x v="68"/>
    </i>
    <i r="1">
      <x v="18"/>
      <x v="3"/>
    </i>
    <i r="2">
      <x v="4"/>
    </i>
    <i r="2">
      <x v="5"/>
    </i>
    <i r="2">
      <x v="12"/>
    </i>
    <i r="2">
      <x v="17"/>
    </i>
    <i r="2">
      <x v="27"/>
    </i>
    <i r="2">
      <x v="34"/>
    </i>
    <i r="2">
      <x v="43"/>
    </i>
    <i r="2">
      <x v="50"/>
    </i>
    <i r="2">
      <x v="52"/>
    </i>
    <i r="2">
      <x v="53"/>
    </i>
    <i r="2">
      <x v="58"/>
    </i>
    <i r="2">
      <x v="60"/>
    </i>
    <i r="2">
      <x v="65"/>
    </i>
    <i r="2">
      <x v="66"/>
    </i>
    <i r="2">
      <x v="69"/>
    </i>
    <i r="2">
      <x v="71"/>
    </i>
    <i t="blank">
      <x v="121"/>
    </i>
    <i>
      <x v="122"/>
    </i>
    <i r="1">
      <x/>
      <x v="59"/>
    </i>
    <i r="1">
      <x v="1"/>
      <x v="61"/>
    </i>
    <i r="1">
      <x v="2"/>
      <x v="46"/>
    </i>
    <i r="1">
      <x v="3"/>
      <x v="48"/>
    </i>
    <i r="1">
      <x v="4"/>
      <x v="2"/>
    </i>
    <i r="2">
      <x v="47"/>
    </i>
    <i r="1">
      <x v="6"/>
      <x v="1"/>
    </i>
    <i r="2">
      <x v="52"/>
    </i>
    <i r="2">
      <x v="58"/>
    </i>
    <i r="1">
      <x v="9"/>
      <x v="66"/>
    </i>
    <i r="1">
      <x v="10"/>
      <x v="27"/>
    </i>
    <i r="2">
      <x v="45"/>
    </i>
    <i r="2">
      <x v="49"/>
    </i>
    <i r="2">
      <x v="63"/>
    </i>
    <i r="2">
      <x v="64"/>
    </i>
    <i r="1">
      <x v="15"/>
      <x v="3"/>
    </i>
    <i r="2">
      <x v="4"/>
    </i>
    <i r="2">
      <x v="5"/>
    </i>
    <i r="2">
      <x v="10"/>
    </i>
    <i r="2">
      <x v="32"/>
    </i>
    <i r="2">
      <x v="34"/>
    </i>
    <i r="2">
      <x v="35"/>
    </i>
    <i r="2">
      <x v="42"/>
    </i>
    <i r="2">
      <x v="50"/>
    </i>
    <i r="2">
      <x v="51"/>
    </i>
    <i r="2">
      <x v="53"/>
    </i>
    <i r="2">
      <x v="55"/>
    </i>
    <i r="2">
      <x v="57"/>
    </i>
    <i r="2">
      <x v="60"/>
    </i>
    <i r="2">
      <x v="68"/>
    </i>
    <i r="2">
      <x v="69"/>
    </i>
    <i r="2">
      <x v="71"/>
    </i>
    <i t="blank">
      <x v="122"/>
    </i>
    <i>
      <x v="123"/>
    </i>
    <i r="1">
      <x/>
      <x v="46"/>
    </i>
    <i r="1">
      <x v="1"/>
      <x v="1"/>
    </i>
    <i r="2">
      <x v="48"/>
    </i>
    <i r="2">
      <x v="59"/>
    </i>
    <i r="1">
      <x v="4"/>
      <x v="5"/>
    </i>
    <i r="2">
      <x v="61"/>
    </i>
    <i r="1">
      <x v="6"/>
      <x v="4"/>
    </i>
    <i r="2">
      <x v="45"/>
    </i>
    <i r="2">
      <x v="58"/>
    </i>
    <i r="2">
      <x v="67"/>
    </i>
    <i r="1">
      <x v="10"/>
      <x v="27"/>
    </i>
    <i r="2">
      <x v="34"/>
    </i>
    <i r="2">
      <x v="57"/>
    </i>
    <i r="2">
      <x v="60"/>
    </i>
    <i r="2">
      <x v="66"/>
    </i>
    <i r="2">
      <x v="68"/>
    </i>
    <i r="2">
      <x v="70"/>
    </i>
    <i r="2">
      <x v="71"/>
    </i>
    <i t="blank">
      <x v="123"/>
    </i>
    <i>
      <x v="124"/>
    </i>
    <i r="1">
      <x/>
      <x v="48"/>
    </i>
    <i r="2">
      <x v="59"/>
    </i>
    <i r="1">
      <x v="2"/>
      <x v="52"/>
    </i>
    <i r="2">
      <x v="61"/>
    </i>
    <i r="1">
      <x v="4"/>
      <x v="3"/>
    </i>
    <i r="1">
      <x v="5"/>
      <x v="1"/>
    </i>
    <i r="1">
      <x v="6"/>
      <x v="46"/>
    </i>
    <i r="2">
      <x v="64"/>
    </i>
    <i r="1">
      <x v="8"/>
      <x v="41"/>
    </i>
    <i r="2">
      <x v="58"/>
    </i>
    <i r="2">
      <x v="67"/>
    </i>
    <i r="1">
      <x v="11"/>
      <x v="2"/>
    </i>
    <i r="2">
      <x v="4"/>
    </i>
    <i r="2">
      <x v="15"/>
    </i>
    <i r="2">
      <x v="42"/>
    </i>
    <i r="2">
      <x v="49"/>
    </i>
    <i r="2">
      <x v="62"/>
    </i>
    <i r="2">
      <x v="65"/>
    </i>
    <i r="1">
      <x v="18"/>
      <x v="8"/>
    </i>
    <i r="2">
      <x v="27"/>
    </i>
    <i r="2">
      <x v="32"/>
    </i>
    <i r="2">
      <x v="34"/>
    </i>
    <i r="2">
      <x v="35"/>
    </i>
    <i r="2">
      <x v="43"/>
    </i>
    <i r="2">
      <x v="45"/>
    </i>
    <i r="2">
      <x v="47"/>
    </i>
    <i r="2">
      <x v="50"/>
    </i>
    <i r="2">
      <x v="53"/>
    </i>
    <i r="2">
      <x v="55"/>
    </i>
    <i r="2">
      <x v="57"/>
    </i>
    <i r="2">
      <x v="63"/>
    </i>
    <i r="2">
      <x v="66"/>
    </i>
    <i r="2">
      <x v="68"/>
    </i>
    <i r="2">
      <x v="69"/>
    </i>
    <i t="blank">
      <x v="124"/>
    </i>
    <i>
      <x v="125"/>
    </i>
    <i r="1">
      <x/>
      <x v="59"/>
    </i>
    <i r="1">
      <x v="1"/>
      <x v="48"/>
    </i>
    <i r="1">
      <x v="2"/>
      <x v="61"/>
    </i>
    <i r="1">
      <x v="3"/>
      <x v="46"/>
    </i>
    <i r="1">
      <x v="4"/>
      <x v="1"/>
    </i>
    <i r="2">
      <x v="34"/>
    </i>
    <i r="2">
      <x v="66"/>
    </i>
    <i r="2">
      <x v="67"/>
    </i>
    <i r="1">
      <x v="8"/>
      <x v="4"/>
    </i>
    <i r="2">
      <x v="5"/>
    </i>
    <i r="2">
      <x v="27"/>
    </i>
    <i r="2">
      <x v="47"/>
    </i>
    <i r="2">
      <x v="64"/>
    </i>
    <i r="2">
      <x v="65"/>
    </i>
    <i r="1">
      <x v="14"/>
      <x v="2"/>
    </i>
    <i r="2">
      <x v="3"/>
    </i>
    <i r="2">
      <x v="7"/>
    </i>
    <i r="2">
      <x v="10"/>
    </i>
    <i r="2">
      <x v="17"/>
    </i>
    <i r="2">
      <x v="35"/>
    </i>
    <i r="2">
      <x v="41"/>
    </i>
    <i r="2">
      <x v="45"/>
    </i>
    <i r="2">
      <x v="49"/>
    </i>
    <i r="2">
      <x v="52"/>
    </i>
    <i r="2">
      <x v="58"/>
    </i>
    <i r="2">
      <x v="68"/>
    </i>
    <i t="blank">
      <x v="125"/>
    </i>
    <i>
      <x v="126"/>
    </i>
    <i r="1">
      <x/>
      <x v="59"/>
    </i>
    <i r="1">
      <x v="1"/>
      <x v="61"/>
    </i>
    <i r="1">
      <x v="2"/>
      <x v="52"/>
    </i>
    <i r="1">
      <x v="3"/>
      <x v="2"/>
    </i>
    <i r="2">
      <x v="48"/>
    </i>
    <i r="1">
      <x v="5"/>
      <x v="1"/>
    </i>
    <i r="1">
      <x v="6"/>
      <x v="66"/>
    </i>
    <i r="1">
      <x v="7"/>
      <x v="65"/>
    </i>
    <i r="1">
      <x v="8"/>
      <x v="4"/>
    </i>
    <i r="1">
      <x v="9"/>
      <x v="69"/>
    </i>
    <i r="1">
      <x v="10"/>
      <x v="46"/>
    </i>
    <i r="2">
      <x v="57"/>
    </i>
    <i r="2">
      <x v="64"/>
    </i>
    <i r="1">
      <x v="13"/>
      <x v="3"/>
    </i>
    <i r="2">
      <x v="43"/>
    </i>
    <i r="2">
      <x v="53"/>
    </i>
    <i r="2">
      <x v="68"/>
    </i>
    <i r="1">
      <x v="17"/>
      <x v="41"/>
    </i>
    <i r="2">
      <x v="42"/>
    </i>
    <i r="2">
      <x v="45"/>
    </i>
    <i r="2">
      <x v="55"/>
    </i>
    <i r="2">
      <x v="62"/>
    </i>
    <i t="blank">
      <x v="126"/>
    </i>
    <i>
      <x v="127"/>
    </i>
    <i r="1">
      <x/>
      <x v="59"/>
    </i>
    <i r="1">
      <x v="1"/>
      <x v="1"/>
    </i>
    <i r="2">
      <x v="61"/>
    </i>
    <i r="1">
      <x v="3"/>
      <x v="58"/>
    </i>
    <i r="1">
      <x v="4"/>
      <x v="48"/>
    </i>
    <i r="1">
      <x v="5"/>
      <x v="3"/>
    </i>
    <i r="2">
      <x v="42"/>
    </i>
    <i r="2">
      <x v="46"/>
    </i>
    <i r="2">
      <x v="52"/>
    </i>
    <i r="2">
      <x v="57"/>
    </i>
    <i r="1">
      <x v="10"/>
      <x v="2"/>
    </i>
    <i r="2">
      <x v="65"/>
    </i>
    <i r="1">
      <x v="12"/>
      <x v="4"/>
    </i>
    <i r="2">
      <x v="49"/>
    </i>
    <i r="1">
      <x v="14"/>
      <x v="43"/>
    </i>
    <i r="2">
      <x v="62"/>
    </i>
    <i r="2">
      <x v="68"/>
    </i>
    <i r="1">
      <x v="17"/>
      <x v="17"/>
    </i>
    <i r="2">
      <x v="27"/>
    </i>
    <i r="2">
      <x v="38"/>
    </i>
    <i r="2">
      <x v="41"/>
    </i>
    <i r="2">
      <x v="45"/>
    </i>
    <i r="2">
      <x v="47"/>
    </i>
    <i r="2">
      <x v="64"/>
    </i>
    <i r="2">
      <x v="66"/>
    </i>
    <i r="2">
      <x v="69"/>
    </i>
    <i t="blank">
      <x v="127"/>
    </i>
    <i>
      <x v="128"/>
    </i>
    <i r="1">
      <x/>
      <x v="59"/>
    </i>
    <i r="1">
      <x v="1"/>
      <x v="48"/>
    </i>
    <i r="1">
      <x v="2"/>
      <x v="58"/>
    </i>
    <i r="1">
      <x v="3"/>
      <x v="46"/>
    </i>
    <i r="1">
      <x v="4"/>
      <x v="61"/>
    </i>
    <i r="1">
      <x v="5"/>
      <x v="4"/>
    </i>
    <i r="1">
      <x v="6"/>
      <x v="1"/>
    </i>
    <i r="1">
      <x v="7"/>
      <x v="2"/>
    </i>
    <i r="2">
      <x v="3"/>
    </i>
    <i r="2">
      <x v="67"/>
    </i>
    <i r="1">
      <x v="10"/>
      <x v="43"/>
    </i>
    <i r="2">
      <x v="53"/>
    </i>
    <i r="2">
      <x v="57"/>
    </i>
    <i r="2">
      <x v="68"/>
    </i>
    <i r="1">
      <x v="14"/>
      <x v="17"/>
    </i>
    <i r="2">
      <x v="27"/>
    </i>
    <i r="2">
      <x v="34"/>
    </i>
    <i r="2">
      <x v="35"/>
    </i>
    <i r="2">
      <x v="38"/>
    </i>
    <i r="2">
      <x v="42"/>
    </i>
    <i r="2">
      <x v="49"/>
    </i>
    <i r="2">
      <x v="52"/>
    </i>
    <i r="2">
      <x v="54"/>
    </i>
    <i r="2">
      <x v="65"/>
    </i>
    <i t="blank">
      <x v="128"/>
    </i>
    <i>
      <x v="129"/>
    </i>
    <i r="1">
      <x/>
      <x v="59"/>
    </i>
    <i r="1">
      <x v="1"/>
      <x v="46"/>
    </i>
    <i r="1">
      <x v="2"/>
      <x v="48"/>
    </i>
    <i r="1">
      <x v="3"/>
      <x v="61"/>
    </i>
    <i r="1">
      <x v="4"/>
      <x v="1"/>
    </i>
    <i r="2">
      <x v="4"/>
    </i>
    <i r="2">
      <x v="58"/>
    </i>
    <i r="1">
      <x v="7"/>
      <x v="2"/>
    </i>
    <i r="2">
      <x v="66"/>
    </i>
    <i r="1">
      <x v="9"/>
      <x v="40"/>
    </i>
    <i r="2">
      <x v="45"/>
    </i>
    <i r="1">
      <x v="11"/>
      <x v="27"/>
    </i>
    <i r="2">
      <x v="41"/>
    </i>
    <i r="2">
      <x v="63"/>
    </i>
    <i r="1">
      <x v="14"/>
      <x v="3"/>
    </i>
    <i r="2">
      <x v="5"/>
    </i>
    <i r="2">
      <x v="12"/>
    </i>
    <i r="2">
      <x v="32"/>
    </i>
    <i r="2">
      <x v="34"/>
    </i>
    <i r="2">
      <x v="42"/>
    </i>
    <i r="2">
      <x v="43"/>
    </i>
    <i r="2">
      <x v="50"/>
    </i>
    <i r="2">
      <x v="55"/>
    </i>
    <i r="2">
      <x v="62"/>
    </i>
    <i r="2">
      <x v="64"/>
    </i>
    <i r="2">
      <x v="65"/>
    </i>
    <i r="2">
      <x v="67"/>
    </i>
    <i r="2">
      <x v="72"/>
    </i>
    <i t="blank">
      <x v="129"/>
    </i>
    <i>
      <x v="130"/>
    </i>
    <i r="1">
      <x/>
      <x v="59"/>
    </i>
    <i r="1">
      <x v="1"/>
      <x v="48"/>
    </i>
    <i r="2">
      <x v="58"/>
    </i>
    <i r="1">
      <x v="3"/>
      <x v="61"/>
    </i>
    <i r="1">
      <x v="4"/>
      <x v="46"/>
    </i>
    <i r="1">
      <x v="5"/>
      <x v="4"/>
    </i>
    <i r="1">
      <x v="6"/>
      <x v="1"/>
    </i>
    <i r="2">
      <x v="2"/>
    </i>
    <i r="2">
      <x v="3"/>
    </i>
    <i r="2">
      <x v="47"/>
    </i>
    <i r="2">
      <x v="66"/>
    </i>
    <i r="1">
      <x v="11"/>
      <x v="57"/>
    </i>
    <i r="1">
      <x v="12"/>
      <x v="27"/>
    </i>
    <i r="2">
      <x v="35"/>
    </i>
    <i r="2">
      <x v="40"/>
    </i>
    <i r="2">
      <x v="43"/>
    </i>
    <i r="2">
      <x v="45"/>
    </i>
    <i r="2">
      <x v="49"/>
    </i>
    <i r="2">
      <x v="53"/>
    </i>
    <i r="2">
      <x v="55"/>
    </i>
    <i r="2">
      <x v="64"/>
    </i>
    <i r="2">
      <x v="65"/>
    </i>
    <i r="2">
      <x v="67"/>
    </i>
    <i t="blank">
      <x v="130"/>
    </i>
    <i>
      <x v="131"/>
    </i>
    <i r="1">
      <x/>
      <x v="59"/>
    </i>
    <i r="1">
      <x v="1"/>
      <x v="52"/>
    </i>
    <i r="1">
      <x v="2"/>
      <x v="46"/>
    </i>
    <i r="2">
      <x v="48"/>
    </i>
    <i r="1">
      <x v="4"/>
      <x v="64"/>
    </i>
    <i r="2">
      <x v="66"/>
    </i>
    <i r="1">
      <x v="6"/>
      <x v="1"/>
    </i>
    <i r="2">
      <x v="58"/>
    </i>
    <i r="2">
      <x v="71"/>
    </i>
    <i r="1">
      <x v="9"/>
      <x v="2"/>
    </i>
    <i r="2">
      <x v="53"/>
    </i>
    <i r="2">
      <x v="61"/>
    </i>
    <i r="1">
      <x v="12"/>
      <x v="15"/>
    </i>
    <i r="2">
      <x v="27"/>
    </i>
    <i r="2">
      <x v="42"/>
    </i>
    <i r="1">
      <x v="15"/>
      <x/>
    </i>
    <i r="2">
      <x v="3"/>
    </i>
    <i r="2">
      <x v="11"/>
    </i>
    <i r="2">
      <x v="24"/>
    </i>
    <i r="2">
      <x v="25"/>
    </i>
    <i r="2">
      <x v="28"/>
    </i>
    <i r="2">
      <x v="33"/>
    </i>
    <i r="2">
      <x v="43"/>
    </i>
    <i r="2">
      <x v="47"/>
    </i>
    <i r="2">
      <x v="49"/>
    </i>
    <i r="2">
      <x v="57"/>
    </i>
    <i r="2">
      <x v="65"/>
    </i>
    <i r="2">
      <x v="68"/>
    </i>
    <i r="2">
      <x v="69"/>
    </i>
    <i t="blank">
      <x v="131"/>
    </i>
    <i>
      <x v="132"/>
    </i>
    <i r="1">
      <x/>
      <x v="59"/>
    </i>
    <i r="1">
      <x v="1"/>
      <x v="61"/>
    </i>
    <i r="1">
      <x v="2"/>
      <x v="48"/>
    </i>
    <i r="1">
      <x v="3"/>
      <x v="46"/>
    </i>
    <i r="1">
      <x v="4"/>
      <x v="52"/>
    </i>
    <i r="1">
      <x v="5"/>
      <x v="1"/>
    </i>
    <i r="1">
      <x v="6"/>
      <x v="47"/>
    </i>
    <i r="1">
      <x v="7"/>
      <x v="65"/>
    </i>
    <i r="1">
      <x v="8"/>
      <x v="45"/>
    </i>
    <i r="2">
      <x v="64"/>
    </i>
    <i r="1">
      <x v="10"/>
      <x v="2"/>
    </i>
    <i r="1">
      <x v="11"/>
      <x v="66"/>
    </i>
    <i r="2">
      <x v="68"/>
    </i>
    <i r="1">
      <x v="13"/>
      <x v="49"/>
    </i>
    <i r="2">
      <x v="57"/>
    </i>
    <i r="1">
      <x v="15"/>
      <x v="7"/>
    </i>
    <i r="2">
      <x v="42"/>
    </i>
    <i r="2">
      <x v="50"/>
    </i>
    <i r="2">
      <x v="62"/>
    </i>
    <i r="1">
      <x v="19"/>
      <x v="3"/>
    </i>
    <i r="2">
      <x v="41"/>
    </i>
    <i t="blank">
      <x v="132"/>
    </i>
    <i>
      <x v="133"/>
    </i>
    <i r="1">
      <x/>
      <x v="61"/>
    </i>
    <i r="1">
      <x v="1"/>
      <x v="59"/>
    </i>
    <i r="1">
      <x v="2"/>
      <x v="46"/>
    </i>
    <i r="1">
      <x v="3"/>
      <x v="2"/>
    </i>
    <i r="1">
      <x v="4"/>
      <x v="48"/>
    </i>
    <i r="2">
      <x v="64"/>
    </i>
    <i r="1">
      <x v="6"/>
      <x v="3"/>
    </i>
    <i r="2">
      <x v="7"/>
    </i>
    <i r="2">
      <x v="47"/>
    </i>
    <i r="1">
      <x v="9"/>
      <x v="52"/>
    </i>
    <i r="2">
      <x v="57"/>
    </i>
    <i r="1">
      <x v="11"/>
      <x v="41"/>
    </i>
    <i r="2">
      <x v="65"/>
    </i>
    <i r="2">
      <x v="66"/>
    </i>
    <i r="1">
      <x v="14"/>
      <x v="24"/>
    </i>
    <i r="2">
      <x v="32"/>
    </i>
    <i r="2">
      <x v="38"/>
    </i>
    <i r="2">
      <x v="40"/>
    </i>
    <i r="2">
      <x v="45"/>
    </i>
    <i r="2">
      <x v="58"/>
    </i>
    <i r="2">
      <x v="60"/>
    </i>
    <i r="2">
      <x v="62"/>
    </i>
    <i r="2">
      <x v="69"/>
    </i>
    <i t="blank">
      <x v="133"/>
    </i>
    <i>
      <x v="134"/>
    </i>
    <i r="1">
      <x/>
      <x v="59"/>
    </i>
    <i r="1">
      <x v="1"/>
      <x v="52"/>
    </i>
    <i r="1">
      <x v="2"/>
      <x v="61"/>
    </i>
    <i r="1">
      <x v="3"/>
      <x v="48"/>
    </i>
    <i r="1">
      <x v="4"/>
      <x v="58"/>
    </i>
    <i r="1">
      <x v="5"/>
      <x v="1"/>
    </i>
    <i r="2">
      <x v="4"/>
    </i>
    <i r="1">
      <x v="7"/>
      <x v="46"/>
    </i>
    <i r="1">
      <x v="8"/>
      <x v="64"/>
    </i>
    <i r="1">
      <x v="9"/>
      <x v="63"/>
    </i>
    <i r="1">
      <x v="10"/>
      <x v="2"/>
    </i>
    <i r="1">
      <x v="11"/>
      <x v="47"/>
    </i>
    <i r="2">
      <x v="66"/>
    </i>
    <i r="1">
      <x v="13"/>
      <x v="3"/>
    </i>
    <i r="2">
      <x v="40"/>
    </i>
    <i r="2">
      <x v="57"/>
    </i>
    <i r="1">
      <x v="16"/>
      <x v="45"/>
    </i>
    <i r="2">
      <x v="53"/>
    </i>
    <i r="2">
      <x v="55"/>
    </i>
    <i r="2">
      <x v="62"/>
    </i>
    <i r="2">
      <x v="65"/>
    </i>
    <i r="2">
      <x v="71"/>
    </i>
    <i t="blank">
      <x v="134"/>
    </i>
    <i>
      <x v="135"/>
    </i>
    <i r="1">
      <x/>
      <x v="61"/>
    </i>
    <i r="1">
      <x v="1"/>
      <x v="46"/>
    </i>
    <i r="1">
      <x v="2"/>
      <x v="48"/>
    </i>
    <i r="2">
      <x v="59"/>
    </i>
    <i r="1">
      <x v="4"/>
      <x v="1"/>
    </i>
    <i r="2">
      <x v="58"/>
    </i>
    <i r="1">
      <x v="6"/>
      <x v="2"/>
    </i>
    <i r="2">
      <x v="45"/>
    </i>
    <i r="2">
      <x v="47"/>
    </i>
    <i r="2">
      <x v="52"/>
    </i>
    <i r="2">
      <x v="68"/>
    </i>
    <i r="1">
      <x v="11"/>
      <x v="3"/>
    </i>
    <i r="2">
      <x v="43"/>
    </i>
    <i r="2">
      <x v="49"/>
    </i>
    <i r="2">
      <x v="60"/>
    </i>
    <i r="2">
      <x v="63"/>
    </i>
    <i r="2">
      <x v="64"/>
    </i>
    <i r="1">
      <x v="17"/>
      <x v="7"/>
    </i>
    <i r="2">
      <x v="8"/>
    </i>
    <i r="2">
      <x v="10"/>
    </i>
    <i r="2">
      <x v="19"/>
    </i>
    <i r="2">
      <x v="24"/>
    </i>
    <i r="2">
      <x v="27"/>
    </i>
    <i r="2">
      <x v="35"/>
    </i>
    <i r="2">
      <x v="37"/>
    </i>
    <i r="2">
      <x v="41"/>
    </i>
    <i r="2">
      <x v="54"/>
    </i>
    <i r="2">
      <x v="57"/>
    </i>
    <i r="2">
      <x v="62"/>
    </i>
    <i r="2">
      <x v="65"/>
    </i>
    <i r="2">
      <x v="67"/>
    </i>
    <i r="2">
      <x v="69"/>
    </i>
    <i r="2">
      <x v="71"/>
    </i>
    <i t="blank">
      <x v="135"/>
    </i>
    <i>
      <x v="136"/>
    </i>
    <i r="1">
      <x/>
      <x v="61"/>
    </i>
    <i r="1">
      <x v="1"/>
      <x v="59"/>
    </i>
    <i r="1">
      <x v="2"/>
      <x v="48"/>
    </i>
    <i r="1">
      <x v="3"/>
      <x v="46"/>
    </i>
    <i r="1">
      <x v="4"/>
      <x v="1"/>
    </i>
    <i r="1">
      <x v="5"/>
      <x v="47"/>
    </i>
    <i r="2">
      <x v="64"/>
    </i>
    <i r="2">
      <x v="65"/>
    </i>
    <i r="1">
      <x v="8"/>
      <x v="45"/>
    </i>
    <i r="2">
      <x v="52"/>
    </i>
    <i r="2">
      <x v="69"/>
    </i>
    <i r="1">
      <x v="11"/>
      <x v="2"/>
    </i>
    <i r="2">
      <x v="3"/>
    </i>
    <i r="2">
      <x v="4"/>
    </i>
    <i r="2">
      <x v="5"/>
    </i>
    <i r="2">
      <x v="40"/>
    </i>
    <i r="2">
      <x v="58"/>
    </i>
    <i r="2">
      <x v="66"/>
    </i>
    <i r="2">
      <x v="71"/>
    </i>
    <i r="1">
      <x v="19"/>
      <x v="10"/>
    </i>
    <i r="2">
      <x v="42"/>
    </i>
    <i r="2">
      <x v="49"/>
    </i>
    <i r="2">
      <x v="57"/>
    </i>
    <i t="blank">
      <x v="136"/>
    </i>
    <i>
      <x v="137"/>
    </i>
    <i r="1">
      <x/>
      <x v="48"/>
    </i>
    <i r="2">
      <x v="61"/>
    </i>
    <i r="1">
      <x v="2"/>
      <x v="59"/>
    </i>
    <i r="1">
      <x v="3"/>
      <x v="2"/>
    </i>
    <i r="1">
      <x v="4"/>
      <x v="3"/>
    </i>
    <i r="1">
      <x v="5"/>
      <x v="1"/>
    </i>
    <i r="2">
      <x v="46"/>
    </i>
    <i r="2">
      <x v="57"/>
    </i>
    <i r="1">
      <x v="8"/>
      <x v="47"/>
    </i>
    <i r="2">
      <x v="66"/>
    </i>
    <i r="1">
      <x v="10"/>
      <x v="4"/>
    </i>
    <i r="2">
      <x v="52"/>
    </i>
    <i r="2">
      <x v="58"/>
    </i>
    <i r="2">
      <x v="64"/>
    </i>
    <i r="2">
      <x v="65"/>
    </i>
    <i r="2">
      <x v="68"/>
    </i>
    <i r="1">
      <x v="16"/>
      <x/>
    </i>
    <i r="2">
      <x v="5"/>
    </i>
    <i r="2">
      <x v="23"/>
    </i>
    <i r="2">
      <x v="35"/>
    </i>
    <i r="2">
      <x v="40"/>
    </i>
    <i r="2">
      <x v="45"/>
    </i>
    <i r="2">
      <x v="49"/>
    </i>
    <i r="2">
      <x v="54"/>
    </i>
    <i r="2">
      <x v="55"/>
    </i>
    <i r="2">
      <x v="62"/>
    </i>
    <i r="2">
      <x v="63"/>
    </i>
    <i r="2">
      <x v="67"/>
    </i>
    <i r="2">
      <x v="69"/>
    </i>
    <i r="2">
      <x v="70"/>
    </i>
    <i r="2">
      <x v="71"/>
    </i>
    <i t="blank">
      <x v="137"/>
    </i>
    <i>
      <x v="138"/>
    </i>
    <i r="1">
      <x/>
      <x v="7"/>
    </i>
    <i r="1">
      <x v="1"/>
      <x v="48"/>
    </i>
    <i r="1">
      <x v="2"/>
      <x v="61"/>
    </i>
    <i r="1">
      <x v="3"/>
      <x v="45"/>
    </i>
    <i r="2">
      <x v="65"/>
    </i>
    <i r="2">
      <x v="71"/>
    </i>
    <i r="1">
      <x v="6"/>
      <x v="2"/>
    </i>
    <i r="2">
      <x v="59"/>
    </i>
    <i r="2">
      <x v="64"/>
    </i>
    <i r="2">
      <x v="66"/>
    </i>
    <i r="1">
      <x v="10"/>
      <x v="46"/>
    </i>
    <i r="1">
      <x v="11"/>
      <x v="3"/>
    </i>
    <i r="2">
      <x v="27"/>
    </i>
    <i r="2">
      <x v="43"/>
    </i>
    <i r="2">
      <x v="47"/>
    </i>
    <i r="2">
      <x v="52"/>
    </i>
    <i r="2">
      <x v="63"/>
    </i>
    <i r="2">
      <x v="68"/>
    </i>
    <i r="1">
      <x v="18"/>
      <x v="1"/>
    </i>
    <i r="2">
      <x v="4"/>
    </i>
    <i r="2">
      <x v="5"/>
    </i>
    <i r="2">
      <x v="8"/>
    </i>
    <i r="2">
      <x v="10"/>
    </i>
    <i r="2">
      <x v="11"/>
    </i>
    <i r="2">
      <x v="17"/>
    </i>
    <i r="2">
      <x v="24"/>
    </i>
    <i r="2">
      <x v="32"/>
    </i>
    <i r="2">
      <x v="34"/>
    </i>
    <i r="2">
      <x v="41"/>
    </i>
    <i r="2">
      <x v="49"/>
    </i>
    <i r="2">
      <x v="53"/>
    </i>
    <i r="2">
      <x v="57"/>
    </i>
    <i r="2">
      <x v="69"/>
    </i>
    <i t="blank">
      <x v="138"/>
    </i>
    <i>
      <x v="139"/>
    </i>
    <i r="1">
      <x/>
      <x v="48"/>
    </i>
    <i r="1">
      <x v="1"/>
      <x v="61"/>
    </i>
    <i r="1">
      <x v="2"/>
      <x v="46"/>
    </i>
    <i r="2">
      <x v="59"/>
    </i>
    <i r="1">
      <x v="4"/>
      <x v="1"/>
    </i>
    <i r="2">
      <x v="66"/>
    </i>
    <i r="1">
      <x v="6"/>
      <x v="2"/>
    </i>
    <i r="2">
      <x v="45"/>
    </i>
    <i r="2">
      <x v="52"/>
    </i>
    <i r="2">
      <x v="58"/>
    </i>
    <i r="1">
      <x v="10"/>
      <x v="3"/>
    </i>
    <i r="2">
      <x v="4"/>
    </i>
    <i r="1">
      <x v="12"/>
      <x v="57"/>
    </i>
    <i r="2">
      <x v="65"/>
    </i>
    <i r="2">
      <x v="68"/>
    </i>
    <i r="2">
      <x v="69"/>
    </i>
    <i r="1">
      <x v="16"/>
      <x v="53"/>
    </i>
    <i r="2">
      <x v="60"/>
    </i>
    <i r="2">
      <x v="64"/>
    </i>
    <i r="1">
      <x v="19"/>
      <x v="27"/>
    </i>
    <i r="2">
      <x v="40"/>
    </i>
    <i r="2">
      <x v="41"/>
    </i>
    <i r="2">
      <x v="42"/>
    </i>
    <i r="2">
      <x v="47"/>
    </i>
    <i r="2">
      <x v="55"/>
    </i>
    <i r="2">
      <x v="62"/>
    </i>
    <i t="blank">
      <x v="139"/>
    </i>
    <i>
      <x v="140"/>
    </i>
    <i r="1">
      <x/>
      <x v="61"/>
    </i>
    <i r="1">
      <x v="1"/>
      <x v="59"/>
    </i>
    <i r="1">
      <x v="2"/>
      <x v="48"/>
    </i>
    <i r="1">
      <x v="3"/>
      <x v="65"/>
    </i>
    <i r="1">
      <x v="4"/>
      <x v="1"/>
    </i>
    <i r="1">
      <x v="5"/>
      <x v="64"/>
    </i>
    <i r="1">
      <x v="6"/>
      <x v="52"/>
    </i>
    <i r="1">
      <x v="7"/>
      <x v="2"/>
    </i>
    <i r="1">
      <x v="8"/>
      <x v="3"/>
    </i>
    <i r="1">
      <x v="9"/>
      <x v="47"/>
    </i>
    <i r="1">
      <x v="10"/>
      <x v="46"/>
    </i>
    <i r="2">
      <x v="58"/>
    </i>
    <i r="1">
      <x v="12"/>
      <x v="66"/>
    </i>
    <i r="1">
      <x v="13"/>
      <x v="68"/>
    </i>
    <i r="1">
      <x v="14"/>
      <x v="42"/>
    </i>
    <i r="2">
      <x v="55"/>
    </i>
    <i r="1">
      <x v="16"/>
      <x v="7"/>
    </i>
    <i r="2">
      <x v="45"/>
    </i>
    <i r="2">
      <x v="57"/>
    </i>
    <i r="1">
      <x v="19"/>
      <x v="4"/>
    </i>
    <i r="2">
      <x v="10"/>
    </i>
    <i r="2">
      <x v="35"/>
    </i>
    <i r="2">
      <x v="43"/>
    </i>
    <i r="2">
      <x v="50"/>
    </i>
    <i r="2">
      <x v="62"/>
    </i>
    <i t="blank">
      <x v="140"/>
    </i>
    <i>
      <x v="141"/>
    </i>
    <i r="1">
      <x/>
      <x v="48"/>
    </i>
    <i r="1">
      <x v="1"/>
      <x v="61"/>
    </i>
    <i r="1">
      <x v="2"/>
      <x v="59"/>
    </i>
    <i r="1">
      <x v="3"/>
      <x v="46"/>
    </i>
    <i r="1">
      <x v="4"/>
      <x v="1"/>
    </i>
    <i r="1">
      <x v="5"/>
      <x v="65"/>
    </i>
    <i r="1">
      <x v="6"/>
      <x v="45"/>
    </i>
    <i r="1">
      <x v="7"/>
      <x v="3"/>
    </i>
    <i r="1">
      <x v="8"/>
      <x v="58"/>
    </i>
    <i r="2">
      <x v="64"/>
    </i>
    <i r="1">
      <x v="10"/>
      <x v="2"/>
    </i>
    <i r="2">
      <x v="4"/>
    </i>
    <i r="2">
      <x v="15"/>
    </i>
    <i r="2">
      <x v="60"/>
    </i>
    <i r="1">
      <x v="14"/>
      <x v="52"/>
    </i>
    <i r="2">
      <x v="63"/>
    </i>
    <i r="1">
      <x v="16"/>
      <x v="10"/>
    </i>
    <i r="2">
      <x v="47"/>
    </i>
    <i r="2">
      <x v="51"/>
    </i>
    <i r="2">
      <x v="57"/>
    </i>
    <i r="2">
      <x v="62"/>
    </i>
    <i r="2">
      <x v="66"/>
    </i>
    <i t="blank">
      <x v="141"/>
    </i>
    <i>
      <x v="142"/>
    </i>
    <i r="1">
      <x/>
      <x v="61"/>
    </i>
    <i r="1">
      <x v="1"/>
      <x v="46"/>
    </i>
    <i r="2">
      <x v="47"/>
    </i>
    <i r="2">
      <x v="59"/>
    </i>
    <i r="1">
      <x v="4"/>
      <x v="1"/>
    </i>
    <i r="2">
      <x v="45"/>
    </i>
    <i r="2">
      <x v="62"/>
    </i>
    <i r="1">
      <x v="7"/>
      <x v="48"/>
    </i>
    <i r="2">
      <x v="64"/>
    </i>
    <i r="1">
      <x v="9"/>
      <x v="2"/>
    </i>
    <i r="2">
      <x v="7"/>
    </i>
    <i r="2">
      <x v="58"/>
    </i>
    <i r="1">
      <x v="12"/>
      <x v="10"/>
    </i>
    <i r="2">
      <x v="41"/>
    </i>
    <i r="2">
      <x v="52"/>
    </i>
    <i r="2">
      <x v="66"/>
    </i>
    <i r="1">
      <x v="16"/>
      <x v="3"/>
    </i>
    <i r="2">
      <x v="4"/>
    </i>
    <i r="2">
      <x v="5"/>
    </i>
    <i r="2">
      <x v="17"/>
    </i>
    <i r="2">
      <x v="27"/>
    </i>
    <i r="2">
      <x v="28"/>
    </i>
    <i r="2">
      <x v="34"/>
    </i>
    <i r="2">
      <x v="35"/>
    </i>
    <i r="2">
      <x v="39"/>
    </i>
    <i r="2">
      <x v="40"/>
    </i>
    <i r="2">
      <x v="43"/>
    </i>
    <i r="2">
      <x v="57"/>
    </i>
    <i r="2">
      <x v="65"/>
    </i>
    <i r="2">
      <x v="68"/>
    </i>
    <i r="2">
      <x v="72"/>
    </i>
    <i t="blank">
      <x v="142"/>
    </i>
    <i>
      <x v="143"/>
    </i>
    <i r="1">
      <x/>
      <x v="59"/>
    </i>
    <i r="1">
      <x v="1"/>
      <x v="61"/>
    </i>
    <i r="1">
      <x v="2"/>
      <x v="48"/>
    </i>
    <i r="2">
      <x v="64"/>
    </i>
    <i r="1">
      <x v="4"/>
      <x v="40"/>
    </i>
    <i r="2">
      <x v="46"/>
    </i>
    <i r="1">
      <x v="6"/>
      <x v="1"/>
    </i>
    <i r="2">
      <x v="4"/>
    </i>
    <i r="2">
      <x v="5"/>
    </i>
    <i r="2">
      <x v="45"/>
    </i>
    <i r="1">
      <x v="10"/>
      <x v="57"/>
    </i>
    <i r="2">
      <x v="58"/>
    </i>
    <i r="1">
      <x v="12"/>
      <x v="8"/>
    </i>
    <i r="2">
      <x v="23"/>
    </i>
    <i r="2">
      <x v="49"/>
    </i>
    <i r="2">
      <x v="55"/>
    </i>
    <i r="2">
      <x v="67"/>
    </i>
    <i r="2">
      <x v="69"/>
    </i>
    <i r="1">
      <x v="18"/>
      <x v="2"/>
    </i>
    <i r="2">
      <x v="3"/>
    </i>
    <i r="2">
      <x v="7"/>
    </i>
    <i r="2">
      <x v="10"/>
    </i>
    <i r="2">
      <x v="16"/>
    </i>
    <i r="2">
      <x v="17"/>
    </i>
    <i r="2">
      <x v="24"/>
    </i>
    <i r="2">
      <x v="41"/>
    </i>
    <i r="2">
      <x v="42"/>
    </i>
    <i r="2">
      <x v="47"/>
    </i>
    <i r="2">
      <x v="52"/>
    </i>
    <i r="2">
      <x v="53"/>
    </i>
    <i r="2">
      <x v="62"/>
    </i>
    <i r="2">
      <x v="68"/>
    </i>
    <i r="2">
      <x v="71"/>
    </i>
    <i t="blank">
      <x v="143"/>
    </i>
    <i>
      <x v="144"/>
    </i>
    <i r="1">
      <x/>
      <x v="63"/>
    </i>
    <i r="1">
      <x v="1"/>
      <x v="48"/>
    </i>
    <i r="1">
      <x v="2"/>
      <x v="46"/>
    </i>
    <i r="2">
      <x v="59"/>
    </i>
    <i r="2">
      <x v="60"/>
    </i>
    <i r="1">
      <x v="5"/>
      <x v="3"/>
    </i>
    <i r="2">
      <x v="61"/>
    </i>
    <i r="2">
      <x v="64"/>
    </i>
    <i r="2">
      <x v="66"/>
    </i>
    <i r="1">
      <x v="9"/>
      <x v="2"/>
    </i>
    <i r="2">
      <x v="4"/>
    </i>
    <i r="2">
      <x v="8"/>
    </i>
    <i r="2">
      <x v="25"/>
    </i>
    <i r="2">
      <x v="27"/>
    </i>
    <i r="2">
      <x v="29"/>
    </i>
    <i r="2">
      <x v="38"/>
    </i>
    <i r="2">
      <x v="41"/>
    </i>
    <i r="2">
      <x v="45"/>
    </i>
    <i r="2">
      <x v="55"/>
    </i>
    <i r="2">
      <x v="57"/>
    </i>
    <i r="2">
      <x v="58"/>
    </i>
    <i r="2">
      <x v="65"/>
    </i>
    <i r="2">
      <x v="67"/>
    </i>
    <i r="2">
      <x v="72"/>
    </i>
    <i t="blank">
      <x v="144"/>
    </i>
    <i>
      <x v="145"/>
    </i>
    <i r="1">
      <x/>
      <x v="59"/>
    </i>
    <i r="1">
      <x v="1"/>
      <x v="61"/>
    </i>
    <i r="1">
      <x v="2"/>
      <x v="48"/>
    </i>
    <i r="1">
      <x v="3"/>
      <x v="2"/>
    </i>
    <i r="2">
      <x v="46"/>
    </i>
    <i r="1">
      <x v="5"/>
      <x v="1"/>
    </i>
    <i r="1">
      <x v="6"/>
      <x v="4"/>
    </i>
    <i r="2">
      <x v="45"/>
    </i>
    <i r="2">
      <x v="47"/>
    </i>
    <i r="2">
      <x v="68"/>
    </i>
    <i r="1">
      <x v="10"/>
      <x v="23"/>
    </i>
    <i r="2">
      <x v="57"/>
    </i>
    <i r="2">
      <x v="69"/>
    </i>
    <i r="1">
      <x v="13"/>
      <x v="40"/>
    </i>
    <i r="2">
      <x v="58"/>
    </i>
    <i r="2">
      <x v="60"/>
    </i>
    <i r="2">
      <x v="63"/>
    </i>
    <i r="2">
      <x v="64"/>
    </i>
    <i r="2">
      <x v="65"/>
    </i>
    <i r="1">
      <x v="19"/>
      <x v="3"/>
    </i>
    <i r="2">
      <x v="8"/>
    </i>
    <i r="2">
      <x v="10"/>
    </i>
    <i r="2">
      <x v="17"/>
    </i>
    <i r="2">
      <x v="18"/>
    </i>
    <i r="2">
      <x v="19"/>
    </i>
    <i r="2">
      <x v="20"/>
    </i>
    <i r="2">
      <x v="24"/>
    </i>
    <i r="2">
      <x v="37"/>
    </i>
    <i r="2">
      <x v="38"/>
    </i>
    <i r="2">
      <x v="41"/>
    </i>
    <i r="2">
      <x v="42"/>
    </i>
    <i r="2">
      <x v="49"/>
    </i>
    <i r="2">
      <x v="52"/>
    </i>
    <i r="2">
      <x v="53"/>
    </i>
    <i r="2">
      <x v="62"/>
    </i>
    <i t="blank">
      <x v="145"/>
    </i>
    <i>
      <x v="146"/>
    </i>
    <i r="1">
      <x/>
      <x v="59"/>
    </i>
    <i r="1">
      <x v="1"/>
      <x v="61"/>
    </i>
    <i r="1">
      <x v="2"/>
      <x v="1"/>
    </i>
    <i r="1">
      <x v="3"/>
      <x v="48"/>
    </i>
    <i r="1">
      <x v="4"/>
      <x v="46"/>
    </i>
    <i r="1">
      <x v="5"/>
      <x v="57"/>
    </i>
    <i r="1">
      <x v="6"/>
      <x v="2"/>
    </i>
    <i r="2">
      <x v="71"/>
    </i>
    <i r="1">
      <x v="8"/>
      <x v="4"/>
    </i>
    <i r="2">
      <x v="47"/>
    </i>
    <i r="2">
      <x v="64"/>
    </i>
    <i r="2">
      <x v="68"/>
    </i>
    <i r="1">
      <x v="12"/>
      <x v="3"/>
    </i>
    <i r="2">
      <x v="40"/>
    </i>
    <i r="2">
      <x v="41"/>
    </i>
    <i r="2">
      <x v="45"/>
    </i>
    <i r="2">
      <x v="58"/>
    </i>
    <i r="2">
      <x v="65"/>
    </i>
    <i r="1">
      <x v="18"/>
      <x v="55"/>
    </i>
    <i r="2">
      <x v="60"/>
    </i>
    <i t="blank">
      <x v="146"/>
    </i>
    <i>
      <x v="147"/>
    </i>
    <i r="1">
      <x/>
      <x v="48"/>
    </i>
    <i r="2">
      <x v="59"/>
    </i>
    <i r="1">
      <x v="2"/>
      <x v="4"/>
    </i>
    <i r="2">
      <x v="61"/>
    </i>
    <i r="1">
      <x v="4"/>
      <x v="1"/>
    </i>
    <i r="1">
      <x v="5"/>
      <x v="46"/>
    </i>
    <i r="1">
      <x v="6"/>
      <x v="2"/>
    </i>
    <i r="1">
      <x v="7"/>
      <x v="52"/>
    </i>
    <i r="1">
      <x v="8"/>
      <x v="60"/>
    </i>
    <i r="1">
      <x v="9"/>
      <x v="47"/>
    </i>
    <i r="2">
      <x v="63"/>
    </i>
    <i r="2">
      <x v="64"/>
    </i>
    <i r="1">
      <x v="12"/>
      <x v="12"/>
    </i>
    <i r="2">
      <x v="45"/>
    </i>
    <i r="2">
      <x v="57"/>
    </i>
    <i r="2">
      <x v="65"/>
    </i>
    <i r="1">
      <x v="16"/>
      <x v="3"/>
    </i>
    <i r="2">
      <x v="27"/>
    </i>
    <i r="2">
      <x v="41"/>
    </i>
    <i r="2">
      <x v="49"/>
    </i>
    <i r="2">
      <x v="55"/>
    </i>
    <i r="2">
      <x v="66"/>
    </i>
    <i r="2">
      <x v="68"/>
    </i>
    <i t="blank">
      <x v="147"/>
    </i>
    <i>
      <x v="148"/>
    </i>
    <i r="1">
      <x/>
      <x v="48"/>
    </i>
    <i r="1">
      <x v="1"/>
      <x v="59"/>
    </i>
    <i r="1">
      <x v="2"/>
      <x v="46"/>
    </i>
    <i r="1">
      <x v="3"/>
      <x v="52"/>
    </i>
    <i r="1">
      <x v="4"/>
      <x v="58"/>
    </i>
    <i r="2">
      <x v="61"/>
    </i>
    <i r="1">
      <x v="6"/>
      <x v="66"/>
    </i>
    <i r="1">
      <x v="7"/>
      <x v="3"/>
    </i>
    <i r="1">
      <x v="8"/>
      <x v="1"/>
    </i>
    <i r="2">
      <x v="5"/>
    </i>
    <i r="2">
      <x v="15"/>
    </i>
    <i r="2">
      <x v="64"/>
    </i>
    <i r="2">
      <x v="69"/>
    </i>
    <i r="2">
      <x v="71"/>
    </i>
    <i r="1">
      <x v="14"/>
      <x v="2"/>
    </i>
    <i r="2">
      <x v="6"/>
    </i>
    <i r="2">
      <x v="7"/>
    </i>
    <i r="2">
      <x v="27"/>
    </i>
    <i r="2">
      <x v="34"/>
    </i>
    <i r="2">
      <x v="40"/>
    </i>
    <i r="2">
      <x v="41"/>
    </i>
    <i r="2">
      <x v="45"/>
    </i>
    <i r="2">
      <x v="49"/>
    </i>
    <i r="2">
      <x v="50"/>
    </i>
    <i r="2">
      <x v="53"/>
    </i>
    <i r="2">
      <x v="54"/>
    </i>
    <i r="2">
      <x v="55"/>
    </i>
    <i r="2">
      <x v="57"/>
    </i>
    <i r="2">
      <x v="60"/>
    </i>
    <i r="2">
      <x v="62"/>
    </i>
    <i r="2">
      <x v="65"/>
    </i>
    <i r="2">
      <x v="68"/>
    </i>
    <i t="blank">
      <x v="148"/>
    </i>
    <i>
      <x v="149"/>
    </i>
    <i r="1">
      <x/>
      <x v="59"/>
    </i>
    <i r="1">
      <x v="1"/>
      <x v="61"/>
    </i>
    <i r="1">
      <x v="2"/>
      <x v="1"/>
    </i>
    <i r="1">
      <x v="3"/>
      <x v="46"/>
    </i>
    <i r="1">
      <x v="4"/>
      <x v="48"/>
    </i>
    <i r="1">
      <x v="5"/>
      <x v="2"/>
    </i>
    <i r="1">
      <x v="6"/>
      <x v="66"/>
    </i>
    <i r="1">
      <x v="7"/>
      <x v="4"/>
    </i>
    <i r="2">
      <x v="41"/>
    </i>
    <i r="1">
      <x v="9"/>
      <x v="52"/>
    </i>
    <i r="1">
      <x v="10"/>
      <x v="3"/>
    </i>
    <i r="2">
      <x v="47"/>
    </i>
    <i r="1">
      <x v="12"/>
      <x v="68"/>
    </i>
    <i r="1">
      <x v="13"/>
      <x v="58"/>
    </i>
    <i r="2">
      <x v="65"/>
    </i>
    <i r="1">
      <x v="15"/>
      <x v="15"/>
    </i>
    <i r="1">
      <x v="16"/>
      <x v="42"/>
    </i>
    <i r="2">
      <x v="64"/>
    </i>
    <i r="1">
      <x v="18"/>
      <x v="7"/>
    </i>
    <i r="2">
      <x v="40"/>
    </i>
    <i r="2">
      <x v="43"/>
    </i>
    <i r="2">
      <x v="45"/>
    </i>
    <i r="2">
      <x v="49"/>
    </i>
    <i t="blank">
      <x v="149"/>
    </i>
    <i>
      <x v="150"/>
    </i>
    <i r="1">
      <x/>
      <x v="59"/>
    </i>
    <i r="1">
      <x v="1"/>
      <x v="1"/>
    </i>
    <i r="1">
      <x v="2"/>
      <x v="46"/>
    </i>
    <i r="2">
      <x v="48"/>
    </i>
    <i r="1">
      <x v="4"/>
      <x v="61"/>
    </i>
    <i r="1">
      <x v="5"/>
      <x v="66"/>
    </i>
    <i r="1">
      <x v="6"/>
      <x v="52"/>
    </i>
    <i r="2">
      <x v="62"/>
    </i>
    <i r="2">
      <x v="65"/>
    </i>
    <i r="1">
      <x v="9"/>
      <x v="2"/>
    </i>
    <i r="2">
      <x v="27"/>
    </i>
    <i r="2">
      <x v="57"/>
    </i>
    <i r="2">
      <x v="68"/>
    </i>
    <i r="1">
      <x v="13"/>
      <x/>
    </i>
    <i r="2">
      <x v="7"/>
    </i>
    <i r="2">
      <x v="10"/>
    </i>
    <i r="2">
      <x v="30"/>
    </i>
    <i r="2">
      <x v="40"/>
    </i>
    <i r="2">
      <x v="47"/>
    </i>
    <i r="2">
      <x v="49"/>
    </i>
    <i r="2">
      <x v="58"/>
    </i>
    <i r="2">
      <x v="67"/>
    </i>
    <i t="blank">
      <x v="150"/>
    </i>
    <i>
      <x v="151"/>
    </i>
    <i r="1">
      <x/>
      <x v="59"/>
    </i>
    <i r="1">
      <x v="1"/>
      <x v="61"/>
    </i>
    <i r="1">
      <x v="2"/>
      <x v="46"/>
    </i>
    <i r="2">
      <x v="48"/>
    </i>
    <i r="1">
      <x v="4"/>
      <x v="52"/>
    </i>
    <i r="1">
      <x v="5"/>
      <x v="2"/>
    </i>
    <i r="1">
      <x v="6"/>
      <x v="1"/>
    </i>
    <i r="1">
      <x v="7"/>
      <x v="60"/>
    </i>
    <i r="2">
      <x v="64"/>
    </i>
    <i r="1">
      <x v="9"/>
      <x v="4"/>
    </i>
    <i r="2">
      <x v="57"/>
    </i>
    <i r="1">
      <x v="11"/>
      <x v="3"/>
    </i>
    <i r="2">
      <x v="45"/>
    </i>
    <i r="1">
      <x v="13"/>
      <x v="58"/>
    </i>
    <i r="2">
      <x v="65"/>
    </i>
    <i r="1">
      <x v="15"/>
      <x v="47"/>
    </i>
    <i r="2">
      <x v="53"/>
    </i>
    <i r="1">
      <x v="17"/>
      <x v="5"/>
    </i>
    <i r="2">
      <x v="63"/>
    </i>
    <i r="1">
      <x v="19"/>
      <x v="66"/>
    </i>
    <i t="blank">
      <x v="151"/>
    </i>
    <i>
      <x v="152"/>
    </i>
    <i r="1">
      <x/>
      <x v="59"/>
    </i>
    <i r="1">
      <x v="1"/>
      <x v="48"/>
    </i>
    <i r="1">
      <x v="2"/>
      <x v="46"/>
    </i>
    <i r="1">
      <x v="3"/>
      <x v="1"/>
    </i>
    <i r="1">
      <x v="4"/>
      <x v="61"/>
    </i>
    <i r="1">
      <x v="5"/>
      <x v="64"/>
    </i>
    <i r="1">
      <x v="6"/>
      <x v="2"/>
    </i>
    <i r="2">
      <x v="3"/>
    </i>
    <i r="2">
      <x v="68"/>
    </i>
    <i r="1">
      <x v="9"/>
      <x v="4"/>
    </i>
    <i r="2">
      <x v="57"/>
    </i>
    <i r="2">
      <x v="65"/>
    </i>
    <i r="2">
      <x v="66"/>
    </i>
    <i r="1">
      <x v="13"/>
      <x v="52"/>
    </i>
    <i r="1">
      <x v="14"/>
      <x v="47"/>
    </i>
    <i r="2">
      <x v="60"/>
    </i>
    <i r="2">
      <x v="67"/>
    </i>
    <i r="1">
      <x v="17"/>
      <x v="45"/>
    </i>
    <i r="2">
      <x v="58"/>
    </i>
    <i r="1">
      <x v="19"/>
      <x v="5"/>
    </i>
    <i r="2">
      <x v="7"/>
    </i>
    <i r="2">
      <x v="8"/>
    </i>
    <i r="2">
      <x v="50"/>
    </i>
    <i r="2">
      <x v="55"/>
    </i>
    <i r="2">
      <x v="63"/>
    </i>
    <i r="2">
      <x v="71"/>
    </i>
    <i t="blank">
      <x v="152"/>
    </i>
    <i>
      <x v="153"/>
    </i>
    <i r="1">
      <x/>
      <x v="59"/>
    </i>
    <i r="1">
      <x v="1"/>
      <x v="1"/>
    </i>
    <i r="1">
      <x v="2"/>
      <x v="52"/>
    </i>
    <i r="2">
      <x v="61"/>
    </i>
    <i r="1">
      <x v="4"/>
      <x v="48"/>
    </i>
    <i r="1">
      <x v="5"/>
      <x v="46"/>
    </i>
    <i r="1">
      <x v="6"/>
      <x v="2"/>
    </i>
    <i r="1">
      <x v="7"/>
      <x v="3"/>
    </i>
    <i r="2">
      <x v="7"/>
    </i>
    <i r="2">
      <x v="66"/>
    </i>
    <i r="1">
      <x v="10"/>
      <x v="4"/>
    </i>
    <i r="2">
      <x v="47"/>
    </i>
    <i r="2">
      <x v="60"/>
    </i>
    <i r="1">
      <x v="13"/>
      <x v="57"/>
    </i>
    <i r="2">
      <x v="65"/>
    </i>
    <i r="1">
      <x v="15"/>
      <x v="43"/>
    </i>
    <i r="2">
      <x v="71"/>
    </i>
    <i r="1">
      <x v="17"/>
      <x/>
    </i>
    <i r="2">
      <x v="45"/>
    </i>
    <i r="2">
      <x v="49"/>
    </i>
    <i r="2">
      <x v="64"/>
    </i>
    <i t="blank">
      <x v="153"/>
    </i>
    <i>
      <x v="154"/>
    </i>
    <i r="1">
      <x/>
      <x v="59"/>
    </i>
    <i r="1">
      <x v="1"/>
      <x v="61"/>
    </i>
    <i r="1">
      <x v="2"/>
      <x v="48"/>
    </i>
    <i r="1">
      <x v="3"/>
      <x v="1"/>
    </i>
    <i r="2">
      <x v="3"/>
    </i>
    <i r="2">
      <x v="46"/>
    </i>
    <i r="2">
      <x v="58"/>
    </i>
    <i r="1">
      <x v="7"/>
      <x v="66"/>
    </i>
    <i r="1">
      <x v="8"/>
      <x v="47"/>
    </i>
    <i r="2">
      <x v="64"/>
    </i>
    <i r="1">
      <x v="10"/>
      <x v="63"/>
    </i>
    <i r="1">
      <x v="11"/>
      <x v="57"/>
    </i>
    <i r="1">
      <x v="12"/>
      <x v="2"/>
    </i>
    <i r="2">
      <x v="65"/>
    </i>
    <i r="2">
      <x v="68"/>
    </i>
    <i r="1">
      <x v="15"/>
      <x v="52"/>
    </i>
    <i r="1">
      <x v="16"/>
      <x v="4"/>
    </i>
    <i r="2">
      <x v="55"/>
    </i>
    <i r="1">
      <x v="18"/>
      <x v="15"/>
    </i>
    <i r="2">
      <x v="35"/>
    </i>
    <i r="2">
      <x v="49"/>
    </i>
    <i t="blank">
      <x v="154"/>
    </i>
    <i>
      <x v="155"/>
    </i>
    <i r="1">
      <x/>
      <x v="48"/>
    </i>
    <i r="1">
      <x v="1"/>
      <x v="59"/>
    </i>
    <i r="1">
      <x v="2"/>
      <x v="1"/>
    </i>
    <i r="2">
      <x v="61"/>
    </i>
    <i r="1">
      <x v="4"/>
      <x v="46"/>
    </i>
    <i r="1">
      <x v="5"/>
      <x v="2"/>
    </i>
    <i r="2">
      <x v="66"/>
    </i>
    <i r="1">
      <x v="7"/>
      <x v="47"/>
    </i>
    <i r="1">
      <x v="8"/>
      <x v="64"/>
    </i>
    <i r="2">
      <x v="68"/>
    </i>
    <i r="1">
      <x v="10"/>
      <x v="58"/>
    </i>
    <i r="2">
      <x v="65"/>
    </i>
    <i r="1">
      <x v="12"/>
      <x v="3"/>
    </i>
    <i r="2">
      <x v="15"/>
    </i>
    <i r="2">
      <x v="43"/>
    </i>
    <i r="2">
      <x v="52"/>
    </i>
    <i r="2">
      <x v="57"/>
    </i>
    <i r="1">
      <x v="17"/>
      <x/>
    </i>
    <i r="2">
      <x v="34"/>
    </i>
    <i r="2">
      <x v="53"/>
    </i>
    <i r="2">
      <x v="60"/>
    </i>
    <i r="2">
      <x v="63"/>
    </i>
    <i t="blank">
      <x v="155"/>
    </i>
    <i>
      <x v="156"/>
    </i>
    <i r="1">
      <x/>
      <x v="1"/>
    </i>
    <i r="2">
      <x v="59"/>
    </i>
    <i r="1">
      <x v="2"/>
      <x v="61"/>
    </i>
    <i r="1">
      <x v="3"/>
      <x v="48"/>
    </i>
    <i r="1">
      <x v="4"/>
      <x v="46"/>
    </i>
    <i r="2">
      <x v="52"/>
    </i>
    <i r="1">
      <x v="6"/>
      <x v="2"/>
    </i>
    <i r="2">
      <x v="3"/>
    </i>
    <i r="2">
      <x v="57"/>
    </i>
    <i r="1">
      <x v="9"/>
      <x v="64"/>
    </i>
    <i r="2">
      <x v="65"/>
    </i>
    <i r="1">
      <x v="11"/>
      <x v="40"/>
    </i>
    <i r="2">
      <x v="47"/>
    </i>
    <i r="1">
      <x v="13"/>
      <x v="41"/>
    </i>
    <i r="1">
      <x v="14"/>
      <x v="15"/>
    </i>
    <i r="2">
      <x v="58"/>
    </i>
    <i r="2">
      <x v="63"/>
    </i>
    <i r="2">
      <x v="68"/>
    </i>
    <i r="2">
      <x v="69"/>
    </i>
    <i r="2">
      <x v="71"/>
    </i>
    <i t="blank">
      <x v="156"/>
    </i>
    <i>
      <x v="157"/>
    </i>
    <i r="1">
      <x/>
      <x v="59"/>
    </i>
    <i r="1">
      <x v="1"/>
      <x v="61"/>
    </i>
    <i r="1">
      <x v="2"/>
      <x v="48"/>
    </i>
    <i r="1">
      <x v="3"/>
      <x v="46"/>
    </i>
    <i r="1">
      <x v="4"/>
      <x v="52"/>
    </i>
    <i r="1">
      <x v="5"/>
      <x v="1"/>
    </i>
    <i r="1">
      <x v="6"/>
      <x v="66"/>
    </i>
    <i r="1">
      <x v="7"/>
      <x v="63"/>
    </i>
    <i r="1">
      <x v="8"/>
      <x v="2"/>
    </i>
    <i r="2">
      <x v="4"/>
    </i>
    <i r="2">
      <x v="47"/>
    </i>
    <i r="1">
      <x v="11"/>
      <x v="65"/>
    </i>
    <i r="1">
      <x v="12"/>
      <x v="45"/>
    </i>
    <i r="2">
      <x v="57"/>
    </i>
    <i r="1">
      <x v="14"/>
      <x v="3"/>
    </i>
    <i r="2">
      <x v="55"/>
    </i>
    <i r="2">
      <x v="64"/>
    </i>
    <i r="1">
      <x v="17"/>
      <x v="60"/>
    </i>
    <i r="2">
      <x v="62"/>
    </i>
    <i r="1">
      <x v="19"/>
      <x v="50"/>
    </i>
    <i t="blank">
      <x v="157"/>
    </i>
    <i>
      <x v="158"/>
    </i>
    <i r="1">
      <x/>
      <x v="59"/>
    </i>
    <i r="1">
      <x v="1"/>
      <x v="48"/>
    </i>
    <i r="1">
      <x v="2"/>
      <x v="52"/>
    </i>
    <i r="1">
      <x v="3"/>
      <x v="61"/>
    </i>
    <i r="1">
      <x v="4"/>
      <x v="4"/>
    </i>
    <i r="1">
      <x v="5"/>
      <x v="2"/>
    </i>
    <i r="2">
      <x v="46"/>
    </i>
    <i r="1">
      <x v="7"/>
      <x v="1"/>
    </i>
    <i r="2">
      <x v="45"/>
    </i>
    <i r="2">
      <x v="47"/>
    </i>
    <i r="2">
      <x v="64"/>
    </i>
    <i r="1">
      <x v="11"/>
      <x v="65"/>
    </i>
    <i r="1">
      <x v="12"/>
      <x v="58"/>
    </i>
    <i r="2">
      <x v="68"/>
    </i>
    <i r="1">
      <x v="14"/>
      <x v="3"/>
    </i>
    <i r="2">
      <x v="40"/>
    </i>
    <i r="2">
      <x v="41"/>
    </i>
    <i r="2">
      <x v="49"/>
    </i>
    <i r="2">
      <x v="57"/>
    </i>
    <i r="2">
      <x v="66"/>
    </i>
    <i r="2">
      <x v="67"/>
    </i>
    <i t="blank">
      <x v="158"/>
    </i>
    <i>
      <x v="159"/>
    </i>
    <i r="1">
      <x/>
      <x v="59"/>
    </i>
    <i r="1">
      <x v="1"/>
      <x v="61"/>
    </i>
    <i r="1">
      <x v="2"/>
      <x v="48"/>
    </i>
    <i r="1">
      <x v="3"/>
      <x v="1"/>
    </i>
    <i r="2">
      <x v="46"/>
    </i>
    <i r="1">
      <x v="5"/>
      <x v="2"/>
    </i>
    <i r="1">
      <x v="6"/>
      <x v="58"/>
    </i>
    <i r="1">
      <x v="7"/>
      <x v="4"/>
    </i>
    <i r="2">
      <x v="66"/>
    </i>
    <i r="1">
      <x v="9"/>
      <x v="40"/>
    </i>
    <i r="2">
      <x v="68"/>
    </i>
    <i r="1">
      <x v="11"/>
      <x v="47"/>
    </i>
    <i r="2">
      <x v="64"/>
    </i>
    <i r="2">
      <x v="65"/>
    </i>
    <i r="1">
      <x v="14"/>
      <x v="3"/>
    </i>
    <i r="2">
      <x v="43"/>
    </i>
    <i r="1">
      <x v="16"/>
      <x v="41"/>
    </i>
    <i r="2">
      <x v="57"/>
    </i>
    <i r="2">
      <x v="62"/>
    </i>
    <i r="2">
      <x v="63"/>
    </i>
    <i r="2">
      <x v="67"/>
    </i>
    <i t="blank">
      <x v="159"/>
    </i>
    <i>
      <x v="160"/>
    </i>
    <i r="1">
      <x/>
      <x v="59"/>
    </i>
    <i r="1">
      <x v="1"/>
      <x v="61"/>
    </i>
    <i r="1">
      <x v="2"/>
      <x v="52"/>
    </i>
    <i r="1">
      <x v="3"/>
      <x v="48"/>
    </i>
    <i r="1">
      <x v="4"/>
      <x v="1"/>
    </i>
    <i r="1">
      <x v="5"/>
      <x v="46"/>
    </i>
    <i r="1">
      <x v="6"/>
      <x v="2"/>
    </i>
    <i r="1">
      <x v="7"/>
      <x v="66"/>
    </i>
    <i r="1">
      <x v="8"/>
      <x v="47"/>
    </i>
    <i r="1">
      <x v="9"/>
      <x v="45"/>
    </i>
    <i r="2">
      <x v="64"/>
    </i>
    <i r="1">
      <x v="11"/>
      <x v="55"/>
    </i>
    <i r="1">
      <x v="12"/>
      <x v="65"/>
    </i>
    <i r="1">
      <x v="13"/>
      <x v="4"/>
    </i>
    <i r="1">
      <x v="14"/>
      <x v="57"/>
    </i>
    <i r="1">
      <x v="15"/>
      <x v="40"/>
    </i>
    <i r="1">
      <x v="16"/>
      <x v="3"/>
    </i>
    <i r="2">
      <x v="68"/>
    </i>
    <i r="1">
      <x v="18"/>
      <x v="62"/>
    </i>
    <i r="1">
      <x v="19"/>
      <x v="41"/>
    </i>
    <i r="2">
      <x v="58"/>
    </i>
    <i r="2">
      <x v="63"/>
    </i>
    <i r="2">
      <x v="71"/>
    </i>
    <i t="blank">
      <x v="160"/>
    </i>
    <i>
      <x v="161"/>
    </i>
    <i r="1">
      <x/>
      <x v="61"/>
    </i>
    <i r="1">
      <x v="1"/>
      <x v="1"/>
    </i>
    <i r="1">
      <x v="2"/>
      <x v="52"/>
    </i>
    <i r="1">
      <x v="3"/>
      <x v="2"/>
    </i>
    <i r="2">
      <x v="59"/>
    </i>
    <i r="1">
      <x v="5"/>
      <x v="48"/>
    </i>
    <i r="1">
      <x v="6"/>
      <x v="64"/>
    </i>
    <i r="1">
      <x v="7"/>
      <x v="3"/>
    </i>
    <i r="2">
      <x v="65"/>
    </i>
    <i r="1">
      <x v="9"/>
      <x v="57"/>
    </i>
    <i r="1">
      <x v="10"/>
      <x v="46"/>
    </i>
    <i r="1">
      <x v="11"/>
      <x v="45"/>
    </i>
    <i r="2">
      <x v="47"/>
    </i>
    <i r="1">
      <x v="13"/>
      <x v="68"/>
    </i>
    <i r="1">
      <x v="14"/>
      <x v="66"/>
    </i>
    <i r="2">
      <x v="69"/>
    </i>
    <i r="1">
      <x v="16"/>
      <x v="41"/>
    </i>
    <i r="2">
      <x v="43"/>
    </i>
    <i r="1">
      <x v="18"/>
      <x v="49"/>
    </i>
    <i r="2">
      <x v="55"/>
    </i>
    <i t="blank">
      <x v="161"/>
    </i>
    <i>
      <x v="162"/>
    </i>
    <i r="1">
      <x/>
      <x v="59"/>
    </i>
    <i r="1">
      <x v="1"/>
      <x v="1"/>
    </i>
    <i r="1">
      <x v="2"/>
      <x v="61"/>
    </i>
    <i r="1">
      <x v="3"/>
      <x v="48"/>
    </i>
    <i r="1">
      <x v="4"/>
      <x v="52"/>
    </i>
    <i r="1">
      <x v="5"/>
      <x v="2"/>
    </i>
    <i r="1">
      <x v="6"/>
      <x v="3"/>
    </i>
    <i r="1">
      <x v="7"/>
      <x v="46"/>
    </i>
    <i r="2">
      <x v="47"/>
    </i>
    <i r="1">
      <x v="9"/>
      <x v="17"/>
    </i>
    <i r="2">
      <x v="49"/>
    </i>
    <i r="2">
      <x v="55"/>
    </i>
    <i r="2">
      <x v="69"/>
    </i>
    <i r="1">
      <x v="13"/>
      <x v="4"/>
    </i>
    <i r="2">
      <x v="40"/>
    </i>
    <i r="2">
      <x v="42"/>
    </i>
    <i r="2">
      <x v="57"/>
    </i>
    <i r="2">
      <x v="60"/>
    </i>
    <i r="2">
      <x v="65"/>
    </i>
    <i r="1">
      <x v="19"/>
      <x v="5"/>
    </i>
    <i r="2">
      <x v="7"/>
    </i>
    <i r="2">
      <x v="8"/>
    </i>
    <i r="2">
      <x v="25"/>
    </i>
    <i r="2">
      <x v="34"/>
    </i>
    <i r="2">
      <x v="35"/>
    </i>
    <i r="2">
      <x v="43"/>
    </i>
    <i r="2">
      <x v="45"/>
    </i>
    <i r="2">
      <x v="50"/>
    </i>
    <i r="2">
      <x v="53"/>
    </i>
    <i r="2">
      <x v="58"/>
    </i>
    <i r="2">
      <x v="63"/>
    </i>
    <i r="2">
      <x v="64"/>
    </i>
    <i r="2">
      <x v="71"/>
    </i>
    <i t="blank">
      <x v="162"/>
    </i>
    <i>
      <x v="163"/>
    </i>
    <i r="1">
      <x/>
      <x v="59"/>
    </i>
    <i r="1">
      <x v="1"/>
      <x v="61"/>
    </i>
    <i r="1">
      <x v="2"/>
      <x v="1"/>
    </i>
    <i r="1">
      <x v="3"/>
      <x v="48"/>
    </i>
    <i r="1">
      <x v="4"/>
      <x v="58"/>
    </i>
    <i r="1">
      <x v="5"/>
      <x v="47"/>
    </i>
    <i r="1">
      <x v="6"/>
      <x v="2"/>
    </i>
    <i r="1">
      <x v="7"/>
      <x v="57"/>
    </i>
    <i r="2">
      <x v="64"/>
    </i>
    <i r="1">
      <x v="9"/>
      <x v="46"/>
    </i>
    <i r="2">
      <x v="55"/>
    </i>
    <i r="2">
      <x v="65"/>
    </i>
    <i r="1">
      <x v="12"/>
      <x v="3"/>
    </i>
    <i r="2">
      <x v="4"/>
    </i>
    <i r="2">
      <x v="8"/>
    </i>
    <i r="2">
      <x v="45"/>
    </i>
    <i r="2">
      <x v="62"/>
    </i>
    <i r="2">
      <x v="67"/>
    </i>
    <i r="1">
      <x v="18"/>
      <x v="7"/>
    </i>
    <i r="2">
      <x v="15"/>
    </i>
    <i r="2">
      <x v="35"/>
    </i>
    <i r="2">
      <x v="40"/>
    </i>
    <i r="2">
      <x v="63"/>
    </i>
    <i r="2">
      <x v="66"/>
    </i>
    <i r="2">
      <x v="69"/>
    </i>
    <i t="blank">
      <x v="163"/>
    </i>
    <i>
      <x v="164"/>
    </i>
    <i r="1">
      <x/>
      <x v="59"/>
    </i>
    <i r="1">
      <x v="1"/>
      <x v="61"/>
    </i>
    <i r="1">
      <x v="2"/>
      <x v="46"/>
    </i>
    <i r="2">
      <x v="64"/>
    </i>
    <i r="1">
      <x v="4"/>
      <x v="48"/>
    </i>
    <i r="1">
      <x v="5"/>
      <x v="63"/>
    </i>
    <i r="2">
      <x v="66"/>
    </i>
    <i r="1">
      <x v="7"/>
      <x v="1"/>
    </i>
    <i r="1">
      <x v="8"/>
      <x v="4"/>
    </i>
    <i r="2">
      <x v="58"/>
    </i>
    <i r="2">
      <x v="67"/>
    </i>
    <i r="1">
      <x v="11"/>
      <x v="3"/>
    </i>
    <i r="2">
      <x v="52"/>
    </i>
    <i r="2">
      <x v="71"/>
    </i>
    <i r="1">
      <x v="14"/>
      <x v="47"/>
    </i>
    <i r="2">
      <x v="60"/>
    </i>
    <i r="1">
      <x v="16"/>
      <x v="15"/>
    </i>
    <i r="2">
      <x v="55"/>
    </i>
    <i r="2">
      <x v="57"/>
    </i>
    <i r="2">
      <x v="68"/>
    </i>
    <i t="blank">
      <x v="164"/>
    </i>
    <i>
      <x v="165"/>
    </i>
    <i r="1">
      <x/>
      <x v="59"/>
    </i>
    <i r="1">
      <x v="1"/>
      <x v="48"/>
    </i>
    <i r="2">
      <x v="61"/>
    </i>
    <i r="1">
      <x v="3"/>
      <x v="58"/>
    </i>
    <i r="1">
      <x v="4"/>
      <x v="1"/>
    </i>
    <i r="2">
      <x v="46"/>
    </i>
    <i r="1">
      <x v="6"/>
      <x v="66"/>
    </i>
    <i r="1">
      <x v="7"/>
      <x v="64"/>
    </i>
    <i r="1">
      <x v="8"/>
      <x v="25"/>
    </i>
    <i r="2">
      <x v="52"/>
    </i>
    <i r="2">
      <x v="60"/>
    </i>
    <i r="1">
      <x v="11"/>
      <x v="3"/>
    </i>
    <i r="2">
      <x v="57"/>
    </i>
    <i r="2">
      <x v="65"/>
    </i>
    <i r="2">
      <x v="68"/>
    </i>
    <i r="1">
      <x v="15"/>
      <x v="4"/>
    </i>
    <i r="2">
      <x v="15"/>
    </i>
    <i r="2">
      <x v="32"/>
    </i>
    <i r="2">
      <x v="40"/>
    </i>
    <i r="2">
      <x v="45"/>
    </i>
    <i r="2">
      <x v="47"/>
    </i>
    <i t="blank">
      <x v="165"/>
    </i>
    <i>
      <x v="166"/>
    </i>
    <i r="1">
      <x/>
      <x v="59"/>
    </i>
    <i r="1">
      <x v="1"/>
      <x v="48"/>
    </i>
    <i r="1">
      <x v="2"/>
      <x v="61"/>
    </i>
    <i r="1">
      <x v="3"/>
      <x v="1"/>
    </i>
    <i r="1">
      <x v="4"/>
      <x v="52"/>
    </i>
    <i r="1">
      <x v="5"/>
      <x v="46"/>
    </i>
    <i r="1">
      <x v="6"/>
      <x v="2"/>
    </i>
    <i r="1">
      <x v="7"/>
      <x v="66"/>
    </i>
    <i r="1">
      <x v="8"/>
      <x v="58"/>
    </i>
    <i r="1">
      <x v="9"/>
      <x v="64"/>
    </i>
    <i r="1">
      <x v="10"/>
      <x v="3"/>
    </i>
    <i r="2">
      <x v="65"/>
    </i>
    <i r="1">
      <x v="12"/>
      <x v="4"/>
    </i>
    <i r="2">
      <x v="45"/>
    </i>
    <i r="2">
      <x v="47"/>
    </i>
    <i r="2">
      <x v="53"/>
    </i>
    <i r="2">
      <x v="57"/>
    </i>
    <i r="2">
      <x v="60"/>
    </i>
    <i r="1">
      <x v="18"/>
      <x v="17"/>
    </i>
    <i r="2">
      <x v="68"/>
    </i>
    <i t="blank">
      <x v="166"/>
    </i>
    <i>
      <x v="167"/>
    </i>
    <i r="1">
      <x/>
      <x v="61"/>
    </i>
    <i r="1">
      <x v="1"/>
      <x v="59"/>
    </i>
    <i r="1">
      <x v="2"/>
      <x v="1"/>
    </i>
    <i r="1">
      <x v="3"/>
      <x v="48"/>
    </i>
    <i r="1">
      <x v="4"/>
      <x v="52"/>
    </i>
    <i r="1">
      <x v="5"/>
      <x v="2"/>
    </i>
    <i r="2">
      <x v="40"/>
    </i>
    <i r="2">
      <x v="46"/>
    </i>
    <i r="1">
      <x v="8"/>
      <x v="47"/>
    </i>
    <i r="2">
      <x v="64"/>
    </i>
    <i r="1">
      <x v="10"/>
      <x v="41"/>
    </i>
    <i r="2">
      <x v="42"/>
    </i>
    <i r="1">
      <x v="12"/>
      <x v="35"/>
    </i>
    <i r="2">
      <x v="65"/>
    </i>
    <i r="2">
      <x v="68"/>
    </i>
    <i r="1">
      <x v="15"/>
      <x v="3"/>
    </i>
    <i r="1">
      <x v="16"/>
      <x v="53"/>
    </i>
    <i r="2">
      <x v="55"/>
    </i>
    <i r="2">
      <x v="69"/>
    </i>
    <i r="1">
      <x v="19"/>
      <x v="50"/>
    </i>
    <i r="2">
      <x v="66"/>
    </i>
    <i t="blank">
      <x v="167"/>
    </i>
    <i>
      <x v="168"/>
    </i>
    <i r="1">
      <x/>
      <x v="59"/>
    </i>
    <i r="2">
      <x v="61"/>
    </i>
    <i r="1">
      <x v="2"/>
      <x v="46"/>
    </i>
    <i r="1">
      <x v="3"/>
      <x v="52"/>
    </i>
    <i r="2">
      <x v="64"/>
    </i>
    <i r="1">
      <x v="5"/>
      <x v="4"/>
    </i>
    <i r="2">
      <x v="48"/>
    </i>
    <i r="1">
      <x v="7"/>
      <x v="1"/>
    </i>
    <i r="2">
      <x v="2"/>
    </i>
    <i r="1">
      <x v="9"/>
      <x v="35"/>
    </i>
    <i r="2">
      <x v="41"/>
    </i>
    <i r="2">
      <x v="45"/>
    </i>
    <i r="2">
      <x v="57"/>
    </i>
    <i r="2">
      <x v="58"/>
    </i>
    <i r="2">
      <x v="65"/>
    </i>
    <i r="2">
      <x v="66"/>
    </i>
    <i r="1">
      <x v="16"/>
      <x v="5"/>
    </i>
    <i r="2">
      <x v="27"/>
    </i>
    <i r="2">
      <x v="55"/>
    </i>
    <i r="2">
      <x v="72"/>
    </i>
    <i t="blank">
      <x v="168"/>
    </i>
    <i>
      <x v="169"/>
    </i>
    <i r="1">
      <x/>
      <x v="59"/>
    </i>
    <i r="1">
      <x v="1"/>
      <x v="48"/>
    </i>
    <i r="1">
      <x v="2"/>
      <x v="46"/>
    </i>
    <i r="2">
      <x v="64"/>
    </i>
    <i r="1">
      <x v="4"/>
      <x v="57"/>
    </i>
    <i r="2">
      <x v="61"/>
    </i>
    <i r="1">
      <x v="6"/>
      <x v="40"/>
    </i>
    <i r="1">
      <x v="7"/>
      <x v="4"/>
    </i>
    <i r="2">
      <x v="45"/>
    </i>
    <i r="2">
      <x v="65"/>
    </i>
    <i r="2">
      <x v="66"/>
    </i>
    <i r="1">
      <x v="11"/>
      <x v="1"/>
    </i>
    <i r="2">
      <x v="3"/>
    </i>
    <i r="2">
      <x v="17"/>
    </i>
    <i r="2">
      <x v="25"/>
    </i>
    <i r="2">
      <x v="27"/>
    </i>
    <i r="2">
      <x v="32"/>
    </i>
    <i r="2">
      <x v="43"/>
    </i>
    <i r="2">
      <x v="49"/>
    </i>
    <i r="2">
      <x v="51"/>
    </i>
    <i r="2">
      <x v="52"/>
    </i>
    <i r="2">
      <x v="54"/>
    </i>
    <i r="2">
      <x v="55"/>
    </i>
    <i r="2">
      <x v="58"/>
    </i>
    <i r="2">
      <x v="63"/>
    </i>
    <i t="blank">
      <x v="169"/>
    </i>
    <i>
      <x v="170"/>
    </i>
    <i r="1">
      <x/>
      <x v="59"/>
    </i>
    <i r="1">
      <x v="1"/>
      <x v="48"/>
    </i>
    <i r="2">
      <x v="61"/>
    </i>
    <i r="1">
      <x v="3"/>
      <x v="1"/>
    </i>
    <i r="1">
      <x v="4"/>
      <x v="46"/>
    </i>
    <i r="1">
      <x v="5"/>
      <x v="2"/>
    </i>
    <i r="1">
      <x v="6"/>
      <x v="3"/>
    </i>
    <i r="2">
      <x v="4"/>
    </i>
    <i r="2">
      <x v="47"/>
    </i>
    <i r="2">
      <x v="52"/>
    </i>
    <i r="1">
      <x v="10"/>
      <x v="64"/>
    </i>
    <i r="1">
      <x v="11"/>
      <x v="45"/>
    </i>
    <i r="2">
      <x v="65"/>
    </i>
    <i r="1">
      <x v="13"/>
      <x v="15"/>
    </i>
    <i r="2">
      <x v="57"/>
    </i>
    <i r="2">
      <x v="58"/>
    </i>
    <i r="2">
      <x v="60"/>
    </i>
    <i r="2">
      <x v="68"/>
    </i>
    <i r="1">
      <x v="18"/>
      <x v="17"/>
    </i>
    <i r="2">
      <x v="40"/>
    </i>
    <i r="2">
      <x v="42"/>
    </i>
    <i r="2">
      <x v="43"/>
    </i>
    <i r="2">
      <x v="51"/>
    </i>
    <i r="2">
      <x v="53"/>
    </i>
    <i r="2">
      <x v="66"/>
    </i>
    <i t="blank">
      <x v="170"/>
    </i>
    <i>
      <x v="171"/>
    </i>
    <i r="1">
      <x/>
      <x v="59"/>
    </i>
    <i r="1">
      <x v="1"/>
      <x v="61"/>
    </i>
    <i r="1">
      <x v="2"/>
      <x v="1"/>
    </i>
    <i r="1">
      <x v="3"/>
      <x v="48"/>
    </i>
    <i r="1">
      <x v="4"/>
      <x v="46"/>
    </i>
    <i r="1">
      <x v="5"/>
      <x v="52"/>
    </i>
    <i r="1">
      <x v="6"/>
      <x v="2"/>
    </i>
    <i r="1">
      <x v="7"/>
      <x v="47"/>
    </i>
    <i r="1">
      <x v="8"/>
      <x v="4"/>
    </i>
    <i r="2">
      <x v="45"/>
    </i>
    <i r="2">
      <x v="64"/>
    </i>
    <i r="1">
      <x v="11"/>
      <x v="3"/>
    </i>
    <i r="2">
      <x v="57"/>
    </i>
    <i r="2">
      <x v="65"/>
    </i>
    <i r="1">
      <x v="14"/>
      <x v="5"/>
    </i>
    <i r="2">
      <x v="15"/>
    </i>
    <i r="2">
      <x v="35"/>
    </i>
    <i r="2">
      <x v="58"/>
    </i>
    <i r="1">
      <x v="18"/>
      <x v="38"/>
    </i>
    <i r="2">
      <x v="41"/>
    </i>
    <i r="2">
      <x v="60"/>
    </i>
    <i r="2">
      <x v="69"/>
    </i>
    <i t="blank">
      <x v="171"/>
    </i>
    <i>
      <x v="172"/>
    </i>
    <i r="1">
      <x/>
      <x v="61"/>
    </i>
    <i r="1">
      <x v="1"/>
      <x v="59"/>
    </i>
    <i r="1">
      <x v="2"/>
      <x v="1"/>
    </i>
    <i r="1">
      <x v="3"/>
      <x v="48"/>
    </i>
    <i r="1">
      <x v="4"/>
      <x v="64"/>
    </i>
    <i r="1">
      <x v="5"/>
      <x v="65"/>
    </i>
    <i r="1">
      <x v="6"/>
      <x v="46"/>
    </i>
    <i r="1">
      <x v="7"/>
      <x v="3"/>
    </i>
    <i r="2">
      <x v="47"/>
    </i>
    <i r="2">
      <x v="52"/>
    </i>
    <i r="1">
      <x v="10"/>
      <x v="2"/>
    </i>
    <i r="1">
      <x v="11"/>
      <x v="66"/>
    </i>
    <i r="1">
      <x v="12"/>
      <x v="57"/>
    </i>
    <i r="1">
      <x v="13"/>
      <x v="68"/>
    </i>
    <i r="1">
      <x v="14"/>
      <x v="45"/>
    </i>
    <i r="1">
      <x v="15"/>
      <x v="41"/>
    </i>
    <i r="1">
      <x v="16"/>
      <x v="15"/>
    </i>
    <i r="2">
      <x v="43"/>
    </i>
    <i r="1">
      <x v="18"/>
      <x v="62"/>
    </i>
    <i r="1">
      <x v="19"/>
      <x v="69"/>
    </i>
    <i t="blank">
      <x v="172"/>
    </i>
    <i>
      <x v="173"/>
    </i>
    <i r="1">
      <x/>
      <x v="61"/>
    </i>
    <i r="1">
      <x v="1"/>
      <x v="59"/>
    </i>
    <i r="1">
      <x v="2"/>
      <x v="46"/>
    </i>
    <i r="1">
      <x v="3"/>
      <x v="48"/>
    </i>
    <i r="2">
      <x v="64"/>
    </i>
    <i r="1">
      <x v="5"/>
      <x v="2"/>
    </i>
    <i r="2">
      <x v="52"/>
    </i>
    <i r="1">
      <x v="7"/>
      <x v="1"/>
    </i>
    <i r="1">
      <x v="8"/>
      <x v="58"/>
    </i>
    <i r="2">
      <x v="65"/>
    </i>
    <i r="1">
      <x v="10"/>
      <x v="47"/>
    </i>
    <i r="1">
      <x v="11"/>
      <x v="3"/>
    </i>
    <i r="2">
      <x v="45"/>
    </i>
    <i r="1">
      <x v="13"/>
      <x v="66"/>
    </i>
    <i r="1">
      <x v="14"/>
      <x v="4"/>
    </i>
    <i r="2">
      <x v="55"/>
    </i>
    <i r="2">
      <x v="57"/>
    </i>
    <i r="2">
      <x v="60"/>
    </i>
    <i r="2">
      <x v="69"/>
    </i>
    <i r="1">
      <x v="19"/>
      <x v="32"/>
    </i>
    <i r="2">
      <x v="35"/>
    </i>
    <i r="2">
      <x v="40"/>
    </i>
    <i r="2">
      <x v="67"/>
    </i>
    <i r="2">
      <x v="68"/>
    </i>
    <i t="blank">
      <x v="173"/>
    </i>
    <i>
      <x v="174"/>
    </i>
    <i r="1">
      <x/>
      <x v="46"/>
    </i>
    <i r="2">
      <x v="59"/>
    </i>
    <i r="2">
      <x v="61"/>
    </i>
    <i r="1">
      <x v="3"/>
      <x v="1"/>
    </i>
    <i r="1">
      <x v="4"/>
      <x v="47"/>
    </i>
    <i r="2">
      <x v="48"/>
    </i>
    <i r="1">
      <x v="6"/>
      <x v="57"/>
    </i>
    <i r="2">
      <x v="66"/>
    </i>
    <i r="2">
      <x v="69"/>
    </i>
    <i r="1">
      <x v="9"/>
      <x v="12"/>
    </i>
    <i r="2">
      <x v="23"/>
    </i>
    <i r="2">
      <x v="25"/>
    </i>
    <i r="2">
      <x v="27"/>
    </i>
    <i r="2">
      <x v="41"/>
    </i>
    <i r="2">
      <x v="45"/>
    </i>
    <i r="2">
      <x v="60"/>
    </i>
    <i r="2">
      <x v="64"/>
    </i>
    <i r="2">
      <x v="68"/>
    </i>
    <i r="1">
      <x v="18"/>
      <x/>
    </i>
    <i r="2">
      <x v="2"/>
    </i>
    <i r="2">
      <x v="3"/>
    </i>
    <i r="2">
      <x v="4"/>
    </i>
    <i r="2">
      <x v="7"/>
    </i>
    <i r="2">
      <x v="11"/>
    </i>
    <i r="2">
      <x v="13"/>
    </i>
    <i r="2">
      <x v="15"/>
    </i>
    <i r="2">
      <x v="19"/>
    </i>
    <i r="2">
      <x v="35"/>
    </i>
    <i r="2">
      <x v="38"/>
    </i>
    <i r="2">
      <x v="40"/>
    </i>
    <i r="2">
      <x v="49"/>
    </i>
    <i r="2">
      <x v="51"/>
    </i>
    <i r="2">
      <x v="62"/>
    </i>
    <i r="2">
      <x v="63"/>
    </i>
    <i r="2">
      <x v="65"/>
    </i>
    <i r="2">
      <x v="67"/>
    </i>
    <i t="blank">
      <x v="174"/>
    </i>
    <i>
      <x v="175"/>
    </i>
    <i r="1">
      <x/>
      <x v="61"/>
    </i>
    <i r="1">
      <x v="1"/>
      <x v="48"/>
    </i>
    <i r="1">
      <x v="2"/>
      <x v="59"/>
    </i>
    <i r="1">
      <x v="3"/>
      <x v="1"/>
    </i>
    <i r="2">
      <x v="46"/>
    </i>
    <i r="1">
      <x v="5"/>
      <x v="64"/>
    </i>
    <i r="1">
      <x v="6"/>
      <x v="2"/>
    </i>
    <i r="1">
      <x v="7"/>
      <x v="52"/>
    </i>
    <i r="1">
      <x v="8"/>
      <x v="45"/>
    </i>
    <i r="2">
      <x v="47"/>
    </i>
    <i r="2">
      <x v="65"/>
    </i>
    <i r="1">
      <x v="11"/>
      <x v="35"/>
    </i>
    <i r="1">
      <x v="12"/>
      <x v="41"/>
    </i>
    <i r="2">
      <x v="55"/>
    </i>
    <i r="1">
      <x v="14"/>
      <x v="3"/>
    </i>
    <i r="2">
      <x v="4"/>
    </i>
    <i r="2">
      <x v="43"/>
    </i>
    <i r="2">
      <x v="57"/>
    </i>
    <i r="2">
      <x v="58"/>
    </i>
    <i r="2">
      <x v="66"/>
    </i>
    <i r="2">
      <x v="71"/>
    </i>
    <i t="blank">
      <x v="175"/>
    </i>
    <i>
      <x v="176"/>
    </i>
    <i r="1">
      <x/>
      <x v="59"/>
    </i>
    <i r="1">
      <x v="1"/>
      <x v="61"/>
    </i>
    <i r="1">
      <x v="2"/>
      <x v="48"/>
    </i>
    <i r="1">
      <x v="3"/>
      <x v="52"/>
    </i>
    <i r="1">
      <x v="4"/>
      <x v="47"/>
    </i>
    <i r="1">
      <x v="5"/>
      <x v="1"/>
    </i>
    <i r="2">
      <x v="46"/>
    </i>
    <i r="1">
      <x v="7"/>
      <x v="65"/>
    </i>
    <i r="1">
      <x v="8"/>
      <x v="2"/>
    </i>
    <i r="2">
      <x v="45"/>
    </i>
    <i r="1">
      <x v="10"/>
      <x v="57"/>
    </i>
    <i r="2">
      <x v="58"/>
    </i>
    <i r="1">
      <x v="12"/>
      <x v="3"/>
    </i>
    <i r="2">
      <x v="64"/>
    </i>
    <i r="1">
      <x v="14"/>
      <x v="7"/>
    </i>
    <i r="1">
      <x v="15"/>
      <x v="4"/>
    </i>
    <i r="2">
      <x v="49"/>
    </i>
    <i r="2">
      <x v="53"/>
    </i>
    <i r="2">
      <x v="68"/>
    </i>
    <i r="1">
      <x v="19"/>
      <x v="10"/>
    </i>
    <i r="2">
      <x v="24"/>
    </i>
    <i r="2">
      <x v="25"/>
    </i>
    <i r="2">
      <x v="50"/>
    </i>
    <i r="2">
      <x v="55"/>
    </i>
    <i r="2">
      <x v="62"/>
    </i>
    <i r="2">
      <x v="63"/>
    </i>
    <i r="2">
      <x v="66"/>
    </i>
    <i r="2">
      <x v="69"/>
    </i>
    <i t="blank">
      <x v="176"/>
    </i>
    <i>
      <x v="177"/>
    </i>
    <i r="1">
      <x/>
      <x v="59"/>
    </i>
    <i r="1">
      <x v="1"/>
      <x v="1"/>
    </i>
    <i r="2">
      <x v="48"/>
    </i>
    <i r="2">
      <x v="61"/>
    </i>
    <i r="1">
      <x v="4"/>
      <x v="46"/>
    </i>
    <i r="2">
      <x v="60"/>
    </i>
    <i r="1">
      <x v="6"/>
      <x v="52"/>
    </i>
    <i r="1">
      <x v="7"/>
      <x v="4"/>
    </i>
    <i r="2">
      <x v="42"/>
    </i>
    <i r="2">
      <x v="51"/>
    </i>
    <i r="2">
      <x v="57"/>
    </i>
    <i r="2">
      <x v="64"/>
    </i>
    <i r="2">
      <x v="65"/>
    </i>
    <i r="2">
      <x v="66"/>
    </i>
    <i r="2">
      <x v="69"/>
    </i>
    <i r="1">
      <x v="15"/>
      <x v="2"/>
    </i>
    <i r="2">
      <x v="3"/>
    </i>
    <i r="2">
      <x v="6"/>
    </i>
    <i r="2">
      <x v="9"/>
    </i>
    <i r="2">
      <x v="24"/>
    </i>
    <i r="2">
      <x v="25"/>
    </i>
    <i r="2">
      <x v="27"/>
    </i>
    <i r="2">
      <x v="38"/>
    </i>
    <i r="2">
      <x v="40"/>
    </i>
    <i r="2">
      <x v="45"/>
    </i>
    <i r="2">
      <x v="53"/>
    </i>
    <i r="2">
      <x v="55"/>
    </i>
    <i r="2">
      <x v="58"/>
    </i>
    <i r="2">
      <x v="62"/>
    </i>
    <i r="2">
      <x v="71"/>
    </i>
    <i t="blank">
      <x v="177"/>
    </i>
    <i>
      <x v="178"/>
    </i>
    <i r="1">
      <x/>
      <x v="59"/>
    </i>
    <i r="1">
      <x v="1"/>
      <x v="48"/>
    </i>
    <i r="1">
      <x v="2"/>
      <x v="46"/>
    </i>
    <i r="1">
      <x v="3"/>
      <x v="1"/>
    </i>
    <i r="2">
      <x v="61"/>
    </i>
    <i r="1">
      <x v="5"/>
      <x v="52"/>
    </i>
    <i r="1">
      <x v="6"/>
      <x v="64"/>
    </i>
    <i r="1">
      <x v="7"/>
      <x v="2"/>
    </i>
    <i r="2">
      <x v="3"/>
    </i>
    <i r="2">
      <x v="58"/>
    </i>
    <i r="2">
      <x v="66"/>
    </i>
    <i r="1">
      <x v="11"/>
      <x v="45"/>
    </i>
    <i r="1">
      <x v="12"/>
      <x v="15"/>
    </i>
    <i r="2">
      <x v="35"/>
    </i>
    <i r="2">
      <x v="47"/>
    </i>
    <i r="2">
      <x v="57"/>
    </i>
    <i r="2">
      <x v="65"/>
    </i>
    <i r="2">
      <x v="68"/>
    </i>
    <i r="1">
      <x v="18"/>
      <x v="7"/>
    </i>
    <i r="2">
      <x v="49"/>
    </i>
    <i r="2">
      <x v="53"/>
    </i>
    <i r="2">
      <x v="60"/>
    </i>
    <i r="2">
      <x v="69"/>
    </i>
    <i t="blank">
      <x v="178"/>
    </i>
    <i>
      <x v="179"/>
    </i>
    <i r="1">
      <x/>
      <x v="61"/>
    </i>
    <i r="1">
      <x v="1"/>
      <x v="2"/>
    </i>
    <i r="1">
      <x v="2"/>
      <x v="1"/>
    </i>
    <i r="2">
      <x v="52"/>
    </i>
    <i r="2">
      <x v="59"/>
    </i>
    <i r="1">
      <x v="5"/>
      <x v="45"/>
    </i>
    <i r="1">
      <x v="6"/>
      <x v="48"/>
    </i>
    <i r="1">
      <x v="7"/>
      <x v="3"/>
    </i>
    <i r="1">
      <x v="8"/>
      <x v="64"/>
    </i>
    <i r="1">
      <x v="9"/>
      <x v="65"/>
    </i>
    <i r="1">
      <x v="10"/>
      <x v="68"/>
    </i>
    <i r="1">
      <x v="11"/>
      <x v="41"/>
    </i>
    <i r="2">
      <x v="47"/>
    </i>
    <i r="1">
      <x v="13"/>
      <x v="49"/>
    </i>
    <i r="1">
      <x v="14"/>
      <x v="17"/>
    </i>
    <i r="2">
      <x v="66"/>
    </i>
    <i r="1">
      <x v="16"/>
      <x v="46"/>
    </i>
    <i r="2">
      <x v="57"/>
    </i>
    <i r="1">
      <x v="18"/>
      <x v="4"/>
    </i>
    <i r="2">
      <x v="43"/>
    </i>
    <i t="blank">
      <x v="179"/>
    </i>
    <i>
      <x v="180"/>
    </i>
    <i r="1">
      <x/>
      <x v="59"/>
    </i>
    <i r="1">
      <x v="1"/>
      <x v="61"/>
    </i>
    <i r="1">
      <x v="2"/>
      <x v="48"/>
    </i>
    <i r="1">
      <x v="3"/>
      <x v="46"/>
    </i>
    <i r="1">
      <x v="4"/>
      <x v="52"/>
    </i>
    <i r="1">
      <x v="5"/>
      <x v="1"/>
    </i>
    <i r="1">
      <x v="6"/>
      <x v="2"/>
    </i>
    <i r="2">
      <x v="47"/>
    </i>
    <i r="1">
      <x v="8"/>
      <x v="4"/>
    </i>
    <i r="1">
      <x v="9"/>
      <x v="40"/>
    </i>
    <i r="2">
      <x v="64"/>
    </i>
    <i r="1">
      <x v="11"/>
      <x v="23"/>
    </i>
    <i r="1">
      <x v="12"/>
      <x v="3"/>
    </i>
    <i r="2">
      <x v="45"/>
    </i>
    <i r="2">
      <x v="65"/>
    </i>
    <i r="1">
      <x v="15"/>
      <x v="41"/>
    </i>
    <i r="2">
      <x v="66"/>
    </i>
    <i r="2">
      <x v="68"/>
    </i>
    <i r="2">
      <x v="69"/>
    </i>
    <i r="1">
      <x v="19"/>
      <x v="62"/>
    </i>
    <i t="blank">
      <x v="180"/>
    </i>
    <i>
      <x v="181"/>
    </i>
    <i r="1">
      <x/>
      <x v="59"/>
    </i>
    <i r="1">
      <x v="1"/>
      <x v="61"/>
    </i>
    <i r="1">
      <x v="2"/>
      <x v="48"/>
    </i>
    <i r="1">
      <x v="3"/>
      <x v="46"/>
    </i>
    <i r="1">
      <x v="4"/>
      <x v="58"/>
    </i>
    <i r="1">
      <x v="5"/>
      <x v="2"/>
    </i>
    <i r="1">
      <x v="6"/>
      <x v="4"/>
    </i>
    <i r="2">
      <x v="23"/>
    </i>
    <i r="2">
      <x v="66"/>
    </i>
    <i r="1">
      <x v="9"/>
      <x v="63"/>
    </i>
    <i r="1">
      <x v="10"/>
      <x v="1"/>
    </i>
    <i r="2">
      <x v="7"/>
    </i>
    <i r="2">
      <x v="40"/>
    </i>
    <i r="1">
      <x v="13"/>
      <x v="57"/>
    </i>
    <i r="2">
      <x v="67"/>
    </i>
    <i r="1">
      <x v="15"/>
      <x v="42"/>
    </i>
    <i r="2">
      <x v="45"/>
    </i>
    <i r="2">
      <x v="47"/>
    </i>
    <i r="2">
      <x v="50"/>
    </i>
    <i r="2">
      <x v="52"/>
    </i>
    <i r="2">
      <x v="64"/>
    </i>
    <i r="2">
      <x v="65"/>
    </i>
    <i t="blank">
      <x v="181"/>
    </i>
    <i>
      <x v="182"/>
    </i>
    <i r="1">
      <x/>
      <x v="59"/>
    </i>
    <i r="1">
      <x v="1"/>
      <x v="48"/>
    </i>
    <i r="1">
      <x v="2"/>
      <x v="61"/>
    </i>
    <i r="1">
      <x v="3"/>
      <x v="46"/>
    </i>
    <i r="1">
      <x v="4"/>
      <x v="1"/>
    </i>
    <i r="2">
      <x v="52"/>
    </i>
    <i r="1">
      <x v="6"/>
      <x v="64"/>
    </i>
    <i r="1">
      <x v="7"/>
      <x v="3"/>
    </i>
    <i r="2">
      <x v="57"/>
    </i>
    <i r="1">
      <x v="9"/>
      <x v="2"/>
    </i>
    <i r="2">
      <x v="47"/>
    </i>
    <i r="2">
      <x v="66"/>
    </i>
    <i r="1">
      <x v="12"/>
      <x v="4"/>
    </i>
    <i r="2">
      <x v="69"/>
    </i>
    <i r="1">
      <x v="14"/>
      <x v="40"/>
    </i>
    <i r="2">
      <x v="43"/>
    </i>
    <i r="2">
      <x v="58"/>
    </i>
    <i r="2">
      <x v="65"/>
    </i>
    <i r="2">
      <x v="68"/>
    </i>
    <i r="1">
      <x v="19"/>
      <x v="42"/>
    </i>
    <i r="2">
      <x v="53"/>
    </i>
    <i r="2">
      <x v="62"/>
    </i>
    <i t="blank">
      <x v="182"/>
    </i>
    <i>
      <x v="183"/>
    </i>
    <i r="1">
      <x/>
      <x v="59"/>
    </i>
    <i r="1">
      <x v="1"/>
      <x v="48"/>
    </i>
    <i r="1">
      <x v="2"/>
      <x v="61"/>
    </i>
    <i r="1">
      <x v="3"/>
      <x v="58"/>
    </i>
    <i r="1">
      <x v="4"/>
      <x v="46"/>
    </i>
    <i r="1">
      <x v="5"/>
      <x v="1"/>
    </i>
    <i r="2">
      <x v="2"/>
    </i>
    <i r="2">
      <x v="63"/>
    </i>
    <i r="1">
      <x v="8"/>
      <x v="47"/>
    </i>
    <i r="2">
      <x v="52"/>
    </i>
    <i r="2">
      <x v="66"/>
    </i>
    <i r="1">
      <x v="11"/>
      <x v="38"/>
    </i>
    <i r="2">
      <x v="45"/>
    </i>
    <i r="2">
      <x v="64"/>
    </i>
    <i r="2">
      <x v="71"/>
    </i>
    <i r="1">
      <x v="15"/>
      <x v="3"/>
    </i>
    <i r="1">
      <x v="16"/>
      <x v="41"/>
    </i>
    <i r="2">
      <x v="57"/>
    </i>
    <i r="2">
      <x v="62"/>
    </i>
    <i r="1">
      <x v="19"/>
      <x v="5"/>
    </i>
    <i r="2">
      <x v="35"/>
    </i>
    <i r="2">
      <x v="53"/>
    </i>
    <i r="2">
      <x v="65"/>
    </i>
    <i t="blank">
      <x v="183"/>
    </i>
    <i>
      <x v="184"/>
    </i>
    <i r="1">
      <x/>
      <x v="59"/>
    </i>
    <i r="1">
      <x v="1"/>
      <x v="48"/>
    </i>
    <i r="2">
      <x v="58"/>
    </i>
    <i r="1">
      <x v="3"/>
      <x v="1"/>
    </i>
    <i r="2">
      <x v="46"/>
    </i>
    <i r="2">
      <x v="61"/>
    </i>
    <i r="2">
      <x v="62"/>
    </i>
    <i r="2">
      <x v="64"/>
    </i>
    <i r="1">
      <x v="8"/>
      <x v="5"/>
    </i>
    <i r="2">
      <x v="40"/>
    </i>
    <i r="2">
      <x v="55"/>
    </i>
    <i r="2">
      <x v="63"/>
    </i>
    <i r="2">
      <x v="65"/>
    </i>
    <i r="2">
      <x v="66"/>
    </i>
    <i r="1">
      <x v="14"/>
      <x/>
    </i>
    <i r="2">
      <x v="4"/>
    </i>
    <i r="2">
      <x v="7"/>
    </i>
    <i r="2">
      <x v="27"/>
    </i>
    <i r="2">
      <x v="32"/>
    </i>
    <i r="2">
      <x v="38"/>
    </i>
    <i r="2">
      <x v="41"/>
    </i>
    <i r="2">
      <x v="45"/>
    </i>
    <i r="2">
      <x v="47"/>
    </i>
    <i r="2">
      <x v="52"/>
    </i>
    <i r="2">
      <x v="54"/>
    </i>
    <i r="2">
      <x v="69"/>
    </i>
    <i t="blank">
      <x v="184"/>
    </i>
    <i>
      <x v="185"/>
    </i>
    <i r="1">
      <x/>
      <x v="61"/>
    </i>
    <i r="1">
      <x v="1"/>
      <x v="59"/>
    </i>
    <i r="1">
      <x v="2"/>
      <x v="48"/>
    </i>
    <i r="1">
      <x v="3"/>
      <x v="4"/>
    </i>
    <i r="1">
      <x v="4"/>
      <x v="1"/>
    </i>
    <i r="1">
      <x v="5"/>
      <x v="46"/>
    </i>
    <i r="1">
      <x v="6"/>
      <x v="2"/>
    </i>
    <i r="2">
      <x v="63"/>
    </i>
    <i r="1">
      <x v="8"/>
      <x v="41"/>
    </i>
    <i r="2">
      <x v="64"/>
    </i>
    <i r="1">
      <x v="10"/>
      <x v="35"/>
    </i>
    <i r="2">
      <x v="47"/>
    </i>
    <i r="2">
      <x v="49"/>
    </i>
    <i r="2">
      <x v="62"/>
    </i>
    <i r="1">
      <x v="14"/>
      <x v="3"/>
    </i>
    <i r="2">
      <x v="65"/>
    </i>
    <i r="1">
      <x v="16"/>
      <x v="19"/>
    </i>
    <i r="2">
      <x v="43"/>
    </i>
    <i r="2">
      <x v="52"/>
    </i>
    <i r="2">
      <x v="68"/>
    </i>
    <i t="blank">
      <x v="185"/>
    </i>
    <i>
      <x v="186"/>
    </i>
    <i r="1">
      <x/>
      <x v="59"/>
    </i>
    <i r="1">
      <x v="1"/>
      <x v="52"/>
    </i>
    <i r="1">
      <x v="2"/>
      <x v="48"/>
    </i>
    <i r="1">
      <x v="3"/>
      <x v="61"/>
    </i>
    <i r="1">
      <x v="4"/>
      <x v="1"/>
    </i>
    <i r="1">
      <x v="5"/>
      <x v="46"/>
    </i>
    <i r="1">
      <x v="6"/>
      <x v="2"/>
    </i>
    <i r="1">
      <x v="7"/>
      <x v="64"/>
    </i>
    <i r="1">
      <x v="8"/>
      <x v="66"/>
    </i>
    <i r="1">
      <x v="9"/>
      <x v="3"/>
    </i>
    <i r="2">
      <x v="5"/>
    </i>
    <i r="2">
      <x v="58"/>
    </i>
    <i r="2">
      <x v="68"/>
    </i>
    <i r="1">
      <x v="13"/>
      <x v="43"/>
    </i>
    <i r="2">
      <x v="45"/>
    </i>
    <i r="2">
      <x v="62"/>
    </i>
    <i r="1">
      <x v="16"/>
      <x v="4"/>
    </i>
    <i r="2">
      <x v="40"/>
    </i>
    <i r="2">
      <x v="47"/>
    </i>
    <i r="2">
      <x v="57"/>
    </i>
    <i r="2">
      <x v="65"/>
    </i>
    <i r="2">
      <x v="69"/>
    </i>
    <i r="2">
      <x v="71"/>
    </i>
    <i t="blank">
      <x v="186"/>
    </i>
    <i>
      <x v="187"/>
    </i>
    <i r="1">
      <x/>
      <x v="59"/>
    </i>
    <i r="1">
      <x v="1"/>
      <x v="61"/>
    </i>
    <i r="1">
      <x v="2"/>
      <x v="52"/>
    </i>
    <i r="1">
      <x v="3"/>
      <x v="2"/>
    </i>
    <i r="2">
      <x v="48"/>
    </i>
    <i r="1">
      <x v="5"/>
      <x v="1"/>
    </i>
    <i r="1">
      <x v="6"/>
      <x v="47"/>
    </i>
    <i r="1">
      <x v="7"/>
      <x v="46"/>
    </i>
    <i r="1">
      <x v="8"/>
      <x v="3"/>
    </i>
    <i r="1">
      <x v="9"/>
      <x v="64"/>
    </i>
    <i r="2">
      <x v="65"/>
    </i>
    <i r="1">
      <x v="11"/>
      <x v="45"/>
    </i>
    <i r="1">
      <x v="12"/>
      <x v="41"/>
    </i>
    <i r="2">
      <x v="55"/>
    </i>
    <i r="1">
      <x v="14"/>
      <x v="57"/>
    </i>
    <i r="1">
      <x v="15"/>
      <x v="43"/>
    </i>
    <i r="1">
      <x v="16"/>
      <x v="58"/>
    </i>
    <i r="1">
      <x v="17"/>
      <x v="42"/>
    </i>
    <i r="1">
      <x v="18"/>
      <x v="49"/>
    </i>
    <i r="1">
      <x v="19"/>
      <x v="50"/>
    </i>
    <i t="blank">
      <x v="187"/>
    </i>
    <i>
      <x v="188"/>
    </i>
    <i r="1">
      <x/>
      <x v="59"/>
    </i>
    <i r="1">
      <x v="1"/>
      <x v="1"/>
    </i>
    <i r="2">
      <x v="46"/>
    </i>
    <i r="2">
      <x v="48"/>
    </i>
    <i r="2">
      <x v="58"/>
    </i>
    <i r="1">
      <x v="5"/>
      <x v="52"/>
    </i>
    <i r="2">
      <x v="61"/>
    </i>
    <i r="1">
      <x v="7"/>
      <x v="2"/>
    </i>
    <i r="2">
      <x v="66"/>
    </i>
    <i r="1">
      <x v="9"/>
      <x v="4"/>
    </i>
    <i r="2">
      <x v="64"/>
    </i>
    <i r="1">
      <x v="11"/>
      <x v="3"/>
    </i>
    <i r="2">
      <x v="47"/>
    </i>
    <i r="1">
      <x v="13"/>
      <x v="43"/>
    </i>
    <i r="2">
      <x v="65"/>
    </i>
    <i r="2">
      <x v="69"/>
    </i>
    <i r="1">
      <x v="16"/>
      <x v="5"/>
    </i>
    <i r="2">
      <x v="34"/>
    </i>
    <i r="2">
      <x v="54"/>
    </i>
    <i r="2">
      <x v="55"/>
    </i>
    <i r="2">
      <x v="57"/>
    </i>
    <i r="2">
      <x v="67"/>
    </i>
    <i t="blank">
      <x v="188"/>
    </i>
    <i>
      <x v="189"/>
    </i>
    <i r="1">
      <x/>
      <x v="52"/>
    </i>
    <i r="1">
      <x v="1"/>
      <x v="59"/>
    </i>
    <i r="1">
      <x v="2"/>
      <x v="61"/>
    </i>
    <i r="1">
      <x v="3"/>
      <x v="4"/>
    </i>
    <i r="1">
      <x v="4"/>
      <x v="46"/>
    </i>
    <i r="1">
      <x v="5"/>
      <x v="48"/>
    </i>
    <i r="1">
      <x v="6"/>
      <x v="58"/>
    </i>
    <i r="1">
      <x v="7"/>
      <x v="45"/>
    </i>
    <i r="1">
      <x v="8"/>
      <x v="1"/>
    </i>
    <i r="2">
      <x v="2"/>
    </i>
    <i r="2">
      <x v="5"/>
    </i>
    <i r="2">
      <x v="40"/>
    </i>
    <i r="2">
      <x v="65"/>
    </i>
    <i r="1">
      <x v="13"/>
      <x v="42"/>
    </i>
    <i r="1">
      <x v="14"/>
      <x v="3"/>
    </i>
    <i r="2">
      <x v="23"/>
    </i>
    <i r="2">
      <x v="35"/>
    </i>
    <i r="2">
      <x v="38"/>
    </i>
    <i r="2">
      <x v="47"/>
    </i>
    <i r="2">
      <x v="66"/>
    </i>
    <i r="2">
      <x v="67"/>
    </i>
    <i r="2">
      <x v="68"/>
    </i>
    <i r="2">
      <x v="69"/>
    </i>
    <i t="blank">
      <x v="189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総数／事業所数" fld="7" baseField="0" baseItem="0" numFmtId="176"/>
    <dataField name="総数／構成比" fld="8" baseField="0" baseItem="0" numFmtId="178"/>
    <dataField name="個人／事業所数" fld="9" baseField="0" baseItem="0" numFmtId="176"/>
    <dataField name="個人／構成比" fld="10" baseField="0" baseItem="0" numFmtId="178"/>
    <dataField name="法人／事業所数" fld="11" baseField="0" baseItem="0" numFmtId="176"/>
    <dataField name="法人／構成比" fld="12" baseField="0" baseItem="0" numFmtId="178"/>
    <dataField name="法人以外の団体／事業所数" fld="13" baseField="0" baseItem="0" numFmtId="176"/>
  </dataFields>
  <formats count="17">
    <format dxfId="2693">
      <pivotArea field="2" type="button" dataOnly="0" labelOnly="1" outline="0" axis="axisRow" fieldPosition="0"/>
    </format>
    <format dxfId="2692">
      <pivotArea outline="0" fieldPosition="0">
        <references count="1">
          <reference field="4294967294" count="1">
            <x v="0"/>
          </reference>
        </references>
      </pivotArea>
    </format>
    <format dxfId="2691">
      <pivotArea outline="0" fieldPosition="0">
        <references count="1">
          <reference field="4294967294" count="1">
            <x v="1"/>
          </reference>
        </references>
      </pivotArea>
    </format>
    <format dxfId="2690">
      <pivotArea outline="0" fieldPosition="0">
        <references count="1">
          <reference field="4294967294" count="1">
            <x v="2"/>
          </reference>
        </references>
      </pivotArea>
    </format>
    <format dxfId="2689">
      <pivotArea outline="0" fieldPosition="0">
        <references count="1">
          <reference field="4294967294" count="1">
            <x v="3"/>
          </reference>
        </references>
      </pivotArea>
    </format>
    <format dxfId="2688">
      <pivotArea outline="0" fieldPosition="0">
        <references count="1">
          <reference field="4294967294" count="1">
            <x v="4"/>
          </reference>
        </references>
      </pivotArea>
    </format>
    <format dxfId="2687">
      <pivotArea outline="0" fieldPosition="0">
        <references count="1">
          <reference field="4294967294" count="1">
            <x v="5"/>
          </reference>
        </references>
      </pivotArea>
    </format>
    <format dxfId="2686">
      <pivotArea outline="0" fieldPosition="0">
        <references count="1">
          <reference field="4294967294" count="1">
            <x v="6"/>
          </reference>
        </references>
      </pivotArea>
    </format>
    <format dxfId="2685">
      <pivotArea field="2" type="button" dataOnly="0" labelOnly="1" outline="0" axis="axisRow" fieldPosition="0"/>
    </format>
    <format dxfId="268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83">
      <pivotArea field="2" type="button" dataOnly="0" labelOnly="1" outline="0" axis="axisRow" fieldPosition="0"/>
    </format>
    <format dxfId="268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81">
      <pivotArea field="2" type="button" dataOnly="0" labelOnly="1" outline="0" axis="axisRow" fieldPosition="0"/>
    </format>
    <format dxfId="268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7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7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77">
      <pivotArea field="5" type="button" dataOnly="0" labelOnly="1" outline="0" axis="axisRow" fieldPosition="2"/>
    </format>
  </formats>
  <pivotTableStyleInfo name="PivotStyleLight22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A777B0-4E33-4A71-B911-3FFCD706A84A}" name="pvt_S" cacheId="2130" applyNumberFormats="0" applyBorderFormats="0" applyFontFormats="0" applyPatternFormats="0" applyAlignmentFormats="0" applyWidthHeightFormats="1" dataCaption="値" updatedVersion="8" minRefreshableVersion="3" showDrill="0" enableDrill="0" useAutoFormatting="1" rowGrandTotals="0" colGrandTotals="0" itemPrintTitles="1" createdVersion="5" indent="0" outline="1" outlineData="1" multipleFieldFilters="0" rowHeaderCaption="自治体" fieldListSortAscending="1">
  <location ref="A1:I5752" firstHeaderRow="0" firstDataRow="1" firstDataCol="2"/>
  <pivotFields count="14">
    <pivotField showAll="0" defaultSubtotal="0">
      <items count="1">
        <item x="0"/>
      </items>
    </pivotField>
    <pivotField showAll="0" defaultSubtotal="0">
      <items count="190">
        <item x="184"/>
        <item x="14"/>
        <item x="26"/>
        <item x="68"/>
        <item x="71"/>
        <item x="72"/>
        <item x="73"/>
        <item x="69"/>
        <item x="151"/>
        <item x="147"/>
        <item x="70"/>
        <item x="42"/>
        <item x="67"/>
        <item x="94"/>
        <item x="96"/>
        <item x="93"/>
        <item x="95"/>
        <item x="115"/>
        <item x="92"/>
        <item x="157"/>
        <item x="61"/>
        <item x="37"/>
        <item x="167"/>
        <item x="169"/>
        <item x="168"/>
        <item x="161"/>
        <item x="162"/>
        <item x="164"/>
        <item x="163"/>
        <item x="90"/>
        <item x="89"/>
        <item x="91"/>
        <item x="53"/>
        <item x="54"/>
        <item x="20"/>
        <item x="75"/>
        <item x="74"/>
        <item x="52"/>
        <item x="63"/>
        <item x="85"/>
        <item x="105"/>
        <item x="106"/>
        <item x="84"/>
        <item x="107"/>
        <item x="83"/>
        <item x="179"/>
        <item x="16"/>
        <item x="41"/>
        <item x="77"/>
        <item x="76"/>
        <item x="79"/>
        <item x="180"/>
        <item x="181"/>
        <item x="171"/>
        <item x="170"/>
        <item x="27"/>
        <item x="33"/>
        <item x="154"/>
        <item x="155"/>
        <item x="36"/>
        <item x="1"/>
        <item x="9"/>
        <item x="10"/>
        <item x="11"/>
        <item x="8"/>
        <item x="2"/>
        <item x="4"/>
        <item x="7"/>
        <item x="5"/>
        <item x="6"/>
        <item x="3"/>
        <item x="32"/>
        <item x="56"/>
        <item x="30"/>
        <item x="126"/>
        <item x="125"/>
        <item x="124"/>
        <item x="60"/>
        <item x="15"/>
        <item x="134"/>
        <item x="136"/>
        <item x="135"/>
        <item x="66"/>
        <item x="65"/>
        <item x="123"/>
        <item x="178"/>
        <item x="13"/>
        <item x="48"/>
        <item x="49"/>
        <item x="50"/>
        <item x="51"/>
        <item x="101"/>
        <item x="111"/>
        <item x="110"/>
        <item x="102"/>
        <item x="165"/>
        <item x="166"/>
        <item x="97"/>
        <item x="98"/>
        <item x="103"/>
        <item x="99"/>
        <item x="100"/>
        <item x="104"/>
        <item x="109"/>
        <item x="137"/>
        <item x="139"/>
        <item x="138"/>
        <item x="156"/>
        <item x="38"/>
        <item x="62"/>
        <item x="47"/>
        <item x="46"/>
        <item x="44"/>
        <item x="78"/>
        <item x="28"/>
        <item x="34"/>
        <item x="183"/>
        <item x="182"/>
        <item x="116"/>
        <item x="176"/>
        <item x="177"/>
        <item x="17"/>
        <item x="35"/>
        <item x="24"/>
        <item x="113"/>
        <item x="173"/>
        <item x="114"/>
        <item x="112"/>
        <item x="174"/>
        <item x="175"/>
        <item x="172"/>
        <item x="121"/>
        <item x="122"/>
        <item x="127"/>
        <item x="131"/>
        <item x="40"/>
        <item x="64"/>
        <item x="23"/>
        <item x="119"/>
        <item x="120"/>
        <item x="118"/>
        <item x="55"/>
        <item x="160"/>
        <item x="185"/>
        <item x="149"/>
        <item x="12"/>
        <item x="25"/>
        <item x="187"/>
        <item x="188"/>
        <item x="39"/>
        <item x="0"/>
        <item x="18"/>
        <item x="43"/>
        <item x="45"/>
        <item x="159"/>
        <item x="31"/>
        <item x="146"/>
        <item x="133"/>
        <item x="132"/>
        <item x="21"/>
        <item x="189"/>
        <item x="140"/>
        <item x="143"/>
        <item x="144"/>
        <item x="142"/>
        <item x="141"/>
        <item x="145"/>
        <item x="29"/>
        <item x="186"/>
        <item x="153"/>
        <item x="152"/>
        <item x="150"/>
        <item x="108"/>
        <item x="148"/>
        <item x="88"/>
        <item x="87"/>
        <item x="86"/>
        <item x="19"/>
        <item x="80"/>
        <item x="82"/>
        <item x="81"/>
        <item x="158"/>
        <item x="129"/>
        <item x="130"/>
        <item x="117"/>
        <item x="22"/>
        <item x="128"/>
        <item x="59"/>
        <item x="57"/>
        <item x="58"/>
      </items>
    </pivotField>
    <pivotField axis="axisRow" showAll="0" insertBlankRow="1" defaultSubtotal="0">
      <items count="1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</items>
    </pivotField>
    <pivotField showAll="0" defaultSubtotal="0">
      <items count="238">
        <item x="140"/>
        <item x="196"/>
        <item x="213"/>
        <item x="155"/>
        <item x="10"/>
        <item x="110"/>
        <item x="17"/>
        <item x="40"/>
        <item x="32"/>
        <item x="67"/>
        <item x="87"/>
        <item x="162"/>
        <item x="105"/>
        <item x="56"/>
        <item x="46"/>
        <item x="22"/>
        <item x="31"/>
        <item x="13"/>
        <item x="149"/>
        <item x="14"/>
        <item x="148"/>
        <item x="165"/>
        <item x="127"/>
        <item x="54"/>
        <item x="90"/>
        <item x="88"/>
        <item x="143"/>
        <item x="206"/>
        <item x="106"/>
        <item x="229"/>
        <item x="63"/>
        <item x="154"/>
        <item x="107"/>
        <item x="222"/>
        <item x="237"/>
        <item x="89"/>
        <item x="136"/>
        <item x="223"/>
        <item x="96"/>
        <item x="193"/>
        <item x="203"/>
        <item x="173"/>
        <item x="73"/>
        <item x="93"/>
        <item x="195"/>
        <item x="234"/>
        <item x="111"/>
        <item x="214"/>
        <item x="156"/>
        <item x="219"/>
        <item x="201"/>
        <item x="146"/>
        <item x="166"/>
        <item x="230"/>
        <item x="74"/>
        <item x="232"/>
        <item x="197"/>
        <item x="224"/>
        <item x="97"/>
        <item x="176"/>
        <item x="144"/>
        <item x="198"/>
        <item x="118"/>
        <item x="177"/>
        <item x="169"/>
        <item x="86"/>
        <item x="145"/>
        <item x="98"/>
        <item x="137"/>
        <item x="182"/>
        <item x="174"/>
        <item x="167"/>
        <item x="70"/>
        <item x="186"/>
        <item x="192"/>
        <item x="128"/>
        <item x="150"/>
        <item x="147"/>
        <item x="163"/>
        <item x="151"/>
        <item x="99"/>
        <item x="75"/>
        <item x="76"/>
        <item x="119"/>
        <item x="215"/>
        <item x="221"/>
        <item x="30"/>
        <item x="157"/>
        <item x="189"/>
        <item x="220"/>
        <item x="184"/>
        <item x="236"/>
        <item x="210"/>
        <item x="202"/>
        <item x="175"/>
        <item x="38"/>
        <item x="178"/>
        <item x="208"/>
        <item x="62"/>
        <item x="190"/>
        <item x="199"/>
        <item x="77"/>
        <item x="216"/>
        <item x="120"/>
        <item x="78"/>
        <item x="228"/>
        <item x="36"/>
        <item x="69"/>
        <item x="58"/>
        <item x="164"/>
        <item x="91"/>
        <item x="211"/>
        <item x="158"/>
        <item x="33"/>
        <item x="134"/>
        <item x="152"/>
        <item x="153"/>
        <item x="183"/>
        <item x="100"/>
        <item x="191"/>
        <item x="21"/>
        <item x="170"/>
        <item x="112"/>
        <item x="141"/>
        <item x="28"/>
        <item x="79"/>
        <item x="94"/>
        <item x="68"/>
        <item x="48"/>
        <item x="80"/>
        <item x="92"/>
        <item x="44"/>
        <item x="41"/>
        <item x="12"/>
        <item x="179"/>
        <item x="11"/>
        <item x="101"/>
        <item x="47"/>
        <item x="113"/>
        <item x="114"/>
        <item x="18"/>
        <item x="84"/>
        <item x="42"/>
        <item x="49"/>
        <item x="85"/>
        <item x="50"/>
        <item x="7"/>
        <item x="55"/>
        <item x="161"/>
        <item x="65"/>
        <item x="212"/>
        <item x="200"/>
        <item x="35"/>
        <item x="138"/>
        <item x="20"/>
        <item x="15"/>
        <item x="0"/>
        <item x="81"/>
        <item x="24"/>
        <item x="188"/>
        <item x="125"/>
        <item x="108"/>
        <item x="225"/>
        <item x="115"/>
        <item x="25"/>
        <item x="129"/>
        <item x="95"/>
        <item x="27"/>
        <item x="227"/>
        <item x="207"/>
        <item x="126"/>
        <item x="139"/>
        <item x="142"/>
        <item x="116"/>
        <item x="194"/>
        <item x="16"/>
        <item x="233"/>
        <item x="218"/>
        <item x="121"/>
        <item x="130"/>
        <item x="51"/>
        <item x="133"/>
        <item x="160"/>
        <item x="117"/>
        <item x="45"/>
        <item x="4"/>
        <item x="131"/>
        <item x="61"/>
        <item x="5"/>
        <item x="2"/>
        <item x="9"/>
        <item x="102"/>
        <item x="135"/>
        <item x="37"/>
        <item x="34"/>
        <item x="3"/>
        <item x="1"/>
        <item x="66"/>
        <item x="29"/>
        <item x="217"/>
        <item x="180"/>
        <item x="122"/>
        <item x="103"/>
        <item x="64"/>
        <item x="185"/>
        <item x="226"/>
        <item x="82"/>
        <item x="171"/>
        <item x="204"/>
        <item x="123"/>
        <item x="52"/>
        <item x="39"/>
        <item x="8"/>
        <item x="231"/>
        <item x="23"/>
        <item x="6"/>
        <item x="181"/>
        <item x="159"/>
        <item x="124"/>
        <item x="53"/>
        <item x="43"/>
        <item x="59"/>
        <item x="71"/>
        <item x="72"/>
        <item x="109"/>
        <item x="209"/>
        <item x="19"/>
        <item x="83"/>
        <item x="187"/>
        <item x="104"/>
        <item x="172"/>
        <item x="132"/>
        <item x="235"/>
        <item x="60"/>
        <item x="205"/>
        <item x="26"/>
        <item x="57"/>
        <item x="168"/>
      </items>
    </pivotField>
    <pivotField showAll="0" defaultSubtotal="0">
      <items count="232">
        <item x="156"/>
        <item x="128"/>
        <item x="114"/>
        <item x="61"/>
        <item x="221"/>
        <item x="82"/>
        <item x="85"/>
        <item x="97"/>
        <item x="229"/>
        <item x="98"/>
        <item x="227"/>
        <item x="102"/>
        <item x="12"/>
        <item x="78"/>
        <item x="198"/>
        <item x="192"/>
        <item x="168"/>
        <item x="152"/>
        <item x="130"/>
        <item x="123"/>
        <item x="210"/>
        <item x="71"/>
        <item x="104"/>
        <item x="117"/>
        <item x="94"/>
        <item x="31"/>
        <item x="63"/>
        <item x="164"/>
        <item x="163"/>
        <item x="142"/>
        <item x="29"/>
        <item x="220"/>
        <item x="175"/>
        <item x="165"/>
        <item x="205"/>
        <item x="206"/>
        <item x="65"/>
        <item x="171"/>
        <item x="183"/>
        <item x="195"/>
        <item x="131"/>
        <item x="30"/>
        <item x="204"/>
        <item x="87"/>
        <item x="2"/>
        <item x="106"/>
        <item x="225"/>
        <item x="150"/>
        <item x="177"/>
        <item x="18"/>
        <item x="100"/>
        <item x="216"/>
        <item x="178"/>
        <item x="62"/>
        <item x="66"/>
        <item x="145"/>
        <item x="173"/>
        <item x="38"/>
        <item x="176"/>
        <item x="154"/>
        <item x="72"/>
        <item x="111"/>
        <item x="207"/>
        <item x="186"/>
        <item x="158"/>
        <item x="119"/>
        <item x="211"/>
        <item x="180"/>
        <item x="113"/>
        <item x="73"/>
        <item x="122"/>
        <item x="41"/>
        <item x="120"/>
        <item x="187"/>
        <item x="136"/>
        <item x="68"/>
        <item x="185"/>
        <item x="39"/>
        <item x="189"/>
        <item x="103"/>
        <item x="14"/>
        <item x="75"/>
        <item x="133"/>
        <item x="179"/>
        <item x="47"/>
        <item x="148"/>
        <item x="83"/>
        <item x="9"/>
        <item x="222"/>
        <item x="197"/>
        <item x="8"/>
        <item x="182"/>
        <item x="79"/>
        <item x="139"/>
        <item x="215"/>
        <item x="202"/>
        <item x="93"/>
        <item x="86"/>
        <item x="32"/>
        <item x="17"/>
        <item x="58"/>
        <item x="60"/>
        <item x="138"/>
        <item x="112"/>
        <item x="169"/>
        <item x="129"/>
        <item x="27"/>
        <item x="116"/>
        <item x="230"/>
        <item x="95"/>
        <item x="144"/>
        <item x="105"/>
        <item x="157"/>
        <item x="140"/>
        <item x="33"/>
        <item x="109"/>
        <item x="125"/>
        <item x="188"/>
        <item x="89"/>
        <item x="23"/>
        <item x="53"/>
        <item x="135"/>
        <item x="115"/>
        <item x="101"/>
        <item x="134"/>
        <item x="11"/>
        <item x="19"/>
        <item x="108"/>
        <item x="159"/>
        <item x="50"/>
        <item x="121"/>
        <item x="52"/>
        <item x="223"/>
        <item x="44"/>
        <item x="5"/>
        <item x="107"/>
        <item x="57"/>
        <item x="191"/>
        <item x="181"/>
        <item x="49"/>
        <item x="228"/>
        <item x="22"/>
        <item x="59"/>
        <item x="76"/>
        <item x="147"/>
        <item x="170"/>
        <item x="45"/>
        <item x="80"/>
        <item x="69"/>
        <item x="217"/>
        <item x="54"/>
        <item x="153"/>
        <item x="209"/>
        <item x="203"/>
        <item x="96"/>
        <item x="231"/>
        <item x="162"/>
        <item x="4"/>
        <item x="34"/>
        <item x="70"/>
        <item x="92"/>
        <item x="77"/>
        <item x="190"/>
        <item x="166"/>
        <item x="21"/>
        <item x="226"/>
        <item x="26"/>
        <item x="7"/>
        <item x="64"/>
        <item x="161"/>
        <item x="194"/>
        <item x="0"/>
        <item x="67"/>
        <item x="141"/>
        <item x="127"/>
        <item x="219"/>
        <item x="81"/>
        <item x="126"/>
        <item x="88"/>
        <item x="55"/>
        <item x="91"/>
        <item x="160"/>
        <item x="118"/>
        <item x="199"/>
        <item x="151"/>
        <item x="184"/>
        <item x="99"/>
        <item x="13"/>
        <item x="149"/>
        <item x="212"/>
        <item x="46"/>
        <item x="16"/>
        <item x="10"/>
        <item x="143"/>
        <item x="174"/>
        <item x="224"/>
        <item x="196"/>
        <item x="42"/>
        <item x="137"/>
        <item x="84"/>
        <item x="36"/>
        <item x="37"/>
        <item x="172"/>
        <item x="74"/>
        <item x="56"/>
        <item x="208"/>
        <item x="1"/>
        <item x="24"/>
        <item x="20"/>
        <item x="15"/>
        <item x="28"/>
        <item x="124"/>
        <item x="35"/>
        <item x="110"/>
        <item x="146"/>
        <item x="25"/>
        <item x="200"/>
        <item x="40"/>
        <item x="48"/>
        <item x="90"/>
        <item x="155"/>
        <item x="218"/>
        <item x="201"/>
        <item x="167"/>
        <item x="193"/>
        <item x="3"/>
        <item x="51"/>
        <item x="214"/>
        <item x="6"/>
        <item x="213"/>
        <item x="132"/>
        <item x="43"/>
      </items>
    </pivotField>
    <pivotField axis="axisRow" showAll="0" defaultSubtotal="0">
      <items count="238">
        <item x="140"/>
        <item x="196"/>
        <item x="213"/>
        <item x="155"/>
        <item x="10"/>
        <item x="110"/>
        <item x="17"/>
        <item x="40"/>
        <item x="32"/>
        <item x="67"/>
        <item x="87"/>
        <item x="162"/>
        <item x="105"/>
        <item x="56"/>
        <item x="46"/>
        <item x="22"/>
        <item x="31"/>
        <item x="13"/>
        <item x="149"/>
        <item x="14"/>
        <item x="148"/>
        <item x="165"/>
        <item x="127"/>
        <item x="54"/>
        <item x="90"/>
        <item x="88"/>
        <item x="143"/>
        <item x="206"/>
        <item x="106"/>
        <item x="229"/>
        <item x="63"/>
        <item x="154"/>
        <item x="107"/>
        <item x="222"/>
        <item x="237"/>
        <item x="89"/>
        <item x="136"/>
        <item x="223"/>
        <item x="96"/>
        <item x="193"/>
        <item x="203"/>
        <item x="173"/>
        <item x="73"/>
        <item x="93"/>
        <item x="195"/>
        <item x="234"/>
        <item x="111"/>
        <item x="214"/>
        <item x="156"/>
        <item x="219"/>
        <item x="201"/>
        <item x="146"/>
        <item x="166"/>
        <item x="230"/>
        <item x="74"/>
        <item x="232"/>
        <item x="197"/>
        <item x="224"/>
        <item x="97"/>
        <item x="176"/>
        <item x="144"/>
        <item x="198"/>
        <item x="118"/>
        <item x="177"/>
        <item x="169"/>
        <item x="86"/>
        <item x="145"/>
        <item x="98"/>
        <item x="137"/>
        <item x="182"/>
        <item x="174"/>
        <item x="167"/>
        <item x="70"/>
        <item x="186"/>
        <item x="192"/>
        <item x="128"/>
        <item x="150"/>
        <item x="147"/>
        <item x="163"/>
        <item x="151"/>
        <item x="99"/>
        <item x="75"/>
        <item x="76"/>
        <item x="119"/>
        <item x="215"/>
        <item x="221"/>
        <item x="30"/>
        <item x="157"/>
        <item x="189"/>
        <item x="220"/>
        <item x="184"/>
        <item x="236"/>
        <item x="210"/>
        <item x="202"/>
        <item x="175"/>
        <item x="38"/>
        <item x="178"/>
        <item x="208"/>
        <item x="62"/>
        <item x="190"/>
        <item x="199"/>
        <item x="77"/>
        <item x="216"/>
        <item x="120"/>
        <item x="78"/>
        <item x="228"/>
        <item x="36"/>
        <item x="69"/>
        <item x="58"/>
        <item x="164"/>
        <item x="91"/>
        <item x="211"/>
        <item x="158"/>
        <item x="33"/>
        <item x="134"/>
        <item x="152"/>
        <item x="153"/>
        <item x="183"/>
        <item x="100"/>
        <item x="191"/>
        <item x="21"/>
        <item x="170"/>
        <item x="112"/>
        <item x="141"/>
        <item x="28"/>
        <item x="79"/>
        <item x="94"/>
        <item x="68"/>
        <item x="48"/>
        <item x="80"/>
        <item x="92"/>
        <item x="44"/>
        <item x="41"/>
        <item x="12"/>
        <item x="179"/>
        <item x="11"/>
        <item x="101"/>
        <item x="47"/>
        <item x="113"/>
        <item x="114"/>
        <item x="18"/>
        <item x="84"/>
        <item x="42"/>
        <item x="49"/>
        <item x="85"/>
        <item x="50"/>
        <item x="7"/>
        <item x="55"/>
        <item x="161"/>
        <item x="65"/>
        <item x="212"/>
        <item x="200"/>
        <item x="35"/>
        <item x="138"/>
        <item x="20"/>
        <item x="15"/>
        <item x="0"/>
        <item x="81"/>
        <item x="24"/>
        <item x="188"/>
        <item x="125"/>
        <item x="108"/>
        <item x="225"/>
        <item x="115"/>
        <item x="25"/>
        <item x="129"/>
        <item x="95"/>
        <item x="27"/>
        <item x="227"/>
        <item x="207"/>
        <item x="126"/>
        <item x="139"/>
        <item x="142"/>
        <item x="116"/>
        <item x="194"/>
        <item x="16"/>
        <item x="233"/>
        <item x="218"/>
        <item x="121"/>
        <item x="130"/>
        <item x="51"/>
        <item x="133"/>
        <item x="160"/>
        <item x="117"/>
        <item x="45"/>
        <item x="4"/>
        <item x="131"/>
        <item x="61"/>
        <item x="5"/>
        <item x="2"/>
        <item x="9"/>
        <item x="102"/>
        <item x="135"/>
        <item x="37"/>
        <item x="34"/>
        <item x="3"/>
        <item x="1"/>
        <item x="66"/>
        <item x="29"/>
        <item x="217"/>
        <item x="180"/>
        <item x="122"/>
        <item x="103"/>
        <item x="64"/>
        <item x="185"/>
        <item x="226"/>
        <item x="82"/>
        <item x="171"/>
        <item x="204"/>
        <item x="123"/>
        <item x="52"/>
        <item x="39"/>
        <item x="8"/>
        <item x="231"/>
        <item x="23"/>
        <item x="6"/>
        <item x="181"/>
        <item x="159"/>
        <item x="124"/>
        <item x="53"/>
        <item x="43"/>
        <item x="59"/>
        <item x="71"/>
        <item x="72"/>
        <item x="109"/>
        <item x="209"/>
        <item x="19"/>
        <item x="83"/>
        <item x="187"/>
        <item x="104"/>
        <item x="172"/>
        <item x="132"/>
        <item x="235"/>
        <item x="60"/>
        <item x="205"/>
        <item x="26"/>
        <item x="57"/>
        <item x="168"/>
      </items>
    </pivotField>
    <pivotField axis="axisRow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9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 defaultSubtotal="0">
      <items count="218">
        <item x="217"/>
        <item x="216"/>
        <item x="200"/>
        <item x="199"/>
        <item x="198"/>
        <item x="197"/>
        <item x="196"/>
        <item x="210"/>
        <item x="195"/>
        <item x="208"/>
        <item x="207"/>
        <item x="194"/>
        <item x="193"/>
        <item x="206"/>
        <item x="205"/>
        <item x="192"/>
        <item x="204"/>
        <item x="209"/>
        <item x="141"/>
        <item x="203"/>
        <item x="140"/>
        <item x="215"/>
        <item x="139"/>
        <item x="138"/>
        <item x="137"/>
        <item x="136"/>
        <item x="135"/>
        <item x="134"/>
        <item x="150"/>
        <item x="120"/>
        <item x="119"/>
        <item x="118"/>
        <item x="167"/>
        <item x="117"/>
        <item x="149"/>
        <item x="133"/>
        <item x="116"/>
        <item x="115"/>
        <item x="114"/>
        <item x="113"/>
        <item x="145"/>
        <item x="144"/>
        <item x="109"/>
        <item x="108"/>
        <item x="130"/>
        <item x="107"/>
        <item x="106"/>
        <item x="129"/>
        <item x="105"/>
        <item x="104"/>
        <item x="103"/>
        <item x="128"/>
        <item x="96"/>
        <item x="181"/>
        <item x="202"/>
        <item x="95"/>
        <item x="132"/>
        <item x="127"/>
        <item x="94"/>
        <item x="148"/>
        <item x="112"/>
        <item x="166"/>
        <item x="84"/>
        <item x="83"/>
        <item x="93"/>
        <item x="102"/>
        <item x="75"/>
        <item x="74"/>
        <item x="92"/>
        <item x="101"/>
        <item x="73"/>
        <item x="72"/>
        <item x="214"/>
        <item x="91"/>
        <item x="71"/>
        <item x="70"/>
        <item x="69"/>
        <item x="82"/>
        <item x="81"/>
        <item x="100"/>
        <item x="165"/>
        <item x="190"/>
        <item x="68"/>
        <item x="67"/>
        <item x="147"/>
        <item x="146"/>
        <item x="126"/>
        <item x="162"/>
        <item x="80"/>
        <item x="90"/>
        <item x="79"/>
        <item x="66"/>
        <item x="164"/>
        <item x="177"/>
        <item x="89"/>
        <item x="65"/>
        <item x="125"/>
        <item x="161"/>
        <item x="124"/>
        <item x="143"/>
        <item x="88"/>
        <item x="142"/>
        <item x="64"/>
        <item x="176"/>
        <item x="213"/>
        <item x="111"/>
        <item x="87"/>
        <item x="63"/>
        <item x="78"/>
        <item x="123"/>
        <item x="212"/>
        <item x="163"/>
        <item x="189"/>
        <item x="160"/>
        <item x="99"/>
        <item x="175"/>
        <item x="62"/>
        <item x="159"/>
        <item x="61"/>
        <item x="188"/>
        <item x="158"/>
        <item x="187"/>
        <item x="157"/>
        <item x="57"/>
        <item x="156"/>
        <item x="56"/>
        <item x="55"/>
        <item x="122"/>
        <item x="131"/>
        <item x="201"/>
        <item x="186"/>
        <item x="54"/>
        <item x="185"/>
        <item x="53"/>
        <item x="52"/>
        <item x="191"/>
        <item x="77"/>
        <item x="60"/>
        <item x="98"/>
        <item x="86"/>
        <item x="180"/>
        <item x="51"/>
        <item x="50"/>
        <item x="155"/>
        <item x="110"/>
        <item x="49"/>
        <item x="48"/>
        <item x="211"/>
        <item x="47"/>
        <item x="154"/>
        <item x="46"/>
        <item x="184"/>
        <item x="174"/>
        <item x="45"/>
        <item x="173"/>
        <item x="59"/>
        <item x="44"/>
        <item x="153"/>
        <item x="43"/>
        <item x="172"/>
        <item x="179"/>
        <item x="171"/>
        <item x="183"/>
        <item x="182"/>
        <item x="170"/>
        <item x="58"/>
        <item x="121"/>
        <item x="152"/>
        <item x="151"/>
        <item x="76"/>
        <item x="178"/>
        <item x="42"/>
        <item x="169"/>
        <item x="38"/>
        <item x="37"/>
        <item x="36"/>
        <item x="35"/>
        <item x="34"/>
        <item x="33"/>
        <item x="168"/>
        <item x="41"/>
        <item x="97"/>
        <item x="32"/>
        <item x="85"/>
        <item x="40"/>
        <item x="31"/>
        <item x="30"/>
        <item x="29"/>
        <item x="28"/>
        <item x="27"/>
        <item x="26"/>
        <item x="39"/>
        <item x="25"/>
        <item x="24"/>
        <item x="23"/>
        <item x="22"/>
        <item x="21"/>
        <item x="18"/>
        <item x="17"/>
        <item x="16"/>
        <item x="15"/>
        <item x="14"/>
        <item x="13"/>
        <item x="12"/>
        <item x="11"/>
        <item x="20"/>
        <item x="10"/>
        <item x="9"/>
        <item x="8"/>
        <item x="7"/>
        <item x="6"/>
        <item x="5"/>
        <item x="4"/>
        <item x="19"/>
        <item x="3"/>
        <item x="2"/>
        <item x="1"/>
        <item x="0"/>
      </items>
    </pivotField>
    <pivotField dataField="1" showAll="0" defaultSubtotal="0">
      <items count="547">
        <item x="493"/>
        <item x="192"/>
        <item x="191"/>
        <item x="481"/>
        <item x="490"/>
        <item x="190"/>
        <item x="442"/>
        <item x="182"/>
        <item x="165"/>
        <item x="221"/>
        <item x="235"/>
        <item x="164"/>
        <item x="181"/>
        <item x="198"/>
        <item x="172"/>
        <item x="88"/>
        <item x="261"/>
        <item x="18"/>
        <item x="17"/>
        <item x="119"/>
        <item x="34"/>
        <item x="33"/>
        <item x="16"/>
        <item x="15"/>
        <item x="14"/>
        <item x="32"/>
        <item x="294"/>
        <item x="52"/>
        <item x="87"/>
        <item x="13"/>
        <item x="51"/>
        <item x="65"/>
        <item x="180"/>
        <item x="12"/>
        <item x="11"/>
        <item x="118"/>
        <item x="171"/>
        <item x="347"/>
        <item x="117"/>
        <item x="64"/>
        <item x="77"/>
        <item x="10"/>
        <item x="76"/>
        <item x="9"/>
        <item x="31"/>
        <item x="97"/>
        <item x="50"/>
        <item x="63"/>
        <item x="49"/>
        <item x="62"/>
        <item x="154"/>
        <item x="30"/>
        <item x="153"/>
        <item x="108"/>
        <item x="29"/>
        <item x="86"/>
        <item x="204"/>
        <item x="85"/>
        <item x="163"/>
        <item x="134"/>
        <item x="152"/>
        <item x="179"/>
        <item x="75"/>
        <item x="61"/>
        <item x="74"/>
        <item x="60"/>
        <item x="73"/>
        <item x="145"/>
        <item x="84"/>
        <item x="48"/>
        <item x="8"/>
        <item x="47"/>
        <item x="234"/>
        <item x="144"/>
        <item x="258"/>
        <item x="162"/>
        <item x="225"/>
        <item x="72"/>
        <item x="107"/>
        <item x="310"/>
        <item x="7"/>
        <item x="28"/>
        <item x="106"/>
        <item x="46"/>
        <item x="45"/>
        <item x="96"/>
        <item x="105"/>
        <item x="220"/>
        <item x="71"/>
        <item x="309"/>
        <item x="133"/>
        <item x="95"/>
        <item x="151"/>
        <item x="401"/>
        <item x="27"/>
        <item x="44"/>
        <item x="351"/>
        <item x="324"/>
        <item x="150"/>
        <item x="43"/>
        <item x="189"/>
        <item x="369"/>
        <item x="380"/>
        <item x="178"/>
        <item x="26"/>
        <item x="94"/>
        <item x="42"/>
        <item x="520"/>
        <item x="116"/>
        <item x="143"/>
        <item x="59"/>
        <item x="104"/>
        <item x="214"/>
        <item x="41"/>
        <item x="83"/>
        <item x="142"/>
        <item x="132"/>
        <item x="82"/>
        <item x="213"/>
        <item x="6"/>
        <item x="93"/>
        <item x="308"/>
        <item x="58"/>
        <item x="203"/>
        <item x="40"/>
        <item x="70"/>
        <item x="103"/>
        <item x="131"/>
        <item x="81"/>
        <item x="301"/>
        <item x="212"/>
        <item x="273"/>
        <item x="219"/>
        <item x="447"/>
        <item x="141"/>
        <item x="115"/>
        <item x="102"/>
        <item x="346"/>
        <item x="532"/>
        <item x="357"/>
        <item x="332"/>
        <item x="114"/>
        <item x="69"/>
        <item x="307"/>
        <item x="233"/>
        <item x="25"/>
        <item x="80"/>
        <item x="503"/>
        <item x="130"/>
        <item x="257"/>
        <item x="5"/>
        <item x="266"/>
        <item x="140"/>
        <item x="248"/>
        <item x="24"/>
        <item x="293"/>
        <item x="362"/>
        <item x="124"/>
        <item x="359"/>
        <item x="57"/>
        <item x="300"/>
        <item x="161"/>
        <item x="56"/>
        <item x="123"/>
        <item x="407"/>
        <item x="160"/>
        <item x="229"/>
        <item x="113"/>
        <item x="23"/>
        <item x="139"/>
        <item x="177"/>
        <item x="4"/>
        <item x="443"/>
        <item x="112"/>
        <item x="22"/>
        <item x="427"/>
        <item x="218"/>
        <item x="456"/>
        <item x="463"/>
        <item x="395"/>
        <item x="92"/>
        <item x="170"/>
        <item x="419"/>
        <item x="149"/>
        <item x="388"/>
        <item x="306"/>
        <item x="243"/>
        <item x="169"/>
        <item x="138"/>
        <item x="129"/>
        <item x="320"/>
        <item x="101"/>
        <item x="474"/>
        <item x="159"/>
        <item x="345"/>
        <item x="327"/>
        <item x="477"/>
        <item x="421"/>
        <item x="281"/>
        <item x="315"/>
        <item x="434"/>
        <item x="368"/>
        <item x="515"/>
        <item x="379"/>
        <item x="68"/>
        <item x="426"/>
        <item x="188"/>
        <item x="543"/>
        <item x="197"/>
        <item x="256"/>
        <item x="497"/>
        <item x="111"/>
        <item x="242"/>
        <item x="196"/>
        <item x="158"/>
        <item x="471"/>
        <item x="148"/>
        <item x="299"/>
        <item x="440"/>
        <item x="21"/>
        <item x="157"/>
        <item x="251"/>
        <item x="514"/>
        <item x="439"/>
        <item x="280"/>
        <item x="323"/>
        <item x="509"/>
        <item x="486"/>
        <item x="537"/>
        <item x="394"/>
        <item x="331"/>
        <item x="55"/>
        <item x="398"/>
        <item x="478"/>
        <item x="277"/>
        <item x="546"/>
        <item x="168"/>
        <item x="358"/>
        <item x="414"/>
        <item x="292"/>
        <item x="534"/>
        <item x="319"/>
        <item x="452"/>
        <item x="355"/>
        <item x="3"/>
        <item x="228"/>
        <item x="374"/>
        <item x="424"/>
        <item x="378"/>
        <item x="459"/>
        <item x="67"/>
        <item x="208"/>
        <item x="137"/>
        <item x="512"/>
        <item x="128"/>
        <item x="432"/>
        <item x="91"/>
        <item x="364"/>
        <item x="269"/>
        <item x="2"/>
        <item x="314"/>
        <item x="405"/>
        <item x="505"/>
        <item x="508"/>
        <item x="276"/>
        <item x="410"/>
        <item x="335"/>
        <item x="344"/>
        <item x="285"/>
        <item x="339"/>
        <item x="100"/>
        <item x="298"/>
        <item x="318"/>
        <item x="202"/>
        <item x="321"/>
        <item x="305"/>
        <item x="393"/>
        <item x="39"/>
        <item x="227"/>
        <item x="350"/>
        <item x="79"/>
        <item x="187"/>
        <item x="468"/>
        <item x="127"/>
        <item x="110"/>
        <item x="241"/>
        <item x="284"/>
        <item x="247"/>
        <item x="367"/>
        <item x="538"/>
        <item x="466"/>
        <item x="122"/>
        <item x="156"/>
        <item x="186"/>
        <item x="400"/>
        <item x="526"/>
        <item x="238"/>
        <item x="272"/>
        <item x="465"/>
        <item x="451"/>
        <item x="268"/>
        <item x="385"/>
        <item x="441"/>
        <item x="397"/>
        <item x="491"/>
        <item x="255"/>
        <item x="542"/>
        <item x="387"/>
        <item x="240"/>
        <item x="20"/>
        <item x="330"/>
        <item x="317"/>
        <item x="489"/>
        <item x="121"/>
        <item x="211"/>
        <item x="366"/>
        <item x="287"/>
        <item x="342"/>
        <item x="176"/>
        <item x="195"/>
        <item x="519"/>
        <item x="372"/>
        <item x="495"/>
        <item x="502"/>
        <item x="472"/>
        <item x="500"/>
        <item x="349"/>
        <item x="38"/>
        <item x="354"/>
        <item x="429"/>
        <item x="470"/>
        <item x="444"/>
        <item x="494"/>
        <item x="207"/>
        <item x="455"/>
        <item x="265"/>
        <item x="507"/>
        <item x="409"/>
        <item x="54"/>
        <item x="476"/>
        <item x="525"/>
        <item x="37"/>
        <item x="237"/>
        <item x="291"/>
        <item x="343"/>
        <item x="201"/>
        <item x="217"/>
        <item x="246"/>
        <item x="175"/>
        <item x="530"/>
        <item x="275"/>
        <item x="431"/>
        <item x="450"/>
        <item x="264"/>
        <item x="376"/>
        <item x="513"/>
        <item x="438"/>
        <item x="185"/>
        <item x="336"/>
        <item x="304"/>
        <item x="524"/>
        <item x="473"/>
        <item x="90"/>
        <item x="511"/>
        <item x="396"/>
        <item x="496"/>
        <item x="290"/>
        <item x="216"/>
        <item x="1"/>
        <item x="361"/>
        <item x="545"/>
        <item x="36"/>
        <item x="224"/>
        <item x="136"/>
        <item x="413"/>
        <item x="283"/>
        <item x="425"/>
        <item x="135"/>
        <item x="381"/>
        <item x="501"/>
        <item x="274"/>
        <item x="232"/>
        <item x="99"/>
        <item x="223"/>
        <item x="485"/>
        <item x="126"/>
        <item x="536"/>
        <item x="458"/>
        <item x="412"/>
        <item x="231"/>
        <item x="527"/>
        <item x="125"/>
        <item x="338"/>
        <item x="254"/>
        <item x="528"/>
        <item x="348"/>
        <item x="194"/>
        <item x="475"/>
        <item x="404"/>
        <item x="462"/>
        <item x="392"/>
        <item x="352"/>
        <item x="271"/>
        <item x="334"/>
        <item x="222"/>
        <item x="418"/>
        <item x="517"/>
        <item x="155"/>
        <item x="386"/>
        <item x="167"/>
        <item x="184"/>
        <item x="504"/>
        <item x="200"/>
        <item x="390"/>
        <item x="226"/>
        <item x="303"/>
        <item x="193"/>
        <item x="245"/>
        <item x="199"/>
        <item x="469"/>
        <item x="373"/>
        <item x="313"/>
        <item x="326"/>
        <item x="353"/>
        <item x="210"/>
        <item x="498"/>
        <item x="420"/>
        <item x="230"/>
        <item x="279"/>
        <item x="487"/>
        <item x="260"/>
        <item x="430"/>
        <item x="460"/>
        <item x="174"/>
        <item x="147"/>
        <item x="375"/>
        <item x="146"/>
        <item x="484"/>
        <item x="173"/>
        <item x="333"/>
        <item x="461"/>
        <item x="278"/>
        <item x="423"/>
        <item x="166"/>
        <item x="0"/>
        <item x="518"/>
        <item x="523"/>
        <item x="244"/>
        <item x="297"/>
        <item x="302"/>
        <item x="270"/>
        <item x="253"/>
        <item x="506"/>
        <item x="250"/>
        <item x="289"/>
        <item x="535"/>
        <item x="296"/>
        <item x="337"/>
        <item x="282"/>
        <item x="341"/>
        <item x="467"/>
        <item x="437"/>
        <item x="206"/>
        <item x="312"/>
        <item x="259"/>
        <item x="288"/>
        <item x="539"/>
        <item x="510"/>
        <item x="360"/>
        <item x="428"/>
        <item x="533"/>
        <item x="311"/>
        <item x="263"/>
        <item x="389"/>
        <item x="249"/>
        <item x="531"/>
        <item x="384"/>
        <item x="417"/>
        <item x="457"/>
        <item x="239"/>
        <item x="356"/>
        <item x="329"/>
        <item x="53"/>
        <item x="286"/>
        <item x="436"/>
        <item x="252"/>
        <item x="403"/>
        <item x="365"/>
        <item x="433"/>
        <item x="35"/>
        <item x="445"/>
        <item x="522"/>
        <item x="449"/>
        <item x="435"/>
        <item x="340"/>
        <item x="483"/>
        <item x="267"/>
        <item x="529"/>
        <item x="480"/>
        <item x="406"/>
        <item x="499"/>
        <item x="521"/>
        <item x="416"/>
        <item x="205"/>
        <item x="482"/>
        <item x="454"/>
        <item x="383"/>
        <item x="19"/>
        <item x="540"/>
        <item x="295"/>
        <item x="408"/>
        <item x="516"/>
        <item x="325"/>
        <item x="411"/>
        <item x="236"/>
        <item x="399"/>
        <item x="209"/>
        <item x="66"/>
        <item x="316"/>
        <item x="402"/>
        <item x="183"/>
        <item x="541"/>
        <item x="422"/>
        <item x="479"/>
        <item x="98"/>
        <item x="328"/>
        <item x="382"/>
        <item x="215"/>
        <item x="109"/>
        <item x="488"/>
        <item x="446"/>
        <item x="120"/>
        <item x="363"/>
        <item x="371"/>
        <item x="391"/>
        <item x="544"/>
        <item x="453"/>
        <item x="78"/>
        <item x="377"/>
        <item x="464"/>
        <item x="322"/>
        <item x="448"/>
        <item x="262"/>
        <item x="89"/>
        <item x="415"/>
        <item x="370"/>
        <item x="492"/>
      </items>
    </pivotField>
    <pivotField dataField="1" showAll="0" defaultSubtotal="0">
      <items count="178">
        <item x="65"/>
        <item x="50"/>
        <item x="56"/>
        <item x="70"/>
        <item x="62"/>
        <item x="51"/>
        <item x="39"/>
        <item x="95"/>
        <item x="100"/>
        <item x="68"/>
        <item x="77"/>
        <item x="89"/>
        <item x="61"/>
        <item x="38"/>
        <item x="102"/>
        <item x="55"/>
        <item x="94"/>
        <item x="32"/>
        <item x="33"/>
        <item x="109"/>
        <item x="67"/>
        <item x="111"/>
        <item x="157"/>
        <item x="150"/>
        <item x="34"/>
        <item x="71"/>
        <item x="53"/>
        <item x="103"/>
        <item x="174"/>
        <item x="119"/>
        <item x="117"/>
        <item x="131"/>
        <item x="101"/>
        <item x="118"/>
        <item x="30"/>
        <item x="46"/>
        <item x="176"/>
        <item x="136"/>
        <item x="156"/>
        <item x="121"/>
        <item x="35"/>
        <item x="99"/>
        <item x="145"/>
        <item x="114"/>
        <item x="172"/>
        <item x="158"/>
        <item x="93"/>
        <item x="112"/>
        <item x="78"/>
        <item x="69"/>
        <item x="149"/>
        <item x="173"/>
        <item x="165"/>
        <item x="76"/>
        <item x="120"/>
        <item x="91"/>
        <item x="83"/>
        <item x="146"/>
        <item x="90"/>
        <item x="177"/>
        <item x="92"/>
        <item x="107"/>
        <item x="64"/>
        <item x="116"/>
        <item x="108"/>
        <item x="84"/>
        <item x="168"/>
        <item x="98"/>
        <item x="110"/>
        <item x="175"/>
        <item x="66"/>
        <item x="115"/>
        <item x="49"/>
        <item x="127"/>
        <item x="88"/>
        <item x="171"/>
        <item x="155"/>
        <item x="135"/>
        <item x="75"/>
        <item x="37"/>
        <item x="63"/>
        <item x="82"/>
        <item x="148"/>
        <item x="54"/>
        <item x="134"/>
        <item x="97"/>
        <item x="113"/>
        <item x="106"/>
        <item x="28"/>
        <item x="81"/>
        <item x="60"/>
        <item x="130"/>
        <item x="166"/>
        <item x="164"/>
        <item x="129"/>
        <item x="87"/>
        <item x="133"/>
        <item x="144"/>
        <item x="10"/>
        <item x="147"/>
        <item x="154"/>
        <item x="105"/>
        <item x="161"/>
        <item x="27"/>
        <item x="96"/>
        <item x="128"/>
        <item x="163"/>
        <item x="126"/>
        <item x="74"/>
        <item x="86"/>
        <item x="170"/>
        <item x="125"/>
        <item x="48"/>
        <item x="73"/>
        <item x="17"/>
        <item x="162"/>
        <item x="167"/>
        <item x="59"/>
        <item x="80"/>
        <item x="132"/>
        <item x="52"/>
        <item x="153"/>
        <item x="57"/>
        <item x="47"/>
        <item x="142"/>
        <item x="169"/>
        <item x="58"/>
        <item x="124"/>
        <item x="141"/>
        <item x="143"/>
        <item x="31"/>
        <item x="123"/>
        <item x="152"/>
        <item x="45"/>
        <item x="104"/>
        <item x="15"/>
        <item x="72"/>
        <item x="122"/>
        <item x="41"/>
        <item x="14"/>
        <item x="140"/>
        <item x="159"/>
        <item x="13"/>
        <item x="160"/>
        <item x="139"/>
        <item x="42"/>
        <item x="16"/>
        <item x="44"/>
        <item x="85"/>
        <item x="137"/>
        <item x="151"/>
        <item x="43"/>
        <item x="79"/>
        <item x="18"/>
        <item x="138"/>
        <item x="36"/>
        <item x="11"/>
        <item x="29"/>
        <item x="23"/>
        <item x="40"/>
        <item x="19"/>
        <item x="26"/>
        <item x="25"/>
        <item x="12"/>
        <item x="24"/>
        <item x="7"/>
        <item x="22"/>
        <item x="21"/>
        <item x="9"/>
        <item x="8"/>
        <item x="20"/>
        <item x="6"/>
        <item x="4"/>
        <item x="5"/>
        <item x="3"/>
        <item x="2"/>
        <item x="0"/>
        <item x="1"/>
      </items>
    </pivotField>
    <pivotField dataField="1" showAll="0" defaultSubtotal="0">
      <items count="765">
        <item x="65"/>
        <item x="50"/>
        <item x="201"/>
        <item x="39"/>
        <item x="56"/>
        <item x="76"/>
        <item x="200"/>
        <item x="38"/>
        <item x="334"/>
        <item x="32"/>
        <item x="33"/>
        <item x="77"/>
        <item x="34"/>
        <item x="69"/>
        <item x="93"/>
        <item x="238"/>
        <item x="10"/>
        <item x="188"/>
        <item x="114"/>
        <item x="30"/>
        <item x="17"/>
        <item x="709"/>
        <item x="35"/>
        <item x="103"/>
        <item x="251"/>
        <item x="295"/>
        <item x="237"/>
        <item x="224"/>
        <item x="159"/>
        <item x="126"/>
        <item x="55"/>
        <item x="60"/>
        <item x="88"/>
        <item x="173"/>
        <item x="309"/>
        <item x="761"/>
        <item x="15"/>
        <item x="332"/>
        <item x="187"/>
        <item x="385"/>
        <item x="14"/>
        <item x="13"/>
        <item x="125"/>
        <item x="104"/>
        <item x="145"/>
        <item x="202"/>
        <item x="326"/>
        <item x="16"/>
        <item x="239"/>
        <item x="535"/>
        <item x="37"/>
        <item x="117"/>
        <item x="240"/>
        <item x="222"/>
        <item x="53"/>
        <item x="717"/>
        <item x="147"/>
        <item x="89"/>
        <item x="440"/>
        <item x="28"/>
        <item x="514"/>
        <item x="297"/>
        <item x="225"/>
        <item x="18"/>
        <item x="79"/>
        <item x="269"/>
        <item x="62"/>
        <item x="594"/>
        <item x="412"/>
        <item x="98"/>
        <item x="249"/>
        <item x="169"/>
        <item x="46"/>
        <item x="732"/>
        <item x="271"/>
        <item x="27"/>
        <item x="340"/>
        <item x="11"/>
        <item x="195"/>
        <item x="151"/>
        <item x="258"/>
        <item x="489"/>
        <item x="81"/>
        <item x="171"/>
        <item x="111"/>
        <item x="136"/>
        <item x="270"/>
        <item x="87"/>
        <item x="426"/>
        <item x="155"/>
        <item x="363"/>
        <item x="218"/>
        <item x="183"/>
        <item x="528"/>
        <item x="319"/>
        <item x="110"/>
        <item x="212"/>
        <item x="328"/>
        <item x="197"/>
        <item x="91"/>
        <item x="391"/>
        <item x="299"/>
        <item x="102"/>
        <item x="481"/>
        <item x="686"/>
        <item x="211"/>
        <item x="616"/>
        <item x="250"/>
        <item x="331"/>
        <item x="74"/>
        <item x="364"/>
        <item x="67"/>
        <item x="382"/>
        <item x="198"/>
        <item x="184"/>
        <item x="210"/>
        <item x="674"/>
        <item x="19"/>
        <item x="342"/>
        <item x="405"/>
        <item x="701"/>
        <item x="436"/>
        <item x="124"/>
        <item x="461"/>
        <item x="456"/>
        <item x="513"/>
        <item x="670"/>
        <item x="490"/>
        <item x="381"/>
        <item x="182"/>
        <item x="235"/>
        <item x="361"/>
        <item x="680"/>
        <item x="562"/>
        <item x="12"/>
        <item x="505"/>
        <item x="31"/>
        <item x="518"/>
        <item x="301"/>
        <item x="344"/>
        <item x="70"/>
        <item x="666"/>
        <item x="220"/>
        <item x="757"/>
        <item x="731"/>
        <item x="645"/>
        <item x="170"/>
        <item x="194"/>
        <item x="247"/>
        <item x="327"/>
        <item x="115"/>
        <item x="624"/>
        <item x="172"/>
        <item x="734"/>
        <item x="690"/>
        <item x="280"/>
        <item x="536"/>
        <item x="233"/>
        <item x="49"/>
        <item x="287"/>
        <item x="437"/>
        <item x="655"/>
        <item x="427"/>
        <item x="7"/>
        <item x="651"/>
        <item x="265"/>
        <item x="255"/>
        <item x="223"/>
        <item x="380"/>
        <item x="718"/>
        <item x="713"/>
        <item x="454"/>
        <item x="134"/>
        <item x="494"/>
        <item x="445"/>
        <item x="355"/>
        <item x="554"/>
        <item x="439"/>
        <item x="751"/>
        <item x="373"/>
        <item x="310"/>
        <item x="360"/>
        <item x="411"/>
        <item x="549"/>
        <item x="54"/>
        <item x="530"/>
        <item x="236"/>
        <item x="317"/>
        <item x="185"/>
        <item x="604"/>
        <item x="199"/>
        <item x="343"/>
        <item x="272"/>
        <item x="569"/>
        <item x="438"/>
        <item x="92"/>
        <item x="369"/>
        <item x="207"/>
        <item x="352"/>
        <item x="166"/>
        <item x="406"/>
        <item x="217"/>
        <item x="482"/>
        <item x="149"/>
        <item x="667"/>
        <item x="682"/>
        <item x="288"/>
        <item x="276"/>
        <item x="542"/>
        <item x="346"/>
        <item x="335"/>
        <item x="128"/>
        <item x="678"/>
        <item x="602"/>
        <item x="441"/>
        <item x="181"/>
        <item x="374"/>
        <item x="497"/>
        <item x="384"/>
        <item x="716"/>
        <item x="186"/>
        <item x="723"/>
        <item x="354"/>
        <item x="630"/>
        <item x="568"/>
        <item x="298"/>
        <item x="503"/>
        <item x="366"/>
        <item x="345"/>
        <item x="635"/>
        <item x="333"/>
        <item x="700"/>
        <item x="284"/>
        <item x="433"/>
        <item x="362"/>
        <item x="656"/>
        <item x="9"/>
        <item x="462"/>
        <item x="708"/>
        <item x="664"/>
        <item x="325"/>
        <item x="179"/>
        <item x="254"/>
        <item x="300"/>
        <item x="545"/>
        <item x="52"/>
        <item x="316"/>
        <item x="127"/>
        <item x="221"/>
        <item x="473"/>
        <item x="158"/>
        <item x="435"/>
        <item x="139"/>
        <item x="679"/>
        <item x="267"/>
        <item x="727"/>
        <item x="209"/>
        <item x="396"/>
        <item x="504"/>
        <item x="219"/>
        <item x="452"/>
        <item x="36"/>
        <item x="753"/>
        <item x="196"/>
        <item x="68"/>
        <item x="266"/>
        <item x="8"/>
        <item x="118"/>
        <item x="658"/>
        <item x="353"/>
        <item x="383"/>
        <item x="248"/>
        <item x="447"/>
        <item x="758"/>
        <item x="268"/>
        <item x="318"/>
        <item x="725"/>
        <item x="641"/>
        <item x="747"/>
        <item x="116"/>
        <item x="278"/>
        <item x="487"/>
        <item x="457"/>
        <item x="418"/>
        <item x="404"/>
        <item x="728"/>
        <item x="476"/>
        <item x="101"/>
        <item x="234"/>
        <item x="695"/>
        <item x="598"/>
        <item x="168"/>
        <item x="135"/>
        <item x="48"/>
        <item x="425"/>
        <item x="691"/>
        <item x="80"/>
        <item x="532"/>
        <item x="479"/>
        <item x="150"/>
        <item x="338"/>
        <item x="687"/>
        <item x="498"/>
        <item x="285"/>
        <item x="521"/>
        <item x="615"/>
        <item x="581"/>
        <item x="618"/>
        <item x="264"/>
        <item x="279"/>
        <item x="90"/>
        <item x="351"/>
        <item x="29"/>
        <item x="488"/>
        <item x="540"/>
        <item x="434"/>
        <item x="78"/>
        <item x="371"/>
        <item x="112"/>
        <item x="286"/>
        <item x="307"/>
        <item x="167"/>
        <item x="146"/>
        <item x="496"/>
        <item x="64"/>
        <item x="417"/>
        <item x="721"/>
        <item x="165"/>
        <item x="583"/>
        <item x="100"/>
        <item x="555"/>
        <item x="621"/>
        <item x="610"/>
        <item x="208"/>
        <item x="534"/>
        <item x="108"/>
        <item x="543"/>
        <item x="453"/>
        <item x="294"/>
        <item x="390"/>
        <item x="137"/>
        <item x="512"/>
        <item x="51"/>
        <item x="414"/>
        <item x="263"/>
        <item x="113"/>
        <item x="99"/>
        <item x="529"/>
        <item x="756"/>
        <item x="157"/>
        <item x="572"/>
        <item x="372"/>
        <item x="148"/>
        <item x="296"/>
        <item x="164"/>
        <item x="6"/>
        <item x="277"/>
        <item x="582"/>
        <item x="47"/>
        <item x="455"/>
        <item x="232"/>
        <item x="339"/>
        <item x="66"/>
        <item x="4"/>
        <item x="567"/>
        <item x="627"/>
        <item x="469"/>
        <item x="370"/>
        <item x="519"/>
        <item x="671"/>
        <item x="138"/>
        <item x="257"/>
        <item x="123"/>
        <item x="712"/>
        <item x="246"/>
        <item x="480"/>
        <item x="308"/>
        <item x="665"/>
        <item x="684"/>
        <item x="282"/>
        <item x="446"/>
        <item x="640"/>
        <item x="561"/>
        <item x="5"/>
        <item x="472"/>
        <item x="330"/>
        <item x="293"/>
        <item x="587"/>
        <item x="432"/>
        <item x="109"/>
        <item x="23"/>
        <item x="410"/>
        <item x="719"/>
        <item x="324"/>
        <item x="315"/>
        <item x="216"/>
        <item x="245"/>
        <item x="283"/>
        <item x="752"/>
        <item x="230"/>
        <item x="623"/>
        <item x="177"/>
        <item x="733"/>
        <item x="724"/>
        <item x="650"/>
        <item x="631"/>
        <item x="63"/>
        <item x="229"/>
        <item x="659"/>
        <item x="424"/>
        <item x="231"/>
        <item x="527"/>
        <item x="403"/>
        <item x="180"/>
        <item x="699"/>
        <item x="522"/>
        <item x="611"/>
        <item x="45"/>
        <item x="193"/>
        <item x="389"/>
        <item x="86"/>
        <item x="97"/>
        <item x="510"/>
        <item x="574"/>
        <item x="669"/>
        <item x="26"/>
        <item x="141"/>
        <item x="486"/>
        <item x="85"/>
        <item x="393"/>
        <item x="379"/>
        <item x="606"/>
        <item x="292"/>
        <item x="416"/>
        <item x="707"/>
        <item x="471"/>
        <item x="75"/>
        <item x="25"/>
        <item x="533"/>
        <item x="423"/>
        <item x="493"/>
        <item x="178"/>
        <item x="306"/>
        <item x="415"/>
        <item x="398"/>
        <item x="501"/>
        <item x="614"/>
        <item x="468"/>
        <item x="556"/>
        <item x="689"/>
        <item x="517"/>
        <item x="693"/>
        <item x="322"/>
        <item x="485"/>
        <item x="133"/>
        <item x="617"/>
        <item x="163"/>
        <item x="144"/>
        <item x="600"/>
        <item x="580"/>
        <item x="228"/>
        <item x="745"/>
        <item x="626"/>
        <item x="122"/>
        <item x="591"/>
        <item x="558"/>
        <item x="548"/>
        <item x="41"/>
        <item x="525"/>
        <item x="262"/>
        <item x="495"/>
        <item x="61"/>
        <item x="644"/>
        <item x="422"/>
        <item x="737"/>
        <item x="256"/>
        <item x="431"/>
        <item x="409"/>
        <item x="84"/>
        <item x="132"/>
        <item x="736"/>
        <item x="743"/>
        <item x="154"/>
        <item x="121"/>
        <item x="162"/>
        <item x="739"/>
        <item x="24"/>
        <item x="444"/>
        <item x="176"/>
        <item x="408"/>
        <item x="460"/>
        <item x="676"/>
        <item x="350"/>
        <item x="634"/>
        <item x="755"/>
        <item x="511"/>
        <item x="508"/>
        <item x="720"/>
        <item x="394"/>
        <item x="668"/>
        <item x="531"/>
        <item x="156"/>
        <item x="560"/>
        <item x="593"/>
        <item x="192"/>
        <item x="566"/>
        <item x="722"/>
        <item x="377"/>
        <item x="502"/>
        <item x="685"/>
        <item x="607"/>
        <item x="442"/>
        <item x="652"/>
        <item x="42"/>
        <item x="697"/>
        <item x="359"/>
        <item x="597"/>
        <item x="677"/>
        <item x="3"/>
        <item x="559"/>
        <item x="603"/>
        <item x="526"/>
        <item x="575"/>
        <item x="358"/>
        <item x="673"/>
        <item x="663"/>
        <item x="314"/>
        <item x="639"/>
        <item x="388"/>
        <item x="378"/>
        <item x="430"/>
        <item x="191"/>
        <item x="2"/>
        <item x="706"/>
        <item x="654"/>
        <item x="588"/>
        <item x="323"/>
        <item x="632"/>
        <item x="592"/>
        <item x="500"/>
        <item x="44"/>
        <item x="367"/>
        <item x="161"/>
        <item x="742"/>
        <item x="577"/>
        <item x="484"/>
        <item x="337"/>
        <item x="241"/>
        <item x="729"/>
        <item x="705"/>
        <item x="552"/>
        <item x="643"/>
        <item x="22"/>
        <item x="507"/>
        <item x="203"/>
        <item x="244"/>
        <item x="107"/>
        <item x="563"/>
        <item x="96"/>
        <item x="467"/>
        <item x="392"/>
        <item x="402"/>
        <item x="449"/>
        <item x="475"/>
        <item x="143"/>
        <item x="547"/>
        <item x="613"/>
        <item x="746"/>
        <item x="612"/>
        <item x="760"/>
        <item x="637"/>
        <item x="261"/>
        <item x="206"/>
        <item x="175"/>
        <item x="313"/>
        <item x="741"/>
        <item x="400"/>
        <item x="688"/>
        <item x="120"/>
        <item x="470"/>
        <item x="762"/>
        <item x="329"/>
        <item x="694"/>
        <item x="730"/>
        <item x="291"/>
        <item x="649"/>
        <item x="744"/>
        <item x="420"/>
        <item x="205"/>
        <item x="274"/>
        <item x="397"/>
        <item x="596"/>
        <item x="302"/>
        <item x="466"/>
        <item x="290"/>
        <item x="711"/>
        <item x="696"/>
        <item x="43"/>
        <item x="608"/>
        <item x="759"/>
        <item x="750"/>
        <item x="275"/>
        <item x="704"/>
        <item x="215"/>
        <item x="153"/>
        <item x="0"/>
        <item x="681"/>
        <item x="401"/>
        <item x="675"/>
        <item x="478"/>
        <item x="142"/>
        <item x="349"/>
        <item x="539"/>
        <item x="683"/>
        <item x="73"/>
        <item x="448"/>
        <item x="633"/>
        <item x="189"/>
        <item x="541"/>
        <item x="59"/>
        <item x="413"/>
        <item x="714"/>
        <item x="579"/>
        <item x="21"/>
        <item x="491"/>
        <item x="243"/>
        <item x="740"/>
        <item x="443"/>
        <item x="214"/>
        <item x="763"/>
        <item x="312"/>
        <item x="348"/>
        <item x="303"/>
        <item x="553"/>
        <item x="95"/>
        <item x="551"/>
        <item x="281"/>
        <item x="387"/>
        <item x="1"/>
        <item x="305"/>
        <item x="698"/>
        <item x="72"/>
        <item x="703"/>
        <item x="429"/>
        <item x="648"/>
        <item x="83"/>
        <item x="629"/>
        <item x="368"/>
        <item x="735"/>
        <item x="506"/>
        <item x="304"/>
        <item x="546"/>
        <item x="499"/>
        <item x="321"/>
        <item x="477"/>
        <item x="376"/>
        <item x="226"/>
        <item x="106"/>
        <item x="190"/>
        <item x="738"/>
        <item x="227"/>
        <item x="260"/>
        <item x="509"/>
        <item x="620"/>
        <item x="576"/>
        <item x="57"/>
        <item x="573"/>
        <item x="625"/>
        <item x="131"/>
        <item x="595"/>
        <item x="152"/>
        <item x="642"/>
        <item x="375"/>
        <item x="357"/>
        <item x="715"/>
        <item x="347"/>
        <item x="692"/>
        <item x="130"/>
        <item x="586"/>
        <item x="421"/>
        <item x="242"/>
        <item x="451"/>
        <item x="399"/>
        <item x="459"/>
        <item x="474"/>
        <item x="204"/>
        <item x="483"/>
        <item x="492"/>
        <item x="174"/>
        <item x="386"/>
        <item x="419"/>
        <item x="599"/>
        <item x="140"/>
        <item x="160"/>
        <item x="660"/>
        <item x="253"/>
        <item x="516"/>
        <item x="609"/>
        <item x="58"/>
        <item x="289"/>
        <item x="564"/>
        <item x="463"/>
        <item x="428"/>
        <item x="672"/>
        <item x="311"/>
        <item x="590"/>
        <item x="647"/>
        <item x="657"/>
        <item x="450"/>
        <item x="524"/>
        <item x="341"/>
        <item x="407"/>
        <item x="571"/>
        <item x="628"/>
        <item x="662"/>
        <item x="578"/>
        <item x="636"/>
        <item x="320"/>
        <item x="702"/>
        <item x="538"/>
        <item x="515"/>
        <item x="726"/>
        <item x="20"/>
        <item x="565"/>
        <item x="646"/>
        <item x="252"/>
        <item x="605"/>
        <item x="129"/>
        <item x="336"/>
        <item x="520"/>
        <item x="259"/>
        <item x="710"/>
        <item x="601"/>
        <item x="395"/>
        <item x="105"/>
        <item x="465"/>
        <item x="213"/>
        <item x="550"/>
        <item x="754"/>
        <item x="764"/>
        <item x="622"/>
        <item x="119"/>
        <item x="523"/>
        <item x="749"/>
        <item x="585"/>
        <item x="557"/>
        <item x="273"/>
        <item x="40"/>
        <item x="653"/>
        <item x="544"/>
        <item x="748"/>
        <item x="619"/>
        <item x="365"/>
        <item x="71"/>
        <item x="589"/>
        <item x="356"/>
        <item x="638"/>
        <item x="570"/>
        <item x="537"/>
        <item x="458"/>
        <item x="464"/>
        <item x="82"/>
        <item x="94"/>
        <item x="661"/>
        <item x="584"/>
      </items>
    </pivotField>
    <pivotField dataField="1" showAll="0" defaultSubtotal="0">
      <items count="149">
        <item x="127"/>
        <item x="123"/>
        <item x="93"/>
        <item x="108"/>
        <item x="110"/>
        <item x="119"/>
        <item x="67"/>
        <item x="98"/>
        <item x="109"/>
        <item x="113"/>
        <item x="106"/>
        <item x="104"/>
        <item x="134"/>
        <item x="79"/>
        <item x="76"/>
        <item x="130"/>
        <item x="63"/>
        <item x="52"/>
        <item x="125"/>
        <item x="83"/>
        <item x="120"/>
        <item x="121"/>
        <item x="97"/>
        <item x="71"/>
        <item x="86"/>
        <item x="94"/>
        <item x="44"/>
        <item x="105"/>
        <item x="60"/>
        <item x="111"/>
        <item x="135"/>
        <item x="64"/>
        <item x="124"/>
        <item x="148"/>
        <item x="118"/>
        <item x="99"/>
        <item x="103"/>
        <item x="101"/>
        <item x="96"/>
        <item x="107"/>
        <item x="133"/>
        <item x="116"/>
        <item x="58"/>
        <item x="73"/>
        <item x="102"/>
        <item x="115"/>
        <item x="147"/>
        <item x="100"/>
        <item x="53"/>
        <item x="46"/>
        <item x="144"/>
        <item x="129"/>
        <item x="92"/>
        <item x="137"/>
        <item x="68"/>
        <item x="145"/>
        <item x="126"/>
        <item x="146"/>
        <item x="122"/>
        <item x="84"/>
        <item x="70"/>
        <item x="36"/>
        <item x="74"/>
        <item x="90"/>
        <item x="72"/>
        <item x="114"/>
        <item x="69"/>
        <item x="55"/>
        <item x="91"/>
        <item x="82"/>
        <item x="81"/>
        <item x="66"/>
        <item x="89"/>
        <item x="80"/>
        <item x="143"/>
        <item x="47"/>
        <item x="131"/>
        <item x="65"/>
        <item x="132"/>
        <item x="138"/>
        <item x="140"/>
        <item x="142"/>
        <item x="117"/>
        <item x="141"/>
        <item x="88"/>
        <item x="77"/>
        <item x="87"/>
        <item x="61"/>
        <item x="139"/>
        <item x="62"/>
        <item x="78"/>
        <item x="43"/>
        <item x="39"/>
        <item x="59"/>
        <item x="24"/>
        <item x="42"/>
        <item x="49"/>
        <item x="54"/>
        <item x="56"/>
        <item x="112"/>
        <item x="136"/>
        <item x="22"/>
        <item x="128"/>
        <item x="85"/>
        <item x="95"/>
        <item x="51"/>
        <item x="75"/>
        <item x="48"/>
        <item x="57"/>
        <item x="26"/>
        <item x="25"/>
        <item x="29"/>
        <item x="45"/>
        <item x="50"/>
        <item x="41"/>
        <item x="9"/>
        <item x="3"/>
        <item x="40"/>
        <item x="2"/>
        <item x="6"/>
        <item x="21"/>
        <item x="8"/>
        <item x="31"/>
        <item x="23"/>
        <item x="5"/>
        <item x="35"/>
        <item x="37"/>
        <item x="38"/>
        <item x="34"/>
        <item x="33"/>
        <item x="32"/>
        <item x="30"/>
        <item x="28"/>
        <item x="1"/>
        <item x="27"/>
        <item x="19"/>
        <item x="12"/>
        <item x="4"/>
        <item x="18"/>
        <item x="11"/>
        <item x="7"/>
        <item x="16"/>
        <item x="15"/>
        <item x="13"/>
        <item x="14"/>
        <item x="17"/>
        <item x="20"/>
        <item x="10"/>
        <item x="0"/>
      </items>
    </pivotField>
    <pivotField dataField="1" showAll="0" defaultSubtotal="0">
      <items count="505">
        <item x="151"/>
        <item x="89"/>
        <item x="132"/>
        <item x="219"/>
        <item x="309"/>
        <item x="197"/>
        <item x="230"/>
        <item x="303"/>
        <item x="62"/>
        <item x="187"/>
        <item x="296"/>
        <item x="234"/>
        <item x="176"/>
        <item x="34"/>
        <item x="136"/>
        <item x="209"/>
        <item x="196"/>
        <item x="99"/>
        <item x="478"/>
        <item x="179"/>
        <item x="109"/>
        <item x="101"/>
        <item x="120"/>
        <item x="195"/>
        <item x="41"/>
        <item x="295"/>
        <item x="71"/>
        <item x="208"/>
        <item x="9"/>
        <item x="68"/>
        <item x="3"/>
        <item x="262"/>
        <item x="192"/>
        <item x="58"/>
        <item x="121"/>
        <item x="2"/>
        <item x="6"/>
        <item x="306"/>
        <item x="24"/>
        <item x="131"/>
        <item x="84"/>
        <item x="167"/>
        <item x="201"/>
        <item x="114"/>
        <item x="8"/>
        <item x="422"/>
        <item x="479"/>
        <item x="157"/>
        <item x="22"/>
        <item x="161"/>
        <item x="83"/>
        <item x="235"/>
        <item x="108"/>
        <item x="5"/>
        <item x="156"/>
        <item x="385"/>
        <item x="49"/>
        <item x="43"/>
        <item x="174"/>
        <item x="206"/>
        <item x="26"/>
        <item x="293"/>
        <item x="25"/>
        <item x="166"/>
        <item x="81"/>
        <item x="96"/>
        <item x="55"/>
        <item x="91"/>
        <item x="67"/>
        <item x="186"/>
        <item x="290"/>
        <item x="227"/>
        <item x="154"/>
        <item x="254"/>
        <item x="482"/>
        <item x="59"/>
        <item x="125"/>
        <item x="143"/>
        <item x="135"/>
        <item x="183"/>
        <item x="232"/>
        <item x="410"/>
        <item x="264"/>
        <item x="146"/>
        <item x="185"/>
        <item x="94"/>
        <item x="1"/>
        <item x="238"/>
        <item x="250"/>
        <item x="193"/>
        <item x="222"/>
        <item x="278"/>
        <item x="226"/>
        <item x="19"/>
        <item x="500"/>
        <item x="207"/>
        <item x="294"/>
        <item x="44"/>
        <item x="223"/>
        <item x="363"/>
        <item x="326"/>
        <item x="113"/>
        <item x="53"/>
        <item x="299"/>
        <item x="12"/>
        <item x="191"/>
        <item x="236"/>
        <item x="281"/>
        <item x="245"/>
        <item x="375"/>
        <item x="177"/>
        <item x="126"/>
        <item x="21"/>
        <item x="119"/>
        <item x="265"/>
        <item x="4"/>
        <item x="241"/>
        <item x="181"/>
        <item x="497"/>
        <item x="231"/>
        <item x="332"/>
        <item x="123"/>
        <item x="465"/>
        <item x="401"/>
        <item x="384"/>
        <item x="477"/>
        <item x="210"/>
        <item x="80"/>
        <item x="158"/>
        <item x="446"/>
        <item x="30"/>
        <item x="280"/>
        <item x="106"/>
        <item x="261"/>
        <item x="23"/>
        <item x="153"/>
        <item x="329"/>
        <item x="40"/>
        <item x="337"/>
        <item x="63"/>
        <item x="310"/>
        <item x="18"/>
        <item x="92"/>
        <item x="285"/>
        <item x="211"/>
        <item x="168"/>
        <item x="104"/>
        <item x="404"/>
        <item x="129"/>
        <item x="173"/>
        <item x="102"/>
        <item x="33"/>
        <item x="11"/>
        <item x="35"/>
        <item x="199"/>
        <item x="64"/>
        <item x="220"/>
        <item x="78"/>
        <item x="36"/>
        <item x="7"/>
        <item x="16"/>
        <item x="141"/>
        <item x="32"/>
        <item x="39"/>
        <item x="164"/>
        <item x="46"/>
        <item x="253"/>
        <item x="160"/>
        <item x="221"/>
        <item x="79"/>
        <item x="159"/>
        <item x="189"/>
        <item x="65"/>
        <item x="15"/>
        <item x="50"/>
        <item x="305"/>
        <item x="268"/>
        <item x="460"/>
        <item x="13"/>
        <item x="14"/>
        <item x="152"/>
        <item x="51"/>
        <item x="138"/>
        <item x="90"/>
        <item x="103"/>
        <item x="17"/>
        <item x="237"/>
        <item x="111"/>
        <item x="128"/>
        <item x="202"/>
        <item x="139"/>
        <item x="118"/>
        <item x="180"/>
        <item x="165"/>
        <item x="75"/>
        <item x="31"/>
        <item x="107"/>
        <item x="87"/>
        <item x="150"/>
        <item x="61"/>
        <item x="77"/>
        <item x="182"/>
        <item x="29"/>
        <item x="76"/>
        <item x="110"/>
        <item x="204"/>
        <item x="74"/>
        <item x="229"/>
        <item x="137"/>
        <item x="117"/>
        <item x="162"/>
        <item x="266"/>
        <item x="73"/>
        <item x="100"/>
        <item x="198"/>
        <item x="452"/>
        <item x="327"/>
        <item x="172"/>
        <item x="178"/>
        <item x="127"/>
        <item x="60"/>
        <item x="252"/>
        <item x="88"/>
        <item x="10"/>
        <item x="287"/>
        <item x="72"/>
        <item x="203"/>
        <item x="218"/>
        <item x="48"/>
        <item x="246"/>
        <item x="86"/>
        <item x="169"/>
        <item x="148"/>
        <item x="188"/>
        <item x="480"/>
        <item x="312"/>
        <item x="45"/>
        <item x="28"/>
        <item x="251"/>
        <item x="304"/>
        <item x="483"/>
        <item x="27"/>
        <item x="149"/>
        <item x="485"/>
        <item x="240"/>
        <item x="233"/>
        <item x="133"/>
        <item x="249"/>
        <item x="170"/>
        <item x="435"/>
        <item x="320"/>
        <item x="501"/>
        <item x="334"/>
        <item x="302"/>
        <item x="277"/>
        <item x="163"/>
        <item x="467"/>
        <item x="147"/>
        <item x="97"/>
        <item x="69"/>
        <item x="42"/>
        <item x="56"/>
        <item x="47"/>
        <item x="171"/>
        <item x="279"/>
        <item x="115"/>
        <item x="57"/>
        <item x="308"/>
        <item x="458"/>
        <item x="224"/>
        <item x="297"/>
        <item x="98"/>
        <item x="194"/>
        <item x="70"/>
        <item x="275"/>
        <item x="491"/>
        <item x="145"/>
        <item x="366"/>
        <item x="85"/>
        <item x="455"/>
        <item x="190"/>
        <item x="248"/>
        <item x="444"/>
        <item x="95"/>
        <item x="440"/>
        <item x="338"/>
        <item x="38"/>
        <item x="134"/>
        <item x="307"/>
        <item x="82"/>
        <item x="449"/>
        <item x="286"/>
        <item x="356"/>
        <item x="267"/>
        <item x="433"/>
        <item x="314"/>
        <item x="274"/>
        <item x="258"/>
        <item x="406"/>
        <item x="124"/>
        <item x="175"/>
        <item x="425"/>
        <item x="116"/>
        <item x="348"/>
        <item x="447"/>
        <item x="144"/>
        <item x="365"/>
        <item x="341"/>
        <item x="463"/>
        <item x="325"/>
        <item x="282"/>
        <item x="142"/>
        <item x="498"/>
        <item x="396"/>
        <item x="300"/>
        <item x="54"/>
        <item x="276"/>
        <item x="228"/>
        <item x="494"/>
        <item x="215"/>
        <item x="427"/>
        <item x="271"/>
        <item x="419"/>
        <item x="243"/>
        <item x="289"/>
        <item x="376"/>
        <item x="434"/>
        <item x="388"/>
        <item x="499"/>
        <item x="364"/>
        <item x="412"/>
        <item x="454"/>
        <item x="328"/>
        <item x="200"/>
        <item x="382"/>
        <item x="459"/>
        <item x="260"/>
        <item x="242"/>
        <item x="0"/>
        <item x="205"/>
        <item x="301"/>
        <item x="284"/>
        <item x="379"/>
        <item x="392"/>
        <item x="374"/>
        <item x="490"/>
        <item x="216"/>
        <item x="476"/>
        <item x="488"/>
        <item x="462"/>
        <item x="257"/>
        <item x="469"/>
        <item x="37"/>
        <item x="184"/>
        <item x="247"/>
        <item x="155"/>
        <item x="322"/>
        <item x="395"/>
        <item x="316"/>
        <item x="423"/>
        <item x="357"/>
        <item x="475"/>
        <item x="217"/>
        <item x="313"/>
        <item x="451"/>
        <item x="292"/>
        <item x="445"/>
        <item x="273"/>
        <item x="335"/>
        <item x="484"/>
        <item x="369"/>
        <item x="411"/>
        <item x="450"/>
        <item x="239"/>
        <item x="466"/>
        <item x="330"/>
        <item x="263"/>
        <item x="457"/>
        <item x="426"/>
        <item x="432"/>
        <item x="418"/>
        <item x="362"/>
        <item x="130"/>
        <item x="298"/>
        <item x="481"/>
        <item x="347"/>
        <item x="259"/>
        <item x="430"/>
        <item x="339"/>
        <item x="383"/>
        <item x="66"/>
        <item x="140"/>
        <item x="342"/>
        <item x="52"/>
        <item x="225"/>
        <item x="361"/>
        <item x="474"/>
        <item x="496"/>
        <item x="355"/>
        <item x="319"/>
        <item x="20"/>
        <item x="345"/>
        <item x="336"/>
        <item x="270"/>
        <item x="349"/>
        <item x="424"/>
        <item x="402"/>
        <item x="487"/>
        <item x="311"/>
        <item x="394"/>
        <item x="399"/>
        <item x="105"/>
        <item x="318"/>
        <item x="255"/>
        <item x="288"/>
        <item x="112"/>
        <item x="368"/>
        <item x="414"/>
        <item x="415"/>
        <item x="371"/>
        <item x="416"/>
        <item x="397"/>
        <item x="464"/>
        <item x="441"/>
        <item x="272"/>
        <item x="269"/>
        <item x="346"/>
        <item x="381"/>
        <item x="437"/>
        <item x="324"/>
        <item x="323"/>
        <item x="408"/>
        <item x="351"/>
        <item x="256"/>
        <item x="340"/>
        <item x="493"/>
        <item x="453"/>
        <item x="468"/>
        <item x="343"/>
        <item x="429"/>
        <item x="472"/>
        <item x="214"/>
        <item x="417"/>
        <item x="495"/>
        <item x="291"/>
        <item x="461"/>
        <item x="354"/>
        <item x="367"/>
        <item x="387"/>
        <item x="431"/>
        <item x="400"/>
        <item x="443"/>
        <item x="93"/>
        <item x="283"/>
        <item x="503"/>
        <item x="321"/>
        <item x="333"/>
        <item x="391"/>
        <item x="405"/>
        <item x="398"/>
        <item x="373"/>
        <item x="486"/>
        <item x="213"/>
        <item x="315"/>
        <item x="489"/>
        <item x="502"/>
        <item x="456"/>
        <item x="317"/>
        <item x="473"/>
        <item x="380"/>
        <item x="344"/>
        <item x="372"/>
        <item x="122"/>
        <item x="504"/>
        <item x="244"/>
        <item x="442"/>
        <item x="390"/>
        <item x="448"/>
        <item x="421"/>
        <item x="331"/>
        <item x="436"/>
        <item x="428"/>
        <item x="352"/>
        <item x="358"/>
        <item x="471"/>
        <item x="378"/>
        <item x="212"/>
        <item x="470"/>
        <item x="386"/>
        <item x="370"/>
        <item x="492"/>
        <item x="403"/>
        <item x="389"/>
        <item x="407"/>
        <item x="350"/>
        <item x="420"/>
        <item x="360"/>
        <item x="393"/>
        <item x="353"/>
        <item x="377"/>
        <item x="413"/>
        <item x="359"/>
        <item x="409"/>
        <item x="439"/>
        <item x="438"/>
      </items>
    </pivotField>
    <pivotField dataField="1" showAll="0" defaultSubtotal="0">
      <items count="9">
        <item x="0"/>
        <item x="6"/>
        <item x="1"/>
        <item x="2"/>
        <item x="3"/>
        <item x="4"/>
        <item x="7"/>
        <item x="8"/>
        <item x="5"/>
      </items>
    </pivotField>
  </pivotFields>
  <rowFields count="3">
    <field x="2"/>
    <field x="6"/>
    <field x="5"/>
  </rowFields>
  <rowItems count="5751">
    <i>
      <x/>
    </i>
    <i r="1">
      <x/>
      <x v="156"/>
    </i>
    <i r="1">
      <x v="1"/>
      <x v="196"/>
    </i>
    <i r="1">
      <x v="2"/>
      <x v="189"/>
    </i>
    <i r="1">
      <x v="3"/>
      <x v="195"/>
    </i>
    <i r="1">
      <x v="4"/>
      <x v="185"/>
    </i>
    <i r="1">
      <x v="5"/>
      <x v="188"/>
    </i>
    <i r="1">
      <x v="6"/>
      <x v="215"/>
    </i>
    <i r="1">
      <x v="7"/>
      <x v="146"/>
    </i>
    <i r="1">
      <x v="8"/>
      <x v="212"/>
    </i>
    <i r="1">
      <x v="9"/>
      <x v="190"/>
    </i>
    <i r="1">
      <x v="10"/>
      <x v="4"/>
    </i>
    <i r="1">
      <x v="11"/>
      <x v="135"/>
    </i>
    <i r="1">
      <x v="12"/>
      <x v="133"/>
    </i>
    <i r="1">
      <x v="13"/>
      <x v="17"/>
    </i>
    <i r="2">
      <x v="19"/>
    </i>
    <i r="1">
      <x v="15"/>
      <x v="155"/>
    </i>
    <i r="1">
      <x v="16"/>
      <x v="175"/>
    </i>
    <i r="1">
      <x v="17"/>
      <x v="6"/>
    </i>
    <i r="1">
      <x v="18"/>
      <x v="140"/>
    </i>
    <i r="1">
      <x v="19"/>
      <x v="226"/>
    </i>
    <i t="blank">
      <x/>
    </i>
    <i>
      <x v="1"/>
    </i>
    <i r="1">
      <x/>
      <x v="156"/>
    </i>
    <i r="1">
      <x v="1"/>
      <x v="196"/>
    </i>
    <i r="1">
      <x v="2"/>
      <x v="189"/>
    </i>
    <i r="1">
      <x v="3"/>
      <x v="185"/>
    </i>
    <i r="1">
      <x v="4"/>
      <x v="195"/>
    </i>
    <i r="1">
      <x v="5"/>
      <x v="188"/>
    </i>
    <i r="1">
      <x v="6"/>
      <x v="215"/>
    </i>
    <i r="1">
      <x v="7"/>
      <x v="155"/>
    </i>
    <i r="1">
      <x v="8"/>
      <x v="175"/>
    </i>
    <i r="1">
      <x v="9"/>
      <x v="212"/>
    </i>
    <i r="1">
      <x v="10"/>
      <x v="19"/>
    </i>
    <i r="1">
      <x v="11"/>
      <x v="146"/>
    </i>
    <i r="1">
      <x v="12"/>
      <x v="154"/>
    </i>
    <i r="1">
      <x v="13"/>
      <x v="120"/>
    </i>
    <i r="1">
      <x v="14"/>
      <x v="17"/>
    </i>
    <i r="1">
      <x v="15"/>
      <x v="15"/>
    </i>
    <i r="1">
      <x v="16"/>
      <x v="214"/>
    </i>
    <i r="1">
      <x v="17"/>
      <x v="140"/>
    </i>
    <i r="1">
      <x v="18"/>
      <x v="158"/>
    </i>
    <i r="1">
      <x v="19"/>
      <x v="6"/>
    </i>
    <i t="blank">
      <x v="1"/>
    </i>
    <i>
      <x v="2"/>
    </i>
    <i r="1">
      <x/>
      <x v="189"/>
    </i>
    <i r="1">
      <x v="1"/>
      <x v="156"/>
    </i>
    <i r="1">
      <x v="2"/>
      <x v="185"/>
    </i>
    <i r="1">
      <x v="3"/>
      <x v="188"/>
    </i>
    <i r="1">
      <x v="4"/>
      <x v="196"/>
    </i>
    <i r="1">
      <x v="5"/>
      <x v="164"/>
    </i>
    <i r="1">
      <x v="6"/>
      <x v="155"/>
    </i>
    <i r="1">
      <x v="7"/>
      <x v="215"/>
    </i>
    <i r="1">
      <x v="8"/>
      <x v="212"/>
    </i>
    <i r="1">
      <x v="9"/>
      <x v="175"/>
    </i>
    <i r="1">
      <x v="10"/>
      <x v="146"/>
    </i>
    <i r="1">
      <x v="11"/>
      <x v="154"/>
    </i>
    <i r="1">
      <x v="12"/>
      <x v="235"/>
    </i>
    <i r="1">
      <x v="13"/>
      <x v="167"/>
    </i>
    <i r="1">
      <x v="14"/>
      <x v="190"/>
    </i>
    <i r="1">
      <x v="15"/>
      <x v="124"/>
    </i>
    <i r="1">
      <x v="16"/>
      <x v="198"/>
    </i>
    <i r="1">
      <x v="17"/>
      <x v="140"/>
    </i>
    <i r="1">
      <x v="18"/>
      <x v="86"/>
    </i>
    <i r="1">
      <x v="19"/>
      <x v="195"/>
    </i>
    <i t="blank">
      <x v="2"/>
    </i>
    <i>
      <x v="3"/>
    </i>
    <i r="1">
      <x/>
      <x v="156"/>
    </i>
    <i r="1">
      <x v="1"/>
      <x v="196"/>
    </i>
    <i r="1">
      <x v="2"/>
      <x v="195"/>
    </i>
    <i r="1">
      <x v="3"/>
      <x v="19"/>
    </i>
    <i r="1">
      <x v="4"/>
      <x v="215"/>
    </i>
    <i r="1">
      <x v="5"/>
      <x v="175"/>
    </i>
    <i r="1">
      <x v="6"/>
      <x v="17"/>
    </i>
    <i r="1">
      <x v="7"/>
      <x v="188"/>
    </i>
    <i r="1">
      <x v="8"/>
      <x v="185"/>
    </i>
    <i r="1">
      <x v="9"/>
      <x v="6"/>
    </i>
    <i r="1">
      <x v="10"/>
      <x v="16"/>
    </i>
    <i r="1">
      <x v="11"/>
      <x v="189"/>
    </i>
    <i r="1">
      <x v="12"/>
      <x v="135"/>
    </i>
    <i r="1">
      <x v="13"/>
      <x v="8"/>
    </i>
    <i r="1">
      <x v="14"/>
      <x v="155"/>
    </i>
    <i r="2">
      <x v="212"/>
    </i>
    <i r="1">
      <x v="16"/>
      <x v="15"/>
    </i>
    <i r="1">
      <x v="17"/>
      <x v="146"/>
    </i>
    <i r="1">
      <x v="18"/>
      <x v="4"/>
    </i>
    <i r="2">
      <x v="154"/>
    </i>
    <i t="blank">
      <x v="3"/>
    </i>
    <i>
      <x v="4"/>
    </i>
    <i r="1">
      <x/>
      <x v="156"/>
    </i>
    <i r="1">
      <x v="1"/>
      <x v="196"/>
    </i>
    <i r="1">
      <x v="2"/>
      <x v="195"/>
    </i>
    <i r="1">
      <x v="3"/>
      <x v="155"/>
    </i>
    <i r="1">
      <x v="4"/>
      <x v="19"/>
    </i>
    <i r="1">
      <x v="5"/>
      <x v="215"/>
    </i>
    <i r="1">
      <x v="6"/>
      <x v="16"/>
    </i>
    <i r="2">
      <x v="17"/>
    </i>
    <i r="1">
      <x v="8"/>
      <x v="135"/>
    </i>
    <i r="1">
      <x v="9"/>
      <x v="120"/>
    </i>
    <i r="1">
      <x v="10"/>
      <x v="8"/>
    </i>
    <i r="2">
      <x v="113"/>
    </i>
    <i r="1">
      <x v="12"/>
      <x v="6"/>
    </i>
    <i r="1">
      <x v="13"/>
      <x v="185"/>
    </i>
    <i r="1">
      <x v="14"/>
      <x v="175"/>
    </i>
    <i r="1">
      <x v="15"/>
      <x v="15"/>
    </i>
    <i r="2">
      <x v="154"/>
    </i>
    <i r="1">
      <x v="17"/>
      <x v="158"/>
    </i>
    <i r="1">
      <x v="18"/>
      <x v="212"/>
    </i>
    <i r="1">
      <x v="19"/>
      <x v="146"/>
    </i>
    <i t="blank">
      <x v="4"/>
    </i>
    <i>
      <x v="5"/>
    </i>
    <i r="1">
      <x/>
      <x v="156"/>
    </i>
    <i r="1">
      <x v="1"/>
      <x v="196"/>
    </i>
    <i r="1">
      <x v="2"/>
      <x v="195"/>
    </i>
    <i r="1">
      <x v="3"/>
      <x v="120"/>
    </i>
    <i r="2">
      <x v="215"/>
    </i>
    <i r="1">
      <x v="5"/>
      <x v="188"/>
    </i>
    <i r="1">
      <x v="6"/>
      <x v="19"/>
    </i>
    <i r="1">
      <x v="7"/>
      <x v="135"/>
    </i>
    <i r="1">
      <x v="8"/>
      <x v="175"/>
    </i>
    <i r="1">
      <x v="9"/>
      <x v="15"/>
    </i>
    <i r="1">
      <x v="10"/>
      <x v="113"/>
    </i>
    <i r="1">
      <x v="11"/>
      <x v="6"/>
    </i>
    <i r="1">
      <x v="12"/>
      <x v="185"/>
    </i>
    <i r="1">
      <x v="13"/>
      <x v="155"/>
    </i>
    <i r="1">
      <x v="14"/>
      <x v="17"/>
    </i>
    <i r="1">
      <x v="15"/>
      <x v="189"/>
    </i>
    <i r="1">
      <x v="16"/>
      <x v="16"/>
    </i>
    <i r="1">
      <x v="17"/>
      <x v="146"/>
    </i>
    <i r="1">
      <x v="18"/>
      <x v="8"/>
    </i>
    <i r="1">
      <x v="19"/>
      <x v="154"/>
    </i>
    <i t="blank">
      <x v="5"/>
    </i>
    <i>
      <x v="6"/>
    </i>
    <i r="1">
      <x/>
      <x v="156"/>
    </i>
    <i r="1">
      <x v="1"/>
      <x v="196"/>
    </i>
    <i r="1">
      <x v="2"/>
      <x v="195"/>
    </i>
    <i r="1">
      <x v="3"/>
      <x v="215"/>
    </i>
    <i r="1">
      <x v="4"/>
      <x v="155"/>
    </i>
    <i r="1">
      <x v="5"/>
      <x v="185"/>
    </i>
    <i r="1">
      <x v="6"/>
      <x v="212"/>
    </i>
    <i r="1">
      <x v="7"/>
      <x v="175"/>
    </i>
    <i r="1">
      <x v="8"/>
      <x v="154"/>
    </i>
    <i r="1">
      <x v="9"/>
      <x v="188"/>
    </i>
    <i r="1">
      <x v="10"/>
      <x v="158"/>
    </i>
    <i r="1">
      <x v="11"/>
      <x v="15"/>
    </i>
    <i r="2">
      <x v="214"/>
    </i>
    <i r="1">
      <x v="13"/>
      <x v="146"/>
    </i>
    <i r="1">
      <x v="14"/>
      <x v="120"/>
    </i>
    <i r="1">
      <x v="15"/>
      <x v="194"/>
    </i>
    <i r="1">
      <x v="16"/>
      <x v="19"/>
    </i>
    <i r="1">
      <x v="17"/>
      <x v="8"/>
    </i>
    <i r="1">
      <x v="18"/>
      <x v="152"/>
    </i>
    <i r="1">
      <x v="19"/>
      <x v="140"/>
    </i>
    <i t="blank">
      <x v="6"/>
    </i>
    <i>
      <x v="7"/>
    </i>
    <i r="1">
      <x/>
      <x v="156"/>
    </i>
    <i r="1">
      <x v="1"/>
      <x v="196"/>
    </i>
    <i r="1">
      <x v="2"/>
      <x v="195"/>
    </i>
    <i r="1">
      <x v="3"/>
      <x v="185"/>
    </i>
    <i r="1">
      <x v="4"/>
      <x v="215"/>
    </i>
    <i r="1">
      <x v="5"/>
      <x v="155"/>
    </i>
    <i r="1">
      <x v="6"/>
      <x v="175"/>
    </i>
    <i r="1">
      <x v="7"/>
      <x v="189"/>
    </i>
    <i r="1">
      <x v="8"/>
      <x v="212"/>
    </i>
    <i r="1">
      <x v="9"/>
      <x v="188"/>
    </i>
    <i r="1">
      <x v="10"/>
      <x v="4"/>
    </i>
    <i r="1">
      <x v="11"/>
      <x v="146"/>
    </i>
    <i r="1">
      <x v="12"/>
      <x v="190"/>
    </i>
    <i r="1">
      <x v="13"/>
      <x v="19"/>
    </i>
    <i r="2">
      <x v="194"/>
    </i>
    <i r="1">
      <x v="15"/>
      <x v="8"/>
    </i>
    <i r="1">
      <x v="16"/>
      <x v="15"/>
    </i>
    <i r="2">
      <x v="140"/>
    </i>
    <i r="2">
      <x v="158"/>
    </i>
    <i r="2">
      <x v="214"/>
    </i>
    <i t="blank">
      <x v="7"/>
    </i>
    <i>
      <x v="8"/>
    </i>
    <i r="1">
      <x/>
      <x v="156"/>
    </i>
    <i r="1">
      <x v="1"/>
      <x v="196"/>
    </i>
    <i r="1">
      <x v="2"/>
      <x v="215"/>
    </i>
    <i r="1">
      <x v="3"/>
      <x v="189"/>
    </i>
    <i r="1">
      <x v="4"/>
      <x v="195"/>
    </i>
    <i r="1">
      <x v="5"/>
      <x v="185"/>
    </i>
    <i r="2">
      <x v="212"/>
    </i>
    <i r="1">
      <x v="7"/>
      <x v="155"/>
    </i>
    <i r="2">
      <x v="175"/>
    </i>
    <i r="1">
      <x v="9"/>
      <x v="188"/>
    </i>
    <i r="1">
      <x v="10"/>
      <x v="19"/>
    </i>
    <i r="1">
      <x v="11"/>
      <x v="15"/>
    </i>
    <i r="1">
      <x v="12"/>
      <x v="106"/>
    </i>
    <i r="2">
      <x v="146"/>
    </i>
    <i r="1">
      <x v="14"/>
      <x v="194"/>
    </i>
    <i r="1">
      <x v="15"/>
      <x v="154"/>
    </i>
    <i r="1">
      <x v="16"/>
      <x v="214"/>
    </i>
    <i r="1">
      <x v="17"/>
      <x v="8"/>
    </i>
    <i r="1">
      <x v="18"/>
      <x v="17"/>
    </i>
    <i r="2">
      <x v="190"/>
    </i>
    <i t="blank">
      <x v="8"/>
    </i>
    <i>
      <x v="9"/>
    </i>
    <i r="1">
      <x/>
      <x v="156"/>
    </i>
    <i r="1">
      <x v="1"/>
      <x v="196"/>
    </i>
    <i r="1">
      <x v="2"/>
      <x v="195"/>
    </i>
    <i r="1">
      <x v="3"/>
      <x v="155"/>
    </i>
    <i r="1">
      <x v="4"/>
      <x v="215"/>
    </i>
    <i r="1">
      <x v="5"/>
      <x v="189"/>
    </i>
    <i r="1">
      <x v="6"/>
      <x v="140"/>
    </i>
    <i r="1">
      <x v="7"/>
      <x v="185"/>
    </i>
    <i r="1">
      <x v="8"/>
      <x v="86"/>
    </i>
    <i r="2">
      <x v="194"/>
    </i>
    <i r="2">
      <x v="212"/>
    </i>
    <i r="1">
      <x v="11"/>
      <x v="214"/>
    </i>
    <i r="1">
      <x v="12"/>
      <x v="120"/>
    </i>
    <i r="2">
      <x v="175"/>
    </i>
    <i r="1">
      <x v="14"/>
      <x v="124"/>
    </i>
    <i r="1">
      <x v="15"/>
      <x v="193"/>
    </i>
    <i r="1">
      <x v="16"/>
      <x v="15"/>
    </i>
    <i r="2">
      <x v="17"/>
    </i>
    <i r="2">
      <x v="158"/>
    </i>
    <i r="2">
      <x v="188"/>
    </i>
    <i t="blank">
      <x v="9"/>
    </i>
    <i>
      <x v="10"/>
    </i>
    <i r="1">
      <x/>
      <x v="196"/>
    </i>
    <i r="1">
      <x v="1"/>
      <x v="156"/>
    </i>
    <i r="1">
      <x v="2"/>
      <x v="195"/>
    </i>
    <i r="1">
      <x v="3"/>
      <x v="215"/>
    </i>
    <i r="1">
      <x v="4"/>
      <x v="212"/>
    </i>
    <i r="1">
      <x v="5"/>
      <x v="95"/>
    </i>
    <i r="1">
      <x v="6"/>
      <x v="135"/>
    </i>
    <i r="1">
      <x v="7"/>
      <x v="8"/>
    </i>
    <i r="1">
      <x v="8"/>
      <x v="185"/>
    </i>
    <i r="1">
      <x v="9"/>
      <x v="17"/>
    </i>
    <i r="2">
      <x v="19"/>
    </i>
    <i r="1">
      <x v="11"/>
      <x v="189"/>
    </i>
    <i r="1">
      <x v="12"/>
      <x v="140"/>
    </i>
    <i r="2">
      <x v="211"/>
    </i>
    <i r="1">
      <x v="14"/>
      <x v="6"/>
    </i>
    <i r="2">
      <x v="15"/>
    </i>
    <i r="1">
      <x v="16"/>
      <x v="175"/>
    </i>
    <i r="2">
      <x v="214"/>
    </i>
    <i r="1">
      <x v="18"/>
      <x v="155"/>
    </i>
    <i r="1">
      <x v="19"/>
      <x v="193"/>
    </i>
    <i r="2">
      <x v="194"/>
    </i>
    <i t="blank">
      <x v="10"/>
    </i>
    <i>
      <x v="11"/>
    </i>
    <i r="1">
      <x/>
      <x v="156"/>
    </i>
    <i r="1">
      <x v="1"/>
      <x v="196"/>
    </i>
    <i r="1">
      <x v="2"/>
      <x v="195"/>
    </i>
    <i r="1">
      <x v="3"/>
      <x v="212"/>
    </i>
    <i r="1">
      <x v="4"/>
      <x v="135"/>
    </i>
    <i r="1">
      <x v="5"/>
      <x v="215"/>
    </i>
    <i r="1">
      <x v="6"/>
      <x v="95"/>
    </i>
    <i r="1">
      <x v="7"/>
      <x v="155"/>
    </i>
    <i r="1">
      <x v="8"/>
      <x v="17"/>
    </i>
    <i r="1">
      <x v="9"/>
      <x v="185"/>
    </i>
    <i r="1">
      <x v="10"/>
      <x v="4"/>
    </i>
    <i r="2">
      <x v="19"/>
    </i>
    <i r="1">
      <x v="12"/>
      <x v="175"/>
    </i>
    <i r="1">
      <x v="13"/>
      <x v="8"/>
    </i>
    <i r="1">
      <x v="14"/>
      <x v="146"/>
    </i>
    <i r="2">
      <x v="211"/>
    </i>
    <i r="1">
      <x v="16"/>
      <x v="15"/>
    </i>
    <i r="1">
      <x v="17"/>
      <x v="188"/>
    </i>
    <i r="1">
      <x v="18"/>
      <x v="7"/>
    </i>
    <i r="1">
      <x v="19"/>
      <x v="226"/>
    </i>
    <i t="blank">
      <x v="11"/>
    </i>
    <i>
      <x v="12"/>
    </i>
    <i r="1">
      <x/>
      <x v="196"/>
    </i>
    <i r="1">
      <x v="1"/>
      <x v="156"/>
    </i>
    <i r="1">
      <x v="2"/>
      <x v="195"/>
    </i>
    <i r="1">
      <x v="3"/>
      <x v="189"/>
    </i>
    <i r="1">
      <x v="4"/>
      <x v="185"/>
    </i>
    <i r="1">
      <x v="5"/>
      <x v="215"/>
    </i>
    <i r="1">
      <x v="6"/>
      <x v="146"/>
    </i>
    <i r="1">
      <x v="7"/>
      <x v="188"/>
    </i>
    <i r="1">
      <x v="8"/>
      <x v="133"/>
    </i>
    <i r="1">
      <x v="9"/>
      <x v="190"/>
    </i>
    <i r="1">
      <x v="10"/>
      <x v="212"/>
    </i>
    <i r="1">
      <x v="11"/>
      <x v="140"/>
    </i>
    <i r="1">
      <x v="12"/>
      <x v="4"/>
    </i>
    <i r="1">
      <x v="13"/>
      <x v="19"/>
    </i>
    <i r="1">
      <x v="14"/>
      <x v="132"/>
    </i>
    <i r="1">
      <x v="15"/>
      <x v="7"/>
    </i>
    <i r="2">
      <x v="135"/>
    </i>
    <i r="1">
      <x v="17"/>
      <x v="226"/>
    </i>
    <i r="1">
      <x v="18"/>
      <x v="6"/>
    </i>
    <i r="1">
      <x v="19"/>
      <x v="175"/>
    </i>
    <i t="blank">
      <x v="12"/>
    </i>
    <i>
      <x v="13"/>
    </i>
    <i r="1">
      <x/>
      <x v="196"/>
    </i>
    <i r="1">
      <x v="1"/>
      <x v="189"/>
    </i>
    <i r="1">
      <x v="2"/>
      <x v="195"/>
    </i>
    <i r="1">
      <x v="3"/>
      <x v="185"/>
    </i>
    <i r="1">
      <x v="4"/>
      <x v="188"/>
    </i>
    <i r="1">
      <x v="5"/>
      <x v="133"/>
    </i>
    <i r="1">
      <x v="6"/>
      <x v="215"/>
    </i>
    <i r="1">
      <x v="7"/>
      <x v="146"/>
    </i>
    <i r="1">
      <x v="8"/>
      <x v="156"/>
    </i>
    <i r="1">
      <x v="9"/>
      <x v="190"/>
    </i>
    <i r="1">
      <x v="10"/>
      <x v="140"/>
    </i>
    <i r="1">
      <x v="11"/>
      <x v="142"/>
    </i>
    <i r="1">
      <x v="12"/>
      <x v="124"/>
    </i>
    <i r="2">
      <x v="132"/>
    </i>
    <i r="2">
      <x v="135"/>
    </i>
    <i r="1">
      <x v="15"/>
      <x v="212"/>
    </i>
    <i r="1">
      <x v="16"/>
      <x v="155"/>
    </i>
    <i r="1">
      <x v="17"/>
      <x v="214"/>
    </i>
    <i r="1">
      <x v="18"/>
      <x v="17"/>
    </i>
    <i r="1">
      <x v="19"/>
      <x v="4"/>
    </i>
    <i r="2">
      <x v="6"/>
    </i>
    <i t="blank">
      <x v="13"/>
    </i>
    <i>
      <x v="14"/>
    </i>
    <i r="1">
      <x/>
      <x v="156"/>
    </i>
    <i r="1">
      <x v="1"/>
      <x v="196"/>
    </i>
    <i r="1">
      <x v="2"/>
      <x v="195"/>
    </i>
    <i r="1">
      <x v="3"/>
      <x v="189"/>
    </i>
    <i r="1">
      <x v="4"/>
      <x v="185"/>
    </i>
    <i r="1">
      <x v="5"/>
      <x v="188"/>
    </i>
    <i r="1">
      <x v="6"/>
      <x v="215"/>
    </i>
    <i r="1">
      <x v="7"/>
      <x v="146"/>
    </i>
    <i r="1">
      <x v="8"/>
      <x v="135"/>
    </i>
    <i r="1">
      <x v="9"/>
      <x v="190"/>
    </i>
    <i r="1">
      <x v="10"/>
      <x v="124"/>
    </i>
    <i r="1">
      <x v="11"/>
      <x v="19"/>
    </i>
    <i r="1">
      <x v="12"/>
      <x v="155"/>
    </i>
    <i r="1">
      <x v="13"/>
      <x v="133"/>
    </i>
    <i r="2">
      <x v="212"/>
    </i>
    <i r="1">
      <x v="15"/>
      <x v="4"/>
    </i>
    <i r="1">
      <x v="16"/>
      <x v="226"/>
    </i>
    <i r="1">
      <x v="17"/>
      <x v="220"/>
    </i>
    <i r="1">
      <x v="18"/>
      <x v="6"/>
    </i>
    <i r="1">
      <x v="19"/>
      <x v="17"/>
    </i>
    <i t="blank">
      <x v="14"/>
    </i>
    <i>
      <x v="15"/>
    </i>
    <i r="1">
      <x/>
      <x v="156"/>
    </i>
    <i r="1">
      <x v="1"/>
      <x v="189"/>
    </i>
    <i r="1">
      <x v="2"/>
      <x v="196"/>
    </i>
    <i r="1">
      <x v="3"/>
      <x v="195"/>
    </i>
    <i r="1">
      <x v="4"/>
      <x v="185"/>
    </i>
    <i r="1">
      <x v="5"/>
      <x v="188"/>
    </i>
    <i r="1">
      <x v="6"/>
      <x v="146"/>
    </i>
    <i r="2">
      <x v="190"/>
    </i>
    <i r="1">
      <x v="8"/>
      <x v="140"/>
    </i>
    <i r="1">
      <x v="9"/>
      <x v="215"/>
    </i>
    <i r="1">
      <x v="10"/>
      <x v="19"/>
    </i>
    <i r="1">
      <x v="11"/>
      <x v="4"/>
    </i>
    <i r="2">
      <x v="17"/>
    </i>
    <i r="1">
      <x v="13"/>
      <x v="152"/>
    </i>
    <i r="2">
      <x v="155"/>
    </i>
    <i r="1">
      <x v="15"/>
      <x v="8"/>
    </i>
    <i r="2">
      <x v="226"/>
    </i>
    <i r="1">
      <x v="17"/>
      <x v="133"/>
    </i>
    <i r="2">
      <x v="135"/>
    </i>
    <i r="1">
      <x v="19"/>
      <x v="131"/>
    </i>
    <i t="blank">
      <x v="15"/>
    </i>
    <i>
      <x v="16"/>
    </i>
    <i r="1">
      <x/>
      <x v="156"/>
    </i>
    <i r="1">
      <x v="1"/>
      <x v="196"/>
    </i>
    <i r="1">
      <x v="2"/>
      <x v="189"/>
    </i>
    <i r="1">
      <x v="3"/>
      <x v="188"/>
    </i>
    <i r="1">
      <x v="4"/>
      <x v="195"/>
    </i>
    <i r="1">
      <x v="5"/>
      <x v="185"/>
    </i>
    <i r="1">
      <x v="6"/>
      <x v="146"/>
    </i>
    <i r="1">
      <x v="7"/>
      <x v="135"/>
    </i>
    <i r="1">
      <x v="8"/>
      <x v="212"/>
    </i>
    <i r="1">
      <x v="9"/>
      <x v="190"/>
    </i>
    <i r="1">
      <x v="10"/>
      <x v="226"/>
    </i>
    <i r="1">
      <x v="11"/>
      <x v="215"/>
    </i>
    <i r="1">
      <x v="12"/>
      <x v="19"/>
    </i>
    <i r="1">
      <x v="13"/>
      <x v="133"/>
    </i>
    <i r="1">
      <x v="14"/>
      <x v="175"/>
    </i>
    <i r="2">
      <x v="184"/>
    </i>
    <i r="1">
      <x v="16"/>
      <x v="155"/>
    </i>
    <i r="1">
      <x v="17"/>
      <x v="142"/>
    </i>
    <i r="1">
      <x v="18"/>
      <x v="132"/>
    </i>
    <i r="1">
      <x v="19"/>
      <x v="14"/>
    </i>
    <i r="2">
      <x v="17"/>
    </i>
    <i r="2">
      <x v="113"/>
    </i>
    <i r="2">
      <x v="152"/>
    </i>
    <i t="blank">
      <x v="16"/>
    </i>
    <i>
      <x v="17"/>
    </i>
    <i r="1">
      <x/>
      <x v="196"/>
    </i>
    <i r="1">
      <x v="1"/>
      <x v="189"/>
    </i>
    <i r="1">
      <x v="2"/>
      <x v="156"/>
    </i>
    <i r="1">
      <x v="3"/>
      <x v="195"/>
    </i>
    <i r="1">
      <x v="4"/>
      <x v="185"/>
    </i>
    <i r="1">
      <x v="5"/>
      <x v="188"/>
    </i>
    <i r="1">
      <x v="6"/>
      <x v="215"/>
    </i>
    <i r="1">
      <x v="7"/>
      <x v="212"/>
    </i>
    <i r="1">
      <x v="8"/>
      <x v="146"/>
    </i>
    <i r="1">
      <x v="9"/>
      <x v="190"/>
    </i>
    <i r="1">
      <x v="10"/>
      <x v="17"/>
    </i>
    <i r="1">
      <x v="11"/>
      <x v="175"/>
    </i>
    <i r="1">
      <x v="12"/>
      <x v="226"/>
    </i>
    <i r="1">
      <x v="13"/>
      <x v="135"/>
    </i>
    <i r="1">
      <x v="14"/>
      <x v="155"/>
    </i>
    <i r="1">
      <x v="15"/>
      <x v="4"/>
    </i>
    <i r="1">
      <x v="16"/>
      <x v="7"/>
    </i>
    <i r="1">
      <x v="17"/>
      <x v="6"/>
    </i>
    <i r="2">
      <x v="124"/>
    </i>
    <i r="1">
      <x v="19"/>
      <x v="19"/>
    </i>
    <i t="blank">
      <x v="17"/>
    </i>
    <i>
      <x v="18"/>
    </i>
    <i r="1">
      <x/>
      <x v="156"/>
    </i>
    <i r="1">
      <x v="1"/>
      <x v="196"/>
    </i>
    <i r="1">
      <x v="2"/>
      <x v="189"/>
    </i>
    <i r="1">
      <x v="3"/>
      <x v="195"/>
    </i>
    <i r="1">
      <x v="4"/>
      <x v="185"/>
    </i>
    <i r="1">
      <x v="5"/>
      <x v="215"/>
    </i>
    <i r="1">
      <x v="6"/>
      <x v="146"/>
    </i>
    <i r="1">
      <x v="7"/>
      <x v="124"/>
    </i>
    <i r="1">
      <x v="8"/>
      <x v="188"/>
    </i>
    <i r="1">
      <x v="9"/>
      <x v="190"/>
    </i>
    <i r="1">
      <x v="10"/>
      <x v="135"/>
    </i>
    <i r="1">
      <x v="11"/>
      <x v="120"/>
    </i>
    <i r="1">
      <x v="12"/>
      <x v="7"/>
    </i>
    <i r="2">
      <x v="226"/>
    </i>
    <i r="1">
      <x v="14"/>
      <x v="17"/>
    </i>
    <i r="2">
      <x v="113"/>
    </i>
    <i r="1">
      <x v="16"/>
      <x v="133"/>
    </i>
    <i r="2">
      <x v="220"/>
    </i>
    <i r="1">
      <x v="18"/>
      <x v="6"/>
    </i>
    <i r="2">
      <x v="137"/>
    </i>
    <i t="blank">
      <x v="18"/>
    </i>
    <i>
      <x v="19"/>
    </i>
    <i r="1">
      <x/>
      <x v="196"/>
    </i>
    <i r="1">
      <x v="1"/>
      <x v="195"/>
    </i>
    <i r="1">
      <x v="2"/>
      <x v="142"/>
    </i>
    <i r="1">
      <x v="3"/>
      <x v="128"/>
    </i>
    <i r="2">
      <x v="188"/>
    </i>
    <i r="1">
      <x v="5"/>
      <x v="189"/>
    </i>
    <i r="2">
      <x v="220"/>
    </i>
    <i r="1">
      <x v="7"/>
      <x v="226"/>
    </i>
    <i r="1">
      <x v="8"/>
      <x v="132"/>
    </i>
    <i r="2">
      <x v="146"/>
    </i>
    <i r="1">
      <x v="10"/>
      <x v="4"/>
    </i>
    <i r="2">
      <x v="133"/>
    </i>
    <i r="2">
      <x v="190"/>
    </i>
    <i r="1">
      <x v="13"/>
      <x v="19"/>
    </i>
    <i r="2">
      <x v="137"/>
    </i>
    <i r="2">
      <x v="143"/>
    </i>
    <i r="2">
      <x v="145"/>
    </i>
    <i r="2">
      <x v="156"/>
    </i>
    <i r="2">
      <x v="180"/>
    </i>
    <i r="2">
      <x v="184"/>
    </i>
    <i r="2">
      <x v="194"/>
    </i>
    <i r="2">
      <x v="210"/>
    </i>
    <i r="2">
      <x v="214"/>
    </i>
    <i r="2">
      <x v="219"/>
    </i>
    <i t="blank">
      <x v="19"/>
    </i>
    <i>
      <x v="20"/>
    </i>
    <i r="1">
      <x/>
      <x v="156"/>
    </i>
    <i r="1">
      <x v="1"/>
      <x v="196"/>
    </i>
    <i r="1">
      <x v="2"/>
      <x v="195"/>
    </i>
    <i r="1">
      <x v="3"/>
      <x v="189"/>
    </i>
    <i r="1">
      <x v="4"/>
      <x v="4"/>
    </i>
    <i r="1">
      <x v="5"/>
      <x v="188"/>
    </i>
    <i r="1">
      <x v="6"/>
      <x v="215"/>
    </i>
    <i r="1">
      <x v="7"/>
      <x v="146"/>
    </i>
    <i r="1">
      <x v="8"/>
      <x v="212"/>
    </i>
    <i r="1">
      <x v="9"/>
      <x v="185"/>
    </i>
    <i r="1">
      <x v="10"/>
      <x v="190"/>
    </i>
    <i r="1">
      <x v="11"/>
      <x v="133"/>
    </i>
    <i r="2">
      <x v="219"/>
    </i>
    <i r="1">
      <x v="13"/>
      <x v="135"/>
    </i>
    <i r="2">
      <x v="137"/>
    </i>
    <i r="1">
      <x v="15"/>
      <x v="124"/>
    </i>
    <i r="2">
      <x v="155"/>
    </i>
    <i r="1">
      <x v="17"/>
      <x v="19"/>
    </i>
    <i r="1">
      <x v="18"/>
      <x v="17"/>
    </i>
    <i r="2">
      <x v="132"/>
    </i>
    <i r="2">
      <x v="175"/>
    </i>
    <i r="2">
      <x v="214"/>
    </i>
    <i t="blank">
      <x v="20"/>
    </i>
    <i>
      <x v="21"/>
    </i>
    <i r="1">
      <x/>
      <x v="156"/>
    </i>
    <i r="1">
      <x v="1"/>
      <x v="196"/>
    </i>
    <i r="1">
      <x v="2"/>
      <x v="195"/>
    </i>
    <i r="1">
      <x v="3"/>
      <x v="146"/>
    </i>
    <i r="1">
      <x v="4"/>
      <x v="189"/>
    </i>
    <i r="1">
      <x v="5"/>
      <x v="185"/>
    </i>
    <i r="2">
      <x v="215"/>
    </i>
    <i r="1">
      <x v="7"/>
      <x v="6"/>
    </i>
    <i r="2">
      <x v="23"/>
    </i>
    <i r="1">
      <x v="9"/>
      <x v="188"/>
    </i>
    <i r="1">
      <x v="10"/>
      <x v="155"/>
    </i>
    <i r="2">
      <x v="190"/>
    </i>
    <i r="1">
      <x v="12"/>
      <x v="17"/>
    </i>
    <i r="2">
      <x v="140"/>
    </i>
    <i r="1">
      <x v="14"/>
      <x v="133"/>
    </i>
    <i r="1">
      <x v="15"/>
      <x v="4"/>
    </i>
    <i r="2">
      <x v="132"/>
    </i>
    <i r="1">
      <x v="17"/>
      <x v="180"/>
    </i>
    <i r="1">
      <x v="18"/>
      <x v="8"/>
    </i>
    <i r="2">
      <x v="135"/>
    </i>
    <i r="2">
      <x v="137"/>
    </i>
    <i t="blank">
      <x v="21"/>
    </i>
    <i>
      <x v="22"/>
    </i>
    <i r="1">
      <x/>
      <x v="189"/>
    </i>
    <i r="1">
      <x v="1"/>
      <x v="196"/>
    </i>
    <i r="1">
      <x v="2"/>
      <x v="156"/>
    </i>
    <i r="2">
      <x v="195"/>
    </i>
    <i r="1">
      <x v="4"/>
      <x v="188"/>
    </i>
    <i r="1">
      <x v="5"/>
      <x v="137"/>
    </i>
    <i r="1">
      <x v="6"/>
      <x v="133"/>
    </i>
    <i r="1">
      <x v="7"/>
      <x v="185"/>
    </i>
    <i r="2">
      <x v="215"/>
    </i>
    <i r="1">
      <x v="9"/>
      <x v="146"/>
    </i>
    <i r="2">
      <x v="147"/>
    </i>
    <i r="2">
      <x v="226"/>
    </i>
    <i r="1">
      <x v="12"/>
      <x v="140"/>
    </i>
    <i r="1">
      <x v="13"/>
      <x v="13"/>
    </i>
    <i r="2">
      <x v="14"/>
    </i>
    <i r="2">
      <x v="145"/>
    </i>
    <i r="2">
      <x v="184"/>
    </i>
    <i r="1">
      <x v="17"/>
      <x v="7"/>
    </i>
    <i r="2">
      <x v="19"/>
    </i>
    <i r="2">
      <x v="124"/>
    </i>
    <i r="2">
      <x v="135"/>
    </i>
    <i r="2">
      <x v="190"/>
    </i>
    <i r="2">
      <x v="236"/>
    </i>
    <i t="blank">
      <x v="22"/>
    </i>
    <i>
      <x v="23"/>
    </i>
    <i r="1">
      <x/>
      <x v="196"/>
    </i>
    <i r="1">
      <x v="1"/>
      <x v="189"/>
    </i>
    <i r="1">
      <x v="2"/>
      <x v="195"/>
    </i>
    <i r="1">
      <x v="3"/>
      <x v="156"/>
    </i>
    <i r="1">
      <x v="4"/>
      <x v="188"/>
    </i>
    <i r="1">
      <x v="5"/>
      <x v="212"/>
    </i>
    <i r="1">
      <x v="6"/>
      <x v="185"/>
    </i>
    <i r="1">
      <x v="7"/>
      <x v="4"/>
    </i>
    <i r="1">
      <x v="8"/>
      <x v="215"/>
    </i>
    <i r="1">
      <x v="9"/>
      <x v="17"/>
    </i>
    <i r="1">
      <x v="10"/>
      <x v="146"/>
    </i>
    <i r="1">
      <x v="11"/>
      <x v="147"/>
    </i>
    <i r="1">
      <x v="12"/>
      <x v="14"/>
    </i>
    <i r="1">
      <x v="13"/>
      <x v="135"/>
    </i>
    <i r="1">
      <x v="14"/>
      <x v="6"/>
    </i>
    <i r="1">
      <x v="15"/>
      <x v="19"/>
    </i>
    <i r="1">
      <x v="16"/>
      <x v="190"/>
    </i>
    <i r="1">
      <x v="17"/>
      <x v="124"/>
    </i>
    <i r="2">
      <x v="140"/>
    </i>
    <i r="2">
      <x v="226"/>
    </i>
    <i t="blank">
      <x v="23"/>
    </i>
    <i>
      <x v="24"/>
    </i>
    <i r="1">
      <x/>
      <x v="156"/>
    </i>
    <i r="1">
      <x v="1"/>
      <x v="195"/>
    </i>
    <i r="1">
      <x v="2"/>
      <x v="189"/>
    </i>
    <i r="2">
      <x v="196"/>
    </i>
    <i r="1">
      <x v="4"/>
      <x v="188"/>
    </i>
    <i r="1">
      <x v="5"/>
      <x v="185"/>
    </i>
    <i r="1">
      <x v="6"/>
      <x v="190"/>
    </i>
    <i r="1">
      <x v="7"/>
      <x v="146"/>
    </i>
    <i r="2">
      <x v="226"/>
    </i>
    <i r="1">
      <x v="9"/>
      <x v="4"/>
    </i>
    <i r="1">
      <x v="10"/>
      <x v="14"/>
    </i>
    <i r="2">
      <x v="23"/>
    </i>
    <i r="1">
      <x v="12"/>
      <x v="142"/>
    </i>
    <i r="1">
      <x v="13"/>
      <x v="6"/>
    </i>
    <i r="2">
      <x v="7"/>
    </i>
    <i r="1">
      <x v="15"/>
      <x v="133"/>
    </i>
    <i r="2">
      <x v="180"/>
    </i>
    <i r="2">
      <x v="184"/>
    </i>
    <i r="1">
      <x v="18"/>
      <x v="108"/>
    </i>
    <i r="2">
      <x v="137"/>
    </i>
    <i r="2">
      <x v="140"/>
    </i>
    <i r="2">
      <x v="215"/>
    </i>
    <i t="blank">
      <x v="24"/>
    </i>
    <i>
      <x v="25"/>
    </i>
    <i r="1">
      <x/>
      <x v="156"/>
    </i>
    <i r="1">
      <x v="1"/>
      <x v="196"/>
    </i>
    <i r="1">
      <x v="2"/>
      <x v="195"/>
    </i>
    <i r="1">
      <x v="3"/>
      <x v="189"/>
    </i>
    <i r="1">
      <x v="4"/>
      <x v="188"/>
    </i>
    <i r="1">
      <x v="5"/>
      <x v="14"/>
    </i>
    <i r="2">
      <x v="140"/>
    </i>
    <i r="1">
      <x v="7"/>
      <x v="146"/>
    </i>
    <i r="1">
      <x v="8"/>
      <x v="7"/>
    </i>
    <i r="2">
      <x v="142"/>
    </i>
    <i r="1">
      <x v="10"/>
      <x v="13"/>
    </i>
    <i r="2">
      <x v="124"/>
    </i>
    <i r="2">
      <x v="155"/>
    </i>
    <i r="2">
      <x v="215"/>
    </i>
    <i r="1">
      <x v="14"/>
      <x v="132"/>
    </i>
    <i r="2">
      <x v="137"/>
    </i>
    <i r="2">
      <x v="185"/>
    </i>
    <i r="2">
      <x v="212"/>
    </i>
    <i r="1">
      <x v="18"/>
      <x v="17"/>
    </i>
    <i r="2">
      <x v="145"/>
    </i>
    <i t="blank">
      <x v="25"/>
    </i>
    <i>
      <x v="26"/>
    </i>
    <i r="1">
      <x/>
      <x v="196"/>
    </i>
    <i r="1">
      <x v="1"/>
      <x v="195"/>
    </i>
    <i r="1">
      <x v="2"/>
      <x v="156"/>
    </i>
    <i r="1">
      <x v="3"/>
      <x v="221"/>
    </i>
    <i r="1">
      <x v="4"/>
      <x v="189"/>
    </i>
    <i r="1">
      <x v="5"/>
      <x v="185"/>
    </i>
    <i r="2">
      <x v="188"/>
    </i>
    <i r="1">
      <x v="7"/>
      <x v="190"/>
    </i>
    <i r="1">
      <x v="8"/>
      <x v="146"/>
    </i>
    <i r="1">
      <x v="9"/>
      <x v="137"/>
    </i>
    <i r="2">
      <x v="233"/>
    </i>
    <i r="1">
      <x v="11"/>
      <x v="124"/>
    </i>
    <i r="2">
      <x v="135"/>
    </i>
    <i r="2">
      <x v="215"/>
    </i>
    <i r="1">
      <x v="14"/>
      <x v="4"/>
    </i>
    <i r="2">
      <x v="17"/>
    </i>
    <i r="2">
      <x v="140"/>
    </i>
    <i r="2">
      <x v="184"/>
    </i>
    <i r="2">
      <x v="220"/>
    </i>
    <i r="2">
      <x v="226"/>
    </i>
    <i t="blank">
      <x v="26"/>
    </i>
    <i>
      <x v="27"/>
    </i>
    <i r="1">
      <x/>
      <x v="156"/>
    </i>
    <i r="1">
      <x v="1"/>
      <x v="196"/>
    </i>
    <i r="1">
      <x v="2"/>
      <x v="212"/>
    </i>
    <i r="1">
      <x v="3"/>
      <x v="195"/>
    </i>
    <i r="1">
      <x v="4"/>
      <x v="215"/>
    </i>
    <i r="1">
      <x v="5"/>
      <x v="189"/>
    </i>
    <i r="1">
      <x v="6"/>
      <x v="135"/>
    </i>
    <i r="1">
      <x v="7"/>
      <x v="146"/>
    </i>
    <i r="1">
      <x v="8"/>
      <x v="185"/>
    </i>
    <i r="1">
      <x v="9"/>
      <x v="19"/>
    </i>
    <i r="1">
      <x v="10"/>
      <x v="175"/>
    </i>
    <i r="1">
      <x v="11"/>
      <x v="4"/>
    </i>
    <i r="2">
      <x v="140"/>
    </i>
    <i r="1">
      <x v="13"/>
      <x v="17"/>
    </i>
    <i r="2">
      <x v="214"/>
    </i>
    <i r="1">
      <x v="15"/>
      <x v="14"/>
    </i>
    <i r="2">
      <x v="188"/>
    </i>
    <i r="1">
      <x v="17"/>
      <x v="6"/>
    </i>
    <i r="2">
      <x v="8"/>
    </i>
    <i r="2">
      <x v="16"/>
    </i>
    <i r="2">
      <x v="190"/>
    </i>
    <i r="2">
      <x v="211"/>
    </i>
    <i t="blank">
      <x v="27"/>
    </i>
    <i>
      <x v="28"/>
    </i>
    <i r="1">
      <x/>
      <x v="195"/>
    </i>
    <i r="1">
      <x v="1"/>
      <x v="196"/>
    </i>
    <i r="1">
      <x v="2"/>
      <x v="189"/>
    </i>
    <i r="1">
      <x v="3"/>
      <x v="133"/>
    </i>
    <i r="2">
      <x v="140"/>
    </i>
    <i r="2">
      <x v="142"/>
    </i>
    <i r="1">
      <x v="6"/>
      <x v="14"/>
    </i>
    <i r="2">
      <x v="219"/>
    </i>
    <i r="2">
      <x v="220"/>
    </i>
    <i r="1">
      <x v="9"/>
      <x v="4"/>
    </i>
    <i r="2">
      <x v="137"/>
    </i>
    <i r="2">
      <x v="146"/>
    </i>
    <i r="2">
      <x v="184"/>
    </i>
    <i r="2">
      <x v="185"/>
    </i>
    <i r="2">
      <x v="187"/>
    </i>
    <i r="2">
      <x v="188"/>
    </i>
    <i r="1">
      <x v="16"/>
      <x v="17"/>
    </i>
    <i r="2">
      <x v="124"/>
    </i>
    <i r="2">
      <x v="132"/>
    </i>
    <i r="2">
      <x v="156"/>
    </i>
    <i r="2">
      <x v="215"/>
    </i>
    <i t="blank">
      <x v="28"/>
    </i>
    <i>
      <x v="29"/>
    </i>
    <i r="1">
      <x/>
      <x v="189"/>
    </i>
    <i r="1">
      <x v="1"/>
      <x v="156"/>
    </i>
    <i r="1">
      <x v="2"/>
      <x v="196"/>
    </i>
    <i r="1">
      <x v="3"/>
      <x v="195"/>
    </i>
    <i r="1">
      <x v="4"/>
      <x v="188"/>
    </i>
    <i r="1">
      <x v="5"/>
      <x v="185"/>
    </i>
    <i r="1">
      <x v="6"/>
      <x v="4"/>
    </i>
    <i r="1">
      <x v="7"/>
      <x v="120"/>
    </i>
    <i r="2">
      <x v="146"/>
    </i>
    <i r="1">
      <x v="9"/>
      <x v="14"/>
    </i>
    <i r="2">
      <x v="133"/>
    </i>
    <i r="2">
      <x v="215"/>
    </i>
    <i r="2">
      <x v="226"/>
    </i>
    <i r="1">
      <x v="13"/>
      <x v="135"/>
    </i>
    <i r="2">
      <x v="137"/>
    </i>
    <i r="1">
      <x v="15"/>
      <x v="23"/>
    </i>
    <i r="1">
      <x v="16"/>
      <x v="190"/>
    </i>
    <i r="1">
      <x v="17"/>
      <x v="7"/>
    </i>
    <i r="2">
      <x v="17"/>
    </i>
    <i r="2">
      <x v="98"/>
    </i>
    <i r="2">
      <x v="147"/>
    </i>
    <i r="2">
      <x v="152"/>
    </i>
    <i r="2">
      <x v="155"/>
    </i>
    <i r="2">
      <x v="180"/>
    </i>
    <i r="2">
      <x v="194"/>
    </i>
    <i r="2">
      <x v="212"/>
    </i>
    <i r="2">
      <x v="219"/>
    </i>
    <i t="blank">
      <x v="29"/>
    </i>
    <i>
      <x v="30"/>
    </i>
    <i r="1">
      <x/>
      <x v="189"/>
    </i>
    <i r="1">
      <x v="1"/>
      <x v="196"/>
    </i>
    <i r="1">
      <x v="2"/>
      <x v="156"/>
    </i>
    <i r="1">
      <x v="3"/>
      <x v="195"/>
    </i>
    <i r="1">
      <x v="4"/>
      <x v="188"/>
    </i>
    <i r="1">
      <x v="5"/>
      <x v="215"/>
    </i>
    <i r="1">
      <x v="6"/>
      <x v="14"/>
    </i>
    <i r="2">
      <x v="226"/>
    </i>
    <i r="1">
      <x v="8"/>
      <x v="185"/>
    </i>
    <i r="1">
      <x v="9"/>
      <x v="146"/>
    </i>
    <i r="1">
      <x v="10"/>
      <x v="212"/>
    </i>
    <i r="2">
      <x v="221"/>
    </i>
    <i r="1">
      <x v="12"/>
      <x v="133"/>
    </i>
    <i r="2">
      <x v="137"/>
    </i>
    <i r="1">
      <x v="14"/>
      <x v="135"/>
    </i>
    <i r="2">
      <x v="140"/>
    </i>
    <i r="2">
      <x v="190"/>
    </i>
    <i r="2">
      <x v="210"/>
    </i>
    <i r="1">
      <x v="18"/>
      <x v="4"/>
    </i>
    <i r="2">
      <x v="7"/>
    </i>
    <i r="2">
      <x v="17"/>
    </i>
    <i r="2">
      <x v="30"/>
    </i>
    <i r="2">
      <x v="142"/>
    </i>
    <i r="2">
      <x v="180"/>
    </i>
    <i r="2">
      <x v="203"/>
    </i>
    <i r="2">
      <x v="220"/>
    </i>
    <i t="blank">
      <x v="30"/>
    </i>
    <i>
      <x v="31"/>
    </i>
    <i r="1">
      <x/>
      <x v="156"/>
    </i>
    <i r="1">
      <x v="1"/>
      <x v="189"/>
    </i>
    <i r="1">
      <x v="2"/>
      <x v="196"/>
    </i>
    <i r="1">
      <x v="3"/>
      <x v="195"/>
    </i>
    <i r="1">
      <x v="4"/>
      <x v="185"/>
    </i>
    <i r="1">
      <x v="5"/>
      <x v="188"/>
    </i>
    <i r="2">
      <x v="215"/>
    </i>
    <i r="1">
      <x v="7"/>
      <x v="133"/>
    </i>
    <i r="2">
      <x v="146"/>
    </i>
    <i r="1">
      <x v="9"/>
      <x v="212"/>
    </i>
    <i r="1">
      <x v="10"/>
      <x v="14"/>
    </i>
    <i r="2">
      <x v="137"/>
    </i>
    <i r="2">
      <x v="140"/>
    </i>
    <i r="2">
      <x v="142"/>
    </i>
    <i r="1">
      <x v="14"/>
      <x v="7"/>
    </i>
    <i r="2">
      <x v="19"/>
    </i>
    <i r="2">
      <x v="152"/>
    </i>
    <i r="2">
      <x v="184"/>
    </i>
    <i r="2">
      <x v="194"/>
    </i>
    <i r="2">
      <x v="214"/>
    </i>
    <i t="blank">
      <x v="31"/>
    </i>
    <i>
      <x v="32"/>
    </i>
    <i r="1">
      <x/>
      <x v="196"/>
    </i>
    <i r="1">
      <x v="1"/>
      <x v="195"/>
    </i>
    <i r="1">
      <x v="2"/>
      <x v="4"/>
    </i>
    <i r="2">
      <x v="142"/>
    </i>
    <i r="1">
      <x v="4"/>
      <x v="188"/>
    </i>
    <i r="1">
      <x v="5"/>
      <x v="133"/>
    </i>
    <i r="2">
      <x v="189"/>
    </i>
    <i r="1">
      <x v="7"/>
      <x v="124"/>
    </i>
    <i r="1">
      <x v="8"/>
      <x v="19"/>
    </i>
    <i r="2">
      <x v="135"/>
    </i>
    <i r="2">
      <x v="149"/>
    </i>
    <i r="2">
      <x v="197"/>
    </i>
    <i r="2">
      <x v="220"/>
    </i>
    <i r="1">
      <x v="13"/>
      <x v="6"/>
    </i>
    <i r="2">
      <x v="9"/>
    </i>
    <i r="2">
      <x v="17"/>
    </i>
    <i r="2">
      <x v="127"/>
    </i>
    <i r="2">
      <x v="128"/>
    </i>
    <i r="2">
      <x v="132"/>
    </i>
    <i r="2">
      <x v="156"/>
    </i>
    <i r="2">
      <x v="185"/>
    </i>
    <i r="2">
      <x v="193"/>
    </i>
    <i t="blank">
      <x v="32"/>
    </i>
    <i>
      <x v="33"/>
    </i>
    <i r="1">
      <x/>
      <x v="196"/>
    </i>
    <i r="1">
      <x v="1"/>
      <x v="189"/>
    </i>
    <i r="1">
      <x v="2"/>
      <x v="195"/>
    </i>
    <i r="1">
      <x v="3"/>
      <x v="23"/>
    </i>
    <i r="2">
      <x v="156"/>
    </i>
    <i r="1">
      <x v="5"/>
      <x v="146"/>
    </i>
    <i r="2">
      <x v="188"/>
    </i>
    <i r="1">
      <x v="7"/>
      <x v="185"/>
    </i>
    <i r="2">
      <x v="190"/>
    </i>
    <i r="1">
      <x v="9"/>
      <x v="7"/>
    </i>
    <i r="1">
      <x v="10"/>
      <x v="106"/>
    </i>
    <i r="1">
      <x v="11"/>
      <x v="142"/>
    </i>
    <i r="2">
      <x v="180"/>
    </i>
    <i r="2">
      <x v="226"/>
    </i>
    <i r="1">
      <x v="14"/>
      <x v="107"/>
    </i>
    <i r="2">
      <x v="184"/>
    </i>
    <i r="2">
      <x v="194"/>
    </i>
    <i r="2">
      <x v="212"/>
    </i>
    <i r="1">
      <x v="18"/>
      <x v="72"/>
    </i>
    <i r="2">
      <x v="215"/>
    </i>
    <i t="blank">
      <x v="33"/>
    </i>
    <i>
      <x v="34"/>
    </i>
    <i r="1">
      <x/>
      <x v="196"/>
    </i>
    <i r="1">
      <x v="1"/>
      <x v="189"/>
    </i>
    <i r="1">
      <x v="2"/>
      <x v="185"/>
    </i>
    <i r="1">
      <x v="3"/>
      <x v="188"/>
    </i>
    <i r="1">
      <x v="4"/>
      <x v="195"/>
    </i>
    <i r="1">
      <x v="5"/>
      <x v="215"/>
    </i>
    <i r="1">
      <x v="6"/>
      <x v="212"/>
    </i>
    <i r="1">
      <x v="7"/>
      <x v="156"/>
    </i>
    <i r="1">
      <x v="8"/>
      <x v="146"/>
    </i>
    <i r="1">
      <x v="9"/>
      <x v="194"/>
    </i>
    <i r="1">
      <x v="10"/>
      <x v="140"/>
    </i>
    <i r="2">
      <x v="190"/>
    </i>
    <i r="1">
      <x v="12"/>
      <x v="132"/>
    </i>
    <i r="1">
      <x v="13"/>
      <x v="211"/>
    </i>
    <i r="1">
      <x v="14"/>
      <x v="135"/>
    </i>
    <i r="1">
      <x v="15"/>
      <x v="4"/>
    </i>
    <i r="2">
      <x v="6"/>
    </i>
    <i r="1">
      <x v="17"/>
      <x v="14"/>
    </i>
    <i r="2">
      <x v="214"/>
    </i>
    <i r="1">
      <x v="19"/>
      <x v="124"/>
    </i>
    <i t="blank">
      <x v="34"/>
    </i>
    <i>
      <x v="35"/>
    </i>
    <i r="1">
      <x/>
      <x v="196"/>
    </i>
    <i r="1">
      <x v="1"/>
      <x v="189"/>
    </i>
    <i r="1">
      <x v="2"/>
      <x v="156"/>
    </i>
    <i r="1">
      <x v="3"/>
      <x v="195"/>
    </i>
    <i r="1">
      <x v="4"/>
      <x v="188"/>
    </i>
    <i r="1">
      <x v="5"/>
      <x v="185"/>
    </i>
    <i r="1">
      <x v="6"/>
      <x v="215"/>
    </i>
    <i r="1">
      <x v="7"/>
      <x v="146"/>
    </i>
    <i r="1">
      <x v="8"/>
      <x v="124"/>
    </i>
    <i r="1">
      <x v="9"/>
      <x v="212"/>
    </i>
    <i r="1">
      <x v="10"/>
      <x v="137"/>
    </i>
    <i r="1">
      <x v="11"/>
      <x v="19"/>
    </i>
    <i r="2">
      <x v="140"/>
    </i>
    <i r="2">
      <x v="190"/>
    </i>
    <i r="2">
      <x v="236"/>
    </i>
    <i r="1">
      <x v="15"/>
      <x v="135"/>
    </i>
    <i r="1">
      <x v="16"/>
      <x v="6"/>
    </i>
    <i r="2">
      <x v="14"/>
    </i>
    <i r="2">
      <x v="17"/>
    </i>
    <i r="2">
      <x v="184"/>
    </i>
    <i r="2">
      <x v="226"/>
    </i>
    <i t="blank">
      <x v="35"/>
    </i>
    <i>
      <x v="36"/>
    </i>
    <i r="1">
      <x/>
      <x v="189"/>
    </i>
    <i r="1">
      <x v="1"/>
      <x v="196"/>
    </i>
    <i r="1">
      <x v="2"/>
      <x v="156"/>
    </i>
    <i r="1">
      <x v="3"/>
      <x v="195"/>
    </i>
    <i r="1">
      <x v="4"/>
      <x v="185"/>
    </i>
    <i r="1">
      <x v="5"/>
      <x v="190"/>
    </i>
    <i r="1">
      <x v="6"/>
      <x v="8"/>
    </i>
    <i r="2">
      <x v="14"/>
    </i>
    <i r="2">
      <x v="146"/>
    </i>
    <i r="2">
      <x v="188"/>
    </i>
    <i r="2">
      <x v="215"/>
    </i>
    <i r="1">
      <x v="11"/>
      <x v="17"/>
    </i>
    <i r="2">
      <x v="135"/>
    </i>
    <i r="2">
      <x v="180"/>
    </i>
    <i r="2">
      <x v="184"/>
    </i>
    <i r="2">
      <x v="226"/>
    </i>
    <i r="1">
      <x v="16"/>
      <x v="4"/>
    </i>
    <i r="2">
      <x v="142"/>
    </i>
    <i r="2">
      <x v="194"/>
    </i>
    <i r="2">
      <x v="203"/>
    </i>
    <i r="2">
      <x v="211"/>
    </i>
    <i r="2">
      <x v="219"/>
    </i>
    <i t="blank">
      <x v="36"/>
    </i>
    <i>
      <x v="37"/>
    </i>
    <i r="1">
      <x/>
      <x v="196"/>
    </i>
    <i r="1">
      <x v="1"/>
      <x v="142"/>
    </i>
    <i r="2">
      <x v="146"/>
    </i>
    <i r="1">
      <x v="3"/>
      <x v="4"/>
    </i>
    <i r="2">
      <x v="6"/>
    </i>
    <i r="2">
      <x v="19"/>
    </i>
    <i r="2">
      <x v="137"/>
    </i>
    <i r="2">
      <x v="145"/>
    </i>
    <i r="2">
      <x v="180"/>
    </i>
    <i r="2">
      <x v="189"/>
    </i>
    <i r="2">
      <x v="195"/>
    </i>
    <i r="2">
      <x v="210"/>
    </i>
    <i r="2">
      <x v="212"/>
    </i>
    <i r="2">
      <x v="219"/>
    </i>
    <i r="2">
      <x v="222"/>
    </i>
    <i r="2">
      <x v="223"/>
    </i>
    <i r="1">
      <x v="16"/>
      <x v="7"/>
    </i>
    <i r="2">
      <x v="9"/>
    </i>
    <i r="2">
      <x v="13"/>
    </i>
    <i r="2">
      <x v="14"/>
    </i>
    <i r="2">
      <x v="17"/>
    </i>
    <i r="2">
      <x v="42"/>
    </i>
    <i r="2">
      <x v="54"/>
    </i>
    <i r="2">
      <x v="81"/>
    </i>
    <i r="2">
      <x v="82"/>
    </i>
    <i r="2">
      <x v="86"/>
    </i>
    <i r="2">
      <x v="101"/>
    </i>
    <i r="2">
      <x v="104"/>
    </i>
    <i r="2">
      <x v="124"/>
    </i>
    <i r="2">
      <x v="125"/>
    </i>
    <i r="2">
      <x v="129"/>
    </i>
    <i r="2">
      <x v="131"/>
    </i>
    <i r="2">
      <x v="143"/>
    </i>
    <i r="2">
      <x v="147"/>
    </i>
    <i r="2">
      <x v="152"/>
    </i>
    <i r="2">
      <x v="156"/>
    </i>
    <i r="2">
      <x v="157"/>
    </i>
    <i r="2">
      <x v="188"/>
    </i>
    <i r="2">
      <x v="203"/>
    </i>
    <i r="2">
      <x v="206"/>
    </i>
    <i r="2">
      <x v="214"/>
    </i>
    <i r="2">
      <x v="215"/>
    </i>
    <i r="2">
      <x v="220"/>
    </i>
    <i r="2">
      <x v="226"/>
    </i>
    <i r="2">
      <x v="227"/>
    </i>
    <i r="2">
      <x v="233"/>
    </i>
    <i t="blank">
      <x v="37"/>
    </i>
    <i>
      <x v="38"/>
    </i>
    <i r="1">
      <x/>
      <x v="196"/>
    </i>
    <i r="1">
      <x v="1"/>
      <x v="156"/>
    </i>
    <i r="1">
      <x v="2"/>
      <x v="195"/>
    </i>
    <i r="1">
      <x v="3"/>
      <x v="189"/>
    </i>
    <i r="1">
      <x v="4"/>
      <x v="185"/>
    </i>
    <i r="1">
      <x v="5"/>
      <x v="133"/>
    </i>
    <i r="1">
      <x v="6"/>
      <x v="135"/>
    </i>
    <i r="1">
      <x v="7"/>
      <x v="188"/>
    </i>
    <i r="2">
      <x v="190"/>
    </i>
    <i r="1">
      <x v="9"/>
      <x v="7"/>
    </i>
    <i r="2">
      <x v="132"/>
    </i>
    <i r="2">
      <x v="215"/>
    </i>
    <i r="1">
      <x v="12"/>
      <x v="4"/>
    </i>
    <i r="2">
      <x v="124"/>
    </i>
    <i r="2">
      <x v="140"/>
    </i>
    <i r="1">
      <x v="15"/>
      <x v="146"/>
    </i>
    <i r="1">
      <x v="16"/>
      <x v="14"/>
    </i>
    <i r="2">
      <x v="137"/>
    </i>
    <i r="1">
      <x v="18"/>
      <x v="108"/>
    </i>
    <i r="2">
      <x v="141"/>
    </i>
    <i r="2">
      <x v="142"/>
    </i>
    <i r="2">
      <x v="143"/>
    </i>
    <i r="2">
      <x v="180"/>
    </i>
    <i r="2">
      <x v="194"/>
    </i>
    <i r="2">
      <x v="211"/>
    </i>
    <i r="2">
      <x v="214"/>
    </i>
    <i t="blank">
      <x v="38"/>
    </i>
    <i>
      <x v="39"/>
    </i>
    <i r="1">
      <x/>
      <x v="156"/>
    </i>
    <i r="1">
      <x v="1"/>
      <x v="196"/>
    </i>
    <i r="1">
      <x v="2"/>
      <x v="185"/>
    </i>
    <i r="1">
      <x v="3"/>
      <x v="189"/>
    </i>
    <i r="1">
      <x v="4"/>
      <x v="180"/>
    </i>
    <i r="1">
      <x v="5"/>
      <x v="195"/>
    </i>
    <i r="1">
      <x v="6"/>
      <x v="215"/>
    </i>
    <i r="1">
      <x v="7"/>
      <x v="146"/>
    </i>
    <i r="1">
      <x v="8"/>
      <x v="132"/>
    </i>
    <i r="1">
      <x v="9"/>
      <x v="142"/>
    </i>
    <i r="2">
      <x v="188"/>
    </i>
    <i r="2">
      <x v="212"/>
    </i>
    <i r="1">
      <x v="12"/>
      <x v="190"/>
    </i>
    <i r="1">
      <x v="13"/>
      <x v="135"/>
    </i>
    <i r="2">
      <x v="137"/>
    </i>
    <i r="2">
      <x v="140"/>
    </i>
    <i r="2">
      <x v="144"/>
    </i>
    <i r="2">
      <x v="184"/>
    </i>
    <i r="1">
      <x v="18"/>
      <x v="128"/>
    </i>
    <i r="2">
      <x v="214"/>
    </i>
    <i t="blank">
      <x v="39"/>
    </i>
    <i>
      <x v="40"/>
    </i>
    <i r="1">
      <x/>
      <x v="156"/>
    </i>
    <i r="1">
      <x v="1"/>
      <x v="196"/>
    </i>
    <i r="1">
      <x v="2"/>
      <x v="195"/>
    </i>
    <i r="1">
      <x v="3"/>
      <x v="4"/>
    </i>
    <i r="1">
      <x v="4"/>
      <x v="14"/>
    </i>
    <i r="1">
      <x v="5"/>
      <x v="189"/>
    </i>
    <i r="1">
      <x v="6"/>
      <x v="215"/>
    </i>
    <i r="1">
      <x v="7"/>
      <x v="146"/>
    </i>
    <i r="1">
      <x v="8"/>
      <x v="185"/>
    </i>
    <i r="2">
      <x v="188"/>
    </i>
    <i r="1">
      <x v="10"/>
      <x v="212"/>
    </i>
    <i r="1">
      <x v="11"/>
      <x v="219"/>
    </i>
    <i r="1">
      <x v="12"/>
      <x v="190"/>
    </i>
    <i r="1">
      <x v="13"/>
      <x v="135"/>
    </i>
    <i r="2">
      <x v="226"/>
    </i>
    <i r="1">
      <x v="15"/>
      <x v="6"/>
    </i>
    <i r="2">
      <x v="7"/>
    </i>
    <i r="1">
      <x v="17"/>
      <x v="124"/>
    </i>
    <i r="2">
      <x v="137"/>
    </i>
    <i r="2">
      <x v="194"/>
    </i>
    <i t="blank">
      <x v="40"/>
    </i>
    <i>
      <x v="41"/>
    </i>
    <i r="1">
      <x/>
      <x v="196"/>
    </i>
    <i r="1">
      <x v="1"/>
      <x v="156"/>
    </i>
    <i r="1">
      <x v="2"/>
      <x v="195"/>
    </i>
    <i r="1">
      <x v="3"/>
      <x v="212"/>
    </i>
    <i r="1">
      <x v="4"/>
      <x v="215"/>
    </i>
    <i r="1">
      <x v="5"/>
      <x v="189"/>
    </i>
    <i r="1">
      <x v="6"/>
      <x v="188"/>
    </i>
    <i r="1">
      <x v="7"/>
      <x v="146"/>
    </i>
    <i r="1">
      <x v="8"/>
      <x v="7"/>
    </i>
    <i r="2">
      <x v="140"/>
    </i>
    <i r="1">
      <x v="10"/>
      <x v="14"/>
    </i>
    <i r="2">
      <x v="185"/>
    </i>
    <i r="1">
      <x v="12"/>
      <x v="135"/>
    </i>
    <i r="2">
      <x v="190"/>
    </i>
    <i r="1">
      <x v="14"/>
      <x v="6"/>
    </i>
    <i r="2">
      <x v="8"/>
    </i>
    <i r="2">
      <x v="194"/>
    </i>
    <i r="2">
      <x v="211"/>
    </i>
    <i r="1">
      <x v="18"/>
      <x v="175"/>
    </i>
    <i r="2">
      <x v="193"/>
    </i>
    <i r="2">
      <x v="226"/>
    </i>
    <i t="blank">
      <x v="41"/>
    </i>
    <i>
      <x v="42"/>
    </i>
    <i r="1">
      <x/>
      <x v="156"/>
    </i>
    <i r="1">
      <x v="1"/>
      <x v="196"/>
    </i>
    <i r="1">
      <x v="2"/>
      <x v="195"/>
    </i>
    <i r="1">
      <x v="3"/>
      <x v="189"/>
    </i>
    <i r="1">
      <x v="4"/>
      <x v="185"/>
    </i>
    <i r="1">
      <x v="5"/>
      <x v="146"/>
    </i>
    <i r="2">
      <x v="215"/>
    </i>
    <i r="1">
      <x v="7"/>
      <x v="188"/>
    </i>
    <i r="1">
      <x v="8"/>
      <x v="135"/>
    </i>
    <i r="1">
      <x v="9"/>
      <x v="140"/>
    </i>
    <i r="1">
      <x v="10"/>
      <x v="212"/>
    </i>
    <i r="1">
      <x v="11"/>
      <x v="132"/>
    </i>
    <i r="1">
      <x v="12"/>
      <x v="155"/>
    </i>
    <i r="2">
      <x v="221"/>
    </i>
    <i r="1">
      <x v="14"/>
      <x v="6"/>
    </i>
    <i r="2">
      <x v="142"/>
    </i>
    <i r="2">
      <x v="190"/>
    </i>
    <i r="2">
      <x v="193"/>
    </i>
    <i r="2">
      <x v="226"/>
    </i>
    <i r="1">
      <x v="19"/>
      <x v="4"/>
    </i>
    <i r="2">
      <x v="8"/>
    </i>
    <i r="2">
      <x v="137"/>
    </i>
    <i r="2">
      <x v="214"/>
    </i>
    <i t="blank">
      <x v="42"/>
    </i>
    <i>
      <x v="43"/>
    </i>
    <i r="1">
      <x/>
      <x v="156"/>
    </i>
    <i r="1">
      <x v="1"/>
      <x v="196"/>
    </i>
    <i r="1">
      <x v="2"/>
      <x v="4"/>
    </i>
    <i r="1">
      <x v="3"/>
      <x v="175"/>
    </i>
    <i r="2">
      <x v="226"/>
    </i>
    <i r="1">
      <x v="5"/>
      <x v="19"/>
    </i>
    <i r="2">
      <x v="135"/>
    </i>
    <i r="2">
      <x v="195"/>
    </i>
    <i r="1">
      <x v="8"/>
      <x v="215"/>
    </i>
    <i r="1">
      <x v="9"/>
      <x v="17"/>
    </i>
    <i r="1">
      <x v="10"/>
      <x v="132"/>
    </i>
    <i r="1">
      <x v="11"/>
      <x v="8"/>
    </i>
    <i r="2">
      <x v="65"/>
    </i>
    <i r="2">
      <x v="212"/>
    </i>
    <i r="1">
      <x v="14"/>
      <x v="140"/>
    </i>
    <i r="2">
      <x v="214"/>
    </i>
    <i r="1">
      <x v="16"/>
      <x v="6"/>
    </i>
    <i r="2">
      <x v="146"/>
    </i>
    <i r="2">
      <x v="185"/>
    </i>
    <i r="1">
      <x v="19"/>
      <x v="16"/>
    </i>
    <i t="blank">
      <x v="43"/>
    </i>
    <i>
      <x v="44"/>
    </i>
    <i r="1">
      <x/>
      <x v="196"/>
    </i>
    <i r="1">
      <x v="1"/>
      <x v="195"/>
    </i>
    <i r="1">
      <x v="2"/>
      <x v="19"/>
    </i>
    <i r="2">
      <x v="189"/>
    </i>
    <i r="1">
      <x v="4"/>
      <x v="14"/>
    </i>
    <i r="2">
      <x v="17"/>
    </i>
    <i r="2">
      <x v="226"/>
    </i>
    <i r="1">
      <x v="7"/>
      <x v="221"/>
    </i>
    <i r="1">
      <x v="8"/>
      <x v="4"/>
    </i>
    <i r="2">
      <x v="8"/>
    </i>
    <i r="1">
      <x v="10"/>
      <x v="16"/>
    </i>
    <i r="1">
      <x v="11"/>
      <x v="6"/>
    </i>
    <i r="2">
      <x v="65"/>
    </i>
    <i r="2">
      <x v="215"/>
    </i>
    <i r="1">
      <x v="14"/>
      <x v="135"/>
    </i>
    <i r="1">
      <x v="15"/>
      <x v="10"/>
    </i>
    <i r="1">
      <x v="16"/>
      <x v="188"/>
    </i>
    <i r="1">
      <x v="17"/>
      <x v="7"/>
    </i>
    <i r="2">
      <x v="140"/>
    </i>
    <i r="2">
      <x v="142"/>
    </i>
    <i t="blank">
      <x v="44"/>
    </i>
    <i>
      <x v="45"/>
    </i>
    <i r="1">
      <x/>
      <x v="196"/>
    </i>
    <i r="1">
      <x v="1"/>
      <x v="195"/>
    </i>
    <i r="1">
      <x v="2"/>
      <x v="4"/>
    </i>
    <i r="1">
      <x v="3"/>
      <x v="226"/>
    </i>
    <i r="1">
      <x v="4"/>
      <x v="185"/>
    </i>
    <i r="1">
      <x v="5"/>
      <x v="133"/>
    </i>
    <i r="2">
      <x v="211"/>
    </i>
    <i r="1">
      <x v="7"/>
      <x v="175"/>
    </i>
    <i r="1">
      <x v="8"/>
      <x v="6"/>
    </i>
    <i r="2">
      <x v="7"/>
    </i>
    <i r="2">
      <x v="19"/>
    </i>
    <i r="2">
      <x v="135"/>
    </i>
    <i r="2">
      <x v="156"/>
    </i>
    <i r="2">
      <x v="215"/>
    </i>
    <i r="1">
      <x v="14"/>
      <x v="17"/>
    </i>
    <i r="2">
      <x v="137"/>
    </i>
    <i r="2">
      <x v="219"/>
    </i>
    <i r="1">
      <x v="17"/>
      <x v="140"/>
    </i>
    <i r="1">
      <x v="18"/>
      <x v="212"/>
    </i>
    <i r="1">
      <x v="19"/>
      <x v="194"/>
    </i>
    <i t="blank">
      <x v="45"/>
    </i>
    <i>
      <x v="46"/>
    </i>
    <i r="1">
      <x/>
      <x v="156"/>
    </i>
    <i r="1">
      <x v="1"/>
      <x v="196"/>
    </i>
    <i r="1">
      <x v="2"/>
      <x v="195"/>
    </i>
    <i r="1">
      <x v="3"/>
      <x v="135"/>
    </i>
    <i r="1">
      <x v="4"/>
      <x v="4"/>
    </i>
    <i r="2">
      <x v="7"/>
    </i>
    <i r="1">
      <x v="6"/>
      <x v="9"/>
    </i>
    <i r="2">
      <x v="10"/>
    </i>
    <i r="2">
      <x v="13"/>
    </i>
    <i r="2">
      <x v="19"/>
    </i>
    <i r="2">
      <x v="120"/>
    </i>
    <i r="2">
      <x v="131"/>
    </i>
    <i r="2">
      <x v="132"/>
    </i>
    <i r="2">
      <x v="180"/>
    </i>
    <i r="2">
      <x v="184"/>
    </i>
    <i r="2">
      <x v="203"/>
    </i>
    <i r="2">
      <x v="211"/>
    </i>
    <i r="1">
      <x v="17"/>
      <x v="6"/>
    </i>
    <i r="2">
      <x v="16"/>
    </i>
    <i r="2">
      <x v="17"/>
    </i>
    <i r="2">
      <x v="124"/>
    </i>
    <i r="2">
      <x v="185"/>
    </i>
    <i t="blank">
      <x v="46"/>
    </i>
    <i>
      <x v="47"/>
    </i>
    <i r="1">
      <x/>
      <x v="193"/>
    </i>
    <i r="1">
      <x v="1"/>
      <x v="17"/>
    </i>
    <i r="2">
      <x v="25"/>
    </i>
    <i r="2">
      <x v="35"/>
    </i>
    <i r="2">
      <x v="195"/>
    </i>
    <i r="2">
      <x v="206"/>
    </i>
    <i r="2">
      <x v="220"/>
    </i>
    <i r="1">
      <x v="7"/>
      <x v="4"/>
    </i>
    <i r="2">
      <x v="7"/>
    </i>
    <i r="2">
      <x v="9"/>
    </i>
    <i r="2">
      <x v="24"/>
    </i>
    <i r="2">
      <x v="30"/>
    </i>
    <i r="2">
      <x v="95"/>
    </i>
    <i r="2">
      <x v="104"/>
    </i>
    <i r="2">
      <x v="106"/>
    </i>
    <i r="2">
      <x v="110"/>
    </i>
    <i r="2">
      <x v="132"/>
    </i>
    <i r="2">
      <x v="141"/>
    </i>
    <i r="2">
      <x v="142"/>
    </i>
    <i r="2">
      <x v="145"/>
    </i>
    <i r="2">
      <x v="156"/>
    </i>
    <i r="2">
      <x v="184"/>
    </i>
    <i r="2">
      <x v="185"/>
    </i>
    <i r="2">
      <x v="189"/>
    </i>
    <i r="2">
      <x v="226"/>
    </i>
    <i t="blank">
      <x v="47"/>
    </i>
    <i>
      <x v="48"/>
    </i>
    <i r="1">
      <x/>
      <x v="196"/>
    </i>
    <i r="1">
      <x v="1"/>
      <x v="133"/>
    </i>
    <i r="1">
      <x v="2"/>
      <x v="195"/>
    </i>
    <i r="1">
      <x v="3"/>
      <x v="146"/>
    </i>
    <i r="2">
      <x v="156"/>
    </i>
    <i r="1">
      <x v="5"/>
      <x v="137"/>
    </i>
    <i r="2">
      <x v="142"/>
    </i>
    <i r="1">
      <x v="7"/>
      <x v="143"/>
    </i>
    <i r="1">
      <x v="8"/>
      <x v="6"/>
    </i>
    <i r="1">
      <x v="9"/>
      <x v="13"/>
    </i>
    <i r="2">
      <x v="14"/>
    </i>
    <i r="2">
      <x v="130"/>
    </i>
    <i r="2">
      <x v="220"/>
    </i>
    <i r="1">
      <x v="13"/>
      <x v="4"/>
    </i>
    <i r="2">
      <x v="7"/>
    </i>
    <i r="2">
      <x v="206"/>
    </i>
    <i r="1">
      <x v="16"/>
      <x v="9"/>
    </i>
    <i r="2">
      <x v="17"/>
    </i>
    <i r="2">
      <x v="23"/>
    </i>
    <i r="2">
      <x v="188"/>
    </i>
    <i r="2">
      <x v="214"/>
    </i>
    <i r="2">
      <x v="227"/>
    </i>
    <i t="blank">
      <x v="48"/>
    </i>
    <i>
      <x v="49"/>
    </i>
    <i r="1">
      <x/>
      <x v="156"/>
    </i>
    <i r="1">
      <x v="1"/>
      <x v="196"/>
    </i>
    <i r="1">
      <x v="2"/>
      <x v="133"/>
    </i>
    <i r="1">
      <x v="3"/>
      <x v="195"/>
    </i>
    <i r="1">
      <x v="4"/>
      <x v="7"/>
    </i>
    <i r="2">
      <x v="142"/>
    </i>
    <i r="2">
      <x v="189"/>
    </i>
    <i r="2">
      <x v="223"/>
    </i>
    <i r="1">
      <x v="8"/>
      <x v="6"/>
    </i>
    <i r="2">
      <x v="194"/>
    </i>
    <i r="2">
      <x v="212"/>
    </i>
    <i r="2">
      <x v="215"/>
    </i>
    <i r="1">
      <x v="12"/>
      <x v="17"/>
    </i>
    <i r="2">
      <x v="19"/>
    </i>
    <i r="2">
      <x v="131"/>
    </i>
    <i r="2">
      <x v="137"/>
    </i>
    <i r="2">
      <x v="180"/>
    </i>
    <i r="1">
      <x v="17"/>
      <x v="4"/>
    </i>
    <i r="2">
      <x v="13"/>
    </i>
    <i r="2">
      <x v="16"/>
    </i>
    <i r="2">
      <x v="23"/>
    </i>
    <i r="2">
      <x v="43"/>
    </i>
    <i r="2">
      <x v="106"/>
    </i>
    <i r="2">
      <x v="120"/>
    </i>
    <i r="2">
      <x v="126"/>
    </i>
    <i r="2">
      <x v="127"/>
    </i>
    <i r="2">
      <x v="128"/>
    </i>
    <i r="2">
      <x v="130"/>
    </i>
    <i r="2">
      <x v="143"/>
    </i>
    <i r="2">
      <x v="146"/>
    </i>
    <i r="2">
      <x v="166"/>
    </i>
    <i r="2">
      <x v="175"/>
    </i>
    <i r="2">
      <x v="184"/>
    </i>
    <i r="2">
      <x v="188"/>
    </i>
    <i r="2">
      <x v="211"/>
    </i>
    <i r="2">
      <x v="214"/>
    </i>
    <i r="2">
      <x v="220"/>
    </i>
    <i r="2">
      <x v="226"/>
    </i>
    <i t="blank">
      <x v="49"/>
    </i>
    <i>
      <x v="50"/>
    </i>
    <i r="1">
      <x/>
      <x v="180"/>
    </i>
    <i r="1">
      <x v="1"/>
      <x v="196"/>
    </i>
    <i r="1">
      <x v="2"/>
      <x v="195"/>
    </i>
    <i r="1">
      <x v="3"/>
      <x v="7"/>
    </i>
    <i r="2">
      <x v="188"/>
    </i>
    <i r="1">
      <x v="5"/>
      <x v="4"/>
    </i>
    <i r="2">
      <x v="23"/>
    </i>
    <i r="2">
      <x v="140"/>
    </i>
    <i r="1">
      <x v="8"/>
      <x v="16"/>
    </i>
    <i r="2">
      <x v="17"/>
    </i>
    <i r="2">
      <x v="38"/>
    </i>
    <i r="2">
      <x v="42"/>
    </i>
    <i r="2">
      <x v="128"/>
    </i>
    <i r="2">
      <x v="132"/>
    </i>
    <i r="2">
      <x v="133"/>
    </i>
    <i r="2">
      <x v="143"/>
    </i>
    <i r="2">
      <x v="156"/>
    </i>
    <i r="2">
      <x v="185"/>
    </i>
    <i r="2">
      <x v="189"/>
    </i>
    <i r="2">
      <x v="212"/>
    </i>
    <i t="blank">
      <x v="50"/>
    </i>
    <i>
      <x v="51"/>
    </i>
    <i r="1">
      <x/>
      <x v="195"/>
    </i>
    <i r="2">
      <x v="196"/>
    </i>
    <i r="1">
      <x v="2"/>
      <x v="189"/>
    </i>
    <i r="1">
      <x v="3"/>
      <x v="7"/>
    </i>
    <i r="2">
      <x v="137"/>
    </i>
    <i r="2">
      <x v="146"/>
    </i>
    <i r="2">
      <x v="188"/>
    </i>
    <i r="1">
      <x v="7"/>
      <x v="6"/>
    </i>
    <i r="2">
      <x v="15"/>
    </i>
    <i r="2">
      <x v="127"/>
    </i>
    <i r="2">
      <x v="142"/>
    </i>
    <i r="2">
      <x v="143"/>
    </i>
    <i r="2">
      <x v="152"/>
    </i>
    <i r="2">
      <x v="180"/>
    </i>
    <i r="2">
      <x v="190"/>
    </i>
    <i r="1">
      <x v="15"/>
      <x v="8"/>
    </i>
    <i r="2">
      <x v="14"/>
    </i>
    <i r="2">
      <x v="17"/>
    </i>
    <i r="2">
      <x v="19"/>
    </i>
    <i r="2">
      <x v="43"/>
    </i>
    <i r="2">
      <x v="58"/>
    </i>
    <i r="2">
      <x v="124"/>
    </i>
    <i r="2">
      <x v="132"/>
    </i>
    <i r="2">
      <x v="156"/>
    </i>
    <i r="2">
      <x v="175"/>
    </i>
    <i r="2">
      <x v="185"/>
    </i>
    <i r="2">
      <x v="187"/>
    </i>
    <i r="2">
      <x v="211"/>
    </i>
    <i r="2">
      <x v="226"/>
    </i>
    <i t="blank">
      <x v="51"/>
    </i>
    <i>
      <x v="52"/>
    </i>
    <i r="1">
      <x/>
      <x v="196"/>
    </i>
    <i r="1">
      <x v="1"/>
      <x v="195"/>
    </i>
    <i r="1">
      <x v="2"/>
      <x v="226"/>
    </i>
    <i r="1">
      <x v="3"/>
      <x v="185"/>
    </i>
    <i r="2">
      <x v="221"/>
    </i>
    <i r="1">
      <x v="5"/>
      <x v="4"/>
    </i>
    <i r="2">
      <x v="19"/>
    </i>
    <i r="1">
      <x v="7"/>
      <x v="7"/>
    </i>
    <i r="1">
      <x v="8"/>
      <x v="194"/>
    </i>
    <i r="1">
      <x v="9"/>
      <x v="17"/>
    </i>
    <i r="2">
      <x v="135"/>
    </i>
    <i r="2">
      <x v="156"/>
    </i>
    <i r="1">
      <x v="12"/>
      <x v="6"/>
    </i>
    <i r="2">
      <x v="193"/>
    </i>
    <i r="1">
      <x v="14"/>
      <x v="132"/>
    </i>
    <i r="2">
      <x v="146"/>
    </i>
    <i r="2">
      <x v="212"/>
    </i>
    <i r="1">
      <x v="17"/>
      <x v="8"/>
    </i>
    <i r="2">
      <x v="108"/>
    </i>
    <i r="2">
      <x v="133"/>
    </i>
    <i r="2">
      <x v="175"/>
    </i>
    <i t="blank">
      <x v="52"/>
    </i>
    <i>
      <x v="53"/>
    </i>
    <i r="1">
      <x/>
      <x v="133"/>
    </i>
    <i r="1">
      <x v="1"/>
      <x v="195"/>
    </i>
    <i r="1">
      <x v="2"/>
      <x v="4"/>
    </i>
    <i r="2">
      <x v="184"/>
    </i>
    <i r="2">
      <x v="196"/>
    </i>
    <i r="1">
      <x v="5"/>
      <x v="6"/>
    </i>
    <i r="2">
      <x v="7"/>
    </i>
    <i r="2">
      <x v="142"/>
    </i>
    <i r="2">
      <x v="180"/>
    </i>
    <i r="1">
      <x v="9"/>
      <x v="9"/>
    </i>
    <i r="2">
      <x v="17"/>
    </i>
    <i r="2">
      <x v="23"/>
    </i>
    <i r="2">
      <x v="58"/>
    </i>
    <i r="2">
      <x v="72"/>
    </i>
    <i r="2">
      <x v="106"/>
    </i>
    <i r="2">
      <x v="127"/>
    </i>
    <i r="2">
      <x v="146"/>
    </i>
    <i r="2">
      <x v="194"/>
    </i>
    <i r="2">
      <x v="226"/>
    </i>
    <i r="1">
      <x v="19"/>
      <x v="8"/>
    </i>
    <i r="2">
      <x v="14"/>
    </i>
    <i r="2">
      <x v="16"/>
    </i>
    <i r="2">
      <x v="19"/>
    </i>
    <i r="2">
      <x v="35"/>
    </i>
    <i r="2">
      <x v="38"/>
    </i>
    <i r="2">
      <x v="67"/>
    </i>
    <i r="2">
      <x v="80"/>
    </i>
    <i r="2">
      <x v="98"/>
    </i>
    <i r="2">
      <x v="118"/>
    </i>
    <i r="2">
      <x v="130"/>
    </i>
    <i r="2">
      <x v="136"/>
    </i>
    <i r="2">
      <x v="137"/>
    </i>
    <i r="2">
      <x v="140"/>
    </i>
    <i r="2">
      <x v="143"/>
    </i>
    <i r="2">
      <x v="145"/>
    </i>
    <i r="2">
      <x v="147"/>
    </i>
    <i r="2">
      <x v="185"/>
    </i>
    <i r="2">
      <x v="187"/>
    </i>
    <i r="2">
      <x v="188"/>
    </i>
    <i r="2">
      <x v="189"/>
    </i>
    <i r="2">
      <x v="190"/>
    </i>
    <i r="2">
      <x v="191"/>
    </i>
    <i r="2">
      <x v="193"/>
    </i>
    <i r="2">
      <x v="202"/>
    </i>
    <i r="2">
      <x v="211"/>
    </i>
    <i r="2">
      <x v="212"/>
    </i>
    <i r="2">
      <x v="214"/>
    </i>
    <i r="2">
      <x v="220"/>
    </i>
    <i r="2">
      <x v="221"/>
    </i>
    <i r="2">
      <x v="227"/>
    </i>
    <i r="2">
      <x v="235"/>
    </i>
    <i t="blank">
      <x v="53"/>
    </i>
    <i>
      <x v="54"/>
    </i>
    <i r="1">
      <x/>
      <x v="196"/>
    </i>
    <i r="1">
      <x v="1"/>
      <x v="195"/>
    </i>
    <i r="1">
      <x v="2"/>
      <x v="156"/>
    </i>
    <i r="2">
      <x v="189"/>
    </i>
    <i r="1">
      <x v="4"/>
      <x v="23"/>
    </i>
    <i r="1">
      <x v="5"/>
      <x v="133"/>
    </i>
    <i r="2">
      <x v="226"/>
    </i>
    <i r="1">
      <x v="7"/>
      <x v="6"/>
    </i>
    <i r="2">
      <x v="7"/>
    </i>
    <i r="1">
      <x v="9"/>
      <x v="194"/>
    </i>
    <i r="1">
      <x v="10"/>
      <x v="221"/>
    </i>
    <i r="1">
      <x v="11"/>
      <x v="4"/>
    </i>
    <i r="2">
      <x v="14"/>
    </i>
    <i r="2">
      <x v="132"/>
    </i>
    <i r="2">
      <x v="146"/>
    </i>
    <i r="1">
      <x v="15"/>
      <x v="17"/>
    </i>
    <i r="2">
      <x v="106"/>
    </i>
    <i r="2">
      <x v="130"/>
    </i>
    <i r="2">
      <x v="180"/>
    </i>
    <i r="1">
      <x v="19"/>
      <x v="98"/>
    </i>
    <i r="2">
      <x v="135"/>
    </i>
    <i r="2">
      <x v="142"/>
    </i>
    <i r="2">
      <x v="184"/>
    </i>
    <i r="2">
      <x v="212"/>
    </i>
    <i r="2">
      <x v="215"/>
    </i>
    <i t="blank">
      <x v="54"/>
    </i>
    <i>
      <x v="55"/>
    </i>
    <i r="1">
      <x/>
      <x v="196"/>
    </i>
    <i r="1">
      <x v="1"/>
      <x v="189"/>
    </i>
    <i r="1">
      <x v="2"/>
      <x v="156"/>
    </i>
    <i r="2">
      <x v="195"/>
    </i>
    <i r="1">
      <x v="4"/>
      <x v="4"/>
    </i>
    <i r="2">
      <x v="133"/>
    </i>
    <i r="2">
      <x v="180"/>
    </i>
    <i r="2">
      <x v="188"/>
    </i>
    <i r="1">
      <x v="8"/>
      <x v="185"/>
    </i>
    <i r="1">
      <x v="9"/>
      <x v="6"/>
    </i>
    <i r="2">
      <x v="7"/>
    </i>
    <i r="2">
      <x v="17"/>
    </i>
    <i r="2">
      <x v="135"/>
    </i>
    <i r="1">
      <x v="13"/>
      <x v="132"/>
    </i>
    <i r="2">
      <x v="146"/>
    </i>
    <i r="2">
      <x v="226"/>
    </i>
    <i r="1">
      <x v="16"/>
      <x v="137"/>
    </i>
    <i r="1">
      <x v="17"/>
      <x v="14"/>
    </i>
    <i r="2">
      <x v="131"/>
    </i>
    <i r="2">
      <x v="190"/>
    </i>
    <i t="blank">
      <x v="55"/>
    </i>
    <i>
      <x v="56"/>
    </i>
    <i r="1">
      <x/>
      <x v="196"/>
    </i>
    <i r="1">
      <x v="1"/>
      <x v="188"/>
    </i>
    <i r="1">
      <x v="2"/>
      <x v="195"/>
    </i>
    <i r="1">
      <x v="3"/>
      <x v="17"/>
    </i>
    <i r="2">
      <x v="133"/>
    </i>
    <i r="2">
      <x v="185"/>
    </i>
    <i r="1">
      <x v="6"/>
      <x v="14"/>
    </i>
    <i r="2">
      <x v="142"/>
    </i>
    <i r="2">
      <x v="143"/>
    </i>
    <i r="2">
      <x v="180"/>
    </i>
    <i r="2">
      <x v="189"/>
    </i>
    <i r="2">
      <x v="190"/>
    </i>
    <i r="1">
      <x v="12"/>
      <x v="8"/>
    </i>
    <i r="2">
      <x v="23"/>
    </i>
    <i r="2">
      <x v="130"/>
    </i>
    <i r="2">
      <x v="184"/>
    </i>
    <i r="2">
      <x v="193"/>
    </i>
    <i r="2">
      <x v="210"/>
    </i>
    <i r="2">
      <x v="215"/>
    </i>
    <i r="2">
      <x v="226"/>
    </i>
    <i r="2">
      <x v="229"/>
    </i>
    <i t="blank">
      <x v="56"/>
    </i>
    <i>
      <x v="57"/>
    </i>
    <i r="1">
      <x/>
      <x v="196"/>
    </i>
    <i r="1">
      <x v="1"/>
      <x v="189"/>
    </i>
    <i r="1">
      <x v="2"/>
      <x v="146"/>
    </i>
    <i r="1">
      <x v="3"/>
      <x v="188"/>
    </i>
    <i r="2">
      <x v="195"/>
    </i>
    <i r="1">
      <x v="5"/>
      <x v="156"/>
    </i>
    <i r="1">
      <x v="6"/>
      <x v="7"/>
    </i>
    <i r="2">
      <x v="17"/>
    </i>
    <i r="1">
      <x v="8"/>
      <x v="14"/>
    </i>
    <i r="2">
      <x v="185"/>
    </i>
    <i r="1">
      <x v="10"/>
      <x v="193"/>
    </i>
    <i r="2">
      <x v="220"/>
    </i>
    <i r="1">
      <x v="12"/>
      <x v="132"/>
    </i>
    <i r="2">
      <x v="137"/>
    </i>
    <i r="2">
      <x v="190"/>
    </i>
    <i r="1">
      <x v="15"/>
      <x v="6"/>
    </i>
    <i r="2">
      <x v="9"/>
    </i>
    <i r="2">
      <x v="133"/>
    </i>
    <i r="2">
      <x v="140"/>
    </i>
    <i r="2">
      <x v="187"/>
    </i>
    <i r="2">
      <x v="210"/>
    </i>
    <i r="2">
      <x v="215"/>
    </i>
    <i t="blank">
      <x v="57"/>
    </i>
    <i>
      <x v="58"/>
    </i>
    <i r="1">
      <x/>
      <x v="195"/>
    </i>
    <i r="1">
      <x v="1"/>
      <x v="133"/>
    </i>
    <i r="2">
      <x v="196"/>
    </i>
    <i r="1">
      <x v="3"/>
      <x v="180"/>
    </i>
    <i r="1">
      <x v="4"/>
      <x v="4"/>
    </i>
    <i r="2">
      <x v="23"/>
    </i>
    <i r="2">
      <x v="194"/>
    </i>
    <i r="1">
      <x v="7"/>
      <x v="17"/>
    </i>
    <i r="2">
      <x v="184"/>
    </i>
    <i r="2">
      <x v="188"/>
    </i>
    <i r="2">
      <x v="189"/>
    </i>
    <i r="2">
      <x v="215"/>
    </i>
    <i r="1">
      <x v="12"/>
      <x v="7"/>
    </i>
    <i r="2">
      <x v="9"/>
    </i>
    <i r="2">
      <x v="95"/>
    </i>
    <i r="2">
      <x v="106"/>
    </i>
    <i r="2">
      <x v="124"/>
    </i>
    <i r="2">
      <x v="141"/>
    </i>
    <i r="2">
      <x v="142"/>
    </i>
    <i r="2">
      <x v="143"/>
    </i>
    <i r="2">
      <x v="146"/>
    </i>
    <i r="2">
      <x v="147"/>
    </i>
    <i r="2">
      <x v="212"/>
    </i>
    <i r="2">
      <x v="235"/>
    </i>
    <i t="blank">
      <x v="58"/>
    </i>
    <i>
      <x v="59"/>
    </i>
    <i r="1">
      <x/>
      <x v="156"/>
    </i>
    <i r="1">
      <x v="1"/>
      <x v="133"/>
    </i>
    <i r="2">
      <x v="195"/>
    </i>
    <i r="1">
      <x v="3"/>
      <x v="6"/>
    </i>
    <i r="2">
      <x v="124"/>
    </i>
    <i r="2">
      <x v="187"/>
    </i>
    <i r="2">
      <x v="188"/>
    </i>
    <i r="2">
      <x v="196"/>
    </i>
    <i r="1">
      <x v="8"/>
      <x v="4"/>
    </i>
    <i r="2">
      <x v="38"/>
    </i>
    <i r="2">
      <x v="120"/>
    </i>
    <i r="2">
      <x v="210"/>
    </i>
    <i r="1">
      <x v="12"/>
      <x v="7"/>
    </i>
    <i r="2">
      <x v="12"/>
    </i>
    <i r="2">
      <x v="17"/>
    </i>
    <i r="2">
      <x v="128"/>
    </i>
    <i r="2">
      <x v="141"/>
    </i>
    <i r="2">
      <x v="143"/>
    </i>
    <i r="2">
      <x v="146"/>
    </i>
    <i r="2">
      <x v="184"/>
    </i>
    <i r="2">
      <x v="189"/>
    </i>
    <i r="2">
      <x v="202"/>
    </i>
    <i r="2">
      <x v="220"/>
    </i>
    <i r="2">
      <x v="226"/>
    </i>
    <i r="2">
      <x v="235"/>
    </i>
    <i r="2">
      <x v="236"/>
    </i>
    <i t="blank">
      <x v="59"/>
    </i>
    <i>
      <x v="60"/>
    </i>
    <i r="1">
      <x/>
      <x v="195"/>
    </i>
    <i r="2">
      <x v="196"/>
    </i>
    <i r="1">
      <x v="2"/>
      <x v="142"/>
    </i>
    <i r="1">
      <x v="3"/>
      <x v="7"/>
    </i>
    <i r="2">
      <x v="180"/>
    </i>
    <i r="2">
      <x v="220"/>
    </i>
    <i r="1">
      <x v="6"/>
      <x v="4"/>
    </i>
    <i r="2">
      <x v="17"/>
    </i>
    <i r="2">
      <x v="137"/>
    </i>
    <i r="2">
      <x v="147"/>
    </i>
    <i r="2">
      <x v="188"/>
    </i>
    <i r="2">
      <x v="189"/>
    </i>
    <i r="2">
      <x v="212"/>
    </i>
    <i r="1">
      <x v="13"/>
      <x v="14"/>
    </i>
    <i r="2">
      <x v="23"/>
    </i>
    <i r="2">
      <x v="28"/>
    </i>
    <i r="2">
      <x v="32"/>
    </i>
    <i r="2">
      <x v="107"/>
    </i>
    <i r="2">
      <x v="124"/>
    </i>
    <i r="2">
      <x v="127"/>
    </i>
    <i r="2">
      <x v="128"/>
    </i>
    <i r="2">
      <x v="146"/>
    </i>
    <i r="2">
      <x v="206"/>
    </i>
    <i r="2">
      <x v="215"/>
    </i>
    <i r="2">
      <x v="221"/>
    </i>
    <i r="2">
      <x v="223"/>
    </i>
    <i r="2">
      <x v="235"/>
    </i>
    <i t="blank">
      <x v="60"/>
    </i>
    <i>
      <x v="61"/>
    </i>
    <i r="1">
      <x/>
      <x v="180"/>
    </i>
    <i r="1">
      <x v="1"/>
      <x v="133"/>
    </i>
    <i r="2">
      <x v="189"/>
    </i>
    <i r="1">
      <x v="3"/>
      <x v="23"/>
    </i>
    <i r="1">
      <x v="4"/>
      <x v="195"/>
    </i>
    <i r="1">
      <x v="5"/>
      <x v="156"/>
    </i>
    <i r="2">
      <x v="188"/>
    </i>
    <i r="2">
      <x v="196"/>
    </i>
    <i r="1">
      <x v="8"/>
      <x v="144"/>
    </i>
    <i r="1">
      <x v="9"/>
      <x v="17"/>
    </i>
    <i r="2">
      <x v="107"/>
    </i>
    <i r="2">
      <x v="137"/>
    </i>
    <i r="2">
      <x v="142"/>
    </i>
    <i r="2">
      <x v="184"/>
    </i>
    <i r="2">
      <x v="185"/>
    </i>
    <i r="2">
      <x v="187"/>
    </i>
    <i r="1">
      <x v="16"/>
      <x v="58"/>
    </i>
    <i r="2">
      <x v="127"/>
    </i>
    <i r="2">
      <x v="129"/>
    </i>
    <i r="2">
      <x v="140"/>
    </i>
    <i r="2">
      <x v="149"/>
    </i>
    <i r="2">
      <x v="161"/>
    </i>
    <i r="2">
      <x v="223"/>
    </i>
    <i r="2">
      <x v="224"/>
    </i>
    <i r="2">
      <x v="227"/>
    </i>
    <i t="blank">
      <x v="61"/>
    </i>
    <i>
      <x v="62"/>
    </i>
    <i r="1">
      <x/>
      <x v="196"/>
    </i>
    <i r="1">
      <x v="1"/>
      <x v="156"/>
    </i>
    <i r="2">
      <x v="189"/>
    </i>
    <i r="2">
      <x v="195"/>
    </i>
    <i r="1">
      <x v="4"/>
      <x v="185"/>
    </i>
    <i r="1">
      <x v="5"/>
      <x v="6"/>
    </i>
    <i r="2">
      <x v="140"/>
    </i>
    <i r="2">
      <x v="141"/>
    </i>
    <i r="2">
      <x v="184"/>
    </i>
    <i r="2">
      <x v="212"/>
    </i>
    <i r="1">
      <x v="10"/>
      <x v="7"/>
    </i>
    <i r="2">
      <x v="14"/>
    </i>
    <i r="2">
      <x v="19"/>
    </i>
    <i r="2">
      <x v="124"/>
    </i>
    <i r="2">
      <x v="188"/>
    </i>
    <i r="2">
      <x v="190"/>
    </i>
    <i r="2">
      <x v="226"/>
    </i>
    <i r="1">
      <x v="17"/>
      <x v="4"/>
    </i>
    <i r="2">
      <x v="5"/>
    </i>
    <i r="2">
      <x v="8"/>
    </i>
    <i r="2">
      <x v="9"/>
    </i>
    <i r="2">
      <x v="17"/>
    </i>
    <i r="2">
      <x v="42"/>
    </i>
    <i r="2">
      <x v="46"/>
    </i>
    <i r="2">
      <x v="81"/>
    </i>
    <i r="2">
      <x v="122"/>
    </i>
    <i r="2">
      <x v="133"/>
    </i>
    <i r="2">
      <x v="135"/>
    </i>
    <i r="2">
      <x v="136"/>
    </i>
    <i r="2">
      <x v="137"/>
    </i>
    <i r="2">
      <x v="138"/>
    </i>
    <i r="2">
      <x v="139"/>
    </i>
    <i r="2">
      <x v="142"/>
    </i>
    <i r="2">
      <x v="143"/>
    </i>
    <i r="2">
      <x v="146"/>
    </i>
    <i r="2">
      <x v="180"/>
    </i>
    <i r="2">
      <x v="202"/>
    </i>
    <i r="2">
      <x v="210"/>
    </i>
    <i r="2">
      <x v="211"/>
    </i>
    <i r="2">
      <x v="215"/>
    </i>
    <i r="2">
      <x v="219"/>
    </i>
    <i t="blank">
      <x v="62"/>
    </i>
    <i>
      <x v="63"/>
    </i>
    <i r="1">
      <x/>
      <x v="195"/>
    </i>
    <i r="1">
      <x v="1"/>
      <x v="196"/>
    </i>
    <i r="1">
      <x v="2"/>
      <x v="7"/>
    </i>
    <i r="2">
      <x v="189"/>
    </i>
    <i r="1">
      <x v="4"/>
      <x v="156"/>
    </i>
    <i r="1">
      <x v="5"/>
      <x v="133"/>
    </i>
    <i r="2">
      <x v="142"/>
    </i>
    <i r="2">
      <x v="188"/>
    </i>
    <i r="1">
      <x v="8"/>
      <x v="14"/>
    </i>
    <i r="2">
      <x v="17"/>
    </i>
    <i r="2">
      <x v="106"/>
    </i>
    <i r="2">
      <x v="124"/>
    </i>
    <i r="2">
      <x v="180"/>
    </i>
    <i r="1">
      <x v="13"/>
      <x v="132"/>
    </i>
    <i r="1">
      <x v="14"/>
      <x v="19"/>
    </i>
    <i r="2">
      <x v="140"/>
    </i>
    <i r="2">
      <x v="185"/>
    </i>
    <i r="2">
      <x v="215"/>
    </i>
    <i r="2">
      <x v="219"/>
    </i>
    <i r="1">
      <x v="19"/>
      <x v="4"/>
    </i>
    <i r="2">
      <x v="127"/>
    </i>
    <i r="2">
      <x v="129"/>
    </i>
    <i r="2">
      <x v="146"/>
    </i>
    <i r="2">
      <x v="184"/>
    </i>
    <i r="2">
      <x v="194"/>
    </i>
    <i r="2">
      <x v="210"/>
    </i>
    <i r="2">
      <x v="220"/>
    </i>
    <i t="blank">
      <x v="63"/>
    </i>
    <i>
      <x v="64"/>
    </i>
    <i r="1">
      <x/>
      <x v="180"/>
    </i>
    <i r="1">
      <x v="1"/>
      <x v="133"/>
    </i>
    <i r="1">
      <x v="2"/>
      <x v="23"/>
    </i>
    <i r="1">
      <x v="3"/>
      <x v="196"/>
    </i>
    <i r="1">
      <x v="4"/>
      <x v="7"/>
    </i>
    <i r="1">
      <x v="5"/>
      <x v="6"/>
    </i>
    <i r="2">
      <x v="8"/>
    </i>
    <i r="2">
      <x v="9"/>
    </i>
    <i r="2">
      <x v="17"/>
    </i>
    <i r="2">
      <x v="82"/>
    </i>
    <i r="2">
      <x v="95"/>
    </i>
    <i r="2">
      <x v="106"/>
    </i>
    <i r="2">
      <x v="127"/>
    </i>
    <i r="2">
      <x v="139"/>
    </i>
    <i r="2">
      <x v="142"/>
    </i>
    <i r="2">
      <x v="143"/>
    </i>
    <i r="2">
      <x v="154"/>
    </i>
    <i r="2">
      <x v="163"/>
    </i>
    <i r="2">
      <x v="173"/>
    </i>
    <i r="2">
      <x v="183"/>
    </i>
    <i r="2">
      <x v="184"/>
    </i>
    <i r="2">
      <x v="185"/>
    </i>
    <i r="2">
      <x v="195"/>
    </i>
    <i r="2">
      <x v="203"/>
    </i>
    <i r="2">
      <x v="211"/>
    </i>
    <i r="2">
      <x v="214"/>
    </i>
    <i r="2">
      <x v="221"/>
    </i>
    <i t="blank">
      <x v="64"/>
    </i>
    <i>
      <x v="65"/>
    </i>
    <i r="1">
      <x/>
      <x v="132"/>
    </i>
    <i r="2">
      <x v="184"/>
    </i>
    <i r="1">
      <x v="2"/>
      <x v="23"/>
    </i>
    <i r="2">
      <x v="196"/>
    </i>
    <i r="1">
      <x v="4"/>
      <x v="6"/>
    </i>
    <i r="2">
      <x v="17"/>
    </i>
    <i r="2">
      <x v="189"/>
    </i>
    <i r="1">
      <x v="7"/>
      <x v="19"/>
    </i>
    <i r="2">
      <x v="106"/>
    </i>
    <i r="2">
      <x v="127"/>
    </i>
    <i r="2">
      <x v="130"/>
    </i>
    <i r="2">
      <x v="142"/>
    </i>
    <i r="2">
      <x v="146"/>
    </i>
    <i r="2">
      <x v="156"/>
    </i>
    <i r="2">
      <x v="185"/>
    </i>
    <i r="2">
      <x v="187"/>
    </i>
    <i r="2">
      <x v="188"/>
    </i>
    <i r="2">
      <x v="195"/>
    </i>
    <i r="1">
      <x v="18"/>
      <x v="7"/>
    </i>
    <i r="2">
      <x v="8"/>
    </i>
    <i r="2">
      <x v="13"/>
    </i>
    <i r="2">
      <x v="14"/>
    </i>
    <i r="2">
      <x v="46"/>
    </i>
    <i r="2">
      <x v="62"/>
    </i>
    <i r="2">
      <x v="80"/>
    </i>
    <i r="2">
      <x v="82"/>
    </i>
    <i r="2">
      <x v="83"/>
    </i>
    <i r="2">
      <x v="95"/>
    </i>
    <i r="2">
      <x v="98"/>
    </i>
    <i r="2">
      <x v="103"/>
    </i>
    <i r="2">
      <x v="107"/>
    </i>
    <i r="2">
      <x v="122"/>
    </i>
    <i r="2">
      <x v="126"/>
    </i>
    <i r="2">
      <x v="129"/>
    </i>
    <i r="2">
      <x v="131"/>
    </i>
    <i r="2">
      <x v="133"/>
    </i>
    <i r="2">
      <x v="135"/>
    </i>
    <i r="2">
      <x v="137"/>
    </i>
    <i r="2">
      <x v="140"/>
    </i>
    <i r="2">
      <x v="143"/>
    </i>
    <i r="2">
      <x v="145"/>
    </i>
    <i r="2">
      <x v="155"/>
    </i>
    <i r="2">
      <x v="178"/>
    </i>
    <i r="2">
      <x v="180"/>
    </i>
    <i r="2">
      <x v="201"/>
    </i>
    <i r="2">
      <x v="203"/>
    </i>
    <i r="2">
      <x v="209"/>
    </i>
    <i r="2">
      <x v="212"/>
    </i>
    <i r="2">
      <x v="214"/>
    </i>
    <i r="2">
      <x v="218"/>
    </i>
    <i r="2">
      <x v="223"/>
    </i>
    <i r="2">
      <x v="226"/>
    </i>
    <i t="blank">
      <x v="65"/>
    </i>
    <i>
      <x v="66"/>
    </i>
    <i r="1">
      <x/>
      <x v="156"/>
    </i>
    <i r="1">
      <x v="1"/>
      <x v="132"/>
    </i>
    <i r="2">
      <x v="142"/>
    </i>
    <i r="1">
      <x v="3"/>
      <x v="147"/>
    </i>
    <i r="2">
      <x v="160"/>
    </i>
    <i r="2">
      <x v="195"/>
    </i>
    <i r="2">
      <x v="196"/>
    </i>
    <i r="1">
      <x v="7"/>
      <x v="131"/>
    </i>
    <i r="2">
      <x v="146"/>
    </i>
    <i r="2">
      <x v="170"/>
    </i>
    <i r="2">
      <x v="180"/>
    </i>
    <i r="2">
      <x v="185"/>
    </i>
    <i r="2">
      <x v="193"/>
    </i>
    <i r="2">
      <x v="212"/>
    </i>
    <i r="2">
      <x v="220"/>
    </i>
    <i r="1">
      <x v="15"/>
      <x v="4"/>
    </i>
    <i r="2">
      <x v="6"/>
    </i>
    <i r="2">
      <x v="8"/>
    </i>
    <i r="2">
      <x v="10"/>
    </i>
    <i r="2">
      <x v="13"/>
    </i>
    <i r="2">
      <x v="14"/>
    </i>
    <i r="2">
      <x v="16"/>
    </i>
    <i r="2">
      <x v="17"/>
    </i>
    <i r="2">
      <x v="19"/>
    </i>
    <i r="2">
      <x v="22"/>
    </i>
    <i r="2">
      <x v="30"/>
    </i>
    <i r="2">
      <x v="35"/>
    </i>
    <i r="2">
      <x v="75"/>
    </i>
    <i r="2">
      <x v="104"/>
    </i>
    <i r="2">
      <x v="120"/>
    </i>
    <i r="2">
      <x v="128"/>
    </i>
    <i r="2">
      <x v="129"/>
    </i>
    <i r="2">
      <x v="133"/>
    </i>
    <i r="2">
      <x v="135"/>
    </i>
    <i r="2">
      <x v="137"/>
    </i>
    <i r="2">
      <x v="140"/>
    </i>
    <i r="2">
      <x v="143"/>
    </i>
    <i r="2">
      <x v="149"/>
    </i>
    <i r="2">
      <x v="165"/>
    </i>
    <i r="2">
      <x v="175"/>
    </i>
    <i r="2">
      <x v="179"/>
    </i>
    <i r="2">
      <x v="183"/>
    </i>
    <i r="2">
      <x v="186"/>
    </i>
    <i r="2">
      <x v="187"/>
    </i>
    <i r="2">
      <x v="188"/>
    </i>
    <i r="2">
      <x v="190"/>
    </i>
    <i r="2">
      <x v="209"/>
    </i>
    <i r="2">
      <x v="215"/>
    </i>
    <i r="2">
      <x v="219"/>
    </i>
    <i r="2">
      <x v="221"/>
    </i>
    <i r="2">
      <x v="223"/>
    </i>
    <i r="2">
      <x v="226"/>
    </i>
    <i r="2">
      <x v="227"/>
    </i>
    <i r="2">
      <x v="231"/>
    </i>
    <i t="blank">
      <x v="66"/>
    </i>
    <i>
      <x v="67"/>
    </i>
    <i r="1">
      <x/>
      <x v="4"/>
    </i>
    <i r="1">
      <x v="1"/>
      <x v="236"/>
    </i>
    <i r="1">
      <x v="2"/>
      <x v="133"/>
    </i>
    <i r="2">
      <x v="180"/>
    </i>
    <i r="2">
      <x v="220"/>
    </i>
    <i r="1">
      <x v="5"/>
      <x v="132"/>
    </i>
    <i r="2">
      <x v="142"/>
    </i>
    <i r="2">
      <x v="185"/>
    </i>
    <i r="2">
      <x v="195"/>
    </i>
    <i r="1">
      <x v="9"/>
      <x v="7"/>
    </i>
    <i r="2">
      <x v="19"/>
    </i>
    <i r="2">
      <x v="131"/>
    </i>
    <i r="2">
      <x v="137"/>
    </i>
    <i r="2">
      <x v="146"/>
    </i>
    <i r="2">
      <x v="212"/>
    </i>
    <i r="1">
      <x v="15"/>
      <x v="13"/>
    </i>
    <i r="2">
      <x v="14"/>
    </i>
    <i r="2">
      <x v="17"/>
    </i>
    <i r="2">
      <x v="24"/>
    </i>
    <i r="2">
      <x v="108"/>
    </i>
    <i r="2">
      <x v="124"/>
    </i>
    <i r="2">
      <x v="127"/>
    </i>
    <i r="2">
      <x v="129"/>
    </i>
    <i r="2">
      <x v="156"/>
    </i>
    <i r="2">
      <x v="158"/>
    </i>
    <i r="2">
      <x v="160"/>
    </i>
    <i r="2">
      <x v="165"/>
    </i>
    <i r="2">
      <x v="184"/>
    </i>
    <i r="2">
      <x v="187"/>
    </i>
    <i r="2">
      <x v="188"/>
    </i>
    <i r="2">
      <x v="189"/>
    </i>
    <i r="2">
      <x v="190"/>
    </i>
    <i r="2">
      <x v="193"/>
    </i>
    <i r="2">
      <x v="214"/>
    </i>
    <i r="2">
      <x v="219"/>
    </i>
    <i r="2">
      <x v="223"/>
    </i>
    <i t="blank">
      <x v="67"/>
    </i>
    <i>
      <x v="68"/>
    </i>
    <i r="1">
      <x/>
      <x v="180"/>
    </i>
    <i r="1">
      <x v="1"/>
      <x v="132"/>
    </i>
    <i r="2">
      <x v="185"/>
    </i>
    <i r="1">
      <x v="3"/>
      <x v="190"/>
    </i>
    <i r="1">
      <x v="4"/>
      <x v="184"/>
    </i>
    <i r="1">
      <x v="5"/>
      <x v="4"/>
    </i>
    <i r="2">
      <x v="147"/>
    </i>
    <i r="2">
      <x v="154"/>
    </i>
    <i r="2">
      <x v="181"/>
    </i>
    <i r="2">
      <x v="186"/>
    </i>
    <i r="2">
      <x v="189"/>
    </i>
    <i r="2">
      <x v="195"/>
    </i>
    <i r="2">
      <x v="212"/>
    </i>
    <i r="2">
      <x v="235"/>
    </i>
    <i r="1">
      <x v="14"/>
      <x v="22"/>
    </i>
    <i r="2">
      <x v="114"/>
    </i>
    <i r="2">
      <x v="137"/>
    </i>
    <i r="2">
      <x v="142"/>
    </i>
    <i r="2">
      <x v="188"/>
    </i>
    <i r="2">
      <x v="196"/>
    </i>
    <i r="2">
      <x v="209"/>
    </i>
    <i r="2">
      <x v="215"/>
    </i>
    <i t="blank">
      <x v="68"/>
    </i>
    <i>
      <x v="69"/>
    </i>
    <i r="1">
      <x/>
      <x v="184"/>
    </i>
    <i r="2">
      <x v="190"/>
    </i>
    <i r="1">
      <x v="2"/>
      <x v="132"/>
    </i>
    <i r="1">
      <x v="3"/>
      <x v="142"/>
    </i>
    <i r="2">
      <x v="185"/>
    </i>
    <i r="2">
      <x v="192"/>
    </i>
    <i r="2">
      <x v="220"/>
    </i>
    <i r="1">
      <x v="7"/>
      <x v="12"/>
    </i>
    <i r="2">
      <x v="14"/>
    </i>
    <i r="2">
      <x v="98"/>
    </i>
    <i r="2">
      <x v="128"/>
    </i>
    <i r="2">
      <x v="133"/>
    </i>
    <i r="2">
      <x v="143"/>
    </i>
    <i r="2">
      <x v="181"/>
    </i>
    <i r="2">
      <x v="183"/>
    </i>
    <i r="2">
      <x v="189"/>
    </i>
    <i r="2">
      <x v="193"/>
    </i>
    <i r="2">
      <x v="195"/>
    </i>
    <i r="2">
      <x v="196"/>
    </i>
    <i r="2">
      <x v="206"/>
    </i>
    <i t="blank">
      <x v="69"/>
    </i>
    <i>
      <x v="70"/>
    </i>
    <i r="1">
      <x/>
      <x v="156"/>
    </i>
    <i r="1">
      <x v="1"/>
      <x v="180"/>
    </i>
    <i r="2">
      <x v="193"/>
    </i>
    <i r="1">
      <x v="3"/>
      <x v="132"/>
    </i>
    <i r="1">
      <x v="4"/>
      <x v="142"/>
    </i>
    <i r="1">
      <x v="5"/>
      <x v="133"/>
    </i>
    <i r="2">
      <x v="181"/>
    </i>
    <i r="2">
      <x v="184"/>
    </i>
    <i r="2">
      <x v="185"/>
    </i>
    <i r="2">
      <x v="189"/>
    </i>
    <i r="1">
      <x v="10"/>
      <x v="24"/>
    </i>
    <i r="2">
      <x v="82"/>
    </i>
    <i r="2">
      <x v="128"/>
    </i>
    <i r="2">
      <x v="188"/>
    </i>
    <i r="2">
      <x v="212"/>
    </i>
    <i r="2">
      <x v="227"/>
    </i>
    <i r="1">
      <x v="16"/>
      <x v="4"/>
    </i>
    <i r="2">
      <x v="19"/>
    </i>
    <i r="2">
      <x v="36"/>
    </i>
    <i r="2">
      <x v="68"/>
    </i>
    <i r="2">
      <x v="106"/>
    </i>
    <i r="2">
      <x v="124"/>
    </i>
    <i r="2">
      <x v="135"/>
    </i>
    <i r="2">
      <x v="143"/>
    </i>
    <i r="2">
      <x v="153"/>
    </i>
    <i r="2">
      <x v="195"/>
    </i>
    <i r="2">
      <x v="196"/>
    </i>
    <i r="2">
      <x v="214"/>
    </i>
    <i r="2">
      <x v="220"/>
    </i>
    <i r="2">
      <x v="229"/>
    </i>
    <i r="2">
      <x v="235"/>
    </i>
    <i t="blank">
      <x v="70"/>
    </i>
    <i>
      <x v="71"/>
    </i>
    <i r="1">
      <x/>
      <x v="128"/>
    </i>
    <i r="2">
      <x v="185"/>
    </i>
    <i r="1">
      <x v="2"/>
      <x v="133"/>
    </i>
    <i r="2">
      <x v="142"/>
    </i>
    <i r="2">
      <x v="143"/>
    </i>
    <i r="2">
      <x v="196"/>
    </i>
    <i r="2">
      <x v="221"/>
    </i>
    <i r="1">
      <x v="7"/>
      <x v="7"/>
    </i>
    <i r="2">
      <x v="132"/>
    </i>
    <i r="2">
      <x v="171"/>
    </i>
    <i r="2">
      <x v="181"/>
    </i>
    <i r="2">
      <x v="184"/>
    </i>
    <i r="2">
      <x v="188"/>
    </i>
    <i r="2">
      <x v="190"/>
    </i>
    <i r="2">
      <x v="193"/>
    </i>
    <i r="1">
      <x v="15"/>
      <x/>
    </i>
    <i r="2">
      <x v="8"/>
    </i>
    <i r="2">
      <x v="17"/>
    </i>
    <i r="2">
      <x v="19"/>
    </i>
    <i r="2">
      <x v="38"/>
    </i>
    <i r="2">
      <x v="68"/>
    </i>
    <i r="2">
      <x v="82"/>
    </i>
    <i r="2">
      <x v="83"/>
    </i>
    <i r="2">
      <x v="101"/>
    </i>
    <i r="2">
      <x v="104"/>
    </i>
    <i r="2">
      <x v="106"/>
    </i>
    <i r="2">
      <x v="113"/>
    </i>
    <i r="2">
      <x v="120"/>
    </i>
    <i r="2">
      <x v="123"/>
    </i>
    <i r="2">
      <x v="131"/>
    </i>
    <i r="2">
      <x v="137"/>
    </i>
    <i r="2">
      <x v="140"/>
    </i>
    <i r="2">
      <x v="144"/>
    </i>
    <i r="2">
      <x v="152"/>
    </i>
    <i r="2">
      <x v="156"/>
    </i>
    <i r="2">
      <x v="172"/>
    </i>
    <i r="2">
      <x v="180"/>
    </i>
    <i r="2">
      <x v="186"/>
    </i>
    <i r="2">
      <x v="194"/>
    </i>
    <i r="2">
      <x v="195"/>
    </i>
    <i r="2">
      <x v="206"/>
    </i>
    <i r="2">
      <x v="212"/>
    </i>
    <i r="2">
      <x v="226"/>
    </i>
    <i r="2">
      <x v="227"/>
    </i>
    <i r="2">
      <x v="235"/>
    </i>
    <i t="blank">
      <x v="71"/>
    </i>
    <i>
      <x v="72"/>
    </i>
    <i r="1">
      <x/>
      <x v="156"/>
    </i>
    <i r="1">
      <x v="1"/>
      <x v="196"/>
    </i>
    <i r="1">
      <x v="2"/>
      <x v="133"/>
    </i>
    <i r="2">
      <x v="195"/>
    </i>
    <i r="1">
      <x v="4"/>
      <x v="6"/>
    </i>
    <i r="2">
      <x v="106"/>
    </i>
    <i r="2">
      <x v="143"/>
    </i>
    <i r="2">
      <x v="184"/>
    </i>
    <i r="2">
      <x v="189"/>
    </i>
    <i r="2">
      <x v="226"/>
    </i>
    <i r="1">
      <x v="10"/>
      <x v="4"/>
    </i>
    <i r="2">
      <x v="8"/>
    </i>
    <i r="2">
      <x v="139"/>
    </i>
    <i r="2">
      <x v="155"/>
    </i>
    <i r="2">
      <x v="160"/>
    </i>
    <i r="2">
      <x v="180"/>
    </i>
    <i r="2">
      <x v="188"/>
    </i>
    <i r="2">
      <x v="190"/>
    </i>
    <i r="2">
      <x v="193"/>
    </i>
    <i r="1">
      <x v="19"/>
      <x v="7"/>
    </i>
    <i r="2">
      <x v="16"/>
    </i>
    <i r="2">
      <x v="17"/>
    </i>
    <i r="2">
      <x v="19"/>
    </i>
    <i r="2">
      <x v="26"/>
    </i>
    <i r="2">
      <x v="58"/>
    </i>
    <i r="2">
      <x v="60"/>
    </i>
    <i r="2">
      <x v="66"/>
    </i>
    <i r="2">
      <x v="67"/>
    </i>
    <i r="2">
      <x v="82"/>
    </i>
    <i r="2">
      <x v="95"/>
    </i>
    <i r="2">
      <x v="98"/>
    </i>
    <i r="2">
      <x v="104"/>
    </i>
    <i r="2">
      <x v="108"/>
    </i>
    <i r="2">
      <x v="124"/>
    </i>
    <i r="2">
      <x v="128"/>
    </i>
    <i r="2">
      <x v="129"/>
    </i>
    <i r="2">
      <x v="131"/>
    </i>
    <i r="2">
      <x v="132"/>
    </i>
    <i r="2">
      <x v="137"/>
    </i>
    <i r="2">
      <x v="140"/>
    </i>
    <i r="2">
      <x v="146"/>
    </i>
    <i r="2">
      <x v="179"/>
    </i>
    <i r="2">
      <x v="185"/>
    </i>
    <i r="2">
      <x v="187"/>
    </i>
    <i r="2">
      <x v="194"/>
    </i>
    <i r="2">
      <x v="211"/>
    </i>
    <i r="2">
      <x v="212"/>
    </i>
    <i r="2">
      <x v="215"/>
    </i>
    <i r="2">
      <x v="233"/>
    </i>
    <i t="blank">
      <x v="72"/>
    </i>
    <i>
      <x v="73"/>
    </i>
    <i r="1">
      <x/>
      <x v="156"/>
    </i>
    <i r="1">
      <x v="1"/>
      <x v="180"/>
    </i>
    <i r="1">
      <x v="2"/>
      <x v="189"/>
    </i>
    <i r="1">
      <x v="3"/>
      <x v="196"/>
    </i>
    <i r="1">
      <x v="4"/>
      <x v="185"/>
    </i>
    <i r="1">
      <x v="5"/>
      <x v="188"/>
    </i>
    <i r="1">
      <x v="6"/>
      <x v="212"/>
    </i>
    <i r="1">
      <x v="7"/>
      <x v="215"/>
    </i>
    <i r="1">
      <x v="8"/>
      <x v="190"/>
    </i>
    <i r="1">
      <x v="9"/>
      <x v="6"/>
    </i>
    <i r="2">
      <x v="181"/>
    </i>
    <i r="2">
      <x v="226"/>
    </i>
    <i r="1">
      <x v="12"/>
      <x v="154"/>
    </i>
    <i r="2">
      <x v="184"/>
    </i>
    <i r="2">
      <x v="194"/>
    </i>
    <i r="2">
      <x v="195"/>
    </i>
    <i r="2">
      <x v="221"/>
    </i>
    <i r="1">
      <x v="17"/>
      <x v="158"/>
    </i>
    <i r="1">
      <x v="18"/>
      <x v="14"/>
    </i>
    <i r="2">
      <x v="132"/>
    </i>
    <i r="2">
      <x v="146"/>
    </i>
    <i r="2">
      <x v="155"/>
    </i>
    <i r="2">
      <x v="203"/>
    </i>
    <i r="2">
      <x v="235"/>
    </i>
    <i t="blank">
      <x v="73"/>
    </i>
    <i>
      <x v="74"/>
    </i>
    <i r="1">
      <x/>
      <x v="180"/>
    </i>
    <i r="1">
      <x v="1"/>
      <x v="142"/>
    </i>
    <i r="2">
      <x v="156"/>
    </i>
    <i r="2">
      <x v="183"/>
    </i>
    <i r="2">
      <x v="236"/>
    </i>
    <i r="1">
      <x v="5"/>
      <x v="6"/>
    </i>
    <i r="2">
      <x v="195"/>
    </i>
    <i r="2">
      <x v="196"/>
    </i>
    <i r="1">
      <x v="8"/>
      <x v="14"/>
    </i>
    <i r="2">
      <x v="19"/>
    </i>
    <i r="2">
      <x v="51"/>
    </i>
    <i r="2">
      <x v="219"/>
    </i>
    <i r="2">
      <x v="220"/>
    </i>
    <i r="2">
      <x v="226"/>
    </i>
    <i r="2">
      <x v="227"/>
    </i>
    <i r="1">
      <x v="15"/>
      <x v="4"/>
    </i>
    <i r="2">
      <x v="13"/>
    </i>
    <i r="2">
      <x v="77"/>
    </i>
    <i r="2">
      <x v="98"/>
    </i>
    <i r="2">
      <x v="106"/>
    </i>
    <i r="2">
      <x v="120"/>
    </i>
    <i r="2">
      <x v="131"/>
    </i>
    <i r="2">
      <x v="141"/>
    </i>
    <i r="2">
      <x v="190"/>
    </i>
    <i r="2">
      <x v="194"/>
    </i>
    <i r="2">
      <x v="210"/>
    </i>
    <i r="2">
      <x v="214"/>
    </i>
    <i t="blank">
      <x v="74"/>
    </i>
    <i>
      <x v="75"/>
    </i>
    <i r="1">
      <x/>
      <x v="156"/>
    </i>
    <i r="2">
      <x v="189"/>
    </i>
    <i r="1">
      <x v="2"/>
      <x v="196"/>
    </i>
    <i r="1">
      <x v="3"/>
      <x v="195"/>
    </i>
    <i r="1">
      <x v="4"/>
      <x v="215"/>
    </i>
    <i r="1">
      <x v="5"/>
      <x v="142"/>
    </i>
    <i r="2">
      <x v="193"/>
    </i>
    <i r="1">
      <x v="7"/>
      <x v="14"/>
    </i>
    <i r="2">
      <x v="146"/>
    </i>
    <i r="2">
      <x v="155"/>
    </i>
    <i r="2">
      <x v="180"/>
    </i>
    <i r="2">
      <x v="184"/>
    </i>
    <i r="2">
      <x v="188"/>
    </i>
    <i r="1">
      <x v="13"/>
      <x v="4"/>
    </i>
    <i r="2">
      <x v="17"/>
    </i>
    <i r="2">
      <x v="133"/>
    </i>
    <i r="1">
      <x v="16"/>
      <x v="7"/>
    </i>
    <i r="2">
      <x v="185"/>
    </i>
    <i r="1">
      <x v="18"/>
      <x v="124"/>
    </i>
    <i r="2">
      <x v="132"/>
    </i>
    <i r="2">
      <x v="137"/>
    </i>
    <i t="blank">
      <x v="75"/>
    </i>
    <i>
      <x v="76"/>
    </i>
    <i r="1">
      <x/>
      <x v="180"/>
    </i>
    <i r="1">
      <x v="1"/>
      <x v="19"/>
    </i>
    <i r="1">
      <x v="2"/>
      <x v="7"/>
    </i>
    <i r="2">
      <x v="146"/>
    </i>
    <i r="2">
      <x v="195"/>
    </i>
    <i r="1">
      <x v="5"/>
      <x v="14"/>
    </i>
    <i r="2">
      <x v="20"/>
    </i>
    <i r="2">
      <x v="128"/>
    </i>
    <i r="2">
      <x v="133"/>
    </i>
    <i r="2">
      <x v="156"/>
    </i>
    <i r="2">
      <x v="193"/>
    </i>
    <i r="2">
      <x v="210"/>
    </i>
    <i r="1">
      <x v="12"/>
      <x v="4"/>
    </i>
    <i r="2">
      <x v="6"/>
    </i>
    <i r="2">
      <x v="9"/>
    </i>
    <i r="2">
      <x v="10"/>
    </i>
    <i r="2">
      <x v="18"/>
    </i>
    <i r="2">
      <x v="76"/>
    </i>
    <i r="2">
      <x v="79"/>
    </i>
    <i r="2">
      <x v="81"/>
    </i>
    <i r="2">
      <x v="114"/>
    </i>
    <i r="2">
      <x v="115"/>
    </i>
    <i r="2">
      <x v="116"/>
    </i>
    <i r="2">
      <x v="127"/>
    </i>
    <i r="2">
      <x v="129"/>
    </i>
    <i r="2">
      <x v="130"/>
    </i>
    <i r="2">
      <x v="131"/>
    </i>
    <i r="2">
      <x v="137"/>
    </i>
    <i r="2">
      <x v="152"/>
    </i>
    <i r="2">
      <x v="183"/>
    </i>
    <i r="2">
      <x v="196"/>
    </i>
    <i r="2">
      <x v="214"/>
    </i>
    <i r="2">
      <x v="220"/>
    </i>
    <i t="blank">
      <x v="76"/>
    </i>
    <i>
      <x v="77"/>
    </i>
    <i r="1">
      <x/>
      <x v="133"/>
    </i>
    <i r="2">
      <x v="180"/>
    </i>
    <i r="1">
      <x v="2"/>
      <x v="127"/>
    </i>
    <i r="2">
      <x v="143"/>
    </i>
    <i r="2">
      <x v="189"/>
    </i>
    <i r="2">
      <x v="195"/>
    </i>
    <i r="1">
      <x v="6"/>
      <x v="4"/>
    </i>
    <i r="2">
      <x v="10"/>
    </i>
    <i r="2">
      <x v="19"/>
    </i>
    <i r="2">
      <x v="23"/>
    </i>
    <i r="2">
      <x v="81"/>
    </i>
    <i r="2">
      <x v="86"/>
    </i>
    <i r="2">
      <x v="129"/>
    </i>
    <i r="2">
      <x v="132"/>
    </i>
    <i r="2">
      <x v="142"/>
    </i>
    <i r="2">
      <x v="146"/>
    </i>
    <i r="2">
      <x v="156"/>
    </i>
    <i r="2">
      <x v="183"/>
    </i>
    <i r="2">
      <x v="184"/>
    </i>
    <i r="2">
      <x v="185"/>
    </i>
    <i r="2">
      <x v="187"/>
    </i>
    <i r="2">
      <x v="188"/>
    </i>
    <i r="2">
      <x v="190"/>
    </i>
    <i r="2">
      <x v="196"/>
    </i>
    <i r="2">
      <x v="214"/>
    </i>
    <i r="2">
      <x v="220"/>
    </i>
    <i r="2">
      <x v="222"/>
    </i>
    <i r="2">
      <x v="223"/>
    </i>
    <i r="2">
      <x v="226"/>
    </i>
    <i t="blank">
      <x v="77"/>
    </i>
    <i>
      <x v="78"/>
    </i>
    <i r="1">
      <x/>
      <x v="180"/>
    </i>
    <i r="1">
      <x v="1"/>
      <x v="142"/>
    </i>
    <i r="1">
      <x v="2"/>
      <x v="133"/>
    </i>
    <i r="1">
      <x v="3"/>
      <x v="143"/>
    </i>
    <i r="2">
      <x v="185"/>
    </i>
    <i r="2">
      <x v="209"/>
    </i>
    <i r="1">
      <x v="6"/>
      <x v="6"/>
    </i>
    <i r="2">
      <x v="23"/>
    </i>
    <i r="2">
      <x v="132"/>
    </i>
    <i r="2">
      <x v="184"/>
    </i>
    <i r="2">
      <x v="189"/>
    </i>
    <i r="2">
      <x v="196"/>
    </i>
    <i r="1">
      <x v="12"/>
      <x v="32"/>
    </i>
    <i r="2">
      <x v="106"/>
    </i>
    <i r="2">
      <x v="124"/>
    </i>
    <i r="2">
      <x v="146"/>
    </i>
    <i r="2">
      <x v="183"/>
    </i>
    <i r="2">
      <x v="187"/>
    </i>
    <i r="2">
      <x v="191"/>
    </i>
    <i r="2">
      <x v="193"/>
    </i>
    <i r="2">
      <x v="219"/>
    </i>
    <i t="blank">
      <x v="78"/>
    </i>
    <i>
      <x v="79"/>
    </i>
    <i r="1">
      <x/>
      <x v="195"/>
    </i>
    <i r="1">
      <x v="1"/>
      <x v="142"/>
    </i>
    <i r="1">
      <x v="2"/>
      <x v="196"/>
    </i>
    <i r="1">
      <x v="3"/>
      <x v="209"/>
    </i>
    <i r="1">
      <x v="4"/>
      <x v="9"/>
    </i>
    <i r="2">
      <x v="17"/>
    </i>
    <i r="2">
      <x v="133"/>
    </i>
    <i r="2">
      <x v="189"/>
    </i>
    <i r="2">
      <x v="193"/>
    </i>
    <i r="2">
      <x v="220"/>
    </i>
    <i r="1">
      <x v="10"/>
      <x v="7"/>
    </i>
    <i r="2">
      <x v="13"/>
    </i>
    <i r="2">
      <x v="14"/>
    </i>
    <i r="2">
      <x v="23"/>
    </i>
    <i r="2">
      <x v="72"/>
    </i>
    <i r="2">
      <x v="125"/>
    </i>
    <i r="2">
      <x v="130"/>
    </i>
    <i r="2">
      <x v="132"/>
    </i>
    <i r="2">
      <x v="138"/>
    </i>
    <i r="2">
      <x v="140"/>
    </i>
    <i r="2">
      <x v="146"/>
    </i>
    <i r="2">
      <x v="156"/>
    </i>
    <i r="2">
      <x v="180"/>
    </i>
    <i r="2">
      <x v="185"/>
    </i>
    <i r="2">
      <x v="188"/>
    </i>
    <i r="2">
      <x v="214"/>
    </i>
    <i r="2">
      <x v="215"/>
    </i>
    <i r="2">
      <x v="235"/>
    </i>
    <i t="blank">
      <x v="79"/>
    </i>
    <i>
      <x v="80"/>
    </i>
    <i r="1">
      <x/>
      <x v="156"/>
    </i>
    <i r="1">
      <x v="1"/>
      <x v="185"/>
    </i>
    <i r="1">
      <x v="2"/>
      <x v="32"/>
    </i>
    <i r="2">
      <x v="106"/>
    </i>
    <i r="2">
      <x v="195"/>
    </i>
    <i r="2">
      <x v="196"/>
    </i>
    <i r="2">
      <x v="236"/>
    </i>
    <i r="1">
      <x v="7"/>
      <x v="4"/>
    </i>
    <i r="2">
      <x v="5"/>
    </i>
    <i r="2">
      <x v="31"/>
    </i>
    <i r="2">
      <x v="133"/>
    </i>
    <i r="2">
      <x v="142"/>
    </i>
    <i r="2">
      <x v="143"/>
    </i>
    <i r="2">
      <x v="186"/>
    </i>
    <i r="2">
      <x v="188"/>
    </i>
    <i r="2">
      <x v="215"/>
    </i>
    <i r="2">
      <x v="219"/>
    </i>
    <i r="2">
      <x v="220"/>
    </i>
    <i r="2">
      <x v="226"/>
    </i>
    <i r="1">
      <x v="19"/>
      <x v="3"/>
    </i>
    <i r="2">
      <x v="8"/>
    </i>
    <i r="2">
      <x v="13"/>
    </i>
    <i r="2">
      <x v="14"/>
    </i>
    <i r="2">
      <x v="19"/>
    </i>
    <i r="2">
      <x v="48"/>
    </i>
    <i r="2">
      <x v="58"/>
    </i>
    <i r="2">
      <x v="60"/>
    </i>
    <i r="2">
      <x v="82"/>
    </i>
    <i r="2">
      <x v="87"/>
    </i>
    <i r="2">
      <x v="104"/>
    </i>
    <i r="2">
      <x v="112"/>
    </i>
    <i r="2">
      <x v="128"/>
    </i>
    <i r="2">
      <x v="131"/>
    </i>
    <i r="2">
      <x v="132"/>
    </i>
    <i r="2">
      <x v="141"/>
    </i>
    <i r="2">
      <x v="147"/>
    </i>
    <i r="2">
      <x v="155"/>
    </i>
    <i r="2">
      <x v="160"/>
    </i>
    <i r="2">
      <x v="166"/>
    </i>
    <i r="2">
      <x v="184"/>
    </i>
    <i r="2">
      <x v="193"/>
    </i>
    <i r="2">
      <x v="194"/>
    </i>
    <i r="2">
      <x v="214"/>
    </i>
    <i r="2">
      <x v="217"/>
    </i>
    <i r="2">
      <x v="221"/>
    </i>
    <i r="2">
      <x v="223"/>
    </i>
    <i t="blank">
      <x v="80"/>
    </i>
    <i>
      <x v="81"/>
    </i>
    <i r="1">
      <x/>
      <x v="156"/>
    </i>
    <i r="1">
      <x v="1"/>
      <x v="195"/>
    </i>
    <i r="1">
      <x v="2"/>
      <x v="196"/>
    </i>
    <i r="1">
      <x v="3"/>
      <x v="189"/>
    </i>
    <i r="1">
      <x v="4"/>
      <x v="106"/>
    </i>
    <i r="2">
      <x v="133"/>
    </i>
    <i r="2">
      <x v="146"/>
    </i>
    <i r="2">
      <x v="215"/>
    </i>
    <i r="1">
      <x v="8"/>
      <x v="182"/>
    </i>
    <i r="1">
      <x v="9"/>
      <x v="132"/>
    </i>
    <i r="2">
      <x v="220"/>
    </i>
    <i r="1">
      <x v="11"/>
      <x v="14"/>
    </i>
    <i r="2">
      <x v="142"/>
    </i>
    <i r="2">
      <x v="190"/>
    </i>
    <i r="1">
      <x v="14"/>
      <x v="7"/>
    </i>
    <i r="2">
      <x v="131"/>
    </i>
    <i r="2">
      <x v="137"/>
    </i>
    <i r="2">
      <x v="140"/>
    </i>
    <i r="2">
      <x v="185"/>
    </i>
    <i r="1">
      <x v="19"/>
      <x v="23"/>
    </i>
    <i r="2">
      <x v="124"/>
    </i>
    <i r="2">
      <x v="188"/>
    </i>
    <i t="blank">
      <x v="81"/>
    </i>
    <i>
      <x v="82"/>
    </i>
    <i r="1">
      <x/>
      <x v="180"/>
    </i>
    <i r="1">
      <x v="1"/>
      <x v="4"/>
    </i>
    <i r="2">
      <x v="142"/>
    </i>
    <i r="1">
      <x v="3"/>
      <x v="6"/>
    </i>
    <i r="2">
      <x v="42"/>
    </i>
    <i r="2">
      <x v="58"/>
    </i>
    <i r="2">
      <x v="82"/>
    </i>
    <i r="2">
      <x v="95"/>
    </i>
    <i r="2">
      <x v="108"/>
    </i>
    <i r="2">
      <x v="120"/>
    </i>
    <i r="2">
      <x v="146"/>
    </i>
    <i r="2">
      <x v="148"/>
    </i>
    <i r="2">
      <x v="185"/>
    </i>
    <i r="2">
      <x v="188"/>
    </i>
    <i r="2">
      <x v="190"/>
    </i>
    <i r="2">
      <x v="195"/>
    </i>
    <i r="2">
      <x v="223"/>
    </i>
    <i r="2">
      <x v="226"/>
    </i>
    <i r="2">
      <x v="235"/>
    </i>
    <i t="blank">
      <x v="82"/>
    </i>
    <i>
      <x v="83"/>
    </i>
    <i r="1">
      <x/>
      <x v="196"/>
    </i>
    <i r="1">
      <x v="1"/>
      <x v="189"/>
    </i>
    <i r="1">
      <x v="2"/>
      <x v="4"/>
    </i>
    <i r="2">
      <x v="185"/>
    </i>
    <i r="2">
      <x v="195"/>
    </i>
    <i r="2">
      <x v="226"/>
    </i>
    <i r="1">
      <x v="6"/>
      <x v="19"/>
    </i>
    <i r="2">
      <x v="135"/>
    </i>
    <i r="2">
      <x v="156"/>
    </i>
    <i r="2">
      <x v="175"/>
    </i>
    <i r="2">
      <x v="215"/>
    </i>
    <i r="1">
      <x v="11"/>
      <x v="8"/>
    </i>
    <i r="2">
      <x v="106"/>
    </i>
    <i r="2">
      <x v="146"/>
    </i>
    <i r="2">
      <x v="190"/>
    </i>
    <i r="2">
      <x v="193"/>
    </i>
    <i r="2">
      <x v="206"/>
    </i>
    <i r="1">
      <x v="17"/>
      <x v="6"/>
    </i>
    <i r="2">
      <x v="11"/>
    </i>
    <i r="2">
      <x v="13"/>
    </i>
    <i r="2">
      <x v="17"/>
    </i>
    <i r="2">
      <x v="22"/>
    </i>
    <i r="2">
      <x v="30"/>
    </i>
    <i r="2">
      <x v="65"/>
    </i>
    <i r="2">
      <x v="78"/>
    </i>
    <i r="2">
      <x v="104"/>
    </i>
    <i r="2">
      <x v="141"/>
    </i>
    <i r="2">
      <x v="188"/>
    </i>
    <i r="2">
      <x v="203"/>
    </i>
    <i r="2">
      <x v="212"/>
    </i>
    <i t="blank">
      <x v="83"/>
    </i>
    <i>
      <x v="84"/>
    </i>
    <i r="1">
      <x/>
      <x v="4"/>
    </i>
    <i r="2">
      <x v="156"/>
    </i>
    <i r="1">
      <x v="2"/>
      <x v="142"/>
    </i>
    <i r="2">
      <x v="188"/>
    </i>
    <i r="2">
      <x v="196"/>
    </i>
    <i r="1">
      <x v="5"/>
      <x v="13"/>
    </i>
    <i r="2">
      <x v="14"/>
    </i>
    <i r="2">
      <x v="15"/>
    </i>
    <i r="2">
      <x v="17"/>
    </i>
    <i r="2">
      <x v="131"/>
    </i>
    <i r="2">
      <x v="146"/>
    </i>
    <i r="2">
      <x v="185"/>
    </i>
    <i r="2">
      <x v="189"/>
    </i>
    <i r="2">
      <x v="212"/>
    </i>
    <i r="2">
      <x v="215"/>
    </i>
    <i r="2">
      <x v="219"/>
    </i>
    <i r="2">
      <x v="220"/>
    </i>
    <i r="2">
      <x v="221"/>
    </i>
    <i r="1">
      <x v="18"/>
      <x v="9"/>
    </i>
    <i r="2">
      <x v="19"/>
    </i>
    <i r="2">
      <x v="35"/>
    </i>
    <i r="2">
      <x v="58"/>
    </i>
    <i r="2">
      <x v="109"/>
    </i>
    <i r="2">
      <x v="124"/>
    </i>
    <i r="2">
      <x v="137"/>
    </i>
    <i r="2">
      <x v="160"/>
    </i>
    <i r="2">
      <x v="195"/>
    </i>
    <i r="2">
      <x v="210"/>
    </i>
    <i t="blank">
      <x v="84"/>
    </i>
    <i>
      <x v="85"/>
    </i>
    <i r="1">
      <x/>
      <x v="196"/>
    </i>
    <i r="1">
      <x v="1"/>
      <x v="195"/>
    </i>
    <i r="1">
      <x v="2"/>
      <x v="6"/>
    </i>
    <i r="2">
      <x v="11"/>
    </i>
    <i r="2">
      <x v="14"/>
    </i>
    <i r="2">
      <x v="127"/>
    </i>
    <i r="2">
      <x v="137"/>
    </i>
    <i r="2">
      <x v="140"/>
    </i>
    <i r="2">
      <x v="197"/>
    </i>
    <i r="2">
      <x v="206"/>
    </i>
    <i r="2">
      <x v="220"/>
    </i>
    <i r="2">
      <x v="223"/>
    </i>
    <i r="1">
      <x v="12"/>
      <x v="3"/>
    </i>
    <i r="2">
      <x v="4"/>
    </i>
    <i r="2">
      <x v="10"/>
    </i>
    <i r="2">
      <x v="13"/>
    </i>
    <i r="2">
      <x v="19"/>
    </i>
    <i r="2">
      <x v="21"/>
    </i>
    <i r="2">
      <x v="22"/>
    </i>
    <i r="2">
      <x v="30"/>
    </i>
    <i r="2">
      <x v="46"/>
    </i>
    <i r="2">
      <x v="52"/>
    </i>
    <i r="2">
      <x v="71"/>
    </i>
    <i r="2">
      <x v="81"/>
    </i>
    <i r="2">
      <x v="86"/>
    </i>
    <i r="2">
      <x v="98"/>
    </i>
    <i r="2">
      <x v="108"/>
    </i>
    <i r="2">
      <x v="120"/>
    </i>
    <i r="2">
      <x v="124"/>
    </i>
    <i r="2">
      <x v="125"/>
    </i>
    <i r="2">
      <x v="130"/>
    </i>
    <i r="2">
      <x v="131"/>
    </i>
    <i r="2">
      <x v="139"/>
    </i>
    <i r="2">
      <x v="141"/>
    </i>
    <i r="2">
      <x v="145"/>
    </i>
    <i r="2">
      <x v="146"/>
    </i>
    <i r="2">
      <x v="156"/>
    </i>
    <i r="2">
      <x v="158"/>
    </i>
    <i r="2">
      <x v="185"/>
    </i>
    <i r="2">
      <x v="219"/>
    </i>
    <i r="2">
      <x v="221"/>
    </i>
    <i r="2">
      <x v="224"/>
    </i>
    <i r="2">
      <x v="236"/>
    </i>
    <i r="2">
      <x v="237"/>
    </i>
    <i t="blank">
      <x v="85"/>
    </i>
    <i>
      <x v="86"/>
    </i>
    <i r="1">
      <x/>
      <x v="133"/>
    </i>
    <i r="2">
      <x v="195"/>
    </i>
    <i r="1">
      <x v="2"/>
      <x v="19"/>
    </i>
    <i r="2">
      <x v="137"/>
    </i>
    <i r="2">
      <x v="142"/>
    </i>
    <i r="2">
      <x v="185"/>
    </i>
    <i r="2">
      <x v="193"/>
    </i>
    <i r="2">
      <x v="196"/>
    </i>
    <i r="2">
      <x v="227"/>
    </i>
    <i r="1">
      <x v="9"/>
      <x v="46"/>
    </i>
    <i r="2">
      <x v="58"/>
    </i>
    <i r="2">
      <x v="113"/>
    </i>
    <i r="2">
      <x v="212"/>
    </i>
    <i r="2">
      <x v="214"/>
    </i>
    <i r="2">
      <x v="235"/>
    </i>
    <i r="1">
      <x v="15"/>
      <x v="6"/>
    </i>
    <i r="2">
      <x v="14"/>
    </i>
    <i r="2">
      <x v="17"/>
    </i>
    <i r="2">
      <x v="30"/>
    </i>
    <i r="2">
      <x v="98"/>
    </i>
    <i r="2">
      <x v="124"/>
    </i>
    <i r="2">
      <x v="132"/>
    </i>
    <i r="2">
      <x v="135"/>
    </i>
    <i r="2">
      <x v="143"/>
    </i>
    <i r="2">
      <x v="146"/>
    </i>
    <i r="2">
      <x v="156"/>
    </i>
    <i r="2">
      <x v="175"/>
    </i>
    <i r="2">
      <x v="184"/>
    </i>
    <i r="2">
      <x v="190"/>
    </i>
    <i r="2">
      <x v="219"/>
    </i>
    <i r="2">
      <x v="220"/>
    </i>
    <i r="2">
      <x v="226"/>
    </i>
    <i t="blank">
      <x v="86"/>
    </i>
    <i>
      <x v="87"/>
    </i>
    <i r="1">
      <x/>
      <x v="189"/>
    </i>
    <i r="1">
      <x v="1"/>
      <x v="156"/>
    </i>
    <i r="1">
      <x v="2"/>
      <x v="188"/>
    </i>
    <i r="1">
      <x v="3"/>
      <x v="195"/>
    </i>
    <i r="2">
      <x v="196"/>
    </i>
    <i r="1">
      <x v="5"/>
      <x v="190"/>
    </i>
    <i r="1">
      <x v="6"/>
      <x v="14"/>
    </i>
    <i r="2">
      <x v="132"/>
    </i>
    <i r="1">
      <x v="8"/>
      <x v="133"/>
    </i>
    <i r="2">
      <x v="146"/>
    </i>
    <i r="2">
      <x v="155"/>
    </i>
    <i r="2">
      <x v="185"/>
    </i>
    <i r="2">
      <x v="220"/>
    </i>
    <i r="2">
      <x v="226"/>
    </i>
    <i r="1">
      <x v="14"/>
      <x v="65"/>
    </i>
    <i r="2">
      <x v="113"/>
    </i>
    <i r="2">
      <x v="137"/>
    </i>
    <i r="2">
      <x v="140"/>
    </i>
    <i r="2">
      <x v="142"/>
    </i>
    <i r="2">
      <x v="215"/>
    </i>
    <i t="blank">
      <x v="87"/>
    </i>
    <i>
      <x v="88"/>
    </i>
    <i r="1">
      <x/>
      <x v="156"/>
    </i>
    <i r="1">
      <x v="1"/>
      <x v="196"/>
    </i>
    <i r="1">
      <x v="2"/>
      <x v="195"/>
    </i>
    <i r="1">
      <x v="3"/>
      <x v="189"/>
    </i>
    <i r="1">
      <x v="4"/>
      <x v="226"/>
    </i>
    <i r="1">
      <x v="5"/>
      <x v="140"/>
    </i>
    <i r="1">
      <x v="6"/>
      <x v="132"/>
    </i>
    <i r="2">
      <x v="137"/>
    </i>
    <i r="1">
      <x v="8"/>
      <x v="4"/>
    </i>
    <i r="2">
      <x v="185"/>
    </i>
    <i r="1">
      <x v="10"/>
      <x v="135"/>
    </i>
    <i r="2">
      <x v="142"/>
    </i>
    <i r="2">
      <x v="146"/>
    </i>
    <i r="1">
      <x v="13"/>
      <x v="6"/>
    </i>
    <i r="2">
      <x v="7"/>
    </i>
    <i r="2">
      <x v="19"/>
    </i>
    <i r="2">
      <x v="184"/>
    </i>
    <i r="2">
      <x v="188"/>
    </i>
    <i r="2">
      <x v="190"/>
    </i>
    <i r="2">
      <x v="215"/>
    </i>
    <i t="blank">
      <x v="88"/>
    </i>
    <i>
      <x v="89"/>
    </i>
    <i r="1">
      <x/>
      <x v="143"/>
    </i>
    <i r="2">
      <x v="188"/>
    </i>
    <i r="1">
      <x v="2"/>
      <x v="6"/>
    </i>
    <i r="2">
      <x v="133"/>
    </i>
    <i r="2">
      <x v="156"/>
    </i>
    <i r="2">
      <x v="193"/>
    </i>
    <i r="2">
      <x v="221"/>
    </i>
    <i r="1">
      <x v="7"/>
      <x v="7"/>
    </i>
    <i r="2">
      <x v="132"/>
    </i>
    <i r="2">
      <x v="140"/>
    </i>
    <i r="2">
      <x v="185"/>
    </i>
    <i r="2">
      <x v="196"/>
    </i>
    <i r="2">
      <x v="212"/>
    </i>
    <i r="1">
      <x v="13"/>
      <x v="8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9"/>
    </i>
    <i r="2">
      <x v="30"/>
    </i>
    <i r="2">
      <x v="31"/>
    </i>
    <i r="2">
      <x v="35"/>
    </i>
    <i r="2">
      <x v="38"/>
    </i>
    <i r="2">
      <x v="43"/>
    </i>
    <i r="2">
      <x v="58"/>
    </i>
    <i r="2">
      <x v="64"/>
    </i>
    <i r="2">
      <x v="77"/>
    </i>
    <i r="2">
      <x v="104"/>
    </i>
    <i r="2">
      <x v="121"/>
    </i>
    <i r="2">
      <x v="126"/>
    </i>
    <i r="2">
      <x v="127"/>
    </i>
    <i r="2">
      <x v="129"/>
    </i>
    <i r="2">
      <x v="141"/>
    </i>
    <i r="2">
      <x v="146"/>
    </i>
    <i r="2">
      <x v="184"/>
    </i>
    <i r="2">
      <x v="186"/>
    </i>
    <i r="2">
      <x v="195"/>
    </i>
    <i r="2">
      <x v="202"/>
    </i>
    <i r="2">
      <x v="203"/>
    </i>
    <i r="2">
      <x v="207"/>
    </i>
    <i r="2">
      <x v="210"/>
    </i>
    <i r="2">
      <x v="217"/>
    </i>
    <i r="2">
      <x v="223"/>
    </i>
    <i r="2">
      <x v="226"/>
    </i>
    <i r="2">
      <x v="230"/>
    </i>
    <i r="2">
      <x v="233"/>
    </i>
    <i t="blank">
      <x v="89"/>
    </i>
    <i>
      <x v="90"/>
    </i>
    <i r="1">
      <x/>
      <x v="142"/>
    </i>
    <i r="1">
      <x v="1"/>
      <x v="131"/>
    </i>
    <i r="2">
      <x v="184"/>
    </i>
    <i r="2">
      <x v="185"/>
    </i>
    <i r="2">
      <x v="196"/>
    </i>
    <i r="2">
      <x v="212"/>
    </i>
    <i r="2">
      <x v="226"/>
    </i>
    <i r="1">
      <x v="7"/>
      <x v="3"/>
    </i>
    <i r="2">
      <x v="4"/>
    </i>
    <i r="2">
      <x v="6"/>
    </i>
    <i r="2">
      <x v="13"/>
    </i>
    <i r="2">
      <x v="16"/>
    </i>
    <i r="2">
      <x v="19"/>
    </i>
    <i r="2">
      <x v="22"/>
    </i>
    <i r="2">
      <x v="31"/>
    </i>
    <i r="2">
      <x v="41"/>
    </i>
    <i r="2">
      <x v="54"/>
    </i>
    <i r="2">
      <x v="65"/>
    </i>
    <i r="2">
      <x v="70"/>
    </i>
    <i r="2">
      <x v="94"/>
    </i>
    <i r="2">
      <x v="113"/>
    </i>
    <i r="2">
      <x v="114"/>
    </i>
    <i r="2">
      <x v="124"/>
    </i>
    <i r="2">
      <x v="132"/>
    </i>
    <i r="2">
      <x v="133"/>
    </i>
    <i r="2">
      <x v="140"/>
    </i>
    <i r="2">
      <x v="143"/>
    </i>
    <i r="2">
      <x v="171"/>
    </i>
    <i r="2">
      <x v="186"/>
    </i>
    <i r="2">
      <x v="195"/>
    </i>
    <i r="2">
      <x v="206"/>
    </i>
    <i r="2">
      <x v="210"/>
    </i>
    <i r="2">
      <x v="215"/>
    </i>
    <i r="2">
      <x v="223"/>
    </i>
    <i r="2">
      <x v="227"/>
    </i>
    <i t="blank">
      <x v="90"/>
    </i>
    <i>
      <x v="91"/>
    </i>
    <i r="1">
      <x/>
      <x v="6"/>
    </i>
    <i r="2">
      <x v="195"/>
    </i>
    <i r="1">
      <x v="2"/>
      <x v="4"/>
    </i>
    <i r="2">
      <x v="156"/>
    </i>
    <i r="1">
      <x v="4"/>
      <x v="11"/>
    </i>
    <i r="2">
      <x v="14"/>
    </i>
    <i r="2">
      <x v="141"/>
    </i>
    <i r="2">
      <x v="184"/>
    </i>
    <i r="2">
      <x v="196"/>
    </i>
    <i r="2">
      <x v="235"/>
    </i>
    <i r="1">
      <x v="10"/>
      <x v="13"/>
    </i>
    <i r="2">
      <x v="15"/>
    </i>
    <i r="2">
      <x v="128"/>
    </i>
    <i r="2">
      <x v="133"/>
    </i>
    <i r="2">
      <x v="155"/>
    </i>
    <i r="2">
      <x v="212"/>
    </i>
    <i r="2">
      <x v="226"/>
    </i>
    <i r="1">
      <x v="17"/>
      <x v="7"/>
    </i>
    <i r="2">
      <x v="10"/>
    </i>
    <i r="2">
      <x v="17"/>
    </i>
    <i r="2">
      <x v="20"/>
    </i>
    <i r="2">
      <x v="24"/>
    </i>
    <i r="2">
      <x v="32"/>
    </i>
    <i r="2">
      <x v="51"/>
    </i>
    <i r="2">
      <x v="59"/>
    </i>
    <i r="2">
      <x v="63"/>
    </i>
    <i r="2">
      <x v="65"/>
    </i>
    <i r="2">
      <x v="77"/>
    </i>
    <i r="2">
      <x v="96"/>
    </i>
    <i r="2">
      <x v="106"/>
    </i>
    <i r="2">
      <x v="108"/>
    </i>
    <i r="2">
      <x v="109"/>
    </i>
    <i r="2">
      <x v="113"/>
    </i>
    <i r="2">
      <x v="124"/>
    </i>
    <i r="2">
      <x v="134"/>
    </i>
    <i r="2">
      <x v="135"/>
    </i>
    <i r="2">
      <x v="138"/>
    </i>
    <i r="2">
      <x v="139"/>
    </i>
    <i r="2">
      <x v="143"/>
    </i>
    <i r="2">
      <x v="145"/>
    </i>
    <i r="2">
      <x v="161"/>
    </i>
    <i r="2">
      <x v="185"/>
    </i>
    <i r="2">
      <x v="187"/>
    </i>
    <i r="2">
      <x v="188"/>
    </i>
    <i r="2">
      <x v="190"/>
    </i>
    <i r="2">
      <x v="193"/>
    </i>
    <i r="2">
      <x v="200"/>
    </i>
    <i r="2">
      <x v="215"/>
    </i>
    <i r="2">
      <x v="216"/>
    </i>
    <i r="2">
      <x v="227"/>
    </i>
    <i t="blank">
      <x v="91"/>
    </i>
    <i>
      <x v="92"/>
    </i>
    <i r="1">
      <x/>
      <x v="196"/>
    </i>
    <i r="1">
      <x v="1"/>
      <x v="195"/>
    </i>
    <i r="2">
      <x v="212"/>
    </i>
    <i r="1">
      <x v="3"/>
      <x v="6"/>
    </i>
    <i r="2">
      <x v="131"/>
    </i>
    <i r="2">
      <x v="137"/>
    </i>
    <i r="2">
      <x v="142"/>
    </i>
    <i r="2">
      <x v="188"/>
    </i>
    <i r="2">
      <x v="189"/>
    </i>
    <i r="1">
      <x v="9"/>
      <x v="7"/>
    </i>
    <i r="2">
      <x v="125"/>
    </i>
    <i r="2">
      <x v="126"/>
    </i>
    <i r="2">
      <x v="135"/>
    </i>
    <i r="2">
      <x v="140"/>
    </i>
    <i r="2">
      <x v="145"/>
    </i>
    <i r="2">
      <x v="220"/>
    </i>
    <i r="2">
      <x v="223"/>
    </i>
    <i r="1">
      <x v="17"/>
      <x v="4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7"/>
    </i>
    <i r="2">
      <x v="19"/>
    </i>
    <i r="2">
      <x v="20"/>
    </i>
    <i r="2">
      <x v="24"/>
    </i>
    <i r="2">
      <x v="30"/>
    </i>
    <i r="2">
      <x v="36"/>
    </i>
    <i r="2">
      <x v="46"/>
    </i>
    <i r="2">
      <x v="64"/>
    </i>
    <i r="2">
      <x v="69"/>
    </i>
    <i r="2">
      <x v="82"/>
    </i>
    <i r="2">
      <x v="101"/>
    </i>
    <i r="2">
      <x v="117"/>
    </i>
    <i r="2">
      <x v="124"/>
    </i>
    <i r="2">
      <x v="139"/>
    </i>
    <i r="2">
      <x v="146"/>
    </i>
    <i r="2">
      <x v="175"/>
    </i>
    <i r="2">
      <x v="178"/>
    </i>
    <i r="2">
      <x v="180"/>
    </i>
    <i r="2">
      <x v="185"/>
    </i>
    <i r="2">
      <x v="187"/>
    </i>
    <i r="2">
      <x v="190"/>
    </i>
    <i r="2">
      <x v="209"/>
    </i>
    <i r="2">
      <x v="210"/>
    </i>
    <i r="2">
      <x v="211"/>
    </i>
    <i r="2">
      <x v="214"/>
    </i>
    <i r="2">
      <x v="215"/>
    </i>
    <i r="2">
      <x v="221"/>
    </i>
    <i t="blank">
      <x v="92"/>
    </i>
    <i>
      <x v="93"/>
    </i>
    <i r="1">
      <x/>
      <x v="196"/>
    </i>
    <i r="1">
      <x v="1"/>
      <x v="188"/>
    </i>
    <i r="1">
      <x v="2"/>
      <x v="135"/>
    </i>
    <i r="2">
      <x v="189"/>
    </i>
    <i r="2">
      <x v="195"/>
    </i>
    <i r="1">
      <x v="5"/>
      <x v="13"/>
    </i>
    <i r="2">
      <x v="147"/>
    </i>
    <i r="2">
      <x v="156"/>
    </i>
    <i r="2">
      <x v="185"/>
    </i>
    <i r="2">
      <x v="214"/>
    </i>
    <i r="2">
      <x v="215"/>
    </i>
    <i r="2">
      <x v="220"/>
    </i>
    <i r="1">
      <x v="12"/>
      <x v="7"/>
    </i>
    <i r="2">
      <x v="8"/>
    </i>
    <i r="2">
      <x v="17"/>
    </i>
    <i r="2">
      <x v="28"/>
    </i>
    <i r="2">
      <x v="38"/>
    </i>
    <i r="2">
      <x v="64"/>
    </i>
    <i r="2">
      <x v="65"/>
    </i>
    <i r="2">
      <x v="82"/>
    </i>
    <i r="2">
      <x v="90"/>
    </i>
    <i r="2">
      <x v="98"/>
    </i>
    <i r="2">
      <x v="106"/>
    </i>
    <i r="2">
      <x v="112"/>
    </i>
    <i r="2">
      <x v="114"/>
    </i>
    <i r="2">
      <x v="131"/>
    </i>
    <i r="2">
      <x v="132"/>
    </i>
    <i r="2">
      <x v="133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60"/>
    </i>
    <i r="2">
      <x v="175"/>
    </i>
    <i r="2">
      <x v="178"/>
    </i>
    <i r="2">
      <x v="187"/>
    </i>
    <i r="2">
      <x v="194"/>
    </i>
    <i r="2">
      <x v="209"/>
    </i>
    <i r="2">
      <x v="210"/>
    </i>
    <i r="2">
      <x v="222"/>
    </i>
    <i r="2">
      <x v="223"/>
    </i>
    <i t="blank">
      <x v="93"/>
    </i>
    <i>
      <x v="94"/>
    </i>
    <i r="1">
      <x/>
      <x v="196"/>
    </i>
    <i r="1">
      <x v="1"/>
      <x v="4"/>
    </i>
    <i r="2">
      <x v="195"/>
    </i>
    <i r="2">
      <x v="226"/>
    </i>
    <i r="1">
      <x v="4"/>
      <x v="106"/>
    </i>
    <i r="2">
      <x v="137"/>
    </i>
    <i r="2">
      <x v="180"/>
    </i>
    <i r="2">
      <x v="215"/>
    </i>
    <i r="1">
      <x v="8"/>
      <x v="6"/>
    </i>
    <i r="2">
      <x v="7"/>
    </i>
    <i r="2">
      <x v="8"/>
    </i>
    <i r="2">
      <x v="9"/>
    </i>
    <i r="2">
      <x v="12"/>
    </i>
    <i r="2">
      <x v="14"/>
    </i>
    <i r="2">
      <x v="17"/>
    </i>
    <i r="2">
      <x v="24"/>
    </i>
    <i r="2">
      <x v="83"/>
    </i>
    <i r="2">
      <x v="95"/>
    </i>
    <i r="2">
      <x v="98"/>
    </i>
    <i r="2">
      <x v="118"/>
    </i>
    <i r="2">
      <x v="120"/>
    </i>
    <i r="2">
      <x v="123"/>
    </i>
    <i r="2">
      <x v="131"/>
    </i>
    <i r="2">
      <x v="135"/>
    </i>
    <i r="2">
      <x v="139"/>
    </i>
    <i r="2">
      <x v="141"/>
    </i>
    <i r="2">
      <x v="142"/>
    </i>
    <i r="2">
      <x v="143"/>
    </i>
    <i r="2">
      <x v="146"/>
    </i>
    <i r="2">
      <x v="165"/>
    </i>
    <i r="2">
      <x v="178"/>
    </i>
    <i r="2">
      <x v="186"/>
    </i>
    <i r="2">
      <x v="187"/>
    </i>
    <i r="2">
      <x v="188"/>
    </i>
    <i r="2">
      <x v="189"/>
    </i>
    <i r="2">
      <x v="194"/>
    </i>
    <i r="2">
      <x v="204"/>
    </i>
    <i r="2">
      <x v="214"/>
    </i>
    <i t="blank">
      <x v="94"/>
    </i>
    <i>
      <x v="95"/>
    </i>
    <i r="1">
      <x/>
      <x v="142"/>
    </i>
    <i r="2">
      <x v="196"/>
    </i>
    <i r="1">
      <x v="2"/>
      <x v="4"/>
    </i>
    <i r="2">
      <x v="185"/>
    </i>
    <i r="2">
      <x v="188"/>
    </i>
    <i r="2">
      <x v="189"/>
    </i>
    <i r="2">
      <x v="195"/>
    </i>
    <i r="2">
      <x v="215"/>
    </i>
    <i r="2">
      <x v="227"/>
    </i>
    <i r="1">
      <x v="9"/>
      <x/>
    </i>
    <i r="2">
      <x v="3"/>
    </i>
    <i r="2">
      <x v="6"/>
    </i>
    <i r="2">
      <x v="7"/>
    </i>
    <i r="2">
      <x v="13"/>
    </i>
    <i r="2">
      <x v="82"/>
    </i>
    <i r="2">
      <x v="95"/>
    </i>
    <i r="2">
      <x v="131"/>
    </i>
    <i r="2">
      <x v="133"/>
    </i>
    <i r="2">
      <x v="135"/>
    </i>
    <i r="2">
      <x v="138"/>
    </i>
    <i r="2">
      <x v="139"/>
    </i>
    <i r="2">
      <x v="140"/>
    </i>
    <i r="2">
      <x v="141"/>
    </i>
    <i r="2">
      <x v="143"/>
    </i>
    <i r="2">
      <x v="156"/>
    </i>
    <i r="2">
      <x v="160"/>
    </i>
    <i r="2">
      <x v="214"/>
    </i>
    <i r="2">
      <x v="220"/>
    </i>
    <i r="2">
      <x v="236"/>
    </i>
    <i t="blank">
      <x v="95"/>
    </i>
    <i>
      <x v="96"/>
    </i>
    <i r="1">
      <x/>
      <x v="196"/>
    </i>
    <i r="1">
      <x v="1"/>
      <x v="189"/>
    </i>
    <i r="1">
      <x v="2"/>
      <x v="131"/>
    </i>
    <i r="2">
      <x v="188"/>
    </i>
    <i r="2">
      <x v="210"/>
    </i>
    <i r="1">
      <x v="5"/>
      <x v="6"/>
    </i>
    <i r="2">
      <x v="146"/>
    </i>
    <i r="2">
      <x v="184"/>
    </i>
    <i r="2">
      <x v="233"/>
    </i>
    <i r="1">
      <x v="9"/>
      <x v="10"/>
    </i>
    <i r="2">
      <x v="14"/>
    </i>
    <i r="2">
      <x v="15"/>
    </i>
    <i r="2">
      <x v="17"/>
    </i>
    <i r="2">
      <x v="43"/>
    </i>
    <i r="2">
      <x v="101"/>
    </i>
    <i r="2">
      <x v="140"/>
    </i>
    <i r="2">
      <x v="142"/>
    </i>
    <i r="2">
      <x v="185"/>
    </i>
    <i r="2">
      <x v="186"/>
    </i>
    <i r="2">
      <x v="195"/>
    </i>
    <i r="2">
      <x v="206"/>
    </i>
    <i r="2">
      <x v="212"/>
    </i>
    <i t="blank">
      <x v="96"/>
    </i>
    <i>
      <x v="97"/>
    </i>
    <i r="1">
      <x/>
      <x v="16"/>
    </i>
    <i r="2">
      <x v="147"/>
    </i>
    <i r="2">
      <x v="196"/>
    </i>
    <i r="1">
      <x v="3"/>
      <x v="4"/>
    </i>
    <i r="2">
      <x v="6"/>
    </i>
    <i r="2">
      <x v="17"/>
    </i>
    <i r="2">
      <x v="203"/>
    </i>
    <i r="2">
      <x v="215"/>
    </i>
    <i r="2">
      <x v="219"/>
    </i>
    <i r="1">
      <x v="9"/>
      <x v="19"/>
    </i>
    <i r="2">
      <x v="133"/>
    </i>
    <i r="2">
      <x v="142"/>
    </i>
    <i r="2">
      <x v="146"/>
    </i>
    <i r="2">
      <x v="185"/>
    </i>
    <i r="2">
      <x v="189"/>
    </i>
    <i r="2">
      <x v="195"/>
    </i>
    <i r="1">
      <x v="16"/>
      <x v="7"/>
    </i>
    <i r="2">
      <x v="8"/>
    </i>
    <i r="2">
      <x v="9"/>
    </i>
    <i r="2">
      <x v="13"/>
    </i>
    <i r="2">
      <x v="14"/>
    </i>
    <i r="2">
      <x v="22"/>
    </i>
    <i r="2">
      <x v="60"/>
    </i>
    <i r="2">
      <x v="73"/>
    </i>
    <i r="2">
      <x v="108"/>
    </i>
    <i r="2">
      <x v="113"/>
    </i>
    <i r="2">
      <x v="120"/>
    </i>
    <i r="2">
      <x v="135"/>
    </i>
    <i r="2">
      <x v="141"/>
    </i>
    <i r="2">
      <x v="143"/>
    </i>
    <i r="2">
      <x v="158"/>
    </i>
    <i r="2">
      <x v="175"/>
    </i>
    <i r="2">
      <x v="184"/>
    </i>
    <i r="2">
      <x v="226"/>
    </i>
    <i r="2">
      <x v="227"/>
    </i>
    <i r="2">
      <x v="228"/>
    </i>
    <i t="blank">
      <x v="97"/>
    </i>
    <i>
      <x v="98"/>
    </i>
    <i r="1">
      <x/>
      <x v="196"/>
    </i>
    <i r="1">
      <x v="1"/>
      <x v="42"/>
    </i>
    <i r="2">
      <x v="195"/>
    </i>
    <i r="2">
      <x v="211"/>
    </i>
    <i r="1">
      <x v="4"/>
      <x v="7"/>
    </i>
    <i r="2">
      <x v="132"/>
    </i>
    <i r="2">
      <x v="146"/>
    </i>
    <i r="2">
      <x v="185"/>
    </i>
    <i r="2">
      <x v="215"/>
    </i>
    <i r="1">
      <x v="9"/>
      <x v="9"/>
    </i>
    <i r="2">
      <x v="14"/>
    </i>
    <i r="2">
      <x v="156"/>
    </i>
    <i r="2">
      <x v="186"/>
    </i>
    <i r="2">
      <x v="188"/>
    </i>
    <i r="2">
      <x v="194"/>
    </i>
    <i r="1">
      <x v="15"/>
      <x v="8"/>
    </i>
    <i r="2">
      <x v="15"/>
    </i>
    <i r="2">
      <x v="17"/>
    </i>
    <i r="2">
      <x v="19"/>
    </i>
    <i r="2">
      <x v="140"/>
    </i>
    <i r="2">
      <x v="161"/>
    </i>
    <i r="2">
      <x v="190"/>
    </i>
    <i r="2">
      <x v="203"/>
    </i>
    <i r="2">
      <x v="219"/>
    </i>
    <i r="2">
      <x v="220"/>
    </i>
    <i r="2">
      <x v="226"/>
    </i>
    <i t="blank">
      <x v="98"/>
    </i>
    <i>
      <x v="99"/>
    </i>
    <i r="1">
      <x/>
      <x v="156"/>
    </i>
    <i r="1">
      <x v="1"/>
      <x v="132"/>
    </i>
    <i r="2">
      <x v="133"/>
    </i>
    <i r="2">
      <x v="147"/>
    </i>
    <i r="2">
      <x v="196"/>
    </i>
    <i r="1">
      <x v="5"/>
      <x v="4"/>
    </i>
    <i r="2">
      <x v="51"/>
    </i>
    <i r="2">
      <x v="180"/>
    </i>
    <i r="2">
      <x v="189"/>
    </i>
    <i r="2">
      <x v="195"/>
    </i>
    <i r="1">
      <x v="10"/>
      <x v="112"/>
    </i>
    <i r="2">
      <x v="138"/>
    </i>
    <i r="2">
      <x v="188"/>
    </i>
    <i r="2">
      <x v="210"/>
    </i>
    <i r="2">
      <x v="220"/>
    </i>
    <i r="1">
      <x v="15"/>
      <x v="6"/>
    </i>
    <i r="2">
      <x v="13"/>
    </i>
    <i r="2">
      <x v="16"/>
    </i>
    <i r="2">
      <x v="17"/>
    </i>
    <i r="2">
      <x v="42"/>
    </i>
    <i r="2">
      <x v="58"/>
    </i>
    <i r="2">
      <x v="60"/>
    </i>
    <i r="2">
      <x v="106"/>
    </i>
    <i r="2">
      <x v="108"/>
    </i>
    <i r="2">
      <x v="135"/>
    </i>
    <i r="2">
      <x v="137"/>
    </i>
    <i r="2">
      <x v="140"/>
    </i>
    <i r="2">
      <x v="143"/>
    </i>
    <i r="2">
      <x v="144"/>
    </i>
    <i r="2">
      <x v="145"/>
    </i>
    <i r="2">
      <x v="158"/>
    </i>
    <i r="2">
      <x v="159"/>
    </i>
    <i r="2">
      <x v="160"/>
    </i>
    <i r="2">
      <x v="175"/>
    </i>
    <i r="2">
      <x v="206"/>
    </i>
    <i r="2">
      <x v="212"/>
    </i>
    <i r="2">
      <x v="215"/>
    </i>
    <i t="blank">
      <x v="99"/>
    </i>
    <i>
      <x v="100"/>
    </i>
    <i r="1">
      <x/>
      <x v="4"/>
    </i>
    <i r="2">
      <x v="6"/>
    </i>
    <i r="2">
      <x v="142"/>
    </i>
    <i r="2">
      <x v="147"/>
    </i>
    <i r="2">
      <x v="215"/>
    </i>
    <i r="1">
      <x v="5"/>
      <x v="19"/>
    </i>
    <i r="2">
      <x v="190"/>
    </i>
    <i r="2">
      <x v="195"/>
    </i>
    <i r="1">
      <x v="8"/>
      <x v="11"/>
    </i>
    <i r="2">
      <x v="14"/>
    </i>
    <i r="2">
      <x v="17"/>
    </i>
    <i r="2">
      <x v="38"/>
    </i>
    <i r="2">
      <x v="132"/>
    </i>
    <i r="2">
      <x v="135"/>
    </i>
    <i r="2">
      <x v="141"/>
    </i>
    <i r="2">
      <x v="143"/>
    </i>
    <i r="2">
      <x v="196"/>
    </i>
    <i r="2">
      <x v="203"/>
    </i>
    <i r="2">
      <x v="206"/>
    </i>
    <i r="1">
      <x v="19"/>
      <x v="5"/>
    </i>
    <i r="2">
      <x v="9"/>
    </i>
    <i r="2">
      <x v="12"/>
    </i>
    <i r="2">
      <x v="15"/>
    </i>
    <i r="2">
      <x v="16"/>
    </i>
    <i r="2">
      <x v="28"/>
    </i>
    <i r="2">
      <x v="43"/>
    </i>
    <i r="2">
      <x v="58"/>
    </i>
    <i r="2">
      <x v="60"/>
    </i>
    <i r="2">
      <x v="62"/>
    </i>
    <i r="2">
      <x v="65"/>
    </i>
    <i r="2">
      <x v="82"/>
    </i>
    <i r="2">
      <x v="88"/>
    </i>
    <i r="2">
      <x v="99"/>
    </i>
    <i r="2">
      <x v="106"/>
    </i>
    <i r="2">
      <x v="108"/>
    </i>
    <i r="2">
      <x v="110"/>
    </i>
    <i r="2">
      <x v="114"/>
    </i>
    <i r="2">
      <x v="119"/>
    </i>
    <i r="2">
      <x v="124"/>
    </i>
    <i r="2">
      <x v="131"/>
    </i>
    <i r="2">
      <x v="133"/>
    </i>
    <i r="2">
      <x v="137"/>
    </i>
    <i r="2">
      <x v="139"/>
    </i>
    <i r="2">
      <x v="140"/>
    </i>
    <i r="2">
      <x v="155"/>
    </i>
    <i r="2">
      <x v="156"/>
    </i>
    <i r="2">
      <x v="161"/>
    </i>
    <i r="2">
      <x v="170"/>
    </i>
    <i r="2">
      <x v="175"/>
    </i>
    <i r="2">
      <x v="179"/>
    </i>
    <i r="2">
      <x v="184"/>
    </i>
    <i r="2">
      <x v="188"/>
    </i>
    <i r="2">
      <x v="193"/>
    </i>
    <i r="2">
      <x v="194"/>
    </i>
    <i r="2">
      <x v="198"/>
    </i>
    <i r="2">
      <x v="210"/>
    </i>
    <i r="2">
      <x v="212"/>
    </i>
    <i r="2">
      <x v="216"/>
    </i>
    <i r="2">
      <x v="221"/>
    </i>
    <i r="2">
      <x v="226"/>
    </i>
    <i r="2">
      <x v="230"/>
    </i>
    <i t="blank">
      <x v="100"/>
    </i>
    <i>
      <x v="101"/>
    </i>
    <i r="1">
      <x/>
      <x v="4"/>
    </i>
    <i r="2">
      <x v="142"/>
    </i>
    <i r="2">
      <x v="184"/>
    </i>
    <i r="2">
      <x v="195"/>
    </i>
    <i r="2">
      <x v="196"/>
    </i>
    <i r="1">
      <x v="5"/>
      <x v="16"/>
    </i>
    <i r="2">
      <x v="74"/>
    </i>
    <i r="2">
      <x v="133"/>
    </i>
    <i r="2">
      <x v="147"/>
    </i>
    <i r="2">
      <x v="189"/>
    </i>
    <i r="2">
      <x v="190"/>
    </i>
    <i r="2">
      <x v="215"/>
    </i>
    <i r="2">
      <x v="226"/>
    </i>
    <i r="1">
      <x v="13"/>
      <x v="5"/>
    </i>
    <i r="2">
      <x v="6"/>
    </i>
    <i r="2">
      <x v="10"/>
    </i>
    <i r="2">
      <x v="11"/>
    </i>
    <i r="2">
      <x v="14"/>
    </i>
    <i r="2">
      <x v="17"/>
    </i>
    <i r="2">
      <x v="19"/>
    </i>
    <i r="2">
      <x v="24"/>
    </i>
    <i r="2">
      <x v="30"/>
    </i>
    <i r="2">
      <x v="39"/>
    </i>
    <i r="2">
      <x v="58"/>
    </i>
    <i r="2">
      <x v="60"/>
    </i>
    <i r="2">
      <x v="63"/>
    </i>
    <i r="2">
      <x v="81"/>
    </i>
    <i r="2">
      <x v="83"/>
    </i>
    <i r="2">
      <x v="96"/>
    </i>
    <i r="2">
      <x v="98"/>
    </i>
    <i r="2">
      <x v="106"/>
    </i>
    <i r="2">
      <x v="108"/>
    </i>
    <i r="2">
      <x v="112"/>
    </i>
    <i r="2">
      <x v="122"/>
    </i>
    <i r="2">
      <x v="124"/>
    </i>
    <i r="2">
      <x v="131"/>
    </i>
    <i r="2">
      <x v="137"/>
    </i>
    <i r="2">
      <x v="140"/>
    </i>
    <i r="2">
      <x v="146"/>
    </i>
    <i r="2">
      <x v="148"/>
    </i>
    <i r="2">
      <x v="170"/>
    </i>
    <i r="2">
      <x v="174"/>
    </i>
    <i r="2">
      <x v="179"/>
    </i>
    <i r="2">
      <x v="185"/>
    </i>
    <i r="2">
      <x v="188"/>
    </i>
    <i r="2">
      <x v="202"/>
    </i>
    <i r="2">
      <x v="203"/>
    </i>
    <i r="2">
      <x v="206"/>
    </i>
    <i r="2">
      <x v="212"/>
    </i>
    <i r="2">
      <x v="214"/>
    </i>
    <i r="2">
      <x v="220"/>
    </i>
    <i r="2">
      <x v="223"/>
    </i>
    <i r="2">
      <x v="227"/>
    </i>
    <i r="2">
      <x v="233"/>
    </i>
    <i t="blank">
      <x v="101"/>
    </i>
    <i>
      <x v="102"/>
    </i>
    <i r="1">
      <x/>
      <x v="180"/>
    </i>
    <i r="1">
      <x v="1"/>
      <x v="185"/>
    </i>
    <i r="2">
      <x v="196"/>
    </i>
    <i r="1">
      <x v="3"/>
      <x v="146"/>
    </i>
    <i r="2">
      <x v="189"/>
    </i>
    <i r="1">
      <x v="5"/>
      <x v="195"/>
    </i>
    <i r="2">
      <x v="220"/>
    </i>
    <i r="1">
      <x v="7"/>
      <x v="30"/>
    </i>
    <i r="2">
      <x v="132"/>
    </i>
    <i r="2">
      <x v="133"/>
    </i>
    <i r="2">
      <x v="137"/>
    </i>
    <i r="2">
      <x v="142"/>
    </i>
    <i r="2">
      <x v="184"/>
    </i>
    <i r="2">
      <x v="190"/>
    </i>
    <i r="1">
      <x v="14"/>
      <x v="17"/>
    </i>
    <i r="2">
      <x v="38"/>
    </i>
    <i r="2">
      <x v="43"/>
    </i>
    <i r="2">
      <x v="58"/>
    </i>
    <i r="2">
      <x v="143"/>
    </i>
    <i r="2">
      <x v="156"/>
    </i>
    <i r="2">
      <x v="161"/>
    </i>
    <i r="2">
      <x v="178"/>
    </i>
    <i r="2">
      <x v="210"/>
    </i>
    <i r="2">
      <x v="214"/>
    </i>
    <i r="2">
      <x v="215"/>
    </i>
    <i r="2">
      <x v="235"/>
    </i>
    <i t="blank">
      <x v="102"/>
    </i>
    <i>
      <x v="103"/>
    </i>
    <i r="1">
      <x/>
      <x v="42"/>
    </i>
    <i r="1">
      <x v="1"/>
      <x v="185"/>
    </i>
    <i r="1">
      <x v="2"/>
      <x v="132"/>
    </i>
    <i r="2">
      <x v="196"/>
    </i>
    <i r="1">
      <x v="4"/>
      <x v="147"/>
    </i>
    <i r="1">
      <x v="5"/>
      <x v="4"/>
    </i>
    <i r="2">
      <x v="44"/>
    </i>
    <i r="2">
      <x v="124"/>
    </i>
    <i r="2">
      <x v="180"/>
    </i>
    <i r="1">
      <x v="9"/>
      <x v="17"/>
    </i>
    <i r="2">
      <x v="138"/>
    </i>
    <i r="2">
      <x v="146"/>
    </i>
    <i r="2">
      <x v="190"/>
    </i>
    <i r="2">
      <x v="195"/>
    </i>
    <i r="2">
      <x v="212"/>
    </i>
    <i r="1">
      <x v="15"/>
      <x v="7"/>
    </i>
    <i r="2">
      <x v="30"/>
    </i>
    <i r="2">
      <x v="39"/>
    </i>
    <i r="2">
      <x v="41"/>
    </i>
    <i r="2">
      <x v="65"/>
    </i>
    <i r="2">
      <x v="75"/>
    </i>
    <i r="2">
      <x v="120"/>
    </i>
    <i r="2">
      <x v="133"/>
    </i>
    <i r="2">
      <x v="135"/>
    </i>
    <i r="2">
      <x v="156"/>
    </i>
    <i r="2">
      <x v="178"/>
    </i>
    <i r="2">
      <x v="193"/>
    </i>
    <i r="2">
      <x v="215"/>
    </i>
    <i r="2">
      <x v="226"/>
    </i>
    <i r="2">
      <x v="236"/>
    </i>
    <i t="blank">
      <x v="103"/>
    </i>
    <i>
      <x v="104"/>
    </i>
    <i r="1">
      <x/>
      <x v="180"/>
    </i>
    <i r="1">
      <x v="1"/>
      <x v="196"/>
    </i>
    <i r="1">
      <x v="2"/>
      <x v="185"/>
    </i>
    <i r="2">
      <x v="190"/>
    </i>
    <i r="1">
      <x v="4"/>
      <x v="132"/>
    </i>
    <i r="2">
      <x v="146"/>
    </i>
    <i r="2">
      <x v="188"/>
    </i>
    <i r="1">
      <x v="7"/>
      <x v="133"/>
    </i>
    <i r="2">
      <x v="135"/>
    </i>
    <i r="2">
      <x v="181"/>
    </i>
    <i r="2">
      <x v="195"/>
    </i>
    <i r="1">
      <x v="11"/>
      <x v="17"/>
    </i>
    <i r="1">
      <x v="12"/>
      <x v="4"/>
    </i>
    <i r="2">
      <x v="113"/>
    </i>
    <i r="2">
      <x v="156"/>
    </i>
    <i r="1">
      <x v="15"/>
      <x v="184"/>
    </i>
    <i r="2">
      <x v="189"/>
    </i>
    <i r="2">
      <x v="210"/>
    </i>
    <i r="2">
      <x v="219"/>
    </i>
    <i r="2">
      <x v="226"/>
    </i>
    <i t="blank">
      <x v="104"/>
    </i>
    <i>
      <x v="105"/>
    </i>
    <i r="1">
      <x/>
      <x v="156"/>
    </i>
    <i r="1">
      <x v="1"/>
      <x v="189"/>
    </i>
    <i r="1">
      <x v="2"/>
      <x v="185"/>
    </i>
    <i r="1">
      <x v="3"/>
      <x v="196"/>
    </i>
    <i r="1">
      <x v="4"/>
      <x v="195"/>
    </i>
    <i r="1">
      <x v="5"/>
      <x v="180"/>
    </i>
    <i r="1">
      <x v="6"/>
      <x v="7"/>
    </i>
    <i r="2">
      <x v="124"/>
    </i>
    <i r="2">
      <x v="146"/>
    </i>
    <i r="2">
      <x v="188"/>
    </i>
    <i r="2">
      <x v="190"/>
    </i>
    <i r="2">
      <x v="215"/>
    </i>
    <i r="1">
      <x v="12"/>
      <x v="137"/>
    </i>
    <i r="2">
      <x v="147"/>
    </i>
    <i r="2">
      <x v="181"/>
    </i>
    <i r="1">
      <x v="15"/>
      <x v="131"/>
    </i>
    <i r="2">
      <x v="135"/>
    </i>
    <i r="2">
      <x v="140"/>
    </i>
    <i r="2">
      <x v="142"/>
    </i>
    <i r="2">
      <x v="184"/>
    </i>
    <i t="blank">
      <x v="105"/>
    </i>
    <i>
      <x v="106"/>
    </i>
    <i r="1">
      <x/>
      <x v="180"/>
    </i>
    <i r="1">
      <x v="1"/>
      <x v="190"/>
    </i>
    <i r="1">
      <x v="2"/>
      <x v="181"/>
    </i>
    <i r="1">
      <x v="3"/>
      <x v="185"/>
    </i>
    <i r="1">
      <x v="4"/>
      <x v="120"/>
    </i>
    <i r="2">
      <x v="132"/>
    </i>
    <i r="2">
      <x v="146"/>
    </i>
    <i r="2">
      <x v="195"/>
    </i>
    <i r="2">
      <x v="196"/>
    </i>
    <i r="1">
      <x v="9"/>
      <x v="131"/>
    </i>
    <i r="2">
      <x v="226"/>
    </i>
    <i r="1">
      <x v="11"/>
      <x v="4"/>
    </i>
    <i r="2">
      <x v="14"/>
    </i>
    <i r="2">
      <x v="19"/>
    </i>
    <i r="2">
      <x v="136"/>
    </i>
    <i r="2">
      <x v="154"/>
    </i>
    <i r="2">
      <x v="156"/>
    </i>
    <i r="2">
      <x v="184"/>
    </i>
    <i r="2">
      <x v="188"/>
    </i>
    <i r="2">
      <x v="192"/>
    </i>
    <i r="2">
      <x v="210"/>
    </i>
    <i r="2">
      <x v="212"/>
    </i>
    <i t="blank">
      <x v="106"/>
    </i>
    <i>
      <x v="107"/>
    </i>
    <i r="1">
      <x/>
      <x v="190"/>
    </i>
    <i r="1">
      <x v="1"/>
      <x v="184"/>
    </i>
    <i r="2">
      <x v="189"/>
    </i>
    <i r="1">
      <x v="3"/>
      <x v="83"/>
    </i>
    <i r="2">
      <x v="104"/>
    </i>
    <i r="2">
      <x v="133"/>
    </i>
    <i r="2">
      <x v="143"/>
    </i>
    <i r="2">
      <x v="185"/>
    </i>
    <i r="2">
      <x v="186"/>
    </i>
    <i r="2">
      <x v="188"/>
    </i>
    <i r="2">
      <x v="191"/>
    </i>
    <i r="2">
      <x v="196"/>
    </i>
    <i r="2">
      <x v="203"/>
    </i>
    <i r="2">
      <x v="209"/>
    </i>
    <i r="1">
      <x v="14"/>
      <x v="1"/>
    </i>
    <i r="2">
      <x v="4"/>
    </i>
    <i r="2">
      <x v="6"/>
    </i>
    <i r="2">
      <x v="7"/>
    </i>
    <i r="2">
      <x v="8"/>
    </i>
    <i r="2">
      <x v="9"/>
    </i>
    <i r="2">
      <x v="13"/>
    </i>
    <i r="2">
      <x v="14"/>
    </i>
    <i r="2">
      <x v="17"/>
    </i>
    <i r="2">
      <x v="19"/>
    </i>
    <i r="2">
      <x v="22"/>
    </i>
    <i r="2">
      <x v="25"/>
    </i>
    <i r="2">
      <x v="28"/>
    </i>
    <i r="2">
      <x v="56"/>
    </i>
    <i r="2">
      <x v="61"/>
    </i>
    <i r="2">
      <x v="75"/>
    </i>
    <i r="2">
      <x v="82"/>
    </i>
    <i r="2">
      <x v="98"/>
    </i>
    <i r="2">
      <x v="100"/>
    </i>
    <i r="2">
      <x v="120"/>
    </i>
    <i r="2">
      <x v="127"/>
    </i>
    <i r="2">
      <x v="132"/>
    </i>
    <i r="2">
      <x v="139"/>
    </i>
    <i r="2">
      <x v="141"/>
    </i>
    <i r="2">
      <x v="142"/>
    </i>
    <i r="2">
      <x v="146"/>
    </i>
    <i r="2">
      <x v="153"/>
    </i>
    <i r="2">
      <x v="154"/>
    </i>
    <i r="2">
      <x v="178"/>
    </i>
    <i r="2">
      <x v="192"/>
    </i>
    <i r="2">
      <x v="193"/>
    </i>
    <i r="2">
      <x v="194"/>
    </i>
    <i r="2">
      <x v="195"/>
    </i>
    <i r="2">
      <x v="198"/>
    </i>
    <i r="2">
      <x v="214"/>
    </i>
    <i r="2">
      <x v="215"/>
    </i>
    <i r="2">
      <x v="221"/>
    </i>
    <i r="2">
      <x v="227"/>
    </i>
    <i r="2">
      <x v="230"/>
    </i>
    <i r="2">
      <x v="233"/>
    </i>
    <i r="2">
      <x v="235"/>
    </i>
    <i t="blank">
      <x v="107"/>
    </i>
    <i>
      <x v="108"/>
    </i>
    <i r="1">
      <x/>
      <x v="180"/>
    </i>
    <i r="2">
      <x v="184"/>
    </i>
    <i r="1">
      <x v="2"/>
      <x v="195"/>
    </i>
    <i r="2">
      <x v="219"/>
    </i>
    <i r="2">
      <x v="226"/>
    </i>
    <i r="1">
      <x v="5"/>
      <x v="107"/>
    </i>
    <i r="2">
      <x v="142"/>
    </i>
    <i r="2">
      <x v="185"/>
    </i>
    <i r="2">
      <x v="210"/>
    </i>
    <i r="2">
      <x v="214"/>
    </i>
    <i r="1">
      <x v="10"/>
      <x v="10"/>
    </i>
    <i r="2">
      <x v="17"/>
    </i>
    <i r="2">
      <x v="22"/>
    </i>
    <i r="2">
      <x v="41"/>
    </i>
    <i r="2">
      <x v="46"/>
    </i>
    <i r="2">
      <x v="75"/>
    </i>
    <i r="2">
      <x v="81"/>
    </i>
    <i r="2">
      <x v="83"/>
    </i>
    <i r="2">
      <x v="100"/>
    </i>
    <i r="2">
      <x v="128"/>
    </i>
    <i r="2">
      <x v="132"/>
    </i>
    <i r="2">
      <x v="143"/>
    </i>
    <i r="2">
      <x v="146"/>
    </i>
    <i r="2">
      <x v="151"/>
    </i>
    <i r="2">
      <x v="156"/>
    </i>
    <i r="2">
      <x v="161"/>
    </i>
    <i r="2">
      <x v="164"/>
    </i>
    <i r="2">
      <x v="171"/>
    </i>
    <i r="2">
      <x v="181"/>
    </i>
    <i r="2">
      <x v="186"/>
    </i>
    <i r="2">
      <x v="187"/>
    </i>
    <i r="2">
      <x v="190"/>
    </i>
    <i r="2">
      <x v="191"/>
    </i>
    <i r="2">
      <x v="192"/>
    </i>
    <i r="2">
      <x v="198"/>
    </i>
    <i r="2">
      <x v="207"/>
    </i>
    <i r="2">
      <x v="220"/>
    </i>
    <i r="2">
      <x v="223"/>
    </i>
    <i t="blank">
      <x v="108"/>
    </i>
    <i>
      <x v="109"/>
    </i>
    <i r="1">
      <x/>
      <x v="196"/>
    </i>
    <i r="1">
      <x v="1"/>
      <x v="195"/>
    </i>
    <i r="2">
      <x v="215"/>
    </i>
    <i r="1">
      <x v="3"/>
      <x v="128"/>
    </i>
    <i r="2">
      <x v="137"/>
    </i>
    <i r="2">
      <x v="146"/>
    </i>
    <i r="2">
      <x v="184"/>
    </i>
    <i r="2">
      <x v="185"/>
    </i>
    <i r="2">
      <x v="189"/>
    </i>
    <i r="2">
      <x v="235"/>
    </i>
    <i r="1">
      <x v="10"/>
      <x v="38"/>
    </i>
    <i r="2">
      <x v="131"/>
    </i>
    <i r="2">
      <x v="132"/>
    </i>
    <i r="2">
      <x v="133"/>
    </i>
    <i r="2">
      <x v="135"/>
    </i>
    <i r="2">
      <x v="141"/>
    </i>
    <i r="2">
      <x v="142"/>
    </i>
    <i r="2">
      <x v="163"/>
    </i>
    <i r="2">
      <x v="178"/>
    </i>
    <i r="2">
      <x v="188"/>
    </i>
    <i r="2">
      <x v="190"/>
    </i>
    <i r="2">
      <x v="210"/>
    </i>
    <i t="blank">
      <x v="109"/>
    </i>
    <i>
      <x v="110"/>
    </i>
    <i r="1">
      <x/>
      <x v="142"/>
    </i>
    <i r="1">
      <x v="1"/>
      <x v="143"/>
    </i>
    <i r="2">
      <x v="189"/>
    </i>
    <i r="1">
      <x v="3"/>
      <x v="4"/>
    </i>
    <i r="2">
      <x v="6"/>
    </i>
    <i r="2">
      <x v="7"/>
    </i>
    <i r="2">
      <x v="83"/>
    </i>
    <i r="2">
      <x v="124"/>
    </i>
    <i r="2">
      <x v="127"/>
    </i>
    <i r="2">
      <x v="133"/>
    </i>
    <i r="2">
      <x v="135"/>
    </i>
    <i r="2">
      <x v="140"/>
    </i>
    <i r="2">
      <x v="184"/>
    </i>
    <i r="2">
      <x v="185"/>
    </i>
    <i r="2">
      <x v="188"/>
    </i>
    <i r="2">
      <x v="190"/>
    </i>
    <i r="2">
      <x v="196"/>
    </i>
    <i r="2">
      <x v="212"/>
    </i>
    <i r="2">
      <x v="214"/>
    </i>
    <i r="2">
      <x v="215"/>
    </i>
    <i t="blank">
      <x v="110"/>
    </i>
    <i>
      <x v="111"/>
    </i>
    <i r="1">
      <x/>
      <x v="196"/>
    </i>
    <i r="1">
      <x v="1"/>
      <x v="4"/>
    </i>
    <i r="2">
      <x v="189"/>
    </i>
    <i r="1">
      <x v="3"/>
      <x v="7"/>
    </i>
    <i r="2">
      <x v="30"/>
    </i>
    <i r="2">
      <x v="133"/>
    </i>
    <i r="1">
      <x v="6"/>
      <x v="38"/>
    </i>
    <i r="2">
      <x v="107"/>
    </i>
    <i r="2">
      <x v="141"/>
    </i>
    <i r="2">
      <x v="156"/>
    </i>
    <i r="2">
      <x v="185"/>
    </i>
    <i r="2">
      <x v="188"/>
    </i>
    <i r="2">
      <x v="195"/>
    </i>
    <i r="2">
      <x v="206"/>
    </i>
    <i r="1">
      <x v="14"/>
      <x v="35"/>
    </i>
    <i r="2">
      <x v="50"/>
    </i>
    <i r="2">
      <x v="88"/>
    </i>
    <i r="2">
      <x v="137"/>
    </i>
    <i r="2">
      <x v="139"/>
    </i>
    <i r="2">
      <x v="143"/>
    </i>
    <i r="2">
      <x v="163"/>
    </i>
    <i r="2">
      <x v="186"/>
    </i>
    <i r="2">
      <x v="210"/>
    </i>
    <i r="2">
      <x v="215"/>
    </i>
    <i r="2">
      <x v="220"/>
    </i>
    <i r="2">
      <x v="227"/>
    </i>
    <i t="blank">
      <x v="111"/>
    </i>
    <i>
      <x v="112"/>
    </i>
    <i r="1">
      <x/>
      <x v="195"/>
    </i>
    <i r="1">
      <x v="1"/>
      <x v="4"/>
    </i>
    <i r="1">
      <x v="2"/>
      <x v="142"/>
    </i>
    <i r="2">
      <x v="189"/>
    </i>
    <i r="1">
      <x v="4"/>
      <x v="7"/>
    </i>
    <i r="2">
      <x v="180"/>
    </i>
    <i r="2">
      <x v="184"/>
    </i>
    <i r="2">
      <x v="185"/>
    </i>
    <i r="1">
      <x v="8"/>
      <x v="17"/>
    </i>
    <i r="2">
      <x v="22"/>
    </i>
    <i r="2">
      <x v="137"/>
    </i>
    <i r="2">
      <x v="141"/>
    </i>
    <i r="2">
      <x v="146"/>
    </i>
    <i r="2">
      <x v="196"/>
    </i>
    <i r="2">
      <x v="235"/>
    </i>
    <i r="1">
      <x v="15"/>
      <x v="14"/>
    </i>
    <i r="2">
      <x v="19"/>
    </i>
    <i r="2">
      <x v="38"/>
    </i>
    <i r="2">
      <x v="46"/>
    </i>
    <i r="2">
      <x v="60"/>
    </i>
    <i r="2">
      <x v="124"/>
    </i>
    <i r="2">
      <x v="128"/>
    </i>
    <i r="2">
      <x v="129"/>
    </i>
    <i r="2">
      <x v="131"/>
    </i>
    <i r="2">
      <x v="132"/>
    </i>
    <i r="2">
      <x v="133"/>
    </i>
    <i r="2">
      <x v="138"/>
    </i>
    <i r="2">
      <x v="139"/>
    </i>
    <i r="2">
      <x v="140"/>
    </i>
    <i r="2">
      <x v="145"/>
    </i>
    <i r="2">
      <x v="156"/>
    </i>
    <i r="2">
      <x v="188"/>
    </i>
    <i r="2">
      <x v="190"/>
    </i>
    <i r="2">
      <x v="193"/>
    </i>
    <i r="2">
      <x v="203"/>
    </i>
    <i t="blank">
      <x v="112"/>
    </i>
    <i>
      <x v="113"/>
    </i>
    <i r="1">
      <x/>
      <x v="30"/>
    </i>
    <i r="2">
      <x v="96"/>
    </i>
    <i r="2">
      <x v="133"/>
    </i>
    <i r="2">
      <x v="142"/>
    </i>
    <i r="1">
      <x v="4"/>
      <x v="4"/>
    </i>
    <i r="2">
      <x v="5"/>
    </i>
    <i r="2">
      <x v="6"/>
    </i>
    <i r="2">
      <x v="19"/>
    </i>
    <i r="2">
      <x v="38"/>
    </i>
    <i r="2">
      <x v="82"/>
    </i>
    <i r="2">
      <x v="83"/>
    </i>
    <i r="2">
      <x v="93"/>
    </i>
    <i r="2">
      <x v="126"/>
    </i>
    <i r="2">
      <x v="127"/>
    </i>
    <i r="2">
      <x v="132"/>
    </i>
    <i r="2">
      <x v="140"/>
    </i>
    <i r="2">
      <x v="180"/>
    </i>
    <i r="2">
      <x v="181"/>
    </i>
    <i r="2">
      <x v="184"/>
    </i>
    <i r="2">
      <x v="185"/>
    </i>
    <i r="2">
      <x v="188"/>
    </i>
    <i r="2">
      <x v="190"/>
    </i>
    <i r="2">
      <x v="196"/>
    </i>
    <i r="2">
      <x v="209"/>
    </i>
    <i r="2">
      <x v="210"/>
    </i>
    <i r="2">
      <x v="219"/>
    </i>
    <i r="2">
      <x v="226"/>
    </i>
    <i t="blank">
      <x v="113"/>
    </i>
    <i>
      <x v="114"/>
    </i>
    <i r="1">
      <x/>
      <x v="142"/>
    </i>
    <i r="1">
      <x v="1"/>
      <x v="40"/>
    </i>
    <i r="2">
      <x v="188"/>
    </i>
    <i r="2">
      <x v="196"/>
    </i>
    <i r="1">
      <x v="4"/>
      <x v="58"/>
    </i>
    <i r="2">
      <x v="60"/>
    </i>
    <i r="2">
      <x v="137"/>
    </i>
    <i r="2">
      <x v="147"/>
    </i>
    <i r="2">
      <x v="156"/>
    </i>
    <i r="2">
      <x v="189"/>
    </i>
    <i r="2">
      <x v="195"/>
    </i>
    <i r="2">
      <x v="210"/>
    </i>
    <i r="1">
      <x v="12"/>
      <x v="4"/>
    </i>
    <i r="2">
      <x v="7"/>
    </i>
    <i r="2">
      <x v="14"/>
    </i>
    <i r="2">
      <x v="17"/>
    </i>
    <i r="2">
      <x v="22"/>
    </i>
    <i r="2">
      <x v="35"/>
    </i>
    <i r="2">
      <x v="39"/>
    </i>
    <i r="2">
      <x v="65"/>
    </i>
    <i r="2">
      <x v="83"/>
    </i>
    <i r="2">
      <x v="99"/>
    </i>
    <i r="2">
      <x v="104"/>
    </i>
    <i r="2">
      <x v="106"/>
    </i>
    <i r="2">
      <x v="113"/>
    </i>
    <i r="2">
      <x v="120"/>
    </i>
    <i r="2">
      <x v="122"/>
    </i>
    <i r="2">
      <x v="124"/>
    </i>
    <i r="2">
      <x v="127"/>
    </i>
    <i r="2">
      <x v="132"/>
    </i>
    <i r="2">
      <x v="133"/>
    </i>
    <i r="2">
      <x v="135"/>
    </i>
    <i r="2">
      <x v="143"/>
    </i>
    <i r="2">
      <x v="144"/>
    </i>
    <i r="2">
      <x v="146"/>
    </i>
    <i r="2">
      <x v="151"/>
    </i>
    <i r="2">
      <x v="160"/>
    </i>
    <i r="2">
      <x v="161"/>
    </i>
    <i r="2">
      <x v="163"/>
    </i>
    <i r="2">
      <x v="174"/>
    </i>
    <i r="2">
      <x v="178"/>
    </i>
    <i r="2">
      <x v="183"/>
    </i>
    <i r="2">
      <x v="184"/>
    </i>
    <i r="2">
      <x v="185"/>
    </i>
    <i r="2">
      <x v="193"/>
    </i>
    <i r="2">
      <x v="200"/>
    </i>
    <i r="2">
      <x v="208"/>
    </i>
    <i r="2">
      <x v="214"/>
    </i>
    <i r="2">
      <x v="226"/>
    </i>
    <i r="2">
      <x v="234"/>
    </i>
    <i t="blank">
      <x v="114"/>
    </i>
    <i>
      <x v="115"/>
    </i>
    <i r="1">
      <x/>
      <x v="27"/>
    </i>
    <i r="1">
      <x v="1"/>
      <x v="4"/>
    </i>
    <i r="2">
      <x v="142"/>
    </i>
    <i r="2">
      <x v="143"/>
    </i>
    <i r="2">
      <x v="180"/>
    </i>
    <i r="2">
      <x v="186"/>
    </i>
    <i r="2">
      <x v="226"/>
    </i>
    <i r="1">
      <x v="7"/>
      <x v="10"/>
    </i>
    <i r="2">
      <x v="16"/>
    </i>
    <i r="2">
      <x v="17"/>
    </i>
    <i r="2">
      <x v="28"/>
    </i>
    <i r="2">
      <x v="31"/>
    </i>
    <i r="2">
      <x v="38"/>
    </i>
    <i r="2">
      <x v="68"/>
    </i>
    <i r="2">
      <x v="82"/>
    </i>
    <i r="2">
      <x v="83"/>
    </i>
    <i r="2">
      <x v="98"/>
    </i>
    <i r="2">
      <x v="100"/>
    </i>
    <i r="2">
      <x v="104"/>
    </i>
    <i r="2">
      <x v="124"/>
    </i>
    <i r="2">
      <x v="127"/>
    </i>
    <i r="2">
      <x v="133"/>
    </i>
    <i r="2">
      <x v="137"/>
    </i>
    <i r="2">
      <x v="139"/>
    </i>
    <i r="2">
      <x v="140"/>
    </i>
    <i r="2">
      <x v="146"/>
    </i>
    <i r="2">
      <x v="156"/>
    </i>
    <i r="2">
      <x v="161"/>
    </i>
    <i r="2">
      <x v="169"/>
    </i>
    <i r="2">
      <x v="185"/>
    </i>
    <i r="2">
      <x v="190"/>
    </i>
    <i r="2">
      <x v="193"/>
    </i>
    <i r="2">
      <x v="195"/>
    </i>
    <i r="2">
      <x v="196"/>
    </i>
    <i r="2">
      <x v="209"/>
    </i>
    <i r="2">
      <x v="214"/>
    </i>
    <i t="blank">
      <x v="115"/>
    </i>
    <i>
      <x v="116"/>
    </i>
    <i r="1">
      <x/>
      <x v="16"/>
    </i>
    <i r="2">
      <x v="180"/>
    </i>
    <i r="2">
      <x v="196"/>
    </i>
    <i r="1">
      <x v="3"/>
      <x v="7"/>
    </i>
    <i r="2">
      <x v="142"/>
    </i>
    <i r="2">
      <x v="189"/>
    </i>
    <i r="2">
      <x v="195"/>
    </i>
    <i r="1">
      <x v="7"/>
      <x v="23"/>
    </i>
    <i r="2">
      <x v="132"/>
    </i>
    <i r="2">
      <x v="133"/>
    </i>
    <i r="2">
      <x v="185"/>
    </i>
    <i r="2">
      <x v="188"/>
    </i>
    <i r="2">
      <x v="220"/>
    </i>
    <i r="1">
      <x v="13"/>
      <x v="14"/>
    </i>
    <i r="2">
      <x v="146"/>
    </i>
    <i r="2">
      <x v="156"/>
    </i>
    <i r="2">
      <x v="184"/>
    </i>
    <i r="2">
      <x v="206"/>
    </i>
    <i r="2">
      <x v="226"/>
    </i>
    <i r="1">
      <x v="19"/>
      <x/>
    </i>
    <i r="2">
      <x v="9"/>
    </i>
    <i r="2">
      <x v="46"/>
    </i>
    <i r="2">
      <x v="72"/>
    </i>
    <i r="2">
      <x v="106"/>
    </i>
    <i r="2">
      <x v="128"/>
    </i>
    <i r="2">
      <x v="130"/>
    </i>
    <i r="2">
      <x v="131"/>
    </i>
    <i r="2">
      <x v="137"/>
    </i>
    <i r="2">
      <x v="138"/>
    </i>
    <i r="2">
      <x v="181"/>
    </i>
    <i r="2">
      <x v="187"/>
    </i>
    <i r="2">
      <x v="210"/>
    </i>
    <i r="2">
      <x v="212"/>
    </i>
    <i r="2">
      <x v="215"/>
    </i>
    <i t="blank">
      <x v="116"/>
    </i>
    <i>
      <x v="117"/>
    </i>
    <i r="1">
      <x/>
      <x v="212"/>
    </i>
    <i r="1">
      <x v="1"/>
      <x v="189"/>
    </i>
    <i r="2">
      <x v="195"/>
    </i>
    <i r="1">
      <x v="3"/>
      <x v="14"/>
    </i>
    <i r="2">
      <x v="16"/>
    </i>
    <i r="2">
      <x v="17"/>
    </i>
    <i r="2">
      <x v="133"/>
    </i>
    <i r="2">
      <x v="142"/>
    </i>
    <i r="2">
      <x v="180"/>
    </i>
    <i r="2">
      <x v="220"/>
    </i>
    <i r="1">
      <x v="10"/>
      <x v="23"/>
    </i>
    <i r="2">
      <x v="95"/>
    </i>
    <i r="2">
      <x v="98"/>
    </i>
    <i r="2">
      <x v="104"/>
    </i>
    <i r="2">
      <x v="128"/>
    </i>
    <i r="2">
      <x v="131"/>
    </i>
    <i r="2">
      <x v="188"/>
    </i>
    <i r="2">
      <x v="214"/>
    </i>
    <i r="1">
      <x v="18"/>
      <x v="5"/>
    </i>
    <i r="2">
      <x v="6"/>
    </i>
    <i r="2">
      <x v="8"/>
    </i>
    <i r="2">
      <x v="12"/>
    </i>
    <i r="2">
      <x v="13"/>
    </i>
    <i r="2">
      <x v="15"/>
    </i>
    <i r="2">
      <x v="19"/>
    </i>
    <i r="2">
      <x v="82"/>
    </i>
    <i r="2">
      <x v="83"/>
    </i>
    <i r="2">
      <x v="99"/>
    </i>
    <i r="2">
      <x v="127"/>
    </i>
    <i r="2">
      <x v="135"/>
    </i>
    <i r="2">
      <x v="138"/>
    </i>
    <i r="2">
      <x v="139"/>
    </i>
    <i r="2">
      <x v="140"/>
    </i>
    <i r="2">
      <x v="141"/>
    </i>
    <i r="2">
      <x v="144"/>
    </i>
    <i r="2">
      <x v="146"/>
    </i>
    <i r="2">
      <x v="155"/>
    </i>
    <i r="2">
      <x v="156"/>
    </i>
    <i r="2">
      <x v="184"/>
    </i>
    <i r="2">
      <x v="193"/>
    </i>
    <i r="2">
      <x v="196"/>
    </i>
    <i r="2">
      <x v="206"/>
    </i>
    <i t="blank">
      <x v="117"/>
    </i>
    <i>
      <x v="118"/>
    </i>
    <i r="1">
      <x/>
      <x v="189"/>
    </i>
    <i r="1">
      <x v="1"/>
      <x v="196"/>
    </i>
    <i r="1">
      <x v="2"/>
      <x v="4"/>
    </i>
    <i r="2">
      <x v="6"/>
    </i>
    <i r="2">
      <x v="142"/>
    </i>
    <i r="2">
      <x v="185"/>
    </i>
    <i r="1">
      <x v="6"/>
      <x v="180"/>
    </i>
    <i r="2">
      <x v="184"/>
    </i>
    <i r="2">
      <x v="195"/>
    </i>
    <i r="1">
      <x v="9"/>
      <x v="7"/>
    </i>
    <i r="2">
      <x v="13"/>
    </i>
    <i r="2">
      <x v="38"/>
    </i>
    <i r="2">
      <x v="104"/>
    </i>
    <i r="2">
      <x v="106"/>
    </i>
    <i r="2">
      <x v="124"/>
    </i>
    <i r="2">
      <x v="131"/>
    </i>
    <i r="2">
      <x v="137"/>
    </i>
    <i r="2">
      <x v="146"/>
    </i>
    <i r="2">
      <x v="156"/>
    </i>
    <i r="2">
      <x v="226"/>
    </i>
    <i r="2">
      <x v="235"/>
    </i>
    <i t="blank">
      <x v="118"/>
    </i>
    <i>
      <x v="119"/>
    </i>
    <i r="1">
      <x/>
      <x v="189"/>
    </i>
    <i r="1">
      <x v="1"/>
      <x v="156"/>
    </i>
    <i r="2">
      <x v="180"/>
    </i>
    <i r="1">
      <x v="3"/>
      <x v="195"/>
    </i>
    <i r="2">
      <x v="196"/>
    </i>
    <i r="1">
      <x v="5"/>
      <x v="185"/>
    </i>
    <i r="1">
      <x v="6"/>
      <x v="146"/>
    </i>
    <i r="2">
      <x v="188"/>
    </i>
    <i r="1">
      <x v="8"/>
      <x v="6"/>
    </i>
    <i r="2">
      <x v="13"/>
    </i>
    <i r="2">
      <x v="19"/>
    </i>
    <i r="2">
      <x v="23"/>
    </i>
    <i r="2">
      <x v="184"/>
    </i>
    <i r="1">
      <x v="13"/>
      <x v="108"/>
    </i>
    <i r="2">
      <x v="131"/>
    </i>
    <i r="2">
      <x v="132"/>
    </i>
    <i r="2">
      <x v="215"/>
    </i>
    <i r="1">
      <x v="17"/>
      <x v="7"/>
    </i>
    <i r="2">
      <x v="14"/>
    </i>
    <i r="2">
      <x v="133"/>
    </i>
    <i r="2">
      <x v="142"/>
    </i>
    <i r="2">
      <x v="190"/>
    </i>
    <i r="2">
      <x v="212"/>
    </i>
    <i r="2">
      <x v="220"/>
    </i>
    <i r="2">
      <x v="226"/>
    </i>
    <i t="blank">
      <x v="119"/>
    </i>
    <i>
      <x v="120"/>
    </i>
    <i r="1">
      <x/>
      <x v="7"/>
    </i>
    <i r="1">
      <x v="1"/>
      <x v="4"/>
    </i>
    <i r="2">
      <x v="6"/>
    </i>
    <i r="2">
      <x v="142"/>
    </i>
    <i r="2">
      <x v="163"/>
    </i>
    <i r="2">
      <x v="184"/>
    </i>
    <i r="2">
      <x v="189"/>
    </i>
    <i r="1">
      <x v="7"/>
      <x v="19"/>
    </i>
    <i r="2">
      <x v="28"/>
    </i>
    <i r="2">
      <x v="46"/>
    </i>
    <i r="2">
      <x v="82"/>
    </i>
    <i r="2">
      <x v="97"/>
    </i>
    <i r="2">
      <x v="98"/>
    </i>
    <i r="2">
      <x v="131"/>
    </i>
    <i r="2">
      <x v="143"/>
    </i>
    <i r="2">
      <x v="193"/>
    </i>
    <i r="2">
      <x v="195"/>
    </i>
    <i r="2">
      <x v="196"/>
    </i>
    <i r="2">
      <x v="214"/>
    </i>
    <i r="2">
      <x v="215"/>
    </i>
    <i r="2">
      <x v="221"/>
    </i>
    <i r="2">
      <x v="226"/>
    </i>
    <i t="blank">
      <x v="120"/>
    </i>
    <i>
      <x v="121"/>
    </i>
    <i r="1">
      <x/>
      <x v="189"/>
    </i>
    <i r="2">
      <x v="195"/>
    </i>
    <i r="1">
      <x v="2"/>
      <x v="137"/>
    </i>
    <i r="1">
      <x v="3"/>
      <x v="4"/>
    </i>
    <i r="2">
      <x v="142"/>
    </i>
    <i r="2">
      <x v="184"/>
    </i>
    <i r="2">
      <x v="196"/>
    </i>
    <i r="1">
      <x v="7"/>
      <x v="6"/>
    </i>
    <i r="2">
      <x v="9"/>
    </i>
    <i r="2">
      <x v="13"/>
    </i>
    <i r="2">
      <x v="14"/>
    </i>
    <i r="2">
      <x v="58"/>
    </i>
    <i r="2">
      <x v="98"/>
    </i>
    <i r="2">
      <x v="132"/>
    </i>
    <i r="2">
      <x v="138"/>
    </i>
    <i r="2">
      <x v="172"/>
    </i>
    <i r="2">
      <x v="188"/>
    </i>
    <i r="2">
      <x v="203"/>
    </i>
    <i r="2">
      <x v="212"/>
    </i>
    <i r="2">
      <x v="226"/>
    </i>
    <i t="blank">
      <x v="121"/>
    </i>
    <i>
      <x v="122"/>
    </i>
    <i r="1">
      <x/>
      <x v="189"/>
    </i>
    <i r="2">
      <x v="195"/>
    </i>
    <i r="1">
      <x v="2"/>
      <x v="180"/>
    </i>
    <i r="2">
      <x v="188"/>
    </i>
    <i r="2">
      <x v="196"/>
    </i>
    <i r="1">
      <x v="5"/>
      <x v="135"/>
    </i>
    <i r="2">
      <x v="143"/>
    </i>
    <i r="1">
      <x v="7"/>
      <x v="4"/>
    </i>
    <i r="2">
      <x v="14"/>
    </i>
    <i r="2">
      <x v="158"/>
    </i>
    <i r="2">
      <x v="184"/>
    </i>
    <i r="1">
      <x v="11"/>
      <x v="13"/>
    </i>
    <i r="2">
      <x v="127"/>
    </i>
    <i r="2">
      <x v="128"/>
    </i>
    <i r="2">
      <x v="130"/>
    </i>
    <i r="2">
      <x v="133"/>
    </i>
    <i r="2">
      <x v="137"/>
    </i>
    <i r="2">
      <x v="141"/>
    </i>
    <i r="2">
      <x v="142"/>
    </i>
    <i r="2">
      <x v="147"/>
    </i>
    <i r="2">
      <x v="185"/>
    </i>
    <i r="2">
      <x v="206"/>
    </i>
    <i r="2">
      <x v="219"/>
    </i>
    <i t="blank">
      <x v="122"/>
    </i>
    <i>
      <x v="123"/>
    </i>
    <i r="1">
      <x/>
      <x v="35"/>
    </i>
    <i r="2">
      <x v="133"/>
    </i>
    <i r="1">
      <x v="2"/>
      <x v="6"/>
    </i>
    <i r="2">
      <x v="142"/>
    </i>
    <i r="2">
      <x v="180"/>
    </i>
    <i r="2">
      <x v="196"/>
    </i>
    <i r="1">
      <x v="6"/>
      <x v="4"/>
    </i>
    <i r="2">
      <x v="7"/>
    </i>
    <i r="2">
      <x v="22"/>
    </i>
    <i r="2">
      <x v="23"/>
    </i>
    <i r="2">
      <x v="82"/>
    </i>
    <i r="2">
      <x v="96"/>
    </i>
    <i r="2">
      <x v="122"/>
    </i>
    <i r="2">
      <x v="124"/>
    </i>
    <i r="2">
      <x v="130"/>
    </i>
    <i r="2">
      <x v="132"/>
    </i>
    <i r="2">
      <x v="141"/>
    </i>
    <i r="2">
      <x v="146"/>
    </i>
    <i r="2">
      <x v="174"/>
    </i>
    <i r="2">
      <x v="184"/>
    </i>
    <i r="2">
      <x v="186"/>
    </i>
    <i r="2">
      <x v="188"/>
    </i>
    <i r="2">
      <x v="189"/>
    </i>
    <i r="2">
      <x v="193"/>
    </i>
    <i r="2">
      <x v="194"/>
    </i>
    <i r="2">
      <x v="222"/>
    </i>
    <i r="2">
      <x v="223"/>
    </i>
    <i r="2">
      <x v="224"/>
    </i>
    <i r="2">
      <x v="226"/>
    </i>
    <i r="2">
      <x v="230"/>
    </i>
    <i r="2">
      <x v="233"/>
    </i>
    <i t="blank">
      <x v="123"/>
    </i>
    <i>
      <x v="124"/>
    </i>
    <i r="1">
      <x/>
      <x v="156"/>
    </i>
    <i r="1">
      <x v="1"/>
      <x v="189"/>
    </i>
    <i r="1">
      <x v="2"/>
      <x v="195"/>
    </i>
    <i r="2">
      <x v="196"/>
    </i>
    <i r="1">
      <x v="4"/>
      <x v="17"/>
    </i>
    <i r="2">
      <x v="142"/>
    </i>
    <i r="2">
      <x v="144"/>
    </i>
    <i r="2">
      <x v="188"/>
    </i>
    <i r="2">
      <x v="210"/>
    </i>
    <i r="1">
      <x v="9"/>
      <x v="4"/>
    </i>
    <i r="2">
      <x v="7"/>
    </i>
    <i r="2">
      <x v="14"/>
    </i>
    <i r="2">
      <x v="18"/>
    </i>
    <i r="2">
      <x v="23"/>
    </i>
    <i r="2">
      <x v="113"/>
    </i>
    <i r="2">
      <x v="133"/>
    </i>
    <i r="2">
      <x v="141"/>
    </i>
    <i r="2">
      <x v="146"/>
    </i>
    <i r="2">
      <x v="147"/>
    </i>
    <i r="2">
      <x v="185"/>
    </i>
    <i r="2">
      <x v="203"/>
    </i>
    <i r="2">
      <x v="224"/>
    </i>
    <i t="blank">
      <x v="124"/>
    </i>
    <i>
      <x v="125"/>
    </i>
    <i r="1">
      <x/>
      <x v="143"/>
    </i>
    <i r="2">
      <x v="184"/>
    </i>
    <i r="2">
      <x v="185"/>
    </i>
    <i r="1">
      <x v="3"/>
      <x v="4"/>
    </i>
    <i r="2">
      <x v="22"/>
    </i>
    <i r="2">
      <x v="35"/>
    </i>
    <i r="2">
      <x v="95"/>
    </i>
    <i r="2">
      <x v="133"/>
    </i>
    <i r="2">
      <x v="137"/>
    </i>
    <i r="2">
      <x v="188"/>
    </i>
    <i r="2">
      <x v="189"/>
    </i>
    <i r="2">
      <x v="195"/>
    </i>
    <i r="2">
      <x v="223"/>
    </i>
    <i r="1">
      <x v="13"/>
      <x v="6"/>
    </i>
    <i r="2">
      <x v="13"/>
    </i>
    <i r="2">
      <x v="17"/>
    </i>
    <i r="2">
      <x v="38"/>
    </i>
    <i r="2">
      <x v="46"/>
    </i>
    <i r="2">
      <x v="65"/>
    </i>
    <i r="2">
      <x v="82"/>
    </i>
    <i r="2">
      <x v="83"/>
    </i>
    <i r="2">
      <x v="96"/>
    </i>
    <i r="2">
      <x v="98"/>
    </i>
    <i r="2">
      <x v="112"/>
    </i>
    <i r="2">
      <x v="126"/>
    </i>
    <i r="2">
      <x v="129"/>
    </i>
    <i r="2">
      <x v="132"/>
    </i>
    <i r="2">
      <x v="138"/>
    </i>
    <i r="2">
      <x v="141"/>
    </i>
    <i r="2">
      <x v="142"/>
    </i>
    <i r="2">
      <x v="147"/>
    </i>
    <i r="2">
      <x v="155"/>
    </i>
    <i r="2">
      <x v="180"/>
    </i>
    <i r="2">
      <x v="190"/>
    </i>
    <i r="2">
      <x v="194"/>
    </i>
    <i r="2">
      <x v="196"/>
    </i>
    <i r="2">
      <x v="197"/>
    </i>
    <i r="2">
      <x v="210"/>
    </i>
    <i r="2">
      <x v="212"/>
    </i>
    <i r="2">
      <x v="214"/>
    </i>
    <i r="2">
      <x v="215"/>
    </i>
    <i r="2">
      <x v="220"/>
    </i>
    <i r="2">
      <x v="221"/>
    </i>
    <i r="2">
      <x v="222"/>
    </i>
    <i r="2">
      <x v="225"/>
    </i>
    <i r="2">
      <x v="226"/>
    </i>
    <i t="blank">
      <x v="125"/>
    </i>
    <i>
      <x v="126"/>
    </i>
    <i r="1">
      <x/>
      <x v="196"/>
    </i>
    <i r="1">
      <x v="1"/>
      <x v="156"/>
    </i>
    <i r="1">
      <x v="2"/>
      <x v="189"/>
    </i>
    <i r="1">
      <x v="3"/>
      <x v="195"/>
    </i>
    <i r="1">
      <x v="4"/>
      <x v="188"/>
    </i>
    <i r="1">
      <x v="5"/>
      <x v="215"/>
    </i>
    <i r="1">
      <x v="6"/>
      <x v="23"/>
    </i>
    <i r="2">
      <x v="185"/>
    </i>
    <i r="2">
      <x v="219"/>
    </i>
    <i r="1">
      <x v="9"/>
      <x v="6"/>
    </i>
    <i r="2">
      <x v="14"/>
    </i>
    <i r="2">
      <x v="227"/>
    </i>
    <i r="1">
      <x v="12"/>
      <x v="12"/>
    </i>
    <i r="2">
      <x v="13"/>
    </i>
    <i r="2">
      <x v="120"/>
    </i>
    <i r="2">
      <x v="142"/>
    </i>
    <i r="2">
      <x v="146"/>
    </i>
    <i r="2">
      <x v="160"/>
    </i>
    <i r="2">
      <x v="212"/>
    </i>
    <i r="2">
      <x v="226"/>
    </i>
    <i t="blank">
      <x v="126"/>
    </i>
    <i>
      <x v="127"/>
    </i>
    <i r="1">
      <x/>
      <x v="180"/>
    </i>
    <i r="2">
      <x v="196"/>
    </i>
    <i r="1">
      <x v="2"/>
      <x v="4"/>
    </i>
    <i r="2">
      <x v="156"/>
    </i>
    <i r="1">
      <x v="4"/>
      <x v="188"/>
    </i>
    <i r="1">
      <x v="5"/>
      <x v="113"/>
    </i>
    <i r="2">
      <x v="174"/>
    </i>
    <i r="2">
      <x v="189"/>
    </i>
    <i r="2">
      <x v="195"/>
    </i>
    <i r="2">
      <x v="215"/>
    </i>
    <i r="1">
      <x v="10"/>
      <x v="17"/>
    </i>
    <i r="2">
      <x v="19"/>
    </i>
    <i r="2">
      <x v="22"/>
    </i>
    <i r="2">
      <x v="131"/>
    </i>
    <i r="2">
      <x v="147"/>
    </i>
    <i r="2">
      <x v="226"/>
    </i>
    <i r="1">
      <x v="16"/>
      <x v="6"/>
    </i>
    <i r="2">
      <x v="7"/>
    </i>
    <i r="2">
      <x v="13"/>
    </i>
    <i r="2">
      <x v="14"/>
    </i>
    <i r="2">
      <x v="65"/>
    </i>
    <i r="2">
      <x v="104"/>
    </i>
    <i r="2">
      <x v="108"/>
    </i>
    <i r="2">
      <x v="114"/>
    </i>
    <i r="2">
      <x v="120"/>
    </i>
    <i r="2">
      <x v="137"/>
    </i>
    <i r="2">
      <x v="139"/>
    </i>
    <i r="2">
      <x v="140"/>
    </i>
    <i r="2">
      <x v="181"/>
    </i>
    <i r="2">
      <x v="184"/>
    </i>
    <i r="2">
      <x v="190"/>
    </i>
    <i r="2">
      <x v="212"/>
    </i>
    <i r="2">
      <x v="221"/>
    </i>
    <i r="2">
      <x v="227"/>
    </i>
    <i t="blank">
      <x v="127"/>
    </i>
    <i>
      <x v="128"/>
    </i>
    <i r="1">
      <x/>
      <x v="180"/>
    </i>
    <i r="1">
      <x v="1"/>
      <x v="23"/>
    </i>
    <i r="1">
      <x v="2"/>
      <x v="146"/>
    </i>
    <i r="1">
      <x v="3"/>
      <x v="189"/>
    </i>
    <i r="1">
      <x v="4"/>
      <x v="133"/>
    </i>
    <i r="2">
      <x v="143"/>
    </i>
    <i r="2">
      <x v="184"/>
    </i>
    <i r="2">
      <x v="188"/>
    </i>
    <i r="2">
      <x v="190"/>
    </i>
    <i r="2">
      <x v="196"/>
    </i>
    <i r="1">
      <x v="10"/>
      <x v="4"/>
    </i>
    <i r="2">
      <x v="127"/>
    </i>
    <i r="2">
      <x v="132"/>
    </i>
    <i r="2">
      <x v="142"/>
    </i>
    <i r="2">
      <x v="195"/>
    </i>
    <i r="2">
      <x v="223"/>
    </i>
    <i r="1">
      <x v="16"/>
      <x v="6"/>
    </i>
    <i r="2">
      <x v="19"/>
    </i>
    <i r="2">
      <x v="120"/>
    </i>
    <i r="2">
      <x v="161"/>
    </i>
    <i r="2">
      <x v="226"/>
    </i>
    <i t="blank">
      <x v="128"/>
    </i>
    <i>
      <x v="129"/>
    </i>
    <i r="1">
      <x/>
      <x v="146"/>
    </i>
    <i r="1">
      <x v="1"/>
      <x v="133"/>
    </i>
    <i r="2">
      <x v="189"/>
    </i>
    <i r="1">
      <x v="3"/>
      <x v="23"/>
    </i>
    <i r="2">
      <x v="132"/>
    </i>
    <i r="2">
      <x v="180"/>
    </i>
    <i r="1">
      <x v="6"/>
      <x v="185"/>
    </i>
    <i r="2">
      <x v="220"/>
    </i>
    <i r="1">
      <x v="8"/>
      <x v="188"/>
    </i>
    <i r="2">
      <x v="196"/>
    </i>
    <i r="1">
      <x v="10"/>
      <x v="7"/>
    </i>
    <i r="2">
      <x v="14"/>
    </i>
    <i r="2">
      <x v="106"/>
    </i>
    <i r="2">
      <x v="124"/>
    </i>
    <i r="2">
      <x v="131"/>
    </i>
    <i r="2">
      <x v="143"/>
    </i>
    <i r="2">
      <x v="186"/>
    </i>
    <i r="2">
      <x v="195"/>
    </i>
    <i r="1">
      <x v="18"/>
      <x v="3"/>
    </i>
    <i r="2">
      <x v="4"/>
    </i>
    <i r="2">
      <x v="6"/>
    </i>
    <i r="2">
      <x v="12"/>
    </i>
    <i r="2">
      <x v="13"/>
    </i>
    <i r="2">
      <x v="20"/>
    </i>
    <i r="2">
      <x v="35"/>
    </i>
    <i r="2">
      <x v="51"/>
    </i>
    <i r="2">
      <x v="81"/>
    </i>
    <i r="2">
      <x v="83"/>
    </i>
    <i r="2">
      <x v="92"/>
    </i>
    <i r="2">
      <x v="95"/>
    </i>
    <i r="2">
      <x v="107"/>
    </i>
    <i r="2">
      <x v="111"/>
    </i>
    <i r="2">
      <x v="112"/>
    </i>
    <i r="2">
      <x v="113"/>
    </i>
    <i r="2">
      <x v="120"/>
    </i>
    <i r="2">
      <x v="122"/>
    </i>
    <i r="2">
      <x v="127"/>
    </i>
    <i r="2">
      <x v="128"/>
    </i>
    <i r="2">
      <x v="130"/>
    </i>
    <i r="2">
      <x v="142"/>
    </i>
    <i r="2">
      <x v="150"/>
    </i>
    <i r="2">
      <x v="172"/>
    </i>
    <i r="2">
      <x v="187"/>
    </i>
    <i r="2">
      <x v="190"/>
    </i>
    <i r="2">
      <x v="194"/>
    </i>
    <i r="2">
      <x v="202"/>
    </i>
    <i r="2">
      <x v="206"/>
    </i>
    <i r="2">
      <x v="208"/>
    </i>
    <i r="2">
      <x v="210"/>
    </i>
    <i r="2">
      <x v="214"/>
    </i>
    <i r="2">
      <x v="224"/>
    </i>
    <i r="2">
      <x v="236"/>
    </i>
    <i t="blank">
      <x v="129"/>
    </i>
    <i>
      <x v="130"/>
    </i>
    <i r="1">
      <x/>
      <x v="180"/>
    </i>
    <i r="1">
      <x v="1"/>
      <x v="23"/>
    </i>
    <i r="2">
      <x v="196"/>
    </i>
    <i r="1">
      <x v="3"/>
      <x v="142"/>
    </i>
    <i r="2">
      <x v="189"/>
    </i>
    <i r="2">
      <x v="190"/>
    </i>
    <i r="1">
      <x v="6"/>
      <x v="133"/>
    </i>
    <i r="2">
      <x v="137"/>
    </i>
    <i r="2">
      <x v="185"/>
    </i>
    <i r="1">
      <x v="9"/>
      <x v="146"/>
    </i>
    <i r="2">
      <x v="195"/>
    </i>
    <i r="1">
      <x v="11"/>
      <x v="7"/>
    </i>
    <i r="2">
      <x v="13"/>
    </i>
    <i r="2">
      <x v="19"/>
    </i>
    <i r="2">
      <x v="98"/>
    </i>
    <i r="2">
      <x v="127"/>
    </i>
    <i r="2">
      <x v="139"/>
    </i>
    <i r="2">
      <x v="149"/>
    </i>
    <i r="2">
      <x v="161"/>
    </i>
    <i r="2">
      <x v="184"/>
    </i>
    <i r="2">
      <x v="188"/>
    </i>
    <i r="2">
      <x v="210"/>
    </i>
    <i r="2">
      <x v="214"/>
    </i>
    <i r="2">
      <x v="220"/>
    </i>
    <i r="2">
      <x v="223"/>
    </i>
    <i t="blank">
      <x v="130"/>
    </i>
    <i>
      <x v="131"/>
    </i>
    <i r="1">
      <x/>
      <x v="156"/>
    </i>
    <i r="1">
      <x v="1"/>
      <x v="142"/>
    </i>
    <i r="2">
      <x v="184"/>
    </i>
    <i r="2">
      <x v="188"/>
    </i>
    <i r="1">
      <x v="4"/>
      <x v="189"/>
    </i>
    <i r="2">
      <x v="210"/>
    </i>
    <i r="2">
      <x v="220"/>
    </i>
    <i r="2">
      <x v="235"/>
    </i>
    <i r="1">
      <x v="8"/>
      <x v="4"/>
    </i>
    <i r="2">
      <x v="8"/>
    </i>
    <i r="2">
      <x v="113"/>
    </i>
    <i r="2">
      <x v="131"/>
    </i>
    <i r="2">
      <x v="133"/>
    </i>
    <i r="2">
      <x v="160"/>
    </i>
    <i r="2">
      <x v="183"/>
    </i>
    <i r="2">
      <x v="195"/>
    </i>
    <i r="2">
      <x v="212"/>
    </i>
    <i r="1">
      <x v="17"/>
      <x v="2"/>
    </i>
    <i r="2">
      <x v="11"/>
    </i>
    <i r="2">
      <x v="14"/>
    </i>
    <i r="2">
      <x v="15"/>
    </i>
    <i r="2">
      <x v="20"/>
    </i>
    <i r="2">
      <x v="47"/>
    </i>
    <i r="2">
      <x v="60"/>
    </i>
    <i r="2">
      <x v="61"/>
    </i>
    <i r="2">
      <x v="78"/>
    </i>
    <i r="2">
      <x v="80"/>
    </i>
    <i r="2">
      <x v="82"/>
    </i>
    <i r="2">
      <x v="83"/>
    </i>
    <i r="2">
      <x v="84"/>
    </i>
    <i r="2">
      <x v="93"/>
    </i>
    <i r="2">
      <x v="120"/>
    </i>
    <i r="2">
      <x v="129"/>
    </i>
    <i r="2">
      <x v="132"/>
    </i>
    <i r="2">
      <x v="136"/>
    </i>
    <i r="2">
      <x v="140"/>
    </i>
    <i r="2">
      <x v="146"/>
    </i>
    <i r="2">
      <x v="147"/>
    </i>
    <i r="2">
      <x v="155"/>
    </i>
    <i r="2">
      <x v="161"/>
    </i>
    <i r="2">
      <x v="175"/>
    </i>
    <i r="2">
      <x v="180"/>
    </i>
    <i r="2">
      <x v="181"/>
    </i>
    <i r="2">
      <x v="185"/>
    </i>
    <i r="2">
      <x v="196"/>
    </i>
    <i r="2">
      <x v="215"/>
    </i>
    <i r="2">
      <x v="219"/>
    </i>
    <i r="2">
      <x v="221"/>
    </i>
    <i r="2">
      <x v="226"/>
    </i>
    <i r="2">
      <x v="227"/>
    </i>
    <i r="2">
      <x v="233"/>
    </i>
    <i t="blank">
      <x v="131"/>
    </i>
    <i>
      <x v="132"/>
    </i>
    <i r="1">
      <x/>
      <x v="196"/>
    </i>
    <i r="1">
      <x v="1"/>
      <x v="189"/>
    </i>
    <i r="1">
      <x v="2"/>
      <x v="195"/>
    </i>
    <i r="1">
      <x v="3"/>
      <x v="156"/>
    </i>
    <i r="1">
      <x v="4"/>
      <x v="185"/>
    </i>
    <i r="1">
      <x v="5"/>
      <x v="132"/>
    </i>
    <i r="2">
      <x v="146"/>
    </i>
    <i r="2">
      <x v="188"/>
    </i>
    <i r="1">
      <x v="8"/>
      <x v="142"/>
    </i>
    <i r="2">
      <x v="215"/>
    </i>
    <i r="1">
      <x v="10"/>
      <x v="7"/>
    </i>
    <i r="2">
      <x v="137"/>
    </i>
    <i r="2">
      <x v="226"/>
    </i>
    <i r="1">
      <x v="13"/>
      <x v="133"/>
    </i>
    <i r="2">
      <x v="140"/>
    </i>
    <i r="1">
      <x v="15"/>
      <x v="124"/>
    </i>
    <i r="2">
      <x v="147"/>
    </i>
    <i r="2">
      <x v="184"/>
    </i>
    <i r="2">
      <x v="190"/>
    </i>
    <i r="2">
      <x v="212"/>
    </i>
    <i t="blank">
      <x v="132"/>
    </i>
    <i>
      <x v="133"/>
    </i>
    <i r="1">
      <x/>
      <x v="196"/>
    </i>
    <i r="1">
      <x v="1"/>
      <x v="13"/>
    </i>
    <i r="2">
      <x v="17"/>
    </i>
    <i r="2">
      <x v="156"/>
    </i>
    <i r="2">
      <x v="189"/>
    </i>
    <i r="1">
      <x v="5"/>
      <x v="38"/>
    </i>
    <i r="2">
      <x v="132"/>
    </i>
    <i r="2">
      <x v="133"/>
    </i>
    <i r="2">
      <x v="137"/>
    </i>
    <i r="2">
      <x v="179"/>
    </i>
    <i r="2">
      <x v="190"/>
    </i>
    <i r="2">
      <x v="195"/>
    </i>
    <i r="2">
      <x v="212"/>
    </i>
    <i r="2">
      <x v="220"/>
    </i>
    <i r="1">
      <x v="14"/>
      <x v="14"/>
    </i>
    <i r="2">
      <x v="106"/>
    </i>
    <i r="2">
      <x v="135"/>
    </i>
    <i r="2">
      <x v="140"/>
    </i>
    <i r="2">
      <x v="146"/>
    </i>
    <i r="2">
      <x v="193"/>
    </i>
    <i r="2">
      <x v="210"/>
    </i>
    <i r="2">
      <x v="211"/>
    </i>
    <i r="2">
      <x v="215"/>
    </i>
    <i r="2">
      <x v="227"/>
    </i>
    <i t="blank">
      <x v="133"/>
    </i>
    <i>
      <x v="134"/>
    </i>
    <i r="1">
      <x/>
      <x v="156"/>
    </i>
    <i r="1">
      <x v="1"/>
      <x v="195"/>
    </i>
    <i r="2">
      <x v="196"/>
    </i>
    <i r="1">
      <x v="3"/>
      <x v="189"/>
    </i>
    <i r="1">
      <x v="4"/>
      <x v="188"/>
    </i>
    <i r="1">
      <x v="5"/>
      <x v="180"/>
    </i>
    <i r="1">
      <x v="6"/>
      <x v="185"/>
    </i>
    <i r="1">
      <x v="7"/>
      <x v="184"/>
    </i>
    <i r="1">
      <x v="8"/>
      <x v="146"/>
    </i>
    <i r="1">
      <x v="9"/>
      <x v="23"/>
    </i>
    <i r="2">
      <x v="209"/>
    </i>
    <i r="1">
      <x v="11"/>
      <x v="190"/>
    </i>
    <i r="1">
      <x v="12"/>
      <x v="7"/>
    </i>
    <i r="2">
      <x v="17"/>
    </i>
    <i r="2">
      <x v="106"/>
    </i>
    <i r="2">
      <x v="155"/>
    </i>
    <i r="2">
      <x v="203"/>
    </i>
    <i r="2">
      <x v="215"/>
    </i>
    <i r="1">
      <x v="18"/>
      <x v="4"/>
    </i>
    <i r="2">
      <x v="13"/>
    </i>
    <i r="2">
      <x v="130"/>
    </i>
    <i r="2">
      <x v="132"/>
    </i>
    <i r="2">
      <x v="135"/>
    </i>
    <i r="2">
      <x v="137"/>
    </i>
    <i r="2">
      <x v="165"/>
    </i>
    <i r="2">
      <x v="211"/>
    </i>
    <i r="2">
      <x v="212"/>
    </i>
    <i r="2">
      <x v="226"/>
    </i>
    <i r="2">
      <x v="235"/>
    </i>
    <i t="blank">
      <x v="134"/>
    </i>
    <i>
      <x v="135"/>
    </i>
    <i r="1">
      <x/>
      <x v="4"/>
    </i>
    <i r="2">
      <x v="195"/>
    </i>
    <i r="1">
      <x v="2"/>
      <x v="131"/>
    </i>
    <i r="2">
      <x v="156"/>
    </i>
    <i r="2">
      <x v="180"/>
    </i>
    <i r="2">
      <x v="196"/>
    </i>
    <i r="2">
      <x v="226"/>
    </i>
    <i r="1">
      <x v="7"/>
      <x v="124"/>
    </i>
    <i r="2">
      <x v="132"/>
    </i>
    <i r="2">
      <x v="133"/>
    </i>
    <i r="2">
      <x v="137"/>
    </i>
    <i r="2">
      <x v="141"/>
    </i>
    <i r="2">
      <x v="142"/>
    </i>
    <i r="2">
      <x v="188"/>
    </i>
    <i r="2">
      <x v="189"/>
    </i>
    <i r="2">
      <x v="193"/>
    </i>
    <i r="2">
      <x v="212"/>
    </i>
    <i r="1">
      <x v="17"/>
      <x v="6"/>
    </i>
    <i r="2">
      <x v="9"/>
    </i>
    <i r="2">
      <x v="13"/>
    </i>
    <i r="2">
      <x v="16"/>
    </i>
    <i r="2">
      <x v="17"/>
    </i>
    <i r="2">
      <x v="19"/>
    </i>
    <i r="2">
      <x v="39"/>
    </i>
    <i r="2">
      <x v="43"/>
    </i>
    <i r="2">
      <x v="46"/>
    </i>
    <i r="2">
      <x v="68"/>
    </i>
    <i r="2">
      <x v="78"/>
    </i>
    <i r="2">
      <x v="81"/>
    </i>
    <i r="2">
      <x v="98"/>
    </i>
    <i r="2">
      <x v="102"/>
    </i>
    <i r="2">
      <x v="112"/>
    </i>
    <i r="2">
      <x v="118"/>
    </i>
    <i r="2">
      <x v="120"/>
    </i>
    <i r="2">
      <x v="122"/>
    </i>
    <i r="2">
      <x v="136"/>
    </i>
    <i r="2">
      <x v="140"/>
    </i>
    <i r="2">
      <x v="144"/>
    </i>
    <i r="2">
      <x v="147"/>
    </i>
    <i r="2">
      <x v="149"/>
    </i>
    <i r="2">
      <x v="163"/>
    </i>
    <i r="2">
      <x v="178"/>
    </i>
    <i r="2">
      <x v="181"/>
    </i>
    <i r="2">
      <x v="183"/>
    </i>
    <i r="2">
      <x v="185"/>
    </i>
    <i r="2">
      <x v="190"/>
    </i>
    <i r="2">
      <x v="194"/>
    </i>
    <i r="2">
      <x v="199"/>
    </i>
    <i r="2">
      <x v="208"/>
    </i>
    <i r="2">
      <x v="209"/>
    </i>
    <i r="2">
      <x v="214"/>
    </i>
    <i r="2">
      <x v="224"/>
    </i>
    <i r="2">
      <x v="227"/>
    </i>
    <i r="2">
      <x v="235"/>
    </i>
    <i t="blank">
      <x v="135"/>
    </i>
    <i>
      <x v="136"/>
    </i>
    <i r="1">
      <x/>
      <x v="196"/>
    </i>
    <i r="1">
      <x v="1"/>
      <x v="4"/>
    </i>
    <i r="1">
      <x v="2"/>
      <x v="185"/>
    </i>
    <i r="2">
      <x v="188"/>
    </i>
    <i r="1">
      <x v="4"/>
      <x v="133"/>
    </i>
    <i r="2">
      <x v="212"/>
    </i>
    <i r="2">
      <x v="215"/>
    </i>
    <i r="1">
      <x v="7"/>
      <x v="35"/>
    </i>
    <i r="2">
      <x v="106"/>
    </i>
    <i r="2">
      <x v="124"/>
    </i>
    <i r="2">
      <x v="138"/>
    </i>
    <i r="2">
      <x v="141"/>
    </i>
    <i r="2">
      <x v="143"/>
    </i>
    <i r="2">
      <x v="156"/>
    </i>
    <i r="2">
      <x v="189"/>
    </i>
    <i r="2">
      <x v="190"/>
    </i>
    <i r="2">
      <x v="195"/>
    </i>
    <i r="2">
      <x v="198"/>
    </i>
    <i r="1">
      <x v="18"/>
      <x v="17"/>
    </i>
    <i r="2">
      <x v="30"/>
    </i>
    <i r="2">
      <x v="46"/>
    </i>
    <i r="2">
      <x v="131"/>
    </i>
    <i r="2">
      <x v="135"/>
    </i>
    <i r="2">
      <x v="137"/>
    </i>
    <i r="2">
      <x v="140"/>
    </i>
    <i r="2">
      <x v="146"/>
    </i>
    <i r="2">
      <x v="177"/>
    </i>
    <i r="2">
      <x v="180"/>
    </i>
    <i r="2">
      <x v="219"/>
    </i>
    <i r="2">
      <x v="227"/>
    </i>
    <i r="2">
      <x v="229"/>
    </i>
    <i r="2">
      <x v="235"/>
    </i>
    <i t="blank">
      <x v="136"/>
    </i>
    <i>
      <x v="137"/>
    </i>
    <i r="1">
      <x/>
      <x v="195"/>
    </i>
    <i r="2">
      <x v="196"/>
    </i>
    <i r="1">
      <x v="2"/>
      <x v="19"/>
    </i>
    <i r="2">
      <x v="142"/>
    </i>
    <i r="2">
      <x v="146"/>
    </i>
    <i r="2">
      <x v="185"/>
    </i>
    <i r="2">
      <x v="189"/>
    </i>
    <i r="1">
      <x v="7"/>
      <x v="6"/>
    </i>
    <i r="2">
      <x v="12"/>
    </i>
    <i r="2">
      <x v="14"/>
    </i>
    <i r="2">
      <x v="17"/>
    </i>
    <i r="2">
      <x v="133"/>
    </i>
    <i r="2">
      <x v="135"/>
    </i>
    <i r="2">
      <x v="143"/>
    </i>
    <i r="2">
      <x v="156"/>
    </i>
    <i r="2">
      <x v="174"/>
    </i>
    <i r="2">
      <x v="180"/>
    </i>
    <i r="2">
      <x v="190"/>
    </i>
    <i r="2">
      <x v="221"/>
    </i>
    <i r="2">
      <x v="226"/>
    </i>
    <i t="blank">
      <x v="137"/>
    </i>
    <i>
      <x v="138"/>
    </i>
    <i r="1">
      <x/>
      <x v="41"/>
    </i>
    <i r="1">
      <x v="1"/>
      <x v="196"/>
    </i>
    <i r="2">
      <x v="235"/>
    </i>
    <i r="1">
      <x v="3"/>
      <x v="139"/>
    </i>
    <i r="2">
      <x v="146"/>
    </i>
    <i r="2">
      <x v="195"/>
    </i>
    <i r="2">
      <x v="210"/>
    </i>
    <i r="2">
      <x v="215"/>
    </i>
    <i r="1">
      <x v="8"/>
      <x v="124"/>
    </i>
    <i r="2">
      <x v="142"/>
    </i>
    <i r="1">
      <x v="10"/>
      <x v="38"/>
    </i>
    <i r="2">
      <x v="81"/>
    </i>
    <i r="2">
      <x v="120"/>
    </i>
    <i r="2">
      <x v="127"/>
    </i>
    <i r="2">
      <x v="137"/>
    </i>
    <i r="2">
      <x v="156"/>
    </i>
    <i r="2">
      <x v="220"/>
    </i>
    <i r="2">
      <x v="226"/>
    </i>
    <i r="1">
      <x v="18"/>
      <x v="3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3"/>
    </i>
    <i r="2">
      <x v="35"/>
    </i>
    <i r="2">
      <x v="42"/>
    </i>
    <i r="2">
      <x v="46"/>
    </i>
    <i r="2">
      <x v="49"/>
    </i>
    <i r="2">
      <x v="65"/>
    </i>
    <i r="2">
      <x v="75"/>
    </i>
    <i r="2">
      <x v="89"/>
    </i>
    <i r="2">
      <x v="96"/>
    </i>
    <i r="2">
      <x v="112"/>
    </i>
    <i r="2">
      <x v="122"/>
    </i>
    <i r="2">
      <x v="126"/>
    </i>
    <i r="2">
      <x v="132"/>
    </i>
    <i r="2">
      <x v="140"/>
    </i>
    <i r="2">
      <x v="143"/>
    </i>
    <i r="2">
      <x v="148"/>
    </i>
    <i r="2">
      <x v="160"/>
    </i>
    <i r="2">
      <x v="178"/>
    </i>
    <i r="2">
      <x v="184"/>
    </i>
    <i r="2">
      <x v="185"/>
    </i>
    <i r="2">
      <x v="188"/>
    </i>
    <i r="2">
      <x v="189"/>
    </i>
    <i r="2">
      <x v="206"/>
    </i>
    <i r="2">
      <x v="209"/>
    </i>
    <i r="2">
      <x v="214"/>
    </i>
    <i r="2">
      <x v="221"/>
    </i>
    <i r="2">
      <x v="222"/>
    </i>
    <i r="2">
      <x v="227"/>
    </i>
    <i t="blank">
      <x v="138"/>
    </i>
    <i>
      <x v="139"/>
    </i>
    <i r="1">
      <x/>
      <x v="196"/>
    </i>
    <i r="1">
      <x v="1"/>
      <x v="143"/>
    </i>
    <i r="2">
      <x v="156"/>
    </i>
    <i r="1">
      <x v="3"/>
      <x v="180"/>
    </i>
    <i r="2">
      <x v="195"/>
    </i>
    <i r="2">
      <x v="219"/>
    </i>
    <i r="1">
      <x v="6"/>
      <x v="132"/>
    </i>
    <i r="2">
      <x v="142"/>
    </i>
    <i r="2">
      <x v="226"/>
    </i>
    <i r="1">
      <x v="9"/>
      <x v="14"/>
    </i>
    <i r="2">
      <x v="19"/>
    </i>
    <i r="2">
      <x v="124"/>
    </i>
    <i r="2">
      <x v="133"/>
    </i>
    <i r="2">
      <x v="141"/>
    </i>
    <i r="2">
      <x v="189"/>
    </i>
    <i r="2">
      <x v="193"/>
    </i>
    <i r="1">
      <x v="16"/>
      <x v="4"/>
    </i>
    <i r="2">
      <x v="6"/>
    </i>
    <i r="2">
      <x v="8"/>
    </i>
    <i r="2">
      <x v="17"/>
    </i>
    <i r="2">
      <x v="22"/>
    </i>
    <i r="2">
      <x v="23"/>
    </i>
    <i r="2">
      <x v="106"/>
    </i>
    <i r="2">
      <x v="131"/>
    </i>
    <i r="2">
      <x v="140"/>
    </i>
    <i r="2">
      <x v="146"/>
    </i>
    <i r="2">
      <x v="160"/>
    </i>
    <i r="2">
      <x v="184"/>
    </i>
    <i r="2">
      <x v="188"/>
    </i>
    <i r="2">
      <x v="210"/>
    </i>
    <i r="2">
      <x v="214"/>
    </i>
    <i r="2">
      <x v="215"/>
    </i>
    <i r="2">
      <x v="220"/>
    </i>
    <i r="2">
      <x v="227"/>
    </i>
    <i r="2">
      <x v="229"/>
    </i>
    <i t="blank">
      <x v="139"/>
    </i>
    <i>
      <x v="140"/>
    </i>
    <i r="1">
      <x/>
      <x v="196"/>
    </i>
    <i r="1">
      <x v="1"/>
      <x v="195"/>
    </i>
    <i r="1">
      <x v="2"/>
      <x v="189"/>
    </i>
    <i r="1">
      <x v="3"/>
      <x v="146"/>
    </i>
    <i r="1">
      <x v="4"/>
      <x v="215"/>
    </i>
    <i r="1">
      <x v="5"/>
      <x v="156"/>
    </i>
    <i r="2">
      <x v="188"/>
    </i>
    <i r="1">
      <x v="7"/>
      <x v="194"/>
    </i>
    <i r="1">
      <x v="8"/>
      <x v="4"/>
    </i>
    <i r="2">
      <x v="185"/>
    </i>
    <i r="1">
      <x v="10"/>
      <x v="19"/>
    </i>
    <i r="2">
      <x v="135"/>
    </i>
    <i r="1">
      <x v="12"/>
      <x v="184"/>
    </i>
    <i r="2">
      <x v="214"/>
    </i>
    <i r="2">
      <x v="226"/>
    </i>
    <i r="1">
      <x v="15"/>
      <x v="6"/>
    </i>
    <i r="2">
      <x v="14"/>
    </i>
    <i r="2">
      <x v="142"/>
    </i>
    <i r="2">
      <x v="212"/>
    </i>
    <i r="1">
      <x v="19"/>
      <x v="17"/>
    </i>
    <i r="2">
      <x v="140"/>
    </i>
    <i r="2">
      <x v="155"/>
    </i>
    <i r="2">
      <x v="180"/>
    </i>
    <i t="blank">
      <x v="140"/>
    </i>
    <i>
      <x v="141"/>
    </i>
    <i r="1">
      <x/>
      <x v="196"/>
    </i>
    <i r="1">
      <x v="1"/>
      <x v="195"/>
    </i>
    <i r="1">
      <x v="2"/>
      <x v="142"/>
    </i>
    <i r="1">
      <x v="3"/>
      <x v="215"/>
    </i>
    <i r="1">
      <x v="4"/>
      <x v="133"/>
    </i>
    <i r="2">
      <x v="146"/>
    </i>
    <i r="2">
      <x v="184"/>
    </i>
    <i r="1">
      <x v="7"/>
      <x v="7"/>
    </i>
    <i r="2">
      <x v="185"/>
    </i>
    <i r="2">
      <x v="193"/>
    </i>
    <i r="1">
      <x v="10"/>
      <x v="4"/>
    </i>
    <i r="2">
      <x v="17"/>
    </i>
    <i r="2">
      <x v="46"/>
    </i>
    <i r="2">
      <x v="122"/>
    </i>
    <i r="2">
      <x v="124"/>
    </i>
    <i r="2">
      <x v="132"/>
    </i>
    <i r="2">
      <x v="154"/>
    </i>
    <i r="2">
      <x v="180"/>
    </i>
    <i r="2">
      <x v="188"/>
    </i>
    <i r="2">
      <x v="206"/>
    </i>
    <i t="blank">
      <x v="141"/>
    </i>
    <i>
      <x v="142"/>
    </i>
    <i r="1">
      <x/>
      <x v="196"/>
    </i>
    <i r="1">
      <x v="1"/>
      <x v="124"/>
    </i>
    <i r="2">
      <x v="137"/>
    </i>
    <i r="2">
      <x v="210"/>
    </i>
    <i r="1">
      <x v="4"/>
      <x v="6"/>
    </i>
    <i r="2">
      <x v="180"/>
    </i>
    <i r="2">
      <x v="185"/>
    </i>
    <i r="2">
      <x v="203"/>
    </i>
    <i r="1">
      <x v="8"/>
      <x v="13"/>
    </i>
    <i r="2">
      <x v="38"/>
    </i>
    <i r="2">
      <x v="46"/>
    </i>
    <i r="2">
      <x v="127"/>
    </i>
    <i r="2">
      <x v="133"/>
    </i>
    <i r="2">
      <x v="143"/>
    </i>
    <i r="2">
      <x v="156"/>
    </i>
    <i r="2">
      <x v="189"/>
    </i>
    <i r="2">
      <x v="194"/>
    </i>
    <i r="2">
      <x v="195"/>
    </i>
    <i r="2">
      <x v="202"/>
    </i>
    <i r="2">
      <x v="220"/>
    </i>
    <i t="blank">
      <x v="142"/>
    </i>
    <i>
      <x v="143"/>
    </i>
    <i r="1">
      <x/>
      <x v="195"/>
    </i>
    <i r="2">
      <x v="196"/>
    </i>
    <i r="1">
      <x v="2"/>
      <x v="35"/>
    </i>
    <i r="2">
      <x v="185"/>
    </i>
    <i r="2">
      <x v="212"/>
    </i>
    <i r="1">
      <x v="5"/>
      <x v="22"/>
    </i>
    <i r="2">
      <x v="106"/>
    </i>
    <i r="2">
      <x v="124"/>
    </i>
    <i r="2">
      <x v="189"/>
    </i>
    <i r="1">
      <x v="9"/>
      <x v="4"/>
    </i>
    <i r="2">
      <x v="6"/>
    </i>
    <i r="2">
      <x v="72"/>
    </i>
    <i r="2">
      <x v="107"/>
    </i>
    <i r="2">
      <x v="132"/>
    </i>
    <i r="2">
      <x v="142"/>
    </i>
    <i r="2">
      <x v="146"/>
    </i>
    <i r="2">
      <x v="147"/>
    </i>
    <i r="2">
      <x v="180"/>
    </i>
    <i r="2">
      <x v="184"/>
    </i>
    <i r="2">
      <x v="223"/>
    </i>
    <i r="2">
      <x v="227"/>
    </i>
    <i t="blank">
      <x v="143"/>
    </i>
    <i>
      <x v="144"/>
    </i>
    <i r="1">
      <x/>
      <x v="193"/>
    </i>
    <i r="2">
      <x v="206"/>
    </i>
    <i r="2">
      <x v="207"/>
    </i>
    <i r="1">
      <x v="3"/>
      <x v="133"/>
    </i>
    <i r="2">
      <x v="142"/>
    </i>
    <i r="2">
      <x v="190"/>
    </i>
    <i r="2">
      <x v="195"/>
    </i>
    <i r="2">
      <x v="220"/>
    </i>
    <i r="1">
      <x v="8"/>
      <x v="13"/>
    </i>
    <i r="2">
      <x v="17"/>
    </i>
    <i r="2">
      <x v="19"/>
    </i>
    <i r="2">
      <x v="22"/>
    </i>
    <i r="2">
      <x v="42"/>
    </i>
    <i r="2">
      <x v="80"/>
    </i>
    <i r="2">
      <x v="81"/>
    </i>
    <i r="2">
      <x v="85"/>
    </i>
    <i r="2">
      <x v="104"/>
    </i>
    <i r="2">
      <x v="109"/>
    </i>
    <i r="2">
      <x v="124"/>
    </i>
    <i r="2">
      <x v="131"/>
    </i>
    <i r="2">
      <x v="138"/>
    </i>
    <i r="2">
      <x v="143"/>
    </i>
    <i r="2">
      <x v="169"/>
    </i>
    <i r="2">
      <x v="174"/>
    </i>
    <i r="2">
      <x v="180"/>
    </i>
    <i r="2">
      <x v="188"/>
    </i>
    <i r="2">
      <x v="210"/>
    </i>
    <i r="2">
      <x v="212"/>
    </i>
    <i r="2">
      <x v="214"/>
    </i>
    <i r="2">
      <x v="223"/>
    </i>
    <i r="2">
      <x v="236"/>
    </i>
    <i t="blank">
      <x v="144"/>
    </i>
    <i>
      <x v="145"/>
    </i>
    <i r="1">
      <x/>
      <x v="189"/>
    </i>
    <i r="1">
      <x v="1"/>
      <x v="196"/>
    </i>
    <i r="1">
      <x v="2"/>
      <x v="195"/>
    </i>
    <i r="1">
      <x v="3"/>
      <x v="23"/>
    </i>
    <i r="2">
      <x v="142"/>
    </i>
    <i r="2">
      <x v="185"/>
    </i>
    <i r="2">
      <x v="188"/>
    </i>
    <i r="2">
      <x v="226"/>
    </i>
    <i r="1">
      <x v="8"/>
      <x v="72"/>
    </i>
    <i r="2">
      <x v="140"/>
    </i>
    <i r="2">
      <x v="184"/>
    </i>
    <i r="1">
      <x v="11"/>
      <x v="7"/>
    </i>
    <i r="2">
      <x v="9"/>
    </i>
    <i r="2">
      <x v="14"/>
    </i>
    <i r="2">
      <x v="106"/>
    </i>
    <i r="2">
      <x v="124"/>
    </i>
    <i r="2">
      <x v="128"/>
    </i>
    <i r="2">
      <x v="132"/>
    </i>
    <i r="2">
      <x v="135"/>
    </i>
    <i r="2">
      <x v="137"/>
    </i>
    <i r="2">
      <x v="143"/>
    </i>
    <i r="2">
      <x v="180"/>
    </i>
    <i r="2">
      <x v="186"/>
    </i>
    <i r="2">
      <x v="193"/>
    </i>
    <i r="2">
      <x v="215"/>
    </i>
    <i r="2">
      <x v="227"/>
    </i>
    <i t="blank">
      <x v="145"/>
    </i>
    <i>
      <x v="146"/>
    </i>
    <i r="1">
      <x/>
      <x v="185"/>
    </i>
    <i r="1">
      <x v="1"/>
      <x v="195"/>
    </i>
    <i r="2">
      <x v="196"/>
    </i>
    <i r="1">
      <x v="3"/>
      <x v="4"/>
    </i>
    <i r="1">
      <x v="4"/>
      <x v="6"/>
    </i>
    <i r="2">
      <x v="142"/>
    </i>
    <i r="2">
      <x v="188"/>
    </i>
    <i r="2">
      <x v="235"/>
    </i>
    <i r="1">
      <x v="8"/>
      <x v="226"/>
    </i>
    <i r="1">
      <x v="9"/>
      <x v="133"/>
    </i>
    <i r="2">
      <x v="179"/>
    </i>
    <i r="2">
      <x v="189"/>
    </i>
    <i r="2">
      <x v="212"/>
    </i>
    <i r="1">
      <x v="13"/>
      <x v="14"/>
    </i>
    <i r="2">
      <x v="23"/>
    </i>
    <i r="2">
      <x v="108"/>
    </i>
    <i r="2">
      <x v="132"/>
    </i>
    <i r="2">
      <x v="137"/>
    </i>
    <i r="2">
      <x v="193"/>
    </i>
    <i r="1">
      <x v="19"/>
      <x v="7"/>
    </i>
    <i r="2">
      <x v="17"/>
    </i>
    <i r="2">
      <x v="19"/>
    </i>
    <i r="2">
      <x v="22"/>
    </i>
    <i r="2">
      <x v="81"/>
    </i>
    <i r="2">
      <x v="95"/>
    </i>
    <i r="2">
      <x v="106"/>
    </i>
    <i r="2">
      <x v="107"/>
    </i>
    <i r="2">
      <x v="113"/>
    </i>
    <i r="2">
      <x v="124"/>
    </i>
    <i r="2">
      <x v="131"/>
    </i>
    <i r="2">
      <x v="135"/>
    </i>
    <i r="2">
      <x v="139"/>
    </i>
    <i r="2">
      <x v="140"/>
    </i>
    <i r="2">
      <x v="155"/>
    </i>
    <i r="2">
      <x v="178"/>
    </i>
    <i r="2">
      <x v="181"/>
    </i>
    <i r="2">
      <x v="190"/>
    </i>
    <i r="2">
      <x v="194"/>
    </i>
    <i r="2">
      <x v="214"/>
    </i>
    <i t="blank">
      <x v="146"/>
    </i>
    <i>
      <x v="147"/>
    </i>
    <i r="1">
      <x/>
      <x v="142"/>
    </i>
    <i r="1">
      <x v="1"/>
      <x v="156"/>
    </i>
    <i r="1">
      <x v="2"/>
      <x v="188"/>
    </i>
    <i r="2">
      <x v="196"/>
    </i>
    <i r="1">
      <x v="4"/>
      <x v="7"/>
    </i>
    <i r="2">
      <x v="14"/>
    </i>
    <i r="2">
      <x v="24"/>
    </i>
    <i r="2">
      <x v="193"/>
    </i>
    <i r="2">
      <x v="195"/>
    </i>
    <i r="1">
      <x v="9"/>
      <x v="51"/>
    </i>
    <i r="2">
      <x v="132"/>
    </i>
    <i r="2">
      <x v="133"/>
    </i>
    <i r="2">
      <x v="135"/>
    </i>
    <i r="2">
      <x v="143"/>
    </i>
    <i r="2">
      <x v="175"/>
    </i>
    <i r="2">
      <x v="206"/>
    </i>
    <i r="1">
      <x v="16"/>
      <x v="6"/>
    </i>
    <i r="2">
      <x v="23"/>
    </i>
    <i r="2">
      <x v="28"/>
    </i>
    <i r="2">
      <x v="108"/>
    </i>
    <i r="2">
      <x v="147"/>
    </i>
    <i r="2">
      <x v="184"/>
    </i>
    <i r="2">
      <x v="185"/>
    </i>
    <i r="2">
      <x v="189"/>
    </i>
    <i r="2">
      <x v="212"/>
    </i>
    <i r="2">
      <x v="226"/>
    </i>
    <i t="blank">
      <x v="147"/>
    </i>
    <i>
      <x v="148"/>
    </i>
    <i r="1">
      <x/>
      <x v="146"/>
    </i>
    <i r="2">
      <x v="156"/>
    </i>
    <i r="1">
      <x v="2"/>
      <x v="180"/>
    </i>
    <i r="2">
      <x v="185"/>
    </i>
    <i r="1">
      <x v="4"/>
      <x v="196"/>
    </i>
    <i r="2">
      <x v="220"/>
    </i>
    <i r="1">
      <x v="6"/>
      <x v="6"/>
    </i>
    <i r="2">
      <x v="19"/>
    </i>
    <i r="2">
      <x v="128"/>
    </i>
    <i r="2">
      <x v="132"/>
    </i>
    <i r="2">
      <x v="133"/>
    </i>
    <i r="2">
      <x v="142"/>
    </i>
    <i r="2">
      <x v="143"/>
    </i>
    <i r="2">
      <x v="195"/>
    </i>
    <i r="2">
      <x v="227"/>
    </i>
    <i r="2">
      <x v="235"/>
    </i>
    <i r="1">
      <x v="16"/>
      <x v="14"/>
    </i>
    <i r="2">
      <x v="17"/>
    </i>
    <i r="2">
      <x v="31"/>
    </i>
    <i r="2">
      <x v="33"/>
    </i>
    <i r="2">
      <x v="37"/>
    </i>
    <i r="2">
      <x v="38"/>
    </i>
    <i r="2">
      <x v="57"/>
    </i>
    <i r="2">
      <x v="58"/>
    </i>
    <i r="2">
      <x v="82"/>
    </i>
    <i r="2">
      <x v="95"/>
    </i>
    <i r="2">
      <x v="106"/>
    </i>
    <i r="2">
      <x v="109"/>
    </i>
    <i r="2">
      <x v="124"/>
    </i>
    <i r="2">
      <x v="127"/>
    </i>
    <i r="2">
      <x v="129"/>
    </i>
    <i r="2">
      <x v="144"/>
    </i>
    <i r="2">
      <x v="149"/>
    </i>
    <i r="2">
      <x v="152"/>
    </i>
    <i r="2">
      <x v="155"/>
    </i>
    <i r="2">
      <x v="162"/>
    </i>
    <i r="2">
      <x v="163"/>
    </i>
    <i r="2">
      <x v="169"/>
    </i>
    <i r="2">
      <x v="179"/>
    </i>
    <i r="2">
      <x v="186"/>
    </i>
    <i r="2">
      <x v="187"/>
    </i>
    <i r="2">
      <x v="188"/>
    </i>
    <i r="2">
      <x v="190"/>
    </i>
    <i r="2">
      <x v="193"/>
    </i>
    <i r="2">
      <x v="203"/>
    </i>
    <i r="2">
      <x v="210"/>
    </i>
    <i r="2">
      <x v="212"/>
    </i>
    <i r="2">
      <x v="214"/>
    </i>
    <i r="2">
      <x v="222"/>
    </i>
    <i r="2">
      <x v="226"/>
    </i>
    <i t="blank">
      <x v="148"/>
    </i>
    <i>
      <x v="149"/>
    </i>
    <i r="1">
      <x/>
      <x v="196"/>
    </i>
    <i r="1">
      <x v="1"/>
      <x v="195"/>
    </i>
    <i r="1">
      <x v="2"/>
      <x v="185"/>
    </i>
    <i r="1">
      <x v="3"/>
      <x v="189"/>
    </i>
    <i r="1">
      <x v="4"/>
      <x v="23"/>
    </i>
    <i r="1">
      <x v="5"/>
      <x v="226"/>
    </i>
    <i r="1">
      <x v="6"/>
      <x v="156"/>
    </i>
    <i r="1">
      <x v="7"/>
      <x v="133"/>
    </i>
    <i r="1">
      <x v="8"/>
      <x v="4"/>
    </i>
    <i r="2">
      <x v="7"/>
    </i>
    <i r="2">
      <x v="108"/>
    </i>
    <i r="2">
      <x v="180"/>
    </i>
    <i r="1">
      <x v="12"/>
      <x v="17"/>
    </i>
    <i r="2">
      <x v="132"/>
    </i>
    <i r="2">
      <x v="142"/>
    </i>
    <i r="2">
      <x v="190"/>
    </i>
    <i r="1">
      <x v="16"/>
      <x v="58"/>
    </i>
    <i r="2">
      <x v="135"/>
    </i>
    <i r="2">
      <x v="184"/>
    </i>
    <i r="2">
      <x v="215"/>
    </i>
    <i r="2">
      <x v="219"/>
    </i>
    <i t="blank">
      <x v="149"/>
    </i>
    <i>
      <x v="150"/>
    </i>
    <i r="1">
      <x/>
      <x v="4"/>
    </i>
    <i r="2">
      <x v="133"/>
    </i>
    <i r="1">
      <x v="2"/>
      <x v="156"/>
    </i>
    <i r="2">
      <x v="188"/>
    </i>
    <i r="2">
      <x v="190"/>
    </i>
    <i r="2">
      <x v="196"/>
    </i>
    <i r="1">
      <x v="6"/>
      <x v="7"/>
    </i>
    <i r="2">
      <x v="184"/>
    </i>
    <i r="2">
      <x v="215"/>
    </i>
    <i r="2">
      <x v="226"/>
    </i>
    <i r="1">
      <x v="10"/>
      <x/>
    </i>
    <i r="2">
      <x v="82"/>
    </i>
    <i r="2">
      <x v="140"/>
    </i>
    <i r="2">
      <x v="146"/>
    </i>
    <i r="2">
      <x v="179"/>
    </i>
    <i r="2">
      <x v="180"/>
    </i>
    <i r="2">
      <x v="189"/>
    </i>
    <i r="2">
      <x v="195"/>
    </i>
    <i r="2">
      <x v="219"/>
    </i>
    <i r="2">
      <x v="220"/>
    </i>
    <i t="blank">
      <x v="150"/>
    </i>
    <i>
      <x v="151"/>
    </i>
    <i r="1">
      <x/>
      <x v="189"/>
    </i>
    <i r="1">
      <x v="1"/>
      <x v="196"/>
    </i>
    <i r="1">
      <x v="2"/>
      <x v="156"/>
    </i>
    <i r="1">
      <x v="3"/>
      <x v="188"/>
    </i>
    <i r="1">
      <x v="4"/>
      <x v="184"/>
    </i>
    <i r="1">
      <x v="5"/>
      <x v="190"/>
    </i>
    <i r="2">
      <x v="193"/>
    </i>
    <i r="1">
      <x v="7"/>
      <x v="195"/>
    </i>
    <i r="1">
      <x v="8"/>
      <x v="132"/>
    </i>
    <i r="1">
      <x v="9"/>
      <x v="185"/>
    </i>
    <i r="1">
      <x v="10"/>
      <x v="131"/>
    </i>
    <i r="1">
      <x v="11"/>
      <x v="7"/>
    </i>
    <i r="2">
      <x v="133"/>
    </i>
    <i r="2">
      <x v="140"/>
    </i>
    <i r="2">
      <x v="142"/>
    </i>
    <i r="2">
      <x v="180"/>
    </i>
    <i r="2">
      <x v="210"/>
    </i>
    <i r="1">
      <x v="17"/>
      <x v="14"/>
    </i>
    <i r="2">
      <x v="19"/>
    </i>
    <i r="2">
      <x v="30"/>
    </i>
    <i r="2">
      <x v="124"/>
    </i>
    <i r="2">
      <x v="146"/>
    </i>
    <i r="2">
      <x v="155"/>
    </i>
    <i r="2">
      <x v="215"/>
    </i>
    <i t="blank">
      <x v="151"/>
    </i>
    <i>
      <x v="152"/>
    </i>
    <i r="1">
      <x/>
      <x v="4"/>
    </i>
    <i r="1">
      <x v="1"/>
      <x v="195"/>
    </i>
    <i r="1">
      <x v="2"/>
      <x v="142"/>
    </i>
    <i r="2">
      <x v="226"/>
    </i>
    <i r="1">
      <x v="4"/>
      <x v="132"/>
    </i>
    <i r="2">
      <x v="133"/>
    </i>
    <i r="2">
      <x v="185"/>
    </i>
    <i r="2">
      <x v="189"/>
    </i>
    <i r="1">
      <x v="8"/>
      <x v="17"/>
    </i>
    <i r="2">
      <x v="196"/>
    </i>
    <i r="1">
      <x v="10"/>
      <x v="22"/>
    </i>
    <i r="2">
      <x v="184"/>
    </i>
    <i r="2">
      <x v="188"/>
    </i>
    <i r="2">
      <x v="210"/>
    </i>
    <i r="2">
      <x v="212"/>
    </i>
    <i r="2">
      <x v="215"/>
    </i>
    <i r="1">
      <x v="16"/>
      <x v="7"/>
    </i>
    <i r="2">
      <x v="135"/>
    </i>
    <i r="2">
      <x v="141"/>
    </i>
    <i r="2">
      <x v="143"/>
    </i>
    <i r="2">
      <x v="156"/>
    </i>
    <i r="2">
      <x v="193"/>
    </i>
    <i r="2">
      <x v="221"/>
    </i>
    <i t="blank">
      <x v="152"/>
    </i>
    <i>
      <x v="153"/>
    </i>
    <i r="1">
      <x/>
      <x v="156"/>
    </i>
    <i r="1">
      <x v="1"/>
      <x v="188"/>
    </i>
    <i r="2">
      <x v="189"/>
    </i>
    <i r="1">
      <x v="3"/>
      <x v="4"/>
    </i>
    <i r="1">
      <x v="4"/>
      <x v="195"/>
    </i>
    <i r="2">
      <x v="196"/>
    </i>
    <i r="1">
      <x v="6"/>
      <x v="14"/>
    </i>
    <i r="2">
      <x v="185"/>
    </i>
    <i r="2">
      <x v="193"/>
    </i>
    <i r="1">
      <x v="9"/>
      <x v="6"/>
    </i>
    <i r="2">
      <x v="7"/>
    </i>
    <i r="2">
      <x v="16"/>
    </i>
    <i r="2">
      <x v="23"/>
    </i>
    <i r="2">
      <x v="38"/>
    </i>
    <i r="2">
      <x v="120"/>
    </i>
    <i r="2">
      <x v="135"/>
    </i>
    <i r="2">
      <x v="187"/>
    </i>
    <i r="2">
      <x v="235"/>
    </i>
    <i r="1">
      <x v="18"/>
      <x v="17"/>
    </i>
    <i r="2">
      <x v="19"/>
    </i>
    <i r="2">
      <x v="124"/>
    </i>
    <i r="2">
      <x v="131"/>
    </i>
    <i r="2">
      <x v="132"/>
    </i>
    <i r="2">
      <x v="133"/>
    </i>
    <i r="2">
      <x v="142"/>
    </i>
    <i r="2">
      <x v="149"/>
    </i>
    <i r="2">
      <x v="184"/>
    </i>
    <i r="2">
      <x v="190"/>
    </i>
    <i r="2">
      <x v="214"/>
    </i>
    <i r="2">
      <x v="220"/>
    </i>
    <i t="blank">
      <x v="153"/>
    </i>
    <i>
      <x v="154"/>
    </i>
    <i r="1">
      <x/>
      <x v="196"/>
    </i>
    <i r="1">
      <x v="1"/>
      <x v="185"/>
    </i>
    <i r="2">
      <x v="195"/>
    </i>
    <i r="1">
      <x v="3"/>
      <x v="142"/>
    </i>
    <i r="2">
      <x v="180"/>
    </i>
    <i r="2">
      <x v="189"/>
    </i>
    <i r="1">
      <x v="6"/>
      <x v="17"/>
    </i>
    <i r="1">
      <x v="7"/>
      <x v="4"/>
    </i>
    <i r="2">
      <x v="184"/>
    </i>
    <i r="2">
      <x v="226"/>
    </i>
    <i r="1">
      <x v="10"/>
      <x v="131"/>
    </i>
    <i r="2">
      <x v="146"/>
    </i>
    <i r="2">
      <x v="156"/>
    </i>
    <i r="1">
      <x v="13"/>
      <x v="188"/>
    </i>
    <i r="2">
      <x v="205"/>
    </i>
    <i r="2">
      <x v="212"/>
    </i>
    <i r="2">
      <x v="219"/>
    </i>
    <i r="1">
      <x v="17"/>
      <x v="19"/>
    </i>
    <i r="2">
      <x v="23"/>
    </i>
    <i r="2">
      <x v="98"/>
    </i>
    <i r="2">
      <x v="135"/>
    </i>
    <i r="2">
      <x v="137"/>
    </i>
    <i r="2">
      <x v="141"/>
    </i>
    <i r="2">
      <x v="187"/>
    </i>
    <i r="2">
      <x v="214"/>
    </i>
    <i r="2">
      <x v="220"/>
    </i>
    <i t="blank">
      <x v="154"/>
    </i>
    <i>
      <x v="155"/>
    </i>
    <i r="1">
      <x/>
      <x v="4"/>
    </i>
    <i r="1">
      <x v="1"/>
      <x v="195"/>
    </i>
    <i r="1">
      <x v="2"/>
      <x v="142"/>
    </i>
    <i r="2">
      <x v="196"/>
    </i>
    <i r="1">
      <x v="4"/>
      <x v="184"/>
    </i>
    <i r="2">
      <x v="226"/>
    </i>
    <i r="1">
      <x v="6"/>
      <x v="127"/>
    </i>
    <i r="2">
      <x v="135"/>
    </i>
    <i r="2">
      <x v="141"/>
    </i>
    <i r="2">
      <x v="146"/>
    </i>
    <i r="2">
      <x v="181"/>
    </i>
    <i r="2">
      <x v="185"/>
    </i>
    <i r="2">
      <x v="219"/>
    </i>
    <i r="1">
      <x v="13"/>
      <x v="120"/>
    </i>
    <i r="2">
      <x v="143"/>
    </i>
    <i r="2">
      <x v="156"/>
    </i>
    <i r="2">
      <x v="210"/>
    </i>
    <i r="2">
      <x v="214"/>
    </i>
    <i r="1">
      <x v="18"/>
      <x/>
    </i>
    <i r="2">
      <x v="10"/>
    </i>
    <i r="2">
      <x v="14"/>
    </i>
    <i r="2">
      <x v="19"/>
    </i>
    <i r="2">
      <x v="60"/>
    </i>
    <i r="2">
      <x v="95"/>
    </i>
    <i r="2">
      <x v="128"/>
    </i>
    <i r="2">
      <x v="137"/>
    </i>
    <i r="2">
      <x v="140"/>
    </i>
    <i r="2">
      <x v="160"/>
    </i>
    <i r="2">
      <x v="179"/>
    </i>
    <i r="2">
      <x v="187"/>
    </i>
    <i r="2">
      <x v="189"/>
    </i>
    <i r="2">
      <x v="193"/>
    </i>
    <i r="2">
      <x v="222"/>
    </i>
    <i t="blank">
      <x v="155"/>
    </i>
    <i>
      <x v="156"/>
    </i>
    <i r="1">
      <x/>
      <x v="156"/>
    </i>
    <i r="1">
      <x v="1"/>
      <x v="174"/>
    </i>
    <i r="2">
      <x v="196"/>
    </i>
    <i r="1">
      <x v="3"/>
      <x v="4"/>
    </i>
    <i r="1">
      <x v="4"/>
      <x v="6"/>
    </i>
    <i r="2">
      <x v="7"/>
    </i>
    <i r="2">
      <x v="14"/>
    </i>
    <i r="2">
      <x v="17"/>
    </i>
    <i r="2">
      <x v="142"/>
    </i>
    <i r="2">
      <x v="185"/>
    </i>
    <i r="2">
      <x v="195"/>
    </i>
    <i r="1">
      <x v="11"/>
      <x v="19"/>
    </i>
    <i r="2">
      <x v="106"/>
    </i>
    <i r="2">
      <x v="130"/>
    </i>
    <i r="2">
      <x v="133"/>
    </i>
    <i r="2">
      <x v="137"/>
    </i>
    <i r="2">
      <x v="146"/>
    </i>
    <i r="2">
      <x v="188"/>
    </i>
    <i r="2">
      <x v="212"/>
    </i>
    <i r="2">
      <x v="215"/>
    </i>
    <i t="blank">
      <x v="156"/>
    </i>
    <i>
      <x v="157"/>
    </i>
    <i r="1">
      <x/>
      <x v="196"/>
    </i>
    <i r="1">
      <x v="1"/>
      <x v="189"/>
    </i>
    <i r="1">
      <x v="2"/>
      <x v="156"/>
    </i>
    <i r="1">
      <x v="3"/>
      <x v="185"/>
    </i>
    <i r="1">
      <x v="4"/>
      <x v="221"/>
    </i>
    <i r="1">
      <x v="5"/>
      <x v="195"/>
    </i>
    <i r="1">
      <x v="6"/>
      <x v="23"/>
    </i>
    <i r="1">
      <x v="7"/>
      <x v="133"/>
    </i>
    <i r="1">
      <x v="8"/>
      <x v="4"/>
    </i>
    <i r="2">
      <x v="135"/>
    </i>
    <i r="2">
      <x v="146"/>
    </i>
    <i r="2">
      <x v="184"/>
    </i>
    <i r="1">
      <x v="12"/>
      <x v="7"/>
    </i>
    <i r="2">
      <x v="188"/>
    </i>
    <i r="2">
      <x v="215"/>
    </i>
    <i r="1">
      <x v="15"/>
      <x v="130"/>
    </i>
    <i r="2">
      <x v="193"/>
    </i>
    <i r="1">
      <x v="17"/>
      <x v="13"/>
    </i>
    <i r="2">
      <x v="19"/>
    </i>
    <i r="2">
      <x v="128"/>
    </i>
    <i r="2">
      <x v="142"/>
    </i>
    <i r="2">
      <x v="203"/>
    </i>
    <i r="2">
      <x v="209"/>
    </i>
    <i r="2">
      <x v="212"/>
    </i>
    <i r="2">
      <x v="236"/>
    </i>
    <i t="blank">
      <x v="157"/>
    </i>
    <i>
      <x v="158"/>
    </i>
    <i r="1">
      <x/>
      <x v="156"/>
    </i>
    <i r="1">
      <x v="1"/>
      <x v="196"/>
    </i>
    <i r="1">
      <x v="2"/>
      <x v="23"/>
    </i>
    <i r="1">
      <x v="3"/>
      <x v="142"/>
    </i>
    <i r="2">
      <x v="146"/>
    </i>
    <i r="2">
      <x v="189"/>
    </i>
    <i r="1">
      <x v="6"/>
      <x v="184"/>
    </i>
    <i r="2">
      <x v="188"/>
    </i>
    <i r="2">
      <x v="195"/>
    </i>
    <i r="1">
      <x v="9"/>
      <x v="122"/>
    </i>
    <i r="2">
      <x v="130"/>
    </i>
    <i r="2">
      <x v="137"/>
    </i>
    <i r="2">
      <x v="180"/>
    </i>
    <i r="2">
      <x v="185"/>
    </i>
    <i r="2">
      <x v="210"/>
    </i>
    <i r="2">
      <x v="226"/>
    </i>
    <i r="1">
      <x v="16"/>
      <x v="6"/>
    </i>
    <i r="2">
      <x v="7"/>
    </i>
    <i r="2">
      <x v="9"/>
    </i>
    <i r="2">
      <x v="17"/>
    </i>
    <i r="2">
      <x v="106"/>
    </i>
    <i r="2">
      <x v="135"/>
    </i>
    <i r="2">
      <x v="145"/>
    </i>
    <i r="2">
      <x v="147"/>
    </i>
    <i r="2">
      <x v="155"/>
    </i>
    <i r="2">
      <x v="212"/>
    </i>
    <i r="2">
      <x v="215"/>
    </i>
    <i r="2">
      <x v="219"/>
    </i>
    <i r="2">
      <x v="223"/>
    </i>
    <i t="blank">
      <x v="158"/>
    </i>
    <i>
      <x v="159"/>
    </i>
    <i r="1">
      <x/>
      <x v="180"/>
    </i>
    <i r="1">
      <x v="1"/>
      <x v="196"/>
    </i>
    <i r="1">
      <x v="2"/>
      <x v="23"/>
    </i>
    <i r="2">
      <x v="189"/>
    </i>
    <i r="1">
      <x v="4"/>
      <x v="185"/>
    </i>
    <i r="2">
      <x v="195"/>
    </i>
    <i r="1">
      <x v="6"/>
      <x v="7"/>
    </i>
    <i r="2">
      <x v="106"/>
    </i>
    <i r="2">
      <x v="133"/>
    </i>
    <i r="2">
      <x v="226"/>
    </i>
    <i r="1">
      <x v="10"/>
      <x v="137"/>
    </i>
    <i r="2">
      <x v="142"/>
    </i>
    <i r="2">
      <x v="220"/>
    </i>
    <i r="1">
      <x v="13"/>
      <x v="6"/>
    </i>
    <i r="2">
      <x v="13"/>
    </i>
    <i r="2">
      <x v="14"/>
    </i>
    <i r="2">
      <x v="120"/>
    </i>
    <i r="2">
      <x v="127"/>
    </i>
    <i r="2">
      <x v="146"/>
    </i>
    <i r="2">
      <x v="188"/>
    </i>
    <i r="2">
      <x v="215"/>
    </i>
    <i t="blank">
      <x v="159"/>
    </i>
    <i>
      <x v="160"/>
    </i>
    <i r="1">
      <x/>
      <x v="189"/>
    </i>
    <i r="1">
      <x v="1"/>
      <x v="156"/>
    </i>
    <i r="1">
      <x v="2"/>
      <x v="196"/>
    </i>
    <i r="1">
      <x v="3"/>
      <x v="195"/>
    </i>
    <i r="1">
      <x v="4"/>
      <x v="188"/>
    </i>
    <i r="1">
      <x v="5"/>
      <x v="146"/>
    </i>
    <i r="1">
      <x v="6"/>
      <x v="185"/>
    </i>
    <i r="1">
      <x v="7"/>
      <x v="155"/>
    </i>
    <i r="2">
      <x v="221"/>
    </i>
    <i r="1">
      <x v="9"/>
      <x v="4"/>
    </i>
    <i r="2">
      <x v="142"/>
    </i>
    <i r="1">
      <x v="11"/>
      <x v="6"/>
    </i>
    <i r="1">
      <x v="12"/>
      <x v="14"/>
    </i>
    <i r="2">
      <x v="23"/>
    </i>
    <i r="1">
      <x v="14"/>
      <x v="135"/>
    </i>
    <i r="2">
      <x v="137"/>
    </i>
    <i r="1">
      <x v="16"/>
      <x v="106"/>
    </i>
    <i r="2">
      <x v="133"/>
    </i>
    <i r="2">
      <x v="215"/>
    </i>
    <i r="1">
      <x v="19"/>
      <x v="132"/>
    </i>
    <i t="blank">
      <x v="160"/>
    </i>
    <i>
      <x v="161"/>
    </i>
    <i r="1">
      <x/>
      <x v="196"/>
    </i>
    <i r="1">
      <x v="1"/>
      <x v="156"/>
    </i>
    <i r="1">
      <x v="2"/>
      <x v="195"/>
    </i>
    <i r="1">
      <x v="3"/>
      <x v="4"/>
    </i>
    <i r="2">
      <x v="212"/>
    </i>
    <i r="2">
      <x v="215"/>
    </i>
    <i r="1">
      <x v="6"/>
      <x v="185"/>
    </i>
    <i r="1">
      <x v="7"/>
      <x v="7"/>
    </i>
    <i r="1">
      <x v="8"/>
      <x v="175"/>
    </i>
    <i r="1">
      <x v="9"/>
      <x v="14"/>
    </i>
    <i r="2">
      <x v="15"/>
    </i>
    <i r="1">
      <x v="11"/>
      <x v="211"/>
    </i>
    <i r="2">
      <x v="226"/>
    </i>
    <i r="1">
      <x v="13"/>
      <x v="135"/>
    </i>
    <i r="1">
      <x v="14"/>
      <x v="6"/>
    </i>
    <i r="2">
      <x v="17"/>
    </i>
    <i r="2">
      <x v="19"/>
    </i>
    <i r="2">
      <x v="146"/>
    </i>
    <i r="1">
      <x v="18"/>
      <x v="133"/>
    </i>
    <i r="2">
      <x v="140"/>
    </i>
    <i t="blank">
      <x v="161"/>
    </i>
    <i>
      <x v="162"/>
    </i>
    <i r="1">
      <x/>
      <x v="156"/>
    </i>
    <i r="1">
      <x v="1"/>
      <x v="4"/>
    </i>
    <i r="2">
      <x v="195"/>
    </i>
    <i r="1">
      <x v="3"/>
      <x v="6"/>
    </i>
    <i r="2">
      <x v="17"/>
    </i>
    <i r="2">
      <x v="141"/>
    </i>
    <i r="2">
      <x v="142"/>
    </i>
    <i r="2">
      <x v="185"/>
    </i>
    <i r="2">
      <x v="190"/>
    </i>
    <i r="2">
      <x v="196"/>
    </i>
    <i r="1">
      <x v="10"/>
      <x v="7"/>
    </i>
    <i r="2">
      <x v="9"/>
    </i>
    <i r="2">
      <x v="14"/>
    </i>
    <i r="2">
      <x v="137"/>
    </i>
    <i r="1">
      <x v="14"/>
      <x v="19"/>
    </i>
    <i r="2">
      <x v="65"/>
    </i>
    <i r="2">
      <x v="113"/>
    </i>
    <i r="2">
      <x v="127"/>
    </i>
    <i r="2">
      <x v="133"/>
    </i>
    <i r="2">
      <x v="135"/>
    </i>
    <i r="2">
      <x v="143"/>
    </i>
    <i r="2">
      <x v="147"/>
    </i>
    <i r="2">
      <x v="184"/>
    </i>
    <i r="2">
      <x v="187"/>
    </i>
    <i r="2">
      <x v="188"/>
    </i>
    <i r="2">
      <x v="189"/>
    </i>
    <i r="2">
      <x v="193"/>
    </i>
    <i r="2">
      <x v="194"/>
    </i>
    <i r="2">
      <x v="214"/>
    </i>
    <i r="2">
      <x v="227"/>
    </i>
    <i t="blank">
      <x v="162"/>
    </i>
    <i>
      <x v="163"/>
    </i>
    <i r="1">
      <x/>
      <x v="195"/>
    </i>
    <i r="1">
      <x v="1"/>
      <x v="196"/>
    </i>
    <i r="1">
      <x v="2"/>
      <x v="4"/>
    </i>
    <i r="2">
      <x v="6"/>
    </i>
    <i r="2">
      <x v="137"/>
    </i>
    <i r="2">
      <x v="190"/>
    </i>
    <i r="1">
      <x v="6"/>
      <x v="180"/>
    </i>
    <i r="2">
      <x v="185"/>
    </i>
    <i r="1">
      <x v="8"/>
      <x v="184"/>
    </i>
    <i r="1">
      <x v="9"/>
      <x v="131"/>
    </i>
    <i r="2">
      <x v="140"/>
    </i>
    <i r="2">
      <x v="189"/>
    </i>
    <i r="2">
      <x v="212"/>
    </i>
    <i r="2">
      <x v="215"/>
    </i>
    <i r="1">
      <x v="14"/>
      <x v="13"/>
    </i>
    <i r="2">
      <x v="17"/>
    </i>
    <i r="2">
      <x v="22"/>
    </i>
    <i r="2">
      <x v="42"/>
    </i>
    <i r="2">
      <x v="98"/>
    </i>
    <i r="2">
      <x v="106"/>
    </i>
    <i r="2">
      <x v="122"/>
    </i>
    <i r="2">
      <x v="142"/>
    </i>
    <i r="2">
      <x v="146"/>
    </i>
    <i r="2">
      <x v="168"/>
    </i>
    <i r="2">
      <x v="174"/>
    </i>
    <i r="2">
      <x v="181"/>
    </i>
    <i r="2">
      <x v="203"/>
    </i>
    <i r="2">
      <x v="207"/>
    </i>
    <i r="2">
      <x v="219"/>
    </i>
    <i r="2">
      <x v="223"/>
    </i>
    <i r="2">
      <x v="227"/>
    </i>
    <i t="blank">
      <x v="163"/>
    </i>
    <i>
      <x v="164"/>
    </i>
    <i r="1">
      <x/>
      <x v="196"/>
    </i>
    <i r="1">
      <x v="1"/>
      <x v="184"/>
    </i>
    <i r="1">
      <x v="2"/>
      <x v="185"/>
    </i>
    <i r="2">
      <x v="219"/>
    </i>
    <i r="1">
      <x v="4"/>
      <x v="132"/>
    </i>
    <i r="2">
      <x v="142"/>
    </i>
    <i r="2">
      <x v="212"/>
    </i>
    <i r="2">
      <x v="223"/>
    </i>
    <i r="1">
      <x v="8"/>
      <x v="22"/>
    </i>
    <i r="2">
      <x v="156"/>
    </i>
    <i r="2">
      <x v="206"/>
    </i>
    <i r="2">
      <x v="235"/>
    </i>
    <i r="1">
      <x v="12"/>
      <x v="7"/>
    </i>
    <i r="2">
      <x v="17"/>
    </i>
    <i r="2">
      <x v="195"/>
    </i>
    <i r="2">
      <x v="209"/>
    </i>
    <i r="2">
      <x v="210"/>
    </i>
    <i r="2">
      <x v="211"/>
    </i>
    <i r="1">
      <x v="18"/>
      <x v="128"/>
    </i>
    <i r="2">
      <x v="133"/>
    </i>
    <i r="2">
      <x v="135"/>
    </i>
    <i r="2">
      <x v="140"/>
    </i>
    <i r="2">
      <x v="180"/>
    </i>
    <i r="2">
      <x v="183"/>
    </i>
    <i r="2">
      <x v="188"/>
    </i>
    <i r="2">
      <x v="189"/>
    </i>
    <i r="2">
      <x v="193"/>
    </i>
    <i r="2">
      <x v="226"/>
    </i>
    <i t="blank">
      <x v="164"/>
    </i>
    <i>
      <x v="165"/>
    </i>
    <i r="1">
      <x/>
      <x v="189"/>
    </i>
    <i r="1">
      <x v="1"/>
      <x v="180"/>
    </i>
    <i r="1">
      <x v="2"/>
      <x v="184"/>
    </i>
    <i r="2">
      <x v="188"/>
    </i>
    <i r="2">
      <x v="195"/>
    </i>
    <i r="1">
      <x v="5"/>
      <x v="80"/>
    </i>
    <i r="2">
      <x v="132"/>
    </i>
    <i r="2">
      <x v="156"/>
    </i>
    <i r="1">
      <x v="8"/>
      <x v="6"/>
    </i>
    <i r="2">
      <x v="133"/>
    </i>
    <i r="2">
      <x v="142"/>
    </i>
    <i r="2">
      <x v="193"/>
    </i>
    <i r="2">
      <x v="196"/>
    </i>
    <i r="2">
      <x v="221"/>
    </i>
    <i r="2">
      <x v="226"/>
    </i>
    <i r="1">
      <x v="15"/>
      <x v="17"/>
    </i>
    <i r="2">
      <x v="124"/>
    </i>
    <i r="2">
      <x v="185"/>
    </i>
    <i r="2">
      <x v="190"/>
    </i>
    <i r="2">
      <x v="210"/>
    </i>
    <i t="blank">
      <x v="165"/>
    </i>
    <i>
      <x v="166"/>
    </i>
    <i r="1">
      <x/>
      <x v="156"/>
    </i>
    <i r="1">
      <x v="1"/>
      <x v="195"/>
    </i>
    <i r="1">
      <x v="2"/>
      <x v="196"/>
    </i>
    <i r="1">
      <x v="3"/>
      <x v="7"/>
    </i>
    <i r="2">
      <x v="221"/>
    </i>
    <i r="1">
      <x v="5"/>
      <x v="14"/>
    </i>
    <i r="2">
      <x v="142"/>
    </i>
    <i r="2">
      <x v="180"/>
    </i>
    <i r="2">
      <x v="188"/>
    </i>
    <i r="2">
      <x v="190"/>
    </i>
    <i r="1">
      <x v="10"/>
      <x v="17"/>
    </i>
    <i r="2">
      <x v="189"/>
    </i>
    <i r="1">
      <x v="12"/>
      <x v="184"/>
    </i>
    <i r="2">
      <x v="193"/>
    </i>
    <i r="2">
      <x v="215"/>
    </i>
    <i r="1">
      <x v="15"/>
      <x v="6"/>
    </i>
    <i r="2">
      <x v="65"/>
    </i>
    <i r="2">
      <x v="132"/>
    </i>
    <i r="2">
      <x v="139"/>
    </i>
    <i r="2">
      <x v="143"/>
    </i>
    <i r="2">
      <x v="146"/>
    </i>
    <i r="2">
      <x v="185"/>
    </i>
    <i r="2">
      <x v="194"/>
    </i>
    <i r="2">
      <x v="212"/>
    </i>
    <i r="2">
      <x v="226"/>
    </i>
    <i t="blank">
      <x v="166"/>
    </i>
    <i>
      <x v="167"/>
    </i>
    <i r="1">
      <x/>
      <x v="156"/>
    </i>
    <i r="1">
      <x v="1"/>
      <x v="196"/>
    </i>
    <i r="1">
      <x v="2"/>
      <x v="195"/>
    </i>
    <i r="1">
      <x v="3"/>
      <x v="98"/>
    </i>
    <i r="2">
      <x v="190"/>
    </i>
    <i r="2">
      <x v="226"/>
    </i>
    <i r="1">
      <x v="6"/>
      <x v="4"/>
    </i>
    <i r="2">
      <x v="6"/>
    </i>
    <i r="2">
      <x v="14"/>
    </i>
    <i r="2">
      <x v="113"/>
    </i>
    <i r="2">
      <x v="135"/>
    </i>
    <i r="1">
      <x v="11"/>
      <x v="7"/>
    </i>
    <i r="2">
      <x v="184"/>
    </i>
    <i r="2">
      <x v="227"/>
    </i>
    <i r="1">
      <x v="14"/>
      <x v="105"/>
    </i>
    <i r="2">
      <x v="142"/>
    </i>
    <i r="2">
      <x v="152"/>
    </i>
    <i r="2">
      <x v="160"/>
    </i>
    <i r="2">
      <x v="185"/>
    </i>
    <i r="2">
      <x v="212"/>
    </i>
    <i r="2">
      <x v="214"/>
    </i>
    <i t="blank">
      <x v="167"/>
    </i>
    <i>
      <x v="168"/>
    </i>
    <i r="1">
      <x/>
      <x v="196"/>
    </i>
    <i r="1">
      <x v="1"/>
      <x v="156"/>
    </i>
    <i r="1">
      <x v="2"/>
      <x v="132"/>
    </i>
    <i r="2">
      <x v="188"/>
    </i>
    <i r="2">
      <x v="212"/>
    </i>
    <i r="1">
      <x v="5"/>
      <x v="22"/>
    </i>
    <i r="2">
      <x v="98"/>
    </i>
    <i r="2">
      <x v="133"/>
    </i>
    <i r="2">
      <x v="180"/>
    </i>
    <i r="2">
      <x v="215"/>
    </i>
    <i r="1">
      <x v="10"/>
      <x v="4"/>
    </i>
    <i r="2">
      <x v="35"/>
    </i>
    <i r="2">
      <x v="108"/>
    </i>
    <i r="2">
      <x v="146"/>
    </i>
    <i r="2">
      <x v="155"/>
    </i>
    <i r="2">
      <x v="184"/>
    </i>
    <i r="2">
      <x v="185"/>
    </i>
    <i r="2">
      <x v="198"/>
    </i>
    <i r="1">
      <x v="18"/>
      <x/>
    </i>
    <i r="2">
      <x v="5"/>
    </i>
    <i r="2">
      <x v="7"/>
    </i>
    <i r="2">
      <x v="10"/>
    </i>
    <i r="2">
      <x v="11"/>
    </i>
    <i r="2">
      <x v="14"/>
    </i>
    <i r="2">
      <x v="16"/>
    </i>
    <i r="2">
      <x v="17"/>
    </i>
    <i r="2">
      <x v="24"/>
    </i>
    <i r="2">
      <x v="29"/>
    </i>
    <i r="2">
      <x v="36"/>
    </i>
    <i r="2">
      <x v="41"/>
    </i>
    <i r="2">
      <x v="53"/>
    </i>
    <i r="2">
      <x v="58"/>
    </i>
    <i r="2">
      <x v="63"/>
    </i>
    <i r="2">
      <x v="67"/>
    </i>
    <i r="2">
      <x v="80"/>
    </i>
    <i r="2">
      <x v="82"/>
    </i>
    <i r="2">
      <x v="83"/>
    </i>
    <i r="2">
      <x v="109"/>
    </i>
    <i r="2">
      <x v="114"/>
    </i>
    <i r="2">
      <x v="119"/>
    </i>
    <i r="2">
      <x v="122"/>
    </i>
    <i r="2">
      <x v="124"/>
    </i>
    <i r="2">
      <x v="126"/>
    </i>
    <i r="2">
      <x v="128"/>
    </i>
    <i r="2">
      <x v="129"/>
    </i>
    <i r="2">
      <x v="135"/>
    </i>
    <i r="2">
      <x v="142"/>
    </i>
    <i r="2">
      <x v="143"/>
    </i>
    <i r="2">
      <x v="145"/>
    </i>
    <i r="2">
      <x v="160"/>
    </i>
    <i r="2">
      <x v="165"/>
    </i>
    <i r="2">
      <x v="169"/>
    </i>
    <i r="2">
      <x v="175"/>
    </i>
    <i r="2">
      <x v="178"/>
    </i>
    <i r="2">
      <x v="179"/>
    </i>
    <i r="2">
      <x v="189"/>
    </i>
    <i r="2">
      <x v="190"/>
    </i>
    <i r="2">
      <x v="194"/>
    </i>
    <i r="2">
      <x v="195"/>
    </i>
    <i r="2">
      <x v="209"/>
    </i>
    <i r="2">
      <x v="210"/>
    </i>
    <i r="2">
      <x v="211"/>
    </i>
    <i r="2">
      <x v="213"/>
    </i>
    <i r="2">
      <x v="219"/>
    </i>
    <i r="2">
      <x v="220"/>
    </i>
    <i r="2">
      <x v="221"/>
    </i>
    <i r="2">
      <x v="226"/>
    </i>
    <i r="2">
      <x v="227"/>
    </i>
    <i r="2">
      <x v="235"/>
    </i>
    <i r="2">
      <x v="236"/>
    </i>
    <i r="2">
      <x v="237"/>
    </i>
    <i t="blank">
      <x v="168"/>
    </i>
    <i>
      <x v="169"/>
    </i>
    <i r="1">
      <x/>
      <x v="185"/>
    </i>
    <i r="1">
      <x v="1"/>
      <x v="212"/>
    </i>
    <i r="1">
      <x v="2"/>
      <x v="106"/>
    </i>
    <i r="2">
      <x v="140"/>
    </i>
    <i r="2">
      <x v="184"/>
    </i>
    <i r="1">
      <x v="5"/>
      <x v="132"/>
    </i>
    <i r="2">
      <x v="142"/>
    </i>
    <i r="2">
      <x v="146"/>
    </i>
    <i r="2">
      <x v="179"/>
    </i>
    <i r="2">
      <x v="189"/>
    </i>
    <i r="2">
      <x v="195"/>
    </i>
    <i r="2">
      <x v="196"/>
    </i>
    <i r="2">
      <x v="215"/>
    </i>
    <i r="1">
      <x v="13"/>
      <x v="6"/>
    </i>
    <i r="2">
      <x v="17"/>
    </i>
    <i r="2">
      <x v="22"/>
    </i>
    <i r="2">
      <x v="30"/>
    </i>
    <i r="2">
      <x v="65"/>
    </i>
    <i r="2">
      <x v="80"/>
    </i>
    <i r="2">
      <x v="81"/>
    </i>
    <i r="2">
      <x v="88"/>
    </i>
    <i r="2">
      <x v="120"/>
    </i>
    <i r="2">
      <x v="122"/>
    </i>
    <i r="2">
      <x v="124"/>
    </i>
    <i r="2">
      <x v="127"/>
    </i>
    <i r="2">
      <x v="129"/>
    </i>
    <i r="2">
      <x v="133"/>
    </i>
    <i r="2">
      <x v="143"/>
    </i>
    <i r="2">
      <x v="147"/>
    </i>
    <i r="2">
      <x v="154"/>
    </i>
    <i r="2">
      <x v="156"/>
    </i>
    <i r="2">
      <x v="163"/>
    </i>
    <i r="2">
      <x v="171"/>
    </i>
    <i r="2">
      <x v="174"/>
    </i>
    <i r="2">
      <x v="175"/>
    </i>
    <i r="2">
      <x v="180"/>
    </i>
    <i r="2">
      <x v="188"/>
    </i>
    <i r="2">
      <x v="204"/>
    </i>
    <i r="2">
      <x v="211"/>
    </i>
    <i r="2">
      <x v="217"/>
    </i>
    <i r="2">
      <x v="221"/>
    </i>
    <i t="blank">
      <x v="169"/>
    </i>
    <i>
      <x v="170"/>
    </i>
    <i r="1">
      <x/>
      <x v="188"/>
    </i>
    <i r="2">
      <x v="195"/>
    </i>
    <i r="1">
      <x v="2"/>
      <x v="4"/>
    </i>
    <i r="2">
      <x v="189"/>
    </i>
    <i r="1">
      <x v="4"/>
      <x v="156"/>
    </i>
    <i r="2">
      <x v="185"/>
    </i>
    <i r="2">
      <x v="196"/>
    </i>
    <i r="1">
      <x v="7"/>
      <x v="6"/>
    </i>
    <i r="2">
      <x v="133"/>
    </i>
    <i r="2">
      <x v="143"/>
    </i>
    <i r="2">
      <x v="146"/>
    </i>
    <i r="2">
      <x v="212"/>
    </i>
    <i r="2">
      <x v="215"/>
    </i>
    <i r="1">
      <x v="13"/>
      <x v="7"/>
    </i>
    <i r="2">
      <x v="17"/>
    </i>
    <i r="2">
      <x v="19"/>
    </i>
    <i r="2">
      <x v="124"/>
    </i>
    <i r="2">
      <x v="132"/>
    </i>
    <i r="2">
      <x v="137"/>
    </i>
    <i r="2">
      <x v="142"/>
    </i>
    <i r="2">
      <x v="184"/>
    </i>
    <i r="2">
      <x v="186"/>
    </i>
    <i r="2">
      <x v="226"/>
    </i>
    <i t="blank">
      <x v="170"/>
    </i>
    <i>
      <x v="171"/>
    </i>
    <i r="1">
      <x/>
      <x v="196"/>
    </i>
    <i r="1">
      <x v="1"/>
      <x v="156"/>
    </i>
    <i r="1">
      <x v="2"/>
      <x v="195"/>
    </i>
    <i r="1">
      <x v="3"/>
      <x v="6"/>
    </i>
    <i r="2">
      <x v="7"/>
    </i>
    <i r="2">
      <x v="185"/>
    </i>
    <i r="2">
      <x v="189"/>
    </i>
    <i r="1">
      <x v="7"/>
      <x v="133"/>
    </i>
    <i r="2">
      <x v="137"/>
    </i>
    <i r="2">
      <x v="143"/>
    </i>
    <i r="2">
      <x v="146"/>
    </i>
    <i r="2">
      <x v="188"/>
    </i>
    <i r="1">
      <x v="12"/>
      <x v="4"/>
    </i>
    <i r="2">
      <x v="17"/>
    </i>
    <i r="2">
      <x v="23"/>
    </i>
    <i r="2">
      <x v="124"/>
    </i>
    <i r="2">
      <x v="132"/>
    </i>
    <i r="2">
      <x v="178"/>
    </i>
    <i r="2">
      <x v="180"/>
    </i>
    <i r="2">
      <x v="184"/>
    </i>
    <i r="2">
      <x v="215"/>
    </i>
    <i t="blank">
      <x v="171"/>
    </i>
    <i>
      <x v="172"/>
    </i>
    <i r="1">
      <x/>
      <x v="196"/>
    </i>
    <i r="1">
      <x v="1"/>
      <x v="4"/>
    </i>
    <i r="1">
      <x v="2"/>
      <x v="195"/>
    </i>
    <i r="2">
      <x v="215"/>
    </i>
    <i r="1">
      <x v="4"/>
      <x v="156"/>
    </i>
    <i r="1">
      <x v="5"/>
      <x v="185"/>
    </i>
    <i r="1">
      <x v="6"/>
      <x v="135"/>
    </i>
    <i r="2">
      <x v="212"/>
    </i>
    <i r="1">
      <x v="8"/>
      <x v="184"/>
    </i>
    <i r="2">
      <x v="226"/>
    </i>
    <i r="1">
      <x v="10"/>
      <x v="17"/>
    </i>
    <i r="1">
      <x v="11"/>
      <x v="146"/>
    </i>
    <i r="1">
      <x v="12"/>
      <x v="142"/>
    </i>
    <i r="1">
      <x v="13"/>
      <x v="19"/>
    </i>
    <i r="2">
      <x v="190"/>
    </i>
    <i r="1">
      <x v="15"/>
      <x v="6"/>
    </i>
    <i r="2">
      <x v="175"/>
    </i>
    <i r="1">
      <x v="17"/>
      <x v="132"/>
    </i>
    <i r="2">
      <x v="140"/>
    </i>
    <i r="2">
      <x v="210"/>
    </i>
    <i r="2">
      <x v="219"/>
    </i>
    <i r="2">
      <x v="220"/>
    </i>
    <i t="blank">
      <x v="172"/>
    </i>
    <i>
      <x v="173"/>
    </i>
    <i r="1">
      <x/>
      <x v="156"/>
    </i>
    <i r="2">
      <x v="196"/>
    </i>
    <i r="1">
      <x v="2"/>
      <x v="195"/>
    </i>
    <i r="2">
      <x v="212"/>
    </i>
    <i r="1">
      <x v="4"/>
      <x v="137"/>
    </i>
    <i r="2">
      <x v="215"/>
    </i>
    <i r="1">
      <x v="6"/>
      <x v="14"/>
    </i>
    <i r="2">
      <x v="131"/>
    </i>
    <i r="2">
      <x v="180"/>
    </i>
    <i r="2">
      <x v="185"/>
    </i>
    <i r="2">
      <x v="189"/>
    </i>
    <i r="1">
      <x v="11"/>
      <x v="19"/>
    </i>
    <i r="2">
      <x v="132"/>
    </i>
    <i r="2">
      <x v="190"/>
    </i>
    <i r="2">
      <x v="211"/>
    </i>
    <i r="1">
      <x v="15"/>
      <x v="4"/>
    </i>
    <i r="2">
      <x v="8"/>
    </i>
    <i r="2">
      <x v="13"/>
    </i>
    <i r="2">
      <x v="17"/>
    </i>
    <i r="2">
      <x v="124"/>
    </i>
    <i r="2">
      <x v="133"/>
    </i>
    <i r="2">
      <x v="139"/>
    </i>
    <i r="2">
      <x v="140"/>
    </i>
    <i r="2">
      <x v="142"/>
    </i>
    <i r="2">
      <x v="146"/>
    </i>
    <i r="2">
      <x v="188"/>
    </i>
    <i r="2">
      <x v="210"/>
    </i>
    <i r="2">
      <x v="219"/>
    </i>
    <i r="2">
      <x v="227"/>
    </i>
    <i t="blank">
      <x v="173"/>
    </i>
    <i>
      <x v="174"/>
    </i>
    <i r="1">
      <x/>
      <x v="4"/>
    </i>
    <i r="2">
      <x v="133"/>
    </i>
    <i r="2">
      <x v="195"/>
    </i>
    <i r="1">
      <x v="3"/>
      <x v="132"/>
    </i>
    <i r="2">
      <x v="196"/>
    </i>
    <i r="2">
      <x v="219"/>
    </i>
    <i r="2">
      <x v="227"/>
    </i>
    <i r="1">
      <x v="7"/>
      <x v="7"/>
    </i>
    <i r="2">
      <x v="72"/>
    </i>
    <i r="2">
      <x v="80"/>
    </i>
    <i r="2">
      <x v="135"/>
    </i>
    <i r="2">
      <x v="179"/>
    </i>
    <i r="2">
      <x v="185"/>
    </i>
    <i r="2">
      <x v="188"/>
    </i>
    <i r="2">
      <x v="193"/>
    </i>
    <i r="2">
      <x v="226"/>
    </i>
    <i r="1">
      <x v="16"/>
      <x/>
    </i>
    <i r="2">
      <x v="5"/>
    </i>
    <i r="2">
      <x v="14"/>
    </i>
    <i r="2">
      <x v="17"/>
    </i>
    <i r="2">
      <x v="23"/>
    </i>
    <i r="2">
      <x v="38"/>
    </i>
    <i r="2">
      <x v="47"/>
    </i>
    <i r="2">
      <x v="51"/>
    </i>
    <i r="2">
      <x v="52"/>
    </i>
    <i r="2">
      <x v="55"/>
    </i>
    <i r="2">
      <x v="60"/>
    </i>
    <i r="2">
      <x v="68"/>
    </i>
    <i r="2">
      <x v="81"/>
    </i>
    <i r="2">
      <x v="83"/>
    </i>
    <i r="2">
      <x v="99"/>
    </i>
    <i r="2">
      <x v="104"/>
    </i>
    <i r="2">
      <x v="106"/>
    </i>
    <i r="2">
      <x v="109"/>
    </i>
    <i r="2">
      <x v="110"/>
    </i>
    <i r="2">
      <x v="122"/>
    </i>
    <i r="2">
      <x v="124"/>
    </i>
    <i r="2">
      <x v="131"/>
    </i>
    <i r="2">
      <x v="136"/>
    </i>
    <i r="2">
      <x v="137"/>
    </i>
    <i r="2">
      <x v="139"/>
    </i>
    <i r="2">
      <x v="140"/>
    </i>
    <i r="2">
      <x v="142"/>
    </i>
    <i r="2">
      <x v="144"/>
    </i>
    <i r="2">
      <x v="147"/>
    </i>
    <i r="2">
      <x v="154"/>
    </i>
    <i r="2">
      <x v="176"/>
    </i>
    <i r="2">
      <x v="184"/>
    </i>
    <i r="2">
      <x v="186"/>
    </i>
    <i r="2">
      <x v="189"/>
    </i>
    <i r="2">
      <x v="190"/>
    </i>
    <i r="2">
      <x v="194"/>
    </i>
    <i r="2">
      <x v="203"/>
    </i>
    <i r="2">
      <x v="206"/>
    </i>
    <i r="2">
      <x v="210"/>
    </i>
    <i r="2">
      <x v="212"/>
    </i>
    <i r="2">
      <x v="214"/>
    </i>
    <i r="2">
      <x v="224"/>
    </i>
    <i t="blank">
      <x v="174"/>
    </i>
    <i>
      <x v="175"/>
    </i>
    <i r="1">
      <x/>
      <x v="196"/>
    </i>
    <i r="1">
      <x v="1"/>
      <x v="195"/>
    </i>
    <i r="1">
      <x v="2"/>
      <x v="142"/>
    </i>
    <i r="1">
      <x v="3"/>
      <x v="4"/>
    </i>
    <i r="2">
      <x v="156"/>
    </i>
    <i r="1">
      <x v="5"/>
      <x v="185"/>
    </i>
    <i r="2">
      <x v="212"/>
    </i>
    <i r="1">
      <x v="7"/>
      <x v="98"/>
    </i>
    <i r="2">
      <x v="133"/>
    </i>
    <i r="2">
      <x v="215"/>
    </i>
    <i r="1">
      <x v="10"/>
      <x v="124"/>
    </i>
    <i r="2">
      <x v="132"/>
    </i>
    <i r="2">
      <x v="137"/>
    </i>
    <i r="2">
      <x v="146"/>
    </i>
    <i r="2">
      <x v="184"/>
    </i>
    <i r="2">
      <x v="190"/>
    </i>
    <i r="2">
      <x v="210"/>
    </i>
    <i r="1">
      <x v="17"/>
      <x v="8"/>
    </i>
    <i r="2">
      <x v="14"/>
    </i>
    <i r="2">
      <x v="120"/>
    </i>
    <i r="2">
      <x v="143"/>
    </i>
    <i t="blank">
      <x v="175"/>
    </i>
    <i>
      <x v="176"/>
    </i>
    <i r="1">
      <x/>
      <x v="189"/>
    </i>
    <i r="1">
      <x v="1"/>
      <x v="156"/>
    </i>
    <i r="2">
      <x v="196"/>
    </i>
    <i r="1">
      <x v="3"/>
      <x v="188"/>
    </i>
    <i r="2">
      <x v="215"/>
    </i>
    <i r="1">
      <x v="5"/>
      <x v="180"/>
    </i>
    <i r="2">
      <x v="195"/>
    </i>
    <i r="1">
      <x v="7"/>
      <x v="4"/>
    </i>
    <i r="2">
      <x v="137"/>
    </i>
    <i r="1">
      <x v="9"/>
      <x v="135"/>
    </i>
    <i r="2">
      <x v="185"/>
    </i>
    <i r="1">
      <x v="11"/>
      <x v="14"/>
    </i>
    <i r="2">
      <x v="19"/>
    </i>
    <i r="2">
      <x v="124"/>
    </i>
    <i r="2">
      <x v="140"/>
    </i>
    <i r="2">
      <x v="142"/>
    </i>
    <i r="2">
      <x v="143"/>
    </i>
    <i r="2">
      <x v="146"/>
    </i>
    <i r="2">
      <x v="158"/>
    </i>
    <i r="2">
      <x v="175"/>
    </i>
    <i r="2">
      <x v="190"/>
    </i>
    <i r="2">
      <x v="212"/>
    </i>
    <i r="2">
      <x v="226"/>
    </i>
    <i t="blank">
      <x v="176"/>
    </i>
    <i>
      <x v="177"/>
    </i>
    <i r="1">
      <x/>
      <x v="156"/>
    </i>
    <i r="2">
      <x v="188"/>
    </i>
    <i r="2">
      <x v="193"/>
    </i>
    <i r="2">
      <x v="195"/>
    </i>
    <i r="1">
      <x v="4"/>
      <x v="7"/>
    </i>
    <i r="2">
      <x v="127"/>
    </i>
    <i r="2">
      <x v="143"/>
    </i>
    <i r="2">
      <x v="189"/>
    </i>
    <i r="2">
      <x v="212"/>
    </i>
    <i r="2">
      <x v="227"/>
    </i>
    <i r="1">
      <x v="10"/>
      <x v="4"/>
    </i>
    <i r="2">
      <x v="5"/>
    </i>
    <i r="2">
      <x v="6"/>
    </i>
    <i r="2">
      <x v="10"/>
    </i>
    <i r="2">
      <x v="17"/>
    </i>
    <i r="2">
      <x v="22"/>
    </i>
    <i r="2">
      <x v="28"/>
    </i>
    <i r="2">
      <x v="37"/>
    </i>
    <i r="2">
      <x v="45"/>
    </i>
    <i r="2">
      <x v="78"/>
    </i>
    <i r="2">
      <x v="80"/>
    </i>
    <i r="2">
      <x v="81"/>
    </i>
    <i r="2">
      <x v="103"/>
    </i>
    <i r="2">
      <x v="106"/>
    </i>
    <i r="2">
      <x v="113"/>
    </i>
    <i r="2">
      <x v="114"/>
    </i>
    <i r="2">
      <x v="124"/>
    </i>
    <i r="2">
      <x v="132"/>
    </i>
    <i r="2">
      <x v="133"/>
    </i>
    <i r="2">
      <x v="140"/>
    </i>
    <i r="2">
      <x v="141"/>
    </i>
    <i r="2">
      <x v="146"/>
    </i>
    <i r="2">
      <x v="153"/>
    </i>
    <i r="2">
      <x v="154"/>
    </i>
    <i r="2">
      <x v="160"/>
    </i>
    <i r="2">
      <x v="166"/>
    </i>
    <i r="2">
      <x v="174"/>
    </i>
    <i r="2">
      <x v="175"/>
    </i>
    <i r="2">
      <x v="181"/>
    </i>
    <i r="2">
      <x v="184"/>
    </i>
    <i r="2">
      <x v="185"/>
    </i>
    <i r="2">
      <x v="186"/>
    </i>
    <i r="2">
      <x v="187"/>
    </i>
    <i r="2">
      <x v="192"/>
    </i>
    <i r="2">
      <x v="194"/>
    </i>
    <i r="2">
      <x v="196"/>
    </i>
    <i r="2">
      <x v="202"/>
    </i>
    <i r="2">
      <x v="214"/>
    </i>
    <i r="2">
      <x v="215"/>
    </i>
    <i r="2">
      <x v="219"/>
    </i>
    <i r="2">
      <x v="220"/>
    </i>
    <i r="2">
      <x v="232"/>
    </i>
    <i t="blank">
      <x v="177"/>
    </i>
    <i>
      <x v="178"/>
    </i>
    <i r="1">
      <x/>
      <x v="156"/>
    </i>
    <i r="1">
      <x v="1"/>
      <x v="4"/>
    </i>
    <i r="2">
      <x v="133"/>
    </i>
    <i r="2">
      <x v="143"/>
    </i>
    <i r="2">
      <x v="180"/>
    </i>
    <i r="2">
      <x v="184"/>
    </i>
    <i r="2">
      <x v="188"/>
    </i>
    <i r="2">
      <x v="195"/>
    </i>
    <i r="1">
      <x v="8"/>
      <x v="146"/>
    </i>
    <i r="2">
      <x v="189"/>
    </i>
    <i r="2">
      <x v="196"/>
    </i>
    <i r="1">
      <x v="11"/>
      <x v="19"/>
    </i>
    <i r="2">
      <x v="98"/>
    </i>
    <i r="2">
      <x v="137"/>
    </i>
    <i r="2">
      <x v="142"/>
    </i>
    <i r="2">
      <x v="185"/>
    </i>
    <i r="2">
      <x v="210"/>
    </i>
    <i r="2">
      <x v="226"/>
    </i>
    <i r="1">
      <x v="18"/>
      <x v="7"/>
    </i>
    <i r="2">
      <x v="9"/>
    </i>
    <i r="2">
      <x v="17"/>
    </i>
    <i r="2">
      <x v="58"/>
    </i>
    <i r="2">
      <x v="124"/>
    </i>
    <i r="2">
      <x v="126"/>
    </i>
    <i r="2">
      <x v="127"/>
    </i>
    <i r="2">
      <x v="132"/>
    </i>
    <i r="2">
      <x v="147"/>
    </i>
    <i r="2">
      <x v="160"/>
    </i>
    <i r="2">
      <x v="190"/>
    </i>
    <i r="2">
      <x v="212"/>
    </i>
    <i r="2">
      <x v="215"/>
    </i>
    <i r="2">
      <x v="220"/>
    </i>
    <i t="blank">
      <x v="178"/>
    </i>
    <i>
      <x v="179"/>
    </i>
    <i r="1">
      <x/>
      <x v="156"/>
    </i>
    <i r="1">
      <x v="1"/>
      <x v="196"/>
    </i>
    <i r="1">
      <x v="2"/>
      <x v="124"/>
    </i>
    <i r="1">
      <x v="3"/>
      <x v="195"/>
    </i>
    <i r="1">
      <x v="4"/>
      <x v="226"/>
    </i>
    <i r="1">
      <x v="5"/>
      <x v="17"/>
    </i>
    <i r="1">
      <x v="6"/>
      <x v="7"/>
    </i>
    <i r="2">
      <x v="212"/>
    </i>
    <i r="1">
      <x v="8"/>
      <x v="6"/>
    </i>
    <i r="1">
      <x v="9"/>
      <x v="14"/>
    </i>
    <i r="2">
      <x v="15"/>
    </i>
    <i r="2">
      <x v="215"/>
    </i>
    <i r="1">
      <x v="12"/>
      <x v="16"/>
    </i>
    <i r="2">
      <x v="185"/>
    </i>
    <i r="1">
      <x v="14"/>
      <x v="65"/>
    </i>
    <i r="2">
      <x v="135"/>
    </i>
    <i r="2">
      <x v="188"/>
    </i>
    <i r="1">
      <x v="17"/>
      <x v="8"/>
    </i>
    <i r="2">
      <x v="19"/>
    </i>
    <i r="2">
      <x v="120"/>
    </i>
    <i r="2">
      <x v="142"/>
    </i>
    <i t="blank">
      <x v="179"/>
    </i>
    <i>
      <x v="180"/>
    </i>
    <i r="1">
      <x/>
      <x v="156"/>
    </i>
    <i r="1">
      <x v="1"/>
      <x v="196"/>
    </i>
    <i r="1">
      <x v="2"/>
      <x v="195"/>
    </i>
    <i r="1">
      <x v="3"/>
      <x v="146"/>
    </i>
    <i r="1">
      <x v="4"/>
      <x v="189"/>
    </i>
    <i r="1">
      <x v="5"/>
      <x v="133"/>
    </i>
    <i r="1">
      <x v="6"/>
      <x v="106"/>
    </i>
    <i r="1">
      <x v="7"/>
      <x v="4"/>
    </i>
    <i r="2">
      <x v="23"/>
    </i>
    <i r="2">
      <x v="72"/>
    </i>
    <i r="2">
      <x v="135"/>
    </i>
    <i r="2">
      <x v="137"/>
    </i>
    <i r="2">
      <x v="142"/>
    </i>
    <i r="1">
      <x v="13"/>
      <x v="6"/>
    </i>
    <i r="2">
      <x v="132"/>
    </i>
    <i r="2">
      <x v="184"/>
    </i>
    <i r="2">
      <x v="185"/>
    </i>
    <i r="2">
      <x v="188"/>
    </i>
    <i r="2">
      <x v="210"/>
    </i>
    <i r="2">
      <x v="226"/>
    </i>
    <i t="blank">
      <x v="180"/>
    </i>
    <i>
      <x v="181"/>
    </i>
    <i r="1">
      <x/>
      <x v="195"/>
    </i>
    <i r="2">
      <x v="196"/>
    </i>
    <i r="1">
      <x v="2"/>
      <x v="180"/>
    </i>
    <i r="2">
      <x v="189"/>
    </i>
    <i r="1">
      <x v="4"/>
      <x v="72"/>
    </i>
    <i r="2">
      <x v="142"/>
    </i>
    <i r="2">
      <x v="219"/>
    </i>
    <i r="1">
      <x v="7"/>
      <x v="133"/>
    </i>
    <i r="1">
      <x v="8"/>
      <x v="22"/>
    </i>
    <i r="2">
      <x v="38"/>
    </i>
    <i r="2">
      <x v="106"/>
    </i>
    <i r="2">
      <x v="146"/>
    </i>
    <i r="1">
      <x v="12"/>
      <x v="10"/>
    </i>
    <i r="2">
      <x v="127"/>
    </i>
    <i r="2">
      <x v="181"/>
    </i>
    <i r="2">
      <x v="184"/>
    </i>
    <i r="2">
      <x v="206"/>
    </i>
    <i r="2">
      <x v="223"/>
    </i>
    <i r="1">
      <x v="18"/>
      <x v="4"/>
    </i>
    <i r="2">
      <x v="7"/>
    </i>
    <i r="2">
      <x v="131"/>
    </i>
    <i r="2">
      <x v="143"/>
    </i>
    <i r="2">
      <x v="152"/>
    </i>
    <i r="2">
      <x v="156"/>
    </i>
    <i r="2">
      <x v="185"/>
    </i>
    <i r="2">
      <x v="187"/>
    </i>
    <i r="2">
      <x v="188"/>
    </i>
    <i r="2">
      <x v="190"/>
    </i>
    <i r="2">
      <x v="194"/>
    </i>
    <i r="2">
      <x v="209"/>
    </i>
    <i r="2">
      <x v="212"/>
    </i>
    <i r="2">
      <x v="215"/>
    </i>
    <i t="blank">
      <x v="181"/>
    </i>
    <i>
      <x v="182"/>
    </i>
    <i r="1">
      <x/>
      <x v="156"/>
    </i>
    <i r="2">
      <x v="185"/>
    </i>
    <i r="1">
      <x v="2"/>
      <x v="188"/>
    </i>
    <i r="1">
      <x v="3"/>
      <x v="195"/>
    </i>
    <i r="1">
      <x v="4"/>
      <x v="6"/>
    </i>
    <i r="2">
      <x v="142"/>
    </i>
    <i r="1">
      <x v="6"/>
      <x v="196"/>
    </i>
    <i r="2">
      <x v="210"/>
    </i>
    <i r="1">
      <x v="8"/>
      <x v="132"/>
    </i>
    <i r="2">
      <x v="133"/>
    </i>
    <i r="2">
      <x v="143"/>
    </i>
    <i r="2">
      <x v="184"/>
    </i>
    <i r="2">
      <x v="194"/>
    </i>
    <i r="2">
      <x v="227"/>
    </i>
    <i r="1">
      <x v="14"/>
      <x v="4"/>
    </i>
    <i r="2">
      <x v="17"/>
    </i>
    <i r="2">
      <x v="120"/>
    </i>
    <i r="2">
      <x v="189"/>
    </i>
    <i r="2">
      <x v="190"/>
    </i>
    <i r="2">
      <x v="226"/>
    </i>
    <i t="blank">
      <x v="182"/>
    </i>
    <i>
      <x v="183"/>
    </i>
    <i r="1">
      <x/>
      <x v="180"/>
    </i>
    <i r="1">
      <x v="1"/>
      <x v="146"/>
    </i>
    <i r="1">
      <x v="2"/>
      <x v="196"/>
    </i>
    <i r="1">
      <x v="3"/>
      <x v="189"/>
    </i>
    <i r="1">
      <x v="4"/>
      <x v="188"/>
    </i>
    <i r="1">
      <x v="5"/>
      <x v="185"/>
    </i>
    <i r="2">
      <x v="195"/>
    </i>
    <i r="1">
      <x v="7"/>
      <x v="104"/>
    </i>
    <i r="2">
      <x v="190"/>
    </i>
    <i r="1">
      <x v="9"/>
      <x v="156"/>
    </i>
    <i r="2">
      <x v="209"/>
    </i>
    <i r="1">
      <x v="11"/>
      <x v="135"/>
    </i>
    <i r="2">
      <x v="184"/>
    </i>
    <i r="2">
      <x v="235"/>
    </i>
    <i r="1">
      <x v="14"/>
      <x v="108"/>
    </i>
    <i r="2">
      <x v="132"/>
    </i>
    <i r="2">
      <x v="133"/>
    </i>
    <i r="2">
      <x v="137"/>
    </i>
    <i r="2">
      <x v="140"/>
    </i>
    <i r="2">
      <x v="186"/>
    </i>
    <i r="2">
      <x v="221"/>
    </i>
    <i t="blank">
      <x v="183"/>
    </i>
    <i>
      <x v="184"/>
    </i>
    <i r="1">
      <x/>
      <x v="185"/>
    </i>
    <i r="1">
      <x v="1"/>
      <x v="180"/>
    </i>
    <i r="1">
      <x v="2"/>
      <x v="190"/>
    </i>
    <i r="1">
      <x v="3"/>
      <x v="4"/>
    </i>
    <i r="2">
      <x v="35"/>
    </i>
    <i r="2">
      <x v="106"/>
    </i>
    <i r="2">
      <x v="141"/>
    </i>
    <i r="2">
      <x v="184"/>
    </i>
    <i r="2">
      <x v="196"/>
    </i>
    <i r="2">
      <x v="203"/>
    </i>
    <i r="2">
      <x v="212"/>
    </i>
    <i r="1">
      <x v="11"/>
      <x/>
    </i>
    <i r="2">
      <x v="6"/>
    </i>
    <i r="2">
      <x v="22"/>
    </i>
    <i r="2">
      <x v="38"/>
    </i>
    <i r="2">
      <x v="81"/>
    </i>
    <i r="2">
      <x v="91"/>
    </i>
    <i r="2">
      <x v="104"/>
    </i>
    <i r="2">
      <x v="108"/>
    </i>
    <i r="2">
      <x v="124"/>
    </i>
    <i r="2">
      <x v="127"/>
    </i>
    <i r="2">
      <x v="128"/>
    </i>
    <i r="2">
      <x v="133"/>
    </i>
    <i r="2">
      <x v="135"/>
    </i>
    <i r="2">
      <x v="142"/>
    </i>
    <i r="2">
      <x v="146"/>
    </i>
    <i r="2">
      <x v="155"/>
    </i>
    <i r="2">
      <x v="163"/>
    </i>
    <i r="2">
      <x v="169"/>
    </i>
    <i r="2">
      <x v="171"/>
    </i>
    <i r="2">
      <x v="188"/>
    </i>
    <i r="2">
      <x v="195"/>
    </i>
    <i r="2">
      <x v="202"/>
    </i>
    <i r="2">
      <x v="207"/>
    </i>
    <i r="2">
      <x v="209"/>
    </i>
    <i r="2">
      <x v="210"/>
    </i>
    <i r="2">
      <x v="214"/>
    </i>
    <i r="2">
      <x v="215"/>
    </i>
    <i r="2">
      <x v="220"/>
    </i>
    <i r="2">
      <x v="222"/>
    </i>
    <i r="2">
      <x v="227"/>
    </i>
    <i t="blank">
      <x v="184"/>
    </i>
    <i>
      <x v="185"/>
    </i>
    <i r="1">
      <x/>
      <x v="196"/>
    </i>
    <i r="1">
      <x v="1"/>
      <x v="195"/>
    </i>
    <i r="1">
      <x v="2"/>
      <x v="23"/>
    </i>
    <i r="2">
      <x v="142"/>
    </i>
    <i r="2">
      <x v="206"/>
    </i>
    <i r="1">
      <x v="5"/>
      <x v="4"/>
    </i>
    <i r="2">
      <x v="188"/>
    </i>
    <i r="1">
      <x v="7"/>
      <x v="22"/>
    </i>
    <i r="2">
      <x v="98"/>
    </i>
    <i r="2">
      <x v="189"/>
    </i>
    <i r="1">
      <x v="10"/>
      <x v="17"/>
    </i>
    <i r="2">
      <x v="135"/>
    </i>
    <i r="2">
      <x v="146"/>
    </i>
    <i r="2">
      <x v="185"/>
    </i>
    <i r="2">
      <x v="212"/>
    </i>
    <i r="1">
      <x v="15"/>
      <x v="108"/>
    </i>
    <i r="2">
      <x v="127"/>
    </i>
    <i r="2">
      <x v="147"/>
    </i>
    <i r="2">
      <x v="184"/>
    </i>
    <i r="2">
      <x v="186"/>
    </i>
    <i r="2">
      <x v="190"/>
    </i>
    <i r="2">
      <x v="194"/>
    </i>
    <i r="2">
      <x v="202"/>
    </i>
    <i r="2">
      <x v="226"/>
    </i>
    <i t="blank">
      <x v="185"/>
    </i>
    <i>
      <x v="186"/>
    </i>
    <i r="1">
      <x/>
      <x v="156"/>
    </i>
    <i r="1">
      <x v="1"/>
      <x v="195"/>
    </i>
    <i r="1">
      <x v="2"/>
      <x v="196"/>
    </i>
    <i r="1">
      <x v="3"/>
      <x v="142"/>
    </i>
    <i r="2">
      <x v="189"/>
    </i>
    <i r="1">
      <x v="5"/>
      <x v="6"/>
    </i>
    <i r="2">
      <x v="184"/>
    </i>
    <i r="1">
      <x v="7"/>
      <x v="188"/>
    </i>
    <i r="1">
      <x v="8"/>
      <x v="35"/>
    </i>
    <i r="2">
      <x v="226"/>
    </i>
    <i r="1">
      <x v="10"/>
      <x v="120"/>
    </i>
    <i r="2">
      <x v="133"/>
    </i>
    <i r="2">
      <x v="219"/>
    </i>
    <i r="1">
      <x v="13"/>
      <x v="4"/>
    </i>
    <i r="2">
      <x v="7"/>
    </i>
    <i r="2">
      <x v="146"/>
    </i>
    <i r="2">
      <x v="212"/>
    </i>
    <i r="1">
      <x v="17"/>
      <x v="23"/>
    </i>
    <i r="2">
      <x v="106"/>
    </i>
    <i r="2">
      <x v="180"/>
    </i>
    <i r="2">
      <x v="185"/>
    </i>
    <i r="2">
      <x v="190"/>
    </i>
    <i t="blank">
      <x v="186"/>
    </i>
    <i>
      <x v="187"/>
    </i>
    <i r="1">
      <x/>
      <x v="156"/>
    </i>
    <i r="1">
      <x v="1"/>
      <x v="196"/>
    </i>
    <i r="1">
      <x v="2"/>
      <x v="189"/>
    </i>
    <i r="1">
      <x v="3"/>
      <x v="195"/>
    </i>
    <i r="1">
      <x v="4"/>
      <x v="135"/>
    </i>
    <i r="1">
      <x v="5"/>
      <x v="188"/>
    </i>
    <i r="1">
      <x v="6"/>
      <x v="215"/>
    </i>
    <i r="1">
      <x v="7"/>
      <x v="7"/>
    </i>
    <i r="2">
      <x v="17"/>
    </i>
    <i r="2">
      <x v="185"/>
    </i>
    <i r="1">
      <x v="10"/>
      <x v="190"/>
    </i>
    <i r="2">
      <x v="212"/>
    </i>
    <i r="1">
      <x v="12"/>
      <x v="6"/>
    </i>
    <i r="1">
      <x v="13"/>
      <x v="120"/>
    </i>
    <i r="2">
      <x v="137"/>
    </i>
    <i r="1">
      <x v="15"/>
      <x v="132"/>
    </i>
    <i r="1">
      <x v="16"/>
      <x v="133"/>
    </i>
    <i r="2">
      <x v="142"/>
    </i>
    <i r="2">
      <x v="147"/>
    </i>
    <i r="2">
      <x v="155"/>
    </i>
    <i t="blank">
      <x v="187"/>
    </i>
    <i>
      <x v="188"/>
    </i>
    <i r="1">
      <x/>
      <x v="156"/>
    </i>
    <i r="2">
      <x v="188"/>
    </i>
    <i r="1">
      <x v="2"/>
      <x v="189"/>
    </i>
    <i r="1">
      <x v="3"/>
      <x v="23"/>
    </i>
    <i r="2">
      <x v="180"/>
    </i>
    <i r="1">
      <x v="5"/>
      <x v="7"/>
    </i>
    <i r="2">
      <x v="133"/>
    </i>
    <i r="2">
      <x v="137"/>
    </i>
    <i r="2">
      <x v="142"/>
    </i>
    <i r="2">
      <x v="195"/>
    </i>
    <i r="2">
      <x v="219"/>
    </i>
    <i r="1">
      <x v="11"/>
      <x v="4"/>
    </i>
    <i r="2">
      <x v="16"/>
    </i>
    <i r="2">
      <x v="19"/>
    </i>
    <i r="2">
      <x v="132"/>
    </i>
    <i r="2">
      <x v="181"/>
    </i>
    <i r="2">
      <x v="184"/>
    </i>
    <i r="2">
      <x v="196"/>
    </i>
    <i r="2">
      <x v="210"/>
    </i>
    <i r="1">
      <x v="19"/>
      <x v="14"/>
    </i>
    <i r="2">
      <x v="17"/>
    </i>
    <i r="2">
      <x v="35"/>
    </i>
    <i r="2">
      <x v="120"/>
    </i>
    <i r="2">
      <x v="131"/>
    </i>
    <i r="2">
      <x v="146"/>
    </i>
    <i r="2">
      <x v="163"/>
    </i>
    <i r="2">
      <x v="185"/>
    </i>
    <i r="2">
      <x v="212"/>
    </i>
    <i r="2">
      <x v="215"/>
    </i>
    <i r="2">
      <x v="223"/>
    </i>
    <i r="2">
      <x v="227"/>
    </i>
    <i t="blank">
      <x v="188"/>
    </i>
    <i>
      <x v="189"/>
    </i>
    <i r="1">
      <x/>
      <x v="156"/>
    </i>
    <i r="1">
      <x v="1"/>
      <x v="23"/>
    </i>
    <i r="1">
      <x v="2"/>
      <x v="180"/>
    </i>
    <i r="2">
      <x v="189"/>
    </i>
    <i r="2">
      <x v="196"/>
    </i>
    <i r="1">
      <x v="5"/>
      <x v="133"/>
    </i>
    <i r="1">
      <x v="6"/>
      <x v="188"/>
    </i>
    <i r="2">
      <x v="195"/>
    </i>
    <i r="1">
      <x v="8"/>
      <x v="124"/>
    </i>
    <i r="2">
      <x v="184"/>
    </i>
    <i r="1">
      <x v="10"/>
      <x v="14"/>
    </i>
    <i r="2">
      <x v="106"/>
    </i>
    <i r="2">
      <x v="142"/>
    </i>
    <i r="2">
      <x v="155"/>
    </i>
    <i r="2">
      <x v="190"/>
    </i>
    <i r="2">
      <x v="215"/>
    </i>
    <i r="1">
      <x v="16"/>
      <x v="6"/>
    </i>
    <i r="2">
      <x v="34"/>
    </i>
    <i r="2">
      <x v="72"/>
    </i>
    <i r="2">
      <x v="104"/>
    </i>
    <i r="2">
      <x v="116"/>
    </i>
    <i r="2">
      <x v="127"/>
    </i>
    <i r="2">
      <x v="131"/>
    </i>
    <i r="2">
      <x v="140"/>
    </i>
    <i r="2">
      <x v="146"/>
    </i>
    <i r="2">
      <x v="158"/>
    </i>
    <i r="2">
      <x v="186"/>
    </i>
    <i r="2">
      <x v="224"/>
    </i>
    <i r="2">
      <x v="226"/>
    </i>
    <i r="2">
      <x v="227"/>
    </i>
    <i t="blank">
      <x v="189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総数／事業所数" fld="7" baseField="0" baseItem="0" numFmtId="176"/>
    <dataField name="総数／構成比" fld="8" baseField="0" baseItem="0" numFmtId="178"/>
    <dataField name="個人／事業所数" fld="9" baseField="0" baseItem="0" numFmtId="176"/>
    <dataField name="個人／構成比" fld="10" baseField="0" baseItem="0" numFmtId="178"/>
    <dataField name="法人／事業所数" fld="11" baseField="0" baseItem="0" numFmtId="176"/>
    <dataField name="法人／構成比" fld="12" baseField="0" baseItem="0" numFmtId="178"/>
    <dataField name="法人以外の団体／事業所数" fld="13" baseField="0" baseItem="0" numFmtId="176"/>
  </dataFields>
  <formats count="17">
    <format dxfId="2676">
      <pivotArea field="2" type="button" dataOnly="0" labelOnly="1" outline="0" axis="axisRow" fieldPosition="0"/>
    </format>
    <format dxfId="2675">
      <pivotArea outline="0" fieldPosition="0">
        <references count="1">
          <reference field="4294967294" count="1">
            <x v="0"/>
          </reference>
        </references>
      </pivotArea>
    </format>
    <format dxfId="2674">
      <pivotArea outline="0" fieldPosition="0">
        <references count="1">
          <reference field="4294967294" count="1">
            <x v="1"/>
          </reference>
        </references>
      </pivotArea>
    </format>
    <format dxfId="2673">
      <pivotArea outline="0" fieldPosition="0">
        <references count="1">
          <reference field="4294967294" count="1">
            <x v="2"/>
          </reference>
        </references>
      </pivotArea>
    </format>
    <format dxfId="2672">
      <pivotArea outline="0" fieldPosition="0">
        <references count="1">
          <reference field="4294967294" count="1">
            <x v="3"/>
          </reference>
        </references>
      </pivotArea>
    </format>
    <format dxfId="2671">
      <pivotArea outline="0" fieldPosition="0">
        <references count="1">
          <reference field="4294967294" count="1">
            <x v="4"/>
          </reference>
        </references>
      </pivotArea>
    </format>
    <format dxfId="2670">
      <pivotArea outline="0" fieldPosition="0">
        <references count="1">
          <reference field="4294967294" count="1">
            <x v="5"/>
          </reference>
        </references>
      </pivotArea>
    </format>
    <format dxfId="2669">
      <pivotArea outline="0" fieldPosition="0">
        <references count="1">
          <reference field="4294967294" count="1">
            <x v="6"/>
          </reference>
        </references>
      </pivotArea>
    </format>
    <format dxfId="2668">
      <pivotArea field="2" type="button" dataOnly="0" labelOnly="1" outline="0" axis="axisRow" fieldPosition="0"/>
    </format>
    <format dxfId="266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66">
      <pivotArea field="2" type="button" dataOnly="0" labelOnly="1" outline="0" axis="axisRow" fieldPosition="0"/>
    </format>
    <format dxfId="266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64">
      <pivotArea field="2" type="button" dataOnly="0" labelOnly="1" outline="0" axis="axisRow" fieldPosition="0"/>
    </format>
    <format dxfId="266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6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6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60">
      <pivotArea field="5" type="button" dataOnly="0" labelOnly="1" outline="0" axis="axisRow" fieldPosition="2"/>
    </format>
  </formats>
  <pivotTableStyleInfo name="PivotStyleLight22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677FEDA-DC21-4D79-B854-596985A20769}" name="LTBL_01000" displayName="LTBL_01000" ref="B4:I20" totalsRowCount="1">
  <autoFilter ref="B4:I19" xr:uid="{2677FEDA-DC21-4D79-B854-596985A20769}"/>
  <tableColumns count="8">
    <tableColumn id="9" xr3:uid="{81639B7A-DFB7-41FB-BBA3-1C3ABD5B97DE}" name="産業大分類" totalsRowLabel="合計" totalsRowDxfId="2659"/>
    <tableColumn id="10" xr3:uid="{DDAFC18F-5B3B-4EAF-A907-5445E9AF5FB0}" name="総数／事業所数" totalsRowFunction="custom" totalsRowDxfId="2658" dataCellStyle="桁区切り" totalsRowCellStyle="桁区切り">
      <totalsRowFormula>SUM(LTBL_01000[総数／事業所数])</totalsRowFormula>
    </tableColumn>
    <tableColumn id="11" xr3:uid="{8C98D81C-1CEC-4DF3-80F0-91E932E3CE47}" name="総数／構成比" dataDxfId="2657"/>
    <tableColumn id="12" xr3:uid="{2AA1D98D-F6AD-435A-8675-02E13C415679}" name="個人／事業所数" totalsRowFunction="sum" totalsRowDxfId="2656" dataCellStyle="桁区切り" totalsRowCellStyle="桁区切り"/>
    <tableColumn id="13" xr3:uid="{E39312B2-C186-4F7E-9EFE-9D000950354D}" name="個人／構成比" dataDxfId="2655"/>
    <tableColumn id="14" xr3:uid="{A1943EA2-4187-4353-B6AB-A6FF8812E5CD}" name="法人／事業所数" totalsRowFunction="sum" totalsRowDxfId="2654" dataCellStyle="桁区切り" totalsRowCellStyle="桁区切り"/>
    <tableColumn id="15" xr3:uid="{73BD4076-F144-4DE0-889D-5338D5EF5B11}" name="法人／構成比" dataDxfId="2653"/>
    <tableColumn id="16" xr3:uid="{064E8601-9F33-4BB2-8FC8-1C85A47BE799}" name="法人以外の団体／事業所数" totalsRowFunction="sum" totalsRowDxfId="2652" dataCellStyle="桁区切り" totalsRowCellStyle="桁区切り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F188846-2E28-4CEE-A5FA-10A674B5520E}" name="LTBL_01102" displayName="LTBL_01102" ref="B4:I20" totalsRowCount="1">
  <autoFilter ref="B4:I19" xr:uid="{7F188846-2E28-4CEE-A5FA-10A674B5520E}"/>
  <tableColumns count="8">
    <tableColumn id="9" xr3:uid="{8E36EF5F-DA38-415B-B81E-4F3E4DE44594}" name="産業大分類" totalsRowLabel="合計" totalsRowDxfId="2617"/>
    <tableColumn id="10" xr3:uid="{22A18111-FCD1-45AE-AEB9-ABFE4AD9DE4B}" name="総数／事業所数" totalsRowFunction="custom" totalsRowDxfId="2616" dataCellStyle="桁区切り" totalsRowCellStyle="桁区切り">
      <totalsRowFormula>SUM(LTBL_01102[総数／事業所数])</totalsRowFormula>
    </tableColumn>
    <tableColumn id="11" xr3:uid="{099555EC-E72C-47A5-BA91-228BFC2CDFEC}" name="総数／構成比" dataDxfId="2615"/>
    <tableColumn id="12" xr3:uid="{C8754C96-F42F-428A-8547-93378E85C21D}" name="個人／事業所数" totalsRowFunction="sum" totalsRowDxfId="2614" dataCellStyle="桁区切り" totalsRowCellStyle="桁区切り"/>
    <tableColumn id="13" xr3:uid="{B2E92BA3-97ED-49A3-A775-A9BFBF38F167}" name="個人／構成比" dataDxfId="2613"/>
    <tableColumn id="14" xr3:uid="{EF312BE9-003F-4B12-9DD9-AA7909C9BB03}" name="法人／事業所数" totalsRowFunction="sum" totalsRowDxfId="2612" dataCellStyle="桁区切り" totalsRowCellStyle="桁区切り"/>
    <tableColumn id="15" xr3:uid="{9784DF82-164E-40D2-92CE-6A9E070B778C}" name="法人／構成比" dataDxfId="2611"/>
    <tableColumn id="16" xr3:uid="{FC0B4FC1-27EF-4EAE-8350-A914E72AF99D}" name="法人以外の団体／事業所数" totalsRowFunction="sum" totalsRowDxfId="2610" dataCellStyle="桁区切り" totalsRowCellStyle="桁区切り"/>
  </tableColumns>
  <tableStyleInfo name="TableStyleMedium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2E015483-DC8D-404A-88D9-4DFF5467F137}" name="LTBL_01223" displayName="LTBL_01223" ref="B4:I20" totalsRowCount="1">
  <autoFilter ref="B4:I19" xr:uid="{2E015483-DC8D-404A-88D9-4DFF5467F137}"/>
  <tableColumns count="8">
    <tableColumn id="9" xr3:uid="{984BC321-9CE2-4991-A1B0-FE209C8CE79D}" name="産業大分類" totalsRowLabel="合計" totalsRowDxfId="2197"/>
    <tableColumn id="10" xr3:uid="{93EB1ACA-6CCD-4D43-8804-718BBC36C63A}" name="総数／事業所数" totalsRowFunction="custom" totalsRowDxfId="2196" dataCellStyle="桁区切り" totalsRowCellStyle="桁区切り">
      <totalsRowFormula>SUM(LTBL_01223[総数／事業所数])</totalsRowFormula>
    </tableColumn>
    <tableColumn id="11" xr3:uid="{2EDD401F-8590-4713-A509-3C86E7D8EF63}" name="総数／構成比" dataDxfId="2195"/>
    <tableColumn id="12" xr3:uid="{22AD228E-8E74-410D-A9C7-CAF673F1C6CD}" name="個人／事業所数" totalsRowFunction="sum" totalsRowDxfId="2194" dataCellStyle="桁区切り" totalsRowCellStyle="桁区切り"/>
    <tableColumn id="13" xr3:uid="{C3CE4482-47F7-402F-BECB-49A6AFD456B1}" name="個人／構成比" dataDxfId="2193"/>
    <tableColumn id="14" xr3:uid="{163E7E72-0F1F-4529-B93B-6675BC45BED4}" name="法人／事業所数" totalsRowFunction="sum" totalsRowDxfId="2192" dataCellStyle="桁区切り" totalsRowCellStyle="桁区切り"/>
    <tableColumn id="15" xr3:uid="{4F2EAC73-E0DC-436F-9E01-6F0B09142074}" name="法人／構成比" dataDxfId="2191"/>
    <tableColumn id="16" xr3:uid="{220B3452-A38D-46D5-8770-6DDC9DB21819}" name="法人以外の団体／事業所数" totalsRowFunction="sum" totalsRowDxfId="2190" dataCellStyle="桁区切り" totalsRowCellStyle="桁区切り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312489B4-9BB0-44AA-9B37-0BAA47293A33}" name="M_TABLE_01223" displayName="M_TABLE_01223" ref="B23:I44" totalsRowShown="0">
  <autoFilter ref="B23:I44" xr:uid="{312489B4-9BB0-44AA-9B37-0BAA47293A33}"/>
  <tableColumns count="8">
    <tableColumn id="9" xr3:uid="{90161CF6-DC68-49A3-A427-3467E7B8DA88}" name="産業中分類上位２０"/>
    <tableColumn id="10" xr3:uid="{AAA266DB-2A53-47F4-A004-D1D4A44E6D70}" name="総数／事業所数" dataCellStyle="桁区切り"/>
    <tableColumn id="11" xr3:uid="{7A38C24A-C287-4AEE-AC63-C2D4087462C1}" name="総数／構成比" dataDxfId="2189"/>
    <tableColumn id="12" xr3:uid="{F7CF2339-68CF-49D2-8309-80BC58F26FE6}" name="個人／事業所数" dataCellStyle="桁区切り"/>
    <tableColumn id="13" xr3:uid="{BC1B0D0E-1724-4E8A-9B9A-80BDCC2400F2}" name="個人／構成比" dataDxfId="2188"/>
    <tableColumn id="14" xr3:uid="{E09E07C1-8DE2-4C81-A406-B6066911A4AB}" name="法人／事業所数" dataCellStyle="桁区切り"/>
    <tableColumn id="15" xr3:uid="{8DB4BE05-E57C-4AE3-99C1-028969611CCE}" name="法人／構成比" dataDxfId="2187"/>
    <tableColumn id="16" xr3:uid="{B65FEA95-85B8-4486-9647-0356E5A97BA8}" name="法人以外の団体／事業所数" dataCellStyle="桁区切り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8CF9A9ED-25C2-490B-92D8-0C0D8AFE6198}" name="S_TABLE_01223" displayName="S_TABLE_01223" ref="B47:I67" totalsRowShown="0">
  <autoFilter ref="B47:I67" xr:uid="{8CF9A9ED-25C2-490B-92D8-0C0D8AFE6198}"/>
  <tableColumns count="8">
    <tableColumn id="9" xr3:uid="{21F5AA9D-588E-4387-B204-A1A084C7B483}" name="産業小分類上位２０"/>
    <tableColumn id="10" xr3:uid="{B5F3D0A5-DA73-4794-B9AF-5649974396F7}" name="総数／事業所数" dataCellStyle="桁区切り"/>
    <tableColumn id="11" xr3:uid="{D24AC9B2-119A-4786-BC47-73CF194A4ADE}" name="総数／構成比" dataDxfId="2186"/>
    <tableColumn id="12" xr3:uid="{DCE36E3B-2A4A-4FF4-96DB-0F34D59E3D59}" name="個人／事業所数" dataCellStyle="桁区切り"/>
    <tableColumn id="13" xr3:uid="{FAABA831-F5C9-4D90-ABCA-0DAB7675B859}" name="個人／構成比" dataDxfId="2185"/>
    <tableColumn id="14" xr3:uid="{E0412DD1-ED64-4269-9649-1F73E25C33DC}" name="法人／事業所数" dataCellStyle="桁区切り"/>
    <tableColumn id="15" xr3:uid="{776EF509-2EB3-4D47-9DD9-78287F7F8025}" name="法人／構成比" dataDxfId="2184"/>
    <tableColumn id="16" xr3:uid="{AB1CD34C-69F5-4768-8B39-691775FBC6CA}" name="法人以外の団体／事業所数" dataCellStyle="桁区切り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ABE9F5AF-23D1-4121-9DF5-0B25E8C730EC}" name="LTBL_01224" displayName="LTBL_01224" ref="B4:I20" totalsRowCount="1">
  <autoFilter ref="B4:I19" xr:uid="{ABE9F5AF-23D1-4121-9DF5-0B25E8C730EC}"/>
  <tableColumns count="8">
    <tableColumn id="9" xr3:uid="{44369B16-CE6B-4ACA-B563-6EE8C9C67E62}" name="産業大分類" totalsRowLabel="合計" totalsRowDxfId="2183"/>
    <tableColumn id="10" xr3:uid="{5108622E-FC5E-424E-8790-2C1C79E4F0E6}" name="総数／事業所数" totalsRowFunction="custom" totalsRowDxfId="2182" dataCellStyle="桁区切り" totalsRowCellStyle="桁区切り">
      <totalsRowFormula>SUM(LTBL_01224[総数／事業所数])</totalsRowFormula>
    </tableColumn>
    <tableColumn id="11" xr3:uid="{3AB375C5-29A4-4470-A331-033506518EE2}" name="総数／構成比" dataDxfId="2181"/>
    <tableColumn id="12" xr3:uid="{163FEC39-1C6C-4CC5-B7F0-5447879B7331}" name="個人／事業所数" totalsRowFunction="sum" totalsRowDxfId="2180" dataCellStyle="桁区切り" totalsRowCellStyle="桁区切り"/>
    <tableColumn id="13" xr3:uid="{BB3FB496-6B48-4B14-ABDE-78E5ADE7EE45}" name="個人／構成比" dataDxfId="2179"/>
    <tableColumn id="14" xr3:uid="{956394F7-3D5A-4D1A-9788-6E0C52C9B522}" name="法人／事業所数" totalsRowFunction="sum" totalsRowDxfId="2178" dataCellStyle="桁区切り" totalsRowCellStyle="桁区切り"/>
    <tableColumn id="15" xr3:uid="{FFDB4C1F-BB20-4A51-8430-27C553223969}" name="法人／構成比" dataDxfId="2177"/>
    <tableColumn id="16" xr3:uid="{3BC9B426-BB4A-45E3-B2FA-5F8817FB7281}" name="法人以外の団体／事業所数" totalsRowFunction="sum" totalsRowDxfId="2176" dataCellStyle="桁区切り" totalsRowCellStyle="桁区切り"/>
  </tableColumns>
  <tableStyleInfo name="TableStyleMedium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A302CB56-8E0D-41BC-9031-C5F5D8010A3F}" name="M_TABLE_01224" displayName="M_TABLE_01224" ref="B23:I43" totalsRowShown="0">
  <autoFilter ref="B23:I43" xr:uid="{A302CB56-8E0D-41BC-9031-C5F5D8010A3F}"/>
  <tableColumns count="8">
    <tableColumn id="9" xr3:uid="{2D477E37-5997-4DE4-82F6-F113618E8CBE}" name="産業中分類上位２０"/>
    <tableColumn id="10" xr3:uid="{AEB5A8CF-C608-41F9-9C67-F3D4AEB669B8}" name="総数／事業所数" dataCellStyle="桁区切り"/>
    <tableColumn id="11" xr3:uid="{3F75717D-7848-4D54-BC3F-DDD6EB253A79}" name="総数／構成比" dataDxfId="2175"/>
    <tableColumn id="12" xr3:uid="{E3B213D6-24A7-4C7C-9D5E-B9E008190D1B}" name="個人／事業所数" dataCellStyle="桁区切り"/>
    <tableColumn id="13" xr3:uid="{F90B0958-7D2E-4FB4-96DF-061D8AE8D03E}" name="個人／構成比" dataDxfId="2174"/>
    <tableColumn id="14" xr3:uid="{B102D5B4-0C6E-4D5F-BEB0-F0FF786DF635}" name="法人／事業所数" dataCellStyle="桁区切り"/>
    <tableColumn id="15" xr3:uid="{672CB821-AE3F-4E6E-8D78-F85ABB64F99D}" name="法人／構成比" dataDxfId="2173"/>
    <tableColumn id="16" xr3:uid="{A101E210-2E6D-4F5F-AB3D-CACD09DDD911}" name="法人以外の団体／事業所数" dataCellStyle="桁区切り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F86BEB51-84F7-472E-863F-26C65573F84D}" name="S_TABLE_01224" displayName="S_TABLE_01224" ref="B46:I66" totalsRowShown="0">
  <autoFilter ref="B46:I66" xr:uid="{F86BEB51-84F7-472E-863F-26C65573F84D}"/>
  <tableColumns count="8">
    <tableColumn id="9" xr3:uid="{DCAE44B8-478B-4170-9D0C-3C5D89DB45EC}" name="産業小分類上位２０"/>
    <tableColumn id="10" xr3:uid="{A607B54D-8735-4236-A4C5-912A66E67C79}" name="総数／事業所数" dataCellStyle="桁区切り"/>
    <tableColumn id="11" xr3:uid="{3EF1F19F-E3B2-4863-88EE-09DEEDE21AE6}" name="総数／構成比" dataDxfId="2172"/>
    <tableColumn id="12" xr3:uid="{131AC66D-C143-48AD-B1A2-36DDC7D1B96F}" name="個人／事業所数" dataCellStyle="桁区切り"/>
    <tableColumn id="13" xr3:uid="{FCA1534C-F892-4093-A45C-70679AE6D2C5}" name="個人／構成比" dataDxfId="2171"/>
    <tableColumn id="14" xr3:uid="{341803A9-A6E7-4FD4-885B-03F645CDC592}" name="法人／事業所数" dataCellStyle="桁区切り"/>
    <tableColumn id="15" xr3:uid="{8F4B5E26-57F0-4468-A237-0D0A6FC1B297}" name="法人／構成比" dataDxfId="2170"/>
    <tableColumn id="16" xr3:uid="{35A59BBD-9761-4E97-B4FA-E3C904BF62BA}" name="法人以外の団体／事業所数" dataCellStyle="桁区切り"/>
  </tableColumns>
  <tableStyleInfo name="TableStyleMedium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5F950594-5A7D-4274-8338-609BF9B218E5}" name="LTBL_01225" displayName="LTBL_01225" ref="B4:I20" totalsRowCount="1">
  <autoFilter ref="B4:I19" xr:uid="{5F950594-5A7D-4274-8338-609BF9B218E5}"/>
  <tableColumns count="8">
    <tableColumn id="9" xr3:uid="{7DC9D436-17D5-4A6A-AD45-5CFB71175BE6}" name="産業大分類" totalsRowLabel="合計" totalsRowDxfId="2169"/>
    <tableColumn id="10" xr3:uid="{A8538F28-D59B-4814-8058-8F8D863B707A}" name="総数／事業所数" totalsRowFunction="custom" totalsRowDxfId="2168" dataCellStyle="桁区切り" totalsRowCellStyle="桁区切り">
      <totalsRowFormula>SUM(LTBL_01225[総数／事業所数])</totalsRowFormula>
    </tableColumn>
    <tableColumn id="11" xr3:uid="{C2FA7567-B765-427E-8D71-663D3533C967}" name="総数／構成比" dataDxfId="2167"/>
    <tableColumn id="12" xr3:uid="{E317CEE2-5F3A-4D69-A8EF-507045AD3AE8}" name="個人／事業所数" totalsRowFunction="sum" totalsRowDxfId="2166" dataCellStyle="桁区切り" totalsRowCellStyle="桁区切り"/>
    <tableColumn id="13" xr3:uid="{436F631A-4EA8-4BDE-B784-731876F3D203}" name="個人／構成比" dataDxfId="2165"/>
    <tableColumn id="14" xr3:uid="{3F4219DA-6577-4A0D-BF6C-162EB2E187FC}" name="法人／事業所数" totalsRowFunction="sum" totalsRowDxfId="2164" dataCellStyle="桁区切り" totalsRowCellStyle="桁区切り"/>
    <tableColumn id="15" xr3:uid="{BF113142-1C33-405B-8943-8AE910DF4F9C}" name="法人／構成比" dataDxfId="2163"/>
    <tableColumn id="16" xr3:uid="{0EEED8F6-A848-483A-A079-C5A0254C118E}" name="法人以外の団体／事業所数" totalsRowFunction="sum" totalsRowDxfId="2162" dataCellStyle="桁区切り" totalsRowCellStyle="桁区切り"/>
  </tableColumns>
  <tableStyleInfo name="TableStyleMedium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6F3804D9-F8FC-4FCD-A9F6-B7460B962BB0}" name="M_TABLE_01225" displayName="M_TABLE_01225" ref="B23:I43" totalsRowShown="0">
  <autoFilter ref="B23:I43" xr:uid="{6F3804D9-F8FC-4FCD-A9F6-B7460B962BB0}"/>
  <tableColumns count="8">
    <tableColumn id="9" xr3:uid="{30ABA3B0-9DD2-4824-AEA7-2B101F23FB49}" name="産業中分類上位２０"/>
    <tableColumn id="10" xr3:uid="{DB9A3176-D21D-4C57-B26A-222FC3967188}" name="総数／事業所数" dataCellStyle="桁区切り"/>
    <tableColumn id="11" xr3:uid="{CEBB8E0F-8712-47E1-8112-211887B71952}" name="総数／構成比" dataDxfId="2161"/>
    <tableColumn id="12" xr3:uid="{08BBC01C-5D2D-49CB-B5E8-936BDF3D493D}" name="個人／事業所数" dataCellStyle="桁区切り"/>
    <tableColumn id="13" xr3:uid="{E2F7B04D-98D9-4E43-B039-5FD3B402E87B}" name="個人／構成比" dataDxfId="2160"/>
    <tableColumn id="14" xr3:uid="{4EA1BB3F-B707-4C85-9B6B-825192EBE65D}" name="法人／事業所数" dataCellStyle="桁区切り"/>
    <tableColumn id="15" xr3:uid="{89D54080-3ACE-419F-B9AB-F9A737753EA1}" name="法人／構成比" dataDxfId="2159"/>
    <tableColumn id="16" xr3:uid="{BF2284CD-AAFB-4237-8F30-B138394DD80F}" name="法人以外の団体／事業所数" dataCellStyle="桁区切り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82B6C11E-E457-4CD2-B284-AB02DADCEE2C}" name="S_TABLE_01225" displayName="S_TABLE_01225" ref="B46:I67" totalsRowShown="0">
  <autoFilter ref="B46:I67" xr:uid="{82B6C11E-E457-4CD2-B284-AB02DADCEE2C}"/>
  <tableColumns count="8">
    <tableColumn id="9" xr3:uid="{F49AA794-3AE6-4FC0-B07D-4C12D6994875}" name="産業小分類上位２０"/>
    <tableColumn id="10" xr3:uid="{B73F8EED-77C6-4DDC-932C-6A779557454A}" name="総数／事業所数" dataCellStyle="桁区切り"/>
    <tableColumn id="11" xr3:uid="{8B65BA70-DA2A-48F8-B7DC-7078BCEBF655}" name="総数／構成比" dataDxfId="2158"/>
    <tableColumn id="12" xr3:uid="{F44B17FD-F797-4AF1-A5DA-F4C5DCE016B2}" name="個人／事業所数" dataCellStyle="桁区切り"/>
    <tableColumn id="13" xr3:uid="{415818BD-3265-40E9-B5C1-F38F37EC347F}" name="個人／構成比" dataDxfId="2157"/>
    <tableColumn id="14" xr3:uid="{D41D2759-C684-4D19-8A86-C642CDBF62A4}" name="法人／事業所数" dataCellStyle="桁区切り"/>
    <tableColumn id="15" xr3:uid="{652CF2B5-EBC8-41A5-97E5-82F73F4CC173}" name="法人／構成比" dataDxfId="2156"/>
    <tableColumn id="16" xr3:uid="{1B380F97-53B8-4C89-83C7-519290254E0F}" name="法人以外の団体／事業所数" dataCellStyle="桁区切り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AF34F807-F5DB-4ADD-85C1-0E20F997D2C5}" name="LTBL_01226" displayName="LTBL_01226" ref="B4:I20" totalsRowCount="1">
  <autoFilter ref="B4:I19" xr:uid="{AF34F807-F5DB-4ADD-85C1-0E20F997D2C5}"/>
  <tableColumns count="8">
    <tableColumn id="9" xr3:uid="{AEC70152-90B7-4760-A1D2-E0FBA405111C}" name="産業大分類" totalsRowLabel="合計" totalsRowDxfId="2155"/>
    <tableColumn id="10" xr3:uid="{3EEE19C8-765C-4D70-BC11-8A3323A8E2F2}" name="総数／事業所数" totalsRowFunction="custom" totalsRowDxfId="2154" dataCellStyle="桁区切り" totalsRowCellStyle="桁区切り">
      <totalsRowFormula>SUM(LTBL_01226[総数／事業所数])</totalsRowFormula>
    </tableColumn>
    <tableColumn id="11" xr3:uid="{CC81A509-8550-497F-BCA8-297ACBCA655C}" name="総数／構成比" dataDxfId="2153"/>
    <tableColumn id="12" xr3:uid="{A3D6195A-BA24-4A71-B59B-7C41E26FDB32}" name="個人／事業所数" totalsRowFunction="sum" totalsRowDxfId="2152" dataCellStyle="桁区切り" totalsRowCellStyle="桁区切り"/>
    <tableColumn id="13" xr3:uid="{2D8A48BE-3461-45AA-A19F-17C53C411EF3}" name="個人／構成比" dataDxfId="2151"/>
    <tableColumn id="14" xr3:uid="{0EDE726A-AC34-47DC-A297-7B780A893A1B}" name="法人／事業所数" totalsRowFunction="sum" totalsRowDxfId="2150" dataCellStyle="桁区切り" totalsRowCellStyle="桁区切り"/>
    <tableColumn id="15" xr3:uid="{01966737-D85B-400F-B954-E201E50BFD9B}" name="法人／構成比" dataDxfId="2149"/>
    <tableColumn id="16" xr3:uid="{4771E245-B513-40C3-8D8F-21067AF3FB0E}" name="法人以外の団体／事業所数" totalsRowFunction="sum" totalsRowDxfId="2148" dataCellStyle="桁区切り" totalsRowCellStyle="桁区切り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5C38CE5-6377-4338-94D8-BDF1B29B7A5F}" name="M_TABLE_01102" displayName="M_TABLE_01102" ref="B23:I43" totalsRowShown="0">
  <autoFilter ref="B23:I43" xr:uid="{E5C38CE5-6377-4338-94D8-BDF1B29B7A5F}"/>
  <tableColumns count="8">
    <tableColumn id="9" xr3:uid="{297BB1AD-E817-4DE4-B626-F97A2EE9A762}" name="産業中分類上位２０"/>
    <tableColumn id="10" xr3:uid="{E680CAAC-438A-408C-A00B-71BD266D8AB5}" name="総数／事業所数" dataCellStyle="桁区切り"/>
    <tableColumn id="11" xr3:uid="{CC088E8B-9327-43B0-9C81-71787AE70CEB}" name="総数／構成比" dataDxfId="2609"/>
    <tableColumn id="12" xr3:uid="{7A51BF4C-59F5-4052-B06A-3D41017CA364}" name="個人／事業所数" dataCellStyle="桁区切り"/>
    <tableColumn id="13" xr3:uid="{00EBABE0-4BF9-4DD3-979D-CEA76129C8D7}" name="個人／構成比" dataDxfId="2608"/>
    <tableColumn id="14" xr3:uid="{E4C1998B-D3C5-480B-A1CF-5C348AE8F885}" name="法人／事業所数" dataCellStyle="桁区切り"/>
    <tableColumn id="15" xr3:uid="{28E30577-93B7-4042-ABFC-E4C834F0BD42}" name="法人／構成比" dataDxfId="2607"/>
    <tableColumn id="16" xr3:uid="{70B30B87-E2A6-433F-A60B-65350241B204}" name="法人以外の団体／事業所数" dataCellStyle="桁区切り"/>
  </tableColumns>
  <tableStyleInfo name="TableStyleMedium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E2CF14F0-9345-4ACC-8CF9-82B99B3C0528}" name="M_TABLE_01226" displayName="M_TABLE_01226" ref="B23:I45" totalsRowShown="0">
  <autoFilter ref="B23:I45" xr:uid="{E2CF14F0-9345-4ACC-8CF9-82B99B3C0528}"/>
  <tableColumns count="8">
    <tableColumn id="9" xr3:uid="{0D764EC0-B4E3-4B27-8878-B69B6CBEC1A8}" name="産業中分類上位２０"/>
    <tableColumn id="10" xr3:uid="{8BD94BF6-1FD9-4BA7-B115-7417B01D0629}" name="総数／事業所数" dataCellStyle="桁区切り"/>
    <tableColumn id="11" xr3:uid="{AD022393-974C-48FE-842C-BFD9A5E6A877}" name="総数／構成比" dataDxfId="2147"/>
    <tableColumn id="12" xr3:uid="{DD5452C7-A85D-4755-92D5-670D310C5FD4}" name="個人／事業所数" dataCellStyle="桁区切り"/>
    <tableColumn id="13" xr3:uid="{D4114400-7CCA-4C9B-9C86-6D46223AB8A8}" name="個人／構成比" dataDxfId="2146"/>
    <tableColumn id="14" xr3:uid="{1FC8BECD-2920-47C8-B18A-7A885CC618F5}" name="法人／事業所数" dataCellStyle="桁区切り"/>
    <tableColumn id="15" xr3:uid="{C93FC16B-2ED4-45EE-814B-F8D8A01A904A}" name="法人／構成比" dataDxfId="2145"/>
    <tableColumn id="16" xr3:uid="{C543F5D9-419F-4F6C-B042-E61516F394E4}" name="法人以外の団体／事業所数" dataCellStyle="桁区切り"/>
  </tableColumns>
  <tableStyleInfo name="TableStyleMedium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4547F050-8D49-404C-BD6F-6967E03ED09C}" name="S_TABLE_01226" displayName="S_TABLE_01226" ref="B48:I70" totalsRowShown="0">
  <autoFilter ref="B48:I70" xr:uid="{4547F050-8D49-404C-BD6F-6967E03ED09C}"/>
  <tableColumns count="8">
    <tableColumn id="9" xr3:uid="{34D12FE9-6858-4406-BDAE-2E08B057C573}" name="産業小分類上位２０"/>
    <tableColumn id="10" xr3:uid="{00C55761-1DAB-481B-AFAC-8CA92046C405}" name="総数／事業所数" dataCellStyle="桁区切り"/>
    <tableColumn id="11" xr3:uid="{1380D608-CF42-410B-96FE-6843DCA1E55B}" name="総数／構成比" dataDxfId="2144"/>
    <tableColumn id="12" xr3:uid="{02C62E70-BE14-4EAA-90E2-59753EA0A0CD}" name="個人／事業所数" dataCellStyle="桁区切り"/>
    <tableColumn id="13" xr3:uid="{A0083F9E-768C-4B03-ACC3-D4F4E20D5502}" name="個人／構成比" dataDxfId="2143"/>
    <tableColumn id="14" xr3:uid="{858DD415-3A32-4741-A703-61D7FA38751E}" name="法人／事業所数" dataCellStyle="桁区切り"/>
    <tableColumn id="15" xr3:uid="{62EF4714-4611-44E1-A33F-C343E828F676}" name="法人／構成比" dataDxfId="2142"/>
    <tableColumn id="16" xr3:uid="{4EFB0BCF-BC75-481A-ADA2-739C876949EA}" name="法人以外の団体／事業所数" dataCellStyle="桁区切り"/>
  </tableColumns>
  <tableStyleInfo name="TableStyleMedium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7CC4CE7-4F67-4E17-B157-8F99A0A70FE7}" name="LTBL_01227" displayName="LTBL_01227" ref="B4:I20" totalsRowCount="1">
  <autoFilter ref="B4:I19" xr:uid="{07CC4CE7-4F67-4E17-B157-8F99A0A70FE7}"/>
  <tableColumns count="8">
    <tableColumn id="9" xr3:uid="{55B084F3-9078-450A-A630-D0A7B1B79455}" name="産業大分類" totalsRowLabel="合計" totalsRowDxfId="2141"/>
    <tableColumn id="10" xr3:uid="{297DCEDC-3A34-43B7-807F-71B161CEA3B8}" name="総数／事業所数" totalsRowFunction="custom" totalsRowDxfId="2140" dataCellStyle="桁区切り" totalsRowCellStyle="桁区切り">
      <totalsRowFormula>SUM(LTBL_01227[総数／事業所数])</totalsRowFormula>
    </tableColumn>
    <tableColumn id="11" xr3:uid="{72DF8362-8A5E-4FF0-8B14-609BA7A1145C}" name="総数／構成比" dataDxfId="2139"/>
    <tableColumn id="12" xr3:uid="{45EE9953-A8E5-4E11-A8B7-6D578A8F63DE}" name="個人／事業所数" totalsRowFunction="sum" totalsRowDxfId="2138" dataCellStyle="桁区切り" totalsRowCellStyle="桁区切り"/>
    <tableColumn id="13" xr3:uid="{DB727470-926E-46D1-BD74-69E7C5DA448C}" name="個人／構成比" dataDxfId="2137"/>
    <tableColumn id="14" xr3:uid="{280E9916-3186-4277-9AE0-5C744B8B0B30}" name="法人／事業所数" totalsRowFunction="sum" totalsRowDxfId="2136" dataCellStyle="桁区切り" totalsRowCellStyle="桁区切り"/>
    <tableColumn id="15" xr3:uid="{6EAECBFE-A37F-4CDE-AED7-79DB6DB5982E}" name="法人／構成比" dataDxfId="2135"/>
    <tableColumn id="16" xr3:uid="{DC384911-3673-4177-8018-28DCB9DABB4E}" name="法人以外の団体／事業所数" totalsRowFunction="sum" totalsRowDxfId="2134" dataCellStyle="桁区切り" totalsRowCellStyle="桁区切り"/>
  </tableColumns>
  <tableStyleInfo name="TableStyleMedium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4112FAA5-9BB7-49AC-BD1E-F329C46FE742}" name="M_TABLE_01227" displayName="M_TABLE_01227" ref="B23:I51" totalsRowShown="0">
  <autoFilter ref="B23:I51" xr:uid="{4112FAA5-9BB7-49AC-BD1E-F329C46FE742}"/>
  <tableColumns count="8">
    <tableColumn id="9" xr3:uid="{3C8D44CE-E79B-4124-B871-4685F9FD91E0}" name="産業中分類上位２０"/>
    <tableColumn id="10" xr3:uid="{330BF732-0EB1-4B25-947B-80453B107CEF}" name="総数／事業所数" dataCellStyle="桁区切り"/>
    <tableColumn id="11" xr3:uid="{B319849B-2960-473A-B32E-98F760AC31ED}" name="総数／構成比" dataDxfId="2133"/>
    <tableColumn id="12" xr3:uid="{990DEB03-60F7-4431-A89D-92329DE6A6D8}" name="個人／事業所数" dataCellStyle="桁区切り"/>
    <tableColumn id="13" xr3:uid="{2FC3079E-7758-43A7-95DA-983B1CD38053}" name="個人／構成比" dataDxfId="2132"/>
    <tableColumn id="14" xr3:uid="{75EE67A2-453B-492A-925B-FD609123B25E}" name="法人／事業所数" dataCellStyle="桁区切り"/>
    <tableColumn id="15" xr3:uid="{3DF0A45E-B42D-46A2-83D8-14315E0AFCA1}" name="法人／構成比" dataDxfId="2131"/>
    <tableColumn id="16" xr3:uid="{91DE6E75-8C14-4D71-AFF2-90170D694689}" name="法人以外の団体／事業所数" dataCellStyle="桁区切り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83E70823-5F73-4401-A6E8-5BC81F66690E}" name="S_TABLE_01227" displayName="S_TABLE_01227" ref="B54:I100" totalsRowShown="0">
  <autoFilter ref="B54:I100" xr:uid="{83E70823-5F73-4401-A6E8-5BC81F66690E}"/>
  <tableColumns count="8">
    <tableColumn id="9" xr3:uid="{9CEE680D-4432-4393-AA4B-5521F0920BE7}" name="産業小分類上位２０"/>
    <tableColumn id="10" xr3:uid="{60AE8E64-2937-48D1-9C5D-46284F9C32A0}" name="総数／事業所数" dataCellStyle="桁区切り"/>
    <tableColumn id="11" xr3:uid="{81DE6F20-3EC3-4F0D-AF4F-6A7F54434935}" name="総数／構成比" dataDxfId="2130"/>
    <tableColumn id="12" xr3:uid="{F251A435-76AD-4A21-B7FC-4900E51E3A2B}" name="個人／事業所数" dataCellStyle="桁区切り"/>
    <tableColumn id="13" xr3:uid="{AF03EC0C-72DD-4DE4-8FB3-C705FA803DD4}" name="個人／構成比" dataDxfId="2129"/>
    <tableColumn id="14" xr3:uid="{0B700733-F2BF-4169-A458-A3AEC9F4ED12}" name="法人／事業所数" dataCellStyle="桁区切り"/>
    <tableColumn id="15" xr3:uid="{169E9DFC-7AD9-4618-B8BA-DE0ED7CC13AC}" name="法人／構成比" dataDxfId="2128"/>
    <tableColumn id="16" xr3:uid="{5B04F04B-7611-4678-B650-B5051D6D0535}" name="法人以外の団体／事業所数" dataCellStyle="桁区切り"/>
  </tableColumns>
  <tableStyleInfo name="TableStyleMedium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51978EB8-6CB2-4B3A-BE5B-6CCC114FA374}" name="LTBL_01228" displayName="LTBL_01228" ref="B4:I20" totalsRowCount="1">
  <autoFilter ref="B4:I19" xr:uid="{51978EB8-6CB2-4B3A-BE5B-6CCC114FA374}"/>
  <tableColumns count="8">
    <tableColumn id="9" xr3:uid="{33FCA1A9-B651-42F4-A53B-13D16524AC3F}" name="産業大分類" totalsRowLabel="合計" totalsRowDxfId="2127"/>
    <tableColumn id="10" xr3:uid="{4D941436-9510-4E01-9D30-9DAD2F16AF5B}" name="総数／事業所数" totalsRowFunction="custom" totalsRowDxfId="2126" dataCellStyle="桁区切り" totalsRowCellStyle="桁区切り">
      <totalsRowFormula>SUM(LTBL_01228[総数／事業所数])</totalsRowFormula>
    </tableColumn>
    <tableColumn id="11" xr3:uid="{8A9048E2-D534-4A76-9E82-CFED2AC80778}" name="総数／構成比" dataDxfId="2125"/>
    <tableColumn id="12" xr3:uid="{936145DD-276D-4217-B991-4F43E410243E}" name="個人／事業所数" totalsRowFunction="sum" totalsRowDxfId="2124" dataCellStyle="桁区切り" totalsRowCellStyle="桁区切り"/>
    <tableColumn id="13" xr3:uid="{63F85A1B-F5C0-44C6-AEC7-BCEDE3A3388B}" name="個人／構成比" dataDxfId="2123"/>
    <tableColumn id="14" xr3:uid="{6AD85D3E-C9E1-4DAC-83E8-29777269D3C4}" name="法人／事業所数" totalsRowFunction="sum" totalsRowDxfId="2122" dataCellStyle="桁区切り" totalsRowCellStyle="桁区切り"/>
    <tableColumn id="15" xr3:uid="{E4315A1D-CF5B-40FF-9BD5-E799FE92F57C}" name="法人／構成比" dataDxfId="2121"/>
    <tableColumn id="16" xr3:uid="{F51832C3-EDE6-43D6-B6FC-747C48602AB1}" name="法人以外の団体／事業所数" totalsRowFunction="sum" totalsRowDxfId="2120" dataCellStyle="桁区切り" totalsRowCellStyle="桁区切り"/>
  </tableColumns>
  <tableStyleInfo name="TableStyleMedium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DEB9EE90-DB9A-4A8F-BD95-29E749F444C1}" name="M_TABLE_01228" displayName="M_TABLE_01228" ref="B23:I45" totalsRowShown="0">
  <autoFilter ref="B23:I45" xr:uid="{DEB9EE90-DB9A-4A8F-BD95-29E749F444C1}"/>
  <tableColumns count="8">
    <tableColumn id="9" xr3:uid="{AFE4DB46-E534-42BE-A57A-EBEE361A22B7}" name="産業中分類上位２０"/>
    <tableColumn id="10" xr3:uid="{5D4AFB01-2ADF-4504-AC44-92AEF7CB69C8}" name="総数／事業所数" dataCellStyle="桁区切り"/>
    <tableColumn id="11" xr3:uid="{F3FAE96A-040D-4E55-BA81-A90F361F99DF}" name="総数／構成比" dataDxfId="2119"/>
    <tableColumn id="12" xr3:uid="{99AA61E3-74EC-4158-93C0-993958769E77}" name="個人／事業所数" dataCellStyle="桁区切り"/>
    <tableColumn id="13" xr3:uid="{33097755-9843-4134-A73E-99C74AF70BED}" name="個人／構成比" dataDxfId="2118"/>
    <tableColumn id="14" xr3:uid="{4352E51B-2DAA-4F45-A571-A409A36E4646}" name="法人／事業所数" dataCellStyle="桁区切り"/>
    <tableColumn id="15" xr3:uid="{40B0B58C-12C5-4B20-A9CD-83D6B4F1FFFD}" name="法人／構成比" dataDxfId="2117"/>
    <tableColumn id="16" xr3:uid="{086AAB2B-235E-4BFB-8268-FC4378A301E6}" name="法人以外の団体／事業所数" dataCellStyle="桁区切り"/>
  </tableColumns>
  <tableStyleInfo name="TableStyleMedium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48F579E5-53A4-4F9A-9705-947DE710AD29}" name="S_TABLE_01228" displayName="S_TABLE_01228" ref="B48:I74" totalsRowShown="0">
  <autoFilter ref="B48:I74" xr:uid="{48F579E5-53A4-4F9A-9705-947DE710AD29}"/>
  <tableColumns count="8">
    <tableColumn id="9" xr3:uid="{400A81EB-AF86-4B9F-B1D4-7D91EFA6486A}" name="産業小分類上位２０"/>
    <tableColumn id="10" xr3:uid="{7EA2557C-B6FA-47FB-BF92-D02F0A852222}" name="総数／事業所数" dataCellStyle="桁区切り"/>
    <tableColumn id="11" xr3:uid="{D57D210E-EF0E-45F3-B8FC-E644EDED7905}" name="総数／構成比" dataDxfId="2116"/>
    <tableColumn id="12" xr3:uid="{339EB293-CD63-400D-B4D2-45521677A632}" name="個人／事業所数" dataCellStyle="桁区切り"/>
    <tableColumn id="13" xr3:uid="{65437B1E-A651-4A76-8DC3-9B82DBB9EA3F}" name="個人／構成比" dataDxfId="2115"/>
    <tableColumn id="14" xr3:uid="{A26DDEEF-6744-46F5-AF19-823CB4E80E34}" name="法人／事業所数" dataCellStyle="桁区切り"/>
    <tableColumn id="15" xr3:uid="{E14E4894-7D47-4ECE-8FD6-29594DA0D85E}" name="法人／構成比" dataDxfId="2114"/>
    <tableColumn id="16" xr3:uid="{72D6585B-C23F-4CD8-A7C5-130186E5F14E}" name="法人以外の団体／事業所数" dataCellStyle="桁区切り"/>
  </tableColumns>
  <tableStyleInfo name="TableStyleMedium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EB5DBA0-1825-4199-AD4E-DF7E6B4F2E8E}" name="LTBL_01229" displayName="LTBL_01229" ref="B4:I20" totalsRowCount="1">
  <autoFilter ref="B4:I19" xr:uid="{0EB5DBA0-1825-4199-AD4E-DF7E6B4F2E8E}"/>
  <tableColumns count="8">
    <tableColumn id="9" xr3:uid="{827DA185-5A24-4207-81A8-C69F2C39E279}" name="産業大分類" totalsRowLabel="合計" totalsRowDxfId="2113"/>
    <tableColumn id="10" xr3:uid="{4A9FCC47-5B0D-49AF-A553-D463C44947F0}" name="総数／事業所数" totalsRowFunction="custom" totalsRowDxfId="2112" dataCellStyle="桁区切り" totalsRowCellStyle="桁区切り">
      <totalsRowFormula>SUM(LTBL_01229[総数／事業所数])</totalsRowFormula>
    </tableColumn>
    <tableColumn id="11" xr3:uid="{F2CB5CEF-A60E-4213-9470-0544CC2E949E}" name="総数／構成比" dataDxfId="2111"/>
    <tableColumn id="12" xr3:uid="{1EEF54B7-21BE-4A95-A982-5F1837D9C514}" name="個人／事業所数" totalsRowFunction="sum" totalsRowDxfId="2110" dataCellStyle="桁区切り" totalsRowCellStyle="桁区切り"/>
    <tableColumn id="13" xr3:uid="{DDB01E2B-4B49-4027-BDFC-7A35DB41E706}" name="個人／構成比" dataDxfId="2109"/>
    <tableColumn id="14" xr3:uid="{81935E00-D081-486F-950E-7ED8C50A97EB}" name="法人／事業所数" totalsRowFunction="sum" totalsRowDxfId="2108" dataCellStyle="桁区切り" totalsRowCellStyle="桁区切り"/>
    <tableColumn id="15" xr3:uid="{456AAFFC-28E9-4417-B2EF-B30D6FF22D35}" name="法人／構成比" dataDxfId="2107"/>
    <tableColumn id="16" xr3:uid="{BB5DA003-E15D-4FA9-8FD9-EDD27AE551B3}" name="法人以外の団体／事業所数" totalsRowFunction="sum" totalsRowDxfId="2106" dataCellStyle="桁区切り" totalsRowCellStyle="桁区切り"/>
  </tableColumns>
  <tableStyleInfo name="TableStyleMedium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A8B062B4-FC64-4A4A-AEEF-6B8AB83FF719}" name="M_TABLE_01229" displayName="M_TABLE_01229" ref="B23:I43" totalsRowShown="0">
  <autoFilter ref="B23:I43" xr:uid="{A8B062B4-FC64-4A4A-AEEF-6B8AB83FF719}"/>
  <tableColumns count="8">
    <tableColumn id="9" xr3:uid="{92CC3959-F31F-4E1B-83D1-E4B4BD310304}" name="産業中分類上位２０"/>
    <tableColumn id="10" xr3:uid="{D7408A97-150A-4365-A607-746898E3536E}" name="総数／事業所数" dataCellStyle="桁区切り"/>
    <tableColumn id="11" xr3:uid="{73B622FA-2115-4661-913E-0D0022173EFE}" name="総数／構成比" dataDxfId="2105"/>
    <tableColumn id="12" xr3:uid="{C651B876-E4FE-40AD-8015-7151F14AC917}" name="個人／事業所数" dataCellStyle="桁区切り"/>
    <tableColumn id="13" xr3:uid="{E16554D5-09E2-4F55-9550-B267A69C93F9}" name="個人／構成比" dataDxfId="2104"/>
    <tableColumn id="14" xr3:uid="{2A41001D-BF72-44A8-AD13-857B2779D756}" name="法人／事業所数" dataCellStyle="桁区切り"/>
    <tableColumn id="15" xr3:uid="{AC7DCFE1-0AF8-4B98-94FC-E7F2D1D5D27F}" name="法人／構成比" dataDxfId="2103"/>
    <tableColumn id="16" xr3:uid="{39544E18-6530-4718-A8B1-F1B734D0EB62}" name="法人以外の団体／事業所数" dataCellStyle="桁区切り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6E602AF-D316-42E1-9438-47BEE6E2B1AA}" name="S_TABLE_01102" displayName="S_TABLE_01102" ref="B46:I66" totalsRowShown="0">
  <autoFilter ref="B46:I66" xr:uid="{06E602AF-D316-42E1-9438-47BEE6E2B1AA}"/>
  <tableColumns count="8">
    <tableColumn id="9" xr3:uid="{8F806DE6-009B-4431-B237-3C1957DB48D9}" name="産業小分類上位２０"/>
    <tableColumn id="10" xr3:uid="{86A747E7-E54D-4C70-8A97-CD22742A7FD2}" name="総数／事業所数" dataCellStyle="桁区切り"/>
    <tableColumn id="11" xr3:uid="{C680638D-4BC2-4AAB-BEC9-203845BB9985}" name="総数／構成比" dataDxfId="2606"/>
    <tableColumn id="12" xr3:uid="{D5D110BB-140F-4643-9AD4-3F607577397C}" name="個人／事業所数" dataCellStyle="桁区切り"/>
    <tableColumn id="13" xr3:uid="{6C32BD77-4299-4543-81C6-25C3060D9F63}" name="個人／構成比" dataDxfId="2605"/>
    <tableColumn id="14" xr3:uid="{20D93ACF-A3E6-4C4E-A10C-1D79028D9D74}" name="法人／事業所数" dataCellStyle="桁区切り"/>
    <tableColumn id="15" xr3:uid="{77AF2008-95AA-4195-B005-31340460247B}" name="法人／構成比" dataDxfId="2604"/>
    <tableColumn id="16" xr3:uid="{FC65544A-18AF-406F-AD08-E4E99724DD18}" name="法人以外の団体／事業所数" dataCellStyle="桁区切り"/>
  </tableColumns>
  <tableStyleInfo name="TableStyleMedium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CEB3B430-4AFC-4177-865A-BF6516CB05CF}" name="S_TABLE_01229" displayName="S_TABLE_01229" ref="B46:I66" totalsRowShown="0">
  <autoFilter ref="B46:I66" xr:uid="{CEB3B430-4AFC-4177-865A-BF6516CB05CF}"/>
  <tableColumns count="8">
    <tableColumn id="9" xr3:uid="{727F2F5C-4E82-4E15-931A-04C98174E6AA}" name="産業小分類上位２０"/>
    <tableColumn id="10" xr3:uid="{3CF86060-B7BF-4DA0-961C-1F8E009AFF3D}" name="総数／事業所数" dataCellStyle="桁区切り"/>
    <tableColumn id="11" xr3:uid="{D2A49CAA-6D0E-4618-80AE-57970D8ACC10}" name="総数／構成比" dataDxfId="2102"/>
    <tableColumn id="12" xr3:uid="{9FC76CCB-3A57-4EFF-81C2-36DD2A1D7F36}" name="個人／事業所数" dataCellStyle="桁区切り"/>
    <tableColumn id="13" xr3:uid="{5798F2C4-03D6-4A79-AF15-3D1F14A42129}" name="個人／構成比" dataDxfId="2101"/>
    <tableColumn id="14" xr3:uid="{063FEC1C-3567-43C6-B8F8-FA44E5D828DC}" name="法人／事業所数" dataCellStyle="桁区切り"/>
    <tableColumn id="15" xr3:uid="{CA4E56E5-4B05-4742-A4A0-A4C5091C3C36}" name="法人／構成比" dataDxfId="2100"/>
    <tableColumn id="16" xr3:uid="{226ADE2F-7A5F-49F2-8E98-67F4FCCF9290}" name="法人以外の団体／事業所数" dataCellStyle="桁区切り"/>
  </tableColumns>
  <tableStyleInfo name="TableStyleMedium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7911270E-DC84-48D1-8C5F-94550ABE0055}" name="LTBL_01230" displayName="LTBL_01230" ref="B4:I20" totalsRowCount="1">
  <autoFilter ref="B4:I19" xr:uid="{7911270E-DC84-48D1-8C5F-94550ABE0055}"/>
  <tableColumns count="8">
    <tableColumn id="9" xr3:uid="{FFD776BD-8233-4DC8-BE61-EC63170038B8}" name="産業大分類" totalsRowLabel="合計" totalsRowDxfId="2099"/>
    <tableColumn id="10" xr3:uid="{78C74F2F-8004-456C-A7A5-DF13EE8DD82A}" name="総数／事業所数" totalsRowFunction="custom" totalsRowDxfId="2098" dataCellStyle="桁区切り" totalsRowCellStyle="桁区切り">
      <totalsRowFormula>SUM(LTBL_01230[総数／事業所数])</totalsRowFormula>
    </tableColumn>
    <tableColumn id="11" xr3:uid="{9FF2D87F-5949-4431-9649-EDDDE8CFC4C1}" name="総数／構成比" dataDxfId="2097"/>
    <tableColumn id="12" xr3:uid="{FAA275A6-B53E-42EE-8E32-936EEA5BC34E}" name="個人／事業所数" totalsRowFunction="sum" totalsRowDxfId="2096" dataCellStyle="桁区切り" totalsRowCellStyle="桁区切り"/>
    <tableColumn id="13" xr3:uid="{C87A7F61-8FC7-49DD-AB5F-1AAF0C6F035D}" name="個人／構成比" dataDxfId="2095"/>
    <tableColumn id="14" xr3:uid="{12CB9B03-87EE-478B-BD5D-E9D589BB7B1F}" name="法人／事業所数" totalsRowFunction="sum" totalsRowDxfId="2094" dataCellStyle="桁区切り" totalsRowCellStyle="桁区切り"/>
    <tableColumn id="15" xr3:uid="{D5697AB8-4B84-4FCF-ACAF-27A629117E59}" name="法人／構成比" dataDxfId="2093"/>
    <tableColumn id="16" xr3:uid="{4BF60870-F141-4B3D-9A06-7319B47DA866}" name="法人以外の団体／事業所数" totalsRowFunction="sum" totalsRowDxfId="2092" dataCellStyle="桁区切り" totalsRowCellStyle="桁区切り"/>
  </tableColumns>
  <tableStyleInfo name="TableStyleMedium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7D21C6A-D1BE-4B6C-BC15-3E56A32044D7}" name="M_TABLE_01230" displayName="M_TABLE_01230" ref="B23:I43" totalsRowShown="0">
  <autoFilter ref="B23:I43" xr:uid="{07D21C6A-D1BE-4B6C-BC15-3E56A32044D7}"/>
  <tableColumns count="8">
    <tableColumn id="9" xr3:uid="{CA4AE0FF-C288-4A1D-8CF3-2F76D442A53B}" name="産業中分類上位２０"/>
    <tableColumn id="10" xr3:uid="{BA3D5855-6921-4ED6-BA11-23DE3A30AF70}" name="総数／事業所数" dataCellStyle="桁区切り"/>
    <tableColumn id="11" xr3:uid="{B36DC254-0E4B-4174-A05B-5A6FDE3744CC}" name="総数／構成比" dataDxfId="2091"/>
    <tableColumn id="12" xr3:uid="{993164C0-B8EC-49BB-879B-2812ECB52B5C}" name="個人／事業所数" dataCellStyle="桁区切り"/>
    <tableColumn id="13" xr3:uid="{7E58436A-6052-4AA6-8D3A-45EEB7F6642E}" name="個人／構成比" dataDxfId="2090"/>
    <tableColumn id="14" xr3:uid="{1EBAA00C-F929-43F5-AE59-B94134AFBDFE}" name="法人／事業所数" dataCellStyle="桁区切り"/>
    <tableColumn id="15" xr3:uid="{F23A8211-4E1D-49AD-A1EB-0416B6623514}" name="法人／構成比" dataDxfId="2089"/>
    <tableColumn id="16" xr3:uid="{F9F203C7-7F4F-416C-BBDD-58FCBD3E8865}" name="法人以外の団体／事業所数" dataCellStyle="桁区切り"/>
  </tableColumns>
  <tableStyleInfo name="TableStyleMedium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B107426C-FBBE-4445-B2CB-806C0C383076}" name="S_TABLE_01230" displayName="S_TABLE_01230" ref="B46:I66" totalsRowShown="0">
  <autoFilter ref="B46:I66" xr:uid="{B107426C-FBBE-4445-B2CB-806C0C383076}"/>
  <tableColumns count="8">
    <tableColumn id="9" xr3:uid="{C676BC2A-390F-469A-AF3F-4C8363210BD9}" name="産業小分類上位２０"/>
    <tableColumn id="10" xr3:uid="{BD646FB1-E0D6-4D0C-B73C-54EF89E56934}" name="総数／事業所数" dataCellStyle="桁区切り"/>
    <tableColumn id="11" xr3:uid="{751E4A42-DC92-4363-B013-E2C7B65A724A}" name="総数／構成比" dataDxfId="2088"/>
    <tableColumn id="12" xr3:uid="{14E19725-480C-4AC2-A3EF-7CF19990D204}" name="個人／事業所数" dataCellStyle="桁区切り"/>
    <tableColumn id="13" xr3:uid="{E3F9C91A-2961-4674-A6A5-2695239790C2}" name="個人／構成比" dataDxfId="2087"/>
    <tableColumn id="14" xr3:uid="{7B53FF24-0709-44E4-9D4F-06E144B6B8F3}" name="法人／事業所数" dataCellStyle="桁区切り"/>
    <tableColumn id="15" xr3:uid="{010F1F17-AACA-4F6C-A285-AE42045EFC54}" name="法人／構成比" dataDxfId="2086"/>
    <tableColumn id="16" xr3:uid="{5F10A288-68EE-488B-8486-0E39B618EFA3}" name="法人以外の団体／事業所数" dataCellStyle="桁区切り"/>
  </tableColumns>
  <tableStyleInfo name="TableStyleMedium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DB3F0530-5AFE-4F1B-B55A-2E0BD0469347}" name="LTBL_01231" displayName="LTBL_01231" ref="B4:I20" totalsRowCount="1">
  <autoFilter ref="B4:I19" xr:uid="{DB3F0530-5AFE-4F1B-B55A-2E0BD0469347}"/>
  <tableColumns count="8">
    <tableColumn id="9" xr3:uid="{0FEF489F-BE47-485B-B04D-DA0328AEFBA0}" name="産業大分類" totalsRowLabel="合計" totalsRowDxfId="2085"/>
    <tableColumn id="10" xr3:uid="{993B245C-0146-4A26-BF2D-F472B4E350A1}" name="総数／事業所数" totalsRowFunction="custom" totalsRowDxfId="2084" dataCellStyle="桁区切り" totalsRowCellStyle="桁区切り">
      <totalsRowFormula>SUM(LTBL_01231[総数／事業所数])</totalsRowFormula>
    </tableColumn>
    <tableColumn id="11" xr3:uid="{E6884C83-397C-49C9-8122-F650C9E1C736}" name="総数／構成比" dataDxfId="2083"/>
    <tableColumn id="12" xr3:uid="{3344D3E8-6560-4150-BBEE-8E27E82C9157}" name="個人／事業所数" totalsRowFunction="sum" totalsRowDxfId="2082" dataCellStyle="桁区切り" totalsRowCellStyle="桁区切り"/>
    <tableColumn id="13" xr3:uid="{124DD9E5-0DFA-4CB5-9D2D-EF52D5A85A66}" name="個人／構成比" dataDxfId="2081"/>
    <tableColumn id="14" xr3:uid="{0F56DA6F-7343-4A8D-B946-DC32582F88D6}" name="法人／事業所数" totalsRowFunction="sum" totalsRowDxfId="2080" dataCellStyle="桁区切り" totalsRowCellStyle="桁区切り"/>
    <tableColumn id="15" xr3:uid="{C03B3FA2-6AF3-4E14-9148-6806F07525AB}" name="法人／構成比" dataDxfId="2079"/>
    <tableColumn id="16" xr3:uid="{E38B41FD-4864-473B-B16D-1412096C57C3}" name="法人以外の団体／事業所数" totalsRowFunction="sum" totalsRowDxfId="2078" dataCellStyle="桁区切り" totalsRowCellStyle="桁区切り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37A577D5-30EA-4616-8C2E-58699A2B0D3A}" name="M_TABLE_01231" displayName="M_TABLE_01231" ref="B23:I43" totalsRowShown="0">
  <autoFilter ref="B23:I43" xr:uid="{37A577D5-30EA-4616-8C2E-58699A2B0D3A}"/>
  <tableColumns count="8">
    <tableColumn id="9" xr3:uid="{5C53AB82-9171-4908-A1BD-B355C1983E77}" name="産業中分類上位２０"/>
    <tableColumn id="10" xr3:uid="{2A1EF2A1-CE70-4E5B-BB98-68B959CE4F7A}" name="総数／事業所数" dataCellStyle="桁区切り"/>
    <tableColumn id="11" xr3:uid="{6F17F431-05FF-445B-95C0-FE50C0AC3EDA}" name="総数／構成比" dataDxfId="2077"/>
    <tableColumn id="12" xr3:uid="{AFA34793-F576-4486-BC4A-A21D345360CC}" name="個人／事業所数" dataCellStyle="桁区切り"/>
    <tableColumn id="13" xr3:uid="{30879B37-926E-40F2-A8DA-56A34F824CAA}" name="個人／構成比" dataDxfId="2076"/>
    <tableColumn id="14" xr3:uid="{75D10D22-A340-4945-94D7-18C58AA8FA44}" name="法人／事業所数" dataCellStyle="桁区切り"/>
    <tableColumn id="15" xr3:uid="{1C14AB17-92B8-4CA7-A5D3-2067F36EB93C}" name="法人／構成比" dataDxfId="2075"/>
    <tableColumn id="16" xr3:uid="{BDF305D5-39C9-41EA-A9E2-F33E952182D1}" name="法人以外の団体／事業所数" dataCellStyle="桁区切り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56C6CEE8-158E-4AD0-A935-890F807AF5F9}" name="S_TABLE_01231" displayName="S_TABLE_01231" ref="B46:I67" totalsRowShown="0">
  <autoFilter ref="B46:I67" xr:uid="{56C6CEE8-158E-4AD0-A935-890F807AF5F9}"/>
  <tableColumns count="8">
    <tableColumn id="9" xr3:uid="{EE5D21B7-871F-4F78-A211-BFCEA0D3C6B1}" name="産業小分類上位２０"/>
    <tableColumn id="10" xr3:uid="{5ED24BC1-6A4F-48D1-86C8-332C22DF53BB}" name="総数／事業所数" dataCellStyle="桁区切り"/>
    <tableColumn id="11" xr3:uid="{9D2734B2-6F59-4DC1-BAAC-800A89E043C7}" name="総数／構成比" dataDxfId="2074"/>
    <tableColumn id="12" xr3:uid="{5A1A5E37-67B9-412B-88E3-50111FA7152A}" name="個人／事業所数" dataCellStyle="桁区切り"/>
    <tableColumn id="13" xr3:uid="{599B32E9-4814-432C-AA2F-754DB56190F2}" name="個人／構成比" dataDxfId="2073"/>
    <tableColumn id="14" xr3:uid="{53295CBB-8453-494B-9C13-BB806E88A375}" name="法人／事業所数" dataCellStyle="桁区切り"/>
    <tableColumn id="15" xr3:uid="{E6E1F573-7766-44D4-8766-48E568003045}" name="法人／構成比" dataDxfId="2072"/>
    <tableColumn id="16" xr3:uid="{47FE6A27-F550-442A-B714-6CA5B8EFD87E}" name="法人以外の団体／事業所数" dataCellStyle="桁区切り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9CED10D5-84D4-46E5-83C1-F42FFCD3A073}" name="LTBL_01233" displayName="LTBL_01233" ref="B4:I20" totalsRowCount="1">
  <autoFilter ref="B4:I19" xr:uid="{9CED10D5-84D4-46E5-83C1-F42FFCD3A073}"/>
  <tableColumns count="8">
    <tableColumn id="9" xr3:uid="{02552037-9D8F-4BBB-98D5-C9C1C8E842E7}" name="産業大分類" totalsRowLabel="合計" totalsRowDxfId="2071"/>
    <tableColumn id="10" xr3:uid="{A99D49C4-E511-4892-A43F-8AD55713BB11}" name="総数／事業所数" totalsRowFunction="custom" totalsRowDxfId="2070" dataCellStyle="桁区切り" totalsRowCellStyle="桁区切り">
      <totalsRowFormula>SUM(LTBL_01233[総数／事業所数])</totalsRowFormula>
    </tableColumn>
    <tableColumn id="11" xr3:uid="{D3CB47DD-7737-4514-9B21-29872BE61088}" name="総数／構成比" dataDxfId="2069"/>
    <tableColumn id="12" xr3:uid="{586CED82-1EB7-4FA9-8FA0-1E8DA20E9DDA}" name="個人／事業所数" totalsRowFunction="sum" totalsRowDxfId="2068" dataCellStyle="桁区切り" totalsRowCellStyle="桁区切り"/>
    <tableColumn id="13" xr3:uid="{37D95E80-E2D6-43A5-AFDF-215E658F784E}" name="個人／構成比" dataDxfId="2067"/>
    <tableColumn id="14" xr3:uid="{E565D1E6-33CE-4DE7-B717-5CAB48B2455B}" name="法人／事業所数" totalsRowFunction="sum" totalsRowDxfId="2066" dataCellStyle="桁区切り" totalsRowCellStyle="桁区切り"/>
    <tableColumn id="15" xr3:uid="{2A8C64EF-4541-4707-B158-358C1A4ECBBF}" name="法人／構成比" dataDxfId="2065"/>
    <tableColumn id="16" xr3:uid="{92A5FFB5-E6C8-4276-946E-2689C672441F}" name="法人以外の団体／事業所数" totalsRowFunction="sum" totalsRowDxfId="2064" dataCellStyle="桁区切り" totalsRowCellStyle="桁区切り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7EC1FA1B-CB84-4DBA-A86E-B86335FD125F}" name="M_TABLE_01233" displayName="M_TABLE_01233" ref="B23:I47" totalsRowShown="0">
  <autoFilter ref="B23:I47" xr:uid="{7EC1FA1B-CB84-4DBA-A86E-B86335FD125F}"/>
  <tableColumns count="8">
    <tableColumn id="9" xr3:uid="{B34E71EB-016C-439F-823B-BAFBE69E3CCA}" name="産業中分類上位２０"/>
    <tableColumn id="10" xr3:uid="{488C70D4-FC80-4026-B114-70F92ECB7680}" name="総数／事業所数" dataCellStyle="桁区切り"/>
    <tableColumn id="11" xr3:uid="{9A8031A7-A82F-4539-BF04-A7035BA55631}" name="総数／構成比" dataDxfId="2063"/>
    <tableColumn id="12" xr3:uid="{286C7D0A-08A0-460B-97DB-A6BB25C19756}" name="個人／事業所数" dataCellStyle="桁区切り"/>
    <tableColumn id="13" xr3:uid="{E0548FF0-101E-4D8E-96E4-D6AA4CFE8B2C}" name="個人／構成比" dataDxfId="2062"/>
    <tableColumn id="14" xr3:uid="{C2819056-0CED-4E89-ACCA-623B4B3AA482}" name="法人／事業所数" dataCellStyle="桁区切り"/>
    <tableColumn id="15" xr3:uid="{D70D27D2-B28D-487F-8C22-2AE16E295BE8}" name="法人／構成比" dataDxfId="2061"/>
    <tableColumn id="16" xr3:uid="{0C41B3D4-0E3C-4F5E-99E3-D2B4FF4DE18D}" name="法人以外の団体／事業所数" dataCellStyle="桁区切り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51D15643-7FFF-4946-B589-8CBFABF167AD}" name="S_TABLE_01233" displayName="S_TABLE_01233" ref="B50:I73" totalsRowShown="0">
  <autoFilter ref="B50:I73" xr:uid="{51D15643-7FFF-4946-B589-8CBFABF167AD}"/>
  <tableColumns count="8">
    <tableColumn id="9" xr3:uid="{11CF7A91-A7FD-4830-AE07-B0AEC9FB9455}" name="産業小分類上位２０"/>
    <tableColumn id="10" xr3:uid="{BEC9AC68-A6FF-4EE4-A295-D8654BCD329F}" name="総数／事業所数" dataCellStyle="桁区切り"/>
    <tableColumn id="11" xr3:uid="{FC018F28-5217-4921-BD47-416707484A89}" name="総数／構成比" dataDxfId="2060"/>
    <tableColumn id="12" xr3:uid="{69B6D605-FA44-4AB4-9022-DB5F3F3979FD}" name="個人／事業所数" dataCellStyle="桁区切り"/>
    <tableColumn id="13" xr3:uid="{E6AD4857-B93D-4858-9B1F-8C5065514B09}" name="個人／構成比" dataDxfId="2059"/>
    <tableColumn id="14" xr3:uid="{A661C911-F611-42EE-BE37-ED72F611CF9C}" name="法人／事業所数" dataCellStyle="桁区切り"/>
    <tableColumn id="15" xr3:uid="{59E63928-2763-4849-B4D1-28DB9A1276CE}" name="法人／構成比" dataDxfId="2058"/>
    <tableColumn id="16" xr3:uid="{E543A1CE-4449-4192-8AED-E5064A74500F}" name="法人以外の団体／事業所数" dataCellStyle="桁区切り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943FB09-AB70-4097-A793-C3E5FEAEBEBB}" name="LTBL_01103" displayName="LTBL_01103" ref="B4:I20" totalsRowCount="1">
  <autoFilter ref="B4:I19" xr:uid="{C943FB09-AB70-4097-A793-C3E5FEAEBEBB}"/>
  <tableColumns count="8">
    <tableColumn id="9" xr3:uid="{F65F2192-88AC-41CB-B2D0-AD15C45A9EA8}" name="産業大分類" totalsRowLabel="合計" totalsRowDxfId="2603"/>
    <tableColumn id="10" xr3:uid="{AAB739F0-F944-4E1D-B6E7-2191348E8DF2}" name="総数／事業所数" totalsRowFunction="custom" totalsRowDxfId="2602" dataCellStyle="桁区切り" totalsRowCellStyle="桁区切り">
      <totalsRowFormula>SUM(LTBL_01103[総数／事業所数])</totalsRowFormula>
    </tableColumn>
    <tableColumn id="11" xr3:uid="{02A83D3F-3E63-412F-907E-A948DCD85BEE}" name="総数／構成比" dataDxfId="2601"/>
    <tableColumn id="12" xr3:uid="{90B69925-5B04-4AE9-86F8-556B5C5FD513}" name="個人／事業所数" totalsRowFunction="sum" totalsRowDxfId="2600" dataCellStyle="桁区切り" totalsRowCellStyle="桁区切り"/>
    <tableColumn id="13" xr3:uid="{3E08556B-AAAF-4014-9221-34E14AA1BD05}" name="個人／構成比" dataDxfId="2599"/>
    <tableColumn id="14" xr3:uid="{77D192BD-0BFB-4950-83B3-C01174F3425E}" name="法人／事業所数" totalsRowFunction="sum" totalsRowDxfId="2598" dataCellStyle="桁区切り" totalsRowCellStyle="桁区切り"/>
    <tableColumn id="15" xr3:uid="{795DAD6C-F758-4043-B3B5-745D3DBF718A}" name="法人／構成比" dataDxfId="2597"/>
    <tableColumn id="16" xr3:uid="{87B6856A-143A-465F-9196-1FABEFAE92FD}" name="法人以外の団体／事業所数" totalsRowFunction="sum" totalsRowDxfId="2596" dataCellStyle="桁区切り" totalsRowCellStyle="桁区切り"/>
  </tableColumns>
  <tableStyleInfo name="TableStyleMedium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4A982F72-3932-4B02-9AD9-EC1527ED08CD}" name="LTBL_01234" displayName="LTBL_01234" ref="B4:I20" totalsRowCount="1">
  <autoFilter ref="B4:I19" xr:uid="{4A982F72-3932-4B02-9AD9-EC1527ED08CD}"/>
  <tableColumns count="8">
    <tableColumn id="9" xr3:uid="{BD05BA8C-55D7-458A-AD31-BFF1840F20D3}" name="産業大分類" totalsRowLabel="合計" totalsRowDxfId="2057"/>
    <tableColumn id="10" xr3:uid="{B4471416-A6C6-4F01-8235-6291CEC2B707}" name="総数／事業所数" totalsRowFunction="custom" totalsRowDxfId="2056" dataCellStyle="桁区切り" totalsRowCellStyle="桁区切り">
      <totalsRowFormula>SUM(LTBL_01234[総数／事業所数])</totalsRowFormula>
    </tableColumn>
    <tableColumn id="11" xr3:uid="{F50A3233-88DC-456B-97E9-B68D6B23E384}" name="総数／構成比" dataDxfId="2055"/>
    <tableColumn id="12" xr3:uid="{2A76F0B1-FEE9-4EF6-A0F8-7908BD692D96}" name="個人／事業所数" totalsRowFunction="sum" totalsRowDxfId="2054" dataCellStyle="桁区切り" totalsRowCellStyle="桁区切り"/>
    <tableColumn id="13" xr3:uid="{3F95283C-736B-451C-9E40-14933A9A00E0}" name="個人／構成比" dataDxfId="2053"/>
    <tableColumn id="14" xr3:uid="{2F6FF19A-A7E9-468A-A092-047B62C1AE8E}" name="法人／事業所数" totalsRowFunction="sum" totalsRowDxfId="2052" dataCellStyle="桁区切り" totalsRowCellStyle="桁区切り"/>
    <tableColumn id="15" xr3:uid="{964AEBE6-954F-48C5-BC43-E292DED90172}" name="法人／構成比" dataDxfId="2051"/>
    <tableColumn id="16" xr3:uid="{1AE7C633-160F-43BA-9E24-A69F82856834}" name="法人以外の団体／事業所数" totalsRowFunction="sum" totalsRowDxfId="2050" dataCellStyle="桁区切り" totalsRowCellStyle="桁区切り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F1DBBC77-D100-43D7-B065-064EA2AAD127}" name="M_TABLE_01234" displayName="M_TABLE_01234" ref="B23:I44" totalsRowShown="0">
  <autoFilter ref="B23:I44" xr:uid="{F1DBBC77-D100-43D7-B065-064EA2AAD127}"/>
  <tableColumns count="8">
    <tableColumn id="9" xr3:uid="{ECA199BF-0A6C-42AF-8C06-A2997511D6CD}" name="産業中分類上位２０"/>
    <tableColumn id="10" xr3:uid="{48C44BFB-DB43-4CA1-9C67-22D1981FCFAE}" name="総数／事業所数" dataCellStyle="桁区切り"/>
    <tableColumn id="11" xr3:uid="{3A97607E-0075-4231-B189-B6DFED28E425}" name="総数／構成比" dataDxfId="2049"/>
    <tableColumn id="12" xr3:uid="{5FA9B1FE-B4E9-40D4-BC2B-0D9D90926043}" name="個人／事業所数" dataCellStyle="桁区切り"/>
    <tableColumn id="13" xr3:uid="{857E2B52-FB34-43A1-AF37-4987084597F1}" name="個人／構成比" dataDxfId="2048"/>
    <tableColumn id="14" xr3:uid="{74D8BEE3-1E5F-4FD0-94E1-9469B80E5C49}" name="法人／事業所数" dataCellStyle="桁区切り"/>
    <tableColumn id="15" xr3:uid="{CD2D48FC-8302-4A36-85E7-3C9549A6BBC5}" name="法人／構成比" dataDxfId="2047"/>
    <tableColumn id="16" xr3:uid="{E1EA35F6-0635-4BB0-9850-658A9A459EFC}" name="法人以外の団体／事業所数" dataCellStyle="桁区切り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1D9AB72A-0092-40C1-B97F-34C58D23C369}" name="S_TABLE_01234" displayName="S_TABLE_01234" ref="B47:I67" totalsRowShown="0">
  <autoFilter ref="B47:I67" xr:uid="{1D9AB72A-0092-40C1-B97F-34C58D23C369}"/>
  <tableColumns count="8">
    <tableColumn id="9" xr3:uid="{5153585A-135B-4F86-BAF2-DF94718CA4C0}" name="産業小分類上位２０"/>
    <tableColumn id="10" xr3:uid="{23AF3106-DD8E-47F2-A5D9-0454BBD2C9FF}" name="総数／事業所数" dataCellStyle="桁区切り"/>
    <tableColumn id="11" xr3:uid="{0A560C31-1C01-49F2-B6E5-4F0758E85E46}" name="総数／構成比" dataDxfId="2046"/>
    <tableColumn id="12" xr3:uid="{108B1BA2-015D-48BE-A69D-18962C9638CC}" name="個人／事業所数" dataCellStyle="桁区切り"/>
    <tableColumn id="13" xr3:uid="{821A1BE7-7EAA-4940-BA80-EF42DBC9BEB6}" name="個人／構成比" dataDxfId="2045"/>
    <tableColumn id="14" xr3:uid="{C6DFB188-CABC-4493-97F7-2F111B245039}" name="法人／事業所数" dataCellStyle="桁区切り"/>
    <tableColumn id="15" xr3:uid="{FFFC4295-AFB7-4530-8232-226B790D35D3}" name="法人／構成比" dataDxfId="2044"/>
    <tableColumn id="16" xr3:uid="{7B415519-F679-4358-B6C7-8D9D7A019843}" name="法人以外の団体／事業所数" dataCellStyle="桁区切り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5495FD37-403E-4E39-8B70-FD4FBA2E568D}" name="LTBL_01235" displayName="LTBL_01235" ref="B4:I20" totalsRowCount="1">
  <autoFilter ref="B4:I19" xr:uid="{5495FD37-403E-4E39-8B70-FD4FBA2E568D}"/>
  <tableColumns count="8">
    <tableColumn id="9" xr3:uid="{4F18A734-67DA-4F5D-9754-66103C738ACF}" name="産業大分類" totalsRowLabel="合計" totalsRowDxfId="2043"/>
    <tableColumn id="10" xr3:uid="{81B744E5-A00B-4A67-A480-35E309B7AC16}" name="総数／事業所数" totalsRowFunction="custom" totalsRowDxfId="2042" dataCellStyle="桁区切り" totalsRowCellStyle="桁区切り">
      <totalsRowFormula>SUM(LTBL_01235[総数／事業所数])</totalsRowFormula>
    </tableColumn>
    <tableColumn id="11" xr3:uid="{562AD3EB-282B-4AFD-9451-7666528E636A}" name="総数／構成比" dataDxfId="2041"/>
    <tableColumn id="12" xr3:uid="{DFCF1C58-0126-41A5-AFCF-2A82BA6DE16A}" name="個人／事業所数" totalsRowFunction="sum" totalsRowDxfId="2040" dataCellStyle="桁区切り" totalsRowCellStyle="桁区切り"/>
    <tableColumn id="13" xr3:uid="{7C529EFB-5FCF-428D-B964-0AC6E3F914DB}" name="個人／構成比" dataDxfId="2039"/>
    <tableColumn id="14" xr3:uid="{4E9BAD97-F1FF-4C0C-B696-E7FB746636DA}" name="法人／事業所数" totalsRowFunction="sum" totalsRowDxfId="2038" dataCellStyle="桁区切り" totalsRowCellStyle="桁区切り"/>
    <tableColumn id="15" xr3:uid="{17A10E37-3A8F-426A-9FA3-C285C3CE4A58}" name="法人／構成比" dataDxfId="2037"/>
    <tableColumn id="16" xr3:uid="{5217EAD4-40B8-41FA-8505-6439F6271B2E}" name="法人以外の団体／事業所数" totalsRowFunction="sum" totalsRowDxfId="2036" dataCellStyle="桁区切り" totalsRowCellStyle="桁区切り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26CBCD25-19FC-4CC3-8FFB-C26603F0E05C}" name="M_TABLE_01235" displayName="M_TABLE_01235" ref="B23:I43" totalsRowShown="0">
  <autoFilter ref="B23:I43" xr:uid="{26CBCD25-19FC-4CC3-8FFB-C26603F0E05C}"/>
  <tableColumns count="8">
    <tableColumn id="9" xr3:uid="{E36496D6-05D4-4216-BB77-916BF6C0E763}" name="産業中分類上位２０"/>
    <tableColumn id="10" xr3:uid="{8838E52E-113C-4951-A2A5-A484D86BDAE8}" name="総数／事業所数" dataCellStyle="桁区切り"/>
    <tableColumn id="11" xr3:uid="{3B6FF324-1CF9-495C-8FA5-44EA9389ADA7}" name="総数／構成比" dataDxfId="2035"/>
    <tableColumn id="12" xr3:uid="{3EDB2D86-2DD6-4E4E-B9A1-F51133A2774B}" name="個人／事業所数" dataCellStyle="桁区切り"/>
    <tableColumn id="13" xr3:uid="{89D7BA33-F5E9-4D99-BB23-BB5EF38C35F0}" name="個人／構成比" dataDxfId="2034"/>
    <tableColumn id="14" xr3:uid="{DEDD5B0E-7F90-4FF7-A52D-477A7CE18EA5}" name="法人／事業所数" dataCellStyle="桁区切り"/>
    <tableColumn id="15" xr3:uid="{91740AE6-A7DA-41E2-91DF-AC097DA3DA8A}" name="法人／構成比" dataDxfId="2033"/>
    <tableColumn id="16" xr3:uid="{BD467F06-52B7-4919-82A6-82E5D1CA20F5}" name="法人以外の団体／事業所数" dataCellStyle="桁区切り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B05EB882-41EB-44BD-B541-B79B49131DFE}" name="S_TABLE_01235" displayName="S_TABLE_01235" ref="B46:I66" totalsRowShown="0">
  <autoFilter ref="B46:I66" xr:uid="{B05EB882-41EB-44BD-B541-B79B49131DFE}"/>
  <tableColumns count="8">
    <tableColumn id="9" xr3:uid="{0D72E612-2EC2-42C3-8D23-FD80CC046055}" name="産業小分類上位２０"/>
    <tableColumn id="10" xr3:uid="{BC2598A5-1B6D-4247-9D1F-AAFE3BE522C4}" name="総数／事業所数" dataCellStyle="桁区切り"/>
    <tableColumn id="11" xr3:uid="{F5E91E0A-EA7B-4BE1-BA71-5C5CDCCC1AEF}" name="総数／構成比" dataDxfId="2032"/>
    <tableColumn id="12" xr3:uid="{FEBD8F25-F36D-4A30-BA91-6981154710E7}" name="個人／事業所数" dataCellStyle="桁区切り"/>
    <tableColumn id="13" xr3:uid="{3D99B12B-FD66-40A0-892C-80B0F8E68BBC}" name="個人／構成比" dataDxfId="2031"/>
    <tableColumn id="14" xr3:uid="{2C102872-D2F5-4473-A6B5-0E5DEFDF5A54}" name="法人／事業所数" dataCellStyle="桁区切り"/>
    <tableColumn id="15" xr3:uid="{FAE8BB7B-3838-4EAD-8DCC-605538631D8E}" name="法人／構成比" dataDxfId="2030"/>
    <tableColumn id="16" xr3:uid="{44E68D34-563E-4C56-ADEE-6CFDAEE81BCE}" name="法人以外の団体／事業所数" dataCellStyle="桁区切り"/>
  </tableColumns>
  <tableStyleInfo name="TableStyleMedium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EBE6AE32-6154-4FB4-BE60-41D05C258898}" name="LTBL_01236" displayName="LTBL_01236" ref="B4:I20" totalsRowCount="1">
  <autoFilter ref="B4:I19" xr:uid="{EBE6AE32-6154-4FB4-BE60-41D05C258898}"/>
  <tableColumns count="8">
    <tableColumn id="9" xr3:uid="{388D91FB-C3AC-4AA2-A0A7-0265BCACC949}" name="産業大分類" totalsRowLabel="合計" totalsRowDxfId="2029"/>
    <tableColumn id="10" xr3:uid="{82C2E173-A1BF-457D-A917-38E38D1E0CA5}" name="総数／事業所数" totalsRowFunction="custom" totalsRowDxfId="2028" dataCellStyle="桁区切り" totalsRowCellStyle="桁区切り">
      <totalsRowFormula>SUM(LTBL_01236[総数／事業所数])</totalsRowFormula>
    </tableColumn>
    <tableColumn id="11" xr3:uid="{25BE4A1A-1717-4034-A9B7-69B4833B1A1C}" name="総数／構成比" dataDxfId="2027"/>
    <tableColumn id="12" xr3:uid="{1CDCE7FA-E01C-411C-BF44-4D447729D0A7}" name="個人／事業所数" totalsRowFunction="sum" totalsRowDxfId="2026" dataCellStyle="桁区切り" totalsRowCellStyle="桁区切り"/>
    <tableColumn id="13" xr3:uid="{8C761E23-4287-4814-91EE-EAC58B9A79E9}" name="個人／構成比" dataDxfId="2025"/>
    <tableColumn id="14" xr3:uid="{C2BA42F1-A524-487A-9123-DE70499C7D23}" name="法人／事業所数" totalsRowFunction="sum" totalsRowDxfId="2024" dataCellStyle="桁区切り" totalsRowCellStyle="桁区切り"/>
    <tableColumn id="15" xr3:uid="{D3568EE1-8436-4BE3-8F20-CCF47F5A5D39}" name="法人／構成比" dataDxfId="2023"/>
    <tableColumn id="16" xr3:uid="{B31FB738-1581-483A-9804-6F7EC0F57E24}" name="法人以外の団体／事業所数" totalsRowFunction="sum" totalsRowDxfId="2022" dataCellStyle="桁区切り" totalsRowCellStyle="桁区切り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46862716-C939-4061-A339-F9A97A952A89}" name="M_TABLE_01236" displayName="M_TABLE_01236" ref="B23:I46" totalsRowShown="0">
  <autoFilter ref="B23:I46" xr:uid="{46862716-C939-4061-A339-F9A97A952A89}"/>
  <tableColumns count="8">
    <tableColumn id="9" xr3:uid="{8670D466-E477-4D15-8827-3AE36BCEC398}" name="産業中分類上位２０"/>
    <tableColumn id="10" xr3:uid="{C954B162-D369-48E1-AE82-8D950EA684BF}" name="総数／事業所数" dataCellStyle="桁区切り"/>
    <tableColumn id="11" xr3:uid="{EEB16C22-2E29-4441-BE61-D2A14129A870}" name="総数／構成比" dataDxfId="2021"/>
    <tableColumn id="12" xr3:uid="{7CF362F0-D6C3-4AA2-884F-F1039F1952A4}" name="個人／事業所数" dataCellStyle="桁区切り"/>
    <tableColumn id="13" xr3:uid="{33B8F465-E04B-441F-8803-3717FF632CF7}" name="個人／構成比" dataDxfId="2020"/>
    <tableColumn id="14" xr3:uid="{69A0B065-EA83-4CB7-B88C-ECC075879631}" name="法人／事業所数" dataCellStyle="桁区切り"/>
    <tableColumn id="15" xr3:uid="{8A9C71D6-F3CF-450A-96DA-D7D8B43F0EAA}" name="法人／構成比" dataDxfId="2019"/>
    <tableColumn id="16" xr3:uid="{AF3B7256-5935-466F-8DF8-35BD2D88F120}" name="法人以外の団体／事業所数" dataCellStyle="桁区切り"/>
  </tableColumns>
  <tableStyleInfo name="TableStyleMedium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C645AB84-09C2-4FEA-BD27-ACD3F13C631A}" name="S_TABLE_01236" displayName="S_TABLE_01236" ref="B49:I69" totalsRowShown="0">
  <autoFilter ref="B49:I69" xr:uid="{C645AB84-09C2-4FEA-BD27-ACD3F13C631A}"/>
  <tableColumns count="8">
    <tableColumn id="9" xr3:uid="{AF19076E-1236-47D4-92F0-C2A133C28979}" name="産業小分類上位２０"/>
    <tableColumn id="10" xr3:uid="{7E02ABD6-2411-4510-86F7-FEE74E94868A}" name="総数／事業所数" dataCellStyle="桁区切り"/>
    <tableColumn id="11" xr3:uid="{470BF26E-3562-4B94-8054-898F67B8EB10}" name="総数／構成比" dataDxfId="2018"/>
    <tableColumn id="12" xr3:uid="{E7F95AFB-0AE4-401D-A428-73DCB2A6FD5C}" name="個人／事業所数" dataCellStyle="桁区切り"/>
    <tableColumn id="13" xr3:uid="{DCABCA35-D7EE-4525-8ACF-FF17D2B5DAEB}" name="個人／構成比" dataDxfId="2017"/>
    <tableColumn id="14" xr3:uid="{7F7D7CE2-51C7-4891-9295-08B903BCDF7F}" name="法人／事業所数" dataCellStyle="桁区切り"/>
    <tableColumn id="15" xr3:uid="{D6EED7D2-2662-46AF-9BA6-EC6BB9C6CB84}" name="法人／構成比" dataDxfId="2016"/>
    <tableColumn id="16" xr3:uid="{440CA66C-9400-4029-BCE5-7203F1D2536A}" name="法人以外の団体／事業所数" dataCellStyle="桁区切り"/>
  </tableColumns>
  <tableStyleInfo name="TableStyleMedium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C71DA70B-5424-4911-A80E-8C26BA2EFC41}" name="LTBL_01303" displayName="LTBL_01303" ref="B4:I20" totalsRowCount="1">
  <autoFilter ref="B4:I19" xr:uid="{C71DA70B-5424-4911-A80E-8C26BA2EFC41}"/>
  <tableColumns count="8">
    <tableColumn id="9" xr3:uid="{A48A3FCE-D97E-43CF-8DB7-150BF209E6DF}" name="産業大分類" totalsRowLabel="合計" totalsRowDxfId="2015"/>
    <tableColumn id="10" xr3:uid="{67D07AF6-EC6F-48F7-A84A-490CF8B3D9B9}" name="総数／事業所数" totalsRowFunction="custom" totalsRowDxfId="2014" dataCellStyle="桁区切り" totalsRowCellStyle="桁区切り">
      <totalsRowFormula>SUM(LTBL_01303[総数／事業所数])</totalsRowFormula>
    </tableColumn>
    <tableColumn id="11" xr3:uid="{9B3BF3FF-3B85-4F58-A2B3-7C9200155C80}" name="総数／構成比" dataDxfId="2013"/>
    <tableColumn id="12" xr3:uid="{FBFB10D6-C3E6-4CE8-9F12-AC5FAF795FF2}" name="個人／事業所数" totalsRowFunction="sum" totalsRowDxfId="2012" dataCellStyle="桁区切り" totalsRowCellStyle="桁区切り"/>
    <tableColumn id="13" xr3:uid="{4285B0EA-7D7A-49DC-9DAF-D4831F797993}" name="個人／構成比" dataDxfId="2011"/>
    <tableColumn id="14" xr3:uid="{A91676B3-2249-45D3-A386-088D6DD0BFE7}" name="法人／事業所数" totalsRowFunction="sum" totalsRowDxfId="2010" dataCellStyle="桁区切り" totalsRowCellStyle="桁区切り"/>
    <tableColumn id="15" xr3:uid="{E2C8134A-1488-47C7-8764-063034619EC2}" name="法人／構成比" dataDxfId="2009"/>
    <tableColumn id="16" xr3:uid="{F2050938-AE64-4892-8265-F560531DA397}" name="法人以外の団体／事業所数" totalsRowFunction="sum" totalsRowDxfId="2008" dataCellStyle="桁区切り" totalsRowCellStyle="桁区切り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86428E6-5F43-41FE-A93C-0F3A5CB1BED7}" name="M_TABLE_01103" displayName="M_TABLE_01103" ref="B23:I43" totalsRowShown="0">
  <autoFilter ref="B23:I43" xr:uid="{786428E6-5F43-41FE-A93C-0F3A5CB1BED7}"/>
  <tableColumns count="8">
    <tableColumn id="9" xr3:uid="{BDBEEF33-9896-4FAE-871D-166857E91D75}" name="産業中分類上位２０"/>
    <tableColumn id="10" xr3:uid="{1C1BD82C-AFC1-4090-A89B-BFE02531B1EA}" name="総数／事業所数" dataCellStyle="桁区切り"/>
    <tableColumn id="11" xr3:uid="{C83336FB-A2A9-4CE2-80D6-19FB8DCDF671}" name="総数／構成比" dataDxfId="2595"/>
    <tableColumn id="12" xr3:uid="{41DA39F0-3C51-490A-8E89-7B666394C7FA}" name="個人／事業所数" dataCellStyle="桁区切り"/>
    <tableColumn id="13" xr3:uid="{3875A7AE-1FF2-4AD6-BAC3-56B9656F74F0}" name="個人／構成比" dataDxfId="2594"/>
    <tableColumn id="14" xr3:uid="{7C6D6A25-918A-4431-9636-4862BF634096}" name="法人／事業所数" dataCellStyle="桁区切り"/>
    <tableColumn id="15" xr3:uid="{D968F2E4-F1E1-439D-9994-9AAC902758EC}" name="法人／構成比" dataDxfId="2593"/>
    <tableColumn id="16" xr3:uid="{940C3F26-A0C6-4AA8-91AA-C4F95D20AC8E}" name="法人以外の団体／事業所数" dataCellStyle="桁区切り"/>
  </tableColumns>
  <tableStyleInfo name="TableStyleMedium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D32FCD0D-2FD0-4F2D-A56B-6D43F57877FB}" name="M_TABLE_01303" displayName="M_TABLE_01303" ref="B23:I48" totalsRowShown="0">
  <autoFilter ref="B23:I48" xr:uid="{D32FCD0D-2FD0-4F2D-A56B-6D43F57877FB}"/>
  <tableColumns count="8">
    <tableColumn id="9" xr3:uid="{DCF4FDD6-EF29-458F-A117-5E1D46B05B76}" name="産業中分類上位２０"/>
    <tableColumn id="10" xr3:uid="{A4E7498C-C0E7-4C30-ADCA-3D504C747523}" name="総数／事業所数" dataCellStyle="桁区切り"/>
    <tableColumn id="11" xr3:uid="{DE855F15-6DDC-4F69-8592-B1D1E4DEC958}" name="総数／構成比" dataDxfId="2007"/>
    <tableColumn id="12" xr3:uid="{5D3D5692-1C88-4C70-8344-35194503B48C}" name="個人／事業所数" dataCellStyle="桁区切り"/>
    <tableColumn id="13" xr3:uid="{950BEBD5-F827-4D67-9CCD-35CBD58518AF}" name="個人／構成比" dataDxfId="2006"/>
    <tableColumn id="14" xr3:uid="{B0883FF6-EAB8-4118-BE0C-89219E60750B}" name="法人／事業所数" dataCellStyle="桁区切り"/>
    <tableColumn id="15" xr3:uid="{CF693267-BA92-4E41-A18E-063D5B1D954E}" name="法人／構成比" dataDxfId="2005"/>
    <tableColumn id="16" xr3:uid="{B4D58D02-DBDE-428A-918C-537CB488584F}" name="法人以外の団体／事業所数" dataCellStyle="桁区切り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6589704-9172-4834-9135-5DBFEA8961DB}" name="S_TABLE_01303" displayName="S_TABLE_01303" ref="B51:I73" totalsRowShown="0">
  <autoFilter ref="B51:I73" xr:uid="{06589704-9172-4834-9135-5DBFEA8961DB}"/>
  <tableColumns count="8">
    <tableColumn id="9" xr3:uid="{915A4F36-F381-4973-AA30-427474807A08}" name="産業小分類上位２０"/>
    <tableColumn id="10" xr3:uid="{2405F686-32C4-43E4-A127-5ABD896F879C}" name="総数／事業所数" dataCellStyle="桁区切り"/>
    <tableColumn id="11" xr3:uid="{2461551B-2783-4E6F-8BA9-92560850E16C}" name="総数／構成比" dataDxfId="2004"/>
    <tableColumn id="12" xr3:uid="{82FB2404-CCD9-4DBE-B462-21616CBF6560}" name="個人／事業所数" dataCellStyle="桁区切り"/>
    <tableColumn id="13" xr3:uid="{D2965A09-B375-4A9C-BB5D-F6EF33B93758}" name="個人／構成比" dataDxfId="2003"/>
    <tableColumn id="14" xr3:uid="{13790C04-1290-47A7-BD85-F7096AE3F892}" name="法人／事業所数" dataCellStyle="桁区切り"/>
    <tableColumn id="15" xr3:uid="{FE5D1DBC-BA23-4D91-8566-7F733BC388E1}" name="法人／構成比" dataDxfId="2002"/>
    <tableColumn id="16" xr3:uid="{6933C5C9-26E3-4832-9713-2BEF8B23E80C}" name="法人以外の団体／事業所数" dataCellStyle="桁区切り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B90D1AA5-FE79-4642-8E7A-85E21C13DCF7}" name="LTBL_01304" displayName="LTBL_01304" ref="B4:I20" totalsRowCount="1">
  <autoFilter ref="B4:I19" xr:uid="{B90D1AA5-FE79-4642-8E7A-85E21C13DCF7}"/>
  <tableColumns count="8">
    <tableColumn id="9" xr3:uid="{2A79F227-6759-48F8-9247-143BE6EF989B}" name="産業大分類" totalsRowLabel="合計" totalsRowDxfId="2001"/>
    <tableColumn id="10" xr3:uid="{E8308B61-C184-4E58-B5C0-1C4523B599DB}" name="総数／事業所数" totalsRowFunction="custom" totalsRowDxfId="2000" dataCellStyle="桁区切り" totalsRowCellStyle="桁区切り">
      <totalsRowFormula>SUM(LTBL_01304[総数／事業所数])</totalsRowFormula>
    </tableColumn>
    <tableColumn id="11" xr3:uid="{00393D23-08A6-4B07-9CEE-BEB335FC0BD6}" name="総数／構成比" dataDxfId="1999"/>
    <tableColumn id="12" xr3:uid="{663F40D7-0D87-4E44-9E31-4BF16258DDFF}" name="個人／事業所数" totalsRowFunction="sum" totalsRowDxfId="1998" dataCellStyle="桁区切り" totalsRowCellStyle="桁区切り"/>
    <tableColumn id="13" xr3:uid="{7B56092E-762B-4C18-B3F4-B0681F491D60}" name="個人／構成比" dataDxfId="1997"/>
    <tableColumn id="14" xr3:uid="{52944AFB-3620-4E7D-9E1D-F3CEF0C55FE1}" name="法人／事業所数" totalsRowFunction="sum" totalsRowDxfId="1996" dataCellStyle="桁区切り" totalsRowCellStyle="桁区切り"/>
    <tableColumn id="15" xr3:uid="{AF209419-F418-40C8-B3C8-B816A17FAED4}" name="法人／構成比" dataDxfId="1995"/>
    <tableColumn id="16" xr3:uid="{4D731F99-9220-48C8-BF35-6E15E103C819}" name="法人以外の団体／事業所数" totalsRowFunction="sum" totalsRowDxfId="1994" dataCellStyle="桁区切り" totalsRowCellStyle="桁区切り"/>
  </tableColumns>
  <tableStyleInfo name="TableStyleMedium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E163B45C-888D-4BF6-A0B1-2434F70AC136}" name="M_TABLE_01304" displayName="M_TABLE_01304" ref="B23:I41" totalsRowShown="0">
  <autoFilter ref="B23:I41" xr:uid="{E163B45C-888D-4BF6-A0B1-2434F70AC136}"/>
  <tableColumns count="8">
    <tableColumn id="9" xr3:uid="{03C201C5-E5A3-40AA-84D4-07BE3627685C}" name="産業中分類上位２０"/>
    <tableColumn id="10" xr3:uid="{4353FD2C-447D-46B4-8DF9-B072EFEFAEBF}" name="総数／事業所数" dataCellStyle="桁区切り"/>
    <tableColumn id="11" xr3:uid="{B78CB330-F703-4F8E-B88E-2B1320CBB202}" name="総数／構成比" dataDxfId="1993"/>
    <tableColumn id="12" xr3:uid="{70646F53-15A5-48C5-A28C-9AB25524DAEA}" name="個人／事業所数" dataCellStyle="桁区切り"/>
    <tableColumn id="13" xr3:uid="{0B63C220-8EEE-4FD9-868D-BAF015B5A1D3}" name="個人／構成比" dataDxfId="1992"/>
    <tableColumn id="14" xr3:uid="{021436B2-C22C-43BA-8F86-A208BEE3FD4D}" name="法人／事業所数" dataCellStyle="桁区切り"/>
    <tableColumn id="15" xr3:uid="{831C625D-FD6E-4EF8-8904-56EADA281258}" name="法人／構成比" dataDxfId="1991"/>
    <tableColumn id="16" xr3:uid="{1658B56E-9B3F-47E6-B3BE-09D2E7819838}" name="法人以外の団体／事業所数" dataCellStyle="桁区切り"/>
  </tableColumns>
  <tableStyleInfo name="TableStyleMedium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BCE6135-E38E-43FA-874B-6792322A9F87}" name="S_TABLE_01304" displayName="S_TABLE_01304" ref="B44:I69" totalsRowShown="0">
  <autoFilter ref="B44:I69" xr:uid="{0BCE6135-E38E-43FA-874B-6792322A9F87}"/>
  <tableColumns count="8">
    <tableColumn id="9" xr3:uid="{2688235C-25FC-4FD6-9346-C26EA24E82A0}" name="産業小分類上位２０"/>
    <tableColumn id="10" xr3:uid="{D605C065-5FA4-460B-808E-2CC6F12D77B9}" name="総数／事業所数" dataCellStyle="桁区切り"/>
    <tableColumn id="11" xr3:uid="{81E17887-A155-4638-848D-C6ED01860A5E}" name="総数／構成比" dataDxfId="1990"/>
    <tableColumn id="12" xr3:uid="{A2AE090D-1ACD-4532-ABE2-E4A6CC50ACD7}" name="個人／事業所数" dataCellStyle="桁区切り"/>
    <tableColumn id="13" xr3:uid="{87D1DFE5-C2F7-473D-BD25-C5933B6E637C}" name="個人／構成比" dataDxfId="1989"/>
    <tableColumn id="14" xr3:uid="{8C6DD343-A0BA-4F3B-8747-55C361508E52}" name="法人／事業所数" dataCellStyle="桁区切り"/>
    <tableColumn id="15" xr3:uid="{A1627E1C-024A-49AB-9CFE-B9C9605EDF81}" name="法人／構成比" dataDxfId="1988"/>
    <tableColumn id="16" xr3:uid="{25050373-5010-4527-A0B0-8D79844A21D8}" name="法人以外の団体／事業所数" dataCellStyle="桁区切り"/>
  </tableColumns>
  <tableStyleInfo name="TableStyleMedium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2947FC79-5CFC-4E1B-8A22-2FC962F7F0D9}" name="LTBL_01331" displayName="LTBL_01331" ref="B4:I20" totalsRowCount="1">
  <autoFilter ref="B4:I19" xr:uid="{2947FC79-5CFC-4E1B-8A22-2FC962F7F0D9}"/>
  <tableColumns count="8">
    <tableColumn id="9" xr3:uid="{8897BB00-95E2-4FCB-B7D3-47F07DEFA893}" name="産業大分類" totalsRowLabel="合計" totalsRowDxfId="1987"/>
    <tableColumn id="10" xr3:uid="{08149CA8-C3D2-4D49-8E39-C425EF5E12C4}" name="総数／事業所数" totalsRowFunction="custom" totalsRowDxfId="1986" dataCellStyle="桁区切り" totalsRowCellStyle="桁区切り">
      <totalsRowFormula>SUM(LTBL_01331[総数／事業所数])</totalsRowFormula>
    </tableColumn>
    <tableColumn id="11" xr3:uid="{7C025F42-DDA0-455D-B511-8BC95653893C}" name="総数／構成比" dataDxfId="1985"/>
    <tableColumn id="12" xr3:uid="{6D623229-64FA-4B60-B3F9-7CCAAF3234CA}" name="個人／事業所数" totalsRowFunction="sum" totalsRowDxfId="1984" dataCellStyle="桁区切り" totalsRowCellStyle="桁区切り"/>
    <tableColumn id="13" xr3:uid="{AEA89EF8-15AE-4F21-947B-F954F3F5F905}" name="個人／構成比" dataDxfId="1983"/>
    <tableColumn id="14" xr3:uid="{24A790AD-FC1A-45D3-BF8C-7BF4F7EEDF9A}" name="法人／事業所数" totalsRowFunction="sum" totalsRowDxfId="1982" dataCellStyle="桁区切り" totalsRowCellStyle="桁区切り"/>
    <tableColumn id="15" xr3:uid="{69B2BAE0-6A65-4D2D-9317-2A0610309EC6}" name="法人／構成比" dataDxfId="1981"/>
    <tableColumn id="16" xr3:uid="{6DD2523B-2522-4972-86BF-70C075595A92}" name="法人以外の団体／事業所数" totalsRowFunction="sum" totalsRowDxfId="1980" dataCellStyle="桁区切り" totalsRowCellStyle="桁区切り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8DF862D4-FBE9-4E57-925A-228FEC1E6223}" name="M_TABLE_01331" displayName="M_TABLE_01331" ref="B23:I44" totalsRowShown="0">
  <autoFilter ref="B23:I44" xr:uid="{8DF862D4-FBE9-4E57-925A-228FEC1E6223}"/>
  <tableColumns count="8">
    <tableColumn id="9" xr3:uid="{14E5DF9C-08DA-418A-A9CF-088DE8764DB5}" name="産業中分類上位２０"/>
    <tableColumn id="10" xr3:uid="{61C594AE-FF26-4D47-9BD6-A03C14357205}" name="総数／事業所数" dataCellStyle="桁区切り"/>
    <tableColumn id="11" xr3:uid="{A67AD112-9554-456E-B247-A39AFEF1160C}" name="総数／構成比" dataDxfId="1979"/>
    <tableColumn id="12" xr3:uid="{A57EFA61-5600-4F5F-BDA5-C3A85F10AB0D}" name="個人／事業所数" dataCellStyle="桁区切り"/>
    <tableColumn id="13" xr3:uid="{53E4A220-D74C-48D9-9F87-86CBC290EF1F}" name="個人／構成比" dataDxfId="1978"/>
    <tableColumn id="14" xr3:uid="{A221FBE7-2E74-4961-8131-1E60291B6605}" name="法人／事業所数" dataCellStyle="桁区切り"/>
    <tableColumn id="15" xr3:uid="{2B23F42B-D8C3-4FC6-8D8B-EC8DA3B041F5}" name="法人／構成比" dataDxfId="1977"/>
    <tableColumn id="16" xr3:uid="{FD5FCCDA-E552-4F99-878C-A492AEFFFBEC}" name="法人以外の団体／事業所数" dataCellStyle="桁区切り"/>
  </tableColumns>
  <tableStyleInfo name="TableStyleMedium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2173C25F-986C-49D0-8816-B9D168B42F09}" name="S_TABLE_01331" displayName="S_TABLE_01331" ref="B47:I69" totalsRowShown="0">
  <autoFilter ref="B47:I69" xr:uid="{2173C25F-986C-49D0-8816-B9D168B42F09}"/>
  <tableColumns count="8">
    <tableColumn id="9" xr3:uid="{15F404D2-7766-4997-8580-87FAE48A14D1}" name="産業小分類上位２０"/>
    <tableColumn id="10" xr3:uid="{4F8D463A-1989-4553-836F-418BA726CA70}" name="総数／事業所数" dataCellStyle="桁区切り"/>
    <tableColumn id="11" xr3:uid="{F07B490E-1C8B-44B8-9A0E-6A3C94E2D984}" name="総数／構成比" dataDxfId="1976"/>
    <tableColumn id="12" xr3:uid="{CDE870A5-F453-4CB7-9965-9BE5FA6CE603}" name="個人／事業所数" dataCellStyle="桁区切り"/>
    <tableColumn id="13" xr3:uid="{1E888E69-FC00-45F0-8EB0-527D1BAD0B66}" name="個人／構成比" dataDxfId="1975"/>
    <tableColumn id="14" xr3:uid="{DB65A72C-5542-4792-A78C-7830D1ADDB7C}" name="法人／事業所数" dataCellStyle="桁区切り"/>
    <tableColumn id="15" xr3:uid="{816269C2-CCF8-422B-8733-A8F1BE5CF569}" name="法人／構成比" dataDxfId="1974"/>
    <tableColumn id="16" xr3:uid="{E911D586-68B2-4AE3-8958-A0CB74725502}" name="法人以外の団体／事業所数" dataCellStyle="桁区切り"/>
  </tableColumns>
  <tableStyleInfo name="TableStyleMedium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602D3A8A-2AB4-4FCD-BB17-6BB248517ABF}" name="LTBL_01332" displayName="LTBL_01332" ref="B4:I20" totalsRowCount="1">
  <autoFilter ref="B4:I19" xr:uid="{602D3A8A-2AB4-4FCD-BB17-6BB248517ABF}"/>
  <tableColumns count="8">
    <tableColumn id="9" xr3:uid="{AFD5032E-96CF-4363-8386-4662A52A3FEF}" name="産業大分類" totalsRowLabel="合計" totalsRowDxfId="1973"/>
    <tableColumn id="10" xr3:uid="{F780E132-EF56-435F-87C3-96BB5B36A11F}" name="総数／事業所数" totalsRowFunction="custom" totalsRowDxfId="1972" dataCellStyle="桁区切り" totalsRowCellStyle="桁区切り">
      <totalsRowFormula>SUM(LTBL_01332[総数／事業所数])</totalsRowFormula>
    </tableColumn>
    <tableColumn id="11" xr3:uid="{09096765-F61C-403E-9644-17880ED17254}" name="総数／構成比" dataDxfId="1971"/>
    <tableColumn id="12" xr3:uid="{2FBC3016-FAE1-4E9C-9870-C181321B695D}" name="個人／事業所数" totalsRowFunction="sum" totalsRowDxfId="1970" dataCellStyle="桁区切り" totalsRowCellStyle="桁区切り"/>
    <tableColumn id="13" xr3:uid="{890A2042-5CFB-4C7E-836D-07DF5354A81B}" name="個人／構成比" dataDxfId="1969"/>
    <tableColumn id="14" xr3:uid="{ADE8BDC7-104A-4152-BF1B-D478ADD27037}" name="法人／事業所数" totalsRowFunction="sum" totalsRowDxfId="1968" dataCellStyle="桁区切り" totalsRowCellStyle="桁区切り"/>
    <tableColumn id="15" xr3:uid="{0CE8DE84-889D-4CB4-85F8-8492635762FE}" name="法人／構成比" dataDxfId="1967"/>
    <tableColumn id="16" xr3:uid="{E642AF86-108F-4BE0-BF7F-0032A24D4039}" name="法人以外の団体／事業所数" totalsRowFunction="sum" totalsRowDxfId="1966" dataCellStyle="桁区切り" totalsRowCellStyle="桁区切り"/>
  </tableColumns>
  <tableStyleInfo name="TableStyleMedium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8BEE1DED-EAE8-4F03-ADD8-430EDCE2CD5C}" name="M_TABLE_01332" displayName="M_TABLE_01332" ref="B23:I48" totalsRowShown="0">
  <autoFilter ref="B23:I48" xr:uid="{8BEE1DED-EAE8-4F03-ADD8-430EDCE2CD5C}"/>
  <tableColumns count="8">
    <tableColumn id="9" xr3:uid="{B5BEB37E-5AC2-4D2E-9213-B7F9659ABCA0}" name="産業中分類上位２０"/>
    <tableColumn id="10" xr3:uid="{201C3C05-3540-4F40-83AD-B2C364B46C86}" name="総数／事業所数" dataCellStyle="桁区切り"/>
    <tableColumn id="11" xr3:uid="{CE566744-45AC-41F4-B8C1-1D50A701C5E6}" name="総数／構成比" dataDxfId="1965"/>
    <tableColumn id="12" xr3:uid="{D198121E-4D21-4CE0-8654-8890582BD1E5}" name="個人／事業所数" dataCellStyle="桁区切り"/>
    <tableColumn id="13" xr3:uid="{307B47FD-E410-4764-8041-31F9280964EE}" name="個人／構成比" dataDxfId="1964"/>
    <tableColumn id="14" xr3:uid="{D6DBCE71-CAF9-4356-987A-36456617AB59}" name="法人／事業所数" dataCellStyle="桁区切り"/>
    <tableColumn id="15" xr3:uid="{458319D2-C102-4B5F-A29A-5893CFBF3258}" name="法人／構成比" dataDxfId="1963"/>
    <tableColumn id="16" xr3:uid="{88FD770F-1B93-4D05-AE67-260723100DDC}" name="法人以外の団体／事業所数" dataCellStyle="桁区切り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A79CAC2-6126-4D62-BF61-324C13B5A8C6}" name="S_TABLE_01103" displayName="S_TABLE_01103" ref="B46:I66" totalsRowShown="0">
  <autoFilter ref="B46:I66" xr:uid="{7A79CAC2-6126-4D62-BF61-324C13B5A8C6}"/>
  <tableColumns count="8">
    <tableColumn id="9" xr3:uid="{92542651-BAC2-4EEE-8AF2-A90EFEA6B823}" name="産業小分類上位２０"/>
    <tableColumn id="10" xr3:uid="{3C2F0A62-07D5-4FDB-86C2-5329B9BED8FA}" name="総数／事業所数" dataCellStyle="桁区切り"/>
    <tableColumn id="11" xr3:uid="{548DF5BA-D868-4A7D-871C-D393921A1713}" name="総数／構成比" dataDxfId="2592"/>
    <tableColumn id="12" xr3:uid="{244DC793-DB14-4535-9845-174151807481}" name="個人／事業所数" dataCellStyle="桁区切り"/>
    <tableColumn id="13" xr3:uid="{1230D4D9-3B38-422E-B31C-0368A0E4F4CC}" name="個人／構成比" dataDxfId="2591"/>
    <tableColumn id="14" xr3:uid="{B559A250-F9E2-40FB-A8AF-E285A3D3ABE9}" name="法人／事業所数" dataCellStyle="桁区切り"/>
    <tableColumn id="15" xr3:uid="{79956866-5677-4197-8110-7E4D0742EBC7}" name="法人／構成比" dataDxfId="2590"/>
    <tableColumn id="16" xr3:uid="{65A6B088-CA2F-45BC-BE23-DF230071CE27}" name="法人以外の団体／事業所数" dataCellStyle="桁区切り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340D6F7A-5213-4257-A1AF-A3E03A05DE12}" name="S_TABLE_01332" displayName="S_TABLE_01332" ref="B51:I89" totalsRowShown="0">
  <autoFilter ref="B51:I89" xr:uid="{340D6F7A-5213-4257-A1AF-A3E03A05DE12}"/>
  <tableColumns count="8">
    <tableColumn id="9" xr3:uid="{6AC89382-FB17-4A2A-B425-77BC63297A9C}" name="産業小分類上位２０"/>
    <tableColumn id="10" xr3:uid="{4F136BDB-D4B8-446B-B9EA-B55829FE41A7}" name="総数／事業所数" dataCellStyle="桁区切り"/>
    <tableColumn id="11" xr3:uid="{AC6CA301-8C6A-4C5D-86EC-A87EA48C3ADE}" name="総数／構成比" dataDxfId="1962"/>
    <tableColumn id="12" xr3:uid="{7A636E77-63D2-4208-AEB6-C8012EE97B50}" name="個人／事業所数" dataCellStyle="桁区切り"/>
    <tableColumn id="13" xr3:uid="{61BF3E66-8614-4F6F-BF49-061A4538EE3B}" name="個人／構成比" dataDxfId="1961"/>
    <tableColumn id="14" xr3:uid="{D0BD23ED-47EB-4E93-9B92-C9DB647371A3}" name="法人／事業所数" dataCellStyle="桁区切り"/>
    <tableColumn id="15" xr3:uid="{01E97E08-8D55-4983-A28A-9F839F43925C}" name="法人／構成比" dataDxfId="1960"/>
    <tableColumn id="16" xr3:uid="{21CAFA27-E20C-4046-A719-82C72EE85A41}" name="法人以外の団体／事業所数" dataCellStyle="桁区切り"/>
  </tableColumns>
  <tableStyleInfo name="TableStyleMedium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7E56CEB9-A644-4C1F-BCE9-815BC89116B1}" name="LTBL_01333" displayName="LTBL_01333" ref="B4:I20" totalsRowCount="1">
  <autoFilter ref="B4:I19" xr:uid="{7E56CEB9-A644-4C1F-BCE9-815BC89116B1}"/>
  <tableColumns count="8">
    <tableColumn id="9" xr3:uid="{06E1682E-AEE1-4C3B-8408-9E8815DA0FC1}" name="産業大分類" totalsRowLabel="合計" totalsRowDxfId="1959"/>
    <tableColumn id="10" xr3:uid="{D59592D5-7717-4C84-9134-F73DE2833C4F}" name="総数／事業所数" totalsRowFunction="custom" totalsRowDxfId="1958" dataCellStyle="桁区切り" totalsRowCellStyle="桁区切り">
      <totalsRowFormula>SUM(LTBL_01333[総数／事業所数])</totalsRowFormula>
    </tableColumn>
    <tableColumn id="11" xr3:uid="{55D69603-4726-475C-9F6F-04374DB64F0F}" name="総数／構成比" dataDxfId="1957"/>
    <tableColumn id="12" xr3:uid="{019371F7-2B4C-4567-A399-F15A4C5A7F79}" name="個人／事業所数" totalsRowFunction="sum" totalsRowDxfId="1956" dataCellStyle="桁区切り" totalsRowCellStyle="桁区切り"/>
    <tableColumn id="13" xr3:uid="{E93BD516-B284-4A9E-9AB7-8803BBC87814}" name="個人／構成比" dataDxfId="1955"/>
    <tableColumn id="14" xr3:uid="{5B0968F6-A70D-4398-841B-68768FF015A4}" name="法人／事業所数" totalsRowFunction="sum" totalsRowDxfId="1954" dataCellStyle="桁区切り" totalsRowCellStyle="桁区切り"/>
    <tableColumn id="15" xr3:uid="{FF7BB4D8-8938-444B-AF60-F5B0B04A1FE6}" name="法人／構成比" dataDxfId="1953"/>
    <tableColumn id="16" xr3:uid="{6918BF73-4B9A-4594-9ADE-37E10909FAA2}" name="法人以外の団体／事業所数" totalsRowFunction="sum" totalsRowDxfId="1952" dataCellStyle="桁区切り" totalsRowCellStyle="桁区切り"/>
  </tableColumns>
  <tableStyleInfo name="TableStyleMedium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3D4AF13-553B-4E43-96AE-44A5B1D4369B}" name="M_TABLE_01333" displayName="M_TABLE_01333" ref="B23:I59" totalsRowShown="0">
  <autoFilter ref="B23:I59" xr:uid="{03D4AF13-553B-4E43-96AE-44A5B1D4369B}"/>
  <tableColumns count="8">
    <tableColumn id="9" xr3:uid="{37C0EBC9-D7BD-445D-9EBD-A5A061F6EB26}" name="産業中分類上位２０"/>
    <tableColumn id="10" xr3:uid="{4943CAC4-F8EF-4B5B-B278-AF4F136AE0F6}" name="総数／事業所数" dataCellStyle="桁区切り"/>
    <tableColumn id="11" xr3:uid="{72271BE0-4317-4005-8F54-3EB43519E681}" name="総数／構成比" dataDxfId="1951"/>
    <tableColumn id="12" xr3:uid="{AB2DFF6D-4F39-48D8-B613-C66791CDC0E1}" name="個人／事業所数" dataCellStyle="桁区切り"/>
    <tableColumn id="13" xr3:uid="{C61D585F-FA77-4CA9-9745-B4235AB22CD6}" name="個人／構成比" dataDxfId="1950"/>
    <tableColumn id="14" xr3:uid="{DDC716DE-DC1E-446E-BABF-808CF265CAE4}" name="法人／事業所数" dataCellStyle="桁区切り"/>
    <tableColumn id="15" xr3:uid="{401AEB8A-9AE0-445A-ADD5-9EACA1BF4868}" name="法人／構成比" dataDxfId="1949"/>
    <tableColumn id="16" xr3:uid="{82BD4603-74A0-45C2-BD33-AC006CC0C980}" name="法人以外の団体／事業所数" dataCellStyle="桁区切り"/>
  </tableColumns>
  <tableStyleInfo name="TableStyleMedium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83DDFB7E-D584-4D2F-A16A-849F90DD8694}" name="S_TABLE_01333" displayName="S_TABLE_01333" ref="B62:I82" totalsRowShown="0">
  <autoFilter ref="B62:I82" xr:uid="{83DDFB7E-D584-4D2F-A16A-849F90DD8694}"/>
  <tableColumns count="8">
    <tableColumn id="9" xr3:uid="{2C665930-70AA-46B0-95AF-0C55513D5EFB}" name="産業小分類上位２０"/>
    <tableColumn id="10" xr3:uid="{54E47687-06C4-4556-8CAC-5961A88A5F07}" name="総数／事業所数" dataCellStyle="桁区切り"/>
    <tableColumn id="11" xr3:uid="{2BC95210-11AB-4C76-988A-F113E2B4DBBF}" name="総数／構成比" dataDxfId="1948"/>
    <tableColumn id="12" xr3:uid="{ED6D9C17-75E3-4374-AEF0-72C60184455F}" name="個人／事業所数" dataCellStyle="桁区切り"/>
    <tableColumn id="13" xr3:uid="{89D42B8A-DA53-42B1-8132-A8DC2C18F72A}" name="個人／構成比" dataDxfId="1947"/>
    <tableColumn id="14" xr3:uid="{EFBF215E-5A5F-4353-8E6A-AD522723CF6B}" name="法人／事業所数" dataCellStyle="桁区切り"/>
    <tableColumn id="15" xr3:uid="{37CC78E4-88E8-44C3-93F6-F856FE8567A1}" name="法人／構成比" dataDxfId="1946"/>
    <tableColumn id="16" xr3:uid="{F62BA044-F15D-464D-9DAB-5B5348083AEE}" name="法人以外の団体／事業所数" dataCellStyle="桁区切り"/>
  </tableColumns>
  <tableStyleInfo name="TableStyleMedium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BB32A072-6A21-4654-8C09-D34B85330940}" name="LTBL_01334" displayName="LTBL_01334" ref="B4:I20" totalsRowCount="1">
  <autoFilter ref="B4:I19" xr:uid="{BB32A072-6A21-4654-8C09-D34B85330940}"/>
  <tableColumns count="8">
    <tableColumn id="9" xr3:uid="{CCAE3AB1-FFBD-4BF2-9C4E-C275C654D904}" name="産業大分類" totalsRowLabel="合計" totalsRowDxfId="1945"/>
    <tableColumn id="10" xr3:uid="{89521589-F26B-417F-A527-D1BE3F5BF096}" name="総数／事業所数" totalsRowFunction="custom" totalsRowDxfId="1944" dataCellStyle="桁区切り" totalsRowCellStyle="桁区切り">
      <totalsRowFormula>SUM(LTBL_01334[総数／事業所数])</totalsRowFormula>
    </tableColumn>
    <tableColumn id="11" xr3:uid="{A0CD3D06-641E-4897-9943-D85B8475EA4C}" name="総数／構成比" dataDxfId="1943"/>
    <tableColumn id="12" xr3:uid="{AEE2224A-2DF4-4871-AF8D-738458537DC7}" name="個人／事業所数" totalsRowFunction="sum" totalsRowDxfId="1942" dataCellStyle="桁区切り" totalsRowCellStyle="桁区切り"/>
    <tableColumn id="13" xr3:uid="{9CB6D495-D199-47FE-B7D1-A4C2AC2C6B23}" name="個人／構成比" dataDxfId="1941"/>
    <tableColumn id="14" xr3:uid="{567C7205-130A-4A66-8AD8-FF022DEED605}" name="法人／事業所数" totalsRowFunction="sum" totalsRowDxfId="1940" dataCellStyle="桁区切り" totalsRowCellStyle="桁区切り"/>
    <tableColumn id="15" xr3:uid="{6E1173AE-15F3-43D5-A02F-9564CE1B0913}" name="法人／構成比" dataDxfId="1939"/>
    <tableColumn id="16" xr3:uid="{C64611FE-8062-4E9F-8465-DC2C5977FCF3}" name="法人以外の団体／事業所数" totalsRowFunction="sum" totalsRowDxfId="1938" dataCellStyle="桁区切り" totalsRowCellStyle="桁区切り"/>
  </tableColumns>
  <tableStyleInfo name="TableStyleMedium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F1D9C5DF-A0F8-455D-A3C9-6370AC2C5D05}" name="M_TABLE_01334" displayName="M_TABLE_01334" ref="B23:I44" totalsRowShown="0">
  <autoFilter ref="B23:I44" xr:uid="{F1D9C5DF-A0F8-455D-A3C9-6370AC2C5D05}"/>
  <tableColumns count="8">
    <tableColumn id="9" xr3:uid="{15159B35-5CCB-4D97-B795-6AE12DDC0AC8}" name="産業中分類上位２０"/>
    <tableColumn id="10" xr3:uid="{BF30B4DC-2A5F-4CB0-8399-AD26F0CC99A4}" name="総数／事業所数" dataCellStyle="桁区切り"/>
    <tableColumn id="11" xr3:uid="{B252BC9E-D5D4-4F0E-8686-8E0B6A3FB32D}" name="総数／構成比" dataDxfId="1937"/>
    <tableColumn id="12" xr3:uid="{7A09C7E1-649E-4384-B9F5-35669DF1070E}" name="個人／事業所数" dataCellStyle="桁区切り"/>
    <tableColumn id="13" xr3:uid="{FEFAAF6C-797A-4511-BE07-464ABB772486}" name="個人／構成比" dataDxfId="1936"/>
    <tableColumn id="14" xr3:uid="{B88E469B-EE32-46F4-A71D-4B0BC41D971F}" name="法人／事業所数" dataCellStyle="桁区切り"/>
    <tableColumn id="15" xr3:uid="{39F63352-2792-40F8-96F1-7E61C0814BD6}" name="法人／構成比" dataDxfId="1935"/>
    <tableColumn id="16" xr3:uid="{1851EAFE-FFA5-407F-AC77-D8C58100CD8A}" name="法人以外の団体／事業所数" dataCellStyle="桁区切り"/>
  </tableColumns>
  <tableStyleInfo name="TableStyleMedium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ED7368CE-2328-4F4D-A1E8-3011FC9A6B30}" name="S_TABLE_01334" displayName="S_TABLE_01334" ref="B47:I76" totalsRowShown="0">
  <autoFilter ref="B47:I76" xr:uid="{ED7368CE-2328-4F4D-A1E8-3011FC9A6B30}"/>
  <tableColumns count="8">
    <tableColumn id="9" xr3:uid="{D3906085-B554-4FD5-AAB8-4E20CE103B20}" name="産業小分類上位２０"/>
    <tableColumn id="10" xr3:uid="{B4ACEA6E-19DA-432D-8920-3A0E89AEDCA0}" name="総数／事業所数" dataCellStyle="桁区切り"/>
    <tableColumn id="11" xr3:uid="{FB438DAB-8614-493B-8618-B98D9C18225B}" name="総数／構成比" dataDxfId="1934"/>
    <tableColumn id="12" xr3:uid="{FEB9399B-5F9F-4CBB-9C8E-1B7CC1E16D3A}" name="個人／事業所数" dataCellStyle="桁区切り"/>
    <tableColumn id="13" xr3:uid="{C2FE125F-3E32-41E0-B345-5AB5D2BB7F68}" name="個人／構成比" dataDxfId="1933"/>
    <tableColumn id="14" xr3:uid="{5E7ECCE3-8AE6-49F1-9BC3-F1D339903A62}" name="法人／事業所数" dataCellStyle="桁区切り"/>
    <tableColumn id="15" xr3:uid="{8D4DE61F-EDD5-46C7-974B-29E3F3895F09}" name="法人／構成比" dataDxfId="1932"/>
    <tableColumn id="16" xr3:uid="{E638397B-25A3-417F-A4D0-6CA22D0FC38A}" name="法人以外の団体／事業所数" dataCellStyle="桁区切り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D7E16C56-0F7B-44BB-AFFF-7C1C5B5AD67B}" name="LTBL_01337" displayName="LTBL_01337" ref="B4:I20" totalsRowCount="1">
  <autoFilter ref="B4:I19" xr:uid="{D7E16C56-0F7B-44BB-AFFF-7C1C5B5AD67B}"/>
  <tableColumns count="8">
    <tableColumn id="9" xr3:uid="{B1A7C2C3-014D-4E52-B9CE-5254C42537AF}" name="産業大分類" totalsRowLabel="合計" totalsRowDxfId="1931"/>
    <tableColumn id="10" xr3:uid="{0CDAF7AB-2FB6-4A52-9825-000566D4268F}" name="総数／事業所数" totalsRowFunction="custom" totalsRowDxfId="1930" dataCellStyle="桁区切り" totalsRowCellStyle="桁区切り">
      <totalsRowFormula>SUM(LTBL_01337[総数／事業所数])</totalsRowFormula>
    </tableColumn>
    <tableColumn id="11" xr3:uid="{11263E8D-A9BB-4B8A-85F8-667E3FEF24E1}" name="総数／構成比" dataDxfId="1929"/>
    <tableColumn id="12" xr3:uid="{3632FCCF-EDA5-403A-BF9B-F54EC0F87D7A}" name="個人／事業所数" totalsRowFunction="sum" totalsRowDxfId="1928" dataCellStyle="桁区切り" totalsRowCellStyle="桁区切り"/>
    <tableColumn id="13" xr3:uid="{C19F046E-7CA2-409C-A7EA-54D63B41773A}" name="個人／構成比" dataDxfId="1927"/>
    <tableColumn id="14" xr3:uid="{C65F3708-98A1-4252-8E03-97BB4E622E43}" name="法人／事業所数" totalsRowFunction="sum" totalsRowDxfId="1926" dataCellStyle="桁区切り" totalsRowCellStyle="桁区切り"/>
    <tableColumn id="15" xr3:uid="{BD5CCBE9-23DC-4071-ABA9-2B5FD6637A45}" name="法人／構成比" dataDxfId="1925"/>
    <tableColumn id="16" xr3:uid="{26A8D140-5F99-4D9B-8571-27DB21705961}" name="法人以外の団体／事業所数" totalsRowFunction="sum" totalsRowDxfId="1924" dataCellStyle="桁区切り" totalsRowCellStyle="桁区切り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B58B426D-E199-4BCB-AAFB-6305F82E4346}" name="M_TABLE_01337" displayName="M_TABLE_01337" ref="B23:I43" totalsRowShown="0">
  <autoFilter ref="B23:I43" xr:uid="{B58B426D-E199-4BCB-AAFB-6305F82E4346}"/>
  <tableColumns count="8">
    <tableColumn id="9" xr3:uid="{7A7D5C3A-2868-4160-9947-F3CD684D802E}" name="産業中分類上位２０"/>
    <tableColumn id="10" xr3:uid="{DD778B9B-E31E-49C9-9B23-4F3B62826C4F}" name="総数／事業所数" dataCellStyle="桁区切り"/>
    <tableColumn id="11" xr3:uid="{61A83BED-77B4-43E5-ADD7-F136DFF8BDD3}" name="総数／構成比" dataDxfId="1923"/>
    <tableColumn id="12" xr3:uid="{65731875-C9F5-4F2E-9F5D-FEC68C448FA5}" name="個人／事業所数" dataCellStyle="桁区切り"/>
    <tableColumn id="13" xr3:uid="{23D62C5A-2389-44E0-B40B-5275020C697A}" name="個人／構成比" dataDxfId="1922"/>
    <tableColumn id="14" xr3:uid="{F8167039-3957-4E1A-A7C7-EA6251FD92C2}" name="法人／事業所数" dataCellStyle="桁区切り"/>
    <tableColumn id="15" xr3:uid="{603E170F-139B-4FAB-9724-FD3D6937782E}" name="法人／構成比" dataDxfId="1921"/>
    <tableColumn id="16" xr3:uid="{F64491E8-BC6E-4488-AD44-7CB49C5C2831}" name="法人以外の団体／事業所数" dataCellStyle="桁区切り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7769BB97-37BC-4C48-B9D5-337101848B04}" name="S_TABLE_01337" displayName="S_TABLE_01337" ref="B46:I67" totalsRowShown="0">
  <autoFilter ref="B46:I67" xr:uid="{7769BB97-37BC-4C48-B9D5-337101848B04}"/>
  <tableColumns count="8">
    <tableColumn id="9" xr3:uid="{E48F7447-BA93-4D11-BF8F-D0DEBAC2F1B2}" name="産業小分類上位２０"/>
    <tableColumn id="10" xr3:uid="{B26020B4-5AA4-4457-945E-C250DE49E9B7}" name="総数／事業所数" dataCellStyle="桁区切り"/>
    <tableColumn id="11" xr3:uid="{1A3A5D1B-51DE-4849-9279-A057D458A32D}" name="総数／構成比" dataDxfId="1920"/>
    <tableColumn id="12" xr3:uid="{59F5A4E2-2721-43AC-A164-6B46354DDAF0}" name="個人／事業所数" dataCellStyle="桁区切り"/>
    <tableColumn id="13" xr3:uid="{64ED4292-EC0E-4423-B0AB-56C1EBF8E91A}" name="個人／構成比" dataDxfId="1919"/>
    <tableColumn id="14" xr3:uid="{20AACDFD-8A81-4584-B34E-7F8337E2D47F}" name="法人／事業所数" dataCellStyle="桁区切り"/>
    <tableColumn id="15" xr3:uid="{8ED47A3B-0174-4A91-A26A-20D638403864}" name="法人／構成比" dataDxfId="1918"/>
    <tableColumn id="16" xr3:uid="{0B57CB06-61B4-4616-8D12-4F2C4D1E4334}" name="法人以外の団体／事業所数" dataCellStyle="桁区切り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CF92205-7D04-47CE-A913-15682C89E411}" name="LTBL_01104" displayName="LTBL_01104" ref="B4:I20" totalsRowCount="1">
  <autoFilter ref="B4:I19" xr:uid="{0CF92205-7D04-47CE-A913-15682C89E411}"/>
  <tableColumns count="8">
    <tableColumn id="9" xr3:uid="{17A46D7C-B5CC-4BEB-81E3-EC0EA798ADF2}" name="産業大分類" totalsRowLabel="合計" totalsRowDxfId="2589"/>
    <tableColumn id="10" xr3:uid="{4C1DEBDB-E059-4367-AC47-DDD364368F25}" name="総数／事業所数" totalsRowFunction="custom" totalsRowDxfId="2588" dataCellStyle="桁区切り" totalsRowCellStyle="桁区切り">
      <totalsRowFormula>SUM(LTBL_01104[総数／事業所数])</totalsRowFormula>
    </tableColumn>
    <tableColumn id="11" xr3:uid="{7CF2CE3F-9259-4A16-8518-B170D4836565}" name="総数／構成比" dataDxfId="2587"/>
    <tableColumn id="12" xr3:uid="{5B307ABC-0CE8-4272-9B19-604831593920}" name="個人／事業所数" totalsRowFunction="sum" totalsRowDxfId="2586" dataCellStyle="桁区切り" totalsRowCellStyle="桁区切り"/>
    <tableColumn id="13" xr3:uid="{3059FE20-C3DC-4841-A926-747A558A6ED4}" name="個人／構成比" dataDxfId="2585"/>
    <tableColumn id="14" xr3:uid="{A0E3B0C3-1C44-41F2-A039-84458651EB6E}" name="法人／事業所数" totalsRowFunction="sum" totalsRowDxfId="2584" dataCellStyle="桁区切り" totalsRowCellStyle="桁区切り"/>
    <tableColumn id="15" xr3:uid="{C025ABB3-9D6C-49B9-94B1-A14050BAE5E9}" name="法人／構成比" dataDxfId="2583"/>
    <tableColumn id="16" xr3:uid="{34679506-E96F-42F9-A0CA-966DE8C7D7B6}" name="法人以外の団体／事業所数" totalsRowFunction="sum" totalsRowDxfId="2582" dataCellStyle="桁区切り" totalsRowCellStyle="桁区切り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AE595ED5-FBBD-4CC9-8E97-6CFAD7E135F0}" name="LTBL_01343" displayName="LTBL_01343" ref="B4:I20" totalsRowCount="1">
  <autoFilter ref="B4:I19" xr:uid="{AE595ED5-FBBD-4CC9-8E97-6CFAD7E135F0}"/>
  <tableColumns count="8">
    <tableColumn id="9" xr3:uid="{23D3D162-BC80-4228-92B8-3A972ACF6798}" name="産業大分類" totalsRowLabel="合計" totalsRowDxfId="1917"/>
    <tableColumn id="10" xr3:uid="{19CA3A8D-5812-4738-A0DC-93B5687057CB}" name="総数／事業所数" totalsRowFunction="custom" totalsRowDxfId="1916" dataCellStyle="桁区切り" totalsRowCellStyle="桁区切り">
      <totalsRowFormula>SUM(LTBL_01343[総数／事業所数])</totalsRowFormula>
    </tableColumn>
    <tableColumn id="11" xr3:uid="{D5B1F9FD-C28C-49B6-86A6-02AA140F33B5}" name="総数／構成比" dataDxfId="1915"/>
    <tableColumn id="12" xr3:uid="{34B4DFE6-1A1E-4782-8741-7017B0D9A0D3}" name="個人／事業所数" totalsRowFunction="sum" totalsRowDxfId="1914" dataCellStyle="桁区切り" totalsRowCellStyle="桁区切り"/>
    <tableColumn id="13" xr3:uid="{60218A4E-2BA5-43C0-B07E-9FF013916700}" name="個人／構成比" dataDxfId="1913"/>
    <tableColumn id="14" xr3:uid="{ED20358B-729D-40CB-8CE8-290C5EFD483E}" name="法人／事業所数" totalsRowFunction="sum" totalsRowDxfId="1912" dataCellStyle="桁区切り" totalsRowCellStyle="桁区切り"/>
    <tableColumn id="15" xr3:uid="{55E7C5C8-88C8-4FEA-A052-2A601D777327}" name="法人／構成比" dataDxfId="1911"/>
    <tableColumn id="16" xr3:uid="{3E7BD856-D904-47E6-B46D-4D9B99234A5E}" name="法人以外の団体／事業所数" totalsRowFunction="sum" totalsRowDxfId="1910" dataCellStyle="桁区切り" totalsRowCellStyle="桁区切り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4ECF2888-A494-49BB-B671-16B58D681C8B}" name="M_TABLE_01343" displayName="M_TABLE_01343" ref="B23:I51" totalsRowShown="0">
  <autoFilter ref="B23:I51" xr:uid="{4ECF2888-A494-49BB-B671-16B58D681C8B}"/>
  <tableColumns count="8">
    <tableColumn id="9" xr3:uid="{A29B7567-1BAF-463C-9AC5-4B158F40D071}" name="産業中分類上位２０"/>
    <tableColumn id="10" xr3:uid="{0F1EEEA7-32D3-41B6-8B7E-480991F056DB}" name="総数／事業所数" dataCellStyle="桁区切り"/>
    <tableColumn id="11" xr3:uid="{D51D26BC-28B2-473F-9B6B-F3808DD3ABF0}" name="総数／構成比" dataDxfId="1909"/>
    <tableColumn id="12" xr3:uid="{D1839892-D06F-48E2-B0F4-FBEE47218D41}" name="個人／事業所数" dataCellStyle="桁区切り"/>
    <tableColumn id="13" xr3:uid="{6CFE38C3-471B-477F-877E-E4F37078EED1}" name="個人／構成比" dataDxfId="1908"/>
    <tableColumn id="14" xr3:uid="{F5E376DC-D6FC-42A8-A3E3-D128CE3AD852}" name="法人／事業所数" dataCellStyle="桁区切り"/>
    <tableColumn id="15" xr3:uid="{8C798C1C-0D29-472A-80DC-9195FDC5CF02}" name="法人／構成比" dataDxfId="1907"/>
    <tableColumn id="16" xr3:uid="{5E8D23F0-29EC-4EE6-9E17-806DDFDF78E2}" name="法人以外の団体／事業所数" dataCellStyle="桁区切り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2316735A-0998-49C6-A7A0-CFAAA41222E9}" name="S_TABLE_01343" displayName="S_TABLE_01343" ref="B54:I105" totalsRowShown="0">
  <autoFilter ref="B54:I105" xr:uid="{2316735A-0998-49C6-A7A0-CFAAA41222E9}"/>
  <tableColumns count="8">
    <tableColumn id="9" xr3:uid="{01063E35-B0C0-4352-B974-4B83CC5A2622}" name="産業小分類上位２０"/>
    <tableColumn id="10" xr3:uid="{E839B2C4-5757-4DBB-9A4F-C6354A93D717}" name="総数／事業所数" dataCellStyle="桁区切り"/>
    <tableColumn id="11" xr3:uid="{0D53D8A0-3FA6-4544-B38D-BF63D803A886}" name="総数／構成比" dataDxfId="1906"/>
    <tableColumn id="12" xr3:uid="{5D286C1E-8503-46C5-BB86-1F8283AF8284}" name="個人／事業所数" dataCellStyle="桁区切り"/>
    <tableColumn id="13" xr3:uid="{C080B69B-C260-4A4A-AF66-7587A201DEAE}" name="個人／構成比" dataDxfId="1905"/>
    <tableColumn id="14" xr3:uid="{CB6FE2A9-0FAF-4198-943F-675978F84330}" name="法人／事業所数" dataCellStyle="桁区切り"/>
    <tableColumn id="15" xr3:uid="{17FE7460-E292-499B-AC13-EBBB229C86B2}" name="法人／構成比" dataDxfId="1904"/>
    <tableColumn id="16" xr3:uid="{E893C3BE-1972-4011-A7EA-FC2FB24CCBEB}" name="法人以外の団体／事業所数" dataCellStyle="桁区切り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F5EE5E63-7C16-4C26-A7B7-22A7CEC1CCEF}" name="LTBL_01345" displayName="LTBL_01345" ref="B4:I20" totalsRowCount="1">
  <autoFilter ref="B4:I19" xr:uid="{F5EE5E63-7C16-4C26-A7B7-22A7CEC1CCEF}"/>
  <tableColumns count="8">
    <tableColumn id="9" xr3:uid="{767C5DF7-42D3-4C42-8CEA-08E63F320CFD}" name="産業大分類" totalsRowLabel="合計" totalsRowDxfId="1903"/>
    <tableColumn id="10" xr3:uid="{1B95EA61-B0B7-469A-8BBE-E663B61E1EA6}" name="総数／事業所数" totalsRowFunction="custom" totalsRowDxfId="1902" dataCellStyle="桁区切り" totalsRowCellStyle="桁区切り">
      <totalsRowFormula>SUM(LTBL_01345[総数／事業所数])</totalsRowFormula>
    </tableColumn>
    <tableColumn id="11" xr3:uid="{E4F05F2F-6BD2-423F-B599-3FEAA47D8959}" name="総数／構成比" dataDxfId="1901"/>
    <tableColumn id="12" xr3:uid="{06D04CE4-927D-494C-93D9-3E28EBAA39B9}" name="個人／事業所数" totalsRowFunction="sum" totalsRowDxfId="1900" dataCellStyle="桁区切り" totalsRowCellStyle="桁区切り"/>
    <tableColumn id="13" xr3:uid="{F8F94018-3D63-4C78-9667-3A4606F5830F}" name="個人／構成比" dataDxfId="1899"/>
    <tableColumn id="14" xr3:uid="{29DD788E-49DC-4BE6-A89C-0709280D5528}" name="法人／事業所数" totalsRowFunction="sum" totalsRowDxfId="1898" dataCellStyle="桁区切り" totalsRowCellStyle="桁区切り"/>
    <tableColumn id="15" xr3:uid="{33C28291-5B02-46BF-94E7-1BD4273D4D3A}" name="法人／構成比" dataDxfId="1897"/>
    <tableColumn id="16" xr3:uid="{CCA0E538-2F63-4D33-9C4E-6C2477AC2CCE}" name="法人以外の団体／事業所数" totalsRowFunction="sum" totalsRowDxfId="1896" dataCellStyle="桁区切り" totalsRowCellStyle="桁区切り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76063482-B04F-480F-993E-A7A53D8AA3F8}" name="M_TABLE_01345" displayName="M_TABLE_01345" ref="B23:I44" totalsRowShown="0">
  <autoFilter ref="B23:I44" xr:uid="{76063482-B04F-480F-993E-A7A53D8AA3F8}"/>
  <tableColumns count="8">
    <tableColumn id="9" xr3:uid="{C7948C90-DB29-4705-BE7C-89752BA9F2ED}" name="産業中分類上位２０"/>
    <tableColumn id="10" xr3:uid="{B189B58A-2CD3-458D-AE21-DC078474ED84}" name="総数／事業所数" dataCellStyle="桁区切り"/>
    <tableColumn id="11" xr3:uid="{A5BFCE45-95E5-480B-89B2-E614325BE5C9}" name="総数／構成比" dataDxfId="1895"/>
    <tableColumn id="12" xr3:uid="{13DCC742-B6C4-4532-B994-BA5B09EBA3DC}" name="個人／事業所数" dataCellStyle="桁区切り"/>
    <tableColumn id="13" xr3:uid="{643BF955-8C7C-49B0-BA8B-C065A0644760}" name="個人／構成比" dataDxfId="1894"/>
    <tableColumn id="14" xr3:uid="{3CEB0455-7042-479F-A151-3069C52E9299}" name="法人／事業所数" dataCellStyle="桁区切り"/>
    <tableColumn id="15" xr3:uid="{715937A6-FD58-4A53-B4F8-21E2D0688F0C}" name="法人／構成比" dataDxfId="1893"/>
    <tableColumn id="16" xr3:uid="{2A43D356-9FE9-4D63-8936-DAE0EA2D7E92}" name="法人以外の団体／事業所数" dataCellStyle="桁区切り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CBF95C37-15F2-41BF-B6BB-63624AE506FE}" name="S_TABLE_01345" displayName="S_TABLE_01345" ref="B47:I72" totalsRowShown="0">
  <autoFilter ref="B47:I72" xr:uid="{CBF95C37-15F2-41BF-B6BB-63624AE506FE}"/>
  <tableColumns count="8">
    <tableColumn id="9" xr3:uid="{70D12DF2-C6C6-4F6C-865D-76B1B365E32E}" name="産業小分類上位２０"/>
    <tableColumn id="10" xr3:uid="{A2D18FD9-B703-43DC-8EEF-19BB7C4D6BCD}" name="総数／事業所数" dataCellStyle="桁区切り"/>
    <tableColumn id="11" xr3:uid="{F1A78F8C-D9DB-4BFB-90F0-53B3922045FF}" name="総数／構成比" dataDxfId="1892"/>
    <tableColumn id="12" xr3:uid="{AD5A8024-DCE7-4743-8697-2C12DB076C01}" name="個人／事業所数" dataCellStyle="桁区切り"/>
    <tableColumn id="13" xr3:uid="{940BA2D8-3925-4D30-91A3-5BD19E0CEAA0}" name="個人／構成比" dataDxfId="1891"/>
    <tableColumn id="14" xr3:uid="{1D611DA1-A663-4001-9200-EDFD19C30629}" name="法人／事業所数" dataCellStyle="桁区切り"/>
    <tableColumn id="15" xr3:uid="{4E5C761E-AA28-4F57-9AAE-80F9759D182D}" name="法人／構成比" dataDxfId="1890"/>
    <tableColumn id="16" xr3:uid="{05964146-7D14-4110-865B-7B13FE34F238}" name="法人以外の団体／事業所数" dataCellStyle="桁区切り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AF28E603-C011-4D7E-A321-CDBF4264A9CF}" name="LTBL_01346" displayName="LTBL_01346" ref="B4:I20" totalsRowCount="1">
  <autoFilter ref="B4:I19" xr:uid="{AF28E603-C011-4D7E-A321-CDBF4264A9CF}"/>
  <tableColumns count="8">
    <tableColumn id="9" xr3:uid="{7D59A238-A9C5-4A74-AB4A-B168DE8D2ED0}" name="産業大分類" totalsRowLabel="合計" totalsRowDxfId="1889"/>
    <tableColumn id="10" xr3:uid="{061C83D6-864D-4301-986D-A26424B1BD50}" name="総数／事業所数" totalsRowFunction="custom" totalsRowDxfId="1888" dataCellStyle="桁区切り" totalsRowCellStyle="桁区切り">
      <totalsRowFormula>SUM(LTBL_01346[総数／事業所数])</totalsRowFormula>
    </tableColumn>
    <tableColumn id="11" xr3:uid="{E999C8BF-6C91-40DC-B29D-81BF6282B5D3}" name="総数／構成比" dataDxfId="1887"/>
    <tableColumn id="12" xr3:uid="{02B82B8D-9D79-40CE-AF7E-0D40FB29B7A7}" name="個人／事業所数" totalsRowFunction="sum" totalsRowDxfId="1886" dataCellStyle="桁区切り" totalsRowCellStyle="桁区切り"/>
    <tableColumn id="13" xr3:uid="{E27D49AC-2DA2-4BA7-84AE-E7D5347D7DEF}" name="個人／構成比" dataDxfId="1885"/>
    <tableColumn id="14" xr3:uid="{CB50F3C9-ECAC-4BD5-8CE3-659A5FBD6004}" name="法人／事業所数" totalsRowFunction="sum" totalsRowDxfId="1884" dataCellStyle="桁区切り" totalsRowCellStyle="桁区切り"/>
    <tableColumn id="15" xr3:uid="{86A01995-EF89-4599-9987-D72B6F8F9869}" name="法人／構成比" dataDxfId="1883"/>
    <tableColumn id="16" xr3:uid="{AFEEE423-9B08-46D2-A701-257D5B32ED00}" name="法人以外の団体／事業所数" totalsRowFunction="sum" totalsRowDxfId="1882" dataCellStyle="桁区切り" totalsRowCellStyle="桁区切り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F45EA853-03BB-4698-8DE4-A380AE99A459}" name="M_TABLE_01346" displayName="M_TABLE_01346" ref="B23:I44" totalsRowShown="0">
  <autoFilter ref="B23:I44" xr:uid="{F45EA853-03BB-4698-8DE4-A380AE99A459}"/>
  <tableColumns count="8">
    <tableColumn id="9" xr3:uid="{23BE560F-C551-4091-8715-D3154322A05E}" name="産業中分類上位２０"/>
    <tableColumn id="10" xr3:uid="{E6D928B3-D54F-403F-9DF2-B78A44DB7B7F}" name="総数／事業所数" dataCellStyle="桁区切り"/>
    <tableColumn id="11" xr3:uid="{A25E0EA3-F301-4153-B067-2F5D70659DBD}" name="総数／構成比" dataDxfId="1881"/>
    <tableColumn id="12" xr3:uid="{6426597F-B89E-46AE-A310-97E44482CE10}" name="個人／事業所数" dataCellStyle="桁区切り"/>
    <tableColumn id="13" xr3:uid="{A64E1EBE-748F-4C53-85C4-E859C768FAEA}" name="個人／構成比" dataDxfId="1880"/>
    <tableColumn id="14" xr3:uid="{CD78C55D-A893-4BA5-8A6D-D3E89468803F}" name="法人／事業所数" dataCellStyle="桁区切り"/>
    <tableColumn id="15" xr3:uid="{16276A18-83C9-4AB5-9761-57BBE2687821}" name="法人／構成比" dataDxfId="1879"/>
    <tableColumn id="16" xr3:uid="{C85F693D-8B91-4FC4-9C5A-E65201A25E1A}" name="法人以外の団体／事業所数" dataCellStyle="桁区切り"/>
  </tableColumns>
  <tableStyleInfo name="TableStyleMedium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F0829387-4282-4019-B09E-B43250FE1637}" name="S_TABLE_01346" displayName="S_TABLE_01346" ref="B47:I67" totalsRowShown="0">
  <autoFilter ref="B47:I67" xr:uid="{F0829387-4282-4019-B09E-B43250FE1637}"/>
  <tableColumns count="8">
    <tableColumn id="9" xr3:uid="{71DC640C-7EAD-4607-AAE3-3DC42948EC32}" name="産業小分類上位２０"/>
    <tableColumn id="10" xr3:uid="{53BC9A6F-2C05-4274-BC3C-4A69C030A763}" name="総数／事業所数" dataCellStyle="桁区切り"/>
    <tableColumn id="11" xr3:uid="{B681E231-A008-428D-8938-679D72494CAF}" name="総数／構成比" dataDxfId="1878"/>
    <tableColumn id="12" xr3:uid="{7ABCD76E-D6D8-4964-A6C0-1C7D97E767DC}" name="個人／事業所数" dataCellStyle="桁区切り"/>
    <tableColumn id="13" xr3:uid="{E88A1A93-0AF5-4FE9-BF14-9B38E26EEB24}" name="個人／構成比" dataDxfId="1877"/>
    <tableColumn id="14" xr3:uid="{679508FB-BD15-4986-90CE-FDEB217E5CCF}" name="法人／事業所数" dataCellStyle="桁区切り"/>
    <tableColumn id="15" xr3:uid="{340AFBF2-58BF-43C7-8D29-9E9EBF759EAF}" name="法人／構成比" dataDxfId="1876"/>
    <tableColumn id="16" xr3:uid="{07A71612-7170-438F-800F-BBCF0AF20F1B}" name="法人以外の団体／事業所数" dataCellStyle="桁区切り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E3C9C538-3A70-4D6F-B2A4-AA73DDD9678B}" name="LTBL_01347" displayName="LTBL_01347" ref="B4:I20" totalsRowCount="1">
  <autoFilter ref="B4:I19" xr:uid="{E3C9C538-3A70-4D6F-B2A4-AA73DDD9678B}"/>
  <tableColumns count="8">
    <tableColumn id="9" xr3:uid="{4AA06D9E-9139-4E08-BCAB-0C4D89D53ABF}" name="産業大分類" totalsRowLabel="合計" totalsRowDxfId="1875"/>
    <tableColumn id="10" xr3:uid="{5652E411-391A-44D3-B84C-816BDFF106D5}" name="総数／事業所数" totalsRowFunction="custom" totalsRowDxfId="1874" dataCellStyle="桁区切り" totalsRowCellStyle="桁区切り">
      <totalsRowFormula>SUM(LTBL_01347[総数／事業所数])</totalsRowFormula>
    </tableColumn>
    <tableColumn id="11" xr3:uid="{174641A5-2B84-4097-B66E-BC3C62A69E7A}" name="総数／構成比" dataDxfId="1873"/>
    <tableColumn id="12" xr3:uid="{2D30816D-F9BA-43CA-97DA-FE2B423924BB}" name="個人／事業所数" totalsRowFunction="sum" totalsRowDxfId="1872" dataCellStyle="桁区切り" totalsRowCellStyle="桁区切り"/>
    <tableColumn id="13" xr3:uid="{8987D263-6B20-41C1-BA7C-4542A8F1303A}" name="個人／構成比" dataDxfId="1871"/>
    <tableColumn id="14" xr3:uid="{677E13F2-B1BB-4040-BBB1-8834AE040448}" name="法人／事業所数" totalsRowFunction="sum" totalsRowDxfId="1870" dataCellStyle="桁区切り" totalsRowCellStyle="桁区切り"/>
    <tableColumn id="15" xr3:uid="{DA94812B-B054-4412-A851-99840D1E7402}" name="法人／構成比" dataDxfId="1869"/>
    <tableColumn id="16" xr3:uid="{F77D0C1B-3865-481E-9613-3EADA618DB9E}" name="法人以外の団体／事業所数" totalsRowFunction="sum" totalsRowDxfId="1868" dataCellStyle="桁区切り" totalsRowCellStyle="桁区切り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1B4814E-A973-44F0-A199-21FA891D39B2}" name="M_TABLE_01104" displayName="M_TABLE_01104" ref="B23:I43" totalsRowShown="0">
  <autoFilter ref="B23:I43" xr:uid="{41B4814E-A973-44F0-A199-21FA891D39B2}"/>
  <tableColumns count="8">
    <tableColumn id="9" xr3:uid="{467789EA-439C-4A8C-A017-9A41BEC1DE4E}" name="産業中分類上位２０"/>
    <tableColumn id="10" xr3:uid="{80B943A5-FF68-4FBC-8C7B-35B178FB9104}" name="総数／事業所数" dataCellStyle="桁区切り"/>
    <tableColumn id="11" xr3:uid="{65AADD44-E9D0-4786-B9B7-D5771BA45A0B}" name="総数／構成比" dataDxfId="2581"/>
    <tableColumn id="12" xr3:uid="{C53617C1-FA9F-440B-9333-215ED43BD855}" name="個人／事業所数" dataCellStyle="桁区切り"/>
    <tableColumn id="13" xr3:uid="{A34B44D4-4144-4093-A209-248DC84A05D0}" name="個人／構成比" dataDxfId="2580"/>
    <tableColumn id="14" xr3:uid="{F1F7BF30-99ED-43F5-A975-D112C18286EF}" name="法人／事業所数" dataCellStyle="桁区切り"/>
    <tableColumn id="15" xr3:uid="{42205C26-766B-44B4-9C4C-453699FCBDFE}" name="法人／構成比" dataDxfId="2579"/>
    <tableColumn id="16" xr3:uid="{5275B214-1EBC-4825-8E5F-97D81309A86C}" name="法人以外の団体／事業所数" dataCellStyle="桁区切り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9FD21FE8-BE65-4CDB-A8D0-C1DE2FDD0373}" name="M_TABLE_01347" displayName="M_TABLE_01347" ref="B23:I51" totalsRowShown="0">
  <autoFilter ref="B23:I51" xr:uid="{9FD21FE8-BE65-4CDB-A8D0-C1DE2FDD0373}"/>
  <tableColumns count="8">
    <tableColumn id="9" xr3:uid="{CCDD4F01-CC50-4451-B0BB-8D07CA2CB802}" name="産業中分類上位２０"/>
    <tableColumn id="10" xr3:uid="{EB592F65-FEB8-483C-85C2-BB65DC29F945}" name="総数／事業所数" dataCellStyle="桁区切り"/>
    <tableColumn id="11" xr3:uid="{CA25C574-5F74-4726-9560-D390F29EF9B7}" name="総数／構成比" dataDxfId="1867"/>
    <tableColumn id="12" xr3:uid="{8FEEF2C8-962E-4C6B-8911-A4AAD06799C6}" name="個人／事業所数" dataCellStyle="桁区切り"/>
    <tableColumn id="13" xr3:uid="{7D0B9E3E-7F87-40F4-B2D1-06A15C04E844}" name="個人／構成比" dataDxfId="1866"/>
    <tableColumn id="14" xr3:uid="{F7B8FEF0-BCA0-4133-AFE0-43A07E901B5F}" name="法人／事業所数" dataCellStyle="桁区切り"/>
    <tableColumn id="15" xr3:uid="{936CCDE1-51B6-4057-88E0-26A0726CD412}" name="法人／構成比" dataDxfId="1865"/>
    <tableColumn id="16" xr3:uid="{48C3E0F8-14AF-4490-B3BD-A197B1D5E951}" name="法人以外の団体／事業所数" dataCellStyle="桁区切り"/>
  </tableColumns>
  <tableStyleInfo name="TableStyleMedium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72E240C8-337A-4E79-89A8-A0AF7598593C}" name="S_TABLE_01347" displayName="S_TABLE_01347" ref="B54:I75" totalsRowShown="0">
  <autoFilter ref="B54:I75" xr:uid="{72E240C8-337A-4E79-89A8-A0AF7598593C}"/>
  <tableColumns count="8">
    <tableColumn id="9" xr3:uid="{6A2C420A-B670-488F-89E9-FD714F55F15E}" name="産業小分類上位２０"/>
    <tableColumn id="10" xr3:uid="{16EDFAC5-E860-4BD1-9FE0-DEC43F31A274}" name="総数／事業所数" dataCellStyle="桁区切り"/>
    <tableColumn id="11" xr3:uid="{BAEA4650-715A-48DB-92DA-5CFF6EB25C99}" name="総数／構成比" dataDxfId="1864"/>
    <tableColumn id="12" xr3:uid="{EED55F39-CE04-41DA-96C7-212144EED63B}" name="個人／事業所数" dataCellStyle="桁区切り"/>
    <tableColumn id="13" xr3:uid="{31388EC7-6E02-4E0E-ACAA-315939DA57AD}" name="個人／構成比" dataDxfId="1863"/>
    <tableColumn id="14" xr3:uid="{15CB8115-BAFE-4626-87D2-AEFC75BD29F2}" name="法人／事業所数" dataCellStyle="桁区切り"/>
    <tableColumn id="15" xr3:uid="{E58FA1C5-890F-49F2-828A-EB1EFDC1BDA9}" name="法人／構成比" dataDxfId="1862"/>
    <tableColumn id="16" xr3:uid="{5838E7EC-6151-4EA3-B952-75442B36C697}" name="法人以外の団体／事業所数" dataCellStyle="桁区切り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4DDB71AD-FB10-4DE9-8CD6-55025608AE3A}" name="LTBL_01361" displayName="LTBL_01361" ref="B4:I20" totalsRowCount="1">
  <autoFilter ref="B4:I19" xr:uid="{4DDB71AD-FB10-4DE9-8CD6-55025608AE3A}"/>
  <tableColumns count="8">
    <tableColumn id="9" xr3:uid="{31F7B397-DA73-4C97-801B-0356F6B686E4}" name="産業大分類" totalsRowLabel="合計" totalsRowDxfId="1861"/>
    <tableColumn id="10" xr3:uid="{B2985FF7-9380-48DA-9F24-9B0027896AA2}" name="総数／事業所数" totalsRowFunction="custom" totalsRowDxfId="1860" dataCellStyle="桁区切り" totalsRowCellStyle="桁区切り">
      <totalsRowFormula>SUM(LTBL_01361[総数／事業所数])</totalsRowFormula>
    </tableColumn>
    <tableColumn id="11" xr3:uid="{96D2AB5F-1278-4F45-B1E8-331804301110}" name="総数／構成比" dataDxfId="1859"/>
    <tableColumn id="12" xr3:uid="{888A1ED4-65E9-4633-9124-7DB1599A439A}" name="個人／事業所数" totalsRowFunction="sum" totalsRowDxfId="1858" dataCellStyle="桁区切り" totalsRowCellStyle="桁区切り"/>
    <tableColumn id="13" xr3:uid="{6A2759A8-1A47-4110-97BC-6FF74BA1862D}" name="個人／構成比" dataDxfId="1857"/>
    <tableColumn id="14" xr3:uid="{09F4BB61-7442-4D1D-9958-4C089C9FD335}" name="法人／事業所数" totalsRowFunction="sum" totalsRowDxfId="1856" dataCellStyle="桁区切り" totalsRowCellStyle="桁区切り"/>
    <tableColumn id="15" xr3:uid="{3033E964-868D-4364-BCE9-098835C8B80D}" name="法人／構成比" dataDxfId="1855"/>
    <tableColumn id="16" xr3:uid="{05509F36-297E-4F6F-B926-5031953C6CED}" name="法人以外の団体／事業所数" totalsRowFunction="sum" totalsRowDxfId="1854" dataCellStyle="桁区切り" totalsRowCellStyle="桁区切り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B491EE1C-3515-4648-9A6F-ABD17F37ADBA}" name="M_TABLE_01361" displayName="M_TABLE_01361" ref="B23:I47" totalsRowShown="0">
  <autoFilter ref="B23:I47" xr:uid="{B491EE1C-3515-4648-9A6F-ABD17F37ADBA}"/>
  <tableColumns count="8">
    <tableColumn id="9" xr3:uid="{C028C26B-0A4F-4B56-ABCD-3F25074D8D93}" name="産業中分類上位２０"/>
    <tableColumn id="10" xr3:uid="{108D4727-9322-4EE7-92B6-D1073F5A3352}" name="総数／事業所数" dataCellStyle="桁区切り"/>
    <tableColumn id="11" xr3:uid="{579789A3-45C5-477B-A6A4-70E21C4A56BB}" name="総数／構成比" dataDxfId="1853"/>
    <tableColumn id="12" xr3:uid="{508DF13A-6D35-43B3-9E2A-CF7E483B7915}" name="個人／事業所数" dataCellStyle="桁区切り"/>
    <tableColumn id="13" xr3:uid="{FF494B4C-80B4-4B59-A855-266A3A840822}" name="個人／構成比" dataDxfId="1852"/>
    <tableColumn id="14" xr3:uid="{82BA7080-FBB5-47D9-87F7-6ABBCDD504E9}" name="法人／事業所数" dataCellStyle="桁区切り"/>
    <tableColumn id="15" xr3:uid="{41626F6F-8BB1-4CFA-A0E7-FA46A233BB92}" name="法人／構成比" dataDxfId="1851"/>
    <tableColumn id="16" xr3:uid="{D2E274E8-A351-46DA-B529-54A619BC239C}" name="法人以外の団体／事業所数" dataCellStyle="桁区切り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4FD7093B-6AA4-431B-B8F3-CFE665850352}" name="S_TABLE_01361" displayName="S_TABLE_01361" ref="B50:I72" totalsRowShown="0">
  <autoFilter ref="B50:I72" xr:uid="{4FD7093B-6AA4-431B-B8F3-CFE665850352}"/>
  <tableColumns count="8">
    <tableColumn id="9" xr3:uid="{94BE18DB-D2BA-4CBE-84FE-54CAD3E0C42F}" name="産業小分類上位２０"/>
    <tableColumn id="10" xr3:uid="{039112C8-F094-48E4-9408-022F426A811F}" name="総数／事業所数" dataCellStyle="桁区切り"/>
    <tableColumn id="11" xr3:uid="{B8708FE9-2893-455F-86B4-9F78D650A5D0}" name="総数／構成比" dataDxfId="1850"/>
    <tableColumn id="12" xr3:uid="{B3602849-19DD-422F-850C-B541A26D512F}" name="個人／事業所数" dataCellStyle="桁区切り"/>
    <tableColumn id="13" xr3:uid="{0BD786EF-65CA-4F7C-8406-C981C7C766F7}" name="個人／構成比" dataDxfId="1849"/>
    <tableColumn id="14" xr3:uid="{0565F13E-9825-4DDB-AB7E-0754442D49B7}" name="法人／事業所数" dataCellStyle="桁区切り"/>
    <tableColumn id="15" xr3:uid="{24738FBA-BE1A-4963-ACD6-51D805E5E0A7}" name="法人／構成比" dataDxfId="1848"/>
    <tableColumn id="16" xr3:uid="{7047116F-CC2B-44A3-8F13-B5F866CF5DF9}" name="法人以外の団体／事業所数" dataCellStyle="桁区切り"/>
  </tableColumns>
  <tableStyleInfo name="TableStyleMedium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554215DE-BB15-4189-B66F-5A2D3A74CDD0}" name="LTBL_01362" displayName="LTBL_01362" ref="B4:I20" totalsRowCount="1">
  <autoFilter ref="B4:I19" xr:uid="{554215DE-BB15-4189-B66F-5A2D3A74CDD0}"/>
  <tableColumns count="8">
    <tableColumn id="9" xr3:uid="{0A3C13E4-CA75-4040-94D9-89A5D7336FEA}" name="産業大分類" totalsRowLabel="合計" totalsRowDxfId="1847"/>
    <tableColumn id="10" xr3:uid="{7A9229E5-817E-475C-9BEA-947B7C79AE29}" name="総数／事業所数" totalsRowFunction="custom" totalsRowDxfId="1846" dataCellStyle="桁区切り" totalsRowCellStyle="桁区切り">
      <totalsRowFormula>SUM(LTBL_01362[総数／事業所数])</totalsRowFormula>
    </tableColumn>
    <tableColumn id="11" xr3:uid="{FBE4EAC4-3C69-4D88-8B88-9F80AF1C2A54}" name="総数／構成比" dataDxfId="1845"/>
    <tableColumn id="12" xr3:uid="{0B632379-9AD0-4227-A21B-4AD38C8E504F}" name="個人／事業所数" totalsRowFunction="sum" totalsRowDxfId="1844" dataCellStyle="桁区切り" totalsRowCellStyle="桁区切り"/>
    <tableColumn id="13" xr3:uid="{5E0221E3-859D-4853-BFBE-1A499017936F}" name="個人／構成比" dataDxfId="1843"/>
    <tableColumn id="14" xr3:uid="{B1BAED79-8C94-4CFB-AC92-7D83A2FAECC5}" name="法人／事業所数" totalsRowFunction="sum" totalsRowDxfId="1842" dataCellStyle="桁区切り" totalsRowCellStyle="桁区切り"/>
    <tableColumn id="15" xr3:uid="{941B8BA0-4555-4D04-AB5C-693BD4499FA0}" name="法人／構成比" dataDxfId="1841"/>
    <tableColumn id="16" xr3:uid="{C3648508-1877-41D9-B38B-1EB3E1289865}" name="法人以外の団体／事業所数" totalsRowFunction="sum" totalsRowDxfId="1840" dataCellStyle="桁区切り" totalsRowCellStyle="桁区切り"/>
  </tableColumns>
  <tableStyleInfo name="TableStyleMedium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740FD34-8592-4443-BAB9-9B06337087C1}" name="M_TABLE_01362" displayName="M_TABLE_01362" ref="B23:I58" totalsRowShown="0">
  <autoFilter ref="B23:I58" xr:uid="{0740FD34-8592-4443-BAB9-9B06337087C1}"/>
  <tableColumns count="8">
    <tableColumn id="9" xr3:uid="{E1DA40A7-863D-45B2-B974-DB945DCF7803}" name="産業中分類上位２０"/>
    <tableColumn id="10" xr3:uid="{A8DBD401-7E6F-4F55-845C-A0719A3C0BC3}" name="総数／事業所数" dataCellStyle="桁区切り"/>
    <tableColumn id="11" xr3:uid="{62C5B6C4-F58C-4986-9847-7C020D77E26E}" name="総数／構成比" dataDxfId="1839"/>
    <tableColumn id="12" xr3:uid="{45CB1669-73AC-48EB-958D-AB517ABF7EDF}" name="個人／事業所数" dataCellStyle="桁区切り"/>
    <tableColumn id="13" xr3:uid="{7733DD0C-EEF2-4A46-907A-9FBB71B8BCE3}" name="個人／構成比" dataDxfId="1838"/>
    <tableColumn id="14" xr3:uid="{CBBD5C3F-DFE5-4369-8CEA-141D91582D72}" name="法人／事業所数" dataCellStyle="桁区切り"/>
    <tableColumn id="15" xr3:uid="{0369CAE0-4E08-4884-8BF8-D68E29B7B48C}" name="法人／構成比" dataDxfId="1837"/>
    <tableColumn id="16" xr3:uid="{1064DDE9-E336-4956-8A04-D038EF996367}" name="法人以外の団体／事業所数" dataCellStyle="桁区切り"/>
  </tableColumns>
  <tableStyleInfo name="TableStyleMedium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FFF30CFF-F19C-4BA0-8D70-7BA5F4862BF0}" name="S_TABLE_01362" displayName="S_TABLE_01362" ref="B61:I85" totalsRowShown="0">
  <autoFilter ref="B61:I85" xr:uid="{FFF30CFF-F19C-4BA0-8D70-7BA5F4862BF0}"/>
  <tableColumns count="8">
    <tableColumn id="9" xr3:uid="{6EFDF4F8-4094-44B7-A0D9-28E9EF5DEAAF}" name="産業小分類上位２０"/>
    <tableColumn id="10" xr3:uid="{05F7F6C0-2FFD-4DBB-BB71-37B4A1960CF5}" name="総数／事業所数" dataCellStyle="桁区切り"/>
    <tableColumn id="11" xr3:uid="{B4C6BA73-F47F-4EEA-8D84-F99B45470F23}" name="総数／構成比" dataDxfId="1836"/>
    <tableColumn id="12" xr3:uid="{D6B71814-A164-4D3B-9CC8-766C3E2AAF11}" name="個人／事業所数" dataCellStyle="桁区切り"/>
    <tableColumn id="13" xr3:uid="{CAA65AD7-F596-4955-8BE9-A5F5DDA0DEA0}" name="個人／構成比" dataDxfId="1835"/>
    <tableColumn id="14" xr3:uid="{C9BC6C89-D96B-473F-A79A-70183A746E08}" name="法人／事業所数" dataCellStyle="桁区切り"/>
    <tableColumn id="15" xr3:uid="{C335C893-D146-4170-A706-0A4120055C66}" name="法人／構成比" dataDxfId="1834"/>
    <tableColumn id="16" xr3:uid="{EA9E5F5E-C784-4F0D-B830-595A1AA53991}" name="法人以外の団体／事業所数" dataCellStyle="桁区切り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1B48A59-BE0C-4314-833C-F70197E53838}" name="LTBL_01363" displayName="LTBL_01363" ref="B4:I20" totalsRowCount="1">
  <autoFilter ref="B4:I19" xr:uid="{01B48A59-BE0C-4314-833C-F70197E53838}"/>
  <tableColumns count="8">
    <tableColumn id="9" xr3:uid="{7DA853C4-8A52-4D87-8D3F-B33374B14533}" name="産業大分類" totalsRowLabel="合計" totalsRowDxfId="1833"/>
    <tableColumn id="10" xr3:uid="{7D20DC12-26EC-4B90-AC44-C150AACB65FF}" name="総数／事業所数" totalsRowFunction="custom" totalsRowDxfId="1832" dataCellStyle="桁区切り" totalsRowCellStyle="桁区切り">
      <totalsRowFormula>SUM(LTBL_01363[総数／事業所数])</totalsRowFormula>
    </tableColumn>
    <tableColumn id="11" xr3:uid="{3FED72EE-77D8-4983-9FB1-88681BE84487}" name="総数／構成比" dataDxfId="1831"/>
    <tableColumn id="12" xr3:uid="{DC5C55E2-C028-41AA-A296-AC8674C05229}" name="個人／事業所数" totalsRowFunction="sum" totalsRowDxfId="1830" dataCellStyle="桁区切り" totalsRowCellStyle="桁区切り"/>
    <tableColumn id="13" xr3:uid="{667360A8-3A02-44DF-B454-30695644F5C1}" name="個人／構成比" dataDxfId="1829"/>
    <tableColumn id="14" xr3:uid="{4F69B49D-6737-4A03-A531-B86BEA6042F6}" name="法人／事業所数" totalsRowFunction="sum" totalsRowDxfId="1828" dataCellStyle="桁区切り" totalsRowCellStyle="桁区切り"/>
    <tableColumn id="15" xr3:uid="{90A3DD99-E08C-4E99-87DA-648F815ECFBB}" name="法人／構成比" dataDxfId="1827"/>
    <tableColumn id="16" xr3:uid="{C0119934-E7C7-442F-97AD-9963518F335D}" name="法人以外の団体／事業所数" totalsRowFunction="sum" totalsRowDxfId="1826" dataCellStyle="桁区切り" totalsRowCellStyle="桁区切り"/>
  </tableColumns>
  <tableStyleInfo name="TableStyleMedium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80A50490-3EF9-44F6-9779-2039807E4B29}" name="M_TABLE_01363" displayName="M_TABLE_01363" ref="B23:I44" totalsRowShown="0">
  <autoFilter ref="B23:I44" xr:uid="{80A50490-3EF9-44F6-9779-2039807E4B29}"/>
  <tableColumns count="8">
    <tableColumn id="9" xr3:uid="{D9AB7192-4434-4A96-A154-FB650E47DB5A}" name="産業中分類上位２０"/>
    <tableColumn id="10" xr3:uid="{5BB27156-8588-42A4-9183-760B7AACCBE2}" name="総数／事業所数" dataCellStyle="桁区切り"/>
    <tableColumn id="11" xr3:uid="{D82D6BF4-CD44-4DFF-94D6-BDB29323619E}" name="総数／構成比" dataDxfId="1825"/>
    <tableColumn id="12" xr3:uid="{27C1E50C-34CA-44E5-A824-CDAE879FC15C}" name="個人／事業所数" dataCellStyle="桁区切り"/>
    <tableColumn id="13" xr3:uid="{9AC9006E-E074-44D0-A755-46C5FD102CD4}" name="個人／構成比" dataDxfId="1824"/>
    <tableColumn id="14" xr3:uid="{1B58C9F0-06EE-4FF3-B911-7FD10CF34B0B}" name="法人／事業所数" dataCellStyle="桁区切り"/>
    <tableColumn id="15" xr3:uid="{069B4BD3-E80E-46E8-A7DB-704C7EB57722}" name="法人／構成比" dataDxfId="1823"/>
    <tableColumn id="16" xr3:uid="{6659424B-390C-4B52-88A6-FC3020035313}" name="法人以外の団体／事業所数" dataCellStyle="桁区切り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1F3E1CE-9A16-4836-98B5-FA308F107D26}" name="S_TABLE_01104" displayName="S_TABLE_01104" ref="B46:I66" totalsRowShown="0">
  <autoFilter ref="B46:I66" xr:uid="{F1F3E1CE-9A16-4836-98B5-FA308F107D26}"/>
  <tableColumns count="8">
    <tableColumn id="9" xr3:uid="{E110772C-DE76-4841-81AE-C5857A066811}" name="産業小分類上位２０"/>
    <tableColumn id="10" xr3:uid="{1108F76D-5BC1-4612-92B4-EC8365A52AA9}" name="総数／事業所数" dataCellStyle="桁区切り"/>
    <tableColumn id="11" xr3:uid="{E795D6E2-AEDF-4F24-ADCB-624361EA4C95}" name="総数／構成比" dataDxfId="2578"/>
    <tableColumn id="12" xr3:uid="{82540758-E1C1-4869-88D3-B5362C741096}" name="個人／事業所数" dataCellStyle="桁区切り"/>
    <tableColumn id="13" xr3:uid="{271FCECB-1AF0-4B89-BD6E-21BC139AC77C}" name="個人／構成比" dataDxfId="2577"/>
    <tableColumn id="14" xr3:uid="{4E3765F1-0AFB-4DB2-8806-5E29E0422738}" name="法人／事業所数" dataCellStyle="桁区切り"/>
    <tableColumn id="15" xr3:uid="{D9BE1195-90F3-4815-9AFF-82445F103C74}" name="法人／構成比" dataDxfId="2576"/>
    <tableColumn id="16" xr3:uid="{50B0C640-5FDC-4D1E-A72D-31ABBFCAD031}" name="法人以外の団体／事業所数" dataCellStyle="桁区切り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68E96CAA-EA69-4B46-AC94-64E0A345DFD9}" name="S_TABLE_01363" displayName="S_TABLE_01363" ref="B47:I73" totalsRowShown="0">
  <autoFilter ref="B47:I73" xr:uid="{68E96CAA-EA69-4B46-AC94-64E0A345DFD9}"/>
  <tableColumns count="8">
    <tableColumn id="9" xr3:uid="{C1B6D44C-728F-4B3D-B090-E62A180DED0C}" name="産業小分類上位２０"/>
    <tableColumn id="10" xr3:uid="{DBCCC930-0A56-4060-8193-8FEF4D1129D7}" name="総数／事業所数" dataCellStyle="桁区切り"/>
    <tableColumn id="11" xr3:uid="{1FEF94C2-B556-4F4D-BED5-A8F6BBB8BD01}" name="総数／構成比" dataDxfId="1822"/>
    <tableColumn id="12" xr3:uid="{6558B252-990F-4F0B-8DA6-B98681CB00B0}" name="個人／事業所数" dataCellStyle="桁区切り"/>
    <tableColumn id="13" xr3:uid="{34224CEC-2D4B-47D1-A8C5-5951F9F9262F}" name="個人／構成比" dataDxfId="1821"/>
    <tableColumn id="14" xr3:uid="{9E2D21DE-F682-41DF-A06B-9ED4A063945C}" name="法人／事業所数" dataCellStyle="桁区切り"/>
    <tableColumn id="15" xr3:uid="{5CCC0E58-A74D-4C34-9C6F-65E794F9C86F}" name="法人／構成比" dataDxfId="1820"/>
    <tableColumn id="16" xr3:uid="{5E0B1646-6946-4910-B3FF-E705C4D91981}" name="法人以外の団体／事業所数" dataCellStyle="桁区切り"/>
  </tableColumns>
  <tableStyleInfo name="TableStyleMedium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8AD0994E-0CFD-417C-988C-4BF40A5B89C7}" name="LTBL_01364" displayName="LTBL_01364" ref="B4:I20" totalsRowCount="1">
  <autoFilter ref="B4:I19" xr:uid="{8AD0994E-0CFD-417C-988C-4BF40A5B89C7}"/>
  <tableColumns count="8">
    <tableColumn id="9" xr3:uid="{78BDDA25-9E58-470A-A3EF-3C59BFA525B2}" name="産業大分類" totalsRowLabel="合計" totalsRowDxfId="1819"/>
    <tableColumn id="10" xr3:uid="{964B09F7-5793-4927-AA79-A81D9B8DFAB4}" name="総数／事業所数" totalsRowFunction="custom" totalsRowDxfId="1818" dataCellStyle="桁区切り" totalsRowCellStyle="桁区切り">
      <totalsRowFormula>SUM(LTBL_01364[総数／事業所数])</totalsRowFormula>
    </tableColumn>
    <tableColumn id="11" xr3:uid="{B90C4201-CCBC-422A-A476-7FB152CB3940}" name="総数／構成比" dataDxfId="1817"/>
    <tableColumn id="12" xr3:uid="{F8D8CB67-1401-49D0-826B-E22970119EEF}" name="個人／事業所数" totalsRowFunction="sum" totalsRowDxfId="1816" dataCellStyle="桁区切り" totalsRowCellStyle="桁区切り"/>
    <tableColumn id="13" xr3:uid="{A1812E43-EFDE-4533-BA4A-BB9EA215F83B}" name="個人／構成比" dataDxfId="1815"/>
    <tableColumn id="14" xr3:uid="{39C38857-9682-439D-A9F8-9C73C60A617D}" name="法人／事業所数" totalsRowFunction="sum" totalsRowDxfId="1814" dataCellStyle="桁区切り" totalsRowCellStyle="桁区切り"/>
    <tableColumn id="15" xr3:uid="{38D2EE58-F2DE-4964-B5BE-A5C706ECB809}" name="法人／構成比" dataDxfId="1813"/>
    <tableColumn id="16" xr3:uid="{781C0A5E-D343-4CB6-AE89-27BA617FC1CA}" name="法人以外の団体／事業所数" totalsRowFunction="sum" totalsRowDxfId="1812" dataCellStyle="桁区切り" totalsRowCellStyle="桁区切り"/>
  </tableColumns>
  <tableStyleInfo name="TableStyleMedium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A8AB6A1F-C5E1-431D-A02C-C6EFF747EA1B}" name="M_TABLE_01364" displayName="M_TABLE_01364" ref="B23:I44" totalsRowShown="0">
  <autoFilter ref="B23:I44" xr:uid="{A8AB6A1F-C5E1-431D-A02C-C6EFF747EA1B}"/>
  <tableColumns count="8">
    <tableColumn id="9" xr3:uid="{10BE33F7-1498-4F7C-9130-6A74BA20DEB3}" name="産業中分類上位２０"/>
    <tableColumn id="10" xr3:uid="{62960D11-2DE7-488B-AD7B-00E72B363BA9}" name="総数／事業所数" dataCellStyle="桁区切り"/>
    <tableColumn id="11" xr3:uid="{B7399072-CB31-4DF5-A0E0-BEC9F3A7479C}" name="総数／構成比" dataDxfId="1811"/>
    <tableColumn id="12" xr3:uid="{24CCBC5E-C15E-4FCD-B086-F4E985ECB5AF}" name="個人／事業所数" dataCellStyle="桁区切り"/>
    <tableColumn id="13" xr3:uid="{291A858C-9FDE-459C-9CD7-22BF557B97E3}" name="個人／構成比" dataDxfId="1810"/>
    <tableColumn id="14" xr3:uid="{3480FDE2-2D2D-4A0E-8AE5-3A2B117E31E9}" name="法人／事業所数" dataCellStyle="桁区切り"/>
    <tableColumn id="15" xr3:uid="{EAF70718-832F-46C0-BF3A-297B0E4E0440}" name="法人／構成比" dataDxfId="1809"/>
    <tableColumn id="16" xr3:uid="{5ADC074B-6ABF-420F-A1FC-7837BA474BFB}" name="法人以外の団体／事業所数" dataCellStyle="桁区切り"/>
  </tableColumns>
  <tableStyleInfo name="TableStyleMedium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783634ED-9CA0-48DA-9C48-2397764725BE}" name="S_TABLE_01364" displayName="S_TABLE_01364" ref="B47:I74" totalsRowShown="0">
  <autoFilter ref="B47:I74" xr:uid="{783634ED-9CA0-48DA-9C48-2397764725BE}"/>
  <tableColumns count="8">
    <tableColumn id="9" xr3:uid="{DDE06444-08A0-4128-AC75-1E86E054EB8B}" name="産業小分類上位２０"/>
    <tableColumn id="10" xr3:uid="{3C7B7958-8E95-42A0-8158-4D6033ED562A}" name="総数／事業所数" dataCellStyle="桁区切り"/>
    <tableColumn id="11" xr3:uid="{B6CD5C5D-6F85-4F15-BF0C-F391EBDCB97F}" name="総数／構成比" dataDxfId="1808"/>
    <tableColumn id="12" xr3:uid="{11E5D7C3-FFCF-4519-8F2F-EC9FB38EDD67}" name="個人／事業所数" dataCellStyle="桁区切り"/>
    <tableColumn id="13" xr3:uid="{74C65A57-0D5F-4CD6-98DE-C5781A46BE94}" name="個人／構成比" dataDxfId="1807"/>
    <tableColumn id="14" xr3:uid="{856EAC46-F2F4-415B-B793-8C5632155DDA}" name="法人／事業所数" dataCellStyle="桁区切り"/>
    <tableColumn id="15" xr3:uid="{B807A481-3E3E-4D54-822A-2EB4E090725A}" name="法人／構成比" dataDxfId="1806"/>
    <tableColumn id="16" xr3:uid="{BC005CBF-7E77-4CDA-B748-38748E807FF0}" name="法人以外の団体／事業所数" dataCellStyle="桁区切り"/>
  </tableColumns>
  <tableStyleInfo name="TableStyleMedium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521CD442-432D-47E4-8CBC-0256E396185F}" name="LTBL_01367" displayName="LTBL_01367" ref="B4:I20" totalsRowCount="1">
  <autoFilter ref="B4:I19" xr:uid="{521CD442-432D-47E4-8CBC-0256E396185F}"/>
  <tableColumns count="8">
    <tableColumn id="9" xr3:uid="{CCA2BBD7-4F32-4069-9E74-D5AAF919EAFD}" name="産業大分類" totalsRowLabel="合計" totalsRowDxfId="1805"/>
    <tableColumn id="10" xr3:uid="{687F22F8-CCC6-4E53-AE7F-E75404252C14}" name="総数／事業所数" totalsRowFunction="custom" totalsRowDxfId="1804" dataCellStyle="桁区切り" totalsRowCellStyle="桁区切り">
      <totalsRowFormula>SUM(LTBL_01367[総数／事業所数])</totalsRowFormula>
    </tableColumn>
    <tableColumn id="11" xr3:uid="{2D397620-EF2D-4C58-B0DD-DCE6C30FD694}" name="総数／構成比" dataDxfId="1803"/>
    <tableColumn id="12" xr3:uid="{13CD4C05-3D59-4383-8808-6FDCED04E501}" name="個人／事業所数" totalsRowFunction="sum" totalsRowDxfId="1802" dataCellStyle="桁区切り" totalsRowCellStyle="桁区切り"/>
    <tableColumn id="13" xr3:uid="{0D20751A-1652-42CF-9B76-7551758BC9B6}" name="個人／構成比" dataDxfId="1801"/>
    <tableColumn id="14" xr3:uid="{63E243C3-3DFB-4AE3-A9D1-786BD738E28A}" name="法人／事業所数" totalsRowFunction="sum" totalsRowDxfId="1800" dataCellStyle="桁区切り" totalsRowCellStyle="桁区切り"/>
    <tableColumn id="15" xr3:uid="{8904E990-F508-469C-9D18-3C449161A9E8}" name="法人／構成比" dataDxfId="1799"/>
    <tableColumn id="16" xr3:uid="{2E79752A-FCDB-47FE-BCAE-963DF275F5ED}" name="法人以外の団体／事業所数" totalsRowFunction="sum" totalsRowDxfId="1798" dataCellStyle="桁区切り" totalsRowCellStyle="桁区切り"/>
  </tableColumns>
  <tableStyleInfo name="TableStyleMedium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4628C626-905C-4D69-925B-7E758F4DB4BB}" name="M_TABLE_01367" displayName="M_TABLE_01367" ref="B23:I51" totalsRowShown="0">
  <autoFilter ref="B23:I51" xr:uid="{4628C626-905C-4D69-925B-7E758F4DB4BB}"/>
  <tableColumns count="8">
    <tableColumn id="9" xr3:uid="{ABADF37A-9A5F-4FEB-8707-2A24BF138433}" name="産業中分類上位２０"/>
    <tableColumn id="10" xr3:uid="{B4D32FAD-3681-4D9B-9E90-80201BA7C2F4}" name="総数／事業所数" dataCellStyle="桁区切り"/>
    <tableColumn id="11" xr3:uid="{EC006321-6736-45BD-B49F-E3FA19B6A404}" name="総数／構成比" dataDxfId="1797"/>
    <tableColumn id="12" xr3:uid="{CE72491A-F76B-4E48-9462-5C7541BDAF13}" name="個人／事業所数" dataCellStyle="桁区切り"/>
    <tableColumn id="13" xr3:uid="{E24D5617-8B5E-4DD3-B224-5236FEDECBD7}" name="個人／構成比" dataDxfId="1796"/>
    <tableColumn id="14" xr3:uid="{1AF5CB0D-933D-4205-86A7-92F078928EBC}" name="法人／事業所数" dataCellStyle="桁区切り"/>
    <tableColumn id="15" xr3:uid="{03C83F5B-2505-47FB-B15C-3559E15C9D1F}" name="法人／構成比" dataDxfId="1795"/>
    <tableColumn id="16" xr3:uid="{7101F58B-D3DB-4415-97D2-1296D64EDFCF}" name="法人以外の団体／事業所数" dataCellStyle="桁区切り"/>
  </tableColumns>
  <tableStyleInfo name="TableStyleMedium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B59E23E4-D510-4EF5-9601-7D9C46C0BA90}" name="S_TABLE_01367" displayName="S_TABLE_01367" ref="B54:I79" totalsRowShown="0">
  <autoFilter ref="B54:I79" xr:uid="{B59E23E4-D510-4EF5-9601-7D9C46C0BA90}"/>
  <tableColumns count="8">
    <tableColumn id="9" xr3:uid="{9FB6FD29-CD8B-4247-8237-1B9E189BBF74}" name="産業小分類上位２０"/>
    <tableColumn id="10" xr3:uid="{14C4E646-4171-4F6C-82BA-824AEBCCBAC0}" name="総数／事業所数" dataCellStyle="桁区切り"/>
    <tableColumn id="11" xr3:uid="{0091C2C7-9308-42E8-8D1C-603A554AD22B}" name="総数／構成比" dataDxfId="1794"/>
    <tableColumn id="12" xr3:uid="{A058942B-B14E-4DCF-B11D-F75FF2F115E7}" name="個人／事業所数" dataCellStyle="桁区切り"/>
    <tableColumn id="13" xr3:uid="{B58E7224-0FD1-433D-938E-8183EC385EF4}" name="個人／構成比" dataDxfId="1793"/>
    <tableColumn id="14" xr3:uid="{752F0132-9F5B-4DED-BCA9-7F0A1592CA28}" name="法人／事業所数" dataCellStyle="桁区切り"/>
    <tableColumn id="15" xr3:uid="{8097B7C7-A925-4641-80A8-99C7B9066F6C}" name="法人／構成比" dataDxfId="1792"/>
    <tableColumn id="16" xr3:uid="{C79AE51B-062C-4CCD-BF45-5D2EA5D5D5E4}" name="法人以外の団体／事業所数" dataCellStyle="桁区切り"/>
  </tableColumns>
  <tableStyleInfo name="TableStyleMedium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36D02BD7-75F6-42E1-89F6-68B95BF674FC}" name="LTBL_01370" displayName="LTBL_01370" ref="B4:I20" totalsRowCount="1">
  <autoFilter ref="B4:I19" xr:uid="{36D02BD7-75F6-42E1-89F6-68B95BF674FC}"/>
  <tableColumns count="8">
    <tableColumn id="9" xr3:uid="{DB2CDC26-D0FB-445C-B8A2-0F3DBEE9F998}" name="産業大分類" totalsRowLabel="合計" totalsRowDxfId="1791"/>
    <tableColumn id="10" xr3:uid="{3C22DEA9-DD07-458D-A2D0-2872CB1D312C}" name="総数／事業所数" totalsRowFunction="custom" totalsRowDxfId="1790" dataCellStyle="桁区切り" totalsRowCellStyle="桁区切り">
      <totalsRowFormula>SUM(LTBL_01370[総数／事業所数])</totalsRowFormula>
    </tableColumn>
    <tableColumn id="11" xr3:uid="{B031A67F-A4BE-40B8-9D10-408A68E9241B}" name="総数／構成比" dataDxfId="1789"/>
    <tableColumn id="12" xr3:uid="{F1C6B973-15C1-4D6C-8F23-1BCD67654B75}" name="個人／事業所数" totalsRowFunction="sum" totalsRowDxfId="1788" dataCellStyle="桁区切り" totalsRowCellStyle="桁区切り"/>
    <tableColumn id="13" xr3:uid="{B3D8A7CF-14C7-466E-A087-02C0555C9D04}" name="個人／構成比" dataDxfId="1787"/>
    <tableColumn id="14" xr3:uid="{3A53B436-F0E9-41CB-9682-0B0200F1223F}" name="法人／事業所数" totalsRowFunction="sum" totalsRowDxfId="1786" dataCellStyle="桁区切り" totalsRowCellStyle="桁区切り"/>
    <tableColumn id="15" xr3:uid="{745A3E01-94E5-4800-8788-D4A37314C819}" name="法人／構成比" dataDxfId="1785"/>
    <tableColumn id="16" xr3:uid="{8E54A7A2-A7BA-4356-84D0-E15E074338D7}" name="法人以外の団体／事業所数" totalsRowFunction="sum" totalsRowDxfId="1784" dataCellStyle="桁区切り" totalsRowCellStyle="桁区切り"/>
  </tableColumns>
  <tableStyleInfo name="TableStyleMedium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92639255-37A5-439A-A777-319F535D0DC1}" name="M_TABLE_01370" displayName="M_TABLE_01370" ref="B23:I46" totalsRowShown="0">
  <autoFilter ref="B23:I46" xr:uid="{92639255-37A5-439A-A777-319F535D0DC1}"/>
  <tableColumns count="8">
    <tableColumn id="9" xr3:uid="{6A920B6A-744E-4FA1-9512-750F2BE07FFF}" name="産業中分類上位２０"/>
    <tableColumn id="10" xr3:uid="{6CAD5231-CCA8-4948-A6F7-A9DACE26596D}" name="総数／事業所数" dataCellStyle="桁区切り"/>
    <tableColumn id="11" xr3:uid="{A89066B5-3703-43F3-8607-ED461A200582}" name="総数／構成比" dataDxfId="1783"/>
    <tableColumn id="12" xr3:uid="{DCF9069E-38BE-4DAA-A986-53E6961AD6BD}" name="個人／事業所数" dataCellStyle="桁区切り"/>
    <tableColumn id="13" xr3:uid="{8DFF7822-B16B-4A13-8760-5B36409A839C}" name="個人／構成比" dataDxfId="1782"/>
    <tableColumn id="14" xr3:uid="{BFCCC2C6-D4B5-4D26-B628-1E3CD4734D81}" name="法人／事業所数" dataCellStyle="桁区切り"/>
    <tableColumn id="15" xr3:uid="{378DF820-48EE-4D9A-AB95-F388D009CC29}" name="法人／構成比" dataDxfId="1781"/>
    <tableColumn id="16" xr3:uid="{24CDD60D-CE2F-4F0D-8073-6878899D90FE}" name="法人以外の団体／事業所数" dataCellStyle="桁区切り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A9421563-2455-4389-8CF0-6A2BF4777ECF}" name="S_TABLE_01370" displayName="S_TABLE_01370" ref="B49:I90" totalsRowShown="0">
  <autoFilter ref="B49:I90" xr:uid="{A9421563-2455-4389-8CF0-6A2BF4777ECF}"/>
  <tableColumns count="8">
    <tableColumn id="9" xr3:uid="{A07E9100-56BB-43CD-ADB4-9088D404F4F7}" name="産業小分類上位２０"/>
    <tableColumn id="10" xr3:uid="{0CB0BD24-FA62-4327-9D04-E550CFEB8831}" name="総数／事業所数" dataCellStyle="桁区切り"/>
    <tableColumn id="11" xr3:uid="{7D695DEB-2EC9-456F-B2E8-5D1B669534F7}" name="総数／構成比" dataDxfId="1780"/>
    <tableColumn id="12" xr3:uid="{C10F3953-CE7A-4D8D-B2E5-6DCB303068BC}" name="個人／事業所数" dataCellStyle="桁区切り"/>
    <tableColumn id="13" xr3:uid="{38FA2A3A-3850-4721-A312-34DAF3135DBB}" name="個人／構成比" dataDxfId="1779"/>
    <tableColumn id="14" xr3:uid="{0EAE57A1-AE13-4F70-A4B0-8A3394009450}" name="法人／事業所数" dataCellStyle="桁区切り"/>
    <tableColumn id="15" xr3:uid="{319A1A5E-5BF1-42CB-88A4-7F515AF18F69}" name="法人／構成比" dataDxfId="1778"/>
    <tableColumn id="16" xr3:uid="{65EF61B6-B769-42ED-A427-89369325FEF6}" name="法人以外の団体／事業所数" dataCellStyle="桁区切り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9510528-45D9-4226-A66B-C82525045039}" name="LTBL_01105" displayName="LTBL_01105" ref="B4:I20" totalsRowCount="1">
  <autoFilter ref="B4:I19" xr:uid="{19510528-45D9-4226-A66B-C82525045039}"/>
  <tableColumns count="8">
    <tableColumn id="9" xr3:uid="{FDCA87AD-F338-4687-8D87-2DA5974B0AD7}" name="産業大分類" totalsRowLabel="合計" totalsRowDxfId="2575"/>
    <tableColumn id="10" xr3:uid="{16CF2343-DCA6-4BEA-8F9F-24C3C767DA6D}" name="総数／事業所数" totalsRowFunction="custom" totalsRowDxfId="2574" dataCellStyle="桁区切り" totalsRowCellStyle="桁区切り">
      <totalsRowFormula>SUM(LTBL_01105[総数／事業所数])</totalsRowFormula>
    </tableColumn>
    <tableColumn id="11" xr3:uid="{DFC0CFB9-A6BF-4B79-9385-51709064BD01}" name="総数／構成比" dataDxfId="2573"/>
    <tableColumn id="12" xr3:uid="{973E7856-7AAA-40E4-A47C-8C9C58E2A730}" name="個人／事業所数" totalsRowFunction="sum" totalsRowDxfId="2572" dataCellStyle="桁区切り" totalsRowCellStyle="桁区切り"/>
    <tableColumn id="13" xr3:uid="{FB33C6B6-3F64-4260-B8DA-D78890AFBC31}" name="個人／構成比" dataDxfId="2571"/>
    <tableColumn id="14" xr3:uid="{D75DDA69-A1F1-4E58-B942-935F6101DF61}" name="法人／事業所数" totalsRowFunction="sum" totalsRowDxfId="2570" dataCellStyle="桁区切り" totalsRowCellStyle="桁区切り"/>
    <tableColumn id="15" xr3:uid="{60A149DE-EE9F-44BB-9BA8-00FD30E19B6A}" name="法人／構成比" dataDxfId="2569"/>
    <tableColumn id="16" xr3:uid="{6E39046B-4D10-436B-BE7C-9A7868F54AC1}" name="法人以外の団体／事業所数" totalsRowFunction="sum" totalsRowDxfId="2568" dataCellStyle="桁区切り" totalsRowCellStyle="桁区切り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2A1B0EAB-50BC-4E98-ACAC-8F98DE0A1F5E}" name="LTBL_01371" displayName="LTBL_01371" ref="B4:I20" totalsRowCount="1">
  <autoFilter ref="B4:I19" xr:uid="{2A1B0EAB-50BC-4E98-ACAC-8F98DE0A1F5E}"/>
  <tableColumns count="8">
    <tableColumn id="9" xr3:uid="{326B5128-3204-4BE3-82C4-61246F5424AB}" name="産業大分類" totalsRowLabel="合計" totalsRowDxfId="1777"/>
    <tableColumn id="10" xr3:uid="{12D11250-0CCF-4AE4-A53D-451536C8E70E}" name="総数／事業所数" totalsRowFunction="custom" totalsRowDxfId="1776" dataCellStyle="桁区切り" totalsRowCellStyle="桁区切り">
      <totalsRowFormula>SUM(LTBL_01371[総数／事業所数])</totalsRowFormula>
    </tableColumn>
    <tableColumn id="11" xr3:uid="{3FFC135B-BB67-4D3D-A3A5-5CCB19221793}" name="総数／構成比" dataDxfId="1775"/>
    <tableColumn id="12" xr3:uid="{446E104B-5575-464E-BFED-148CA7921132}" name="個人／事業所数" totalsRowFunction="sum" totalsRowDxfId="1774" dataCellStyle="桁区切り" totalsRowCellStyle="桁区切り"/>
    <tableColumn id="13" xr3:uid="{D1A9974D-FDDB-4EC7-B521-EF966960902F}" name="個人／構成比" dataDxfId="1773"/>
    <tableColumn id="14" xr3:uid="{45F73291-D403-4FEB-AB1B-5EB31D88F18A}" name="法人／事業所数" totalsRowFunction="sum" totalsRowDxfId="1772" dataCellStyle="桁区切り" totalsRowCellStyle="桁区切り"/>
    <tableColumn id="15" xr3:uid="{6DC51EEA-441F-4A24-9B11-B8ED2918F800}" name="法人／構成比" dataDxfId="1771"/>
    <tableColumn id="16" xr3:uid="{C49449F1-9E4C-44E7-A076-6FA45F179008}" name="法人以外の団体／事業所数" totalsRowFunction="sum" totalsRowDxfId="1770" dataCellStyle="桁区切り" totalsRowCellStyle="桁区切り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9157A1EA-1768-4A13-A3E0-99E3354F0C32}" name="M_TABLE_01371" displayName="M_TABLE_01371" ref="B23:I46" totalsRowShown="0">
  <autoFilter ref="B23:I46" xr:uid="{9157A1EA-1768-4A13-A3E0-99E3354F0C32}"/>
  <tableColumns count="8">
    <tableColumn id="9" xr3:uid="{6DC4CB8C-6F89-4813-8DBD-A2F253353D64}" name="産業中分類上位２０"/>
    <tableColumn id="10" xr3:uid="{581A6423-DC2E-471A-A80E-FC43D58944E5}" name="総数／事業所数" dataCellStyle="桁区切り"/>
    <tableColumn id="11" xr3:uid="{46E78CA6-86E9-4DCF-973D-DAC92A9CBA09}" name="総数／構成比" dataDxfId="1769"/>
    <tableColumn id="12" xr3:uid="{903023C7-54C1-435F-BB70-ADC4F61F48CC}" name="個人／事業所数" dataCellStyle="桁区切り"/>
    <tableColumn id="13" xr3:uid="{BEC6AC5D-FEE7-46E3-BEB8-27EB9B8D7F35}" name="個人／構成比" dataDxfId="1768"/>
    <tableColumn id="14" xr3:uid="{7A7B9838-56FE-403A-B61A-4B17100AA2E1}" name="法人／事業所数" dataCellStyle="桁区切り"/>
    <tableColumn id="15" xr3:uid="{6B066E06-7112-4253-8006-AC6E75F6CAB0}" name="法人／構成比" dataDxfId="1767"/>
    <tableColumn id="16" xr3:uid="{1B98B579-02AA-47D8-BFF5-7A7A55EEED27}" name="法人以外の団体／事業所数" dataCellStyle="桁区切り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19C51A5A-BD40-4749-87FE-9C30F7EA23CC}" name="S_TABLE_01371" displayName="S_TABLE_01371" ref="B49:I76" totalsRowShown="0">
  <autoFilter ref="B49:I76" xr:uid="{19C51A5A-BD40-4749-87FE-9C30F7EA23CC}"/>
  <tableColumns count="8">
    <tableColumn id="9" xr3:uid="{67ED4C41-2A68-4F22-BCEB-D4F47FF71163}" name="産業小分類上位２０"/>
    <tableColumn id="10" xr3:uid="{E5BA541C-757A-4F9B-8F96-97F19E755EB3}" name="総数／事業所数" dataCellStyle="桁区切り"/>
    <tableColumn id="11" xr3:uid="{5C944E7C-F071-4956-81EE-8459868248F9}" name="総数／構成比" dataDxfId="1766"/>
    <tableColumn id="12" xr3:uid="{D2DA2B93-D46B-444B-858F-978B84893407}" name="個人／事業所数" dataCellStyle="桁区切り"/>
    <tableColumn id="13" xr3:uid="{107A5289-A64A-4257-BFAD-5772082C92D6}" name="個人／構成比" dataDxfId="1765"/>
    <tableColumn id="14" xr3:uid="{1E12472C-7F6C-40C7-9212-7B63DA3C10DD}" name="法人／事業所数" dataCellStyle="桁区切り"/>
    <tableColumn id="15" xr3:uid="{02060174-8C52-4AF1-8364-4853C4D61409}" name="法人／構成比" dataDxfId="1764"/>
    <tableColumn id="16" xr3:uid="{30A140B9-0E64-4483-8721-E6EA5AFB0B0B}" name="法人以外の団体／事業所数" dataCellStyle="桁区切り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EEDED133-1028-420C-9A2C-48DC330618CF}" name="LTBL_01391" displayName="LTBL_01391" ref="B4:I20" totalsRowCount="1">
  <autoFilter ref="B4:I19" xr:uid="{EEDED133-1028-420C-9A2C-48DC330618CF}"/>
  <tableColumns count="8">
    <tableColumn id="9" xr3:uid="{21A2A72F-937A-4366-BCE0-34764A949F05}" name="産業大分類" totalsRowLabel="合計" totalsRowDxfId="1763"/>
    <tableColumn id="10" xr3:uid="{F979B5FC-AF6D-40D6-99B5-47B885B44E2F}" name="総数／事業所数" totalsRowFunction="custom" totalsRowDxfId="1762" dataCellStyle="桁区切り" totalsRowCellStyle="桁区切り">
      <totalsRowFormula>SUM(LTBL_01391[総数／事業所数])</totalsRowFormula>
    </tableColumn>
    <tableColumn id="11" xr3:uid="{C9F908C2-3182-4CEC-8C03-B65BC4756B4C}" name="総数／構成比" dataDxfId="1761"/>
    <tableColumn id="12" xr3:uid="{7AE18D8F-9857-49AF-8FB7-EDF54DC49640}" name="個人／事業所数" totalsRowFunction="sum" totalsRowDxfId="1760" dataCellStyle="桁区切り" totalsRowCellStyle="桁区切り"/>
    <tableColumn id="13" xr3:uid="{85D248FF-D403-4AC8-8E2C-056482A235A0}" name="個人／構成比" dataDxfId="1759"/>
    <tableColumn id="14" xr3:uid="{D65F8263-5502-4A3F-A77A-5BBCFBE847F5}" name="法人／事業所数" totalsRowFunction="sum" totalsRowDxfId="1758" dataCellStyle="桁区切り" totalsRowCellStyle="桁区切り"/>
    <tableColumn id="15" xr3:uid="{84B2B00A-79D0-47FA-B6F1-A135BBBF115B}" name="法人／構成比" dataDxfId="1757"/>
    <tableColumn id="16" xr3:uid="{227EB98D-A335-41F0-9706-7AB63248558C}" name="法人以外の団体／事業所数" totalsRowFunction="sum" totalsRowDxfId="1756" dataCellStyle="桁区切り" totalsRowCellStyle="桁区切り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AA12278D-203B-4E00-BF83-B852719779CE}" name="M_TABLE_01391" displayName="M_TABLE_01391" ref="B23:I42" totalsRowShown="0">
  <autoFilter ref="B23:I42" xr:uid="{AA12278D-203B-4E00-BF83-B852719779CE}"/>
  <tableColumns count="8">
    <tableColumn id="9" xr3:uid="{9541F510-20CD-429E-82FF-10EB533393EE}" name="産業中分類上位２０"/>
    <tableColumn id="10" xr3:uid="{897E4609-B6A8-4487-9090-A9156DCFFB8E}" name="総数／事業所数" dataCellStyle="桁区切り"/>
    <tableColumn id="11" xr3:uid="{9FD1E95B-B63D-4413-9D61-DABFB47A9BA4}" name="総数／構成比" dataDxfId="1755"/>
    <tableColumn id="12" xr3:uid="{F50D3C49-5856-4A1C-8046-BF3A02743BE5}" name="個人／事業所数" dataCellStyle="桁区切り"/>
    <tableColumn id="13" xr3:uid="{E9E6A4DB-DDE6-44EF-81E3-EEA86473E21C}" name="個人／構成比" dataDxfId="1754"/>
    <tableColumn id="14" xr3:uid="{71E03E13-DB91-4EDA-80D8-99717076939C}" name="法人／事業所数" dataCellStyle="桁区切り"/>
    <tableColumn id="15" xr3:uid="{83DF9CED-144E-4A17-821F-2990513B6D88}" name="法人／構成比" dataDxfId="1753"/>
    <tableColumn id="16" xr3:uid="{03AF4305-CBAF-4FAC-864E-15A3F451ECDB}" name="法人以外の団体／事業所数" dataCellStyle="桁区切り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E3CB9E9E-2094-4837-85E3-B7DEF1504806}" name="S_TABLE_01391" displayName="S_TABLE_01391" ref="B45:I72" totalsRowShown="0">
  <autoFilter ref="B45:I72" xr:uid="{E3CB9E9E-2094-4837-85E3-B7DEF1504806}"/>
  <tableColumns count="8">
    <tableColumn id="9" xr3:uid="{55B42EDF-6DB8-40CE-81E5-07A6D5E09220}" name="産業小分類上位２０"/>
    <tableColumn id="10" xr3:uid="{86BB512C-F9E4-4396-9D4A-6F1E58DEABE1}" name="総数／事業所数" dataCellStyle="桁区切り"/>
    <tableColumn id="11" xr3:uid="{017ADEE9-4397-49A6-9265-1980984644F2}" name="総数／構成比" dataDxfId="1752"/>
    <tableColumn id="12" xr3:uid="{40C1B7A2-66D2-49E8-8936-E4B4A6F00224}" name="個人／事業所数" dataCellStyle="桁区切り"/>
    <tableColumn id="13" xr3:uid="{1DB7A7EA-066F-4E43-B01C-ABBD1CA3A946}" name="個人／構成比" dataDxfId="1751"/>
    <tableColumn id="14" xr3:uid="{1305FB27-3A6B-4CDA-8954-C8AD5887E003}" name="法人／事業所数" dataCellStyle="桁区切り"/>
    <tableColumn id="15" xr3:uid="{88BFAF86-DE37-4843-BB0E-5C93EA5D2B53}" name="法人／構成比" dataDxfId="1750"/>
    <tableColumn id="16" xr3:uid="{A16B62E8-B833-4642-A994-108BCE71CB22}" name="法人以外の団体／事業所数" dataCellStyle="桁区切り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19797E55-EB12-448E-A593-9ECBF7F8CC53}" name="LTBL_01392" displayName="LTBL_01392" ref="B4:I20" totalsRowCount="1">
  <autoFilter ref="B4:I19" xr:uid="{19797E55-EB12-448E-A593-9ECBF7F8CC53}"/>
  <tableColumns count="8">
    <tableColumn id="9" xr3:uid="{424B074C-08D1-4A17-86DC-052104E4C903}" name="産業大分類" totalsRowLabel="合計" totalsRowDxfId="1749"/>
    <tableColumn id="10" xr3:uid="{D000020A-3DA9-4045-9D50-6C66FA5859B4}" name="総数／事業所数" totalsRowFunction="custom" totalsRowDxfId="1748" dataCellStyle="桁区切り" totalsRowCellStyle="桁区切り">
      <totalsRowFormula>SUM(LTBL_01392[総数／事業所数])</totalsRowFormula>
    </tableColumn>
    <tableColumn id="11" xr3:uid="{40E31F96-3181-4551-9C8C-B54B19F85A62}" name="総数／構成比" dataDxfId="1747"/>
    <tableColumn id="12" xr3:uid="{0597D994-5075-452D-A584-90B000B5EF23}" name="個人／事業所数" totalsRowFunction="sum" totalsRowDxfId="1746" dataCellStyle="桁区切り" totalsRowCellStyle="桁区切り"/>
    <tableColumn id="13" xr3:uid="{86D323E9-9A2E-441E-BACA-24EDB0B60117}" name="個人／構成比" dataDxfId="1745"/>
    <tableColumn id="14" xr3:uid="{57DD0390-B96C-4098-9D7A-3A2949CAFAD6}" name="法人／事業所数" totalsRowFunction="sum" totalsRowDxfId="1744" dataCellStyle="桁区切り" totalsRowCellStyle="桁区切り"/>
    <tableColumn id="15" xr3:uid="{71AF58CC-2BB1-43B0-9872-A9024D41ABD0}" name="法人／構成比" dataDxfId="1743"/>
    <tableColumn id="16" xr3:uid="{C81B60AB-3E73-4F09-8D0C-1F470117FDD2}" name="法人以外の団体／事業所数" totalsRowFunction="sum" totalsRowDxfId="1742" dataCellStyle="桁区切り" totalsRowCellStyle="桁区切り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D6E720F3-733C-46B1-A75C-86EDA24F222C}" name="M_TABLE_01392" displayName="M_TABLE_01392" ref="B23:I51" totalsRowShown="0">
  <autoFilter ref="B23:I51" xr:uid="{D6E720F3-733C-46B1-A75C-86EDA24F222C}"/>
  <tableColumns count="8">
    <tableColumn id="9" xr3:uid="{FAB6CC45-D842-4E7C-8A9D-E41C06C162E7}" name="産業中分類上位２０"/>
    <tableColumn id="10" xr3:uid="{06A33A6B-EDE9-41C7-BABA-4EF550533A5D}" name="総数／事業所数" dataCellStyle="桁区切り"/>
    <tableColumn id="11" xr3:uid="{28FE9155-AFC6-4009-97B2-A5ECBBAE5B63}" name="総数／構成比" dataDxfId="1741"/>
    <tableColumn id="12" xr3:uid="{BC70243F-D8BA-4853-9F68-598F2FFCE581}" name="個人／事業所数" dataCellStyle="桁区切り"/>
    <tableColumn id="13" xr3:uid="{335F2B9F-CB45-4003-BE59-7F9859D70550}" name="個人／構成比" dataDxfId="1740"/>
    <tableColumn id="14" xr3:uid="{6799257E-201C-42BD-A271-47DBAECE082F}" name="法人／事業所数" dataCellStyle="桁区切り"/>
    <tableColumn id="15" xr3:uid="{F1BA74F8-6374-4C86-9836-5053A6E1F611}" name="法人／構成比" dataDxfId="1739"/>
    <tableColumn id="16" xr3:uid="{BC0C048A-CD1E-4BAA-A784-8291EA68DC9E}" name="法人以外の団体／事業所数" dataCellStyle="桁区切り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CDBD0D13-5B46-444E-BB3A-468145F801EF}" name="S_TABLE_01392" displayName="S_TABLE_01392" ref="B54:I106" totalsRowShown="0">
  <autoFilter ref="B54:I106" xr:uid="{CDBD0D13-5B46-444E-BB3A-468145F801EF}"/>
  <tableColumns count="8">
    <tableColumn id="9" xr3:uid="{F0739BAC-CFA4-4617-BF02-42A14615597C}" name="産業小分類上位２０"/>
    <tableColumn id="10" xr3:uid="{75DE2232-BC47-4041-B9E9-6133B3B5A8C8}" name="総数／事業所数" dataCellStyle="桁区切り"/>
    <tableColumn id="11" xr3:uid="{0B44784F-7CFA-495E-92AE-2E58CD54746B}" name="総数／構成比" dataDxfId="1738"/>
    <tableColumn id="12" xr3:uid="{EDEF7E05-13E9-48B4-A648-725A0E44DC4C}" name="個人／事業所数" dataCellStyle="桁区切り"/>
    <tableColumn id="13" xr3:uid="{30168D97-8CFA-499B-8437-7B25AF344235}" name="個人／構成比" dataDxfId="1737"/>
    <tableColumn id="14" xr3:uid="{A06E743C-CC56-4500-A4A2-B63A21856078}" name="法人／事業所数" dataCellStyle="桁区切り"/>
    <tableColumn id="15" xr3:uid="{D5CAAA02-63BA-410F-81E9-DC421B23202A}" name="法人／構成比" dataDxfId="1736"/>
    <tableColumn id="16" xr3:uid="{BC9B55E3-0459-43F3-B899-963863EA99B6}" name="法人以外の団体／事業所数" dataCellStyle="桁区切り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DFF7669E-7F0F-4FF0-8B87-4B22E9306B43}" name="LTBL_01393" displayName="LTBL_01393" ref="B4:I20" totalsRowCount="1">
  <autoFilter ref="B4:I19" xr:uid="{DFF7669E-7F0F-4FF0-8B87-4B22E9306B43}"/>
  <tableColumns count="8">
    <tableColumn id="9" xr3:uid="{5AAB7339-321A-4A88-83A0-A656E9782F3A}" name="産業大分類" totalsRowLabel="合計" totalsRowDxfId="1735"/>
    <tableColumn id="10" xr3:uid="{0099302B-1B9A-4590-9906-A9B5A19B7CFB}" name="総数／事業所数" totalsRowFunction="custom" totalsRowDxfId="1734" dataCellStyle="桁区切り" totalsRowCellStyle="桁区切り">
      <totalsRowFormula>SUM(LTBL_01393[総数／事業所数])</totalsRowFormula>
    </tableColumn>
    <tableColumn id="11" xr3:uid="{6834C071-B053-4A28-B2DE-022A75C784F1}" name="総数／構成比" dataDxfId="1733"/>
    <tableColumn id="12" xr3:uid="{622F3EA4-6735-402F-BDA7-663C09F2F528}" name="個人／事業所数" totalsRowFunction="sum" totalsRowDxfId="1732" dataCellStyle="桁区切り" totalsRowCellStyle="桁区切り"/>
    <tableColumn id="13" xr3:uid="{93CF06FF-F784-44A0-92B6-A8CC4AAB1B17}" name="個人／構成比" dataDxfId="1731"/>
    <tableColumn id="14" xr3:uid="{F9E03D0A-5E55-49C8-BA95-179E20097DB3}" name="法人／事業所数" totalsRowFunction="sum" totalsRowDxfId="1730" dataCellStyle="桁区切り" totalsRowCellStyle="桁区切り"/>
    <tableColumn id="15" xr3:uid="{6198ECD9-BF4D-4C31-8545-C44BCDAE468C}" name="法人／構成比" dataDxfId="1729"/>
    <tableColumn id="16" xr3:uid="{D6C87B0F-8098-4D87-9479-9874991CCAE9}" name="法人以外の団体／事業所数" totalsRowFunction="sum" totalsRowDxfId="1728" dataCellStyle="桁区切り" totalsRowCellStyle="桁区切り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D1E34DA-5D1F-4EA7-9ABB-A633CDEC3AE7}" name="M_TABLE_01000" displayName="M_TABLE_01000" ref="B23:I43" totalsRowShown="0">
  <autoFilter ref="B23:I43" xr:uid="{ED1E34DA-5D1F-4EA7-9ABB-A633CDEC3AE7}"/>
  <tableColumns count="8">
    <tableColumn id="9" xr3:uid="{45081AB6-C592-416E-969D-7E443CED51D6}" name="産業中分類上位２０"/>
    <tableColumn id="10" xr3:uid="{CDF36E33-5306-4AA9-940F-18D59BAB7ED6}" name="総数／事業所数" dataCellStyle="桁区切り"/>
    <tableColumn id="11" xr3:uid="{0C36E2AB-6C38-4246-983A-A4474F93E8CC}" name="総数／構成比" dataDxfId="2651"/>
    <tableColumn id="12" xr3:uid="{E53F1735-2CA7-46B2-8942-6D4894C51472}" name="個人／事業所数" dataCellStyle="桁区切り"/>
    <tableColumn id="13" xr3:uid="{AB7F2160-10CB-4FAE-BFA9-D202E9D219D3}" name="個人／構成比" dataDxfId="2650"/>
    <tableColumn id="14" xr3:uid="{83D8D43E-4D5C-4A87-BEDE-A6A77965E5F5}" name="法人／事業所数" dataCellStyle="桁区切り"/>
    <tableColumn id="15" xr3:uid="{EADFD8C8-32C0-4C5F-B84D-6FF523006B2B}" name="法人／構成比" dataDxfId="2649"/>
    <tableColumn id="16" xr3:uid="{680C7908-891B-4732-9486-37DAEE92D6D8}" name="法人以外の団体／事業所数" dataCellStyle="桁区切り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395D50E-3CDB-4763-A9BE-E1C4579FB347}" name="M_TABLE_01105" displayName="M_TABLE_01105" ref="B23:I43" totalsRowShown="0">
  <autoFilter ref="B23:I43" xr:uid="{F395D50E-3CDB-4763-A9BE-E1C4579FB347}"/>
  <tableColumns count="8">
    <tableColumn id="9" xr3:uid="{3D17267B-41B6-4608-83DB-56EC5984E5E7}" name="産業中分類上位２０"/>
    <tableColumn id="10" xr3:uid="{CA7924F9-8F91-41DC-A162-C9EC12A5167B}" name="総数／事業所数" dataCellStyle="桁区切り"/>
    <tableColumn id="11" xr3:uid="{77634BF7-0E9D-4AA3-8FFA-F0743708F621}" name="総数／構成比" dataDxfId="2567"/>
    <tableColumn id="12" xr3:uid="{B9DE6A20-E61C-4373-A8DD-1B1D138C3074}" name="個人／事業所数" dataCellStyle="桁区切り"/>
    <tableColumn id="13" xr3:uid="{14A3426F-CF19-45EF-A76E-2C1962826454}" name="個人／構成比" dataDxfId="2566"/>
    <tableColumn id="14" xr3:uid="{8815C8D8-8857-40F8-8659-7E1100A0A774}" name="法人／事業所数" dataCellStyle="桁区切り"/>
    <tableColumn id="15" xr3:uid="{3B025A77-1264-42BC-BDE0-2DE25080E377}" name="法人／構成比" dataDxfId="2565"/>
    <tableColumn id="16" xr3:uid="{556708E2-5CE3-4D21-B15A-5BB2969A2848}" name="法人以外の団体／事業所数" dataCellStyle="桁区切り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D9E8D981-AF26-4B27-8011-2073CD697B5A}" name="M_TABLE_01393" displayName="M_TABLE_01393" ref="B23:I51" totalsRowShown="0">
  <autoFilter ref="B23:I51" xr:uid="{D9E8D981-AF26-4B27-8011-2073CD697B5A}"/>
  <tableColumns count="8">
    <tableColumn id="9" xr3:uid="{F88DA249-10F6-4519-8E0F-72906F71C2C9}" name="産業中分類上位２０"/>
    <tableColumn id="10" xr3:uid="{BA97F3E7-3737-421E-AFDC-6C5CB5116188}" name="総数／事業所数" dataCellStyle="桁区切り"/>
    <tableColumn id="11" xr3:uid="{C4161FF1-E21E-4F6E-A35F-DEBA3E32C8A2}" name="総数／構成比" dataDxfId="1727"/>
    <tableColumn id="12" xr3:uid="{C939C411-C7CE-4F7A-B7A2-A0AEF0D4F7A1}" name="個人／事業所数" dataCellStyle="桁区切り"/>
    <tableColumn id="13" xr3:uid="{C7D966DB-38FC-44FE-8EA0-A04069A71AE8}" name="個人／構成比" dataDxfId="1726"/>
    <tableColumn id="14" xr3:uid="{4F878B87-719A-4CD8-88CC-560FF8EC7497}" name="法人／事業所数" dataCellStyle="桁区切り"/>
    <tableColumn id="15" xr3:uid="{82F09949-E18A-4219-9515-671FFAC38D05}" name="法人／構成比" dataDxfId="1725"/>
    <tableColumn id="16" xr3:uid="{FF9CD481-35D2-4D33-A68F-522D6353201F}" name="法人以外の団体／事業所数" dataCellStyle="桁区切り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8E7D81E3-375B-4928-A11C-2E0F9F582FC2}" name="S_TABLE_01393" displayName="S_TABLE_01393" ref="B54:I108" totalsRowShown="0">
  <autoFilter ref="B54:I108" xr:uid="{8E7D81E3-375B-4928-A11C-2E0F9F582FC2}"/>
  <tableColumns count="8">
    <tableColumn id="9" xr3:uid="{266C465C-D5FC-4077-9C5D-18971AE1AF06}" name="産業小分類上位２０"/>
    <tableColumn id="10" xr3:uid="{48E5D5C8-D8C4-4929-BC54-7B7A82E5C891}" name="総数／事業所数" dataCellStyle="桁区切り"/>
    <tableColumn id="11" xr3:uid="{82AE3E75-93F6-4E44-B885-8D3ED8989A16}" name="総数／構成比" dataDxfId="1724"/>
    <tableColumn id="12" xr3:uid="{D6587338-98DF-489C-A115-B8CB66341DF9}" name="個人／事業所数" dataCellStyle="桁区切り"/>
    <tableColumn id="13" xr3:uid="{DCF3C2E9-0B00-4C7C-8842-F3FBBAA9EB15}" name="個人／構成比" dataDxfId="1723"/>
    <tableColumn id="14" xr3:uid="{8FAD9652-C001-4CE3-8BFC-C1CA9B986492}" name="法人／事業所数" dataCellStyle="桁区切り"/>
    <tableColumn id="15" xr3:uid="{097D639E-86B2-4103-9981-6EC83AB4BB95}" name="法人／構成比" dataDxfId="1722"/>
    <tableColumn id="16" xr3:uid="{49EA7832-702E-449C-A06C-A4949F15A369}" name="法人以外の団体／事業所数" dataCellStyle="桁区切り"/>
  </tableColumns>
  <tableStyleInfo name="TableStyleMedium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E0042EAB-2628-41F5-987E-4291209193A6}" name="LTBL_01394" displayName="LTBL_01394" ref="B4:I20" totalsRowCount="1">
  <autoFilter ref="B4:I19" xr:uid="{E0042EAB-2628-41F5-987E-4291209193A6}"/>
  <tableColumns count="8">
    <tableColumn id="9" xr3:uid="{76294AE2-1AFC-4762-8CA0-599A2B633018}" name="産業大分類" totalsRowLabel="合計" totalsRowDxfId="1721"/>
    <tableColumn id="10" xr3:uid="{66B6C931-5D5A-42D6-A25C-43E10BF2DC00}" name="総数／事業所数" totalsRowFunction="custom" totalsRowDxfId="1720" dataCellStyle="桁区切り" totalsRowCellStyle="桁区切り">
      <totalsRowFormula>SUM(LTBL_01394[総数／事業所数])</totalsRowFormula>
    </tableColumn>
    <tableColumn id="11" xr3:uid="{04DB5D3A-4EC9-4CF0-848C-B8F9E204CB69}" name="総数／構成比" dataDxfId="1719"/>
    <tableColumn id="12" xr3:uid="{C1F1A151-9ECF-4878-B49C-0C6871004891}" name="個人／事業所数" totalsRowFunction="sum" totalsRowDxfId="1718" dataCellStyle="桁区切り" totalsRowCellStyle="桁区切り"/>
    <tableColumn id="13" xr3:uid="{1E731071-F844-4920-9D53-2F0073AABD12}" name="個人／構成比" dataDxfId="1717"/>
    <tableColumn id="14" xr3:uid="{8E596526-AD6B-440A-9428-AC8ED3C17657}" name="法人／事業所数" totalsRowFunction="sum" totalsRowDxfId="1716" dataCellStyle="桁区切り" totalsRowCellStyle="桁区切り"/>
    <tableColumn id="15" xr3:uid="{1062E97B-EBAD-43AF-8A96-8360D3605D3D}" name="法人／構成比" dataDxfId="1715"/>
    <tableColumn id="16" xr3:uid="{47E35827-7445-4634-9090-EF3F17EA153E}" name="法人以外の団体／事業所数" totalsRowFunction="sum" totalsRowDxfId="1714" dataCellStyle="桁区切り" totalsRowCellStyle="桁区切り"/>
  </tableColumns>
  <tableStyleInfo name="TableStyleMedium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FA5B28ED-11DE-4B6D-B222-2074FF9FF540}" name="M_TABLE_01394" displayName="M_TABLE_01394" ref="B23:I44" totalsRowShown="0">
  <autoFilter ref="B23:I44" xr:uid="{FA5B28ED-11DE-4B6D-B222-2074FF9FF540}"/>
  <tableColumns count="8">
    <tableColumn id="9" xr3:uid="{0E4EA8F5-A197-4A0A-B977-1502B4AD0ED5}" name="産業中分類上位２０"/>
    <tableColumn id="10" xr3:uid="{3A89947D-1CD7-4B61-908D-C5D2D785046B}" name="総数／事業所数" dataCellStyle="桁区切り"/>
    <tableColumn id="11" xr3:uid="{708E2525-4EE0-495E-BD0B-69942E138837}" name="総数／構成比" dataDxfId="1713"/>
    <tableColumn id="12" xr3:uid="{77E5D9F4-2BB5-486B-8F4B-C97E54EF0751}" name="個人／事業所数" dataCellStyle="桁区切り"/>
    <tableColumn id="13" xr3:uid="{76AA10EA-B8A9-4E0B-ADD6-F29CE718B6C3}" name="個人／構成比" dataDxfId="1712"/>
    <tableColumn id="14" xr3:uid="{0D15B152-780A-4436-BFD5-7E9FA3D4F65A}" name="法人／事業所数" dataCellStyle="桁区切り"/>
    <tableColumn id="15" xr3:uid="{09BF5C04-F354-4142-BED4-A8011F085D7C}" name="法人／構成比" dataDxfId="1711"/>
    <tableColumn id="16" xr3:uid="{D4EC6010-7C28-4995-9E58-6777DAA36F8F}" name="法人以外の団体／事業所数" dataCellStyle="桁区切り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363EA41D-98EB-4DCA-A412-D516D5352495}" name="S_TABLE_01394" displayName="S_TABLE_01394" ref="B47:I83" totalsRowShown="0">
  <autoFilter ref="B47:I83" xr:uid="{363EA41D-98EB-4DCA-A412-D516D5352495}"/>
  <tableColumns count="8">
    <tableColumn id="9" xr3:uid="{C429AA7E-C808-4B41-9878-EB2A43EB7856}" name="産業小分類上位２０"/>
    <tableColumn id="10" xr3:uid="{516E60A1-5EC9-444E-B587-80E4EF7E5431}" name="総数／事業所数" dataCellStyle="桁区切り"/>
    <tableColumn id="11" xr3:uid="{55CF4846-B14C-42AC-8EF4-F1D798EFBD11}" name="総数／構成比" dataDxfId="1710"/>
    <tableColumn id="12" xr3:uid="{66715C4F-E7A2-4191-8217-46502C8755BD}" name="個人／事業所数" dataCellStyle="桁区切り"/>
    <tableColumn id="13" xr3:uid="{87DAE7DC-B381-4BE2-AEDB-94358723B34F}" name="個人／構成比" dataDxfId="1709"/>
    <tableColumn id="14" xr3:uid="{6C22E452-ED33-4814-B106-A50A57150D00}" name="法人／事業所数" dataCellStyle="桁区切り"/>
    <tableColumn id="15" xr3:uid="{66864F74-DAFE-4FCD-98CF-99D9A4E14E1F}" name="法人／構成比" dataDxfId="1708"/>
    <tableColumn id="16" xr3:uid="{B21179A1-A929-4F5A-B107-54CB79A5E5DA}" name="法人以外の団体／事業所数" dataCellStyle="桁区切り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267CDAB2-3AA4-494E-A4F6-33F935070B25}" name="LTBL_01395" displayName="LTBL_01395" ref="B4:I20" totalsRowCount="1">
  <autoFilter ref="B4:I19" xr:uid="{267CDAB2-3AA4-494E-A4F6-33F935070B25}"/>
  <tableColumns count="8">
    <tableColumn id="9" xr3:uid="{3EE0007F-0E6B-491D-B72C-3B748323FC7D}" name="産業大分類" totalsRowLabel="合計" totalsRowDxfId="1707"/>
    <tableColumn id="10" xr3:uid="{DCF874E9-162B-4B07-A5B8-5CE25EFA5D3E}" name="総数／事業所数" totalsRowFunction="custom" totalsRowDxfId="1706" dataCellStyle="桁区切り" totalsRowCellStyle="桁区切り">
      <totalsRowFormula>SUM(LTBL_01395[総数／事業所数])</totalsRowFormula>
    </tableColumn>
    <tableColumn id="11" xr3:uid="{A80E0DB9-B018-4D17-8CA3-11816F99BE69}" name="総数／構成比" dataDxfId="1705"/>
    <tableColumn id="12" xr3:uid="{5BAFC8F5-6BA9-4098-8F49-5A8330F3B573}" name="個人／事業所数" totalsRowFunction="sum" totalsRowDxfId="1704" dataCellStyle="桁区切り" totalsRowCellStyle="桁区切り"/>
    <tableColumn id="13" xr3:uid="{19BADB19-89DA-45F6-8EF4-3079467B8324}" name="個人／構成比" dataDxfId="1703"/>
    <tableColumn id="14" xr3:uid="{BFB5B049-054F-40D5-B04E-5666E4643A3B}" name="法人／事業所数" totalsRowFunction="sum" totalsRowDxfId="1702" dataCellStyle="桁区切り" totalsRowCellStyle="桁区切り"/>
    <tableColumn id="15" xr3:uid="{AE852842-0529-41E0-9863-ECC6ABB22D21}" name="法人／構成比" dataDxfId="1701"/>
    <tableColumn id="16" xr3:uid="{73FE208A-7388-4674-84FC-608D7327E0B8}" name="法人以外の団体／事業所数" totalsRowFunction="sum" totalsRowDxfId="1700" dataCellStyle="桁区切り" totalsRowCellStyle="桁区切り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8948C149-6DA8-4901-9751-935379C113C6}" name="M_TABLE_01395" displayName="M_TABLE_01395" ref="B23:I45" totalsRowShown="0">
  <autoFilter ref="B23:I45" xr:uid="{8948C149-6DA8-4901-9751-935379C113C6}"/>
  <tableColumns count="8">
    <tableColumn id="9" xr3:uid="{677970EF-6D0F-4568-AAE8-DBD43BA0276A}" name="産業中分類上位２０"/>
    <tableColumn id="10" xr3:uid="{A54C7D36-9036-4AFB-94AC-657EF51DDDD3}" name="総数／事業所数" dataCellStyle="桁区切り"/>
    <tableColumn id="11" xr3:uid="{1CED32A9-0A9A-4724-A5BF-A3FEAB037395}" name="総数／構成比" dataDxfId="1699"/>
    <tableColumn id="12" xr3:uid="{A7DCFC50-AA6D-4FB3-9360-52A3532A86B6}" name="個人／事業所数" dataCellStyle="桁区切り"/>
    <tableColumn id="13" xr3:uid="{4497EA89-8A92-4B4E-90A7-0152C373BEEC}" name="個人／構成比" dataDxfId="1698"/>
    <tableColumn id="14" xr3:uid="{A5302C90-BDA7-4EA0-B8B6-90756ADDFF6C}" name="法人／事業所数" dataCellStyle="桁区切り"/>
    <tableColumn id="15" xr3:uid="{B6EF6756-A5AC-458E-B55A-7D75E6D1184C}" name="法人／構成比" dataDxfId="1697"/>
    <tableColumn id="16" xr3:uid="{F0D7CC07-FC55-46FE-A769-7A97A9190EFA}" name="法人以外の団体／事業所数" dataCellStyle="桁区切り"/>
  </tableColumns>
  <tableStyleInfo name="TableStyleMedium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ABC96B94-2912-4055-8172-12FF1F6E5101}" name="S_TABLE_01395" displayName="S_TABLE_01395" ref="B48:I70" totalsRowShown="0">
  <autoFilter ref="B48:I70" xr:uid="{ABC96B94-2912-4055-8172-12FF1F6E5101}"/>
  <tableColumns count="8">
    <tableColumn id="9" xr3:uid="{B295FAD9-809A-4248-B7E9-062180F503F7}" name="産業小分類上位２０"/>
    <tableColumn id="10" xr3:uid="{F8B9A406-7A28-4DE1-A318-0447FEC809EE}" name="総数／事業所数" dataCellStyle="桁区切り"/>
    <tableColumn id="11" xr3:uid="{37A4AA38-65FB-4E2F-B49A-5B1630AB8B5F}" name="総数／構成比" dataDxfId="1696"/>
    <tableColumn id="12" xr3:uid="{26EF1417-290A-461C-8F60-4186CBA54344}" name="個人／事業所数" dataCellStyle="桁区切り"/>
    <tableColumn id="13" xr3:uid="{ACC51475-C136-495F-B34E-0A463CED868C}" name="個人／構成比" dataDxfId="1695"/>
    <tableColumn id="14" xr3:uid="{B7ED8D75-9EE3-4ADE-ACF9-E6748CA00D5D}" name="法人／事業所数" dataCellStyle="桁区切り"/>
    <tableColumn id="15" xr3:uid="{353DDA6D-5248-405E-A340-DB871EB38841}" name="法人／構成比" dataDxfId="1694"/>
    <tableColumn id="16" xr3:uid="{741A214F-CDE7-4B6D-B063-16BADB9564F2}" name="法人以外の団体／事業所数" dataCellStyle="桁区切り"/>
  </tableColumns>
  <tableStyleInfo name="TableStyleMedium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A9F88225-1FC5-4E58-8D2D-B53898BFE4C6}" name="LTBL_01396" displayName="LTBL_01396" ref="B4:I20" totalsRowCount="1">
  <autoFilter ref="B4:I19" xr:uid="{A9F88225-1FC5-4E58-8D2D-B53898BFE4C6}"/>
  <tableColumns count="8">
    <tableColumn id="9" xr3:uid="{91933DE6-60D5-46F8-9DC8-6BC26F879404}" name="産業大分類" totalsRowLabel="合計" totalsRowDxfId="1693"/>
    <tableColumn id="10" xr3:uid="{69047121-10EB-4765-9AB7-3C928E309B35}" name="総数／事業所数" totalsRowFunction="custom" totalsRowDxfId="1692" dataCellStyle="桁区切り" totalsRowCellStyle="桁区切り">
      <totalsRowFormula>SUM(LTBL_01396[総数／事業所数])</totalsRowFormula>
    </tableColumn>
    <tableColumn id="11" xr3:uid="{038D559F-B745-4AD1-B584-257FF721317E}" name="総数／構成比" dataDxfId="1691"/>
    <tableColumn id="12" xr3:uid="{8D335937-9460-4242-8E4D-9947F40FD087}" name="個人／事業所数" totalsRowFunction="sum" totalsRowDxfId="1690" dataCellStyle="桁区切り" totalsRowCellStyle="桁区切り"/>
    <tableColumn id="13" xr3:uid="{B6AAB331-0BD4-42DE-9AA4-DD1218958000}" name="個人／構成比" dataDxfId="1689"/>
    <tableColumn id="14" xr3:uid="{9B73E40B-73C0-4D33-B538-60EC829A02B0}" name="法人／事業所数" totalsRowFunction="sum" totalsRowDxfId="1688" dataCellStyle="桁区切り" totalsRowCellStyle="桁区切り"/>
    <tableColumn id="15" xr3:uid="{62DB1228-90E5-42FE-AD02-DFD9FBB97688}" name="法人／構成比" dataDxfId="1687"/>
    <tableColumn id="16" xr3:uid="{27820D56-251E-4618-B3E2-190DB65EB0A9}" name="法人以外の団体／事業所数" totalsRowFunction="sum" totalsRowDxfId="1686" dataCellStyle="桁区切り" totalsRowCellStyle="桁区切り"/>
  </tableColumns>
  <tableStyleInfo name="TableStyleMedium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78B28F84-204C-493C-BF3F-5778CA6559EB}" name="M_TABLE_01396" displayName="M_TABLE_01396" ref="B23:I47" totalsRowShown="0">
  <autoFilter ref="B23:I47" xr:uid="{78B28F84-204C-493C-BF3F-5778CA6559EB}"/>
  <tableColumns count="8">
    <tableColumn id="9" xr3:uid="{6B2D9F2C-D842-4EA8-BE09-DA38DF4FA11A}" name="産業中分類上位２０"/>
    <tableColumn id="10" xr3:uid="{3695B437-D644-479A-9FCF-887E12E7F60B}" name="総数／事業所数" dataCellStyle="桁区切り"/>
    <tableColumn id="11" xr3:uid="{26ED6C9C-20FA-482A-AA67-309B10A83096}" name="総数／構成比" dataDxfId="1685"/>
    <tableColumn id="12" xr3:uid="{59C3391D-F72D-4FF1-BF0A-0C3AEF1DDADE}" name="個人／事業所数" dataCellStyle="桁区切り"/>
    <tableColumn id="13" xr3:uid="{AFDAAE85-9392-4B8E-8324-A8CD4433E2A5}" name="個人／構成比" dataDxfId="1684"/>
    <tableColumn id="14" xr3:uid="{69DF6963-96A4-432D-9E5E-80D930690B09}" name="法人／事業所数" dataCellStyle="桁区切り"/>
    <tableColumn id="15" xr3:uid="{0DEACB58-DF16-46D9-9C98-F3FE16997E11}" name="法人／構成比" dataDxfId="1683"/>
    <tableColumn id="16" xr3:uid="{E9D0E4F0-6A44-402A-99E4-794236AA137F}" name="法人以外の団体／事業所数" dataCellStyle="桁区切り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41F41833-E902-4263-B1D7-93E94128B5F2}" name="S_TABLE_01105" displayName="S_TABLE_01105" ref="B46:I66" totalsRowShown="0">
  <autoFilter ref="B46:I66" xr:uid="{41F41833-E902-4263-B1D7-93E94128B5F2}"/>
  <tableColumns count="8">
    <tableColumn id="9" xr3:uid="{00D2EADA-61B6-4F68-99A5-66C92298E7AE}" name="産業小分類上位２０"/>
    <tableColumn id="10" xr3:uid="{92A9E17D-4FE1-443C-933D-8562EB97D4D5}" name="総数／事業所数" dataCellStyle="桁区切り"/>
    <tableColumn id="11" xr3:uid="{9FB97050-B00D-4F74-A128-ECBFE13347FE}" name="総数／構成比" dataDxfId="2564"/>
    <tableColumn id="12" xr3:uid="{02E56AB8-5016-4D60-A07B-06A245A1DD8F}" name="個人／事業所数" dataCellStyle="桁区切り"/>
    <tableColumn id="13" xr3:uid="{A0707021-F56C-4AE1-8CBC-1258EBF9CD95}" name="個人／構成比" dataDxfId="2563"/>
    <tableColumn id="14" xr3:uid="{E031E912-D1FB-41BE-A62D-BB4AE9527AA1}" name="法人／事業所数" dataCellStyle="桁区切り"/>
    <tableColumn id="15" xr3:uid="{A683DB75-AFDA-4091-9EFD-E959094888AD}" name="法人／構成比" dataDxfId="2562"/>
    <tableColumn id="16" xr3:uid="{3085FE27-68CE-4F9D-8BB4-496CAC644669}" name="法人以外の団体／事業所数" dataCellStyle="桁区切り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406C1910-8C3B-4C56-A335-E4DA7C055D6A}" name="S_TABLE_01396" displayName="S_TABLE_01396" ref="B50:I70" totalsRowShown="0">
  <autoFilter ref="B50:I70" xr:uid="{406C1910-8C3B-4C56-A335-E4DA7C055D6A}"/>
  <tableColumns count="8">
    <tableColumn id="9" xr3:uid="{15388E9C-E2B6-45C9-9AA6-E31FE5F872CA}" name="産業小分類上位２０"/>
    <tableColumn id="10" xr3:uid="{3263A04A-6AAC-411F-B54A-4DF65489A450}" name="総数／事業所数" dataCellStyle="桁区切り"/>
    <tableColumn id="11" xr3:uid="{CB013C27-6976-4946-BC36-5CB6B6911B71}" name="総数／構成比" dataDxfId="1682"/>
    <tableColumn id="12" xr3:uid="{9C17F24D-4A88-49B6-A879-69BFA4FB88BA}" name="個人／事業所数" dataCellStyle="桁区切り"/>
    <tableColumn id="13" xr3:uid="{F14AB471-932B-4249-B16C-BC58595F1408}" name="個人／構成比" dataDxfId="1681"/>
    <tableColumn id="14" xr3:uid="{A72195C4-84CC-465B-A2D5-397C99C7AECA}" name="法人／事業所数" dataCellStyle="桁区切り"/>
    <tableColumn id="15" xr3:uid="{8AF7533C-5496-41DF-92A2-D0E988837AF6}" name="法人／構成比" dataDxfId="1680"/>
    <tableColumn id="16" xr3:uid="{7925B1F1-D8E5-4D01-B057-308D3C39954F}" name="法人以外の団体／事業所数" dataCellStyle="桁区切り"/>
  </tableColumns>
  <tableStyleInfo name="TableStyleMedium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5E083CA9-1ED2-4250-8AF6-3CED4FED54A7}" name="LTBL_01397" displayName="LTBL_01397" ref="B4:I20" totalsRowCount="1">
  <autoFilter ref="B4:I19" xr:uid="{5E083CA9-1ED2-4250-8AF6-3CED4FED54A7}"/>
  <tableColumns count="8">
    <tableColumn id="9" xr3:uid="{0D278C5E-134A-429A-A5D2-56CE7FCC95F2}" name="産業大分類" totalsRowLabel="合計" totalsRowDxfId="1679"/>
    <tableColumn id="10" xr3:uid="{DD2D5576-C0A7-4D18-AFD5-EB4CB916FF8F}" name="総数／事業所数" totalsRowFunction="custom" totalsRowDxfId="1678" dataCellStyle="桁区切り" totalsRowCellStyle="桁区切り">
      <totalsRowFormula>SUM(LTBL_01397[総数／事業所数])</totalsRowFormula>
    </tableColumn>
    <tableColumn id="11" xr3:uid="{A3754016-EF66-4621-BFC5-38374CC03FB5}" name="総数／構成比" dataDxfId="1677"/>
    <tableColumn id="12" xr3:uid="{C35856D9-65B8-4743-ACB1-E8ADDAF7AE21}" name="個人／事業所数" totalsRowFunction="sum" totalsRowDxfId="1676" dataCellStyle="桁区切り" totalsRowCellStyle="桁区切り"/>
    <tableColumn id="13" xr3:uid="{875FB415-5C49-4510-8FCD-33BF8EA4A7B3}" name="個人／構成比" dataDxfId="1675"/>
    <tableColumn id="14" xr3:uid="{9562F2DC-AB0B-4239-AFF4-241E95D5B02B}" name="法人／事業所数" totalsRowFunction="sum" totalsRowDxfId="1674" dataCellStyle="桁区切り" totalsRowCellStyle="桁区切り"/>
    <tableColumn id="15" xr3:uid="{189B36BA-190A-408C-A666-768DDE407CE2}" name="法人／構成比" dataDxfId="1673"/>
    <tableColumn id="16" xr3:uid="{0D2B4B77-EAB1-4D81-B9A7-29FF1E5CFD66}" name="法人以外の団体／事業所数" totalsRowFunction="sum" totalsRowDxfId="1672" dataCellStyle="桁区切り" totalsRowCellStyle="桁区切り"/>
  </tableColumns>
  <tableStyleInfo name="TableStyleMedium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15F9FE4A-7956-46B7-9997-72068243A31B}" name="M_TABLE_01397" displayName="M_TABLE_01397" ref="B23:I45" totalsRowShown="0">
  <autoFilter ref="B23:I45" xr:uid="{15F9FE4A-7956-46B7-9997-72068243A31B}"/>
  <tableColumns count="8">
    <tableColumn id="9" xr3:uid="{51D1C140-9B86-468C-975F-4E0D62815CFA}" name="産業中分類上位２０"/>
    <tableColumn id="10" xr3:uid="{747A65B3-BB5E-4A5F-BAFF-9A8C962C6E17}" name="総数／事業所数" dataCellStyle="桁区切り"/>
    <tableColumn id="11" xr3:uid="{D7E18540-4B34-42A3-BD41-185A984930D3}" name="総数／構成比" dataDxfId="1671"/>
    <tableColumn id="12" xr3:uid="{C095E385-3502-4FF4-BA06-654C767BB62E}" name="個人／事業所数" dataCellStyle="桁区切り"/>
    <tableColumn id="13" xr3:uid="{44A5B2C2-8216-4C27-AED2-EDBF313C3E5E}" name="個人／構成比" dataDxfId="1670"/>
    <tableColumn id="14" xr3:uid="{7338A639-A254-40AB-9881-AC814CAC5D66}" name="法人／事業所数" dataCellStyle="桁区切り"/>
    <tableColumn id="15" xr3:uid="{71264338-A6D3-4872-BC97-0CAF8E380B30}" name="法人／構成比" dataDxfId="1669"/>
    <tableColumn id="16" xr3:uid="{0B08ACB9-BFD1-46AB-90B2-0DFEB12ADF91}" name="法人以外の団体／事業所数" dataCellStyle="桁区切り"/>
  </tableColumns>
  <tableStyleInfo name="TableStyleMedium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40B8CC90-9127-45A7-8E58-C3B2114A75EF}" name="S_TABLE_01397" displayName="S_TABLE_01397" ref="B48:I79" totalsRowShown="0">
  <autoFilter ref="B48:I79" xr:uid="{40B8CC90-9127-45A7-8E58-C3B2114A75EF}"/>
  <tableColumns count="8">
    <tableColumn id="9" xr3:uid="{0D952339-9CE5-48AE-B71D-AE20FA842420}" name="産業小分類上位２０"/>
    <tableColumn id="10" xr3:uid="{17E055CC-B915-4E5A-9F4D-E3448330EEFF}" name="総数／事業所数" dataCellStyle="桁区切り"/>
    <tableColumn id="11" xr3:uid="{9F2CCBB6-DF88-4BA7-AFB0-F0911D03AE51}" name="総数／構成比" dataDxfId="1668"/>
    <tableColumn id="12" xr3:uid="{84AAB2DA-83A6-4DD6-A3DE-46736FF5DD72}" name="個人／事業所数" dataCellStyle="桁区切り"/>
    <tableColumn id="13" xr3:uid="{039AEDB8-EC18-4055-87CE-57FD138413DF}" name="個人／構成比" dataDxfId="1667"/>
    <tableColumn id="14" xr3:uid="{F9E0F49A-2122-4599-92F3-D0F185618A5A}" name="法人／事業所数" dataCellStyle="桁区切り"/>
    <tableColumn id="15" xr3:uid="{29B999B8-55D1-4E06-90CD-982B065C4556}" name="法人／構成比" dataDxfId="1666"/>
    <tableColumn id="16" xr3:uid="{BCF88E43-8657-4B79-BF40-9272C88D6080}" name="法人以外の団体／事業所数" dataCellStyle="桁区切り"/>
  </tableColumns>
  <tableStyleInfo name="TableStyleMedium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E5515C64-5E42-45D2-9BBB-6B76FEE22556}" name="LTBL_01398" displayName="LTBL_01398" ref="B4:I20" totalsRowCount="1">
  <autoFilter ref="B4:I19" xr:uid="{E5515C64-5E42-45D2-9BBB-6B76FEE22556}"/>
  <tableColumns count="8">
    <tableColumn id="9" xr3:uid="{5935F4AA-27CC-4DF6-A7DD-E27CFCC649A4}" name="産業大分類" totalsRowLabel="合計" totalsRowDxfId="1665"/>
    <tableColumn id="10" xr3:uid="{ECEC60B8-A7E4-4076-BFE7-13499DA051F3}" name="総数／事業所数" totalsRowFunction="custom" totalsRowDxfId="1664" dataCellStyle="桁区切り" totalsRowCellStyle="桁区切り">
      <totalsRowFormula>SUM(LTBL_01398[総数／事業所数])</totalsRowFormula>
    </tableColumn>
    <tableColumn id="11" xr3:uid="{4F6846C4-DFBA-4C43-9D15-7002AA9A00F5}" name="総数／構成比" dataDxfId="1663"/>
    <tableColumn id="12" xr3:uid="{F02CD515-A437-4397-B4B5-135544C3DB6A}" name="個人／事業所数" totalsRowFunction="sum" totalsRowDxfId="1662" dataCellStyle="桁区切り" totalsRowCellStyle="桁区切り"/>
    <tableColumn id="13" xr3:uid="{421EFDCB-5F1E-47E3-B25C-CEDD70397667}" name="個人／構成比" dataDxfId="1661"/>
    <tableColumn id="14" xr3:uid="{BF650CAF-8165-4E0F-9D38-D1707137233C}" name="法人／事業所数" totalsRowFunction="sum" totalsRowDxfId="1660" dataCellStyle="桁区切り" totalsRowCellStyle="桁区切り"/>
    <tableColumn id="15" xr3:uid="{76EF77C5-64BA-47F3-999E-12E6CA3AEAED}" name="法人／構成比" dataDxfId="1659"/>
    <tableColumn id="16" xr3:uid="{406C80B2-EDFF-4BBE-9B61-4EEE992C7909}" name="法人以外の団体／事業所数" totalsRowFunction="sum" totalsRowDxfId="1658" dataCellStyle="桁区切り" totalsRowCellStyle="桁区切り"/>
  </tableColumns>
  <tableStyleInfo name="TableStyleMedium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EF8DDEF-F9D0-42D9-9A0B-95BB4AE1E83C}" name="M_TABLE_01398" displayName="M_TABLE_01398" ref="B23:I51" totalsRowShown="0">
  <autoFilter ref="B23:I51" xr:uid="{0EF8DDEF-F9D0-42D9-9A0B-95BB4AE1E83C}"/>
  <tableColumns count="8">
    <tableColumn id="9" xr3:uid="{58905ED3-30A9-4C03-9D9E-04E0C85F7A9A}" name="産業中分類上位２０"/>
    <tableColumn id="10" xr3:uid="{9C615996-DE24-440E-97E6-12AA565AAC24}" name="総数／事業所数" dataCellStyle="桁区切り"/>
    <tableColumn id="11" xr3:uid="{08665312-E00A-4E13-9C68-89A4DC32601E}" name="総数／構成比" dataDxfId="1657"/>
    <tableColumn id="12" xr3:uid="{AB13983C-BCF1-4691-96F0-DE13995BE35A}" name="個人／事業所数" dataCellStyle="桁区切り"/>
    <tableColumn id="13" xr3:uid="{56F55FA0-DFAF-4312-B648-ABB8EAD91152}" name="個人／構成比" dataDxfId="1656"/>
    <tableColumn id="14" xr3:uid="{F576A314-3EEE-4FA2-9268-DC3BD0F52651}" name="法人／事業所数" dataCellStyle="桁区切り"/>
    <tableColumn id="15" xr3:uid="{0F4E1C05-59B3-4EEF-8CA8-55EBA971A737}" name="法人／構成比" dataDxfId="1655"/>
    <tableColumn id="16" xr3:uid="{68B00680-D556-49E6-A52D-583E60F8AEB2}" name="法人以外の団体／事業所数" dataCellStyle="桁区切り"/>
  </tableColumns>
  <tableStyleInfo name="TableStyleMedium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33F0F5A9-B4DA-4BA0-A337-95A09E96C2AA}" name="S_TABLE_01398" displayName="S_TABLE_01398" ref="B54:I99" totalsRowShown="0">
  <autoFilter ref="B54:I99" xr:uid="{33F0F5A9-B4DA-4BA0-A337-95A09E96C2AA}"/>
  <tableColumns count="8">
    <tableColumn id="9" xr3:uid="{7B6AD1C8-1575-4268-B75D-D871D37D07CA}" name="産業小分類上位２０"/>
    <tableColumn id="10" xr3:uid="{C5E56E9F-FB12-4DB4-B5B2-CFB6D98FCE5E}" name="総数／事業所数" dataCellStyle="桁区切り"/>
    <tableColumn id="11" xr3:uid="{C8B89999-EED3-47F2-BCC1-9787ED45B236}" name="総数／構成比" dataDxfId="1654"/>
    <tableColumn id="12" xr3:uid="{60D51E2C-3386-45F5-A4F4-A06DCB9AF885}" name="個人／事業所数" dataCellStyle="桁区切り"/>
    <tableColumn id="13" xr3:uid="{BC85D4A3-DC59-4ECD-82A4-968040E79CB0}" name="個人／構成比" dataDxfId="1653"/>
    <tableColumn id="14" xr3:uid="{9A764D15-1543-4E63-94A2-0F2FA1C24E1F}" name="法人／事業所数" dataCellStyle="桁区切り"/>
    <tableColumn id="15" xr3:uid="{D160EC60-6862-4AF7-9D1E-E0419CE9C978}" name="法人／構成比" dataDxfId="1652"/>
    <tableColumn id="16" xr3:uid="{07BA5D2E-CC64-4707-A955-2C6E90FFC71B}" name="法人以外の団体／事業所数" dataCellStyle="桁区切り"/>
  </tableColumns>
  <tableStyleInfo name="TableStyleMedium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2923F2D8-699B-469A-BAA2-FC983766EF42}" name="LTBL_01399" displayName="LTBL_01399" ref="B4:I20" totalsRowCount="1">
  <autoFilter ref="B4:I19" xr:uid="{2923F2D8-699B-469A-BAA2-FC983766EF42}"/>
  <tableColumns count="8">
    <tableColumn id="9" xr3:uid="{E023244C-7B57-46C5-BDC1-D91298AABB6A}" name="産業大分類" totalsRowLabel="合計" totalsRowDxfId="1651"/>
    <tableColumn id="10" xr3:uid="{B23349CA-CA77-42BD-8C24-4348B08534B5}" name="総数／事業所数" totalsRowFunction="custom" totalsRowDxfId="1650" dataCellStyle="桁区切り" totalsRowCellStyle="桁区切り">
      <totalsRowFormula>SUM(LTBL_01399[総数／事業所数])</totalsRowFormula>
    </tableColumn>
    <tableColumn id="11" xr3:uid="{6C070EEF-E165-41FF-BC1F-BF61BE2FB9F2}" name="総数／構成比" dataDxfId="1649"/>
    <tableColumn id="12" xr3:uid="{86D38B90-F281-4ADC-9DC3-D07C8A8ABA6F}" name="個人／事業所数" totalsRowFunction="sum" totalsRowDxfId="1648" dataCellStyle="桁区切り" totalsRowCellStyle="桁区切り"/>
    <tableColumn id="13" xr3:uid="{9C076828-3A47-4E2E-A427-AF2E2A353BCC}" name="個人／構成比" dataDxfId="1647"/>
    <tableColumn id="14" xr3:uid="{8B742709-C3CF-4CEA-866E-9EA7C42B7649}" name="法人／事業所数" totalsRowFunction="sum" totalsRowDxfId="1646" dataCellStyle="桁区切り" totalsRowCellStyle="桁区切り"/>
    <tableColumn id="15" xr3:uid="{9B790541-81D2-4821-A0CB-ED54EA9FCD21}" name="法人／構成比" dataDxfId="1645"/>
    <tableColumn id="16" xr3:uid="{BCC510A3-1CFB-4C5F-A684-BBEA5B280F7A}" name="法人以外の団体／事業所数" totalsRowFunction="sum" totalsRowDxfId="1644" dataCellStyle="桁区切り" totalsRowCellStyle="桁区切り"/>
  </tableColumns>
  <tableStyleInfo name="TableStyleMedium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A663BB89-C121-4132-AF6D-90F8D6F75552}" name="M_TABLE_01399" displayName="M_TABLE_01399" ref="B23:I50" totalsRowShown="0">
  <autoFilter ref="B23:I50" xr:uid="{A663BB89-C121-4132-AF6D-90F8D6F75552}"/>
  <tableColumns count="8">
    <tableColumn id="9" xr3:uid="{A5F38759-4ED3-4DB3-A4AD-64E6DAA85E28}" name="産業中分類上位２０"/>
    <tableColumn id="10" xr3:uid="{78E55861-2F1A-43B4-9BB4-E894FB4DDEF1}" name="総数／事業所数" dataCellStyle="桁区切り"/>
    <tableColumn id="11" xr3:uid="{DDEE3475-6B8B-4EAC-B01A-F16D9B4B0FAE}" name="総数／構成比" dataDxfId="1643"/>
    <tableColumn id="12" xr3:uid="{BA71D020-B37F-4171-984B-EF845B32DCAA}" name="個人／事業所数" dataCellStyle="桁区切り"/>
    <tableColumn id="13" xr3:uid="{20E215A9-CAFC-4AB8-ABCF-55827C7C6FDB}" name="個人／構成比" dataDxfId="1642"/>
    <tableColumn id="14" xr3:uid="{00FDAF13-3D75-4FFD-A10D-E2295608BD06}" name="法人／事業所数" dataCellStyle="桁区切り"/>
    <tableColumn id="15" xr3:uid="{0BFA4E45-884E-460A-AFAC-6211A9EE09FB}" name="法人／構成比" dataDxfId="1641"/>
    <tableColumn id="16" xr3:uid="{C40C9CB1-EA20-4041-B008-FE35298FE6B2}" name="法人以外の団体／事業所数" dataCellStyle="桁区切り"/>
  </tableColumns>
  <tableStyleInfo name="TableStyleMedium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8AADF5D4-5C71-417D-968B-8F2CBBFF8311}" name="S_TABLE_01399" displayName="S_TABLE_01399" ref="B53:I102" totalsRowShown="0">
  <autoFilter ref="B53:I102" xr:uid="{8AADF5D4-5C71-417D-968B-8F2CBBFF8311}"/>
  <tableColumns count="8">
    <tableColumn id="9" xr3:uid="{DEAB68B0-7B94-4CA7-B51C-A5D92C7E262D}" name="産業小分類上位２０"/>
    <tableColumn id="10" xr3:uid="{D9268F07-5103-4E57-BBC1-AB1B0D096C4C}" name="総数／事業所数" dataCellStyle="桁区切り"/>
    <tableColumn id="11" xr3:uid="{CD6A04D2-5447-48EF-9F4B-1BF6EF6A1765}" name="総数／構成比" dataDxfId="1640"/>
    <tableColumn id="12" xr3:uid="{794518C7-DAE8-4E2F-9D30-7ECFE7A9F922}" name="個人／事業所数" dataCellStyle="桁区切り"/>
    <tableColumn id="13" xr3:uid="{B9AA64E4-E143-4E9C-A180-6587D2AFA227}" name="個人／構成比" dataDxfId="1639"/>
    <tableColumn id="14" xr3:uid="{26A17C3A-1A74-4BE7-9286-37CEE124911D}" name="法人／事業所数" dataCellStyle="桁区切り"/>
    <tableColumn id="15" xr3:uid="{ACF920D2-0FB4-4D34-838C-C9A084780646}" name="法人／構成比" dataDxfId="1638"/>
    <tableColumn id="16" xr3:uid="{7817651C-A665-40B5-AAD3-5D1AAAC6B6CD}" name="法人以外の団体／事業所数" dataCellStyle="桁区切り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5CB64637-3281-4488-A528-F9279D819E2D}" name="LTBL_01106" displayName="LTBL_01106" ref="B4:I20" totalsRowCount="1">
  <autoFilter ref="B4:I19" xr:uid="{5CB64637-3281-4488-A528-F9279D819E2D}"/>
  <tableColumns count="8">
    <tableColumn id="9" xr3:uid="{439DE259-28B7-4EAF-8A6F-E6597692206B}" name="産業大分類" totalsRowLabel="合計" totalsRowDxfId="2561"/>
    <tableColumn id="10" xr3:uid="{526DD2FF-2F54-4F31-9D73-733F056EA0B9}" name="総数／事業所数" totalsRowFunction="custom" totalsRowDxfId="2560" dataCellStyle="桁区切り" totalsRowCellStyle="桁区切り">
      <totalsRowFormula>SUM(LTBL_01106[総数／事業所数])</totalsRowFormula>
    </tableColumn>
    <tableColumn id="11" xr3:uid="{FAB17DFF-7EF1-4A02-9C26-81439BA7FB60}" name="総数／構成比" dataDxfId="2559"/>
    <tableColumn id="12" xr3:uid="{14244E40-7772-44C5-83B8-843FC697B0E2}" name="個人／事業所数" totalsRowFunction="sum" totalsRowDxfId="2558" dataCellStyle="桁区切り" totalsRowCellStyle="桁区切り"/>
    <tableColumn id="13" xr3:uid="{59C9A476-B0CD-479A-B612-ED82A8536B7B}" name="個人／構成比" dataDxfId="2557"/>
    <tableColumn id="14" xr3:uid="{28CF0682-8EDD-4543-A558-2FEF713F8477}" name="法人／事業所数" totalsRowFunction="sum" totalsRowDxfId="2556" dataCellStyle="桁区切り" totalsRowCellStyle="桁区切り"/>
    <tableColumn id="15" xr3:uid="{F19BD007-9C40-4CC8-AEEF-96FF677956A7}" name="法人／構成比" dataDxfId="2555"/>
    <tableColumn id="16" xr3:uid="{528218BA-B80E-4245-BEE6-5304259149D2}" name="法人以外の団体／事業所数" totalsRowFunction="sum" totalsRowDxfId="2554" dataCellStyle="桁区切り" totalsRowCellStyle="桁区切り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1CC272D9-62EE-43F6-BDB3-E8044D17D334}" name="LTBL_01400" displayName="LTBL_01400" ref="B4:I20" totalsRowCount="1">
  <autoFilter ref="B4:I19" xr:uid="{1CC272D9-62EE-43F6-BDB3-E8044D17D334}"/>
  <tableColumns count="8">
    <tableColumn id="9" xr3:uid="{94E28251-21CE-45A1-A503-C97805813B72}" name="産業大分類" totalsRowLabel="合計" totalsRowDxfId="1637"/>
    <tableColumn id="10" xr3:uid="{83EDC332-84BC-4DB4-A580-948A1498A739}" name="総数／事業所数" totalsRowFunction="custom" totalsRowDxfId="1636" dataCellStyle="桁区切り" totalsRowCellStyle="桁区切り">
      <totalsRowFormula>SUM(LTBL_01400[総数／事業所数])</totalsRowFormula>
    </tableColumn>
    <tableColumn id="11" xr3:uid="{B71A084D-F53A-461D-80B8-31D73000C275}" name="総数／構成比" dataDxfId="1635"/>
    <tableColumn id="12" xr3:uid="{573BD7A8-97CF-4FAF-91C0-FA61BF05F2C3}" name="個人／事業所数" totalsRowFunction="sum" totalsRowDxfId="1634" dataCellStyle="桁区切り" totalsRowCellStyle="桁区切り"/>
    <tableColumn id="13" xr3:uid="{E46BA98B-1603-4283-83A2-A50ECA209D80}" name="個人／構成比" dataDxfId="1633"/>
    <tableColumn id="14" xr3:uid="{A79EFC93-9F1B-4228-A39E-7CA5A0B665F6}" name="法人／事業所数" totalsRowFunction="sum" totalsRowDxfId="1632" dataCellStyle="桁区切り" totalsRowCellStyle="桁区切り"/>
    <tableColumn id="15" xr3:uid="{02EBB476-DA7C-4B45-B156-14FCD3FC7924}" name="法人／構成比" dataDxfId="1631"/>
    <tableColumn id="16" xr3:uid="{862562C0-3928-40B8-8E37-AFEAD4C93F19}" name="法人以外の団体／事業所数" totalsRowFunction="sum" totalsRowDxfId="1630" dataCellStyle="桁区切り" totalsRowCellStyle="桁区切り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9F450EAF-F79E-42E6-8992-2C6BE37AAAD7}" name="M_TABLE_01400" displayName="M_TABLE_01400" ref="B23:I43" totalsRowShown="0">
  <autoFilter ref="B23:I43" xr:uid="{9F450EAF-F79E-42E6-8992-2C6BE37AAAD7}"/>
  <tableColumns count="8">
    <tableColumn id="9" xr3:uid="{0F516D9B-D8A2-486B-8DC0-8236EBB4E200}" name="産業中分類上位２０"/>
    <tableColumn id="10" xr3:uid="{5CAF69CC-C439-414E-B8EF-D25097AD5C17}" name="総数／事業所数" dataCellStyle="桁区切り"/>
    <tableColumn id="11" xr3:uid="{BA0F6F09-CEB5-4700-A129-E4EB2C2EE1E8}" name="総数／構成比" dataDxfId="1629"/>
    <tableColumn id="12" xr3:uid="{8A81C24D-94AE-4AF7-A927-6ACB1A9F5A4C}" name="個人／事業所数" dataCellStyle="桁区切り"/>
    <tableColumn id="13" xr3:uid="{6C660F81-7CD4-434B-8091-33C97BD0F5E3}" name="個人／構成比" dataDxfId="1628"/>
    <tableColumn id="14" xr3:uid="{90F8E4C1-251A-4C41-9FF5-24C43934C87D}" name="法人／事業所数" dataCellStyle="桁区切り"/>
    <tableColumn id="15" xr3:uid="{DDC83108-5A1A-4162-B27C-0BD5D6F031BD}" name="法人／構成比" dataDxfId="1627"/>
    <tableColumn id="16" xr3:uid="{E31F46D6-FF46-4C31-A059-951481CA3BD7}" name="法人以外の団体／事業所数" dataCellStyle="桁区切り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58C68E0B-4F0F-4B05-9A60-D7893603E820}" name="S_TABLE_01400" displayName="S_TABLE_01400" ref="B46:I70" totalsRowShown="0">
  <autoFilter ref="B46:I70" xr:uid="{58C68E0B-4F0F-4B05-9A60-D7893603E820}"/>
  <tableColumns count="8">
    <tableColumn id="9" xr3:uid="{E75895D5-147F-44DA-929B-A7C225A35D80}" name="産業小分類上位２０"/>
    <tableColumn id="10" xr3:uid="{AAB6B0F2-72AA-45FF-8B40-1AA0A3DFCB50}" name="総数／事業所数" dataCellStyle="桁区切り"/>
    <tableColumn id="11" xr3:uid="{4E3F8372-CF15-4C1A-BE24-3B14C025F5F9}" name="総数／構成比" dataDxfId="1626"/>
    <tableColumn id="12" xr3:uid="{55C37B4B-ABB1-493D-BCA7-94747B30AFFC}" name="個人／事業所数" dataCellStyle="桁区切り"/>
    <tableColumn id="13" xr3:uid="{3C88BEAF-AAEA-45C5-805E-2FB79E4B6D16}" name="個人／構成比" dataDxfId="1625"/>
    <tableColumn id="14" xr3:uid="{9CCB9BB8-A7AC-4D08-BC05-8CF2DBFAD89F}" name="法人／事業所数" dataCellStyle="桁区切り"/>
    <tableColumn id="15" xr3:uid="{D18C82EF-90CD-4856-9ED9-7472F4E84FB8}" name="法人／構成比" dataDxfId="1624"/>
    <tableColumn id="16" xr3:uid="{25F385CF-0F7D-41BD-B3EA-1E4AD3A1FAF6}" name="法人以外の団体／事業所数" dataCellStyle="桁区切り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4F8608E5-E752-4C39-A0CD-D2EA8A9E514E}" name="LTBL_01401" displayName="LTBL_01401" ref="B4:I20" totalsRowCount="1">
  <autoFilter ref="B4:I19" xr:uid="{4F8608E5-E752-4C39-A0CD-D2EA8A9E514E}"/>
  <tableColumns count="8">
    <tableColumn id="9" xr3:uid="{C0C9A092-3395-40FA-8BBF-195375424977}" name="産業大分類" totalsRowLabel="合計" totalsRowDxfId="1623"/>
    <tableColumn id="10" xr3:uid="{C5DD5259-2F01-4384-A212-52600B8A28EE}" name="総数／事業所数" totalsRowFunction="custom" totalsRowDxfId="1622" dataCellStyle="桁区切り" totalsRowCellStyle="桁区切り">
      <totalsRowFormula>SUM(LTBL_01401[総数／事業所数])</totalsRowFormula>
    </tableColumn>
    <tableColumn id="11" xr3:uid="{8EDBB5B0-E0CD-43F1-9AE6-8C3DF951CC14}" name="総数／構成比" dataDxfId="1621"/>
    <tableColumn id="12" xr3:uid="{EE0D66F4-88DE-4E76-85AF-E7F316357BBF}" name="個人／事業所数" totalsRowFunction="sum" totalsRowDxfId="1620" dataCellStyle="桁区切り" totalsRowCellStyle="桁区切り"/>
    <tableColumn id="13" xr3:uid="{8ADF062A-D558-4E04-9EBC-B8D0A682CB9B}" name="個人／構成比" dataDxfId="1619"/>
    <tableColumn id="14" xr3:uid="{5BDCFA96-F87C-4367-9050-24F2B087332D}" name="法人／事業所数" totalsRowFunction="sum" totalsRowDxfId="1618" dataCellStyle="桁区切り" totalsRowCellStyle="桁区切り"/>
    <tableColumn id="15" xr3:uid="{87ABD4AA-5A43-4648-A231-72B682C16B9C}" name="法人／構成比" dataDxfId="1617"/>
    <tableColumn id="16" xr3:uid="{17AF8A29-29FA-4460-99AC-D17033718CCA}" name="法人以外の団体／事業所数" totalsRowFunction="sum" totalsRowDxfId="1616" dataCellStyle="桁区切り" totalsRowCellStyle="桁区切り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87452600-04CE-4B4E-A99F-E6F5C1EEC1C6}" name="M_TABLE_01401" displayName="M_TABLE_01401" ref="B23:I46" totalsRowShown="0">
  <autoFilter ref="B23:I46" xr:uid="{87452600-04CE-4B4E-A99F-E6F5C1EEC1C6}"/>
  <tableColumns count="8">
    <tableColumn id="9" xr3:uid="{253D1449-8E71-47EF-865D-E349EB16C4FA}" name="産業中分類上位２０"/>
    <tableColumn id="10" xr3:uid="{3F1E820D-B67C-4DC5-B8EE-28C169D7421F}" name="総数／事業所数" dataCellStyle="桁区切り"/>
    <tableColumn id="11" xr3:uid="{AD9200CD-FA18-41BA-A085-BC5501E2EA2A}" name="総数／構成比" dataDxfId="1615"/>
    <tableColumn id="12" xr3:uid="{934E1DB1-ACDD-432F-82D8-40DE85961F66}" name="個人／事業所数" dataCellStyle="桁区切り"/>
    <tableColumn id="13" xr3:uid="{20E29FC9-194B-4542-8672-B41AF76F9EA5}" name="個人／構成比" dataDxfId="1614"/>
    <tableColumn id="14" xr3:uid="{B50B2597-98DD-44D3-95AB-5C8C475A91E6}" name="法人／事業所数" dataCellStyle="桁区切り"/>
    <tableColumn id="15" xr3:uid="{89193398-67E5-42DC-919D-A9EC202E1CFC}" name="法人／構成比" dataDxfId="1613"/>
    <tableColumn id="16" xr3:uid="{A0F65928-A571-48A3-B3A1-E0FBC0034C0F}" name="法人以外の団体／事業所数" dataCellStyle="桁区切り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65F02148-DD40-48CB-A29D-1A5181139ADE}" name="S_TABLE_01401" displayName="S_TABLE_01401" ref="B49:I76" totalsRowShown="0">
  <autoFilter ref="B49:I76" xr:uid="{65F02148-DD40-48CB-A29D-1A5181139ADE}"/>
  <tableColumns count="8">
    <tableColumn id="9" xr3:uid="{24F13D61-535E-414F-9260-413F1C9C9CE9}" name="産業小分類上位２０"/>
    <tableColumn id="10" xr3:uid="{45E67DFF-EE02-4CDC-8514-8D6E758053C9}" name="総数／事業所数" dataCellStyle="桁区切り"/>
    <tableColumn id="11" xr3:uid="{74867B9A-2610-4ED9-9068-100165F85B14}" name="総数／構成比" dataDxfId="1612"/>
    <tableColumn id="12" xr3:uid="{773D766A-E125-4528-8195-D6B996B2CBD4}" name="個人／事業所数" dataCellStyle="桁区切り"/>
    <tableColumn id="13" xr3:uid="{F9776108-B0D8-426C-AD9E-7DBC13408BF0}" name="個人／構成比" dataDxfId="1611"/>
    <tableColumn id="14" xr3:uid="{28A9C02C-822D-4008-A50A-44FF911D3621}" name="法人／事業所数" dataCellStyle="桁区切り"/>
    <tableColumn id="15" xr3:uid="{C7E278BA-1B15-4F0B-A0BB-CF1A5743EDB7}" name="法人／構成比" dataDxfId="1610"/>
    <tableColumn id="16" xr3:uid="{318872CE-7A9A-4D8E-833A-19E17D125D22}" name="法人以外の団体／事業所数" dataCellStyle="桁区切り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62528F75-5C41-4967-A23B-592FAB18EF19}" name="LTBL_01402" displayName="LTBL_01402" ref="B4:I20" totalsRowCount="1">
  <autoFilter ref="B4:I19" xr:uid="{62528F75-5C41-4967-A23B-592FAB18EF19}"/>
  <tableColumns count="8">
    <tableColumn id="9" xr3:uid="{F7E822A4-A053-47A5-9B5A-D6D28E8248C4}" name="産業大分類" totalsRowLabel="合計" totalsRowDxfId="1609"/>
    <tableColumn id="10" xr3:uid="{5C8FD305-1EB6-45F5-AA1A-AB41D63C3ED6}" name="総数／事業所数" totalsRowFunction="custom" totalsRowDxfId="1608" dataCellStyle="桁区切り" totalsRowCellStyle="桁区切り">
      <totalsRowFormula>SUM(LTBL_01402[総数／事業所数])</totalsRowFormula>
    </tableColumn>
    <tableColumn id="11" xr3:uid="{5EDCDF55-FB9D-416E-86D5-1B9A7E928809}" name="総数／構成比" dataDxfId="1607"/>
    <tableColumn id="12" xr3:uid="{5F1CCF0B-4C2F-4635-8FAE-E522972D13EE}" name="個人／事業所数" totalsRowFunction="sum" totalsRowDxfId="1606" dataCellStyle="桁区切り" totalsRowCellStyle="桁区切り"/>
    <tableColumn id="13" xr3:uid="{0E1F8948-E1F3-40FE-8A0E-7F5C6B0E0C80}" name="個人／構成比" dataDxfId="1605"/>
    <tableColumn id="14" xr3:uid="{4821F655-26DC-4C3B-90AE-D2594EAFB2FE}" name="法人／事業所数" totalsRowFunction="sum" totalsRowDxfId="1604" dataCellStyle="桁区切り" totalsRowCellStyle="桁区切り"/>
    <tableColumn id="15" xr3:uid="{05451EE9-2215-41FC-90A8-9CE97407A3D9}" name="法人／構成比" dataDxfId="1603"/>
    <tableColumn id="16" xr3:uid="{79445E38-8824-460D-8C08-00171425944A}" name="法人以外の団体／事業所数" totalsRowFunction="sum" totalsRowDxfId="1602" dataCellStyle="桁区切り" totalsRowCellStyle="桁区切り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DE62F8FB-1E4B-4DB1-AF7B-BD39A0ED9C51}" name="M_TABLE_01402" displayName="M_TABLE_01402" ref="B23:I45" totalsRowShown="0">
  <autoFilter ref="B23:I45" xr:uid="{DE62F8FB-1E4B-4DB1-AF7B-BD39A0ED9C51}"/>
  <tableColumns count="8">
    <tableColumn id="9" xr3:uid="{32417F64-1CA7-425F-8D0B-24BDCFF5280C}" name="産業中分類上位２０"/>
    <tableColumn id="10" xr3:uid="{9124B50A-1BDC-41C4-977F-594F30688E46}" name="総数／事業所数" dataCellStyle="桁区切り"/>
    <tableColumn id="11" xr3:uid="{9D82DECA-0046-4F14-8E51-559E785626B6}" name="総数／構成比" dataDxfId="1601"/>
    <tableColumn id="12" xr3:uid="{1D174CCE-D2EC-4295-BBE9-7395284DFFB0}" name="個人／事業所数" dataCellStyle="桁区切り"/>
    <tableColumn id="13" xr3:uid="{08AB1295-C7A0-462A-BD3A-3B95F5EDFF63}" name="個人／構成比" dataDxfId="1600"/>
    <tableColumn id="14" xr3:uid="{A072385A-3C7F-4E87-91D0-A3A2F64CC03C}" name="法人／事業所数" dataCellStyle="桁区切り"/>
    <tableColumn id="15" xr3:uid="{769767E2-986D-427E-8619-AAE3E1B9DAD9}" name="法人／構成比" dataDxfId="1599"/>
    <tableColumn id="16" xr3:uid="{4CC34963-9634-433D-ACA4-F7AC3EFC1742}" name="法人以外の団体／事業所数" dataCellStyle="桁区切り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49FF0E1B-E72D-4653-B0CD-6CC258B32E20}" name="S_TABLE_01402" displayName="S_TABLE_01402" ref="B48:I69" totalsRowShown="0">
  <autoFilter ref="B48:I69" xr:uid="{49FF0E1B-E72D-4653-B0CD-6CC258B32E20}"/>
  <tableColumns count="8">
    <tableColumn id="9" xr3:uid="{415151E0-8290-4486-8531-7DE5302CA4F5}" name="産業小分類上位２０"/>
    <tableColumn id="10" xr3:uid="{C3C0C44E-CD4D-4BAD-A4A6-9AAF52B46CDD}" name="総数／事業所数" dataCellStyle="桁区切り"/>
    <tableColumn id="11" xr3:uid="{CA5DBC58-CC6F-4B49-8337-75566F9DEC8A}" name="総数／構成比" dataDxfId="1598"/>
    <tableColumn id="12" xr3:uid="{1C3467F1-40A8-46DA-9A6A-BFC186EA9AE0}" name="個人／事業所数" dataCellStyle="桁区切り"/>
    <tableColumn id="13" xr3:uid="{684FD7F3-7698-4862-84EA-82956BFD2DC5}" name="個人／構成比" dataDxfId="1597"/>
    <tableColumn id="14" xr3:uid="{3BDB0BBC-0124-48B1-A46D-A55C00584AFC}" name="法人／事業所数" dataCellStyle="桁区切り"/>
    <tableColumn id="15" xr3:uid="{FCA130F0-2841-4BFF-8C21-9D1E1A0BB949}" name="法人／構成比" dataDxfId="1596"/>
    <tableColumn id="16" xr3:uid="{0C30BDDE-B054-46E1-A69B-C89296CCD81A}" name="法人以外の団体／事業所数" dataCellStyle="桁区切り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F046A0E-5134-4AA1-8A03-E109D3B78BB1}" name="LTBL_01403" displayName="LTBL_01403" ref="B4:I20" totalsRowCount="1">
  <autoFilter ref="B4:I19" xr:uid="{0F046A0E-5134-4AA1-8A03-E109D3B78BB1}"/>
  <tableColumns count="8">
    <tableColumn id="9" xr3:uid="{11C5A9DA-C9A8-45A6-9475-D65385EE172E}" name="産業大分類" totalsRowLabel="合計" totalsRowDxfId="1595"/>
    <tableColumn id="10" xr3:uid="{841A10BB-A916-408E-8B8A-D547DA8CBEBC}" name="総数／事業所数" totalsRowFunction="custom" totalsRowDxfId="1594" dataCellStyle="桁区切り" totalsRowCellStyle="桁区切り">
      <totalsRowFormula>SUM(LTBL_01403[総数／事業所数])</totalsRowFormula>
    </tableColumn>
    <tableColumn id="11" xr3:uid="{C739A5F8-6C4A-4878-91BB-80C1F9D602A8}" name="総数／構成比" dataDxfId="1593"/>
    <tableColumn id="12" xr3:uid="{09AFFF92-5423-41CD-B240-67723726BD27}" name="個人／事業所数" totalsRowFunction="sum" totalsRowDxfId="1592" dataCellStyle="桁区切り" totalsRowCellStyle="桁区切り"/>
    <tableColumn id="13" xr3:uid="{4E94D3E0-13C9-4BBB-8076-B4C8D4C0C13A}" name="個人／構成比" dataDxfId="1591"/>
    <tableColumn id="14" xr3:uid="{684FA548-4A44-43F0-939D-77270624F0FC}" name="法人／事業所数" totalsRowFunction="sum" totalsRowDxfId="1590" dataCellStyle="桁区切り" totalsRowCellStyle="桁区切り"/>
    <tableColumn id="15" xr3:uid="{6E74E73E-31ED-499C-9C68-491E5B02572C}" name="法人／構成比" dataDxfId="1589"/>
    <tableColumn id="16" xr3:uid="{4FCE0F1B-C336-4657-A09F-37E97DAD2CB2}" name="法人以外の団体／事業所数" totalsRowFunction="sum" totalsRowDxfId="1588" dataCellStyle="桁区切り" totalsRowCellStyle="桁区切り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4674902-DCB5-41D5-909E-BC8AA6A05AB4}" name="M_TABLE_01106" displayName="M_TABLE_01106" ref="B23:I43" totalsRowShown="0">
  <autoFilter ref="B23:I43" xr:uid="{C4674902-DCB5-41D5-909E-BC8AA6A05AB4}"/>
  <tableColumns count="8">
    <tableColumn id="9" xr3:uid="{D4963EC7-8F5C-486B-A45B-9CBF527D20D3}" name="産業中分類上位２０"/>
    <tableColumn id="10" xr3:uid="{909A8DB1-0D19-4FE9-BA8A-22FC08C1D8E3}" name="総数／事業所数" dataCellStyle="桁区切り"/>
    <tableColumn id="11" xr3:uid="{ABB6E6B5-1729-44D1-912E-5C5C0E1C4E61}" name="総数／構成比" dataDxfId="2553"/>
    <tableColumn id="12" xr3:uid="{76575155-1855-417C-A0AC-798ABA782C37}" name="個人／事業所数" dataCellStyle="桁区切り"/>
    <tableColumn id="13" xr3:uid="{94415F08-4D06-4D2B-AFC9-9BA31EDD6537}" name="個人／構成比" dataDxfId="2552"/>
    <tableColumn id="14" xr3:uid="{3CE832D0-7EC5-4ECA-B7EB-A8898B734F26}" name="法人／事業所数" dataCellStyle="桁区切り"/>
    <tableColumn id="15" xr3:uid="{A87EE1D4-7E60-4FB1-86B2-0CD9326ABA0E}" name="法人／構成比" dataDxfId="2551"/>
    <tableColumn id="16" xr3:uid="{44F085C1-E766-4B44-8C89-DA0BD45EC3C8}" name="法人以外の団体／事業所数" dataCellStyle="桁区切り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D04EED18-0EBB-492A-A3F1-06BD45753EA9}" name="M_TABLE_01403" displayName="M_TABLE_01403" ref="B23:I41" totalsRowShown="0">
  <autoFilter ref="B23:I41" xr:uid="{D04EED18-0EBB-492A-A3F1-06BD45753EA9}"/>
  <tableColumns count="8">
    <tableColumn id="9" xr3:uid="{7895F9ED-F838-491C-88E0-794B030F8D7B}" name="産業中分類上位２０"/>
    <tableColumn id="10" xr3:uid="{815DCE62-CB75-426C-8783-A4510F8B3FC6}" name="総数／事業所数" dataCellStyle="桁区切り"/>
    <tableColumn id="11" xr3:uid="{5A2F4424-8D71-4CFA-8D0A-D964391F5DD6}" name="総数／構成比" dataDxfId="1587"/>
    <tableColumn id="12" xr3:uid="{BD79DB0E-D5B9-4B5C-A370-B159944C532B}" name="個人／事業所数" dataCellStyle="桁区切り"/>
    <tableColumn id="13" xr3:uid="{979E56C1-5E1D-407D-9EBD-ECBA9530F04E}" name="個人／構成比" dataDxfId="1586"/>
    <tableColumn id="14" xr3:uid="{A804EDEC-30DE-415F-A025-2C1F3AD84DAE}" name="法人／事業所数" dataCellStyle="桁区切り"/>
    <tableColumn id="15" xr3:uid="{88860886-BBAA-4863-AD64-0357A5604EA0}" name="法人／構成比" dataDxfId="1585"/>
    <tableColumn id="16" xr3:uid="{598AE501-CA71-4044-B624-31B73D0F8EB8}" name="法人以外の団体／事業所数" dataCellStyle="桁区切り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D49FA062-B4BB-426D-B718-C4142355ADE4}" name="S_TABLE_01403" displayName="S_TABLE_01403" ref="B44:I77" totalsRowShown="0">
  <autoFilter ref="B44:I77" xr:uid="{D49FA062-B4BB-426D-B718-C4142355ADE4}"/>
  <tableColumns count="8">
    <tableColumn id="9" xr3:uid="{FABE6AF1-6742-4A9F-BD86-79B304311033}" name="産業小分類上位２０"/>
    <tableColumn id="10" xr3:uid="{6BAAF7ED-5463-4FDC-9D33-757E0CA6363A}" name="総数／事業所数" dataCellStyle="桁区切り"/>
    <tableColumn id="11" xr3:uid="{99E79EBC-0B67-4C5C-A0E7-D8EBF6168586}" name="総数／構成比" dataDxfId="1584"/>
    <tableColumn id="12" xr3:uid="{69106AAC-D8D6-44A0-AC1C-1241B3A65949}" name="個人／事業所数" dataCellStyle="桁区切り"/>
    <tableColumn id="13" xr3:uid="{48C1402B-BA65-4B1F-834E-9C7E207CDB26}" name="個人／構成比" dataDxfId="1583"/>
    <tableColumn id="14" xr3:uid="{F420320B-22B7-4574-807D-2E368263BFE1}" name="法人／事業所数" dataCellStyle="桁区切り"/>
    <tableColumn id="15" xr3:uid="{885FF75B-E1B4-478B-9415-C4C1746EB00D}" name="法人／構成比" dataDxfId="1582"/>
    <tableColumn id="16" xr3:uid="{9EADCDF0-42BB-4523-9726-A82EFB1E3BFB}" name="法人以外の団体／事業所数" dataCellStyle="桁区切り"/>
  </tableColumns>
  <tableStyleInfo name="TableStyleMedium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D126B824-727C-4D70-8624-C15025DB5475}" name="LTBL_01404" displayName="LTBL_01404" ref="B4:I20" totalsRowCount="1">
  <autoFilter ref="B4:I19" xr:uid="{D126B824-727C-4D70-8624-C15025DB5475}"/>
  <tableColumns count="8">
    <tableColumn id="9" xr3:uid="{50D760CD-0804-4F1F-A61A-E5656535FBF6}" name="産業大分類" totalsRowLabel="合計" totalsRowDxfId="1581"/>
    <tableColumn id="10" xr3:uid="{FFB13420-2DC1-438D-88FA-448C8E429F83}" name="総数／事業所数" totalsRowFunction="custom" totalsRowDxfId="1580" dataCellStyle="桁区切り" totalsRowCellStyle="桁区切り">
      <totalsRowFormula>SUM(LTBL_01404[総数／事業所数])</totalsRowFormula>
    </tableColumn>
    <tableColumn id="11" xr3:uid="{268FF3E6-44F7-412B-9E5B-B72FB8825B00}" name="総数／構成比" dataDxfId="1579"/>
    <tableColumn id="12" xr3:uid="{C61413B9-9077-4232-B1C1-7751BAA6DD03}" name="個人／事業所数" totalsRowFunction="sum" totalsRowDxfId="1578" dataCellStyle="桁区切り" totalsRowCellStyle="桁区切り"/>
    <tableColumn id="13" xr3:uid="{B5F9AF94-EF9F-4065-93AD-BF495E92A82C}" name="個人／構成比" dataDxfId="1577"/>
    <tableColumn id="14" xr3:uid="{3873EF15-6321-4AEE-A343-F05DF67844B1}" name="法人／事業所数" totalsRowFunction="sum" totalsRowDxfId="1576" dataCellStyle="桁区切り" totalsRowCellStyle="桁区切り"/>
    <tableColumn id="15" xr3:uid="{B270007B-35FA-4382-BAA9-47147BC5F0E3}" name="法人／構成比" dataDxfId="1575"/>
    <tableColumn id="16" xr3:uid="{3061C0CC-9E65-4F47-ADD6-8561410A8580}" name="法人以外の団体／事業所数" totalsRowFunction="sum" totalsRowDxfId="1574" dataCellStyle="桁区切り" totalsRowCellStyle="桁区切り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7CCBFE84-6D32-4BCA-A29F-257D18A4677D}" name="M_TABLE_01404" displayName="M_TABLE_01404" ref="B23:I39" totalsRowShown="0">
  <autoFilter ref="B23:I39" xr:uid="{7CCBFE84-6D32-4BCA-A29F-257D18A4677D}"/>
  <tableColumns count="8">
    <tableColumn id="9" xr3:uid="{E6A192F5-1ABB-417F-A9DA-0B6D27DE99A8}" name="産業中分類上位２０"/>
    <tableColumn id="10" xr3:uid="{C4CB3C3E-E8CC-4A8D-B2E8-CD33A77E19E6}" name="総数／事業所数" dataCellStyle="桁区切り"/>
    <tableColumn id="11" xr3:uid="{980DF659-7B50-4CBA-8C7D-A18DD0C4AE71}" name="総数／構成比" dataDxfId="1573"/>
    <tableColumn id="12" xr3:uid="{CD4EEEE6-A3DF-4AED-9E80-BA6045EE1D63}" name="個人／事業所数" dataCellStyle="桁区切り"/>
    <tableColumn id="13" xr3:uid="{07DCD5A9-46B6-4ECB-8CB2-222A1E9C28AC}" name="個人／構成比" dataDxfId="1572"/>
    <tableColumn id="14" xr3:uid="{336231E4-1429-4963-9F47-B26CD9DC672B}" name="法人／事業所数" dataCellStyle="桁区切り"/>
    <tableColumn id="15" xr3:uid="{AD885265-90EE-42E0-B794-22011D84128D}" name="法人／構成比" dataDxfId="1571"/>
    <tableColumn id="16" xr3:uid="{24545995-606A-4E4B-BC91-3EA5142353A5}" name="法人以外の団体／事業所数" dataCellStyle="桁区切り"/>
  </tableColumns>
  <tableStyleInfo name="TableStyleMedium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DCEEE9D1-9E99-45C3-A956-8A10B2AA1E81}" name="S_TABLE_01404" displayName="S_TABLE_01404" ref="B42:I71" totalsRowShown="0">
  <autoFilter ref="B42:I71" xr:uid="{DCEEE9D1-9E99-45C3-A956-8A10B2AA1E81}"/>
  <tableColumns count="8">
    <tableColumn id="9" xr3:uid="{69190AD7-8327-495C-A33D-422C92687FC5}" name="産業小分類上位２０"/>
    <tableColumn id="10" xr3:uid="{AD858088-1717-40F7-80EB-EA844674D512}" name="総数／事業所数" dataCellStyle="桁区切り"/>
    <tableColumn id="11" xr3:uid="{EC9F07B0-CD32-4FD3-9B94-A8D8BD638955}" name="総数／構成比" dataDxfId="1570"/>
    <tableColumn id="12" xr3:uid="{1727F13E-F5F4-4470-8241-6934AA6F7CBE}" name="個人／事業所数" dataCellStyle="桁区切り"/>
    <tableColumn id="13" xr3:uid="{D2329979-59E2-477D-BA34-379DD3467470}" name="個人／構成比" dataDxfId="1569"/>
    <tableColumn id="14" xr3:uid="{67B98616-34AE-44BE-B321-459240D91D1D}" name="法人／事業所数" dataCellStyle="桁区切り"/>
    <tableColumn id="15" xr3:uid="{A3DBDD89-8CB6-49F7-BA55-91A3867FD9E8}" name="法人／構成比" dataDxfId="1568"/>
    <tableColumn id="16" xr3:uid="{D90D65A1-8EFF-44A8-A862-7574C266ABCC}" name="法人以外の団体／事業所数" dataCellStyle="桁区切り"/>
  </tableColumns>
  <tableStyleInfo name="TableStyleMedium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92BB873D-54F9-4973-96A5-28030D22B6C6}" name="LTBL_01405" displayName="LTBL_01405" ref="B4:I20" totalsRowCount="1">
  <autoFilter ref="B4:I19" xr:uid="{92BB873D-54F9-4973-96A5-28030D22B6C6}"/>
  <tableColumns count="8">
    <tableColumn id="9" xr3:uid="{5686B97E-A6E2-4F1F-AE29-28EBA2316408}" name="産業大分類" totalsRowLabel="合計" totalsRowDxfId="1567"/>
    <tableColumn id="10" xr3:uid="{A06F7525-04B2-436E-9E09-B3011BDE2D15}" name="総数／事業所数" totalsRowFunction="custom" totalsRowDxfId="1566" dataCellStyle="桁区切り" totalsRowCellStyle="桁区切り">
      <totalsRowFormula>SUM(LTBL_01405[総数／事業所数])</totalsRowFormula>
    </tableColumn>
    <tableColumn id="11" xr3:uid="{71002192-0F11-4B17-B895-91EB39B8E520}" name="総数／構成比" dataDxfId="1565"/>
    <tableColumn id="12" xr3:uid="{6F99FF6F-5364-44B4-81C1-F6DA12BE8EB1}" name="個人／事業所数" totalsRowFunction="sum" totalsRowDxfId="1564" dataCellStyle="桁区切り" totalsRowCellStyle="桁区切り"/>
    <tableColumn id="13" xr3:uid="{00E96384-68E5-4577-B75C-FE3881DBFDFD}" name="個人／構成比" dataDxfId="1563"/>
    <tableColumn id="14" xr3:uid="{C9B1D573-A4EA-4ABE-B77C-F50B341F849A}" name="法人／事業所数" totalsRowFunction="sum" totalsRowDxfId="1562" dataCellStyle="桁区切り" totalsRowCellStyle="桁区切り"/>
    <tableColumn id="15" xr3:uid="{394B0C97-12B4-4C32-B991-2795A578CFA1}" name="法人／構成比" dataDxfId="1561"/>
    <tableColumn id="16" xr3:uid="{8B3328E7-2812-4EAE-9431-4F707BBB47A0}" name="法人以外の団体／事業所数" totalsRowFunction="sum" totalsRowDxfId="1560" dataCellStyle="桁区切り" totalsRowCellStyle="桁区切り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7B0AB50F-99BC-43DE-B762-C2DF67CD8371}" name="M_TABLE_01405" displayName="M_TABLE_01405" ref="B23:I44" totalsRowShown="0">
  <autoFilter ref="B23:I44" xr:uid="{7B0AB50F-99BC-43DE-B762-C2DF67CD8371}"/>
  <tableColumns count="8">
    <tableColumn id="9" xr3:uid="{4F88D5B1-779B-4576-945B-4028F1F34F84}" name="産業中分類上位２０"/>
    <tableColumn id="10" xr3:uid="{9B11EB19-40B7-432C-AC80-E4615D7B2A85}" name="総数／事業所数" dataCellStyle="桁区切り"/>
    <tableColumn id="11" xr3:uid="{8E4183CA-F9CC-4DEF-92CA-59F67590379B}" name="総数／構成比" dataDxfId="1559"/>
    <tableColumn id="12" xr3:uid="{664A42C1-7511-47A4-B3B5-71D3D54B8FFE}" name="個人／事業所数" dataCellStyle="桁区切り"/>
    <tableColumn id="13" xr3:uid="{8E030047-FF98-43A2-A1D8-EE2AEC1F271B}" name="個人／構成比" dataDxfId="1558"/>
    <tableColumn id="14" xr3:uid="{1B0E743F-3DDC-485A-8EB9-407E1ACB2C88}" name="法人／事業所数" dataCellStyle="桁区切り"/>
    <tableColumn id="15" xr3:uid="{FFA461A3-4942-4555-BE39-126E8A2119FD}" name="法人／構成比" dataDxfId="1557"/>
    <tableColumn id="16" xr3:uid="{C6904B78-7F52-4E73-81E6-29F7C98CB81C}" name="法人以外の団体／事業所数" dataCellStyle="桁区切り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F2D64F4B-2365-402E-ADF9-109971B9793D}" name="S_TABLE_01405" displayName="S_TABLE_01405" ref="B47:I68" totalsRowShown="0">
  <autoFilter ref="B47:I68" xr:uid="{F2D64F4B-2365-402E-ADF9-109971B9793D}"/>
  <tableColumns count="8">
    <tableColumn id="9" xr3:uid="{3E886588-C448-4BE0-8455-398B66AF1C87}" name="産業小分類上位２０"/>
    <tableColumn id="10" xr3:uid="{8ADB0B3F-4E7A-47D6-83A1-A13ECB4AD480}" name="総数／事業所数" dataCellStyle="桁区切り"/>
    <tableColumn id="11" xr3:uid="{A0831EE5-1B61-48A4-99E0-3EE2AA5D8B35}" name="総数／構成比" dataDxfId="1556"/>
    <tableColumn id="12" xr3:uid="{A210A529-6BD9-4E10-9E5C-AEB3AB20BA04}" name="個人／事業所数" dataCellStyle="桁区切り"/>
    <tableColumn id="13" xr3:uid="{899E2B21-38DC-4755-8231-66CBC01702CE}" name="個人／構成比" dataDxfId="1555"/>
    <tableColumn id="14" xr3:uid="{26CFDF5E-CFC3-41B2-8DA5-2EBB4933FF15}" name="法人／事業所数" dataCellStyle="桁区切り"/>
    <tableColumn id="15" xr3:uid="{4207F7C8-75D4-4D5E-A25C-F3FF1155CB19}" name="法人／構成比" dataDxfId="1554"/>
    <tableColumn id="16" xr3:uid="{053FEA5D-A136-4C69-A33E-6139A28326BF}" name="法人以外の団体／事業所数" dataCellStyle="桁区切り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6D302953-9924-4A14-82F7-6AD0C55E848F}" name="LTBL_01406" displayName="LTBL_01406" ref="B4:I20" totalsRowCount="1">
  <autoFilter ref="B4:I19" xr:uid="{6D302953-9924-4A14-82F7-6AD0C55E848F}"/>
  <tableColumns count="8">
    <tableColumn id="9" xr3:uid="{CB138F36-3B43-4019-AB46-C33FA46CB7A5}" name="産業大分類" totalsRowLabel="合計" totalsRowDxfId="1553"/>
    <tableColumn id="10" xr3:uid="{1849056B-77C3-4270-A520-C8108453441A}" name="総数／事業所数" totalsRowFunction="custom" totalsRowDxfId="1552" dataCellStyle="桁区切り" totalsRowCellStyle="桁区切り">
      <totalsRowFormula>SUM(LTBL_01406[総数／事業所数])</totalsRowFormula>
    </tableColumn>
    <tableColumn id="11" xr3:uid="{CDE003D6-D3D9-4471-80D6-8F6FB7C88869}" name="総数／構成比" dataDxfId="1551"/>
    <tableColumn id="12" xr3:uid="{C03BAA6A-BB5F-4D71-8F19-F57B9BAA9DEA}" name="個人／事業所数" totalsRowFunction="sum" totalsRowDxfId="1550" dataCellStyle="桁区切り" totalsRowCellStyle="桁区切り"/>
    <tableColumn id="13" xr3:uid="{CD19F1C3-D8BD-4F3F-AD67-8A41F1936140}" name="個人／構成比" dataDxfId="1549"/>
    <tableColumn id="14" xr3:uid="{EAA1C78B-8C09-4119-9F9F-921283F720D9}" name="法人／事業所数" totalsRowFunction="sum" totalsRowDxfId="1548" dataCellStyle="桁区切り" totalsRowCellStyle="桁区切り"/>
    <tableColumn id="15" xr3:uid="{24C0F407-7139-4D85-B2EC-8FCE6B77AB2B}" name="法人／構成比" dataDxfId="1547"/>
    <tableColumn id="16" xr3:uid="{09FFA5BB-26B5-439E-961F-063BEBF3E718}" name="法人以外の団体／事業所数" totalsRowFunction="sum" totalsRowDxfId="1546" dataCellStyle="桁区切り" totalsRowCellStyle="桁区切り"/>
  </tableColumns>
  <tableStyleInfo name="TableStyleMedium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E0A65A50-3DC6-41E1-8BD5-8F06834B47DF}" name="M_TABLE_01406" displayName="M_TABLE_01406" ref="B23:I52" totalsRowShown="0">
  <autoFilter ref="B23:I52" xr:uid="{E0A65A50-3DC6-41E1-8BD5-8F06834B47DF}"/>
  <tableColumns count="8">
    <tableColumn id="9" xr3:uid="{6549F57E-3895-468D-B26E-16BFFE859DEB}" name="産業中分類上位２０"/>
    <tableColumn id="10" xr3:uid="{CF5CED6A-34B6-409B-B1E3-F191CB9D7377}" name="総数／事業所数" dataCellStyle="桁区切り"/>
    <tableColumn id="11" xr3:uid="{D74DAFB2-D34E-4299-ADFC-EF0F403716AC}" name="総数／構成比" dataDxfId="1545"/>
    <tableColumn id="12" xr3:uid="{C5D3BB02-59D9-47AA-B29A-26FCC58369AF}" name="個人／事業所数" dataCellStyle="桁区切り"/>
    <tableColumn id="13" xr3:uid="{090A1BC6-E67A-4325-969E-A6BB3ECFF748}" name="個人／構成比" dataDxfId="1544"/>
    <tableColumn id="14" xr3:uid="{D8BDADBB-B6C5-4B59-8F96-5C783C97464B}" name="法人／事業所数" dataCellStyle="桁区切り"/>
    <tableColumn id="15" xr3:uid="{4CE2EDCA-76EB-4903-B864-60725F365EE5}" name="法人／構成比" dataDxfId="1543"/>
    <tableColumn id="16" xr3:uid="{DEA966AD-E6CD-4994-9994-7B737457183E}" name="法人以外の団体／事業所数" dataCellStyle="桁区切り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DDBCA571-4D9F-49D1-A8F8-75A370CAE2A3}" name="S_TABLE_01106" displayName="S_TABLE_01106" ref="B46:I66" totalsRowShown="0">
  <autoFilter ref="B46:I66" xr:uid="{DDBCA571-4D9F-49D1-A8F8-75A370CAE2A3}"/>
  <tableColumns count="8">
    <tableColumn id="9" xr3:uid="{B337CDE6-0E35-4A46-B73F-A3D215220818}" name="産業小分類上位２０"/>
    <tableColumn id="10" xr3:uid="{57762779-B63F-4ED8-BCB3-EE8FE0E5A5C7}" name="総数／事業所数" dataCellStyle="桁区切り"/>
    <tableColumn id="11" xr3:uid="{105348D3-C348-4B3C-94DC-0C6007C671C5}" name="総数／構成比" dataDxfId="2550"/>
    <tableColumn id="12" xr3:uid="{0586D233-DE99-460E-9D24-6C16EB0A4D75}" name="個人／事業所数" dataCellStyle="桁区切り"/>
    <tableColumn id="13" xr3:uid="{E237230E-A9EF-436A-8327-4F436DB6A898}" name="個人／構成比" dataDxfId="2549"/>
    <tableColumn id="14" xr3:uid="{7D56089E-EEBA-4369-B0DA-D2F48944A24C}" name="法人／事業所数" dataCellStyle="桁区切り"/>
    <tableColumn id="15" xr3:uid="{F1ED7365-CAAB-4D98-8F70-F8ACA44F8ED0}" name="法人／構成比" dataDxfId="2548"/>
    <tableColumn id="16" xr3:uid="{CF55EDE2-1D0C-4AAA-9EDE-1B40F6790CD9}" name="法人以外の団体／事業所数" dataCellStyle="桁区切り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4280A650-F4B9-48BE-B83B-6F45AFB103F9}" name="S_TABLE_01406" displayName="S_TABLE_01406" ref="B55:I83" totalsRowShown="0">
  <autoFilter ref="B55:I83" xr:uid="{4280A650-F4B9-48BE-B83B-6F45AFB103F9}"/>
  <tableColumns count="8">
    <tableColumn id="9" xr3:uid="{CD74C800-6502-4588-9BB0-0D6EAF50522A}" name="産業小分類上位２０"/>
    <tableColumn id="10" xr3:uid="{94F4934A-1D9D-4BB1-B356-731E2B78BF93}" name="総数／事業所数" dataCellStyle="桁区切り"/>
    <tableColumn id="11" xr3:uid="{A7643A66-07EE-448B-AC62-EC4FE33B8FC2}" name="総数／構成比" dataDxfId="1542"/>
    <tableColumn id="12" xr3:uid="{54139781-8CFA-465B-9659-4928905E5586}" name="個人／事業所数" dataCellStyle="桁区切り"/>
    <tableColumn id="13" xr3:uid="{BC94BACD-6CD9-49ED-AB1D-6484D7F4B0FD}" name="個人／構成比" dataDxfId="1541"/>
    <tableColumn id="14" xr3:uid="{A2826A9E-419A-4599-8DC6-CE08F27EDC0D}" name="法人／事業所数" dataCellStyle="桁区切り"/>
    <tableColumn id="15" xr3:uid="{CDF55234-4EBD-47FC-BA48-6D2A132D5798}" name="法人／構成比" dataDxfId="1540"/>
    <tableColumn id="16" xr3:uid="{ED4F3465-23E7-4EF1-9F02-885C6460D1F2}" name="法人以外の団体／事業所数" dataCellStyle="桁区切り"/>
  </tableColumns>
  <tableStyleInfo name="TableStyleMedium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224EEF8B-F360-4EAA-9223-B6BF5A9D857C}" name="LTBL_01407" displayName="LTBL_01407" ref="B4:I20" totalsRowCount="1">
  <autoFilter ref="B4:I19" xr:uid="{224EEF8B-F360-4EAA-9223-B6BF5A9D857C}"/>
  <tableColumns count="8">
    <tableColumn id="9" xr3:uid="{D9E82751-48BD-4B8C-A4C8-F00328FA03B0}" name="産業大分類" totalsRowLabel="合計" totalsRowDxfId="1539"/>
    <tableColumn id="10" xr3:uid="{42E6ACD3-725F-40FE-A427-8725F4C1F91C}" name="総数／事業所数" totalsRowFunction="custom" totalsRowDxfId="1538" dataCellStyle="桁区切り" totalsRowCellStyle="桁区切り">
      <totalsRowFormula>SUM(LTBL_01407[総数／事業所数])</totalsRowFormula>
    </tableColumn>
    <tableColumn id="11" xr3:uid="{FBA80566-7A6E-4C3C-8075-4D415504BC7F}" name="総数／構成比" dataDxfId="1537"/>
    <tableColumn id="12" xr3:uid="{823F402C-8BE4-4A58-99F3-6A62C6878690}" name="個人／事業所数" totalsRowFunction="sum" totalsRowDxfId="1536" dataCellStyle="桁区切り" totalsRowCellStyle="桁区切り"/>
    <tableColumn id="13" xr3:uid="{FD72E411-8C66-4C9A-8B5A-A91C30F9BB87}" name="個人／構成比" dataDxfId="1535"/>
    <tableColumn id="14" xr3:uid="{B607941B-D7F2-4222-A25D-267229DFD2CF}" name="法人／事業所数" totalsRowFunction="sum" totalsRowDxfId="1534" dataCellStyle="桁区切り" totalsRowCellStyle="桁区切り"/>
    <tableColumn id="15" xr3:uid="{2CE252F1-85D1-49BC-8085-1EA2ED635B7D}" name="法人／構成比" dataDxfId="1533"/>
    <tableColumn id="16" xr3:uid="{B47F6EA4-6B58-445B-A5BA-D68B4CCCDEAA}" name="法人以外の団体／事業所数" totalsRowFunction="sum" totalsRowDxfId="1532" dataCellStyle="桁区切り" totalsRowCellStyle="桁区切り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4CFA970B-F9AA-4F69-B1C9-99EC50A8DD73}" name="M_TABLE_01407" displayName="M_TABLE_01407" ref="B23:I48" totalsRowShown="0">
  <autoFilter ref="B23:I48" xr:uid="{4CFA970B-F9AA-4F69-B1C9-99EC50A8DD73}"/>
  <tableColumns count="8">
    <tableColumn id="9" xr3:uid="{1AEA4E3D-53E1-45ED-9AE2-7C0BBEAD154E}" name="産業中分類上位２０"/>
    <tableColumn id="10" xr3:uid="{8AD9D438-556B-4C2F-B0C6-B5FC16EC61DC}" name="総数／事業所数" dataCellStyle="桁区切り"/>
    <tableColumn id="11" xr3:uid="{19426338-A1EE-4CA7-A0A4-A8278A2B2225}" name="総数／構成比" dataDxfId="1531"/>
    <tableColumn id="12" xr3:uid="{6D27BA7C-AB2B-4A9C-8735-50AEC2453754}" name="個人／事業所数" dataCellStyle="桁区切り"/>
    <tableColumn id="13" xr3:uid="{8824F33D-19D2-400D-B40B-1DEA651B130E}" name="個人／構成比" dataDxfId="1530"/>
    <tableColumn id="14" xr3:uid="{15C02676-319B-4722-8B7D-B82E76189BB3}" name="法人／事業所数" dataCellStyle="桁区切り"/>
    <tableColumn id="15" xr3:uid="{56DC486F-3A1E-49E9-814D-CD8243F775CD}" name="法人／構成比" dataDxfId="1529"/>
    <tableColumn id="16" xr3:uid="{7D328FD1-17E5-4097-8658-31691380D92F}" name="法人以外の団体／事業所数" dataCellStyle="桁区切り"/>
  </tableColumns>
  <tableStyleInfo name="TableStyleMedium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EA3434CC-7F88-4E96-9DE5-8A780B9D2B43}" name="S_TABLE_01407" displayName="S_TABLE_01407" ref="B51:I97" totalsRowShown="0">
  <autoFilter ref="B51:I97" xr:uid="{EA3434CC-7F88-4E96-9DE5-8A780B9D2B43}"/>
  <tableColumns count="8">
    <tableColumn id="9" xr3:uid="{3FE9823F-3234-4E6D-A272-F2224895ADA1}" name="産業小分類上位２０"/>
    <tableColumn id="10" xr3:uid="{36A6830D-1B35-4398-B403-7D5395761E5C}" name="総数／事業所数" dataCellStyle="桁区切り"/>
    <tableColumn id="11" xr3:uid="{54A99EBD-F4E8-4F0A-8B85-B1B580734C66}" name="総数／構成比" dataDxfId="1528"/>
    <tableColumn id="12" xr3:uid="{CA801152-BFAE-46EE-9516-0A4242277D1C}" name="個人／事業所数" dataCellStyle="桁区切り"/>
    <tableColumn id="13" xr3:uid="{B0E78095-7E24-4E68-B912-D6040DDA43B8}" name="個人／構成比" dataDxfId="1527"/>
    <tableColumn id="14" xr3:uid="{340B9D47-96F2-4146-8D96-7AF56B140687}" name="法人／事業所数" dataCellStyle="桁区切り"/>
    <tableColumn id="15" xr3:uid="{4AE18F72-02DF-4CB6-8F9B-A88BBBEB8DA7}" name="法人／構成比" dataDxfId="1526"/>
    <tableColumn id="16" xr3:uid="{7E57205E-0E92-411E-8839-A6EBF1497A5E}" name="法人以外の団体／事業所数" dataCellStyle="桁区切り"/>
  </tableColumns>
  <tableStyleInfo name="TableStyleMedium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D42A317D-6C3E-4352-A904-067097B55F2D}" name="LTBL_01408" displayName="LTBL_01408" ref="B4:I20" totalsRowCount="1">
  <autoFilter ref="B4:I19" xr:uid="{D42A317D-6C3E-4352-A904-067097B55F2D}"/>
  <tableColumns count="8">
    <tableColumn id="9" xr3:uid="{788CF2B4-9C4F-4B81-B699-FDD80772C224}" name="産業大分類" totalsRowLabel="合計" totalsRowDxfId="1525"/>
    <tableColumn id="10" xr3:uid="{6A4ADCC4-3AD8-4EF2-BA32-1F3820A62F0B}" name="総数／事業所数" totalsRowFunction="custom" totalsRowDxfId="1524" dataCellStyle="桁区切り" totalsRowCellStyle="桁区切り">
      <totalsRowFormula>SUM(LTBL_01408[総数／事業所数])</totalsRowFormula>
    </tableColumn>
    <tableColumn id="11" xr3:uid="{85F3B60E-C390-4E6B-B926-EF6ABF2D5542}" name="総数／構成比" dataDxfId="1523"/>
    <tableColumn id="12" xr3:uid="{040CA6D9-3C67-4538-847F-18F0372864EE}" name="個人／事業所数" totalsRowFunction="sum" totalsRowDxfId="1522" dataCellStyle="桁区切り" totalsRowCellStyle="桁区切り"/>
    <tableColumn id="13" xr3:uid="{2431328C-6A3C-43F8-BA42-519CC0F6049D}" name="個人／構成比" dataDxfId="1521"/>
    <tableColumn id="14" xr3:uid="{234F2C8C-D3BE-4CB0-B542-122683D53F42}" name="法人／事業所数" totalsRowFunction="sum" totalsRowDxfId="1520" dataCellStyle="桁区切り" totalsRowCellStyle="桁区切り"/>
    <tableColumn id="15" xr3:uid="{838D15E7-31CC-469D-BB9A-8E3A0559ADE7}" name="法人／構成比" dataDxfId="1519"/>
    <tableColumn id="16" xr3:uid="{DB7F6E3F-BEDD-4C7D-95D5-5CA6BA5F828C}" name="法人以外の団体／事業所数" totalsRowFunction="sum" totalsRowDxfId="1518" dataCellStyle="桁区切り" totalsRowCellStyle="桁区切り"/>
  </tableColumns>
  <tableStyleInfo name="TableStyleMedium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8568041F-B80C-4E08-A916-1E24D54FEE6F}" name="M_TABLE_01408" displayName="M_TABLE_01408" ref="B23:I45" totalsRowShown="0">
  <autoFilter ref="B23:I45" xr:uid="{8568041F-B80C-4E08-A916-1E24D54FEE6F}"/>
  <tableColumns count="8">
    <tableColumn id="9" xr3:uid="{A302FD95-7421-4161-A7AE-6A7984CFF245}" name="産業中分類上位２０"/>
    <tableColumn id="10" xr3:uid="{3819B2C1-3154-493D-9723-AC5DE7EE878D}" name="総数／事業所数" dataCellStyle="桁区切り"/>
    <tableColumn id="11" xr3:uid="{97915DB3-7CCF-4D24-A41B-1FB6BD9E503F}" name="総数／構成比" dataDxfId="1517"/>
    <tableColumn id="12" xr3:uid="{4C9CA221-3AEA-4AC7-9387-D768BBB0CAC8}" name="個人／事業所数" dataCellStyle="桁区切り"/>
    <tableColumn id="13" xr3:uid="{D68568DE-CA7A-482F-AF49-E8262E00B1CC}" name="個人／構成比" dataDxfId="1516"/>
    <tableColumn id="14" xr3:uid="{383FE450-9C08-4B37-ACA4-83F2EFC43ACB}" name="法人／事業所数" dataCellStyle="桁区切り"/>
    <tableColumn id="15" xr3:uid="{FB8B2E16-4C8F-4E30-B4D0-890EF9E84DC4}" name="法人／構成比" dataDxfId="1515"/>
    <tableColumn id="16" xr3:uid="{BC95AF92-5206-425B-96BC-2D51D03ABAFD}" name="法人以外の団体／事業所数" dataCellStyle="桁区切り"/>
  </tableColumns>
  <tableStyleInfo name="TableStyleMedium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7A1998CE-1122-40B3-92E9-B8CCFA320771}" name="S_TABLE_01408" displayName="S_TABLE_01408" ref="B48:I70" totalsRowShown="0">
  <autoFilter ref="B48:I70" xr:uid="{7A1998CE-1122-40B3-92E9-B8CCFA320771}"/>
  <tableColumns count="8">
    <tableColumn id="9" xr3:uid="{CC0FD58A-7DA6-4EFB-8171-6FAC5CE49EFE}" name="産業小分類上位２０"/>
    <tableColumn id="10" xr3:uid="{693C3C37-6657-49E6-95B0-E654CB9D65B1}" name="総数／事業所数" dataCellStyle="桁区切り"/>
    <tableColumn id="11" xr3:uid="{007A7062-FD46-4501-A96F-DA6FFA1B57C0}" name="総数／構成比" dataDxfId="1514"/>
    <tableColumn id="12" xr3:uid="{E2F75199-3D42-4629-977C-38F286A454E6}" name="個人／事業所数" dataCellStyle="桁区切り"/>
    <tableColumn id="13" xr3:uid="{D4EAA387-A7BD-46FD-ADAF-AB1BB234D202}" name="個人／構成比" dataDxfId="1513"/>
    <tableColumn id="14" xr3:uid="{FBCD9C2A-4A25-4E25-8031-A5EF061CDDD7}" name="法人／事業所数" dataCellStyle="桁区切り"/>
    <tableColumn id="15" xr3:uid="{80DAEBCC-3F08-465D-9A6C-0965A6EE1672}" name="法人／構成比" dataDxfId="1512"/>
    <tableColumn id="16" xr3:uid="{1FDD0710-A19E-4049-8C11-310ECB29E81D}" name="法人以外の団体／事業所数" dataCellStyle="桁区切り"/>
  </tableColumns>
  <tableStyleInfo name="TableStyleMedium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D16927C9-0479-4E9C-9F96-917CE474CF51}" name="LTBL_01409" displayName="LTBL_01409" ref="B4:I20" totalsRowCount="1">
  <autoFilter ref="B4:I19" xr:uid="{D16927C9-0479-4E9C-9F96-917CE474CF51}"/>
  <tableColumns count="8">
    <tableColumn id="9" xr3:uid="{173F1615-AE1C-47C0-BFCC-8065D5ABE748}" name="産業大分類" totalsRowLabel="合計" totalsRowDxfId="1511"/>
    <tableColumn id="10" xr3:uid="{FFCB18DA-CB7C-428E-9064-8A394CCC1980}" name="総数／事業所数" totalsRowFunction="custom" totalsRowDxfId="1510" dataCellStyle="桁区切り" totalsRowCellStyle="桁区切り">
      <totalsRowFormula>SUM(LTBL_01409[総数／事業所数])</totalsRowFormula>
    </tableColumn>
    <tableColumn id="11" xr3:uid="{986F23A8-4EC8-4A98-BA7C-0DE47DF86C16}" name="総数／構成比" dataDxfId="1509"/>
    <tableColumn id="12" xr3:uid="{A6BD8CEE-99BB-454B-A2B2-2EAE0CB65415}" name="個人／事業所数" totalsRowFunction="sum" totalsRowDxfId="1508" dataCellStyle="桁区切り" totalsRowCellStyle="桁区切り"/>
    <tableColumn id="13" xr3:uid="{E645FAD7-EB6E-41E4-BD5F-93432332BE38}" name="個人／構成比" dataDxfId="1507"/>
    <tableColumn id="14" xr3:uid="{60E1F3E4-C6E4-4E7E-91F1-B73F1A229733}" name="法人／事業所数" totalsRowFunction="sum" totalsRowDxfId="1506" dataCellStyle="桁区切り" totalsRowCellStyle="桁区切り"/>
    <tableColumn id="15" xr3:uid="{A9F041E8-6E74-4C19-BAC9-6DF1813555A1}" name="法人／構成比" dataDxfId="1505"/>
    <tableColumn id="16" xr3:uid="{4D9B964F-AEF0-4A2F-A192-77A501E693E6}" name="法人以外の団体／事業所数" totalsRowFunction="sum" totalsRowDxfId="1504" dataCellStyle="桁区切り" totalsRowCellStyle="桁区切り"/>
  </tableColumns>
  <tableStyleInfo name="TableStyleMedium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2432EF6D-48A9-4E8E-881A-FFFCF356C337}" name="M_TABLE_01409" displayName="M_TABLE_01409" ref="B23:I38" totalsRowShown="0">
  <autoFilter ref="B23:I38" xr:uid="{2432EF6D-48A9-4E8E-881A-FFFCF356C337}"/>
  <tableColumns count="8">
    <tableColumn id="9" xr3:uid="{4C5FCE94-0502-4353-89E2-BC9DB1F15501}" name="産業中分類上位２０"/>
    <tableColumn id="10" xr3:uid="{F4C0490B-E89A-4DBC-84A5-D6C18D10F193}" name="総数／事業所数" dataCellStyle="桁区切り"/>
    <tableColumn id="11" xr3:uid="{5D6D7015-ECC3-471A-9DCD-3293F78DBB04}" name="総数／構成比" dataDxfId="1503"/>
    <tableColumn id="12" xr3:uid="{AFB03DA9-1741-44A8-9406-C56F78601DA7}" name="個人／事業所数" dataCellStyle="桁区切り"/>
    <tableColumn id="13" xr3:uid="{1A192843-6FB2-443B-B3E8-B0E7640F558F}" name="個人／構成比" dataDxfId="1502"/>
    <tableColumn id="14" xr3:uid="{36C0FE8D-FEE7-43C9-9DEB-F6675276553B}" name="法人／事業所数" dataCellStyle="桁区切り"/>
    <tableColumn id="15" xr3:uid="{8915830E-2911-494C-BEF0-F24892E9BC36}" name="法人／構成比" dataDxfId="1501"/>
    <tableColumn id="16" xr3:uid="{0F3C90D5-DF44-4E0D-963E-58B1919ADEB1}" name="法人以外の団体／事業所数" dataCellStyle="桁区切り"/>
  </tableColumns>
  <tableStyleInfo name="TableStyleMedium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3E1904FA-2BB3-413D-B291-2F0E5BEB13E5}" name="S_TABLE_01409" displayName="S_TABLE_01409" ref="B41:I60" totalsRowShown="0">
  <autoFilter ref="B41:I60" xr:uid="{3E1904FA-2BB3-413D-B291-2F0E5BEB13E5}"/>
  <tableColumns count="8">
    <tableColumn id="9" xr3:uid="{112404AE-3EB1-4E3D-BBF0-B2E675D1774F}" name="産業小分類上位２０"/>
    <tableColumn id="10" xr3:uid="{42398B06-AA54-4DDE-8088-13C729D7698F}" name="総数／事業所数" dataCellStyle="桁区切り"/>
    <tableColumn id="11" xr3:uid="{DFCA1497-D835-4B33-9545-48CA49839AF0}" name="総数／構成比" dataDxfId="1500"/>
    <tableColumn id="12" xr3:uid="{8BD9EB2E-1EDA-49E5-81A0-BCFE42C7FC82}" name="個人／事業所数" dataCellStyle="桁区切り"/>
    <tableColumn id="13" xr3:uid="{2E2FC903-26E2-42F2-B4AB-F311090123A3}" name="個人／構成比" dataDxfId="1499"/>
    <tableColumn id="14" xr3:uid="{CB5CFCC8-8320-4093-999D-5B13CF378467}" name="法人／事業所数" dataCellStyle="桁区切り"/>
    <tableColumn id="15" xr3:uid="{656FF417-416E-42C0-84E4-5B0FC39EF112}" name="法人／構成比" dataDxfId="1498"/>
    <tableColumn id="16" xr3:uid="{18520B83-431D-4859-AC5C-3065DD59102E}" name="法人以外の団体／事業所数" dataCellStyle="桁区切り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AEB56E28-35CF-4257-9E04-3A63AE65E7EC}" name="LTBL_01107" displayName="LTBL_01107" ref="B4:I20" totalsRowCount="1">
  <autoFilter ref="B4:I19" xr:uid="{AEB56E28-35CF-4257-9E04-3A63AE65E7EC}"/>
  <tableColumns count="8">
    <tableColumn id="9" xr3:uid="{15D9A329-EBFB-408D-8FA7-F2E1A86D2F15}" name="産業大分類" totalsRowLabel="合計" totalsRowDxfId="2547"/>
    <tableColumn id="10" xr3:uid="{03A06629-20C7-4CD6-9617-1C446D2D5BA1}" name="総数／事業所数" totalsRowFunction="custom" totalsRowDxfId="2546" dataCellStyle="桁区切り" totalsRowCellStyle="桁区切り">
      <totalsRowFormula>SUM(LTBL_01107[総数／事業所数])</totalsRowFormula>
    </tableColumn>
    <tableColumn id="11" xr3:uid="{E946BF7C-9F9C-48F2-B90E-947F25F05F5C}" name="総数／構成比" dataDxfId="2545"/>
    <tableColumn id="12" xr3:uid="{216C40DA-8E81-4307-AE76-28E821A75510}" name="個人／事業所数" totalsRowFunction="sum" totalsRowDxfId="2544" dataCellStyle="桁区切り" totalsRowCellStyle="桁区切り"/>
    <tableColumn id="13" xr3:uid="{DC47E49F-346B-4DC5-AE9E-2383A24335D6}" name="個人／構成比" dataDxfId="2543"/>
    <tableColumn id="14" xr3:uid="{A82D50DD-153C-4937-B804-6D2E8CC38728}" name="法人／事業所数" totalsRowFunction="sum" totalsRowDxfId="2542" dataCellStyle="桁区切り" totalsRowCellStyle="桁区切り"/>
    <tableColumn id="15" xr3:uid="{CBD212BA-53BF-4ACE-9C1B-8A2CE3E0DFFC}" name="法人／構成比" dataDxfId="2541"/>
    <tableColumn id="16" xr3:uid="{DE996727-0BD1-4601-A8D8-1C0158550BB5}" name="法人以外の団体／事業所数" totalsRowFunction="sum" totalsRowDxfId="2540" dataCellStyle="桁区切り" totalsRowCellStyle="桁区切り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18E864BE-4A25-47B0-BEE0-8CCF2FB81150}" name="LTBL_01423" displayName="LTBL_01423" ref="B4:I20" totalsRowCount="1">
  <autoFilter ref="B4:I19" xr:uid="{18E864BE-4A25-47B0-BEE0-8CCF2FB81150}"/>
  <tableColumns count="8">
    <tableColumn id="9" xr3:uid="{D78C8A9D-65BC-4465-A5D5-CCE574E24857}" name="産業大分類" totalsRowLabel="合計" totalsRowDxfId="1497"/>
    <tableColumn id="10" xr3:uid="{64B45224-AA15-401B-A96E-785763F5AEE4}" name="総数／事業所数" totalsRowFunction="custom" totalsRowDxfId="1496" dataCellStyle="桁区切り" totalsRowCellStyle="桁区切り">
      <totalsRowFormula>SUM(LTBL_01423[総数／事業所数])</totalsRowFormula>
    </tableColumn>
    <tableColumn id="11" xr3:uid="{1FFBB9A9-2302-4600-B43F-85BCFFA93880}" name="総数／構成比" dataDxfId="1495"/>
    <tableColumn id="12" xr3:uid="{D20996DC-6A77-4D3B-9529-ECB63FC5B27A}" name="個人／事業所数" totalsRowFunction="sum" totalsRowDxfId="1494" dataCellStyle="桁区切り" totalsRowCellStyle="桁区切り"/>
    <tableColumn id="13" xr3:uid="{12741B1C-C751-443A-A0F8-1A4B21641C7F}" name="個人／構成比" dataDxfId="1493"/>
    <tableColumn id="14" xr3:uid="{D1380DCD-43B6-4C75-A38B-9C568661DADE}" name="法人／事業所数" totalsRowFunction="sum" totalsRowDxfId="1492" dataCellStyle="桁区切り" totalsRowCellStyle="桁区切り"/>
    <tableColumn id="15" xr3:uid="{05B4ACC5-8F07-4306-BB05-5FB08718A24C}" name="法人／構成比" dataDxfId="1491"/>
    <tableColumn id="16" xr3:uid="{CA8351BF-8A23-4099-8D32-97AE928BBA5C}" name="法人以外の団体／事業所数" totalsRowFunction="sum" totalsRowDxfId="1490" dataCellStyle="桁区切り" totalsRowCellStyle="桁区切り"/>
  </tableColumns>
  <tableStyleInfo name="TableStyleMedium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654E5063-DB4D-41E0-B527-AD342CCBD0FB}" name="M_TABLE_01423" displayName="M_TABLE_01423" ref="B23:I46" totalsRowShown="0">
  <autoFilter ref="B23:I46" xr:uid="{654E5063-DB4D-41E0-B527-AD342CCBD0FB}"/>
  <tableColumns count="8">
    <tableColumn id="9" xr3:uid="{65951C2D-4A04-4884-B688-4F3E332661B0}" name="産業中分類上位２０"/>
    <tableColumn id="10" xr3:uid="{B8EE6953-2952-4C1C-9453-F6CC0C83DDF3}" name="総数／事業所数" dataCellStyle="桁区切り"/>
    <tableColumn id="11" xr3:uid="{19A69321-9729-47AF-B06F-7ECC33FC71D6}" name="総数／構成比" dataDxfId="1489"/>
    <tableColumn id="12" xr3:uid="{B4D55811-292C-4E4B-9EC4-4E157A393388}" name="個人／事業所数" dataCellStyle="桁区切り"/>
    <tableColumn id="13" xr3:uid="{6B96F5A0-F9BA-4A5F-860B-8F55A7118377}" name="個人／構成比" dataDxfId="1488"/>
    <tableColumn id="14" xr3:uid="{66DD5CE9-B9A7-4A89-82DA-FF4B4286CF12}" name="法人／事業所数" dataCellStyle="桁区切り"/>
    <tableColumn id="15" xr3:uid="{6EBA9353-2045-4C6D-9C4D-8794CF1F9F6D}" name="法人／構成比" dataDxfId="1487"/>
    <tableColumn id="16" xr3:uid="{53067FF6-C1EB-45CA-AE8E-ABEA2B528A58}" name="法人以外の団体／事業所数" dataCellStyle="桁区切り"/>
  </tableColumns>
  <tableStyleInfo name="TableStyleMedium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A0D29168-1230-44D0-A150-A368B7E43100}" name="S_TABLE_01423" displayName="S_TABLE_01423" ref="B49:I79" totalsRowShown="0">
  <autoFilter ref="B49:I79" xr:uid="{A0D29168-1230-44D0-A150-A368B7E43100}"/>
  <tableColumns count="8">
    <tableColumn id="9" xr3:uid="{C582A734-4749-4145-A09E-EF8E4979464F}" name="産業小分類上位２０"/>
    <tableColumn id="10" xr3:uid="{2303139F-4B3C-41EA-849C-C46560856BED}" name="総数／事業所数" dataCellStyle="桁区切り"/>
    <tableColumn id="11" xr3:uid="{96247EB3-37DA-48DB-9916-46ED144E3DD9}" name="総数／構成比" dataDxfId="1486"/>
    <tableColumn id="12" xr3:uid="{2934FACA-ED14-481F-A76E-BD32EA7E12C7}" name="個人／事業所数" dataCellStyle="桁区切り"/>
    <tableColumn id="13" xr3:uid="{D5F6204E-2446-42DD-9439-D5733E146F4F}" name="個人／構成比" dataDxfId="1485"/>
    <tableColumn id="14" xr3:uid="{C755F32A-56EB-44FC-8658-C5CF356EBEC5}" name="法人／事業所数" dataCellStyle="桁区切り"/>
    <tableColumn id="15" xr3:uid="{DB574AA8-209F-4B5E-A89C-E5C7FF9A82C1}" name="法人／構成比" dataDxfId="1484"/>
    <tableColumn id="16" xr3:uid="{5EAA73E3-C6B5-4EDF-94E3-F699177A5917}" name="法人以外の団体／事業所数" dataCellStyle="桁区切り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41CF62F5-FBBE-45E0-B235-BD43793BC746}" name="LTBL_01424" displayName="LTBL_01424" ref="B4:I20" totalsRowCount="1">
  <autoFilter ref="B4:I19" xr:uid="{41CF62F5-FBBE-45E0-B235-BD43793BC746}"/>
  <tableColumns count="8">
    <tableColumn id="9" xr3:uid="{C57C3533-FCC6-4D7E-A363-58E079D35AAF}" name="産業大分類" totalsRowLabel="合計" totalsRowDxfId="1483"/>
    <tableColumn id="10" xr3:uid="{0FB8E9BA-BA43-4611-9B13-CC29D16D216E}" name="総数／事業所数" totalsRowFunction="custom" totalsRowDxfId="1482" dataCellStyle="桁区切り" totalsRowCellStyle="桁区切り">
      <totalsRowFormula>SUM(LTBL_01424[総数／事業所数])</totalsRowFormula>
    </tableColumn>
    <tableColumn id="11" xr3:uid="{0057B138-B533-4E8E-98F1-504A539DC007}" name="総数／構成比" dataDxfId="1481"/>
    <tableColumn id="12" xr3:uid="{835E1812-C0B5-400A-84D8-D4C2A7375B76}" name="個人／事業所数" totalsRowFunction="sum" totalsRowDxfId="1480" dataCellStyle="桁区切り" totalsRowCellStyle="桁区切り"/>
    <tableColumn id="13" xr3:uid="{C30DE7DE-C27B-4480-BB91-42D0BB1D584D}" name="個人／構成比" dataDxfId="1479"/>
    <tableColumn id="14" xr3:uid="{82067398-B235-4965-A51B-98DBC317C8EB}" name="法人／事業所数" totalsRowFunction="sum" totalsRowDxfId="1478" dataCellStyle="桁区切り" totalsRowCellStyle="桁区切り"/>
    <tableColumn id="15" xr3:uid="{BE00E9FD-58F7-440E-A015-1D14E0E21155}" name="法人／構成比" dataDxfId="1477"/>
    <tableColumn id="16" xr3:uid="{64479838-ECBC-4650-9C5D-AD2098EBFCAF}" name="法人以外の団体／事業所数" totalsRowFunction="sum" totalsRowDxfId="1476" dataCellStyle="桁区切り" totalsRowCellStyle="桁区切り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DC6AAB35-59EB-449E-91BE-EABB0ACC8B8A}" name="M_TABLE_01424" displayName="M_TABLE_01424" ref="B23:I45" totalsRowShown="0">
  <autoFilter ref="B23:I45" xr:uid="{DC6AAB35-59EB-449E-91BE-EABB0ACC8B8A}"/>
  <tableColumns count="8">
    <tableColumn id="9" xr3:uid="{7901B5AD-77C2-4323-AFBA-15AD0C0E896D}" name="産業中分類上位２０"/>
    <tableColumn id="10" xr3:uid="{0B967306-578B-4C3A-8E9E-820FF3146A0B}" name="総数／事業所数" dataCellStyle="桁区切り"/>
    <tableColumn id="11" xr3:uid="{EB56718F-C53A-42A0-848D-A7D42413D310}" name="総数／構成比" dataDxfId="1475"/>
    <tableColumn id="12" xr3:uid="{9337FFA8-6092-4957-A458-8BAF3C070605}" name="個人／事業所数" dataCellStyle="桁区切り"/>
    <tableColumn id="13" xr3:uid="{DCF9A72B-BCBA-4954-AB07-7B5FFC6D950B}" name="個人／構成比" dataDxfId="1474"/>
    <tableColumn id="14" xr3:uid="{FBCA0284-08B4-4A27-A9E0-9219C753FDCE}" name="法人／事業所数" dataCellStyle="桁区切り"/>
    <tableColumn id="15" xr3:uid="{D06CA723-DCC4-433E-BD29-4AF715A476E7}" name="法人／構成比" dataDxfId="1473"/>
    <tableColumn id="16" xr3:uid="{870DC982-1087-4A1F-B59F-703164DC7FBC}" name="法人以外の団体／事業所数" dataCellStyle="桁区切り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B5DB6FE2-FE06-4BD5-80BC-2097CE0051D1}" name="S_TABLE_01424" displayName="S_TABLE_01424" ref="B48:I76" totalsRowShown="0">
  <autoFilter ref="B48:I76" xr:uid="{B5DB6FE2-FE06-4BD5-80BC-2097CE0051D1}"/>
  <tableColumns count="8">
    <tableColumn id="9" xr3:uid="{7CE46D40-2A75-4C22-8CF9-34BFAAC72D77}" name="産業小分類上位２０"/>
    <tableColumn id="10" xr3:uid="{CB27F041-CA07-4BB4-AA36-49A0916A2169}" name="総数／事業所数" dataCellStyle="桁区切り"/>
    <tableColumn id="11" xr3:uid="{030E02FF-FFF0-49E6-85B7-A16661842AB7}" name="総数／構成比" dataDxfId="1472"/>
    <tableColumn id="12" xr3:uid="{DA1C2A61-15FD-4A6D-99E4-8A758EDA836E}" name="個人／事業所数" dataCellStyle="桁区切り"/>
    <tableColumn id="13" xr3:uid="{04FB8B28-A34C-485F-9ADE-166B1CC2894A}" name="個人／構成比" dataDxfId="1471"/>
    <tableColumn id="14" xr3:uid="{93AA4271-DDD3-4581-B132-47CBC61746FA}" name="法人／事業所数" dataCellStyle="桁区切り"/>
    <tableColumn id="15" xr3:uid="{4B38A53C-E623-4F33-8F27-35B0D143AEB8}" name="法人／構成比" dataDxfId="1470"/>
    <tableColumn id="16" xr3:uid="{A4D07CF7-E8BF-4A45-944B-0F06F030907D}" name="法人以外の団体／事業所数" dataCellStyle="桁区切り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1261E2CB-37A9-42A1-A54A-FA0819DE3DEA}" name="LTBL_01425" displayName="LTBL_01425" ref="B4:I20" totalsRowCount="1">
  <autoFilter ref="B4:I19" xr:uid="{1261E2CB-37A9-42A1-A54A-FA0819DE3DEA}"/>
  <tableColumns count="8">
    <tableColumn id="9" xr3:uid="{47EC1F0C-09B0-452C-BDD9-B39AEAAB0C51}" name="産業大分類" totalsRowLabel="合計" totalsRowDxfId="1469"/>
    <tableColumn id="10" xr3:uid="{C3F9B101-7C4B-4D21-ACCB-E780E5E5CC4A}" name="総数／事業所数" totalsRowFunction="custom" totalsRowDxfId="1468" dataCellStyle="桁区切り" totalsRowCellStyle="桁区切り">
      <totalsRowFormula>SUM(LTBL_01425[総数／事業所数])</totalsRowFormula>
    </tableColumn>
    <tableColumn id="11" xr3:uid="{F47E3433-B68D-4C4F-91CD-214F125D0772}" name="総数／構成比" dataDxfId="1467"/>
    <tableColumn id="12" xr3:uid="{2BD1EADF-6354-48F4-A75D-4C148A9BFCC9}" name="個人／事業所数" totalsRowFunction="sum" totalsRowDxfId="1466" dataCellStyle="桁区切り" totalsRowCellStyle="桁区切り"/>
    <tableColumn id="13" xr3:uid="{EB207503-5405-446E-B15B-03C20FA0309D}" name="個人／構成比" dataDxfId="1465"/>
    <tableColumn id="14" xr3:uid="{44F959C0-B17B-4090-BC6A-152A4DC71FE1}" name="法人／事業所数" totalsRowFunction="sum" totalsRowDxfId="1464" dataCellStyle="桁区切り" totalsRowCellStyle="桁区切り"/>
    <tableColumn id="15" xr3:uid="{749462EF-8FEE-4522-99A9-E8854DDFFF3D}" name="法人／構成比" dataDxfId="1463"/>
    <tableColumn id="16" xr3:uid="{056E940A-9DF7-48DE-8DB9-0FCF35F41760}" name="法人以外の団体／事業所数" totalsRowFunction="sum" totalsRowDxfId="1462" dataCellStyle="桁区切り" totalsRowCellStyle="桁区切り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307FA3C-421E-426B-8E0C-38548999212A}" name="M_TABLE_01425" displayName="M_TABLE_01425" ref="B23:I46" totalsRowShown="0">
  <autoFilter ref="B23:I46" xr:uid="{0307FA3C-421E-426B-8E0C-38548999212A}"/>
  <tableColumns count="8">
    <tableColumn id="9" xr3:uid="{AAF8BD90-0CFA-4CB8-B256-4063ED956434}" name="産業中分類上位２０"/>
    <tableColumn id="10" xr3:uid="{598F0CC7-A84F-401E-8D15-594AAC4B40D0}" name="総数／事業所数" dataCellStyle="桁区切り"/>
    <tableColumn id="11" xr3:uid="{ED10A8EA-1C1C-406B-B8CB-9A6294E08FA3}" name="総数／構成比" dataDxfId="1461"/>
    <tableColumn id="12" xr3:uid="{8823192C-AC3B-4988-952A-05DA7AC4DB44}" name="個人／事業所数" dataCellStyle="桁区切り"/>
    <tableColumn id="13" xr3:uid="{64C0B5D8-0708-4F1A-9D2F-1A4B62C3432A}" name="個人／構成比" dataDxfId="1460"/>
    <tableColumn id="14" xr3:uid="{3CEFECD7-9A0A-4A7B-AC82-BB5E66B00F2E}" name="法人／事業所数" dataCellStyle="桁区切り"/>
    <tableColumn id="15" xr3:uid="{56F97E36-B9C0-4106-BFD8-83E0763F955F}" name="法人／構成比" dataDxfId="1459"/>
    <tableColumn id="16" xr3:uid="{E1677E87-BC9F-4D6D-86F2-EDF383AE0614}" name="法人以外の団体／事業所数" dataCellStyle="桁区切り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73010461-60EF-443C-ADD1-01FE629DBD57}" name="S_TABLE_01425" displayName="S_TABLE_01425" ref="B49:I93" totalsRowShown="0">
  <autoFilter ref="B49:I93" xr:uid="{73010461-60EF-443C-ADD1-01FE629DBD57}"/>
  <tableColumns count="8">
    <tableColumn id="9" xr3:uid="{EBB27DB1-9DBD-44EA-A33E-51489D51CD86}" name="産業小分類上位２０"/>
    <tableColumn id="10" xr3:uid="{251E452C-42D8-40CE-A99F-1A89C4E73104}" name="総数／事業所数" dataCellStyle="桁区切り"/>
    <tableColumn id="11" xr3:uid="{BF4CA1A3-2A9E-4157-BBF7-88529489E4E7}" name="総数／構成比" dataDxfId="1458"/>
    <tableColumn id="12" xr3:uid="{5A58909B-C066-4B45-8796-915A7885748D}" name="個人／事業所数" dataCellStyle="桁区切り"/>
    <tableColumn id="13" xr3:uid="{DD89FC1E-A9AE-479B-BEFA-CEAF00436644}" name="個人／構成比" dataDxfId="1457"/>
    <tableColumn id="14" xr3:uid="{A88CE8AD-AF3D-4BCF-A5BE-FA363926E969}" name="法人／事業所数" dataCellStyle="桁区切り"/>
    <tableColumn id="15" xr3:uid="{462E13A0-E76A-43CD-9959-47DDDB7C1E7D}" name="法人／構成比" dataDxfId="1456"/>
    <tableColumn id="16" xr3:uid="{8B067CA9-7C0F-4C66-A225-AC8CEED7CA65}" name="法人以外の団体／事業所数" dataCellStyle="桁区切り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89790135-91A0-4A01-8961-1F6932AA8711}" name="LTBL_01427" displayName="LTBL_01427" ref="B4:I20" totalsRowCount="1">
  <autoFilter ref="B4:I19" xr:uid="{89790135-91A0-4A01-8961-1F6932AA8711}"/>
  <tableColumns count="8">
    <tableColumn id="9" xr3:uid="{6EE35368-2ECD-44D2-92E0-F3C6D0ACF4F7}" name="産業大分類" totalsRowLabel="合計" totalsRowDxfId="1455"/>
    <tableColumn id="10" xr3:uid="{40F74FC1-149A-4D62-8A89-C3D3F3305A70}" name="総数／事業所数" totalsRowFunction="custom" totalsRowDxfId="1454" dataCellStyle="桁区切り" totalsRowCellStyle="桁区切り">
      <totalsRowFormula>SUM(LTBL_01427[総数／事業所数])</totalsRowFormula>
    </tableColumn>
    <tableColumn id="11" xr3:uid="{BFDC4818-1F70-4ED8-B602-25035FA3622A}" name="総数／構成比" dataDxfId="1453"/>
    <tableColumn id="12" xr3:uid="{C5D13724-73B7-485F-A9FD-FA5833313A35}" name="個人／事業所数" totalsRowFunction="sum" totalsRowDxfId="1452" dataCellStyle="桁区切り" totalsRowCellStyle="桁区切り"/>
    <tableColumn id="13" xr3:uid="{A5C7F70A-D024-42D4-82B4-9C8B6D6440C9}" name="個人／構成比" dataDxfId="1451"/>
    <tableColumn id="14" xr3:uid="{D0BAE240-5F9D-41E8-A2A3-8E409E348ADB}" name="法人／事業所数" totalsRowFunction="sum" totalsRowDxfId="1450" dataCellStyle="桁区切り" totalsRowCellStyle="桁区切り"/>
    <tableColumn id="15" xr3:uid="{4F057C38-03FB-4755-9BB7-CA0BBEADAD65}" name="法人／構成比" dataDxfId="1449"/>
    <tableColumn id="16" xr3:uid="{6CD9C1C0-136F-4CCB-98D1-D5614E47B64E}" name="法人以外の団体／事業所数" totalsRowFunction="sum" totalsRowDxfId="1448" dataCellStyle="桁区切り" totalsRowCellStyle="桁区切り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2D4D022-42CC-4A13-856C-C335BE331DEC}" name="M_TABLE_01107" displayName="M_TABLE_01107" ref="B23:I43" totalsRowShown="0">
  <autoFilter ref="B23:I43" xr:uid="{C2D4D022-42CC-4A13-856C-C335BE331DEC}"/>
  <tableColumns count="8">
    <tableColumn id="9" xr3:uid="{424A430F-A804-4EB4-8845-8BC7FF87B226}" name="産業中分類上位２０"/>
    <tableColumn id="10" xr3:uid="{5C925D98-A8BF-45EB-B4CB-2D8F3277BBEB}" name="総数／事業所数" dataCellStyle="桁区切り"/>
    <tableColumn id="11" xr3:uid="{26F5B647-A900-4CE8-A2C5-A268226932C0}" name="総数／構成比" dataDxfId="2539"/>
    <tableColumn id="12" xr3:uid="{6751D49A-2186-40AD-A6C9-CBEE897D85E0}" name="個人／事業所数" dataCellStyle="桁区切り"/>
    <tableColumn id="13" xr3:uid="{DE7207DE-4F3B-4DA0-9221-AB26A7BA0929}" name="個人／構成比" dataDxfId="2538"/>
    <tableColumn id="14" xr3:uid="{945BC57D-CC5B-4C0D-B470-5DEBCD1E16F0}" name="法人／事業所数" dataCellStyle="桁区切り"/>
    <tableColumn id="15" xr3:uid="{D6385BD0-45DB-472E-BF27-FFDB93155648}" name="法人／構成比" dataDxfId="2537"/>
    <tableColumn id="16" xr3:uid="{72D4886F-BB44-4D28-A2F6-B786AC053766}" name="法人以外の団体／事業所数" dataCellStyle="桁区切り"/>
  </tableColumns>
  <tableStyleInfo name="TableStyleMedium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9DD169E8-35E6-46E0-8B54-B76FE7EDBC76}" name="M_TABLE_01427" displayName="M_TABLE_01427" ref="B23:I44" totalsRowShown="0">
  <autoFilter ref="B23:I44" xr:uid="{9DD169E8-35E6-46E0-8B54-B76FE7EDBC76}"/>
  <tableColumns count="8">
    <tableColumn id="9" xr3:uid="{60F9D15F-FCDB-4F5B-A466-9C92DD2DCC5B}" name="産業中分類上位２０"/>
    <tableColumn id="10" xr3:uid="{3818A840-1222-4E47-AB46-5B20858BEBE3}" name="総数／事業所数" dataCellStyle="桁区切り"/>
    <tableColumn id="11" xr3:uid="{438E5872-71EB-4CDE-894C-83154E329028}" name="総数／構成比" dataDxfId="1447"/>
    <tableColumn id="12" xr3:uid="{8EFBDC4C-6684-4729-84B4-C1D9EE5F123E}" name="個人／事業所数" dataCellStyle="桁区切り"/>
    <tableColumn id="13" xr3:uid="{76F97CA8-90D2-4958-9EE2-FF3F2FDDF0B4}" name="個人／構成比" dataDxfId="1446"/>
    <tableColumn id="14" xr3:uid="{DFC989CF-A257-48C5-ACD4-A4B096EC2731}" name="法人／事業所数" dataCellStyle="桁区切り"/>
    <tableColumn id="15" xr3:uid="{CF5B750E-ED9C-480A-9FD5-FE4E75F7EE15}" name="法人／構成比" dataDxfId="1445"/>
    <tableColumn id="16" xr3:uid="{EBD43211-0140-46DD-A5A6-169FE9901A9B}" name="法人以外の団体／事業所数" dataCellStyle="桁区切り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D2BE2E60-219F-439B-B6E3-04B432231116}" name="S_TABLE_01427" displayName="S_TABLE_01427" ref="B47:I79" totalsRowShown="0">
  <autoFilter ref="B47:I79" xr:uid="{D2BE2E60-219F-439B-B6E3-04B432231116}"/>
  <tableColumns count="8">
    <tableColumn id="9" xr3:uid="{F710734C-BCF9-4A3C-85A7-A69FE949F12B}" name="産業小分類上位２０"/>
    <tableColumn id="10" xr3:uid="{7FD6A176-0A65-4BFE-9ED4-25713AE91E8A}" name="総数／事業所数" dataCellStyle="桁区切り"/>
    <tableColumn id="11" xr3:uid="{21272CD9-C255-4685-9BAB-BC814C5AF2FA}" name="総数／構成比" dataDxfId="1444"/>
    <tableColumn id="12" xr3:uid="{89DF8B52-EB99-4CB9-A865-8C890B3B9138}" name="個人／事業所数" dataCellStyle="桁区切り"/>
    <tableColumn id="13" xr3:uid="{BD705528-A118-4C33-94C8-86C89F0C28FA}" name="個人／構成比" dataDxfId="1443"/>
    <tableColumn id="14" xr3:uid="{31C9CA56-2CCE-45E9-A3FB-DD7509DFD33F}" name="法人／事業所数" dataCellStyle="桁区切り"/>
    <tableColumn id="15" xr3:uid="{7E774998-16C4-49F3-920F-E408856958FA}" name="法人／構成比" dataDxfId="1442"/>
    <tableColumn id="16" xr3:uid="{AF9ADE4E-4019-4382-8DB4-1104B21C1DBD}" name="法人以外の団体／事業所数" dataCellStyle="桁区切り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9280795F-8F83-4537-A739-B73A72A78EA9}" name="LTBL_01428" displayName="LTBL_01428" ref="B4:I20" totalsRowCount="1">
  <autoFilter ref="B4:I19" xr:uid="{9280795F-8F83-4537-A739-B73A72A78EA9}"/>
  <tableColumns count="8">
    <tableColumn id="9" xr3:uid="{2D2CFE8D-48C7-4659-9A6C-BADD38550B8E}" name="産業大分類" totalsRowLabel="合計" totalsRowDxfId="1441"/>
    <tableColumn id="10" xr3:uid="{89D07D76-89A1-45D2-8914-289C603EBA9C}" name="総数／事業所数" totalsRowFunction="custom" totalsRowDxfId="1440" dataCellStyle="桁区切り" totalsRowCellStyle="桁区切り">
      <totalsRowFormula>SUM(LTBL_01428[総数／事業所数])</totalsRowFormula>
    </tableColumn>
    <tableColumn id="11" xr3:uid="{80568CDD-CCC6-49C6-BB75-26DEEAD30A1F}" name="総数／構成比" dataDxfId="1439"/>
    <tableColumn id="12" xr3:uid="{A64A091D-EB13-4B95-9477-0760D0165EA4}" name="個人／事業所数" totalsRowFunction="sum" totalsRowDxfId="1438" dataCellStyle="桁区切り" totalsRowCellStyle="桁区切り"/>
    <tableColumn id="13" xr3:uid="{0F60801C-8B3D-4B0C-8193-3F696B9C66B7}" name="個人／構成比" dataDxfId="1437"/>
    <tableColumn id="14" xr3:uid="{97D7F2AB-553E-4543-A474-8368C8EB3F68}" name="法人／事業所数" totalsRowFunction="sum" totalsRowDxfId="1436" dataCellStyle="桁区切り" totalsRowCellStyle="桁区切り"/>
    <tableColumn id="15" xr3:uid="{39B637B2-465B-4D17-B89C-4F369A4F9A39}" name="法人／構成比" dataDxfId="1435"/>
    <tableColumn id="16" xr3:uid="{C86B4B75-5208-4909-AD18-D35E61A6B622}" name="法人以外の団体／事業所数" totalsRowFunction="sum" totalsRowDxfId="1434" dataCellStyle="桁区切り" totalsRowCellStyle="桁区切り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BB223FCD-6127-4063-84EE-44E7401EC298}" name="M_TABLE_01428" displayName="M_TABLE_01428" ref="B23:I44" totalsRowShown="0">
  <autoFilter ref="B23:I44" xr:uid="{BB223FCD-6127-4063-84EE-44E7401EC298}"/>
  <tableColumns count="8">
    <tableColumn id="9" xr3:uid="{59EDBB1A-CF51-433C-9F12-8193015C2502}" name="産業中分類上位２０"/>
    <tableColumn id="10" xr3:uid="{16E119A7-DBA0-4F7F-9A0B-311AD5379BDB}" name="総数／事業所数" dataCellStyle="桁区切り"/>
    <tableColumn id="11" xr3:uid="{15891D55-FB6E-4105-9655-FE59A4A09512}" name="総数／構成比" dataDxfId="1433"/>
    <tableColumn id="12" xr3:uid="{C3B84A15-6E41-4F1F-876E-AA760BBBE66A}" name="個人／事業所数" dataCellStyle="桁区切り"/>
    <tableColumn id="13" xr3:uid="{168A92F5-44FA-45CD-8885-B14DD4819D1B}" name="個人／構成比" dataDxfId="1432"/>
    <tableColumn id="14" xr3:uid="{29A15F76-4BC1-4042-8187-E436DF8A48E5}" name="法人／事業所数" dataCellStyle="桁区切り"/>
    <tableColumn id="15" xr3:uid="{8ADDDBC5-CA12-4BB1-8858-EB36078D16F5}" name="法人／構成比" dataDxfId="1431"/>
    <tableColumn id="16" xr3:uid="{2F242DD7-643E-4AEF-A96C-D7453A83F64C}" name="法人以外の団体／事業所数" dataCellStyle="桁区切り"/>
  </tableColumns>
  <tableStyleInfo name="TableStyleMedium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2A3E2B1B-19C6-43C2-A9E8-20D2664E6FC8}" name="S_TABLE_01428" displayName="S_TABLE_01428" ref="B47:I67" totalsRowShown="0">
  <autoFilter ref="B47:I67" xr:uid="{2A3E2B1B-19C6-43C2-A9E8-20D2664E6FC8}"/>
  <tableColumns count="8">
    <tableColumn id="9" xr3:uid="{B83267BA-D749-410D-B234-8DBD7819500D}" name="産業小分類上位２０"/>
    <tableColumn id="10" xr3:uid="{1BB547F0-1D9A-4A7E-A987-06A91B327E69}" name="総数／事業所数" dataCellStyle="桁区切り"/>
    <tableColumn id="11" xr3:uid="{85E90059-A71D-473B-AEF6-869B8A7B6CF8}" name="総数／構成比" dataDxfId="1430"/>
    <tableColumn id="12" xr3:uid="{E56A2F9C-7CA3-4DCC-A3C8-F071D8DCF847}" name="個人／事業所数" dataCellStyle="桁区切り"/>
    <tableColumn id="13" xr3:uid="{34DCED48-FF0F-469B-856E-96CFC7993861}" name="個人／構成比" dataDxfId="1429"/>
    <tableColumn id="14" xr3:uid="{7FB64F24-55F4-42ED-B218-BC78765B625D}" name="法人／事業所数" dataCellStyle="桁区切り"/>
    <tableColumn id="15" xr3:uid="{442DFBC6-545F-4589-889B-F6706AD9B99B}" name="法人／構成比" dataDxfId="1428"/>
    <tableColumn id="16" xr3:uid="{3DEA42C9-D59D-4020-9332-3FA044673587}" name="法人以外の団体／事業所数" dataCellStyle="桁区切り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C5066BD5-76BA-4F00-9620-C420EBEA217A}" name="LTBL_01429" displayName="LTBL_01429" ref="B4:I20" totalsRowCount="1">
  <autoFilter ref="B4:I19" xr:uid="{C5066BD5-76BA-4F00-9620-C420EBEA217A}"/>
  <tableColumns count="8">
    <tableColumn id="9" xr3:uid="{7A802E63-AC65-4571-983A-30B59B7B4A04}" name="産業大分類" totalsRowLabel="合計" totalsRowDxfId="1427"/>
    <tableColumn id="10" xr3:uid="{F3E62684-E826-470B-BB2D-E26ACEFC7096}" name="総数／事業所数" totalsRowFunction="custom" totalsRowDxfId="1426" dataCellStyle="桁区切り" totalsRowCellStyle="桁区切り">
      <totalsRowFormula>SUM(LTBL_01429[総数／事業所数])</totalsRowFormula>
    </tableColumn>
    <tableColumn id="11" xr3:uid="{76BCA146-E61B-4865-894B-282BA614A0CD}" name="総数／構成比" dataDxfId="1425"/>
    <tableColumn id="12" xr3:uid="{EFC45635-1BDE-45D4-AF24-8339F7DB4DC8}" name="個人／事業所数" totalsRowFunction="sum" totalsRowDxfId="1424" dataCellStyle="桁区切り" totalsRowCellStyle="桁区切り"/>
    <tableColumn id="13" xr3:uid="{256AEC62-7B3F-4BC0-BB43-92F1F84FAE66}" name="個人／構成比" dataDxfId="1423"/>
    <tableColumn id="14" xr3:uid="{F4099110-D31D-4B54-985B-B2678D0E9782}" name="法人／事業所数" totalsRowFunction="sum" totalsRowDxfId="1422" dataCellStyle="桁区切り" totalsRowCellStyle="桁区切り"/>
    <tableColumn id="15" xr3:uid="{988968DF-9085-46C6-BDC8-F9B6A78426AB}" name="法人／構成比" dataDxfId="1421"/>
    <tableColumn id="16" xr3:uid="{7339A752-7CD1-4C1E-892A-8BF457954075}" name="法人以外の団体／事業所数" totalsRowFunction="sum" totalsRowDxfId="1420" dataCellStyle="桁区切り" totalsRowCellStyle="桁区切り"/>
  </tableColumns>
  <tableStyleInfo name="TableStyleMedium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A174E3B7-50B0-4678-9E4A-C6C91236B7D1}" name="M_TABLE_01429" displayName="M_TABLE_01429" ref="B23:I46" totalsRowShown="0">
  <autoFilter ref="B23:I46" xr:uid="{A174E3B7-50B0-4678-9E4A-C6C91236B7D1}"/>
  <tableColumns count="8">
    <tableColumn id="9" xr3:uid="{3E5CCA20-42FE-4D8B-B42E-CB461DAD8C67}" name="産業中分類上位２０"/>
    <tableColumn id="10" xr3:uid="{49391D33-7F85-4D38-97FB-5DAA228670F9}" name="総数／事業所数" dataCellStyle="桁区切り"/>
    <tableColumn id="11" xr3:uid="{B2252488-79BC-46CC-A884-294D4E5E4EDF}" name="総数／構成比" dataDxfId="1419"/>
    <tableColumn id="12" xr3:uid="{5308874D-C7A4-4AFF-834E-4BB593142A5D}" name="個人／事業所数" dataCellStyle="桁区切り"/>
    <tableColumn id="13" xr3:uid="{0C006490-5EE8-49A0-AAFE-16C6764AEBB4}" name="個人／構成比" dataDxfId="1418"/>
    <tableColumn id="14" xr3:uid="{9E8B58C5-D617-4D5B-B8FB-596503E249B8}" name="法人／事業所数" dataCellStyle="桁区切り"/>
    <tableColumn id="15" xr3:uid="{501A68FB-5101-4327-990E-59368506F841}" name="法人／構成比" dataDxfId="1417"/>
    <tableColumn id="16" xr3:uid="{A4821085-335D-4D5B-9C87-2D03F52C3A9D}" name="法人以外の団体／事業所数" dataCellStyle="桁区切り"/>
  </tableColumns>
  <tableStyleInfo name="TableStyleMedium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478D51F0-E3EB-420F-98A0-D69F503D886B}" name="S_TABLE_01429" displayName="S_TABLE_01429" ref="B49:I69" totalsRowShown="0">
  <autoFilter ref="B49:I69" xr:uid="{478D51F0-E3EB-420F-98A0-D69F503D886B}"/>
  <tableColumns count="8">
    <tableColumn id="9" xr3:uid="{BD024F84-85B9-4174-978A-BC4275D885A8}" name="産業小分類上位２０"/>
    <tableColumn id="10" xr3:uid="{1B0BE02E-BF7C-4740-B114-8839715D57EF}" name="総数／事業所数" dataCellStyle="桁区切り"/>
    <tableColumn id="11" xr3:uid="{8B78445A-9D0D-4536-9CF7-493A73690386}" name="総数／構成比" dataDxfId="1416"/>
    <tableColumn id="12" xr3:uid="{22BD32DD-CB1D-4AFE-A094-E242A1582623}" name="個人／事業所数" dataCellStyle="桁区切り"/>
    <tableColumn id="13" xr3:uid="{F750032D-2639-403B-8B9C-7EEA5CC01B47}" name="個人／構成比" dataDxfId="1415"/>
    <tableColumn id="14" xr3:uid="{7CD1AA98-C758-482E-A6DC-03C56ABC0AFF}" name="法人／事業所数" dataCellStyle="桁区切り"/>
    <tableColumn id="15" xr3:uid="{A0774FC8-66FC-46A3-9D50-B25929E650E0}" name="法人／構成比" dataDxfId="1414"/>
    <tableColumn id="16" xr3:uid="{43C2F80D-6B76-48C8-9101-1725B0FCB9D9}" name="法人以外の団体／事業所数" dataCellStyle="桁区切り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DC3FB043-5320-4F55-98DA-C2FB800CB98C}" name="LTBL_01430" displayName="LTBL_01430" ref="B4:I20" totalsRowCount="1">
  <autoFilter ref="B4:I19" xr:uid="{DC3FB043-5320-4F55-98DA-C2FB800CB98C}"/>
  <tableColumns count="8">
    <tableColumn id="9" xr3:uid="{C2A0CE7B-6207-471C-A2FA-5D8928364866}" name="産業大分類" totalsRowLabel="合計" totalsRowDxfId="1413"/>
    <tableColumn id="10" xr3:uid="{35FC7CDF-7D5E-4388-A1C0-C012DC77E045}" name="総数／事業所数" totalsRowFunction="custom" totalsRowDxfId="1412" dataCellStyle="桁区切り" totalsRowCellStyle="桁区切り">
      <totalsRowFormula>SUM(LTBL_01430[総数／事業所数])</totalsRowFormula>
    </tableColumn>
    <tableColumn id="11" xr3:uid="{D5D4E9DA-B83C-42AF-A22F-24B9C9425ED7}" name="総数／構成比" dataDxfId="1411"/>
    <tableColumn id="12" xr3:uid="{58FE74EE-AEC3-4A48-B6A4-BAC08AD4DB0F}" name="個人／事業所数" totalsRowFunction="sum" totalsRowDxfId="1410" dataCellStyle="桁区切り" totalsRowCellStyle="桁区切り"/>
    <tableColumn id="13" xr3:uid="{DB7DD43C-F3F5-4134-969A-0383A39C8FDA}" name="個人／構成比" dataDxfId="1409"/>
    <tableColumn id="14" xr3:uid="{1E0A2462-52B0-4B9B-8312-3A01761ABC54}" name="法人／事業所数" totalsRowFunction="sum" totalsRowDxfId="1408" dataCellStyle="桁区切り" totalsRowCellStyle="桁区切り"/>
    <tableColumn id="15" xr3:uid="{5177DD18-80DF-4F88-97A6-5C9F852DC8BB}" name="法人／構成比" dataDxfId="1407"/>
    <tableColumn id="16" xr3:uid="{824B345E-250F-4AD3-B623-6618E1C44B2F}" name="法人以外の団体／事業所数" totalsRowFunction="sum" totalsRowDxfId="1406" dataCellStyle="桁区切り" totalsRowCellStyle="桁区切り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F793FF59-39D7-4511-9434-09DADA07A770}" name="M_TABLE_01430" displayName="M_TABLE_01430" ref="B23:I50" totalsRowShown="0">
  <autoFilter ref="B23:I50" xr:uid="{F793FF59-39D7-4511-9434-09DADA07A770}"/>
  <tableColumns count="8">
    <tableColumn id="9" xr3:uid="{E3B6B96E-96DB-4E56-A729-EC9C7A7CB21E}" name="産業中分類上位２０"/>
    <tableColumn id="10" xr3:uid="{3D712F95-BDBA-43F7-BDA5-B408354732CC}" name="総数／事業所数" dataCellStyle="桁区切り"/>
    <tableColumn id="11" xr3:uid="{9B1BB756-F994-4F16-A6E5-F1A23F012B8A}" name="総数／構成比" dataDxfId="1405"/>
    <tableColumn id="12" xr3:uid="{A1CB9C38-A20D-4D4B-A136-1D724D88081E}" name="個人／事業所数" dataCellStyle="桁区切り"/>
    <tableColumn id="13" xr3:uid="{29C610C8-F8D8-4AFA-A299-FB8E43D2A585}" name="個人／構成比" dataDxfId="1404"/>
    <tableColumn id="14" xr3:uid="{0E4AB4B0-A340-4B72-8BC3-EEBB658D6C82}" name="法人／事業所数" dataCellStyle="桁区切り"/>
    <tableColumn id="15" xr3:uid="{D9EC92A3-AE02-475C-A9B0-40980BAC6079}" name="法人／構成比" dataDxfId="1403"/>
    <tableColumn id="16" xr3:uid="{1EADDC17-C86B-4F4B-BEA4-742B1D0D8C11}" name="法人以外の団体／事業所数" dataCellStyle="桁区切り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4D1533EF-E122-4512-AE8C-5A5910CFDF06}" name="S_TABLE_01107" displayName="S_TABLE_01107" ref="B46:I66" totalsRowShown="0">
  <autoFilter ref="B46:I66" xr:uid="{4D1533EF-E122-4512-AE8C-5A5910CFDF06}"/>
  <tableColumns count="8">
    <tableColumn id="9" xr3:uid="{A1A4E8CD-D00D-4718-9EE0-44EB8C14077F}" name="産業小分類上位２０"/>
    <tableColumn id="10" xr3:uid="{66024FC3-93D0-4C3C-B8AE-73BCE052EA0F}" name="総数／事業所数" dataCellStyle="桁区切り"/>
    <tableColumn id="11" xr3:uid="{4C068DEC-E94C-4C50-BB4B-91DE244CB27B}" name="総数／構成比" dataDxfId="2536"/>
    <tableColumn id="12" xr3:uid="{D579A552-A896-454F-AE7F-58C26DAB4B01}" name="個人／事業所数" dataCellStyle="桁区切り"/>
    <tableColumn id="13" xr3:uid="{C7D12835-C2DE-4801-9602-BC96E0C41753}" name="個人／構成比" dataDxfId="2535"/>
    <tableColumn id="14" xr3:uid="{8D89ECBD-72E3-41F9-8B99-3E7737012295}" name="法人／事業所数" dataCellStyle="桁区切り"/>
    <tableColumn id="15" xr3:uid="{BE03B5C2-B357-48A4-9DA6-7384FA75414C}" name="法人／構成比" dataDxfId="2534"/>
    <tableColumn id="16" xr3:uid="{AAFC4E16-D2C3-4D41-A95B-6FBB319F2466}" name="法人以外の団体／事業所数" dataCellStyle="桁区切り"/>
  </tableColumns>
  <tableStyleInfo name="TableStyleMedium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F09EF2C6-D7A6-4578-8684-D2630FC6336F}" name="S_TABLE_01430" displayName="S_TABLE_01430" ref="B53:I101" totalsRowShown="0">
  <autoFilter ref="B53:I101" xr:uid="{F09EF2C6-D7A6-4578-8684-D2630FC6336F}"/>
  <tableColumns count="8">
    <tableColumn id="9" xr3:uid="{85F19FD4-A8EE-44FB-8129-1F7F3F5C1567}" name="産業小分類上位２０"/>
    <tableColumn id="10" xr3:uid="{810E503E-42E5-482B-8F64-C0388AA5AC6A}" name="総数／事業所数" dataCellStyle="桁区切り"/>
    <tableColumn id="11" xr3:uid="{CCD5DBF3-0CAD-4BC8-9731-C3057D2B9185}" name="総数／構成比" dataDxfId="1402"/>
    <tableColumn id="12" xr3:uid="{412EB56A-9743-43E7-BD11-83C39806B6B9}" name="個人／事業所数" dataCellStyle="桁区切り"/>
    <tableColumn id="13" xr3:uid="{C0B1A405-53F0-40BE-9FEF-FCA1C896D1B3}" name="個人／構成比" dataDxfId="1401"/>
    <tableColumn id="14" xr3:uid="{8F09CCF6-7147-4F19-BF2D-8B15BD7EFA5F}" name="法人／事業所数" dataCellStyle="桁区切り"/>
    <tableColumn id="15" xr3:uid="{A3E1A077-4AA4-47AE-AA33-44DC53F29448}" name="法人／構成比" dataDxfId="1400"/>
    <tableColumn id="16" xr3:uid="{FE268BBB-A626-4544-BED9-F364EF9727A2}" name="法人以外の団体／事業所数" dataCellStyle="桁区切り"/>
  </tableColumns>
  <tableStyleInfo name="TableStyleMedium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AE60A364-A1A5-476C-969F-DC66C215FBCE}" name="LTBL_01431" displayName="LTBL_01431" ref="B4:I20" totalsRowCount="1">
  <autoFilter ref="B4:I19" xr:uid="{AE60A364-A1A5-476C-969F-DC66C215FBCE}"/>
  <tableColumns count="8">
    <tableColumn id="9" xr3:uid="{75465A18-EEFF-4476-A00A-4F0F63D76E55}" name="産業大分類" totalsRowLabel="合計" totalsRowDxfId="1399"/>
    <tableColumn id="10" xr3:uid="{C9A0EFFD-F642-4C2C-BC3E-D5EE2DCD8628}" name="総数／事業所数" totalsRowFunction="custom" totalsRowDxfId="1398" dataCellStyle="桁区切り" totalsRowCellStyle="桁区切り">
      <totalsRowFormula>SUM(LTBL_01431[総数／事業所数])</totalsRowFormula>
    </tableColumn>
    <tableColumn id="11" xr3:uid="{EBBA757E-8192-452A-8C02-12794D18E9A6}" name="総数／構成比" dataDxfId="1397"/>
    <tableColumn id="12" xr3:uid="{229B7850-6A73-4D7D-897B-EE1933E345A5}" name="個人／事業所数" totalsRowFunction="sum" totalsRowDxfId="1396" dataCellStyle="桁区切り" totalsRowCellStyle="桁区切り"/>
    <tableColumn id="13" xr3:uid="{54BE9DC8-75D5-4B1A-93FA-9177AA0D7160}" name="個人／構成比" dataDxfId="1395"/>
    <tableColumn id="14" xr3:uid="{1108E15E-C3B0-4E3D-98F8-21928DC03430}" name="法人／事業所数" totalsRowFunction="sum" totalsRowDxfId="1394" dataCellStyle="桁区切り" totalsRowCellStyle="桁区切り"/>
    <tableColumn id="15" xr3:uid="{127853A0-72B3-49A5-895D-D73D6E4A103D}" name="法人／構成比" dataDxfId="1393"/>
    <tableColumn id="16" xr3:uid="{8CDE5984-68C7-457C-8BB3-5141734C0927}" name="法人以外の団体／事業所数" totalsRowFunction="sum" totalsRowDxfId="1392" dataCellStyle="桁区切り" totalsRowCellStyle="桁区切り"/>
  </tableColumns>
  <tableStyleInfo name="TableStyleMedium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47C2EF3-4C87-4D95-ACAF-D70D202368C7}" name="M_TABLE_01431" displayName="M_TABLE_01431" ref="B23:I46" totalsRowShown="0">
  <autoFilter ref="B23:I46" xr:uid="{047C2EF3-4C87-4D95-ACAF-D70D202368C7}"/>
  <tableColumns count="8">
    <tableColumn id="9" xr3:uid="{B0EC90BB-0ED3-46D2-A201-D6C5F76F081E}" name="産業中分類上位２０"/>
    <tableColumn id="10" xr3:uid="{7F644538-1D53-4549-B174-82400EF2AFA4}" name="総数／事業所数" dataCellStyle="桁区切り"/>
    <tableColumn id="11" xr3:uid="{79D29133-A908-45B9-9822-C8351266EB33}" name="総数／構成比" dataDxfId="1391"/>
    <tableColumn id="12" xr3:uid="{B8F0EBEA-8E58-4679-BCE4-15D5FD53EC71}" name="個人／事業所数" dataCellStyle="桁区切り"/>
    <tableColumn id="13" xr3:uid="{5783E1BC-A987-47C0-8483-EDAD8DD0A722}" name="個人／構成比" dataDxfId="1390"/>
    <tableColumn id="14" xr3:uid="{68113F0B-7317-4158-B956-5B99316B2218}" name="法人／事業所数" dataCellStyle="桁区切り"/>
    <tableColumn id="15" xr3:uid="{28A1277A-C5AA-44CB-B3F6-573B5B2E01FA}" name="法人／構成比" dataDxfId="1389"/>
    <tableColumn id="16" xr3:uid="{66FF6DF5-7D11-4FCD-B08E-E88DB2367BCA}" name="法人以外の団体／事業所数" dataCellStyle="桁区切り"/>
  </tableColumns>
  <tableStyleInfo name="TableStyleMedium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11B0BA5D-D58E-4BDF-8840-B65F87EFC87D}" name="S_TABLE_01431" displayName="S_TABLE_01431" ref="B49:I84" totalsRowShown="0">
  <autoFilter ref="B49:I84" xr:uid="{11B0BA5D-D58E-4BDF-8840-B65F87EFC87D}"/>
  <tableColumns count="8">
    <tableColumn id="9" xr3:uid="{EA36AA28-6D8F-4D1E-9FD4-4DA030011D58}" name="産業小分類上位２０"/>
    <tableColumn id="10" xr3:uid="{DC89E6F8-B86F-47EB-A449-2FFB771B284B}" name="総数／事業所数" dataCellStyle="桁区切り"/>
    <tableColumn id="11" xr3:uid="{FCAD9ADA-8432-4185-B361-CB0D6BC0D425}" name="総数／構成比" dataDxfId="1388"/>
    <tableColumn id="12" xr3:uid="{8B00AC29-1E81-4FEC-A31A-DA0872F7C280}" name="個人／事業所数" dataCellStyle="桁区切り"/>
    <tableColumn id="13" xr3:uid="{61A1484A-8FF3-48D0-B78B-87D81C44E51B}" name="個人／構成比" dataDxfId="1387"/>
    <tableColumn id="14" xr3:uid="{2CD23072-19E9-4886-8BA5-98AA7C9831F6}" name="法人／事業所数" dataCellStyle="桁区切り"/>
    <tableColumn id="15" xr3:uid="{349DEA7B-6AE6-4DF4-96C7-8BC2C8E12F22}" name="法人／構成比" dataDxfId="1386"/>
    <tableColumn id="16" xr3:uid="{28B2EC74-D381-41F0-A417-4E42C6BE8C92}" name="法人以外の団体／事業所数" dataCellStyle="桁区切り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5901793A-613D-4D31-BBC2-4B6BB93E8BB0}" name="LTBL_01432" displayName="LTBL_01432" ref="B4:I20" totalsRowCount="1">
  <autoFilter ref="B4:I19" xr:uid="{5901793A-613D-4D31-BBC2-4B6BB93E8BB0}"/>
  <tableColumns count="8">
    <tableColumn id="9" xr3:uid="{33C5FAAF-789C-41F9-B194-59AABDDAF7FC}" name="産業大分類" totalsRowLabel="合計" totalsRowDxfId="1385"/>
    <tableColumn id="10" xr3:uid="{F7D81395-A88A-43A4-A3E2-EED3D08EFACB}" name="総数／事業所数" totalsRowFunction="custom" totalsRowDxfId="1384" dataCellStyle="桁区切り" totalsRowCellStyle="桁区切り">
      <totalsRowFormula>SUM(LTBL_01432[総数／事業所数])</totalsRowFormula>
    </tableColumn>
    <tableColumn id="11" xr3:uid="{8F7AA33F-F914-4802-A23A-283F9AB572F1}" name="総数／構成比" dataDxfId="1383"/>
    <tableColumn id="12" xr3:uid="{4325210A-CEE0-4FC1-B40E-2F53D1C9A98E}" name="個人／事業所数" totalsRowFunction="sum" totalsRowDxfId="1382" dataCellStyle="桁区切り" totalsRowCellStyle="桁区切り"/>
    <tableColumn id="13" xr3:uid="{A4973053-8A76-4C9A-8B9B-2EB88B59B119}" name="個人／構成比" dataDxfId="1381"/>
    <tableColumn id="14" xr3:uid="{BD5F4D51-74A6-41D9-9DC6-AA86458B8F23}" name="法人／事業所数" totalsRowFunction="sum" totalsRowDxfId="1380" dataCellStyle="桁区切り" totalsRowCellStyle="桁区切り"/>
    <tableColumn id="15" xr3:uid="{F1E1737F-B339-4335-9420-6764D4B5A706}" name="法人／構成比" dataDxfId="1379"/>
    <tableColumn id="16" xr3:uid="{449F35E5-9B30-43A7-8AE9-4A0E54A7054D}" name="法人以外の団体／事業所数" totalsRowFunction="sum" totalsRowDxfId="1378" dataCellStyle="桁区切り" totalsRowCellStyle="桁区切り"/>
  </tableColumns>
  <tableStyleInfo name="TableStyleMedium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29052C27-0CF9-46E2-B6C0-C9559D0A0C85}" name="M_TABLE_01432" displayName="M_TABLE_01432" ref="B23:I52" totalsRowShown="0">
  <autoFilter ref="B23:I52" xr:uid="{29052C27-0CF9-46E2-B6C0-C9559D0A0C85}"/>
  <tableColumns count="8">
    <tableColumn id="9" xr3:uid="{52E1F62E-065F-4016-B287-E3AEA11B07FC}" name="産業中分類上位２０"/>
    <tableColumn id="10" xr3:uid="{BA6457A0-9011-442D-91A2-ED6CF2449814}" name="総数／事業所数" dataCellStyle="桁区切り"/>
    <tableColumn id="11" xr3:uid="{CE61201C-AE46-41BF-942C-0A131F42B64E}" name="総数／構成比" dataDxfId="1377"/>
    <tableColumn id="12" xr3:uid="{A04047E6-F9B2-4756-BF9E-A3A83ACE1B9B}" name="個人／事業所数" dataCellStyle="桁区切り"/>
    <tableColumn id="13" xr3:uid="{E1695562-5F09-4362-9497-97F4AD933C39}" name="個人／構成比" dataDxfId="1376"/>
    <tableColumn id="14" xr3:uid="{41D3C49E-F8EF-448A-AD38-AE9A34222BD3}" name="法人／事業所数" dataCellStyle="桁区切り"/>
    <tableColumn id="15" xr3:uid="{5A5E264A-AF76-4953-962E-0F4FB2B178C6}" name="法人／構成比" dataDxfId="1375"/>
    <tableColumn id="16" xr3:uid="{88710E8F-1250-404F-8F0B-725E680180FA}" name="法人以外の団体／事業所数" dataCellStyle="桁区切り"/>
  </tableColumns>
  <tableStyleInfo name="TableStyleMedium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9D9CDFC3-3EB1-4DDE-BBF3-8F3DDD13FFB2}" name="S_TABLE_01432" displayName="S_TABLE_01432" ref="B55:I105" totalsRowShown="0">
  <autoFilter ref="B55:I105" xr:uid="{9D9CDFC3-3EB1-4DDE-BBF3-8F3DDD13FFB2}"/>
  <tableColumns count="8">
    <tableColumn id="9" xr3:uid="{8D8542B8-749C-46DF-A52A-EA20E2F84067}" name="産業小分類上位２０"/>
    <tableColumn id="10" xr3:uid="{02FED7BC-59A2-4D17-861C-3E9EFDA6206E}" name="総数／事業所数" dataCellStyle="桁区切り"/>
    <tableColumn id="11" xr3:uid="{DB9A66FE-2A3D-4262-BF37-83A366063235}" name="総数／構成比" dataDxfId="1374"/>
    <tableColumn id="12" xr3:uid="{87A9BCC3-A80A-4B39-8F15-EE818B6697D4}" name="個人／事業所数" dataCellStyle="桁区切り"/>
    <tableColumn id="13" xr3:uid="{9DD76D86-8BBA-4322-88C9-BFD80CBBB51C}" name="個人／構成比" dataDxfId="1373"/>
    <tableColumn id="14" xr3:uid="{0353BF06-D20F-409F-B878-6DF6073E7E10}" name="法人／事業所数" dataCellStyle="桁区切り"/>
    <tableColumn id="15" xr3:uid="{E473FC7A-F36A-4332-A7C0-9112F17CCDF2}" name="法人／構成比" dataDxfId="1372"/>
    <tableColumn id="16" xr3:uid="{3775E38B-D18E-4489-BE9E-D2D10FE66FFB}" name="法人以外の団体／事業所数" dataCellStyle="桁区切り"/>
  </tableColumns>
  <tableStyleInfo name="TableStyleMedium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F108DB64-9C5A-48DA-990A-EC614C363B8A}" name="LTBL_01433" displayName="LTBL_01433" ref="B4:I20" totalsRowCount="1">
  <autoFilter ref="B4:I19" xr:uid="{F108DB64-9C5A-48DA-990A-EC614C363B8A}"/>
  <tableColumns count="8">
    <tableColumn id="9" xr3:uid="{A29677AD-F39D-4E9B-B269-92123308907F}" name="産業大分類" totalsRowLabel="合計" totalsRowDxfId="1371"/>
    <tableColumn id="10" xr3:uid="{E798786A-1607-4A6B-A109-E427826FD494}" name="総数／事業所数" totalsRowFunction="custom" totalsRowDxfId="1370" dataCellStyle="桁区切り" totalsRowCellStyle="桁区切り">
      <totalsRowFormula>SUM(LTBL_01433[総数／事業所数])</totalsRowFormula>
    </tableColumn>
    <tableColumn id="11" xr3:uid="{43A32944-53C5-47C2-B631-FFD1CF2A0F68}" name="総数／構成比" dataDxfId="1369"/>
    <tableColumn id="12" xr3:uid="{DE1478CA-1552-49C6-8829-F28618DA6DB1}" name="個人／事業所数" totalsRowFunction="sum" totalsRowDxfId="1368" dataCellStyle="桁区切り" totalsRowCellStyle="桁区切り"/>
    <tableColumn id="13" xr3:uid="{E4F4619A-407C-401D-BD99-51479CAD10A7}" name="個人／構成比" dataDxfId="1367"/>
    <tableColumn id="14" xr3:uid="{2535202E-D80E-4148-B468-7ECE9D286E05}" name="法人／事業所数" totalsRowFunction="sum" totalsRowDxfId="1366" dataCellStyle="桁区切り" totalsRowCellStyle="桁区切り"/>
    <tableColumn id="15" xr3:uid="{7ED17F2D-B380-4804-996C-75F2B1828AE1}" name="法人／構成比" dataDxfId="1365"/>
    <tableColumn id="16" xr3:uid="{B8B8C73B-1521-4DF6-819D-8E272F6A0E8C}" name="法人以外の団体／事業所数" totalsRowFunction="sum" totalsRowDxfId="1364" dataCellStyle="桁区切り" totalsRowCellStyle="桁区切り"/>
  </tableColumns>
  <tableStyleInfo name="TableStyleMedium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6D617F11-E5FF-46D5-87E4-89C8F5BEF7CA}" name="M_TABLE_01433" displayName="M_TABLE_01433" ref="B23:I47" totalsRowShown="0">
  <autoFilter ref="B23:I47" xr:uid="{6D617F11-E5FF-46D5-87E4-89C8F5BEF7CA}"/>
  <tableColumns count="8">
    <tableColumn id="9" xr3:uid="{AC236099-105C-484B-9EEF-BF8442EF89F9}" name="産業中分類上位２０"/>
    <tableColumn id="10" xr3:uid="{E88AFC38-C95E-4165-A062-B7D612F6BA25}" name="総数／事業所数" dataCellStyle="桁区切り"/>
    <tableColumn id="11" xr3:uid="{4678BD0E-4C9D-4D9F-94B8-317287516706}" name="総数／構成比" dataDxfId="1363"/>
    <tableColumn id="12" xr3:uid="{D19251FC-7284-408E-AF1D-831B105F4A8A}" name="個人／事業所数" dataCellStyle="桁区切り"/>
    <tableColumn id="13" xr3:uid="{7C761241-51E8-4DBC-AB04-FBB847BEC6D2}" name="個人／構成比" dataDxfId="1362"/>
    <tableColumn id="14" xr3:uid="{07888E47-B5FD-453F-96C8-6111C1A50E50}" name="法人／事業所数" dataCellStyle="桁区切り"/>
    <tableColumn id="15" xr3:uid="{893751ED-1357-4149-B925-21BFDA2AD7F0}" name="法人／構成比" dataDxfId="1361"/>
    <tableColumn id="16" xr3:uid="{B5BB8E1A-3389-49A1-BDE7-9EDE036E4024}" name="法人以外の団体／事業所数" dataCellStyle="桁区切り"/>
  </tableColumns>
  <tableStyleInfo name="TableStyleMedium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FBD68642-8F0F-4442-A029-7512EC322125}" name="S_TABLE_01433" displayName="S_TABLE_01433" ref="B50:I101" totalsRowShown="0">
  <autoFilter ref="B50:I101" xr:uid="{FBD68642-8F0F-4442-A029-7512EC322125}"/>
  <tableColumns count="8">
    <tableColumn id="9" xr3:uid="{012D7EB3-A412-4AE2-9A5A-F17E5F71A061}" name="産業小分類上位２０"/>
    <tableColumn id="10" xr3:uid="{D7D9738F-2E0D-4E31-8266-4AEC44B678FA}" name="総数／事業所数" dataCellStyle="桁区切り"/>
    <tableColumn id="11" xr3:uid="{F072988C-552F-4F24-9BAB-D3AC2584F27C}" name="総数／構成比" dataDxfId="1360"/>
    <tableColumn id="12" xr3:uid="{ED82F845-69FB-4164-804C-EF49BBD66DFF}" name="個人／事業所数" dataCellStyle="桁区切り"/>
    <tableColumn id="13" xr3:uid="{EE6B940D-2740-4EFE-9E55-30FB71E658F8}" name="個人／構成比" dataDxfId="1359"/>
    <tableColumn id="14" xr3:uid="{37D49D4E-9123-4603-8A18-11FEBC565FEC}" name="法人／事業所数" dataCellStyle="桁区切り"/>
    <tableColumn id="15" xr3:uid="{1E8C68C8-5E9F-4C5C-80A1-50C0F6E20876}" name="法人／構成比" dataDxfId="1358"/>
    <tableColumn id="16" xr3:uid="{C70B6914-DC05-4044-A9B4-03988EF16424}" name="法人以外の団体／事業所数" dataCellStyle="桁区切り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BDA7C263-CD80-4631-A99B-5D0C1CB584E6}" name="LTBL_01108" displayName="LTBL_01108" ref="B4:I20" totalsRowCount="1">
  <autoFilter ref="B4:I19" xr:uid="{BDA7C263-CD80-4631-A99B-5D0C1CB584E6}"/>
  <tableColumns count="8">
    <tableColumn id="9" xr3:uid="{EE1BA942-BD0B-4F25-A832-9882AE2077BC}" name="産業大分類" totalsRowLabel="合計" totalsRowDxfId="2533"/>
    <tableColumn id="10" xr3:uid="{B161C034-B546-4811-9DFE-B2FF00AB740B}" name="総数／事業所数" totalsRowFunction="custom" totalsRowDxfId="2532" dataCellStyle="桁区切り" totalsRowCellStyle="桁区切り">
      <totalsRowFormula>SUM(LTBL_01108[総数／事業所数])</totalsRowFormula>
    </tableColumn>
    <tableColumn id="11" xr3:uid="{3B95E48A-5CEB-45F1-8D54-15898B422579}" name="総数／構成比" dataDxfId="2531"/>
    <tableColumn id="12" xr3:uid="{0FEFE897-858C-4496-9121-BAE343CEE69A}" name="個人／事業所数" totalsRowFunction="sum" totalsRowDxfId="2530" dataCellStyle="桁区切り" totalsRowCellStyle="桁区切り"/>
    <tableColumn id="13" xr3:uid="{3652DDF8-B076-4699-9431-48772156FCBA}" name="個人／構成比" dataDxfId="2529"/>
    <tableColumn id="14" xr3:uid="{A0F903D6-DA40-434B-9BBF-3625D9D66F2A}" name="法人／事業所数" totalsRowFunction="sum" totalsRowDxfId="2528" dataCellStyle="桁区切り" totalsRowCellStyle="桁区切り"/>
    <tableColumn id="15" xr3:uid="{25F6C462-272A-4F4D-9545-EC77D2F571E3}" name="法人／構成比" dataDxfId="2527"/>
    <tableColumn id="16" xr3:uid="{D78F212E-092F-4267-A36A-1E5771788130}" name="法人以外の団体／事業所数" totalsRowFunction="sum" totalsRowDxfId="2526" dataCellStyle="桁区切り" totalsRowCellStyle="桁区切り"/>
  </tableColumns>
  <tableStyleInfo name="TableStyleMedium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8ADA8B9E-7DA5-4A07-A11C-878300292576}" name="LTBL_01434" displayName="LTBL_01434" ref="B4:I20" totalsRowCount="1">
  <autoFilter ref="B4:I19" xr:uid="{8ADA8B9E-7DA5-4A07-A11C-878300292576}"/>
  <tableColumns count="8">
    <tableColumn id="9" xr3:uid="{80BCB274-491D-4262-B360-F76C08032E49}" name="産業大分類" totalsRowLabel="合計" totalsRowDxfId="1357"/>
    <tableColumn id="10" xr3:uid="{BD429BC0-9FE6-4CF3-8F1E-2EE2A9595377}" name="総数／事業所数" totalsRowFunction="custom" totalsRowDxfId="1356" dataCellStyle="桁区切り" totalsRowCellStyle="桁区切り">
      <totalsRowFormula>SUM(LTBL_01434[総数／事業所数])</totalsRowFormula>
    </tableColumn>
    <tableColumn id="11" xr3:uid="{238A6296-E81B-434F-84E4-2527B8B5762C}" name="総数／構成比" dataDxfId="1355"/>
    <tableColumn id="12" xr3:uid="{F3A5DA2C-762E-499A-8AF5-136D1B521E58}" name="個人／事業所数" totalsRowFunction="sum" totalsRowDxfId="1354" dataCellStyle="桁区切り" totalsRowCellStyle="桁区切り"/>
    <tableColumn id="13" xr3:uid="{DC7B93F6-C199-48FB-8735-FED8A0B25822}" name="個人／構成比" dataDxfId="1353"/>
    <tableColumn id="14" xr3:uid="{16C91C47-3662-42AC-A220-4CB04FD530BF}" name="法人／事業所数" totalsRowFunction="sum" totalsRowDxfId="1352" dataCellStyle="桁区切り" totalsRowCellStyle="桁区切り"/>
    <tableColumn id="15" xr3:uid="{55C743F2-8818-4C08-A6FC-3BF06EC48DD5}" name="法人／構成比" dataDxfId="1351"/>
    <tableColumn id="16" xr3:uid="{7D82BC57-0835-42EC-ADDD-C3C0414DA8BF}" name="法人以外の団体／事業所数" totalsRowFunction="sum" totalsRowDxfId="1350" dataCellStyle="桁区切り" totalsRowCellStyle="桁区切り"/>
  </tableColumns>
  <tableStyleInfo name="TableStyleMedium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C0738E04-EB79-43F3-8FC9-722B9D452A0D}" name="M_TABLE_01434" displayName="M_TABLE_01434" ref="B23:I49" totalsRowShown="0">
  <autoFilter ref="B23:I49" xr:uid="{C0738E04-EB79-43F3-8FC9-722B9D452A0D}"/>
  <tableColumns count="8">
    <tableColumn id="9" xr3:uid="{F62B70C6-17C7-42E0-A88F-BFE88FE655FC}" name="産業中分類上位２０"/>
    <tableColumn id="10" xr3:uid="{9B9A6E07-B442-428C-AC4B-A8AC7FD1BE20}" name="総数／事業所数" dataCellStyle="桁区切り"/>
    <tableColumn id="11" xr3:uid="{5C087244-79FF-4DCA-B8E3-6AB8AE107A41}" name="総数／構成比" dataDxfId="1349"/>
    <tableColumn id="12" xr3:uid="{AFA5E631-2C59-4893-8EDB-FC7EA91951DD}" name="個人／事業所数" dataCellStyle="桁区切り"/>
    <tableColumn id="13" xr3:uid="{3F2B8A24-4A14-439B-8C60-65E44FB8B451}" name="個人／構成比" dataDxfId="1348"/>
    <tableColumn id="14" xr3:uid="{750FADAC-1225-4180-94F1-C3572628E89F}" name="法人／事業所数" dataCellStyle="桁区切り"/>
    <tableColumn id="15" xr3:uid="{ABE91FC7-9396-43BF-B22A-20D21B916DCB}" name="法人／構成比" dataDxfId="1347"/>
    <tableColumn id="16" xr3:uid="{E1630F01-7069-4D50-9FEC-166A068B16DC}" name="法人以外の団体／事業所数" dataCellStyle="桁区切り"/>
  </tableColumns>
  <tableStyleInfo name="TableStyleMedium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917D46C7-FE6B-47D4-A079-5D92E414F0B1}" name="S_TABLE_01434" displayName="S_TABLE_01434" ref="B52:I95" totalsRowShown="0">
  <autoFilter ref="B52:I95" xr:uid="{917D46C7-FE6B-47D4-A079-5D92E414F0B1}"/>
  <tableColumns count="8">
    <tableColumn id="9" xr3:uid="{8C8EDF1D-8A39-47BF-8601-A5C1DF1E5B51}" name="産業小分類上位２０"/>
    <tableColumn id="10" xr3:uid="{D68FAA08-5C08-4D1F-8793-D384C7A7CA3B}" name="総数／事業所数" dataCellStyle="桁区切り"/>
    <tableColumn id="11" xr3:uid="{46F466ED-5F5B-4CE0-9FD2-770E9CE22AB5}" name="総数／構成比" dataDxfId="1346"/>
    <tableColumn id="12" xr3:uid="{D6BC2822-0B31-441B-8C53-4B7C81E2E75F}" name="個人／事業所数" dataCellStyle="桁区切り"/>
    <tableColumn id="13" xr3:uid="{E43E7C29-DB68-4154-8493-ECD724561CF2}" name="個人／構成比" dataDxfId="1345"/>
    <tableColumn id="14" xr3:uid="{1565AF0F-FF25-4DA5-B636-F364AE5B6AA8}" name="法人／事業所数" dataCellStyle="桁区切り"/>
    <tableColumn id="15" xr3:uid="{07B11747-09CB-48C6-A2EE-475527ABB1E5}" name="法人／構成比" dataDxfId="1344"/>
    <tableColumn id="16" xr3:uid="{C3660845-E137-4920-8C7F-D5202F3303D7}" name="法人以外の団体／事業所数" dataCellStyle="桁区切り"/>
  </tableColumns>
  <tableStyleInfo name="TableStyleMedium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65FE15CC-0DB9-4433-8F47-70D0D6AD32E7}" name="LTBL_01436" displayName="LTBL_01436" ref="B4:I20" totalsRowCount="1">
  <autoFilter ref="B4:I19" xr:uid="{65FE15CC-0DB9-4433-8F47-70D0D6AD32E7}"/>
  <tableColumns count="8">
    <tableColumn id="9" xr3:uid="{81F470D2-1580-4492-9914-E75CBDA75FEC}" name="産業大分類" totalsRowLabel="合計" totalsRowDxfId="1343"/>
    <tableColumn id="10" xr3:uid="{D4DCBAD7-068D-4156-BDDF-233E00AB257A}" name="総数／事業所数" totalsRowFunction="custom" totalsRowDxfId="1342" dataCellStyle="桁区切り" totalsRowCellStyle="桁区切り">
      <totalsRowFormula>SUM(LTBL_01436[総数／事業所数])</totalsRowFormula>
    </tableColumn>
    <tableColumn id="11" xr3:uid="{FD0A3152-F54F-4DB2-AA19-C8822292FE51}" name="総数／構成比" dataDxfId="1341"/>
    <tableColumn id="12" xr3:uid="{39A0655B-93BD-43A0-ACBA-DD82C237BA4C}" name="個人／事業所数" totalsRowFunction="sum" totalsRowDxfId="1340" dataCellStyle="桁区切り" totalsRowCellStyle="桁区切り"/>
    <tableColumn id="13" xr3:uid="{61A59FE9-ADAB-48FF-A91F-F3D85F0D9738}" name="個人／構成比" dataDxfId="1339"/>
    <tableColumn id="14" xr3:uid="{4E49D88A-F06B-4DB7-A739-1761A4AF3D48}" name="法人／事業所数" totalsRowFunction="sum" totalsRowDxfId="1338" dataCellStyle="桁区切り" totalsRowCellStyle="桁区切り"/>
    <tableColumn id="15" xr3:uid="{ACF698E2-A4BF-4AC6-B5AB-C42165156761}" name="法人／構成比" dataDxfId="1337"/>
    <tableColumn id="16" xr3:uid="{C5A2644E-A673-413C-AA21-F48055FD235D}" name="法人以外の団体／事業所数" totalsRowFunction="sum" totalsRowDxfId="1336" dataCellStyle="桁区切り" totalsRowCellStyle="桁区切り"/>
  </tableColumns>
  <tableStyleInfo name="TableStyleMedium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5C821132-032D-4FE1-89F0-33BFC07A6126}" name="M_TABLE_01436" displayName="M_TABLE_01436" ref="B23:I44" totalsRowShown="0">
  <autoFilter ref="B23:I44" xr:uid="{5C821132-032D-4FE1-89F0-33BFC07A6126}"/>
  <tableColumns count="8">
    <tableColumn id="9" xr3:uid="{30EFBDB8-0BA5-49B4-93FE-0E12DCABEF09}" name="産業中分類上位２０"/>
    <tableColumn id="10" xr3:uid="{542F3B2F-B5B8-48EB-95E9-3E40550B2CB6}" name="総数／事業所数" dataCellStyle="桁区切り"/>
    <tableColumn id="11" xr3:uid="{BEA81C37-2005-4BB1-BE11-B6D91EAC3787}" name="総数／構成比" dataDxfId="1335"/>
    <tableColumn id="12" xr3:uid="{3569FC83-D24D-4E6F-9F30-1FEE0F5FF7D0}" name="個人／事業所数" dataCellStyle="桁区切り"/>
    <tableColumn id="13" xr3:uid="{236FEDAE-5D1D-41CD-882F-D970796B8C19}" name="個人／構成比" dataDxfId="1334"/>
    <tableColumn id="14" xr3:uid="{79FD0AAB-DD75-4B64-8B79-D695C45013BA}" name="法人／事業所数" dataCellStyle="桁区切り"/>
    <tableColumn id="15" xr3:uid="{853116AB-A542-4573-8CAC-F936C7D6EE3F}" name="法人／構成比" dataDxfId="1333"/>
    <tableColumn id="16" xr3:uid="{61211F3A-6D16-4380-83A6-9EED689EDA26}" name="法人以外の団体／事業所数" dataCellStyle="桁区切り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46CA22B0-D880-4850-BBE6-4C11C16C3058}" name="S_TABLE_01436" displayName="S_TABLE_01436" ref="B47:I85" totalsRowShown="0">
  <autoFilter ref="B47:I85" xr:uid="{46CA22B0-D880-4850-BBE6-4C11C16C3058}"/>
  <tableColumns count="8">
    <tableColumn id="9" xr3:uid="{F913AA3F-D9C8-4428-849C-9453BF19AD2E}" name="産業小分類上位２０"/>
    <tableColumn id="10" xr3:uid="{26FE8175-9491-46CD-A219-F2C7AE74662F}" name="総数／事業所数" dataCellStyle="桁区切り"/>
    <tableColumn id="11" xr3:uid="{4DE4591E-95E8-4C3E-B4F2-5E4FA13EFF2C}" name="総数／構成比" dataDxfId="1332"/>
    <tableColumn id="12" xr3:uid="{25779288-9BF2-4C20-BA0C-F3E3BD22AFEE}" name="個人／事業所数" dataCellStyle="桁区切り"/>
    <tableColumn id="13" xr3:uid="{90563995-744F-4E1F-953F-7C6B4AB4666F}" name="個人／構成比" dataDxfId="1331"/>
    <tableColumn id="14" xr3:uid="{5BAC1BF1-2D62-4A5A-B238-980B01E3B541}" name="法人／事業所数" dataCellStyle="桁区切り"/>
    <tableColumn id="15" xr3:uid="{A6C25B51-073A-463C-ADC8-BFFF37AE30C2}" name="法人／構成比" dataDxfId="1330"/>
    <tableColumn id="16" xr3:uid="{B0A7884A-0F1A-4A48-AC6B-9500A55DE39B}" name="法人以外の団体／事業所数" dataCellStyle="桁区切り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D2ABEE36-D2F1-45E7-8D14-741341275E51}" name="LTBL_01437" displayName="LTBL_01437" ref="B4:I20" totalsRowCount="1">
  <autoFilter ref="B4:I19" xr:uid="{D2ABEE36-D2F1-45E7-8D14-741341275E51}"/>
  <tableColumns count="8">
    <tableColumn id="9" xr3:uid="{5E67E2BA-C67F-4C90-8A1F-BF93BFF2698D}" name="産業大分類" totalsRowLabel="合計" totalsRowDxfId="1329"/>
    <tableColumn id="10" xr3:uid="{03E58C5A-74BF-4864-A5FB-FFDDB1DA2C88}" name="総数／事業所数" totalsRowFunction="custom" totalsRowDxfId="1328" dataCellStyle="桁区切り" totalsRowCellStyle="桁区切り">
      <totalsRowFormula>SUM(LTBL_01437[総数／事業所数])</totalsRowFormula>
    </tableColumn>
    <tableColumn id="11" xr3:uid="{08C08230-E66E-4847-9D54-345D44CABDFA}" name="総数／構成比" dataDxfId="1327"/>
    <tableColumn id="12" xr3:uid="{FEE0BE94-547B-4245-89C3-2B2927FADCF8}" name="個人／事業所数" totalsRowFunction="sum" totalsRowDxfId="1326" dataCellStyle="桁区切り" totalsRowCellStyle="桁区切り"/>
    <tableColumn id="13" xr3:uid="{BE6DE26B-B60E-430C-9189-860AF5D72677}" name="個人／構成比" dataDxfId="1325"/>
    <tableColumn id="14" xr3:uid="{023AC8E4-3477-4183-A4E9-222303F5DA90}" name="法人／事業所数" totalsRowFunction="sum" totalsRowDxfId="1324" dataCellStyle="桁区切り" totalsRowCellStyle="桁区切り"/>
    <tableColumn id="15" xr3:uid="{A63758DD-47DB-4C76-9B7C-226818549BDB}" name="法人／構成比" dataDxfId="1323"/>
    <tableColumn id="16" xr3:uid="{5A35F53F-989A-4047-A74F-1773CA659E46}" name="法人以外の団体／事業所数" totalsRowFunction="sum" totalsRowDxfId="1322" dataCellStyle="桁区切り" totalsRowCellStyle="桁区切り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570A6A8D-7D29-4CC3-BC48-30A4D9B467CE}" name="M_TABLE_01437" displayName="M_TABLE_01437" ref="B23:I39" totalsRowShown="0">
  <autoFilter ref="B23:I39" xr:uid="{570A6A8D-7D29-4CC3-BC48-30A4D9B467CE}"/>
  <tableColumns count="8">
    <tableColumn id="9" xr3:uid="{D5028C4C-D7A2-426B-93F9-1C6CD7CA4C42}" name="産業中分類上位２０"/>
    <tableColumn id="10" xr3:uid="{BD6B1D65-6F65-4B78-91F1-CF6DFAF5DD3C}" name="総数／事業所数" dataCellStyle="桁区切り"/>
    <tableColumn id="11" xr3:uid="{A07AB76E-A6DF-4ED3-BB00-B7F8D5E5DF52}" name="総数／構成比" dataDxfId="1321"/>
    <tableColumn id="12" xr3:uid="{B17587AD-B23B-43AD-9DA6-CD72395E2D5C}" name="個人／事業所数" dataCellStyle="桁区切り"/>
    <tableColumn id="13" xr3:uid="{4B0CD9C6-984B-4563-B29A-0665B3C82238}" name="個人／構成比" dataDxfId="1320"/>
    <tableColumn id="14" xr3:uid="{BC0E2E86-E2B1-4E1E-A463-A262BC468528}" name="法人／事業所数" dataCellStyle="桁区切り"/>
    <tableColumn id="15" xr3:uid="{D5E6FD1B-4261-4A11-9315-3D6B4016AF1A}" name="法人／構成比" dataDxfId="1319"/>
    <tableColumn id="16" xr3:uid="{95065025-7BD8-45D1-B4B9-CB112F65399A}" name="法人以外の団体／事業所数" dataCellStyle="桁区切り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3B265A76-4F44-4599-9D9E-FD9382A63E3A}" name="S_TABLE_01437" displayName="S_TABLE_01437" ref="B42:I71" totalsRowShown="0">
  <autoFilter ref="B42:I71" xr:uid="{3B265A76-4F44-4599-9D9E-FD9382A63E3A}"/>
  <tableColumns count="8">
    <tableColumn id="9" xr3:uid="{34CC43C1-3A46-4B05-8CA3-07561AB36698}" name="産業小分類上位２０"/>
    <tableColumn id="10" xr3:uid="{8D540188-3238-41A6-97A2-A18B307BBFFE}" name="総数／事業所数" dataCellStyle="桁区切り"/>
    <tableColumn id="11" xr3:uid="{748321A4-DE4B-46B9-A54D-18381550CA46}" name="総数／構成比" dataDxfId="1318"/>
    <tableColumn id="12" xr3:uid="{3A4E0781-8087-43F6-B7AE-D354D93D5D0C}" name="個人／事業所数" dataCellStyle="桁区切り"/>
    <tableColumn id="13" xr3:uid="{72D03E99-8C43-44BF-9763-4122E9261AFA}" name="個人／構成比" dataDxfId="1317"/>
    <tableColumn id="14" xr3:uid="{71E63E44-4BE4-4098-B6E2-6A6907BCF790}" name="法人／事業所数" dataCellStyle="桁区切り"/>
    <tableColumn id="15" xr3:uid="{113EBFF5-1C9D-46C5-B92C-CF1E4138C7E2}" name="法人／構成比" dataDxfId="1316"/>
    <tableColumn id="16" xr3:uid="{13286EA5-B80E-4624-B77B-1CE05659AB0A}" name="法人以外の団体／事業所数" dataCellStyle="桁区切り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2D016736-94ED-4F64-8BED-E4C888EE97E1}" name="LTBL_01438" displayName="LTBL_01438" ref="B4:I20" totalsRowCount="1">
  <autoFilter ref="B4:I19" xr:uid="{2D016736-94ED-4F64-8BED-E4C888EE97E1}"/>
  <tableColumns count="8">
    <tableColumn id="9" xr3:uid="{6B16B821-BF12-46EE-9842-2FE2C6BC960C}" name="産業大分類" totalsRowLabel="合計" totalsRowDxfId="1315"/>
    <tableColumn id="10" xr3:uid="{5C1A3A64-5604-467A-A47B-5E0A796F515E}" name="総数／事業所数" totalsRowFunction="custom" totalsRowDxfId="1314" dataCellStyle="桁区切り" totalsRowCellStyle="桁区切り">
      <totalsRowFormula>SUM(LTBL_01438[総数／事業所数])</totalsRowFormula>
    </tableColumn>
    <tableColumn id="11" xr3:uid="{D5C588BD-4355-43DC-A32F-FC5784A43B27}" name="総数／構成比" dataDxfId="1313"/>
    <tableColumn id="12" xr3:uid="{70D412E9-47D3-487E-9596-D312BBB2BEA1}" name="個人／事業所数" totalsRowFunction="sum" totalsRowDxfId="1312" dataCellStyle="桁区切り" totalsRowCellStyle="桁区切り"/>
    <tableColumn id="13" xr3:uid="{48DEF502-7F2D-424B-BC3A-69A7387BD473}" name="個人／構成比" dataDxfId="1311"/>
    <tableColumn id="14" xr3:uid="{555F4203-EFB0-4432-9C8B-FADB1691EBA2}" name="法人／事業所数" totalsRowFunction="sum" totalsRowDxfId="1310" dataCellStyle="桁区切り" totalsRowCellStyle="桁区切り"/>
    <tableColumn id="15" xr3:uid="{2EF709F3-3AA7-495A-B122-14B867E96DCF}" name="法人／構成比" dataDxfId="1309"/>
    <tableColumn id="16" xr3:uid="{B32A5A52-87DC-494D-8ED0-ABE5891C9A28}" name="法人以外の団体／事業所数" totalsRowFunction="sum" totalsRowDxfId="1308" dataCellStyle="桁区切り" totalsRowCellStyle="桁区切り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047F7F0-F8E5-4F03-822B-B66F4C7AFF11}" name="M_TABLE_01108" displayName="M_TABLE_01108" ref="B23:I43" totalsRowShown="0">
  <autoFilter ref="B23:I43" xr:uid="{D047F7F0-F8E5-4F03-822B-B66F4C7AFF11}"/>
  <tableColumns count="8">
    <tableColumn id="9" xr3:uid="{86B7BD48-51AF-4D31-ABD2-1B65F636E0CF}" name="産業中分類上位２０"/>
    <tableColumn id="10" xr3:uid="{30385AA7-F40F-4817-81BF-8B61B27D1EAC}" name="総数／事業所数" dataCellStyle="桁区切り"/>
    <tableColumn id="11" xr3:uid="{8837F26E-0CC2-47B9-92EA-DE57203B87D5}" name="総数／構成比" dataDxfId="2525"/>
    <tableColumn id="12" xr3:uid="{078BC01C-9ED0-4B7D-A1F6-E6995EBB2051}" name="個人／事業所数" dataCellStyle="桁区切り"/>
    <tableColumn id="13" xr3:uid="{A711DEA0-D7BF-4AFB-9C47-7BC0E5474469}" name="個人／構成比" dataDxfId="2524"/>
    <tableColumn id="14" xr3:uid="{65D9963F-CA87-468F-952F-1EBA7A1BB5F2}" name="法人／事業所数" dataCellStyle="桁区切り"/>
    <tableColumn id="15" xr3:uid="{DD9918A0-B9DC-41FE-8C0D-818C4658626F}" name="法人／構成比" dataDxfId="2523"/>
    <tableColumn id="16" xr3:uid="{22A96424-7C2F-46AD-B887-185D25C76D2D}" name="法人以外の団体／事業所数" dataCellStyle="桁区切り"/>
  </tableColumns>
  <tableStyleInfo name="TableStyleMedium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48129F5E-7C01-41B6-9ADA-A4F98C950BF2}" name="M_TABLE_01438" displayName="M_TABLE_01438" ref="B23:I57" totalsRowShown="0">
  <autoFilter ref="B23:I57" xr:uid="{48129F5E-7C01-41B6-9ADA-A4F98C950BF2}"/>
  <tableColumns count="8">
    <tableColumn id="9" xr3:uid="{9ACC9CF8-73BD-470D-824D-BA6D97C595D1}" name="産業中分類上位２０"/>
    <tableColumn id="10" xr3:uid="{1305027B-B3A9-4F21-B24B-D1F28950B7D3}" name="総数／事業所数" dataCellStyle="桁区切り"/>
    <tableColumn id="11" xr3:uid="{8616B6A9-86AB-450B-B02A-C5CA90542A93}" name="総数／構成比" dataDxfId="1307"/>
    <tableColumn id="12" xr3:uid="{8812F62C-4F49-48AE-8F89-F784057C6184}" name="個人／事業所数" dataCellStyle="桁区切り"/>
    <tableColumn id="13" xr3:uid="{8A431205-6A82-4803-A9BA-71476126E348}" name="個人／構成比" dataDxfId="1306"/>
    <tableColumn id="14" xr3:uid="{D2F4F79E-2E49-4B9D-A4B3-2CF21AD0DFB8}" name="法人／事業所数" dataCellStyle="桁区切り"/>
    <tableColumn id="15" xr3:uid="{2C6D535D-7204-4247-BEA0-88FDC58FE8D9}" name="法人／構成比" dataDxfId="1305"/>
    <tableColumn id="16" xr3:uid="{E232D4AD-4EAC-4F73-9BFF-2F62C703B09F}" name="法人以外の団体／事業所数" dataCellStyle="桁区切り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9840EE1A-2470-4F8B-8E96-C3D7E01A7930}" name="S_TABLE_01438" displayName="S_TABLE_01438" ref="B60:I82" totalsRowShown="0">
  <autoFilter ref="B60:I82" xr:uid="{9840EE1A-2470-4F8B-8E96-C3D7E01A7930}"/>
  <tableColumns count="8">
    <tableColumn id="9" xr3:uid="{886BF6D7-7E24-470F-B55C-0C57EC86B2B5}" name="産業小分類上位２０"/>
    <tableColumn id="10" xr3:uid="{639C74D1-A3A7-4564-8761-547380E73E8D}" name="総数／事業所数" dataCellStyle="桁区切り"/>
    <tableColumn id="11" xr3:uid="{508F6ED5-5168-4FD1-93E2-818A85DA293E}" name="総数／構成比" dataDxfId="1304"/>
    <tableColumn id="12" xr3:uid="{B732789E-C3F8-4231-A0E6-42026B556B45}" name="個人／事業所数" dataCellStyle="桁区切り"/>
    <tableColumn id="13" xr3:uid="{BEA83826-16FB-4784-862C-EE47B8040213}" name="個人／構成比" dataDxfId="1303"/>
    <tableColumn id="14" xr3:uid="{99B92D72-D329-4408-944C-713335A4AC09}" name="法人／事業所数" dataCellStyle="桁区切り"/>
    <tableColumn id="15" xr3:uid="{9617E763-EB98-4F94-A91B-7F8E956894E6}" name="法人／構成比" dataDxfId="1302"/>
    <tableColumn id="16" xr3:uid="{2F5BCCFD-AB50-493F-B4D5-0B69E0FD0C3E}" name="法人以外の団体／事業所数" dataCellStyle="桁区切り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2C28EC0A-0133-4162-95CB-69FA76E51720}" name="LTBL_01452" displayName="LTBL_01452" ref="B4:I20" totalsRowCount="1">
  <autoFilter ref="B4:I19" xr:uid="{2C28EC0A-0133-4162-95CB-69FA76E51720}"/>
  <tableColumns count="8">
    <tableColumn id="9" xr3:uid="{CC7B9579-B179-4342-93AE-F9099337401B}" name="産業大分類" totalsRowLabel="合計" totalsRowDxfId="1301"/>
    <tableColumn id="10" xr3:uid="{DFA0106C-6BD1-4E40-ABA2-F84E32EF471E}" name="総数／事業所数" totalsRowFunction="custom" totalsRowDxfId="1300" dataCellStyle="桁区切り" totalsRowCellStyle="桁区切り">
      <totalsRowFormula>SUM(LTBL_01452[総数／事業所数])</totalsRowFormula>
    </tableColumn>
    <tableColumn id="11" xr3:uid="{3D3DFB28-DE40-49E3-B23E-4BBF6502A0C3}" name="総数／構成比" dataDxfId="1299"/>
    <tableColumn id="12" xr3:uid="{E2C281CC-C255-4327-B8B9-EA293FB18C73}" name="個人／事業所数" totalsRowFunction="sum" totalsRowDxfId="1298" dataCellStyle="桁区切り" totalsRowCellStyle="桁区切り"/>
    <tableColumn id="13" xr3:uid="{BEDEE030-7496-493E-BAD5-33B1DB3E41AD}" name="個人／構成比" dataDxfId="1297"/>
    <tableColumn id="14" xr3:uid="{278BF303-7037-468A-9A53-FBC6179E1E6B}" name="法人／事業所数" totalsRowFunction="sum" totalsRowDxfId="1296" dataCellStyle="桁区切り" totalsRowCellStyle="桁区切り"/>
    <tableColumn id="15" xr3:uid="{F02B26F1-549F-4299-B52A-98BC6E93A6CA}" name="法人／構成比" dataDxfId="1295"/>
    <tableColumn id="16" xr3:uid="{16D4434C-9D44-4AA4-9146-B44C370C42E9}" name="法人以外の団体／事業所数" totalsRowFunction="sum" totalsRowDxfId="1294" dataCellStyle="桁区切り" totalsRowCellStyle="桁区切り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EAADDF87-7C01-4C0E-AE8C-6A9115D9EFAE}" name="M_TABLE_01452" displayName="M_TABLE_01452" ref="B23:I43" totalsRowShown="0">
  <autoFilter ref="B23:I43" xr:uid="{EAADDF87-7C01-4C0E-AE8C-6A9115D9EFAE}"/>
  <tableColumns count="8">
    <tableColumn id="9" xr3:uid="{586D585D-435B-4DD2-BB5C-7B35EA2D08C7}" name="産業中分類上位２０"/>
    <tableColumn id="10" xr3:uid="{BB6132DC-449C-46BC-8F03-831877E9AF7C}" name="総数／事業所数" dataCellStyle="桁区切り"/>
    <tableColumn id="11" xr3:uid="{027069E8-BC15-431A-8415-DE8C0DE79E87}" name="総数／構成比" dataDxfId="1293"/>
    <tableColumn id="12" xr3:uid="{54B9C647-125F-4803-844B-CAF8EFCC213B}" name="個人／事業所数" dataCellStyle="桁区切り"/>
    <tableColumn id="13" xr3:uid="{FB5A8784-21A4-4768-9631-C579C550E954}" name="個人／構成比" dataDxfId="1292"/>
    <tableColumn id="14" xr3:uid="{F09A601C-4877-4585-9667-D4EF284A31ED}" name="法人／事業所数" dataCellStyle="桁区切り"/>
    <tableColumn id="15" xr3:uid="{7865364D-933D-4A85-A9EA-ACADF31F3B09}" name="法人／構成比" dataDxfId="1291"/>
    <tableColumn id="16" xr3:uid="{715BE242-29E6-41DF-AD38-0668073C4CB6}" name="法人以外の団体／事業所数" dataCellStyle="桁区切り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3E125B80-5C76-41F5-8010-B08551FAFE69}" name="S_TABLE_01452" displayName="S_TABLE_01452" ref="B46:I82" totalsRowShown="0">
  <autoFilter ref="B46:I82" xr:uid="{3E125B80-5C76-41F5-8010-B08551FAFE69}"/>
  <tableColumns count="8">
    <tableColumn id="9" xr3:uid="{3105C9FE-E6C5-4BFF-AEA6-3364B631BD7D}" name="産業小分類上位２０"/>
    <tableColumn id="10" xr3:uid="{A9160A26-138C-4419-8B09-132DEBA04FC5}" name="総数／事業所数" dataCellStyle="桁区切り"/>
    <tableColumn id="11" xr3:uid="{57DBAC3B-71DA-4AC9-839F-D2194D57918D}" name="総数／構成比" dataDxfId="1290"/>
    <tableColumn id="12" xr3:uid="{C0B477AE-BE3F-4E15-BBCB-7DD705FE0689}" name="個人／事業所数" dataCellStyle="桁区切り"/>
    <tableColumn id="13" xr3:uid="{5B76DA10-EDEC-47EA-B294-A1D0862AEE5B}" name="個人／構成比" dataDxfId="1289"/>
    <tableColumn id="14" xr3:uid="{6B6E5BAF-B0F0-4890-A826-D55294DE3F8E}" name="法人／事業所数" dataCellStyle="桁区切り"/>
    <tableColumn id="15" xr3:uid="{D74DF59B-1D1E-4F3A-BF97-981F2B66FC83}" name="法人／構成比" dataDxfId="1288"/>
    <tableColumn id="16" xr3:uid="{11524745-2D66-4296-9116-B75C8CB117D2}" name="法人以外の団体／事業所数" dataCellStyle="桁区切り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46D9E0F1-C63C-4536-BC60-02A3C7ED4925}" name="LTBL_01453" displayName="LTBL_01453" ref="B4:I20" totalsRowCount="1">
  <autoFilter ref="B4:I19" xr:uid="{46D9E0F1-C63C-4536-BC60-02A3C7ED4925}"/>
  <tableColumns count="8">
    <tableColumn id="9" xr3:uid="{E3C0A8EF-31DB-4B07-863B-500425D6AF56}" name="産業大分類" totalsRowLabel="合計" totalsRowDxfId="1287"/>
    <tableColumn id="10" xr3:uid="{54B5D7C6-60F0-4E92-84E7-20502C975F06}" name="総数／事業所数" totalsRowFunction="custom" totalsRowDxfId="1286" dataCellStyle="桁区切り" totalsRowCellStyle="桁区切り">
      <totalsRowFormula>SUM(LTBL_01453[総数／事業所数])</totalsRowFormula>
    </tableColumn>
    <tableColumn id="11" xr3:uid="{ECAA4E85-39EA-4FB3-824A-C7F9B5C6EAE6}" name="総数／構成比" dataDxfId="1285"/>
    <tableColumn id="12" xr3:uid="{9AE74996-12B8-4F03-B33A-C201FECC459F}" name="個人／事業所数" totalsRowFunction="sum" totalsRowDxfId="1284" dataCellStyle="桁区切り" totalsRowCellStyle="桁区切り"/>
    <tableColumn id="13" xr3:uid="{3C5452E3-702F-49EE-9D89-6CF32C88BC8C}" name="個人／構成比" dataDxfId="1283"/>
    <tableColumn id="14" xr3:uid="{3E3E1093-B06E-4C81-B681-6BD6587953D1}" name="法人／事業所数" totalsRowFunction="sum" totalsRowDxfId="1282" dataCellStyle="桁区切り" totalsRowCellStyle="桁区切り"/>
    <tableColumn id="15" xr3:uid="{5C9664DA-0BCA-4D99-8AEB-18ADDA3EB55C}" name="法人／構成比" dataDxfId="1281"/>
    <tableColumn id="16" xr3:uid="{C9C21DE8-95A4-4C52-9426-3CF819C402FA}" name="法人以外の団体／事業所数" totalsRowFunction="sum" totalsRowDxfId="1280" dataCellStyle="桁区切り" totalsRowCellStyle="桁区切り"/>
  </tableColumns>
  <tableStyleInfo name="TableStyleMedium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3B0BAE42-701A-4537-A85F-7DD7D5EA4365}" name="M_TABLE_01453" displayName="M_TABLE_01453" ref="B23:I51" totalsRowShown="0">
  <autoFilter ref="B23:I51" xr:uid="{3B0BAE42-701A-4537-A85F-7DD7D5EA4365}"/>
  <tableColumns count="8">
    <tableColumn id="9" xr3:uid="{CD94990E-AE81-4C2A-BB9F-77D142FF71B5}" name="産業中分類上位２０"/>
    <tableColumn id="10" xr3:uid="{11FB1710-3BA1-480B-B5D5-90C02990B0F0}" name="総数／事業所数" dataCellStyle="桁区切り"/>
    <tableColumn id="11" xr3:uid="{7C79DB2A-160E-42C6-AA80-DBB2580B3FC2}" name="総数／構成比" dataDxfId="1279"/>
    <tableColumn id="12" xr3:uid="{C1EF5C1D-C73F-4E25-B51C-E397AE218914}" name="個人／事業所数" dataCellStyle="桁区切り"/>
    <tableColumn id="13" xr3:uid="{F3A6CB6F-D4C7-479B-8518-8C50435B170B}" name="個人／構成比" dataDxfId="1278"/>
    <tableColumn id="14" xr3:uid="{FCB919E6-A47A-411C-ADB1-319B3189B2BC}" name="法人／事業所数" dataCellStyle="桁区切り"/>
    <tableColumn id="15" xr3:uid="{5058CC66-63EC-4783-A29D-45153006B49A}" name="法人／構成比" dataDxfId="1277"/>
    <tableColumn id="16" xr3:uid="{0F412DC5-7E4B-41CA-898A-94F453036A5A}" name="法人以外の団体／事業所数" dataCellStyle="桁区切り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AEDD59DE-5571-4339-8A9F-17416A5DA253}" name="S_TABLE_01453" displayName="S_TABLE_01453" ref="B54:I80" totalsRowShown="0">
  <autoFilter ref="B54:I80" xr:uid="{AEDD59DE-5571-4339-8A9F-17416A5DA253}"/>
  <tableColumns count="8">
    <tableColumn id="9" xr3:uid="{61831CF6-869F-4BDA-9C6A-036466FD0C7D}" name="産業小分類上位２０"/>
    <tableColumn id="10" xr3:uid="{F344118F-2016-4B76-BC15-CBDFADF9B865}" name="総数／事業所数" dataCellStyle="桁区切り"/>
    <tableColumn id="11" xr3:uid="{936A17A0-F205-4965-B45B-4CE6E8CD6945}" name="総数／構成比" dataDxfId="1276"/>
    <tableColumn id="12" xr3:uid="{7D9C312A-2B0E-4D95-9C52-B4D4650AA9FA}" name="個人／事業所数" dataCellStyle="桁区切り"/>
    <tableColumn id="13" xr3:uid="{75329EAC-B70D-485F-A3A2-35C0848CAC06}" name="個人／構成比" dataDxfId="1275"/>
    <tableColumn id="14" xr3:uid="{5615804C-4584-47E4-BA74-C7DACB04C179}" name="法人／事業所数" dataCellStyle="桁区切り"/>
    <tableColumn id="15" xr3:uid="{D782CA96-A245-4E24-B4D6-0327ED9A23EF}" name="法人／構成比" dataDxfId="1274"/>
    <tableColumn id="16" xr3:uid="{34F90E84-AA9A-41FB-9BED-8637971703DC}" name="法人以外の団体／事業所数" dataCellStyle="桁区切り"/>
  </tableColumns>
  <tableStyleInfo name="TableStyleMedium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83FF01D2-2ECC-41DE-B77F-7C9942726DCA}" name="LTBL_01454" displayName="LTBL_01454" ref="B4:I20" totalsRowCount="1">
  <autoFilter ref="B4:I19" xr:uid="{83FF01D2-2ECC-41DE-B77F-7C9942726DCA}"/>
  <tableColumns count="8">
    <tableColumn id="9" xr3:uid="{8D0B245C-A030-4E81-8A41-D0D7F6DFCFB8}" name="産業大分類" totalsRowLabel="合計" totalsRowDxfId="1273"/>
    <tableColumn id="10" xr3:uid="{332D1843-3326-469B-8A8E-110C94DF4A48}" name="総数／事業所数" totalsRowFunction="custom" totalsRowDxfId="1272" dataCellStyle="桁区切り" totalsRowCellStyle="桁区切り">
      <totalsRowFormula>SUM(LTBL_01454[総数／事業所数])</totalsRowFormula>
    </tableColumn>
    <tableColumn id="11" xr3:uid="{967CBE66-3DE4-4CAF-B9C3-1771CC1AFC27}" name="総数／構成比" dataDxfId="1271"/>
    <tableColumn id="12" xr3:uid="{0CAB9E22-28A9-4E7A-8245-1D583195511F}" name="個人／事業所数" totalsRowFunction="sum" totalsRowDxfId="1270" dataCellStyle="桁区切り" totalsRowCellStyle="桁区切り"/>
    <tableColumn id="13" xr3:uid="{23C8A5F2-EB67-4747-A2E8-6B0C000325AB}" name="個人／構成比" dataDxfId="1269"/>
    <tableColumn id="14" xr3:uid="{25FA9EE2-6A1C-4117-AB7A-B8BB653C705A}" name="法人／事業所数" totalsRowFunction="sum" totalsRowDxfId="1268" dataCellStyle="桁区切り" totalsRowCellStyle="桁区切り"/>
    <tableColumn id="15" xr3:uid="{CE795C17-8EB0-49F8-83DA-1C6A6087E274}" name="法人／構成比" dataDxfId="1267"/>
    <tableColumn id="16" xr3:uid="{D046AB51-2689-4011-9490-4A01252B8C66}" name="法人以外の団体／事業所数" totalsRowFunction="sum" totalsRowDxfId="1266" dataCellStyle="桁区切り" totalsRowCellStyle="桁区切り"/>
  </tableColumns>
  <tableStyleInfo name="TableStyleMedium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EC425040-11CF-4ED9-BC35-E2C9AD17283F}" name="M_TABLE_01454" displayName="M_TABLE_01454" ref="B23:I43" totalsRowShown="0">
  <autoFilter ref="B23:I43" xr:uid="{EC425040-11CF-4ED9-BC35-E2C9AD17283F}"/>
  <tableColumns count="8">
    <tableColumn id="9" xr3:uid="{25738448-B43A-40D6-A1EC-D39C02698C54}" name="産業中分類上位２０"/>
    <tableColumn id="10" xr3:uid="{FF07BB28-37B8-4E34-9C28-0A14D96F1410}" name="総数／事業所数" dataCellStyle="桁区切り"/>
    <tableColumn id="11" xr3:uid="{DEA68BA3-703B-4E7B-86AC-57CA11C9EB9D}" name="総数／構成比" dataDxfId="1265"/>
    <tableColumn id="12" xr3:uid="{654DEA34-07FD-4C8B-9329-A1E91922B6C8}" name="個人／事業所数" dataCellStyle="桁区切り"/>
    <tableColumn id="13" xr3:uid="{ACF838B3-D0A9-48BF-8430-C31F90BCD536}" name="個人／構成比" dataDxfId="1264"/>
    <tableColumn id="14" xr3:uid="{DA1D0785-01F5-489B-B06A-D23A1CC65741}" name="法人／事業所数" dataCellStyle="桁区切り"/>
    <tableColumn id="15" xr3:uid="{F4935DD4-1B99-45B3-BD10-01058F2D2AF8}" name="法人／構成比" dataDxfId="1263"/>
    <tableColumn id="16" xr3:uid="{4DA64537-4D36-487F-9DD0-C9AE058A1CB9}" name="法人以外の団体／事業所数" dataCellStyle="桁区切り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AC954A8-95A0-4F2E-A689-FE59CDDDE9D1}" name="S_TABLE_01000" displayName="S_TABLE_01000" ref="B46:I66" totalsRowShown="0">
  <autoFilter ref="B46:I66" xr:uid="{2AC954A8-95A0-4F2E-A689-FE59CDDDE9D1}"/>
  <tableColumns count="8">
    <tableColumn id="9" xr3:uid="{4FBFFB8B-8FBF-4369-AAFB-76D6B8831F19}" name="産業小分類上位２０"/>
    <tableColumn id="10" xr3:uid="{82F830CA-4C5A-41BF-BE7B-32CC685FE199}" name="総数／事業所数" dataCellStyle="桁区切り"/>
    <tableColumn id="11" xr3:uid="{83BF984B-55A7-40A6-841A-85903DE5A876}" name="総数／構成比" dataDxfId="2648"/>
    <tableColumn id="12" xr3:uid="{02DBA7CE-179D-45CB-903C-7E620FE5D72A}" name="個人／事業所数" dataCellStyle="桁区切り"/>
    <tableColumn id="13" xr3:uid="{DC8FDC82-A096-4D6F-8AD5-F8E75598B2BF}" name="個人／構成比" dataDxfId="2647"/>
    <tableColumn id="14" xr3:uid="{9C2FCA41-6EB3-403A-B9D6-424952EDE7E6}" name="法人／事業所数" dataCellStyle="桁区切り"/>
    <tableColumn id="15" xr3:uid="{4D62CE0D-2CD6-426F-AB24-6FD9F38740DE}" name="法人／構成比" dataDxfId="2646"/>
    <tableColumn id="16" xr3:uid="{50BF5F58-5AEE-4AE9-A62A-23FF68018EEF}" name="法人以外の団体／事業所数" dataCellStyle="桁区切り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7E53EC4-56EA-400A-A9A9-EB87865F1901}" name="S_TABLE_01108" displayName="S_TABLE_01108" ref="B46:I66" totalsRowShown="0">
  <autoFilter ref="B46:I66" xr:uid="{97E53EC4-56EA-400A-A9A9-EB87865F1901}"/>
  <tableColumns count="8">
    <tableColumn id="9" xr3:uid="{023F218A-CAC7-4E32-B5A5-6B0153D3CD79}" name="産業小分類上位２０"/>
    <tableColumn id="10" xr3:uid="{95ED6EB7-DBE9-451A-A749-DFA2264BE759}" name="総数／事業所数" dataCellStyle="桁区切り"/>
    <tableColumn id="11" xr3:uid="{EB2865C9-EC33-40AC-8122-E48F85B43454}" name="総数／構成比" dataDxfId="2522"/>
    <tableColumn id="12" xr3:uid="{7763E6D5-2063-435A-A83C-7DAAC0421C4C}" name="個人／事業所数" dataCellStyle="桁区切り"/>
    <tableColumn id="13" xr3:uid="{5E302CE4-0864-4A06-8083-F2BA2618805D}" name="個人／構成比" dataDxfId="2521"/>
    <tableColumn id="14" xr3:uid="{CFCB4938-494F-41F0-A9C4-AC3FD2CAAA91}" name="法人／事業所数" dataCellStyle="桁区切り"/>
    <tableColumn id="15" xr3:uid="{AA97F212-0D92-4931-8FBD-74D4FD707480}" name="法人／構成比" dataDxfId="2520"/>
    <tableColumn id="16" xr3:uid="{66EFC1AA-497A-4494-A98F-038ED1F40754}" name="法人以外の団体／事業所数" dataCellStyle="桁区切り"/>
  </tableColumns>
  <tableStyleInfo name="TableStyleMedium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3ABDCA32-330F-4493-B1AB-99A4E014C298}" name="S_TABLE_01454" displayName="S_TABLE_01454" ref="B46:I83" totalsRowShown="0">
  <autoFilter ref="B46:I83" xr:uid="{3ABDCA32-330F-4493-B1AB-99A4E014C298}"/>
  <tableColumns count="8">
    <tableColumn id="9" xr3:uid="{5C9239EF-2DFF-4F86-8F37-6DD0ABE47022}" name="産業小分類上位２０"/>
    <tableColumn id="10" xr3:uid="{F9EABA3C-1ED2-4463-AFBB-3F72ABFC71ED}" name="総数／事業所数" dataCellStyle="桁区切り"/>
    <tableColumn id="11" xr3:uid="{48A1A16B-21C8-4B3A-8BEA-851E37530B24}" name="総数／構成比" dataDxfId="1262"/>
    <tableColumn id="12" xr3:uid="{39EB2BAD-04A9-4E4A-82E3-18D35C9E60A7}" name="個人／事業所数" dataCellStyle="桁区切り"/>
    <tableColumn id="13" xr3:uid="{3B598413-630B-48B3-9D1F-8D69FFE22743}" name="個人／構成比" dataDxfId="1261"/>
    <tableColumn id="14" xr3:uid="{2DD2435A-9E72-4ACC-849F-2A6A0226E1B6}" name="法人／事業所数" dataCellStyle="桁区切り"/>
    <tableColumn id="15" xr3:uid="{34EF57DC-97A4-4754-8212-A70349AA0B32}" name="法人／構成比" dataDxfId="1260"/>
    <tableColumn id="16" xr3:uid="{70BEFBC1-48FF-407E-8C02-E26E5B9F6B24}" name="法人以外の団体／事業所数" dataCellStyle="桁区切り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B2721F77-E3A4-4B0B-97BA-D9806B1196E7}" name="LTBL_01455" displayName="LTBL_01455" ref="B4:I20" totalsRowCount="1">
  <autoFilter ref="B4:I19" xr:uid="{B2721F77-E3A4-4B0B-97BA-D9806B1196E7}"/>
  <tableColumns count="8">
    <tableColumn id="9" xr3:uid="{7178CEEF-EA23-4FD8-A9D7-28A7B6907955}" name="産業大分類" totalsRowLabel="合計" totalsRowDxfId="1259"/>
    <tableColumn id="10" xr3:uid="{9D1E6FB0-4CBD-4AC5-8DD6-53AEA29CC0D8}" name="総数／事業所数" totalsRowFunction="custom" totalsRowDxfId="1258" dataCellStyle="桁区切り" totalsRowCellStyle="桁区切り">
      <totalsRowFormula>SUM(LTBL_01455[総数／事業所数])</totalsRowFormula>
    </tableColumn>
    <tableColumn id="11" xr3:uid="{D83D8AEC-9B66-416B-9A5F-B6F56AB8DAC7}" name="総数／構成比" dataDxfId="1257"/>
    <tableColumn id="12" xr3:uid="{3BEF5B3D-5C1B-4436-A19C-84E33C8674BB}" name="個人／事業所数" totalsRowFunction="sum" totalsRowDxfId="1256" dataCellStyle="桁区切り" totalsRowCellStyle="桁区切り"/>
    <tableColumn id="13" xr3:uid="{3AD8D8AA-C2CE-4E3D-B25C-EB5EC63D0CFD}" name="個人／構成比" dataDxfId="1255"/>
    <tableColumn id="14" xr3:uid="{3091C512-3F24-40BB-B8EE-117A6C1DDBE4}" name="法人／事業所数" totalsRowFunction="sum" totalsRowDxfId="1254" dataCellStyle="桁区切り" totalsRowCellStyle="桁区切り"/>
    <tableColumn id="15" xr3:uid="{2DE1F63A-1962-4CC1-8910-CA6618C8F4E3}" name="法人／構成比" dataDxfId="1253"/>
    <tableColumn id="16" xr3:uid="{BCCD51DB-5BE4-4972-8580-113012B42933}" name="法人以外の団体／事業所数" totalsRowFunction="sum" totalsRowDxfId="1252" dataCellStyle="桁区切り" totalsRowCellStyle="桁区切り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596314DC-BA2E-44D3-8392-4AD16E2798C4}" name="M_TABLE_01455" displayName="M_TABLE_01455" ref="B23:I58" totalsRowShown="0">
  <autoFilter ref="B23:I58" xr:uid="{596314DC-BA2E-44D3-8392-4AD16E2798C4}"/>
  <tableColumns count="8">
    <tableColumn id="9" xr3:uid="{9A61AA64-E57F-4A34-B157-2CC8EA5D98C2}" name="産業中分類上位２０"/>
    <tableColumn id="10" xr3:uid="{A28AC525-0138-436E-B284-26C68220C6A0}" name="総数／事業所数" dataCellStyle="桁区切り"/>
    <tableColumn id="11" xr3:uid="{9B3B7B47-4C71-438E-9FFB-9A018CB69DE8}" name="総数／構成比" dataDxfId="1251"/>
    <tableColumn id="12" xr3:uid="{FEBE5F13-6473-49FF-A92A-8F89072C809D}" name="個人／事業所数" dataCellStyle="桁区切り"/>
    <tableColumn id="13" xr3:uid="{E7A7A3D7-B0DB-4E8E-8634-1D6251B3977D}" name="個人／構成比" dataDxfId="1250"/>
    <tableColumn id="14" xr3:uid="{55FA7BFA-7D49-4BDC-A302-7C20547A6F57}" name="法人／事業所数" dataCellStyle="桁区切り"/>
    <tableColumn id="15" xr3:uid="{9B5B78BD-2274-4043-A630-0A06259B187C}" name="法人／構成比" dataDxfId="1249"/>
    <tableColumn id="16" xr3:uid="{B8660DA7-2CBF-4100-9DD2-A007DDA37058}" name="法人以外の団体／事業所数" dataCellStyle="桁区切り"/>
  </tableColumns>
  <tableStyleInfo name="TableStyleMedium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89EEF919-01B0-4154-84FC-21E48627E1BB}" name="S_TABLE_01455" displayName="S_TABLE_01455" ref="B61:I122" totalsRowShown="0">
  <autoFilter ref="B61:I122" xr:uid="{89EEF919-01B0-4154-84FC-21E48627E1BB}"/>
  <tableColumns count="8">
    <tableColumn id="9" xr3:uid="{5936AF61-AC85-4DCE-AD54-79DF0498D99D}" name="産業小分類上位２０"/>
    <tableColumn id="10" xr3:uid="{2B40A727-784D-403B-A6F6-E0DA0A7FFFCE}" name="総数／事業所数" dataCellStyle="桁区切り"/>
    <tableColumn id="11" xr3:uid="{97267522-C5E3-458D-8549-53C37E2E5DAA}" name="総数／構成比" dataDxfId="1248"/>
    <tableColumn id="12" xr3:uid="{4F7AAF70-1DA9-4A0B-B673-35CE9595AE1A}" name="個人／事業所数" dataCellStyle="桁区切り"/>
    <tableColumn id="13" xr3:uid="{4E5E6278-5152-4F8A-BF94-B98FD45D3E77}" name="個人／構成比" dataDxfId="1247"/>
    <tableColumn id="14" xr3:uid="{6F447D8D-A196-49BE-9837-E994A7C148A1}" name="法人／事業所数" dataCellStyle="桁区切り"/>
    <tableColumn id="15" xr3:uid="{E3943850-18E1-4089-AB61-3A886E80357D}" name="法人／構成比" dataDxfId="1246"/>
    <tableColumn id="16" xr3:uid="{1FBDB17E-25CE-4DE0-B277-FB88AAABBC8B}" name="法人以外の団体／事業所数" dataCellStyle="桁区切り"/>
  </tableColumns>
  <tableStyleInfo name="TableStyleMedium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F0410A3D-F7A0-4637-AC90-040D0A4B8FCE}" name="LTBL_01456" displayName="LTBL_01456" ref="B4:I20" totalsRowCount="1">
  <autoFilter ref="B4:I19" xr:uid="{F0410A3D-F7A0-4637-AC90-040D0A4B8FCE}"/>
  <tableColumns count="8">
    <tableColumn id="9" xr3:uid="{ED4129EB-97BF-4C22-8E04-9960B431C059}" name="産業大分類" totalsRowLabel="合計" totalsRowDxfId="1245"/>
    <tableColumn id="10" xr3:uid="{4F96807C-47EA-4AF4-AA08-D13C1A50AB25}" name="総数／事業所数" totalsRowFunction="custom" totalsRowDxfId="1244" dataCellStyle="桁区切り" totalsRowCellStyle="桁区切り">
      <totalsRowFormula>SUM(LTBL_01456[総数／事業所数])</totalsRowFormula>
    </tableColumn>
    <tableColumn id="11" xr3:uid="{8402C80C-F9A0-459A-9727-8DD486BF1250}" name="総数／構成比" dataDxfId="1243"/>
    <tableColumn id="12" xr3:uid="{2D9D5990-3E4E-47AD-AB18-B6D12C2D482A}" name="個人／事業所数" totalsRowFunction="sum" totalsRowDxfId="1242" dataCellStyle="桁区切り" totalsRowCellStyle="桁区切り"/>
    <tableColumn id="13" xr3:uid="{71B49613-9547-4BFF-9F6E-239A68FC8C69}" name="個人／構成比" dataDxfId="1241"/>
    <tableColumn id="14" xr3:uid="{3B827345-6BCE-48C6-A98B-66E53E8849C6}" name="法人／事業所数" totalsRowFunction="sum" totalsRowDxfId="1240" dataCellStyle="桁区切り" totalsRowCellStyle="桁区切り"/>
    <tableColumn id="15" xr3:uid="{3EBA61D7-F96B-4C78-B729-0CDBC0232C08}" name="法人／構成比" dataDxfId="1239"/>
    <tableColumn id="16" xr3:uid="{22C5C03E-4AD5-47E4-92B7-6612F4D729C5}" name="法人以外の団体／事業所数" totalsRowFunction="sum" totalsRowDxfId="1238" dataCellStyle="桁区切り" totalsRowCellStyle="桁区切り"/>
  </tableColumns>
  <tableStyleInfo name="TableStyleMedium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244EBB17-B41D-413D-90FA-51081BB17CC4}" name="M_TABLE_01456" displayName="M_TABLE_01456" ref="B23:I54" totalsRowShown="0">
  <autoFilter ref="B23:I54" xr:uid="{244EBB17-B41D-413D-90FA-51081BB17CC4}"/>
  <tableColumns count="8">
    <tableColumn id="9" xr3:uid="{B61F79D8-DD40-478A-A5B7-B7A4C84F2D7E}" name="産業中分類上位２０"/>
    <tableColumn id="10" xr3:uid="{B5BFC686-59FD-48A4-A38C-5980B3C8C4B1}" name="総数／事業所数" dataCellStyle="桁区切り"/>
    <tableColumn id="11" xr3:uid="{4523694F-2C26-46A3-AD64-A05803C258CB}" name="総数／構成比" dataDxfId="1237"/>
    <tableColumn id="12" xr3:uid="{6AC59B78-6F3B-4190-8F1E-6A8D1D8A0B53}" name="個人／事業所数" dataCellStyle="桁区切り"/>
    <tableColumn id="13" xr3:uid="{0044345D-9848-4B0C-B7B6-1D9D850A6FB4}" name="個人／構成比" dataDxfId="1236"/>
    <tableColumn id="14" xr3:uid="{A46C12A4-7878-4A69-B802-0C7552989569}" name="法人／事業所数" dataCellStyle="桁区切り"/>
    <tableColumn id="15" xr3:uid="{981BAA9A-9E4D-4008-BF6F-B223AE129019}" name="法人／構成比" dataDxfId="1235"/>
    <tableColumn id="16" xr3:uid="{8753910C-30DE-49F2-9F2E-7B1B2B52524F}" name="法人以外の団体／事業所数" dataCellStyle="桁区切り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9CCB65D2-4049-4BA4-A079-3221288391D6}" name="S_TABLE_01456" displayName="S_TABLE_01456" ref="B57:I111" totalsRowShown="0">
  <autoFilter ref="B57:I111" xr:uid="{9CCB65D2-4049-4BA4-A079-3221288391D6}"/>
  <tableColumns count="8">
    <tableColumn id="9" xr3:uid="{696ADFD5-31B5-4F63-B7C9-894D5B43E4D4}" name="産業小分類上位２０"/>
    <tableColumn id="10" xr3:uid="{40A4092B-EA27-4F00-BBCB-276917B7D1B2}" name="総数／事業所数" dataCellStyle="桁区切り"/>
    <tableColumn id="11" xr3:uid="{EF79104A-1EE9-4D3D-B2D0-4EC312628619}" name="総数／構成比" dataDxfId="1234"/>
    <tableColumn id="12" xr3:uid="{8A78964E-F73F-41B4-A95B-5B2D32F85B44}" name="個人／事業所数" dataCellStyle="桁区切り"/>
    <tableColumn id="13" xr3:uid="{D39E2B3D-74E6-43AB-B855-B1B514DE777B}" name="個人／構成比" dataDxfId="1233"/>
    <tableColumn id="14" xr3:uid="{71E2D145-83F8-49A6-AC5E-1BAF0E9C69E1}" name="法人／事業所数" dataCellStyle="桁区切り"/>
    <tableColumn id="15" xr3:uid="{AA92F19A-BB8F-459D-8BD8-A4544E039B88}" name="法人／構成比" dataDxfId="1232"/>
    <tableColumn id="16" xr3:uid="{92A03433-5871-442C-AA8B-DE76F8105070}" name="法人以外の団体／事業所数" dataCellStyle="桁区切り"/>
  </tableColumns>
  <tableStyleInfo name="TableStyleMedium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E5267F15-1BAA-4AAD-8EEB-F9E78708BB83}" name="LTBL_01457" displayName="LTBL_01457" ref="B4:I20" totalsRowCount="1">
  <autoFilter ref="B4:I19" xr:uid="{E5267F15-1BAA-4AAD-8EEB-F9E78708BB83}"/>
  <tableColumns count="8">
    <tableColumn id="9" xr3:uid="{70A3CBEA-CC85-4A58-AEF2-C1733113EF49}" name="産業大分類" totalsRowLabel="合計" totalsRowDxfId="1231"/>
    <tableColumn id="10" xr3:uid="{EF1BD89C-4EAB-422D-A8A4-7B6E84CF8FA3}" name="総数／事業所数" totalsRowFunction="custom" totalsRowDxfId="1230" dataCellStyle="桁区切り" totalsRowCellStyle="桁区切り">
      <totalsRowFormula>SUM(LTBL_01457[総数／事業所数])</totalsRowFormula>
    </tableColumn>
    <tableColumn id="11" xr3:uid="{3E232CA2-276C-4E83-9F6D-425A603B41F8}" name="総数／構成比" dataDxfId="1229"/>
    <tableColumn id="12" xr3:uid="{AD94B9F4-055A-4595-A068-384F851CBE75}" name="個人／事業所数" totalsRowFunction="sum" totalsRowDxfId="1228" dataCellStyle="桁区切り" totalsRowCellStyle="桁区切り"/>
    <tableColumn id="13" xr3:uid="{698696C8-3B7E-4C4B-94E0-545A2F8DDD9C}" name="個人／構成比" dataDxfId="1227"/>
    <tableColumn id="14" xr3:uid="{EC6F4FC2-5EA9-4D81-A4A3-A261BCC8777B}" name="法人／事業所数" totalsRowFunction="sum" totalsRowDxfId="1226" dataCellStyle="桁区切り" totalsRowCellStyle="桁区切り"/>
    <tableColumn id="15" xr3:uid="{B994DF4E-4866-403B-9C52-3EF2B604AF2F}" name="法人／構成比" dataDxfId="1225"/>
    <tableColumn id="16" xr3:uid="{F4978780-5256-4974-8BCF-C5FF15235841}" name="法人以外の団体／事業所数" totalsRowFunction="sum" totalsRowDxfId="1224" dataCellStyle="桁区切り" totalsRowCellStyle="桁区切り"/>
  </tableColumns>
  <tableStyleInfo name="TableStyleMedium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CE1B6CEE-621B-4879-BC11-D5777B6769A6}" name="M_TABLE_01457" displayName="M_TABLE_01457" ref="B23:I48" totalsRowShown="0">
  <autoFilter ref="B23:I48" xr:uid="{CE1B6CEE-621B-4879-BC11-D5777B6769A6}"/>
  <tableColumns count="8">
    <tableColumn id="9" xr3:uid="{1625F74A-B6FA-4D1B-A985-8E9FFA1B388E}" name="産業中分類上位２０"/>
    <tableColumn id="10" xr3:uid="{710ACA52-BE17-4F1B-B046-7CD03D078FA1}" name="総数／事業所数" dataCellStyle="桁区切り"/>
    <tableColumn id="11" xr3:uid="{B041D685-A9A9-4A6C-A44F-04575A8A5222}" name="総数／構成比" dataDxfId="1223"/>
    <tableColumn id="12" xr3:uid="{E7A2D931-6A5A-41C4-BD2A-6533368639CE}" name="個人／事業所数" dataCellStyle="桁区切り"/>
    <tableColumn id="13" xr3:uid="{6031DFE6-7231-4B53-BD1C-B55A8719ED16}" name="個人／構成比" dataDxfId="1222"/>
    <tableColumn id="14" xr3:uid="{C38E5681-5B1B-488A-B0DF-BE011B3FA3B8}" name="法人／事業所数" dataCellStyle="桁区切り"/>
    <tableColumn id="15" xr3:uid="{3C43EC1F-C127-4D73-A03C-0E5FCC23E757}" name="法人／構成比" dataDxfId="1221"/>
    <tableColumn id="16" xr3:uid="{CFDB9B03-E0CD-46B2-A521-14D65A9BEFCF}" name="法人以外の団体／事業所数" dataCellStyle="桁区切り"/>
  </tableColumns>
  <tableStyleInfo name="TableStyleMedium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F065863-B9AB-45F8-821B-1CBB60BED18D}" name="S_TABLE_01457" displayName="S_TABLE_01457" ref="B51:I77" totalsRowShown="0">
  <autoFilter ref="B51:I77" xr:uid="{0F065863-B9AB-45F8-821B-1CBB60BED18D}"/>
  <tableColumns count="8">
    <tableColumn id="9" xr3:uid="{F3CBB1B0-E9CD-4DBA-970C-0F98599D2EA4}" name="産業小分類上位２０"/>
    <tableColumn id="10" xr3:uid="{62FB346F-E11C-4648-BB6B-EDBB41198B83}" name="総数／事業所数" dataCellStyle="桁区切り"/>
    <tableColumn id="11" xr3:uid="{4B173E72-31CD-49AC-A94B-56EF645F42FC}" name="総数／構成比" dataDxfId="1220"/>
    <tableColumn id="12" xr3:uid="{96F6EB3C-F257-4865-BDE8-162ECADB4F9F}" name="個人／事業所数" dataCellStyle="桁区切り"/>
    <tableColumn id="13" xr3:uid="{E7BD4FAB-E565-42E9-A69A-59409B6AFE12}" name="個人／構成比" dataDxfId="1219"/>
    <tableColumn id="14" xr3:uid="{B12FF969-DF29-4356-8670-170FB3E1341C}" name="法人／事業所数" dataCellStyle="桁区切り"/>
    <tableColumn id="15" xr3:uid="{3FE31295-9C6A-46DC-9AEE-F3D7DBAFB8AA}" name="法人／構成比" dataDxfId="1218"/>
    <tableColumn id="16" xr3:uid="{2C3AC97D-23E0-4B41-A7B0-513438C415DC}" name="法人以外の団体／事業所数" dataCellStyle="桁区切り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3DE0BEA-5F01-44E1-B53F-DE519F749540}" name="LTBL_01109" displayName="LTBL_01109" ref="B4:I20" totalsRowCount="1">
  <autoFilter ref="B4:I19" xr:uid="{03DE0BEA-5F01-44E1-B53F-DE519F749540}"/>
  <tableColumns count="8">
    <tableColumn id="9" xr3:uid="{56A628D7-F15F-4A8D-8226-98B33CCC4852}" name="産業大分類" totalsRowLabel="合計" totalsRowDxfId="2519"/>
    <tableColumn id="10" xr3:uid="{3B0AA85F-BAC5-4EC1-9E36-1F57D4702FCC}" name="総数／事業所数" totalsRowFunction="custom" totalsRowDxfId="2518" dataCellStyle="桁区切り" totalsRowCellStyle="桁区切り">
      <totalsRowFormula>SUM(LTBL_01109[総数／事業所数])</totalsRowFormula>
    </tableColumn>
    <tableColumn id="11" xr3:uid="{16E42030-FAAC-401F-B2BF-F781B3DE30FE}" name="総数／構成比" dataDxfId="2517"/>
    <tableColumn id="12" xr3:uid="{B3AFF2DB-04A1-4DD2-A2D9-3DF5303CD36A}" name="個人／事業所数" totalsRowFunction="sum" totalsRowDxfId="2516" dataCellStyle="桁区切り" totalsRowCellStyle="桁区切り"/>
    <tableColumn id="13" xr3:uid="{0ED57433-D754-4C23-96D1-D8BAD95D1F50}" name="個人／構成比" dataDxfId="2515"/>
    <tableColumn id="14" xr3:uid="{A062A22E-2297-4BB3-9A2D-A39519ED189D}" name="法人／事業所数" totalsRowFunction="sum" totalsRowDxfId="2514" dataCellStyle="桁区切り" totalsRowCellStyle="桁区切り"/>
    <tableColumn id="15" xr3:uid="{BF491995-D795-455F-A679-BC3319439F3C}" name="法人／構成比" dataDxfId="2513"/>
    <tableColumn id="16" xr3:uid="{7018DE61-9684-4A96-9397-6D6BC96D3B0D}" name="法人以外の団体／事業所数" totalsRowFunction="sum" totalsRowDxfId="2512" dataCellStyle="桁区切り" totalsRowCellStyle="桁区切り"/>
  </tableColumns>
  <tableStyleInfo name="TableStyleMedium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215F212F-CEFE-4902-96CF-99E46E967608}" name="LTBL_01458" displayName="LTBL_01458" ref="B4:I20" totalsRowCount="1">
  <autoFilter ref="B4:I19" xr:uid="{215F212F-CEFE-4902-96CF-99E46E967608}"/>
  <tableColumns count="8">
    <tableColumn id="9" xr3:uid="{3ACDFE86-57C0-476B-9276-86F096481238}" name="産業大分類" totalsRowLabel="合計" totalsRowDxfId="1217"/>
    <tableColumn id="10" xr3:uid="{9BCCD16D-7473-4350-BEF0-EDAA4D54AF72}" name="総数／事業所数" totalsRowFunction="custom" totalsRowDxfId="1216" dataCellStyle="桁区切り" totalsRowCellStyle="桁区切り">
      <totalsRowFormula>SUM(LTBL_01458[総数／事業所数])</totalsRowFormula>
    </tableColumn>
    <tableColumn id="11" xr3:uid="{250D3DA5-CD10-44A2-AD95-10FEFD7CC1B8}" name="総数／構成比" dataDxfId="1215"/>
    <tableColumn id="12" xr3:uid="{D2665060-A085-45F2-8F15-8F819580240E}" name="個人／事業所数" totalsRowFunction="sum" totalsRowDxfId="1214" dataCellStyle="桁区切り" totalsRowCellStyle="桁区切り"/>
    <tableColumn id="13" xr3:uid="{29FCD6FA-65F0-440C-8462-39E25761803C}" name="個人／構成比" dataDxfId="1213"/>
    <tableColumn id="14" xr3:uid="{A0B01A1F-9B66-4CCA-BC4A-72E00AB1F2A1}" name="法人／事業所数" totalsRowFunction="sum" totalsRowDxfId="1212" dataCellStyle="桁区切り" totalsRowCellStyle="桁区切り"/>
    <tableColumn id="15" xr3:uid="{08207546-B026-4196-8ECD-4AB57834DC99}" name="法人／構成比" dataDxfId="1211"/>
    <tableColumn id="16" xr3:uid="{681FF010-238B-4505-9C14-E106658A5BB0}" name="法人以外の団体／事業所数" totalsRowFunction="sum" totalsRowDxfId="1210" dataCellStyle="桁区切り" totalsRowCellStyle="桁区切り"/>
  </tableColumns>
  <tableStyleInfo name="TableStyleMedium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7690A945-F179-4E40-A4E8-F261EA3D8050}" name="M_TABLE_01458" displayName="M_TABLE_01458" ref="B23:I44" totalsRowShown="0">
  <autoFilter ref="B23:I44" xr:uid="{7690A945-F179-4E40-A4E8-F261EA3D8050}"/>
  <tableColumns count="8">
    <tableColumn id="9" xr3:uid="{88ED7396-B578-4FAE-954C-2A668B0CEE64}" name="産業中分類上位２０"/>
    <tableColumn id="10" xr3:uid="{3920269F-D67C-4395-ACCE-1C195850B78D}" name="総数／事業所数" dataCellStyle="桁区切り"/>
    <tableColumn id="11" xr3:uid="{A638F2D2-AECF-411A-ACF0-7ECCEC0ABDB3}" name="総数／構成比" dataDxfId="1209"/>
    <tableColumn id="12" xr3:uid="{03C8220A-FF10-4A52-B9A1-0467035D53D9}" name="個人／事業所数" dataCellStyle="桁区切り"/>
    <tableColumn id="13" xr3:uid="{CFE940CB-CA44-4C04-8267-7C9618E02A7D}" name="個人／構成比" dataDxfId="1208"/>
    <tableColumn id="14" xr3:uid="{2E7B311E-D396-47B0-8C96-9A6E2127EFA9}" name="法人／事業所数" dataCellStyle="桁区切り"/>
    <tableColumn id="15" xr3:uid="{584B44B1-9917-458A-A316-531D816CC08D}" name="法人／構成比" dataDxfId="1207"/>
    <tableColumn id="16" xr3:uid="{4CA84A83-6409-45C9-BD78-DF6B2E40DCBF}" name="法人以外の団体／事業所数" dataCellStyle="桁区切り"/>
  </tableColumns>
  <tableStyleInfo name="TableStyleMedium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6F4A6712-3699-4010-822B-B858118978CF}" name="S_TABLE_01458" displayName="S_TABLE_01458" ref="B47:I77" totalsRowShown="0">
  <autoFilter ref="B47:I77" xr:uid="{6F4A6712-3699-4010-822B-B858118978CF}"/>
  <tableColumns count="8">
    <tableColumn id="9" xr3:uid="{071CA1C7-15C6-45DF-99ED-0AECE3E2926C}" name="産業小分類上位２０"/>
    <tableColumn id="10" xr3:uid="{A5806487-F84A-4D42-AC69-9C90BF193723}" name="総数／事業所数" dataCellStyle="桁区切り"/>
    <tableColumn id="11" xr3:uid="{2979A54E-148D-4A3F-A3C7-6BB312A16F9A}" name="総数／構成比" dataDxfId="1206"/>
    <tableColumn id="12" xr3:uid="{9450A427-4F18-4CDA-BCD5-A56413709222}" name="個人／事業所数" dataCellStyle="桁区切り"/>
    <tableColumn id="13" xr3:uid="{F3881C57-FAB1-47BA-AC62-669375002AFC}" name="個人／構成比" dataDxfId="1205"/>
    <tableColumn id="14" xr3:uid="{9B52FAF1-A5CA-49C1-A8E0-8BB55DE26C7A}" name="法人／事業所数" dataCellStyle="桁区切り"/>
    <tableColumn id="15" xr3:uid="{97B2941B-7816-4C66-B050-692DCB86AE3D}" name="法人／構成比" dataDxfId="1204"/>
    <tableColumn id="16" xr3:uid="{C9601325-449D-47D1-B79A-53CE40FB8612}" name="法人以外の団体／事業所数" dataCellStyle="桁区切り"/>
  </tableColumns>
  <tableStyleInfo name="TableStyleMedium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77C0928C-A7AA-4E13-8882-9ADDB9638D5F}" name="LTBL_01459" displayName="LTBL_01459" ref="B4:I20" totalsRowCount="1">
  <autoFilter ref="B4:I19" xr:uid="{77C0928C-A7AA-4E13-8882-9ADDB9638D5F}"/>
  <tableColumns count="8">
    <tableColumn id="9" xr3:uid="{1C9DE231-E39F-419E-83D5-B9A7AE372F6D}" name="産業大分類" totalsRowLabel="合計" totalsRowDxfId="1203"/>
    <tableColumn id="10" xr3:uid="{17F7CB25-320C-47C7-B940-6F323945E88D}" name="総数／事業所数" totalsRowFunction="custom" totalsRowDxfId="1202" dataCellStyle="桁区切り" totalsRowCellStyle="桁区切り">
      <totalsRowFormula>SUM(LTBL_01459[総数／事業所数])</totalsRowFormula>
    </tableColumn>
    <tableColumn id="11" xr3:uid="{7809AD70-9073-4328-881C-32F3F0B2B2E3}" name="総数／構成比" dataDxfId="1201"/>
    <tableColumn id="12" xr3:uid="{10246586-3D9C-4351-8503-B5868FA7B1F8}" name="個人／事業所数" totalsRowFunction="sum" totalsRowDxfId="1200" dataCellStyle="桁区切り" totalsRowCellStyle="桁区切り"/>
    <tableColumn id="13" xr3:uid="{CFDF5D02-87E2-43D6-A0F6-10845FB60328}" name="個人／構成比" dataDxfId="1199"/>
    <tableColumn id="14" xr3:uid="{1D2327A2-26E7-4207-A70B-EB8CD171A95D}" name="法人／事業所数" totalsRowFunction="sum" totalsRowDxfId="1198" dataCellStyle="桁区切り" totalsRowCellStyle="桁区切り"/>
    <tableColumn id="15" xr3:uid="{438DA16D-2654-4677-841B-026B25D1CD4A}" name="法人／構成比" dataDxfId="1197"/>
    <tableColumn id="16" xr3:uid="{3FB598B7-38F7-436F-898C-80CEE917F863}" name="法人以外の団体／事業所数" totalsRowFunction="sum" totalsRowDxfId="1196" dataCellStyle="桁区切り" totalsRowCellStyle="桁区切り"/>
  </tableColumns>
  <tableStyleInfo name="TableStyleMedium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49900387-C9FA-44DB-95B7-87E5C3B6215E}" name="M_TABLE_01459" displayName="M_TABLE_01459" ref="B23:I45" totalsRowShown="0">
  <autoFilter ref="B23:I45" xr:uid="{49900387-C9FA-44DB-95B7-87E5C3B6215E}"/>
  <tableColumns count="8">
    <tableColumn id="9" xr3:uid="{D418C193-5F8D-4243-A317-74BCF34A820A}" name="産業中分類上位２０"/>
    <tableColumn id="10" xr3:uid="{A7AFC677-846E-4412-8136-307D86F3B9B3}" name="総数／事業所数" dataCellStyle="桁区切り"/>
    <tableColumn id="11" xr3:uid="{C9C6C87A-C530-4885-B992-C0388D9D4FE0}" name="総数／構成比" dataDxfId="1195"/>
    <tableColumn id="12" xr3:uid="{A0459F0F-7211-4CEB-99AD-0F5EF835B5B7}" name="個人／事業所数" dataCellStyle="桁区切り"/>
    <tableColumn id="13" xr3:uid="{D857A9C1-E404-4F58-8693-896B272348B0}" name="個人／構成比" dataDxfId="1194"/>
    <tableColumn id="14" xr3:uid="{252D0784-CCA3-4703-B1DB-13FE5CB6B3AA}" name="法人／事業所数" dataCellStyle="桁区切り"/>
    <tableColumn id="15" xr3:uid="{0A28E771-4EA8-469B-B662-DBCAA548FC07}" name="法人／構成比" dataDxfId="1193"/>
    <tableColumn id="16" xr3:uid="{92CE377D-9151-41CD-92D3-AD851AFE6524}" name="法人以外の団体／事業所数" dataCellStyle="桁区切り"/>
  </tableColumns>
  <tableStyleInfo name="TableStyleMedium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27CC2D8-D5B8-4A0D-B37D-D5E0F5884A22}" name="S_TABLE_01459" displayName="S_TABLE_01459" ref="B48:I68" totalsRowShown="0">
  <autoFilter ref="B48:I68" xr:uid="{027CC2D8-D5B8-4A0D-B37D-D5E0F5884A22}"/>
  <tableColumns count="8">
    <tableColumn id="9" xr3:uid="{F8F60BB4-E115-4159-B49F-6882ACA5DAB9}" name="産業小分類上位２０"/>
    <tableColumn id="10" xr3:uid="{E6226B8D-5D18-4CE4-98AD-21B9E8143DC9}" name="総数／事業所数" dataCellStyle="桁区切り"/>
    <tableColumn id="11" xr3:uid="{0718DFB5-3AD7-4811-B0A0-E7D73E3B1527}" name="総数／構成比" dataDxfId="1192"/>
    <tableColumn id="12" xr3:uid="{0271E81F-7F2F-4C99-918D-82BFC0768567}" name="個人／事業所数" dataCellStyle="桁区切り"/>
    <tableColumn id="13" xr3:uid="{682DBD5D-4757-467B-B22C-F37A27EA33F2}" name="個人／構成比" dataDxfId="1191"/>
    <tableColumn id="14" xr3:uid="{F2A2A000-6568-4A04-B74D-876DA880ABED}" name="法人／事業所数" dataCellStyle="桁区切り"/>
    <tableColumn id="15" xr3:uid="{571CC390-02E1-4115-B96D-D8F0C3A8E0CE}" name="法人／構成比" dataDxfId="1190"/>
    <tableColumn id="16" xr3:uid="{9CB105F5-234E-4618-A0D1-8347850902C3}" name="法人以外の団体／事業所数" dataCellStyle="桁区切り"/>
  </tableColumns>
  <tableStyleInfo name="TableStyleMedium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D828237C-36BC-4572-948E-0A3C7427AA3B}" name="LTBL_01460" displayName="LTBL_01460" ref="B4:I20" totalsRowCount="1">
  <autoFilter ref="B4:I19" xr:uid="{D828237C-36BC-4572-948E-0A3C7427AA3B}"/>
  <tableColumns count="8">
    <tableColumn id="9" xr3:uid="{25F1278E-A5ED-40A5-8191-7EC2633E42F6}" name="産業大分類" totalsRowLabel="合計" totalsRowDxfId="1189"/>
    <tableColumn id="10" xr3:uid="{7C605356-EB7F-46F3-B94E-2BB4211E0A30}" name="総数／事業所数" totalsRowFunction="custom" totalsRowDxfId="1188" dataCellStyle="桁区切り" totalsRowCellStyle="桁区切り">
      <totalsRowFormula>SUM(LTBL_01460[総数／事業所数])</totalsRowFormula>
    </tableColumn>
    <tableColumn id="11" xr3:uid="{D06D1347-CEA8-43EA-8816-5E1DAFAED463}" name="総数／構成比" dataDxfId="1187"/>
    <tableColumn id="12" xr3:uid="{67F44840-C051-44CD-A894-38B647CDC215}" name="個人／事業所数" totalsRowFunction="sum" totalsRowDxfId="1186" dataCellStyle="桁区切り" totalsRowCellStyle="桁区切り"/>
    <tableColumn id="13" xr3:uid="{45F7DA94-8512-4D22-A8E9-C69A40FA1407}" name="個人／構成比" dataDxfId="1185"/>
    <tableColumn id="14" xr3:uid="{83D46071-E86B-4C46-972B-7936CFF138CB}" name="法人／事業所数" totalsRowFunction="sum" totalsRowDxfId="1184" dataCellStyle="桁区切り" totalsRowCellStyle="桁区切り"/>
    <tableColumn id="15" xr3:uid="{B3B7F812-7724-45BA-A1B3-88ACB5614CCC}" name="法人／構成比" dataDxfId="1183"/>
    <tableColumn id="16" xr3:uid="{DEC2E0B2-833E-4266-BAC4-89253517C399}" name="法人以外の団体／事業所数" totalsRowFunction="sum" totalsRowDxfId="1182" dataCellStyle="桁区切り" totalsRowCellStyle="桁区切り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2AB07023-F8C8-4F1B-8EDE-6E61224BF59C}" name="M_TABLE_01460" displayName="M_TABLE_01460" ref="B23:I44" totalsRowShown="0">
  <autoFilter ref="B23:I44" xr:uid="{2AB07023-F8C8-4F1B-8EDE-6E61224BF59C}"/>
  <tableColumns count="8">
    <tableColumn id="9" xr3:uid="{3ACE2F0B-8BCE-4A41-88DA-DF1C03943243}" name="産業中分類上位２０"/>
    <tableColumn id="10" xr3:uid="{0A9E590D-7FF7-476D-B54C-3ECA3881E523}" name="総数／事業所数" dataCellStyle="桁区切り"/>
    <tableColumn id="11" xr3:uid="{54D720D6-1F04-4B3F-836D-E2BF9B85797C}" name="総数／構成比" dataDxfId="1181"/>
    <tableColumn id="12" xr3:uid="{2E53124B-B065-45E6-BF0A-8462BA9C095F}" name="個人／事業所数" dataCellStyle="桁区切り"/>
    <tableColumn id="13" xr3:uid="{40BFDB4C-DBDA-412B-83B7-7F02B66462F6}" name="個人／構成比" dataDxfId="1180"/>
    <tableColumn id="14" xr3:uid="{91223B58-1BC2-49E6-81BC-284C4C046AE4}" name="法人／事業所数" dataCellStyle="桁区切り"/>
    <tableColumn id="15" xr3:uid="{4BD4E247-F693-4487-B598-F78FCA0FCFE9}" name="法人／構成比" dataDxfId="1179"/>
    <tableColumn id="16" xr3:uid="{74FD7B31-CF18-401E-97E6-242751869F50}" name="法人以外の団体／事業所数" dataCellStyle="桁区切り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14143F3C-561B-4F8B-B4ED-8E13A44A2B16}" name="S_TABLE_01460" displayName="S_TABLE_01460" ref="B47:I67" totalsRowShown="0">
  <autoFilter ref="B47:I67" xr:uid="{14143F3C-561B-4F8B-B4ED-8E13A44A2B16}"/>
  <tableColumns count="8">
    <tableColumn id="9" xr3:uid="{4520FD05-04A8-4FCD-8F17-262A9D5B0163}" name="産業小分類上位２０"/>
    <tableColumn id="10" xr3:uid="{73F281DD-AA69-4DB0-9823-F4F0999F93CA}" name="総数／事業所数" dataCellStyle="桁区切り"/>
    <tableColumn id="11" xr3:uid="{A45EEF6E-53F6-4324-9CD5-01E122D6120F}" name="総数／構成比" dataDxfId="1178"/>
    <tableColumn id="12" xr3:uid="{751237DE-7482-46F1-B1F7-2AB28C5CBA68}" name="個人／事業所数" dataCellStyle="桁区切り"/>
    <tableColumn id="13" xr3:uid="{E18DD77A-43B9-42D4-B237-C9D23336C998}" name="個人／構成比" dataDxfId="1177"/>
    <tableColumn id="14" xr3:uid="{A507D0B9-80A8-4088-A648-4321E237A55B}" name="法人／事業所数" dataCellStyle="桁区切り"/>
    <tableColumn id="15" xr3:uid="{C1263D70-0298-4980-A958-39A2D42E4145}" name="法人／構成比" dataDxfId="1176"/>
    <tableColumn id="16" xr3:uid="{3CEDB783-189E-4BE9-A65F-AB30E3266216}" name="法人以外の団体／事業所数" dataCellStyle="桁区切り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32B16854-BB46-462D-9840-32DE70EB7986}" name="LTBL_01461" displayName="LTBL_01461" ref="B4:I20" totalsRowCount="1">
  <autoFilter ref="B4:I19" xr:uid="{32B16854-BB46-462D-9840-32DE70EB7986}"/>
  <tableColumns count="8">
    <tableColumn id="9" xr3:uid="{0E07C698-E783-4A81-B654-E0E867440137}" name="産業大分類" totalsRowLabel="合計" totalsRowDxfId="1175"/>
    <tableColumn id="10" xr3:uid="{E65B7ABD-4FFD-46AC-91CB-A9D25397B0AE}" name="総数／事業所数" totalsRowFunction="custom" totalsRowDxfId="1174" dataCellStyle="桁区切り" totalsRowCellStyle="桁区切り">
      <totalsRowFormula>SUM(LTBL_01461[総数／事業所数])</totalsRowFormula>
    </tableColumn>
    <tableColumn id="11" xr3:uid="{A7D7CC65-6495-4CB2-8905-33F2F5F7B137}" name="総数／構成比" dataDxfId="1173"/>
    <tableColumn id="12" xr3:uid="{36A63FDD-5C0D-4780-8B7A-43BD0677FD20}" name="個人／事業所数" totalsRowFunction="sum" totalsRowDxfId="1172" dataCellStyle="桁区切り" totalsRowCellStyle="桁区切り"/>
    <tableColumn id="13" xr3:uid="{5109B73E-176F-429D-A958-4FC3E5FB7A53}" name="個人／構成比" dataDxfId="1171"/>
    <tableColumn id="14" xr3:uid="{4C62C68B-38F6-4789-8FF1-1878C0499583}" name="法人／事業所数" totalsRowFunction="sum" totalsRowDxfId="1170" dataCellStyle="桁区切り" totalsRowCellStyle="桁区切り"/>
    <tableColumn id="15" xr3:uid="{B6D66425-9FC7-453F-894C-06A3E8520413}" name="法人／構成比" dataDxfId="1169"/>
    <tableColumn id="16" xr3:uid="{E65384AA-3EA3-48D9-B8BE-74B1FE1E68CB}" name="法人以外の団体／事業所数" totalsRowFunction="sum" totalsRowDxfId="1168" dataCellStyle="桁区切り" totalsRowCellStyle="桁区切り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921A5AFF-B547-4C34-8073-F53FD5CA201A}" name="M_TABLE_01109" displayName="M_TABLE_01109" ref="B23:I43" totalsRowShown="0">
  <autoFilter ref="B23:I43" xr:uid="{921A5AFF-B547-4C34-8073-F53FD5CA201A}"/>
  <tableColumns count="8">
    <tableColumn id="9" xr3:uid="{81B71580-1089-42C1-BAA2-0684A2ABDF0F}" name="産業中分類上位２０"/>
    <tableColumn id="10" xr3:uid="{5B68AAC5-9D3F-40EE-A78F-EF2F85909BDA}" name="総数／事業所数" dataCellStyle="桁区切り"/>
    <tableColumn id="11" xr3:uid="{23214C76-8F2B-468C-B1BC-724FCBC826ED}" name="総数／構成比" dataDxfId="2511"/>
    <tableColumn id="12" xr3:uid="{C2F1299F-B9FD-46C1-987A-EC5C4BF81F36}" name="個人／事業所数" dataCellStyle="桁区切り"/>
    <tableColumn id="13" xr3:uid="{10DE01B3-2819-4436-812E-59EA67C664E6}" name="個人／構成比" dataDxfId="2510"/>
    <tableColumn id="14" xr3:uid="{1064CE11-D11F-456A-9C02-A453B51B140A}" name="法人／事業所数" dataCellStyle="桁区切り"/>
    <tableColumn id="15" xr3:uid="{8BAAE838-E325-4156-8EA5-6D61FD5529CB}" name="法人／構成比" dataDxfId="2509"/>
    <tableColumn id="16" xr3:uid="{B68708F8-2F3C-4A00-BF29-510402BD1C57}" name="法人以外の団体／事業所数" dataCellStyle="桁区切り"/>
  </tableColumns>
  <tableStyleInfo name="TableStyleMedium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A4CC828F-2322-4491-B07B-8186938F0292}" name="M_TABLE_01461" displayName="M_TABLE_01461" ref="B23:I50" totalsRowShown="0">
  <autoFilter ref="B23:I50" xr:uid="{A4CC828F-2322-4491-B07B-8186938F0292}"/>
  <tableColumns count="8">
    <tableColumn id="9" xr3:uid="{FD0AE4D7-FBC4-4023-A0A9-8A180405158D}" name="産業中分類上位２０"/>
    <tableColumn id="10" xr3:uid="{ED1D5C5E-73CB-436C-AD38-5147D487C850}" name="総数／事業所数" dataCellStyle="桁区切り"/>
    <tableColumn id="11" xr3:uid="{E63CCA78-19AA-4BB7-96B0-150A05EE8D3D}" name="総数／構成比" dataDxfId="1167"/>
    <tableColumn id="12" xr3:uid="{3341DF68-9255-42FD-9D62-FA02D9392B6C}" name="個人／事業所数" dataCellStyle="桁区切り"/>
    <tableColumn id="13" xr3:uid="{4A06E52E-3947-4ABA-93B9-FE9CCDF32C63}" name="個人／構成比" dataDxfId="1166"/>
    <tableColumn id="14" xr3:uid="{7BDA0595-CAA2-48ED-BF1A-77A62599477F}" name="法人／事業所数" dataCellStyle="桁区切り"/>
    <tableColumn id="15" xr3:uid="{F12B5E40-4602-4D42-A89A-2CF5E622C003}" name="法人／構成比" dataDxfId="1165"/>
    <tableColumn id="16" xr3:uid="{17D19FC0-E9CE-451F-8614-F1169CFB62F9}" name="法人以外の団体／事業所数" dataCellStyle="桁区切り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29EBFB5D-9F25-4138-A710-2CC2F71BB0BF}" name="S_TABLE_01461" displayName="S_TABLE_01461" ref="B53:I75" totalsRowShown="0">
  <autoFilter ref="B53:I75" xr:uid="{29EBFB5D-9F25-4138-A710-2CC2F71BB0BF}"/>
  <tableColumns count="8">
    <tableColumn id="9" xr3:uid="{60B6B1F6-2DB2-45DC-A56E-9C7D071BBD5F}" name="産業小分類上位２０"/>
    <tableColumn id="10" xr3:uid="{FDB07B18-9A24-43E2-AF4D-14F2BCAABBA5}" name="総数／事業所数" dataCellStyle="桁区切り"/>
    <tableColumn id="11" xr3:uid="{6E70B393-4953-424F-B7AB-BB90358E8725}" name="総数／構成比" dataDxfId="1164"/>
    <tableColumn id="12" xr3:uid="{6EA14B8B-DC91-41D3-86AB-4033D8398681}" name="個人／事業所数" dataCellStyle="桁区切り"/>
    <tableColumn id="13" xr3:uid="{F3E13A75-174D-4F84-930D-278FF648CE20}" name="個人／構成比" dataDxfId="1163"/>
    <tableColumn id="14" xr3:uid="{78C922FD-0622-410B-94DF-6D62BE651491}" name="法人／事業所数" dataCellStyle="桁区切り"/>
    <tableColumn id="15" xr3:uid="{6B6FFB47-3EE0-47A7-890F-61209585C5BE}" name="法人／構成比" dataDxfId="1162"/>
    <tableColumn id="16" xr3:uid="{E6889602-F58C-4801-825F-D8C37490D42A}" name="法人以外の団体／事業所数" dataCellStyle="桁区切り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9FD955E0-C207-4665-88B4-42A53C3AF12E}" name="LTBL_01462" displayName="LTBL_01462" ref="B4:I20" totalsRowCount="1">
  <autoFilter ref="B4:I19" xr:uid="{9FD955E0-C207-4665-88B4-42A53C3AF12E}"/>
  <tableColumns count="8">
    <tableColumn id="9" xr3:uid="{0CB6A5CF-121B-468B-951B-C968BDAACDFB}" name="産業大分類" totalsRowLabel="合計" totalsRowDxfId="1161"/>
    <tableColumn id="10" xr3:uid="{99501444-BAD7-4A28-922F-8AFF1FDCD643}" name="総数／事業所数" totalsRowFunction="custom" totalsRowDxfId="1160" dataCellStyle="桁区切り" totalsRowCellStyle="桁区切り">
      <totalsRowFormula>SUM(LTBL_01462[総数／事業所数])</totalsRowFormula>
    </tableColumn>
    <tableColumn id="11" xr3:uid="{E871811A-28FB-4E16-91AD-E1554D52A905}" name="総数／構成比" dataDxfId="1159"/>
    <tableColumn id="12" xr3:uid="{F4C2E27E-7C4F-47BF-8F40-611AFB26B5BE}" name="個人／事業所数" totalsRowFunction="sum" totalsRowDxfId="1158" dataCellStyle="桁区切り" totalsRowCellStyle="桁区切り"/>
    <tableColumn id="13" xr3:uid="{3D557817-3009-4821-AB33-207BAFACCA6A}" name="個人／構成比" dataDxfId="1157"/>
    <tableColumn id="14" xr3:uid="{C7E06052-CA30-430B-829D-5ADF3F45D36D}" name="法人／事業所数" totalsRowFunction="sum" totalsRowDxfId="1156" dataCellStyle="桁区切り" totalsRowCellStyle="桁区切り"/>
    <tableColumn id="15" xr3:uid="{93FE5604-DCE5-4F25-9246-5A9FE25F0909}" name="法人／構成比" dataDxfId="1155"/>
    <tableColumn id="16" xr3:uid="{84C9AC6F-C4A5-49F3-BD52-A7F3B6418828}" name="法人以外の団体／事業所数" totalsRowFunction="sum" totalsRowDxfId="1154" dataCellStyle="桁区切り" totalsRowCellStyle="桁区切り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8A85E64C-3BCC-4FA6-9E89-A18E0E130F57}" name="M_TABLE_01462" displayName="M_TABLE_01462" ref="B23:I50" totalsRowShown="0">
  <autoFilter ref="B23:I50" xr:uid="{8A85E64C-3BCC-4FA6-9E89-A18E0E130F57}"/>
  <tableColumns count="8">
    <tableColumn id="9" xr3:uid="{9EB2E7D8-61AB-44BD-BE17-D0A80FFFB0A7}" name="産業中分類上位２０"/>
    <tableColumn id="10" xr3:uid="{E08853AD-7BA7-43CC-BE4F-26FD4628AE14}" name="総数／事業所数" dataCellStyle="桁区切り"/>
    <tableColumn id="11" xr3:uid="{E175B107-A257-4429-956A-0D8147F3E8BB}" name="総数／構成比" dataDxfId="1153"/>
    <tableColumn id="12" xr3:uid="{107B60A0-1298-4443-ADD9-C0F3867C789A}" name="個人／事業所数" dataCellStyle="桁区切り"/>
    <tableColumn id="13" xr3:uid="{C5F05E13-AFF9-48E6-AE0F-971391839DF8}" name="個人／構成比" dataDxfId="1152"/>
    <tableColumn id="14" xr3:uid="{9B09261B-EAC6-4228-B973-D3AAAE4624D7}" name="法人／事業所数" dataCellStyle="桁区切り"/>
    <tableColumn id="15" xr3:uid="{24509746-4AB3-4A88-A0B5-653B47E93B5A}" name="法人／構成比" dataDxfId="1151"/>
    <tableColumn id="16" xr3:uid="{66A1C445-0740-4E4F-B920-485B2417EF4E}" name="法人以外の団体／事業所数" dataCellStyle="桁区切り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C7EA352-37E3-43B9-9B73-E5FAA36B1EE3}" name="S_TABLE_01462" displayName="S_TABLE_01462" ref="B53:I108" totalsRowShown="0">
  <autoFilter ref="B53:I108" xr:uid="{0C7EA352-37E3-43B9-9B73-E5FAA36B1EE3}"/>
  <tableColumns count="8">
    <tableColumn id="9" xr3:uid="{3B5EAC4A-AB9D-4555-A110-16FAFC39C232}" name="産業小分類上位２０"/>
    <tableColumn id="10" xr3:uid="{6F6E7555-D88D-427F-B3C1-0285DE829350}" name="総数／事業所数" dataCellStyle="桁区切り"/>
    <tableColumn id="11" xr3:uid="{C6D15854-B476-43AF-B486-A2D06E8F3678}" name="総数／構成比" dataDxfId="1150"/>
    <tableColumn id="12" xr3:uid="{F56F1944-F6B1-41DB-80EA-EF48D22A531E}" name="個人／事業所数" dataCellStyle="桁区切り"/>
    <tableColumn id="13" xr3:uid="{A9DB2F6A-B82D-49F5-B8E8-0AB13B7A0025}" name="個人／構成比" dataDxfId="1149"/>
    <tableColumn id="14" xr3:uid="{0C1A0DBD-9294-452C-833D-407EB001DE33}" name="法人／事業所数" dataCellStyle="桁区切り"/>
    <tableColumn id="15" xr3:uid="{300EBBBC-46AB-4F83-AAB7-1A3AE464A049}" name="法人／構成比" dataDxfId="1148"/>
    <tableColumn id="16" xr3:uid="{372BA074-CFFC-4B4E-91BB-418A9AE4AF97}" name="法人以外の団体／事業所数" dataCellStyle="桁区切り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EF1B89AE-600B-4CAA-BC14-6BDA641C8105}" name="LTBL_01463" displayName="LTBL_01463" ref="B4:I20" totalsRowCount="1">
  <autoFilter ref="B4:I19" xr:uid="{EF1B89AE-600B-4CAA-BC14-6BDA641C8105}"/>
  <tableColumns count="8">
    <tableColumn id="9" xr3:uid="{C7CBE370-1718-479B-A656-B66064C20EEB}" name="産業大分類" totalsRowLabel="合計" totalsRowDxfId="1147"/>
    <tableColumn id="10" xr3:uid="{96D8F460-5F48-44B0-8536-7824A4BCD238}" name="総数／事業所数" totalsRowFunction="custom" totalsRowDxfId="1146" dataCellStyle="桁区切り" totalsRowCellStyle="桁区切り">
      <totalsRowFormula>SUM(LTBL_01463[総数／事業所数])</totalsRowFormula>
    </tableColumn>
    <tableColumn id="11" xr3:uid="{DDAC091B-1749-4C14-B8D9-A94E3ACC9568}" name="総数／構成比" dataDxfId="1145"/>
    <tableColumn id="12" xr3:uid="{9516C7A3-5504-4A3C-814D-0215F01F523C}" name="個人／事業所数" totalsRowFunction="sum" totalsRowDxfId="1144" dataCellStyle="桁区切り" totalsRowCellStyle="桁区切り"/>
    <tableColumn id="13" xr3:uid="{A0D80AEF-447E-4A2C-AB4F-FEF658D878B4}" name="個人／構成比" dataDxfId="1143"/>
    <tableColumn id="14" xr3:uid="{10F38925-BB7C-43A3-9D8A-7194C4288665}" name="法人／事業所数" totalsRowFunction="sum" totalsRowDxfId="1142" dataCellStyle="桁区切り" totalsRowCellStyle="桁区切り"/>
    <tableColumn id="15" xr3:uid="{A46BBD98-E3FB-42A7-A75D-BF9B7AECC69A}" name="法人／構成比" dataDxfId="1141"/>
    <tableColumn id="16" xr3:uid="{F9F8722A-1BBD-4A63-95A8-76BD0B787F43}" name="法人以外の団体／事業所数" totalsRowFunction="sum" totalsRowDxfId="1140" dataCellStyle="桁区切り" totalsRowCellStyle="桁区切り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81B2B490-72C9-4073-9EB3-D445DECE7F20}" name="M_TABLE_01463" displayName="M_TABLE_01463" ref="B23:I48" totalsRowShown="0">
  <autoFilter ref="B23:I48" xr:uid="{81B2B490-72C9-4073-9EB3-D445DECE7F20}"/>
  <tableColumns count="8">
    <tableColumn id="9" xr3:uid="{70583D89-A03B-4E72-807E-3FFC34D3DCFE}" name="産業中分類上位２０"/>
    <tableColumn id="10" xr3:uid="{55376176-2349-42B6-8F12-DCBC30DB2AF9}" name="総数／事業所数" dataCellStyle="桁区切り"/>
    <tableColumn id="11" xr3:uid="{72870555-73BB-4084-9FB8-5B2B62AE8DF6}" name="総数／構成比" dataDxfId="1139"/>
    <tableColumn id="12" xr3:uid="{95E8E51A-127A-4AC2-9331-96C0FD4A2749}" name="個人／事業所数" dataCellStyle="桁区切り"/>
    <tableColumn id="13" xr3:uid="{41B28BB5-FAB7-47D0-B022-135445BE573E}" name="個人／構成比" dataDxfId="1138"/>
    <tableColumn id="14" xr3:uid="{C1D75902-0BC1-46AF-8E6B-DCE1B80D7BAF}" name="法人／事業所数" dataCellStyle="桁区切り"/>
    <tableColumn id="15" xr3:uid="{DC1798ED-F22B-4A04-A018-0E4667CA860A}" name="法人／構成比" dataDxfId="1137"/>
    <tableColumn id="16" xr3:uid="{EF8A967C-B211-40BE-B8AB-08F144D4809A}" name="法人以外の団体／事業所数" dataCellStyle="桁区切り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3DE30D3B-B0B9-43EF-AD72-D691BEC50597}" name="S_TABLE_01463" displayName="S_TABLE_01463" ref="B51:I89" totalsRowShown="0">
  <autoFilter ref="B51:I89" xr:uid="{3DE30D3B-B0B9-43EF-AD72-D691BEC50597}"/>
  <tableColumns count="8">
    <tableColumn id="9" xr3:uid="{3CEF7B54-6698-4F10-B301-A5F39EAC8D90}" name="産業小分類上位２０"/>
    <tableColumn id="10" xr3:uid="{D252A6FB-58AC-4C0E-8823-B33EA1A5D1CC}" name="総数／事業所数" dataCellStyle="桁区切り"/>
    <tableColumn id="11" xr3:uid="{5342A0AE-EB19-44AD-AC6F-B39A90E764B7}" name="総数／構成比" dataDxfId="1136"/>
    <tableColumn id="12" xr3:uid="{42571BB9-AAF3-4C8E-99A0-D2F69B5BCCDD}" name="個人／事業所数" dataCellStyle="桁区切り"/>
    <tableColumn id="13" xr3:uid="{7F0C160E-9577-4A33-A01B-627B0BF15614}" name="個人／構成比" dataDxfId="1135"/>
    <tableColumn id="14" xr3:uid="{40BFD1B2-ED72-46DA-9B08-977282E836DC}" name="法人／事業所数" dataCellStyle="桁区切り"/>
    <tableColumn id="15" xr3:uid="{54F372F4-FFDD-4CB6-8828-6C015524F32D}" name="法人／構成比" dataDxfId="1134"/>
    <tableColumn id="16" xr3:uid="{B93D1E1A-9AE1-46F5-93D2-F86C40FE2156}" name="法人以外の団体／事業所数" dataCellStyle="桁区切り"/>
  </tableColumns>
  <tableStyleInfo name="TableStyleMedium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A9D930F5-A285-451C-84DD-B2353D2B1C5E}" name="LTBL_01464" displayName="LTBL_01464" ref="B4:I20" totalsRowCount="1">
  <autoFilter ref="B4:I19" xr:uid="{A9D930F5-A285-451C-84DD-B2353D2B1C5E}"/>
  <tableColumns count="8">
    <tableColumn id="9" xr3:uid="{1B2354B0-BE6F-40A3-8129-A24B4216CDC9}" name="産業大分類" totalsRowLabel="合計" totalsRowDxfId="1133"/>
    <tableColumn id="10" xr3:uid="{F64FD07A-EFFB-4F45-81DC-5366518B5EFC}" name="総数／事業所数" totalsRowFunction="custom" totalsRowDxfId="1132" dataCellStyle="桁区切り" totalsRowCellStyle="桁区切り">
      <totalsRowFormula>SUM(LTBL_01464[総数／事業所数])</totalsRowFormula>
    </tableColumn>
    <tableColumn id="11" xr3:uid="{A53EA93B-78E8-4DC7-9BC1-114963743B12}" name="総数／構成比" dataDxfId="1131"/>
    <tableColumn id="12" xr3:uid="{1BF5C6CC-696A-4C26-ACE0-B52C4B23B339}" name="個人／事業所数" totalsRowFunction="sum" totalsRowDxfId="1130" dataCellStyle="桁区切り" totalsRowCellStyle="桁区切り"/>
    <tableColumn id="13" xr3:uid="{F1B391D8-7F48-4684-A426-EA2CBE5DC5DE}" name="個人／構成比" dataDxfId="1129"/>
    <tableColumn id="14" xr3:uid="{AAEA8414-8D89-4C73-AAF7-BE1B3F8504D4}" name="法人／事業所数" totalsRowFunction="sum" totalsRowDxfId="1128" dataCellStyle="桁区切り" totalsRowCellStyle="桁区切り"/>
    <tableColumn id="15" xr3:uid="{64349D75-BE07-4944-999D-E4292B40E410}" name="法人／構成比" dataDxfId="1127"/>
    <tableColumn id="16" xr3:uid="{CE5FF5D5-6EFF-4C28-9F9F-2028C964CEF0}" name="法人以外の団体／事業所数" totalsRowFunction="sum" totalsRowDxfId="1126" dataCellStyle="桁区切り" totalsRowCellStyle="桁区切り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9C51C15-DDF2-4328-B807-9879818A5A56}" name="M_TABLE_01464" displayName="M_TABLE_01464" ref="B23:I54" totalsRowShown="0">
  <autoFilter ref="B23:I54" xr:uid="{09C51C15-DDF2-4328-B807-9879818A5A56}"/>
  <tableColumns count="8">
    <tableColumn id="9" xr3:uid="{528E7710-1A5E-471E-A5F0-A695EF454B8F}" name="産業中分類上位２０"/>
    <tableColumn id="10" xr3:uid="{B1C57E1B-E53F-4537-BE55-02A2AD2D8005}" name="総数／事業所数" dataCellStyle="桁区切り"/>
    <tableColumn id="11" xr3:uid="{9946FCF8-BC9C-4408-985E-DB3C31E779BB}" name="総数／構成比" dataDxfId="1125"/>
    <tableColumn id="12" xr3:uid="{62FCEB27-8F24-4F3B-A3A2-B67411E46900}" name="個人／事業所数" dataCellStyle="桁区切り"/>
    <tableColumn id="13" xr3:uid="{D31688A6-7E1A-4681-AD69-2D0EFDE55250}" name="個人／構成比" dataDxfId="1124"/>
    <tableColumn id="14" xr3:uid="{598C0D1D-F362-4876-B52B-1249F80E6B4A}" name="法人／事業所数" dataCellStyle="桁区切り"/>
    <tableColumn id="15" xr3:uid="{4DCF01A0-EA34-4C0F-90ED-75302553AA71}" name="法人／構成比" dataDxfId="1123"/>
    <tableColumn id="16" xr3:uid="{15D89E0A-8AC2-4BFC-8C54-1336A1BB23AC}" name="法人以外の団体／事業所数" dataCellStyle="桁区切り"/>
  </tableColumns>
  <tableStyleInfo name="TableStyleMedium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C01DCD95-2DB1-4182-A46E-2F6F7686CEF0}" name="S_TABLE_01109" displayName="S_TABLE_01109" ref="B46:I67" totalsRowShown="0">
  <autoFilter ref="B46:I67" xr:uid="{C01DCD95-2DB1-4182-A46E-2F6F7686CEF0}"/>
  <tableColumns count="8">
    <tableColumn id="9" xr3:uid="{284DA267-7B03-42EC-B65B-D821A38A395D}" name="産業小分類上位２０"/>
    <tableColumn id="10" xr3:uid="{FB368F6B-B6C0-4949-9226-B7AB96470837}" name="総数／事業所数" dataCellStyle="桁区切り"/>
    <tableColumn id="11" xr3:uid="{9F80D569-80FC-4326-98CB-258D70865493}" name="総数／構成比" dataDxfId="2508"/>
    <tableColumn id="12" xr3:uid="{8CC936D9-35F8-4A1B-A159-484E316A1520}" name="個人／事業所数" dataCellStyle="桁区切り"/>
    <tableColumn id="13" xr3:uid="{DA4427A2-B113-4E71-AFBD-985DEA4277FD}" name="個人／構成比" dataDxfId="2507"/>
    <tableColumn id="14" xr3:uid="{48420118-E58F-4F89-8F80-F94978590998}" name="法人／事業所数" dataCellStyle="桁区切り"/>
    <tableColumn id="15" xr3:uid="{B513170E-75AC-4FD2-A316-2E1480F2A3E3}" name="法人／構成比" dataDxfId="2506"/>
    <tableColumn id="16" xr3:uid="{D36DC1B9-7879-4D78-AE97-9F2B73D32DB4}" name="法人以外の団体／事業所数" dataCellStyle="桁区切り"/>
  </tableColumns>
  <tableStyleInfo name="TableStyleMedium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F1D58F3E-3478-4922-9EA4-7D80C4779F50}" name="S_TABLE_01464" displayName="S_TABLE_01464" ref="B57:I79" totalsRowShown="0">
  <autoFilter ref="B57:I79" xr:uid="{F1D58F3E-3478-4922-9EA4-7D80C4779F50}"/>
  <tableColumns count="8">
    <tableColumn id="9" xr3:uid="{B7F9143C-0DA4-4B5F-AA3C-B45D55B75ADC}" name="産業小分類上位２０"/>
    <tableColumn id="10" xr3:uid="{6F75F854-6792-4706-B677-26DBBC69C675}" name="総数／事業所数" dataCellStyle="桁区切り"/>
    <tableColumn id="11" xr3:uid="{EE8D6F72-74A0-4188-9288-654919585ECC}" name="総数／構成比" dataDxfId="1122"/>
    <tableColumn id="12" xr3:uid="{619FEB95-AF35-44C1-A5E2-E69A0943C364}" name="個人／事業所数" dataCellStyle="桁区切り"/>
    <tableColumn id="13" xr3:uid="{3133478E-7752-47E4-A83E-5B0E5E1602C8}" name="個人／構成比" dataDxfId="1121"/>
    <tableColumn id="14" xr3:uid="{693637CA-6B7D-422D-A861-A7C6C57414F5}" name="法人／事業所数" dataCellStyle="桁区切り"/>
    <tableColumn id="15" xr3:uid="{61956FCE-559B-432E-B699-BC1F396E2324}" name="法人／構成比" dataDxfId="1120"/>
    <tableColumn id="16" xr3:uid="{EF0457B8-7590-48AE-BC5C-49B26045E2BF}" name="法人以外の団体／事業所数" dataCellStyle="桁区切り"/>
  </tableColumns>
  <tableStyleInfo name="TableStyleMedium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6F1776CA-B2ED-4F8B-8ACF-17764C9171AB}" name="LTBL_01465" displayName="LTBL_01465" ref="B4:I20" totalsRowCount="1">
  <autoFilter ref="B4:I19" xr:uid="{6F1776CA-B2ED-4F8B-8ACF-17764C9171AB}"/>
  <tableColumns count="8">
    <tableColumn id="9" xr3:uid="{567C5215-F217-4AC7-BEE8-0B4FF96039B8}" name="産業大分類" totalsRowLabel="合計" totalsRowDxfId="1119"/>
    <tableColumn id="10" xr3:uid="{4530D994-9061-47B8-ADA2-D43C9F12E0F6}" name="総数／事業所数" totalsRowFunction="custom" totalsRowDxfId="1118" dataCellStyle="桁区切り" totalsRowCellStyle="桁区切り">
      <totalsRowFormula>SUM(LTBL_01465[総数／事業所数])</totalsRowFormula>
    </tableColumn>
    <tableColumn id="11" xr3:uid="{B078947A-24A9-46C0-BCC6-26F0F08BD6CD}" name="総数／構成比" dataDxfId="1117"/>
    <tableColumn id="12" xr3:uid="{97776B6D-8053-432F-9005-718B1283E079}" name="個人／事業所数" totalsRowFunction="sum" totalsRowDxfId="1116" dataCellStyle="桁区切り" totalsRowCellStyle="桁区切り"/>
    <tableColumn id="13" xr3:uid="{E1A349D4-E050-4498-96E7-BDD556ADA857}" name="個人／構成比" dataDxfId="1115"/>
    <tableColumn id="14" xr3:uid="{8FCD3BFF-7FFA-47E2-A54C-F1228648071F}" name="法人／事業所数" totalsRowFunction="sum" totalsRowDxfId="1114" dataCellStyle="桁区切り" totalsRowCellStyle="桁区切り"/>
    <tableColumn id="15" xr3:uid="{C906356C-01A3-43C5-AB03-8A3B2F71DAC2}" name="法人／構成比" dataDxfId="1113"/>
    <tableColumn id="16" xr3:uid="{70FF4560-EFDE-4A0B-8FA9-9965544FC19E}" name="法人以外の団体／事業所数" totalsRowFunction="sum" totalsRowDxfId="1112" dataCellStyle="桁区切り" totalsRowCellStyle="桁区切り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B4A80928-153E-42BD-B755-0DAFD829CC5A}" name="M_TABLE_01465" displayName="M_TABLE_01465" ref="B23:I54" totalsRowShown="0">
  <autoFilter ref="B23:I54" xr:uid="{B4A80928-153E-42BD-B755-0DAFD829CC5A}"/>
  <tableColumns count="8">
    <tableColumn id="9" xr3:uid="{3B9C133F-3652-4833-8053-20CFE3BBC232}" name="産業中分類上位２０"/>
    <tableColumn id="10" xr3:uid="{A511D5D5-6857-448B-A5CC-0F7E208537B8}" name="総数／事業所数" dataCellStyle="桁区切り"/>
    <tableColumn id="11" xr3:uid="{9A085891-BA26-443A-9196-F2C878DEEC1F}" name="総数／構成比" dataDxfId="1111"/>
    <tableColumn id="12" xr3:uid="{E1896543-77AF-4797-92EF-10818ADC4BBC}" name="個人／事業所数" dataCellStyle="桁区切り"/>
    <tableColumn id="13" xr3:uid="{54E4CE65-0622-432C-9EDA-9C6E42A97418}" name="個人／構成比" dataDxfId="1110"/>
    <tableColumn id="14" xr3:uid="{8FF47277-9AFF-4945-A24A-4C675929E7B4}" name="法人／事業所数" dataCellStyle="桁区切り"/>
    <tableColumn id="15" xr3:uid="{0E32104B-8BB6-469F-AD8B-CC40C9275A2B}" name="法人／構成比" dataDxfId="1109"/>
    <tableColumn id="16" xr3:uid="{392B9A51-F378-438A-B61F-4F865ABF2EEC}" name="法人以外の団体／事業所数" dataCellStyle="桁区切り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A855B8E6-579F-4F28-B500-B4705784A6BE}" name="S_TABLE_01465" displayName="S_TABLE_01465" ref="B57:I77" totalsRowShown="0">
  <autoFilter ref="B57:I77" xr:uid="{A855B8E6-579F-4F28-B500-B4705784A6BE}"/>
  <tableColumns count="8">
    <tableColumn id="9" xr3:uid="{F5B1F7DD-0EF8-4FA3-9ADA-E7962D80F5EF}" name="産業小分類上位２０"/>
    <tableColumn id="10" xr3:uid="{16A8EAE4-A78A-41D6-9613-031AEFB92A8F}" name="総数／事業所数" dataCellStyle="桁区切り"/>
    <tableColumn id="11" xr3:uid="{E8938A47-F081-4015-8447-73945A1F209C}" name="総数／構成比" dataDxfId="1108"/>
    <tableColumn id="12" xr3:uid="{92D2C4FD-817E-4541-BA2D-F0A12A7788B3}" name="個人／事業所数" dataCellStyle="桁区切り"/>
    <tableColumn id="13" xr3:uid="{032366ED-5849-4B20-B9B3-686AF7FD423A}" name="個人／構成比" dataDxfId="1107"/>
    <tableColumn id="14" xr3:uid="{A0318DAA-4F75-43C2-B680-7FB83243BFAB}" name="法人／事業所数" dataCellStyle="桁区切り"/>
    <tableColumn id="15" xr3:uid="{424AEB3B-F74E-4AF1-A626-4E27F06E9FCC}" name="法人／構成比" dataDxfId="1106"/>
    <tableColumn id="16" xr3:uid="{01593EB2-D293-451A-B1CF-709B6532FA14}" name="法人以外の団体／事業所数" dataCellStyle="桁区切り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94D3519-EEDD-41AE-B35F-8116CCD48AA6}" name="LTBL_01468" displayName="LTBL_01468" ref="B4:I20" totalsRowCount="1">
  <autoFilter ref="B4:I19" xr:uid="{094D3519-EEDD-41AE-B35F-8116CCD48AA6}"/>
  <tableColumns count="8">
    <tableColumn id="9" xr3:uid="{D695C015-7476-4BC2-A407-870B78E8CAF6}" name="産業大分類" totalsRowLabel="合計" totalsRowDxfId="1105"/>
    <tableColumn id="10" xr3:uid="{1CEB8239-12AA-454A-922A-3FA9D378D873}" name="総数／事業所数" totalsRowFunction="custom" totalsRowDxfId="1104" dataCellStyle="桁区切り" totalsRowCellStyle="桁区切り">
      <totalsRowFormula>SUM(LTBL_01468[総数／事業所数])</totalsRowFormula>
    </tableColumn>
    <tableColumn id="11" xr3:uid="{4E7F32B6-74EF-40A6-9C30-881E4E38E898}" name="総数／構成比" dataDxfId="1103"/>
    <tableColumn id="12" xr3:uid="{EEA15025-E109-4193-A919-C2B4D5D31270}" name="個人／事業所数" totalsRowFunction="sum" totalsRowDxfId="1102" dataCellStyle="桁区切り" totalsRowCellStyle="桁区切り"/>
    <tableColumn id="13" xr3:uid="{94FFCC77-EFC3-4AC2-9DE1-FA4FBB1B0041}" name="個人／構成比" dataDxfId="1101"/>
    <tableColumn id="14" xr3:uid="{F35799F9-7785-4E24-AA23-10EB735622CF}" name="法人／事業所数" totalsRowFunction="sum" totalsRowDxfId="1100" dataCellStyle="桁区切り" totalsRowCellStyle="桁区切り"/>
    <tableColumn id="15" xr3:uid="{DE18DD48-2BD2-4A38-9AA1-F0258D2CFD1B}" name="法人／構成比" dataDxfId="1099"/>
    <tableColumn id="16" xr3:uid="{F505E6B1-C735-4921-97AA-E4AB7DFDE6FE}" name="法人以外の団体／事業所数" totalsRowFunction="sum" totalsRowDxfId="1098" dataCellStyle="桁区切り" totalsRowCellStyle="桁区切り"/>
  </tableColumns>
  <tableStyleInfo name="TableStyleMedium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32D75FD0-7E98-46EA-BF04-9B0CDB66B6F7}" name="M_TABLE_01468" displayName="M_TABLE_01468" ref="B23:I48" totalsRowShown="0">
  <autoFilter ref="B23:I48" xr:uid="{32D75FD0-7E98-46EA-BF04-9B0CDB66B6F7}"/>
  <tableColumns count="8">
    <tableColumn id="9" xr3:uid="{3B6C8B56-FFA7-4B1C-8BA5-D8CE184D0FA0}" name="産業中分類上位２０"/>
    <tableColumn id="10" xr3:uid="{1AD280DE-0721-478B-8840-77BD5BCED4F6}" name="総数／事業所数" dataCellStyle="桁区切り"/>
    <tableColumn id="11" xr3:uid="{00A24816-4DAE-48E5-9F82-DA31DDB80FBB}" name="総数／構成比" dataDxfId="1097"/>
    <tableColumn id="12" xr3:uid="{546D79FA-42A2-41EC-982C-86677AFCFE7F}" name="個人／事業所数" dataCellStyle="桁区切り"/>
    <tableColumn id="13" xr3:uid="{1D4BE1C9-F7F8-4ECE-8552-0E9415305195}" name="個人／構成比" dataDxfId="1096"/>
    <tableColumn id="14" xr3:uid="{944B2F44-2B2B-4B2D-81E5-C030BF3B1E44}" name="法人／事業所数" dataCellStyle="桁区切り"/>
    <tableColumn id="15" xr3:uid="{5124CEB0-04BD-46EC-A0B2-D956A171031B}" name="法人／構成比" dataDxfId="1095"/>
    <tableColumn id="16" xr3:uid="{39EF958A-6E1C-4E86-A755-D9A91FD72E08}" name="法人以外の団体／事業所数" dataCellStyle="桁区切り"/>
  </tableColumns>
  <tableStyleInfo name="TableStyleMedium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E8EEBBBF-95CC-425D-8E25-B1C7E93A0732}" name="S_TABLE_01468" displayName="S_TABLE_01468" ref="B51:I77" totalsRowShown="0">
  <autoFilter ref="B51:I77" xr:uid="{E8EEBBBF-95CC-425D-8E25-B1C7E93A0732}"/>
  <tableColumns count="8">
    <tableColumn id="9" xr3:uid="{762C2B85-3D45-4EA7-BEA1-BDF9FA341DE1}" name="産業小分類上位２０"/>
    <tableColumn id="10" xr3:uid="{326089A5-EE0A-4F87-9792-49EED9152C0E}" name="総数／事業所数" dataCellStyle="桁区切り"/>
    <tableColumn id="11" xr3:uid="{36DBE95C-CB93-48D3-864F-4647A809F7F2}" name="総数／構成比" dataDxfId="1094"/>
    <tableColumn id="12" xr3:uid="{D80B5369-ACD8-4D61-AB9D-4B4B0A4B4FE6}" name="個人／事業所数" dataCellStyle="桁区切り"/>
    <tableColumn id="13" xr3:uid="{5C21FF61-21CB-43E8-8CD2-EAAD8F5FBF99}" name="個人／構成比" dataDxfId="1093"/>
    <tableColumn id="14" xr3:uid="{53969A06-ABED-4D1D-B981-AAE3304DC1E6}" name="法人／事業所数" dataCellStyle="桁区切り"/>
    <tableColumn id="15" xr3:uid="{CA701BD8-E357-4C72-AF48-9FB39EB8E087}" name="法人／構成比" dataDxfId="1092"/>
    <tableColumn id="16" xr3:uid="{E5D1156E-15F7-436E-BED1-7260E379A238}" name="法人以外の団体／事業所数" dataCellStyle="桁区切り"/>
  </tableColumns>
  <tableStyleInfo name="TableStyleMedium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2B9EC06-73CE-429C-B3CC-DD84AB13FF8F}" name="LTBL_01469" displayName="LTBL_01469" ref="B4:I20" totalsRowCount="1">
  <autoFilter ref="B4:I19" xr:uid="{02B9EC06-73CE-429C-B3CC-DD84AB13FF8F}"/>
  <tableColumns count="8">
    <tableColumn id="9" xr3:uid="{19E414A5-497D-43C6-B425-943651D22551}" name="産業大分類" totalsRowLabel="合計" totalsRowDxfId="1091"/>
    <tableColumn id="10" xr3:uid="{748484CB-50AE-4358-95F5-04D90686F3D3}" name="総数／事業所数" totalsRowFunction="custom" totalsRowDxfId="1090" dataCellStyle="桁区切り" totalsRowCellStyle="桁区切り">
      <totalsRowFormula>SUM(LTBL_01469[総数／事業所数])</totalsRowFormula>
    </tableColumn>
    <tableColumn id="11" xr3:uid="{ED55A9C4-4179-43A0-B82D-944B1D565BA0}" name="総数／構成比" dataDxfId="1089"/>
    <tableColumn id="12" xr3:uid="{474EEEB0-30C6-4B70-B786-46CD398A34DE}" name="個人／事業所数" totalsRowFunction="sum" totalsRowDxfId="1088" dataCellStyle="桁区切り" totalsRowCellStyle="桁区切り"/>
    <tableColumn id="13" xr3:uid="{E816DBF7-9DCD-47B2-9B65-50C8A6F980C2}" name="個人／構成比" dataDxfId="1087"/>
    <tableColumn id="14" xr3:uid="{01217B8A-8F52-4913-A506-472E10B58EB6}" name="法人／事業所数" totalsRowFunction="sum" totalsRowDxfId="1086" dataCellStyle="桁区切り" totalsRowCellStyle="桁区切り"/>
    <tableColumn id="15" xr3:uid="{AE25D1CC-0D06-4EF9-A4A3-8CB4F718E468}" name="法人／構成比" dataDxfId="1085"/>
    <tableColumn id="16" xr3:uid="{AD664E09-ACB1-45FF-BD6C-7C0B3D2D0F4B}" name="法人以外の団体／事業所数" totalsRowFunction="sum" totalsRowDxfId="1084" dataCellStyle="桁区切り" totalsRowCellStyle="桁区切り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A5E19C66-68C8-4180-80BC-B940F5560EDD}" name="M_TABLE_01469" displayName="M_TABLE_01469" ref="B23:I46" totalsRowShown="0">
  <autoFilter ref="B23:I46" xr:uid="{A5E19C66-68C8-4180-80BC-B940F5560EDD}"/>
  <tableColumns count="8">
    <tableColumn id="9" xr3:uid="{3D531061-2EC1-4844-8AC4-D28CFABA62ED}" name="産業中分類上位２０"/>
    <tableColumn id="10" xr3:uid="{115E8DD9-6920-44C8-A7D2-1D8AE1E20460}" name="総数／事業所数" dataCellStyle="桁区切り"/>
    <tableColumn id="11" xr3:uid="{FACBE2D2-BC8B-4AAE-8A06-C3D1D16BEFC6}" name="総数／構成比" dataDxfId="1083"/>
    <tableColumn id="12" xr3:uid="{2699A08C-C953-4933-8CCC-302387C4D71F}" name="個人／事業所数" dataCellStyle="桁区切り"/>
    <tableColumn id="13" xr3:uid="{6F19C619-559B-4299-BA2F-C78A1E9F12E3}" name="個人／構成比" dataDxfId="1082"/>
    <tableColumn id="14" xr3:uid="{BA32FDF7-1DEE-4824-93AA-9F17E97BC2BB}" name="法人／事業所数" dataCellStyle="桁区切り"/>
    <tableColumn id="15" xr3:uid="{FC7B89AF-C974-4989-B6A7-8B32CED33432}" name="法人／構成比" dataDxfId="1081"/>
    <tableColumn id="16" xr3:uid="{C26775D2-39AF-43C4-BACF-94159EA06D5A}" name="法人以外の団体／事業所数" dataCellStyle="桁区切り"/>
  </tableColumns>
  <tableStyleInfo name="TableStyleMedium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3E79A4CB-7D80-41A9-AF03-1DBBFF3C8A8A}" name="S_TABLE_01469" displayName="S_TABLE_01469" ref="B49:I84" totalsRowShown="0">
  <autoFilter ref="B49:I84" xr:uid="{3E79A4CB-7D80-41A9-AF03-1DBBFF3C8A8A}"/>
  <tableColumns count="8">
    <tableColumn id="9" xr3:uid="{AFAA6A9A-A1F3-4BAD-B4AA-7477C3DAF309}" name="産業小分類上位２０"/>
    <tableColumn id="10" xr3:uid="{FAFB5EC8-AB85-4BCB-A49F-DD0C182D5EF8}" name="総数／事業所数" dataCellStyle="桁区切り"/>
    <tableColumn id="11" xr3:uid="{EE5F3D44-C81D-483E-BF78-06C2AB51F605}" name="総数／構成比" dataDxfId="1080"/>
    <tableColumn id="12" xr3:uid="{25545640-9454-4A85-B265-040B19D0F9E9}" name="個人／事業所数" dataCellStyle="桁区切り"/>
    <tableColumn id="13" xr3:uid="{BB3DC561-F986-41A8-BB62-23302E15439B}" name="個人／構成比" dataDxfId="1079"/>
    <tableColumn id="14" xr3:uid="{9272F983-6FCA-47CF-AEB9-2557067CB8DF}" name="法人／事業所数" dataCellStyle="桁区切り"/>
    <tableColumn id="15" xr3:uid="{D13CF92A-E7B9-4F63-9CD8-C5169125280C}" name="法人／構成比" dataDxfId="1078"/>
    <tableColumn id="16" xr3:uid="{B5041D6F-6836-40DB-B125-40B262D4F8AC}" name="法人以外の団体／事業所数" dataCellStyle="桁区切り"/>
  </tableColumns>
  <tableStyleInfo name="TableStyleMedium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B85DCD3-5F1B-4E7B-BD38-E36EBDA54861}" name="LTBL_01110" displayName="LTBL_01110" ref="B4:I20" totalsRowCount="1">
  <autoFilter ref="B4:I19" xr:uid="{2B85DCD3-5F1B-4E7B-BD38-E36EBDA54861}"/>
  <tableColumns count="8">
    <tableColumn id="9" xr3:uid="{C8884228-B64B-4150-BECB-2936E3ED811F}" name="産業大分類" totalsRowLabel="合計" totalsRowDxfId="2505"/>
    <tableColumn id="10" xr3:uid="{404948E0-C362-468B-B94C-D2C5F26BC299}" name="総数／事業所数" totalsRowFunction="custom" totalsRowDxfId="2504" dataCellStyle="桁区切り" totalsRowCellStyle="桁区切り">
      <totalsRowFormula>SUM(LTBL_01110[総数／事業所数])</totalsRowFormula>
    </tableColumn>
    <tableColumn id="11" xr3:uid="{D3D0AF43-D3F8-4EC5-9144-D726B7BA20DB}" name="総数／構成比" dataDxfId="2503"/>
    <tableColumn id="12" xr3:uid="{B5D0E667-1D37-4D02-B87C-9FEB5A2CC5D8}" name="個人／事業所数" totalsRowFunction="sum" totalsRowDxfId="2502" dataCellStyle="桁区切り" totalsRowCellStyle="桁区切り"/>
    <tableColumn id="13" xr3:uid="{2D102537-07CF-4C77-BB5E-BDB5E11FB1F9}" name="個人／構成比" dataDxfId="2501"/>
    <tableColumn id="14" xr3:uid="{90F5DF25-8686-4598-9CD0-C7B3DAEC4C5E}" name="法人／事業所数" totalsRowFunction="sum" totalsRowDxfId="2500" dataCellStyle="桁区切り" totalsRowCellStyle="桁区切り"/>
    <tableColumn id="15" xr3:uid="{4704FD50-31F9-4D6B-B560-686D7C6B982A}" name="法人／構成比" dataDxfId="2499"/>
    <tableColumn id="16" xr3:uid="{A4C9CF6A-5F64-4B4F-8315-209743FE9AF4}" name="法人以外の団体／事業所数" totalsRowFunction="sum" totalsRowDxfId="2498" dataCellStyle="桁区切り" totalsRowCellStyle="桁区切り"/>
  </tableColumns>
  <tableStyleInfo name="TableStyleMedium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2434CF61-1627-4E6D-A23C-1E26A85A3AE7}" name="LTBL_01470" displayName="LTBL_01470" ref="B4:I20" totalsRowCount="1">
  <autoFilter ref="B4:I19" xr:uid="{2434CF61-1627-4E6D-A23C-1E26A85A3AE7}"/>
  <tableColumns count="8">
    <tableColumn id="9" xr3:uid="{5EE25318-06AB-410E-88AE-AA2BDF28CE49}" name="産業大分類" totalsRowLabel="合計" totalsRowDxfId="1077"/>
    <tableColumn id="10" xr3:uid="{C9C9C0EE-E481-4172-BF95-FFBA62303CA9}" name="総数／事業所数" totalsRowFunction="custom" totalsRowDxfId="1076" dataCellStyle="桁区切り" totalsRowCellStyle="桁区切り">
      <totalsRowFormula>SUM(LTBL_01470[総数／事業所数])</totalsRowFormula>
    </tableColumn>
    <tableColumn id="11" xr3:uid="{E28FF461-F72C-423E-BF25-BD402C1C3044}" name="総数／構成比" dataDxfId="1075"/>
    <tableColumn id="12" xr3:uid="{D9A1604D-552F-4DC8-B959-750872F3642D}" name="個人／事業所数" totalsRowFunction="sum" totalsRowDxfId="1074" dataCellStyle="桁区切り" totalsRowCellStyle="桁区切り"/>
    <tableColumn id="13" xr3:uid="{9BFE3A32-EBAF-403E-92EB-17EDAAAD41BB}" name="個人／構成比" dataDxfId="1073"/>
    <tableColumn id="14" xr3:uid="{7A509FF7-4297-4C63-BBED-F3F33AA2FF5C}" name="法人／事業所数" totalsRowFunction="sum" totalsRowDxfId="1072" dataCellStyle="桁区切り" totalsRowCellStyle="桁区切り"/>
    <tableColumn id="15" xr3:uid="{19F654FD-5E1D-4F97-9F7F-5BF7D35DE9BC}" name="法人／構成比" dataDxfId="1071"/>
    <tableColumn id="16" xr3:uid="{A0EF85AD-8487-4004-8C2A-D12A8385AF56}" name="法人以外の団体／事業所数" totalsRowFunction="sum" totalsRowDxfId="1070" dataCellStyle="桁区切り" totalsRowCellStyle="桁区切り"/>
  </tableColumns>
  <tableStyleInfo name="TableStyleMedium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7E2F4CE9-CE31-4A49-BB45-13AAC98BD98A}" name="M_TABLE_01470" displayName="M_TABLE_01470" ref="B23:I40" totalsRowShown="0">
  <autoFilter ref="B23:I40" xr:uid="{7E2F4CE9-CE31-4A49-BB45-13AAC98BD98A}"/>
  <tableColumns count="8">
    <tableColumn id="9" xr3:uid="{28D83E8B-1A3B-43DC-883E-87E57CED1812}" name="産業中分類上位２０"/>
    <tableColumn id="10" xr3:uid="{24172CFA-F086-42BF-B8C9-4B96B4948ADF}" name="総数／事業所数" dataCellStyle="桁区切り"/>
    <tableColumn id="11" xr3:uid="{FFD461D1-E18B-49F3-9C5F-3344EBF2114E}" name="総数／構成比" dataDxfId="1069"/>
    <tableColumn id="12" xr3:uid="{5A06CAF8-393E-4D03-97BF-BA6B584A7E8B}" name="個人／事業所数" dataCellStyle="桁区切り"/>
    <tableColumn id="13" xr3:uid="{F3F8F2F8-F411-4C88-A513-8C604AFFF592}" name="個人／構成比" dataDxfId="1068"/>
    <tableColumn id="14" xr3:uid="{86139662-4CF0-486C-808C-3795918BBDBA}" name="法人／事業所数" dataCellStyle="桁区切り"/>
    <tableColumn id="15" xr3:uid="{8E95181F-0124-47A5-9D97-1F9AAAFD5D5A}" name="法人／構成比" dataDxfId="1067"/>
    <tableColumn id="16" xr3:uid="{3AFB7635-3295-4631-B89E-2273543BEAAE}" name="法人以外の団体／事業所数" dataCellStyle="桁区切り"/>
  </tableColumns>
  <tableStyleInfo name="TableStyleMedium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F522B8E1-C293-4322-83A5-0E6596DE74D6}" name="S_TABLE_01470" displayName="S_TABLE_01470" ref="B43:I70" totalsRowShown="0">
  <autoFilter ref="B43:I70" xr:uid="{F522B8E1-C293-4322-83A5-0E6596DE74D6}"/>
  <tableColumns count="8">
    <tableColumn id="9" xr3:uid="{AB475F41-B042-4FC2-AB2E-BB798D46CEDA}" name="産業小分類上位２０"/>
    <tableColumn id="10" xr3:uid="{ABAACE6B-762F-47C0-A5B5-21986E9E28B4}" name="総数／事業所数" dataCellStyle="桁区切り"/>
    <tableColumn id="11" xr3:uid="{CE30147F-1046-4439-995D-3F8F3044703B}" name="総数／構成比" dataDxfId="1066"/>
    <tableColumn id="12" xr3:uid="{C94CFDFA-DFB5-44DF-8192-91C91C855D05}" name="個人／事業所数" dataCellStyle="桁区切り"/>
    <tableColumn id="13" xr3:uid="{AE970272-B991-437C-B6CD-6ADD7E57B2C8}" name="個人／構成比" dataDxfId="1065"/>
    <tableColumn id="14" xr3:uid="{20332389-F909-4F01-9C46-200ACEC2BEB1}" name="法人／事業所数" dataCellStyle="桁区切り"/>
    <tableColumn id="15" xr3:uid="{3EC1CF12-075C-405D-8F74-3A8DB126CD23}" name="法人／構成比" dataDxfId="1064"/>
    <tableColumn id="16" xr3:uid="{81A34C89-99B1-4C3A-8043-947FCEEB7E86}" name="法人以外の団体／事業所数" dataCellStyle="桁区切り"/>
  </tableColumns>
  <tableStyleInfo name="TableStyleMedium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85BA930E-9EC3-4CE6-930E-49AD873B5DD0}" name="LTBL_01471" displayName="LTBL_01471" ref="B4:I20" totalsRowCount="1">
  <autoFilter ref="B4:I19" xr:uid="{85BA930E-9EC3-4CE6-930E-49AD873B5DD0}"/>
  <tableColumns count="8">
    <tableColumn id="9" xr3:uid="{B78B4121-0AA1-48D3-A527-C0D8B9601F7C}" name="産業大分類" totalsRowLabel="合計" totalsRowDxfId="1063"/>
    <tableColumn id="10" xr3:uid="{0987E218-8E46-483D-BF58-D31F8F4004CF}" name="総数／事業所数" totalsRowFunction="custom" totalsRowDxfId="1062" dataCellStyle="桁区切り" totalsRowCellStyle="桁区切り">
      <totalsRowFormula>SUM(LTBL_01471[総数／事業所数])</totalsRowFormula>
    </tableColumn>
    <tableColumn id="11" xr3:uid="{D8F99B7C-54BB-401E-AB6A-04A2B4E06077}" name="総数／構成比" dataDxfId="1061"/>
    <tableColumn id="12" xr3:uid="{12289C32-3F6C-4E57-B553-A543E6081D7A}" name="個人／事業所数" totalsRowFunction="sum" totalsRowDxfId="1060" dataCellStyle="桁区切り" totalsRowCellStyle="桁区切り"/>
    <tableColumn id="13" xr3:uid="{D789CDB2-F9A3-4640-B96C-3108A9491BE5}" name="個人／構成比" dataDxfId="1059"/>
    <tableColumn id="14" xr3:uid="{821519B5-4DE3-4A34-886B-7C417AC29DED}" name="法人／事業所数" totalsRowFunction="sum" totalsRowDxfId="1058" dataCellStyle="桁区切り" totalsRowCellStyle="桁区切り"/>
    <tableColumn id="15" xr3:uid="{F83DE41D-A43F-4A94-A41A-F3042CF43EB8}" name="法人／構成比" dataDxfId="1057"/>
    <tableColumn id="16" xr3:uid="{380272B1-F710-46D2-B807-D6CE8A50AE43}" name="法人以外の団体／事業所数" totalsRowFunction="sum" totalsRowDxfId="1056" dataCellStyle="桁区切り" totalsRowCellStyle="桁区切り"/>
  </tableColumns>
  <tableStyleInfo name="TableStyleMedium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462AFC85-9253-4DD6-A314-B4AFF91B2A50}" name="M_TABLE_01471" displayName="M_TABLE_01471" ref="B23:I57" totalsRowShown="0">
  <autoFilter ref="B23:I57" xr:uid="{462AFC85-9253-4DD6-A314-B4AFF91B2A50}"/>
  <tableColumns count="8">
    <tableColumn id="9" xr3:uid="{2F9AC8FC-43E4-428B-A52F-C0C7CCF006D7}" name="産業中分類上位２０"/>
    <tableColumn id="10" xr3:uid="{D69679B0-EEA6-4C23-B7C3-38558E77CF82}" name="総数／事業所数" dataCellStyle="桁区切り"/>
    <tableColumn id="11" xr3:uid="{71B4B338-7D66-4071-98CC-B99A2AEAA1DF}" name="総数／構成比" dataDxfId="1055"/>
    <tableColumn id="12" xr3:uid="{77C81E60-731D-4325-BECE-B0E6B6A4E4EE}" name="個人／事業所数" dataCellStyle="桁区切り"/>
    <tableColumn id="13" xr3:uid="{A95D0277-FE37-43B7-BBAC-4615A2FF3588}" name="個人／構成比" dataDxfId="1054"/>
    <tableColumn id="14" xr3:uid="{D1E1D434-A74E-48B9-BFD8-E4E65878C25E}" name="法人／事業所数" dataCellStyle="桁区切り"/>
    <tableColumn id="15" xr3:uid="{59610339-96FC-41CB-96B6-E71733658C06}" name="法人／構成比" dataDxfId="1053"/>
    <tableColumn id="16" xr3:uid="{96931208-B761-478A-8962-9A9E47413D04}" name="法人以外の団体／事業所数" dataCellStyle="桁区切り"/>
  </tableColumns>
  <tableStyleInfo name="TableStyleMedium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602EC7C9-CB15-48B1-8E96-5F49BA941302}" name="S_TABLE_01471" displayName="S_TABLE_01471" ref="B60:I110" totalsRowShown="0">
  <autoFilter ref="B60:I110" xr:uid="{602EC7C9-CB15-48B1-8E96-5F49BA941302}"/>
  <tableColumns count="8">
    <tableColumn id="9" xr3:uid="{CF2B2A01-86CA-4C6B-93FE-FEB73ABE00F0}" name="産業小分類上位２０"/>
    <tableColumn id="10" xr3:uid="{89E0E122-A3F6-4AFE-8991-06BE1BFD8744}" name="総数／事業所数" dataCellStyle="桁区切り"/>
    <tableColumn id="11" xr3:uid="{A1267D5F-4126-49D3-B584-93DC85CB42DA}" name="総数／構成比" dataDxfId="1052"/>
    <tableColumn id="12" xr3:uid="{99838C0D-A994-4228-9E41-4F421A9B1908}" name="個人／事業所数" dataCellStyle="桁区切り"/>
    <tableColumn id="13" xr3:uid="{5E2A5A8E-4DC0-451C-BAAF-8AF2BD129146}" name="個人／構成比" dataDxfId="1051"/>
    <tableColumn id="14" xr3:uid="{6443659C-DBA8-40B1-92FF-DBE66D4F48A6}" name="法人／事業所数" dataCellStyle="桁区切り"/>
    <tableColumn id="15" xr3:uid="{54B67FF0-914E-4E51-BA4E-E3D2B927766A}" name="法人／構成比" dataDxfId="1050"/>
    <tableColumn id="16" xr3:uid="{7DDE1E0F-BC71-47B7-A116-8B5C71C78F91}" name="法人以外の団体／事業所数" dataCellStyle="桁区切り"/>
  </tableColumns>
  <tableStyleInfo name="TableStyleMedium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A15EFCAC-4323-4292-B6A9-F09C6C599A62}" name="LTBL_01472" displayName="LTBL_01472" ref="B4:I20" totalsRowCount="1">
  <autoFilter ref="B4:I19" xr:uid="{A15EFCAC-4323-4292-B6A9-F09C6C599A62}"/>
  <tableColumns count="8">
    <tableColumn id="9" xr3:uid="{D894885D-08EB-4A4D-9645-E8B30E685498}" name="産業大分類" totalsRowLabel="合計" totalsRowDxfId="1049"/>
    <tableColumn id="10" xr3:uid="{6C11D207-2AA0-417D-9340-4F02AC4A75E2}" name="総数／事業所数" totalsRowFunction="custom" totalsRowDxfId="1048" dataCellStyle="桁区切り" totalsRowCellStyle="桁区切り">
      <totalsRowFormula>SUM(LTBL_01472[総数／事業所数])</totalsRowFormula>
    </tableColumn>
    <tableColumn id="11" xr3:uid="{144BD84C-8817-4029-BE80-EDA553B4259A}" name="総数／構成比" dataDxfId="1047"/>
    <tableColumn id="12" xr3:uid="{9199DCFA-A03B-45AF-8A50-5B953E5D55D6}" name="個人／事業所数" totalsRowFunction="sum" totalsRowDxfId="1046" dataCellStyle="桁区切り" totalsRowCellStyle="桁区切り"/>
    <tableColumn id="13" xr3:uid="{EF4F62FC-B7E9-4885-9CF7-2FAF1B12205F}" name="個人／構成比" dataDxfId="1045"/>
    <tableColumn id="14" xr3:uid="{D4DD959E-7805-4769-8324-0393AB905887}" name="法人／事業所数" totalsRowFunction="sum" totalsRowDxfId="1044" dataCellStyle="桁区切り" totalsRowCellStyle="桁区切り"/>
    <tableColumn id="15" xr3:uid="{55222B50-6728-4C91-A266-21347A077634}" name="法人／構成比" dataDxfId="1043"/>
    <tableColumn id="16" xr3:uid="{566AC1D8-215F-4E41-8A37-58795AD0B256}" name="法人以外の団体／事業所数" totalsRowFunction="sum" totalsRowDxfId="1042" dataCellStyle="桁区切り" totalsRowCellStyle="桁区切り"/>
  </tableColumns>
  <tableStyleInfo name="TableStyleMedium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FEC0FDB2-B8AD-4DD6-86E7-8EA2340E8AA9}" name="M_TABLE_01472" displayName="M_TABLE_01472" ref="B23:I48" totalsRowShown="0">
  <autoFilter ref="B23:I48" xr:uid="{FEC0FDB2-B8AD-4DD6-86E7-8EA2340E8AA9}"/>
  <tableColumns count="8">
    <tableColumn id="9" xr3:uid="{9B09016E-9D1A-4177-AF3C-19A62790AC6E}" name="産業中分類上位２０"/>
    <tableColumn id="10" xr3:uid="{F193C24A-4495-4674-86FE-D556358E2443}" name="総数／事業所数" dataCellStyle="桁区切り"/>
    <tableColumn id="11" xr3:uid="{90202079-6532-4A54-A39E-751FF5954C72}" name="総数／構成比" dataDxfId="1041"/>
    <tableColumn id="12" xr3:uid="{782F0B09-CF01-4F43-821A-B594012F04B2}" name="個人／事業所数" dataCellStyle="桁区切り"/>
    <tableColumn id="13" xr3:uid="{0972E33F-FB6D-4977-A777-623A798FA059}" name="個人／構成比" dataDxfId="1040"/>
    <tableColumn id="14" xr3:uid="{0416E955-67DD-44C6-8F73-DFCB2E156F11}" name="法人／事業所数" dataCellStyle="桁区切り"/>
    <tableColumn id="15" xr3:uid="{FCD78379-FD0D-4058-A7F3-D2FEBA6C48D8}" name="法人／構成比" dataDxfId="1039"/>
    <tableColumn id="16" xr3:uid="{D6A11BBF-C0DB-4EFF-BF24-14A9414114A3}" name="法人以外の団体／事業所数" dataCellStyle="桁区切り"/>
  </tableColumns>
  <tableStyleInfo name="TableStyleMedium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7036D809-A26D-41B4-BA56-67C3F25AE5BA}" name="S_TABLE_01472" displayName="S_TABLE_01472" ref="B51:I87" totalsRowShown="0">
  <autoFilter ref="B51:I87" xr:uid="{7036D809-A26D-41B4-BA56-67C3F25AE5BA}"/>
  <tableColumns count="8">
    <tableColumn id="9" xr3:uid="{03C7B42D-862A-450A-A570-09D1EFF71EDF}" name="産業小分類上位２０"/>
    <tableColumn id="10" xr3:uid="{0BA25AB5-F4E5-4BE3-AF6B-C7936D4510A7}" name="総数／事業所数" dataCellStyle="桁区切り"/>
    <tableColumn id="11" xr3:uid="{7D9F4E97-0B9F-4B14-8754-46F3E93C6948}" name="総数／構成比" dataDxfId="1038"/>
    <tableColumn id="12" xr3:uid="{8C6E8391-4808-428E-BA11-B78E7DF6FCF1}" name="個人／事業所数" dataCellStyle="桁区切り"/>
    <tableColumn id="13" xr3:uid="{EF547254-2C97-41F5-A3A6-2EE7E3754A19}" name="個人／構成比" dataDxfId="1037"/>
    <tableColumn id="14" xr3:uid="{52102EDC-A758-4E87-86F6-23E66207E024}" name="法人／事業所数" dataCellStyle="桁区切り"/>
    <tableColumn id="15" xr3:uid="{113B5B0D-2823-4C0E-B23D-6C8EF50CE1AD}" name="法人／構成比" dataDxfId="1036"/>
    <tableColumn id="16" xr3:uid="{89EBE9E7-AFD5-4F26-A312-8D60849FD777}" name="法人以外の団体／事業所数" dataCellStyle="桁区切り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CFC7F7A0-895F-40A5-B096-EBB8C874E5DA}" name="LTBL_01481" displayName="LTBL_01481" ref="B4:I20" totalsRowCount="1">
  <autoFilter ref="B4:I19" xr:uid="{CFC7F7A0-895F-40A5-B096-EBB8C874E5DA}"/>
  <tableColumns count="8">
    <tableColumn id="9" xr3:uid="{D78D599A-8A89-47E1-9D32-BDAE4B23D7B5}" name="産業大分類" totalsRowLabel="合計" totalsRowDxfId="1035"/>
    <tableColumn id="10" xr3:uid="{A5593C22-0B5C-4442-AA3D-E090B4BB6F7F}" name="総数／事業所数" totalsRowFunction="custom" totalsRowDxfId="1034" dataCellStyle="桁区切り" totalsRowCellStyle="桁区切り">
      <totalsRowFormula>SUM(LTBL_01481[総数／事業所数])</totalsRowFormula>
    </tableColumn>
    <tableColumn id="11" xr3:uid="{A1C0DB57-E784-440B-BAAB-5B3C8E364006}" name="総数／構成比" dataDxfId="1033"/>
    <tableColumn id="12" xr3:uid="{A12FD4FF-845F-46F0-A541-C66EFF1E2B91}" name="個人／事業所数" totalsRowFunction="sum" totalsRowDxfId="1032" dataCellStyle="桁区切り" totalsRowCellStyle="桁区切り"/>
    <tableColumn id="13" xr3:uid="{143F36B0-C121-4687-AA9F-F15AAACD58D2}" name="個人／構成比" dataDxfId="1031"/>
    <tableColumn id="14" xr3:uid="{7DFD1BAF-5C3F-41CB-B14E-9EC70CB1FF22}" name="法人／事業所数" totalsRowFunction="sum" totalsRowDxfId="1030" dataCellStyle="桁区切り" totalsRowCellStyle="桁区切り"/>
    <tableColumn id="15" xr3:uid="{7CB43CC2-498F-42B4-8E1E-AAAAE3AE4910}" name="法人／構成比" dataDxfId="1029"/>
    <tableColumn id="16" xr3:uid="{C40BF537-F8AE-4B60-97B3-1404CCD8815C}" name="法人以外の団体／事業所数" totalsRowFunction="sum" totalsRowDxfId="1028" dataCellStyle="桁区切り" totalsRowCellStyle="桁区切り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21951F99-6AA1-4225-AE63-58D0C7FCC400}" name="M_TABLE_01110" displayName="M_TABLE_01110" ref="B23:I43" totalsRowShown="0">
  <autoFilter ref="B23:I43" xr:uid="{21951F99-6AA1-4225-AE63-58D0C7FCC400}"/>
  <tableColumns count="8">
    <tableColumn id="9" xr3:uid="{8E1BE336-AD49-4837-8934-57FFE8DF4104}" name="産業中分類上位２０"/>
    <tableColumn id="10" xr3:uid="{23B88B35-C6D0-4F6B-B21C-46C7C4C7E51A}" name="総数／事業所数" dataCellStyle="桁区切り"/>
    <tableColumn id="11" xr3:uid="{67FB342B-1DE6-4175-B468-22DA11D1C811}" name="総数／構成比" dataDxfId="2497"/>
    <tableColumn id="12" xr3:uid="{F46BB2AC-184C-4583-B67E-715A57643669}" name="個人／事業所数" dataCellStyle="桁区切り"/>
    <tableColumn id="13" xr3:uid="{F81DFE89-DFC1-4EA0-8AFF-E2354D4AEC21}" name="個人／構成比" dataDxfId="2496"/>
    <tableColumn id="14" xr3:uid="{9D1D0A3F-928C-47C7-A77F-9C256A7F8922}" name="法人／事業所数" dataCellStyle="桁区切り"/>
    <tableColumn id="15" xr3:uid="{427FFC49-5491-4665-91BC-99AB848B46B6}" name="法人／構成比" dataDxfId="2495"/>
    <tableColumn id="16" xr3:uid="{5EE5C0C5-980C-45A4-BB6E-ED30BC7A46BA}" name="法人以外の団体／事業所数" dataCellStyle="桁区切り"/>
  </tableColumns>
  <tableStyleInfo name="TableStyleMedium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EB03D88E-7AC8-406E-A273-9422430E950F}" name="M_TABLE_01481" displayName="M_TABLE_01481" ref="B23:I45" totalsRowShown="0">
  <autoFilter ref="B23:I45" xr:uid="{EB03D88E-7AC8-406E-A273-9422430E950F}"/>
  <tableColumns count="8">
    <tableColumn id="9" xr3:uid="{C97774E2-0060-42C3-ACC1-121E435AC5D6}" name="産業中分類上位２０"/>
    <tableColumn id="10" xr3:uid="{192EAC65-43C3-4F09-A7DC-ADE6353FCA7C}" name="総数／事業所数" dataCellStyle="桁区切り"/>
    <tableColumn id="11" xr3:uid="{70C7182A-414A-4220-9E28-B522C9D55F69}" name="総数／構成比" dataDxfId="1027"/>
    <tableColumn id="12" xr3:uid="{85D49292-39EB-4510-8F69-14692E557800}" name="個人／事業所数" dataCellStyle="桁区切り"/>
    <tableColumn id="13" xr3:uid="{D58FA040-4C3F-4083-9BFA-5FFD542BFE5E}" name="個人／構成比" dataDxfId="1026"/>
    <tableColumn id="14" xr3:uid="{3B9A129C-958A-4A23-B913-958FB8CF6421}" name="法人／事業所数" dataCellStyle="桁区切り"/>
    <tableColumn id="15" xr3:uid="{848FAC2A-6896-46F7-8531-4BB95E386094}" name="法人／構成比" dataDxfId="1025"/>
    <tableColumn id="16" xr3:uid="{5327948B-1C57-4AC6-A2DB-0BBB7AD26184}" name="法人以外の団体／事業所数" dataCellStyle="桁区切り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BDA46221-6D52-40B2-AEE1-DD43C99671EF}" name="S_TABLE_01481" displayName="S_TABLE_01481" ref="B48:I82" totalsRowShown="0">
  <autoFilter ref="B48:I82" xr:uid="{BDA46221-6D52-40B2-AEE1-DD43C99671EF}"/>
  <tableColumns count="8">
    <tableColumn id="9" xr3:uid="{A9D3716E-71FF-4738-9A8C-1D0AB0692F3D}" name="産業小分類上位２０"/>
    <tableColumn id="10" xr3:uid="{EF4A44A9-9944-4B81-8C41-273E05C35D5A}" name="総数／事業所数" dataCellStyle="桁区切り"/>
    <tableColumn id="11" xr3:uid="{F1C0CD6F-7C05-4D19-9729-DD6645A9C37F}" name="総数／構成比" dataDxfId="1024"/>
    <tableColumn id="12" xr3:uid="{B21C598B-ED27-4BE4-8F36-9845D2373F11}" name="個人／事業所数" dataCellStyle="桁区切り"/>
    <tableColumn id="13" xr3:uid="{BDC93DF9-C7F8-4078-AB0B-9D6A1080EF25}" name="個人／構成比" dataDxfId="1023"/>
    <tableColumn id="14" xr3:uid="{E5896E53-F9DA-442D-BB2A-A990166F90CF}" name="法人／事業所数" dataCellStyle="桁区切り"/>
    <tableColumn id="15" xr3:uid="{1330839C-2076-4528-8D13-14D144ACBD8B}" name="法人／構成比" dataDxfId="1022"/>
    <tableColumn id="16" xr3:uid="{268AD93B-EC7E-4995-A323-92223BBACD40}" name="法人以外の団体／事業所数" dataCellStyle="桁区切り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7D0FBA5-D231-4A42-B9FD-6B6567347AD5}" name="LTBL_01482" displayName="LTBL_01482" ref="B4:I20" totalsRowCount="1">
  <autoFilter ref="B4:I19" xr:uid="{07D0FBA5-D231-4A42-B9FD-6B6567347AD5}"/>
  <tableColumns count="8">
    <tableColumn id="9" xr3:uid="{1489F865-C42A-4A40-9EB0-62D41F79EBDF}" name="産業大分類" totalsRowLabel="合計" totalsRowDxfId="1021"/>
    <tableColumn id="10" xr3:uid="{4816D4EC-8F1D-44B0-9B3C-F5D6029472F4}" name="総数／事業所数" totalsRowFunction="custom" totalsRowDxfId="1020" dataCellStyle="桁区切り" totalsRowCellStyle="桁区切り">
      <totalsRowFormula>SUM(LTBL_01482[総数／事業所数])</totalsRowFormula>
    </tableColumn>
    <tableColumn id="11" xr3:uid="{89C64D49-FF0A-4634-BAAC-743D6E5158A1}" name="総数／構成比" dataDxfId="1019"/>
    <tableColumn id="12" xr3:uid="{63DB0908-B887-4F98-9529-E4E7EAB91FFB}" name="個人／事業所数" totalsRowFunction="sum" totalsRowDxfId="1018" dataCellStyle="桁区切り" totalsRowCellStyle="桁区切り"/>
    <tableColumn id="13" xr3:uid="{D725F5FD-8F5A-4A6A-8371-0F07B87ED95E}" name="個人／構成比" dataDxfId="1017"/>
    <tableColumn id="14" xr3:uid="{3D15F5CD-D90D-441D-A199-44719496DE74}" name="法人／事業所数" totalsRowFunction="sum" totalsRowDxfId="1016" dataCellStyle="桁区切り" totalsRowCellStyle="桁区切り"/>
    <tableColumn id="15" xr3:uid="{FCE6168A-E05A-483C-B5EE-8A4D4D7CFB19}" name="法人／構成比" dataDxfId="1015"/>
    <tableColumn id="16" xr3:uid="{A190E345-37AE-4EDE-8230-9BF94B59DF81}" name="法人以外の団体／事業所数" totalsRowFunction="sum" totalsRowDxfId="1014" dataCellStyle="桁区切り" totalsRowCellStyle="桁区切り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286A3359-B764-43CD-BBE5-B30BF0CFF05F}" name="M_TABLE_01482" displayName="M_TABLE_01482" ref="B23:I43" totalsRowShown="0">
  <autoFilter ref="B23:I43" xr:uid="{286A3359-B764-43CD-BBE5-B30BF0CFF05F}"/>
  <tableColumns count="8">
    <tableColumn id="9" xr3:uid="{8C829BB9-5868-4761-B59F-D2C5E9796C23}" name="産業中分類上位２０"/>
    <tableColumn id="10" xr3:uid="{6B5AF4D4-3A31-4FB8-9444-86708BFC5724}" name="総数／事業所数" dataCellStyle="桁区切り"/>
    <tableColumn id="11" xr3:uid="{D5EE47ED-F9BD-4E9F-A09A-70F97B0C1D7D}" name="総数／構成比" dataDxfId="1013"/>
    <tableColumn id="12" xr3:uid="{E396066D-68D7-419D-93C6-A665B37A786A}" name="個人／事業所数" dataCellStyle="桁区切り"/>
    <tableColumn id="13" xr3:uid="{FA3E85EB-11D6-463F-924D-9525739CDDC8}" name="個人／構成比" dataDxfId="1012"/>
    <tableColumn id="14" xr3:uid="{F7ED9D65-7B88-40BE-883F-96E0FD656033}" name="法人／事業所数" dataCellStyle="桁区切り"/>
    <tableColumn id="15" xr3:uid="{5B8F58F0-3CA2-4BFB-939D-6B151B1410D4}" name="法人／構成比" dataDxfId="1011"/>
    <tableColumn id="16" xr3:uid="{DE56E169-31AF-4E45-96C6-62E8D6115961}" name="法人以外の団体／事業所数" dataCellStyle="桁区切り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A87388EF-E6E9-418F-9E4E-48B815538841}" name="S_TABLE_01482" displayName="S_TABLE_01482" ref="B46:I88" totalsRowShown="0">
  <autoFilter ref="B46:I88" xr:uid="{A87388EF-E6E9-418F-9E4E-48B815538841}"/>
  <tableColumns count="8">
    <tableColumn id="9" xr3:uid="{ACEB37FF-6963-403B-8C6D-A46157A8696E}" name="産業小分類上位２０"/>
    <tableColumn id="10" xr3:uid="{3EE21F59-A299-4342-82C9-1A69F1D34B11}" name="総数／事業所数" dataCellStyle="桁区切り"/>
    <tableColumn id="11" xr3:uid="{5053B6B1-DEC6-4C1C-AC24-7646CFA4DAC4}" name="総数／構成比" dataDxfId="1010"/>
    <tableColumn id="12" xr3:uid="{48503A87-FB89-4FA8-AA6B-C7E92394EE8D}" name="個人／事業所数" dataCellStyle="桁区切り"/>
    <tableColumn id="13" xr3:uid="{1FD206B1-E9CF-483F-AB0F-21DD1A3946C6}" name="個人／構成比" dataDxfId="1009"/>
    <tableColumn id="14" xr3:uid="{93DE60B4-5D22-4C41-B507-0010B4B8F96E}" name="法人／事業所数" dataCellStyle="桁区切り"/>
    <tableColumn id="15" xr3:uid="{B30E58E4-62E0-4CE4-90C3-CDC82A702388}" name="法人／構成比" dataDxfId="1008"/>
    <tableColumn id="16" xr3:uid="{8BFD202D-AA7C-4D5F-B208-FA9E3DD271D2}" name="法人以外の団体／事業所数" dataCellStyle="桁区切り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A0CBA66F-3B3F-4C40-83EE-8D1F38CE7CA1}" name="LTBL_01483" displayName="LTBL_01483" ref="B4:I20" totalsRowCount="1">
  <autoFilter ref="B4:I19" xr:uid="{A0CBA66F-3B3F-4C40-83EE-8D1F38CE7CA1}"/>
  <tableColumns count="8">
    <tableColumn id="9" xr3:uid="{3495D55E-EAC0-47E7-8A58-849E1DA45A7E}" name="産業大分類" totalsRowLabel="合計" totalsRowDxfId="1007"/>
    <tableColumn id="10" xr3:uid="{104BDF2D-06DB-4E88-A163-DB394F1C06EC}" name="総数／事業所数" totalsRowFunction="custom" totalsRowDxfId="1006" dataCellStyle="桁区切り" totalsRowCellStyle="桁区切り">
      <totalsRowFormula>SUM(LTBL_01483[総数／事業所数])</totalsRowFormula>
    </tableColumn>
    <tableColumn id="11" xr3:uid="{2F758104-FC39-417E-9692-F0FB35C1D9FD}" name="総数／構成比" dataDxfId="1005"/>
    <tableColumn id="12" xr3:uid="{0328D30F-853C-4554-892A-AA2D7763EB46}" name="個人／事業所数" totalsRowFunction="sum" totalsRowDxfId="1004" dataCellStyle="桁区切り" totalsRowCellStyle="桁区切り"/>
    <tableColumn id="13" xr3:uid="{B2DED184-2056-4E6F-8678-7542BC91D4D4}" name="個人／構成比" dataDxfId="1003"/>
    <tableColumn id="14" xr3:uid="{FA26379E-B775-40CA-9AB8-D8178E416DC7}" name="法人／事業所数" totalsRowFunction="sum" totalsRowDxfId="1002" dataCellStyle="桁区切り" totalsRowCellStyle="桁区切り"/>
    <tableColumn id="15" xr3:uid="{19F5FEED-D1A6-4749-AC8F-F49961EACCB9}" name="法人／構成比" dataDxfId="1001"/>
    <tableColumn id="16" xr3:uid="{35B02D22-BB4F-4B04-9B2A-704C9022E4BD}" name="法人以外の団体／事業所数" totalsRowFunction="sum" totalsRowDxfId="1000" dataCellStyle="桁区切り" totalsRowCellStyle="桁区切り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E1462C86-94D3-4B39-AE6E-61347A870999}" name="M_TABLE_01483" displayName="M_TABLE_01483" ref="B23:I58" totalsRowShown="0">
  <autoFilter ref="B23:I58" xr:uid="{E1462C86-94D3-4B39-AE6E-61347A870999}"/>
  <tableColumns count="8">
    <tableColumn id="9" xr3:uid="{C5BAE753-0066-4F9A-A86C-2F6EA14396BE}" name="産業中分類上位２０"/>
    <tableColumn id="10" xr3:uid="{C41EE090-915F-4CEB-B4F5-638CFCECB1FD}" name="総数／事業所数" dataCellStyle="桁区切り"/>
    <tableColumn id="11" xr3:uid="{3788CEF0-9DFE-46B3-8C70-0F18BC2AC0D8}" name="総数／構成比" dataDxfId="999"/>
    <tableColumn id="12" xr3:uid="{FAD61FFF-4BDC-4522-820D-960CBF29BE44}" name="個人／事業所数" dataCellStyle="桁区切り"/>
    <tableColumn id="13" xr3:uid="{EDBB246F-CA3D-4862-9960-CB3D86CB82C9}" name="個人／構成比" dataDxfId="998"/>
    <tableColumn id="14" xr3:uid="{5C721EE5-B45D-45E5-A615-F1A9DF624B9C}" name="法人／事業所数" dataCellStyle="桁区切り"/>
    <tableColumn id="15" xr3:uid="{69A823D5-5A72-48DC-AD61-2E3D57726C47}" name="法人／構成比" dataDxfId="997"/>
    <tableColumn id="16" xr3:uid="{9BC653E6-F656-4FA4-A446-F2781DA5E748}" name="法人以外の団体／事業所数" dataCellStyle="桁区切り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5C460EAE-098A-40C0-AE61-DD7AE29E58B5}" name="S_TABLE_01483" displayName="S_TABLE_01483" ref="B61:I82" totalsRowShown="0">
  <autoFilter ref="B61:I82" xr:uid="{5C460EAE-098A-40C0-AE61-DD7AE29E58B5}"/>
  <tableColumns count="8">
    <tableColumn id="9" xr3:uid="{D3485C47-F21B-4972-9535-933CEF9C388D}" name="産業小分類上位２０"/>
    <tableColumn id="10" xr3:uid="{70C77023-E434-4219-91DB-A6598A58A506}" name="総数／事業所数" dataCellStyle="桁区切り"/>
    <tableColumn id="11" xr3:uid="{64C04F31-AE32-4CEA-8DFA-3B87FF7D8A1E}" name="総数／構成比" dataDxfId="996"/>
    <tableColumn id="12" xr3:uid="{1424EDDC-DD9F-4A3C-B450-E431367072BA}" name="個人／事業所数" dataCellStyle="桁区切り"/>
    <tableColumn id="13" xr3:uid="{DD096AF6-0B54-49F9-8979-F59A42786922}" name="個人／構成比" dataDxfId="995"/>
    <tableColumn id="14" xr3:uid="{D898C445-F43B-4447-A904-61B01793B625}" name="法人／事業所数" dataCellStyle="桁区切り"/>
    <tableColumn id="15" xr3:uid="{54AD5253-821F-45DB-AD9C-5F1B98F33EFD}" name="法人／構成比" dataDxfId="994"/>
    <tableColumn id="16" xr3:uid="{090A2ACA-18AE-4848-B8D6-0C6E3B267A47}" name="法人以外の団体／事業所数" dataCellStyle="桁区切り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1D5D66C2-045F-4037-8BD0-B63167B68C4A}" name="LTBL_01484" displayName="LTBL_01484" ref="B4:I20" totalsRowCount="1">
  <autoFilter ref="B4:I19" xr:uid="{1D5D66C2-045F-4037-8BD0-B63167B68C4A}"/>
  <tableColumns count="8">
    <tableColumn id="9" xr3:uid="{218A9F25-2A3C-4C1A-8857-8C955FBBE9A5}" name="産業大分類" totalsRowLabel="合計" totalsRowDxfId="993"/>
    <tableColumn id="10" xr3:uid="{F0EA438F-7014-4523-910E-8CD5ECFF8BC3}" name="総数／事業所数" totalsRowFunction="custom" totalsRowDxfId="992" dataCellStyle="桁区切り" totalsRowCellStyle="桁区切り">
      <totalsRowFormula>SUM(LTBL_01484[総数／事業所数])</totalsRowFormula>
    </tableColumn>
    <tableColumn id="11" xr3:uid="{58A58E99-B5C7-4759-B4CD-6ED0D98D228C}" name="総数／構成比" dataDxfId="991"/>
    <tableColumn id="12" xr3:uid="{C031D874-A66E-404F-B25A-4497D78F5AA9}" name="個人／事業所数" totalsRowFunction="sum" totalsRowDxfId="990" dataCellStyle="桁区切り" totalsRowCellStyle="桁区切り"/>
    <tableColumn id="13" xr3:uid="{37DE6447-F921-4D45-93E1-D3258DD4F279}" name="個人／構成比" dataDxfId="989"/>
    <tableColumn id="14" xr3:uid="{357DC06E-1765-409B-8736-4F18FA255C83}" name="法人／事業所数" totalsRowFunction="sum" totalsRowDxfId="988" dataCellStyle="桁区切り" totalsRowCellStyle="桁区切り"/>
    <tableColumn id="15" xr3:uid="{396B97E8-DC7B-47C3-B7E0-AA08908A3D4F}" name="法人／構成比" dataDxfId="987"/>
    <tableColumn id="16" xr3:uid="{EC475698-CC1F-4E2E-978D-BDCF3851F62F}" name="法人以外の団体／事業所数" totalsRowFunction="sum" totalsRowDxfId="986" dataCellStyle="桁区切り" totalsRowCellStyle="桁区切り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442A97E4-0444-4785-87C2-E4E7E7F8BFE3}" name="M_TABLE_01484" displayName="M_TABLE_01484" ref="B23:I46" totalsRowShown="0">
  <autoFilter ref="B23:I46" xr:uid="{442A97E4-0444-4785-87C2-E4E7E7F8BFE3}"/>
  <tableColumns count="8">
    <tableColumn id="9" xr3:uid="{297288BF-6044-4D94-98E4-A872EE8CA261}" name="産業中分類上位２０"/>
    <tableColumn id="10" xr3:uid="{8B90DD68-58E1-4DD2-B2D6-C36A4D2B742E}" name="総数／事業所数" dataCellStyle="桁区切り"/>
    <tableColumn id="11" xr3:uid="{2E8BD25C-C78E-4CE9-8726-236C02984DE4}" name="総数／構成比" dataDxfId="985"/>
    <tableColumn id="12" xr3:uid="{18A4A2AF-6CD2-4E3F-9469-B46D70952C6B}" name="個人／事業所数" dataCellStyle="桁区切り"/>
    <tableColumn id="13" xr3:uid="{EA2EDAB9-1EF9-4FC6-BDBF-CF64733A2BB2}" name="個人／構成比" dataDxfId="984"/>
    <tableColumn id="14" xr3:uid="{ED3BC62B-5BB3-484D-A30E-43EC62222B39}" name="法人／事業所数" dataCellStyle="桁区切り"/>
    <tableColumn id="15" xr3:uid="{D9707D0A-DA6B-4320-8CA3-FC7319ECEEA2}" name="法人／構成比" dataDxfId="983"/>
    <tableColumn id="16" xr3:uid="{38CAC85C-273E-4631-838D-4946E8D690C6}" name="法人以外の団体／事業所数" dataCellStyle="桁区切り"/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49005CE-D0F3-43A6-B5A3-AD8D5465BC54}" name="S_TABLE_01110" displayName="S_TABLE_01110" ref="B46:I66" totalsRowShown="0">
  <autoFilter ref="B46:I66" xr:uid="{C49005CE-D0F3-43A6-B5A3-AD8D5465BC54}"/>
  <tableColumns count="8">
    <tableColumn id="9" xr3:uid="{A5F29256-7F7B-4753-8CC6-885395790913}" name="産業小分類上位２０"/>
    <tableColumn id="10" xr3:uid="{C0010D1C-2320-45E6-BB9B-57B7A8AF9D25}" name="総数／事業所数" dataCellStyle="桁区切り"/>
    <tableColumn id="11" xr3:uid="{A31C007D-504D-4751-B358-C87E1F97EE7A}" name="総数／構成比" dataDxfId="2494"/>
    <tableColumn id="12" xr3:uid="{6373109D-28AF-4A68-8ABC-4D5B2828B0F1}" name="個人／事業所数" dataCellStyle="桁区切り"/>
    <tableColumn id="13" xr3:uid="{B7B02E86-FAB1-4AAA-B5DD-236FE55D92B6}" name="個人／構成比" dataDxfId="2493"/>
    <tableColumn id="14" xr3:uid="{B941036F-EBFF-4275-808A-216B7FC79169}" name="法人／事業所数" dataCellStyle="桁区切り"/>
    <tableColumn id="15" xr3:uid="{EE18FA39-96B6-4BAC-A454-8CA521493B48}" name="法人／構成比" dataDxfId="2492"/>
    <tableColumn id="16" xr3:uid="{0659F074-E5F5-478E-8E87-621720C9D326}" name="法人以外の団体／事業所数" dataCellStyle="桁区切り"/>
  </tableColumns>
  <tableStyleInfo name="TableStyleMedium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B8A8BCA8-019B-4900-A067-AB557FE55B22}" name="S_TABLE_01484" displayName="S_TABLE_01484" ref="B49:I74" totalsRowShown="0">
  <autoFilter ref="B49:I74" xr:uid="{B8A8BCA8-019B-4900-A067-AB557FE55B22}"/>
  <tableColumns count="8">
    <tableColumn id="9" xr3:uid="{AE21D392-3032-4E47-814A-A605BAD65343}" name="産業小分類上位２０"/>
    <tableColumn id="10" xr3:uid="{9B539F8C-6F23-4A99-B200-54FD8F6B5761}" name="総数／事業所数" dataCellStyle="桁区切り"/>
    <tableColumn id="11" xr3:uid="{555284A0-818E-4368-9DC4-8A187E4CE9CD}" name="総数／構成比" dataDxfId="982"/>
    <tableColumn id="12" xr3:uid="{215A133B-EF35-47B9-B4BD-8992569FB2F0}" name="個人／事業所数" dataCellStyle="桁区切り"/>
    <tableColumn id="13" xr3:uid="{B726DCA9-BDE9-4043-9D0E-39910EA6142E}" name="個人／構成比" dataDxfId="981"/>
    <tableColumn id="14" xr3:uid="{6D19D4CC-E553-455C-82E5-309C30A0ED8C}" name="法人／事業所数" dataCellStyle="桁区切り"/>
    <tableColumn id="15" xr3:uid="{7895E84F-30C5-45EC-90BA-2A4A4B3B5778}" name="法人／構成比" dataDxfId="980"/>
    <tableColumn id="16" xr3:uid="{BC61776D-FD1D-41DF-AE25-5E15923D1D08}" name="法人以外の団体／事業所数" dataCellStyle="桁区切り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F6251E93-661F-41F0-BBA7-C7EFB56711FE}" name="LTBL_01485" displayName="LTBL_01485" ref="B4:I20" totalsRowCount="1">
  <autoFilter ref="B4:I19" xr:uid="{F6251E93-661F-41F0-BBA7-C7EFB56711FE}"/>
  <tableColumns count="8">
    <tableColumn id="9" xr3:uid="{B9EBA0EC-4330-4F52-ABB7-88667B7FCCC5}" name="産業大分類" totalsRowLabel="合計" totalsRowDxfId="979"/>
    <tableColumn id="10" xr3:uid="{F46A7890-A5FA-4C53-BC67-5F2A22D0E030}" name="総数／事業所数" totalsRowFunction="custom" totalsRowDxfId="978" dataCellStyle="桁区切り" totalsRowCellStyle="桁区切り">
      <totalsRowFormula>SUM(LTBL_01485[総数／事業所数])</totalsRowFormula>
    </tableColumn>
    <tableColumn id="11" xr3:uid="{4C683D28-2153-481C-A901-DEB740E3BD7F}" name="総数／構成比" dataDxfId="977"/>
    <tableColumn id="12" xr3:uid="{272DD3DF-3BEC-4A4F-B9FA-E51F082E4CB6}" name="個人／事業所数" totalsRowFunction="sum" totalsRowDxfId="976" dataCellStyle="桁区切り" totalsRowCellStyle="桁区切り"/>
    <tableColumn id="13" xr3:uid="{5461DD70-E466-4565-B12A-2945C45385C6}" name="個人／構成比" dataDxfId="975"/>
    <tableColumn id="14" xr3:uid="{5F9B5DC0-1D25-49D9-997A-893DB11CA509}" name="法人／事業所数" totalsRowFunction="sum" totalsRowDxfId="974" dataCellStyle="桁区切り" totalsRowCellStyle="桁区切り"/>
    <tableColumn id="15" xr3:uid="{59FCB5AB-8D85-42AA-8B1B-CAC741B321F3}" name="法人／構成比" dataDxfId="973"/>
    <tableColumn id="16" xr3:uid="{E926D672-1FDA-4548-95EE-048508E44A35}" name="法人以外の団体／事業所数" totalsRowFunction="sum" totalsRowDxfId="972" dataCellStyle="桁区切り" totalsRowCellStyle="桁区切り"/>
  </tableColumns>
  <tableStyleInfo name="TableStyleMedium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1005B138-C4DA-457A-A642-74155425D3EF}" name="M_TABLE_01485" displayName="M_TABLE_01485" ref="B23:I39" totalsRowShown="0">
  <autoFilter ref="B23:I39" xr:uid="{1005B138-C4DA-457A-A642-74155425D3EF}"/>
  <tableColumns count="8">
    <tableColumn id="9" xr3:uid="{D59011C1-703A-4D47-A6D7-49F08D5C56BB}" name="産業中分類上位２０"/>
    <tableColumn id="10" xr3:uid="{8F31F936-7E78-4D12-B106-E63F2AE9147A}" name="総数／事業所数" dataCellStyle="桁区切り"/>
    <tableColumn id="11" xr3:uid="{356280DC-1281-41B0-8943-AAFF8187EC2C}" name="総数／構成比" dataDxfId="971"/>
    <tableColumn id="12" xr3:uid="{381DE9D7-A648-488F-90EF-F813333F9863}" name="個人／事業所数" dataCellStyle="桁区切り"/>
    <tableColumn id="13" xr3:uid="{DEAFC1D1-ADDB-4785-BC2B-60734FC40A54}" name="個人／構成比" dataDxfId="970"/>
    <tableColumn id="14" xr3:uid="{33B146DF-20D4-44B7-9661-B0F1C672E6F5}" name="法人／事業所数" dataCellStyle="桁区切り"/>
    <tableColumn id="15" xr3:uid="{A9652F2D-345E-487B-9D64-9742CEF2FAFB}" name="法人／構成比" dataDxfId="969"/>
    <tableColumn id="16" xr3:uid="{D2B2DD54-9ED1-457D-A33E-56FBC67D6F5E}" name="法人以外の団体／事業所数" dataCellStyle="桁区切り"/>
  </tableColumns>
  <tableStyleInfo name="TableStyleMedium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E4968693-3AE0-431D-A9B8-6AEFD02C8BFC}" name="S_TABLE_01485" displayName="S_TABLE_01485" ref="B42:I64" totalsRowShown="0">
  <autoFilter ref="B42:I64" xr:uid="{E4968693-3AE0-431D-A9B8-6AEFD02C8BFC}"/>
  <tableColumns count="8">
    <tableColumn id="9" xr3:uid="{C57D14BA-E23A-46CB-9F24-2B8B2B7CC751}" name="産業小分類上位２０"/>
    <tableColumn id="10" xr3:uid="{34FA8DA0-0B47-4AB4-9FB4-5F25E611A4B0}" name="総数／事業所数" dataCellStyle="桁区切り"/>
    <tableColumn id="11" xr3:uid="{E3B50B23-FF83-4296-82CB-BE0BC646D3D6}" name="総数／構成比" dataDxfId="968"/>
    <tableColumn id="12" xr3:uid="{D573A99C-975D-4151-9342-1C6B3FA90E57}" name="個人／事業所数" dataCellStyle="桁区切り"/>
    <tableColumn id="13" xr3:uid="{E4C104D2-C967-403A-8C72-4E4E2DF89547}" name="個人／構成比" dataDxfId="967"/>
    <tableColumn id="14" xr3:uid="{4A31E4B6-EF62-495C-B51A-02B696A0DF0E}" name="法人／事業所数" dataCellStyle="桁区切り"/>
    <tableColumn id="15" xr3:uid="{F4AFC5DE-8697-41A9-A0AF-DD4D80B9F27C}" name="法人／構成比" dataDxfId="966"/>
    <tableColumn id="16" xr3:uid="{6ACD7DC5-0B29-414D-816F-830D6C530A19}" name="法人以外の団体／事業所数" dataCellStyle="桁区切り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695B0E7D-FEED-4EEA-8FEC-4B4D6A093171}" name="LTBL_01486" displayName="LTBL_01486" ref="B4:I20" totalsRowCount="1">
  <autoFilter ref="B4:I19" xr:uid="{695B0E7D-FEED-4EEA-8FEC-4B4D6A093171}"/>
  <tableColumns count="8">
    <tableColumn id="9" xr3:uid="{D9662E64-BA99-420C-85B8-0B00FDD9B9F7}" name="産業大分類" totalsRowLabel="合計" totalsRowDxfId="965"/>
    <tableColumn id="10" xr3:uid="{D4E14CAB-00C5-4991-B845-AC886555DA2E}" name="総数／事業所数" totalsRowFunction="custom" totalsRowDxfId="964" dataCellStyle="桁区切り" totalsRowCellStyle="桁区切り">
      <totalsRowFormula>SUM(LTBL_01486[総数／事業所数])</totalsRowFormula>
    </tableColumn>
    <tableColumn id="11" xr3:uid="{A57A4391-C70A-4B85-ACFE-85FDD7F89EB2}" name="総数／構成比" dataDxfId="963"/>
    <tableColumn id="12" xr3:uid="{7BD841E9-42D0-4DF8-BA5A-168B3E9A4F76}" name="個人／事業所数" totalsRowFunction="sum" totalsRowDxfId="962" dataCellStyle="桁区切り" totalsRowCellStyle="桁区切り"/>
    <tableColumn id="13" xr3:uid="{E3612A3E-E129-4146-A716-462ADF03C46C}" name="個人／構成比" dataDxfId="961"/>
    <tableColumn id="14" xr3:uid="{1551F8CD-A6EC-41CA-966F-0E5D18C5AC96}" name="法人／事業所数" totalsRowFunction="sum" totalsRowDxfId="960" dataCellStyle="桁区切り" totalsRowCellStyle="桁区切り"/>
    <tableColumn id="15" xr3:uid="{BB282CC7-8A0B-47A6-91D3-C7133CBB5CBD}" name="法人／構成比" dataDxfId="959"/>
    <tableColumn id="16" xr3:uid="{D472EDCB-A3EC-416B-A80D-F5E3C40EC336}" name="法人以外の団体／事業所数" totalsRowFunction="sum" totalsRowDxfId="958" dataCellStyle="桁区切り" totalsRowCellStyle="桁区切り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25EABF56-4BED-4CDD-B4EF-06CDFD875ACE}" name="M_TABLE_01486" displayName="M_TABLE_01486" ref="B23:I58" totalsRowShown="0">
  <autoFilter ref="B23:I58" xr:uid="{25EABF56-4BED-4CDD-B4EF-06CDFD875ACE}"/>
  <tableColumns count="8">
    <tableColumn id="9" xr3:uid="{57ECF07B-0389-47D5-84DD-B99CCEB8E017}" name="産業中分類上位２０"/>
    <tableColumn id="10" xr3:uid="{D8454F66-5B91-4606-B9B4-282923547427}" name="総数／事業所数" dataCellStyle="桁区切り"/>
    <tableColumn id="11" xr3:uid="{6390DA3A-6049-4740-80A5-35583E87102D}" name="総数／構成比" dataDxfId="957"/>
    <tableColumn id="12" xr3:uid="{53E172D5-0A35-47D3-AB33-CCDB61C86C02}" name="個人／事業所数" dataCellStyle="桁区切り"/>
    <tableColumn id="13" xr3:uid="{7FA0176A-BE77-4432-87C4-1C8E87C0CD56}" name="個人／構成比" dataDxfId="956"/>
    <tableColumn id="14" xr3:uid="{ACF51904-8146-492F-B6F1-FEB4C00A20A5}" name="法人／事業所数" dataCellStyle="桁区切り"/>
    <tableColumn id="15" xr3:uid="{7D4D9A71-CD3C-45FD-AC83-0A8C3DF24DF0}" name="法人／構成比" dataDxfId="955"/>
    <tableColumn id="16" xr3:uid="{F327A7C8-BDA9-414E-AFB7-D895834F5CEC}" name="法人以外の団体／事業所数" dataCellStyle="桁区切り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950C08B1-6B3F-4B5C-8DFB-9A63F2008809}" name="S_TABLE_01486" displayName="S_TABLE_01486" ref="B61:I81" totalsRowShown="0">
  <autoFilter ref="B61:I81" xr:uid="{950C08B1-6B3F-4B5C-8DFB-9A63F2008809}"/>
  <tableColumns count="8">
    <tableColumn id="9" xr3:uid="{E68D69A6-430F-4D37-BB77-458EA3C6A6A5}" name="産業小分類上位２０"/>
    <tableColumn id="10" xr3:uid="{AE035B1B-A7C8-485C-A591-6C9003C335B2}" name="総数／事業所数" dataCellStyle="桁区切り"/>
    <tableColumn id="11" xr3:uid="{35D50129-37DC-4EC8-BFC5-2A2F46FC31BE}" name="総数／構成比" dataDxfId="954"/>
    <tableColumn id="12" xr3:uid="{63FF4845-2F7A-4A32-9375-6327A702E89E}" name="個人／事業所数" dataCellStyle="桁区切り"/>
    <tableColumn id="13" xr3:uid="{046C7897-2B29-462A-9A82-CC9A0377F098}" name="個人／構成比" dataDxfId="953"/>
    <tableColumn id="14" xr3:uid="{04F24CFD-3641-4A3A-934E-261ED1578137}" name="法人／事業所数" dataCellStyle="桁区切り"/>
    <tableColumn id="15" xr3:uid="{01B866BA-9861-4120-BEBA-EEBC220489D1}" name="法人／構成比" dataDxfId="952"/>
    <tableColumn id="16" xr3:uid="{FAC9CB36-ACB5-4078-95F3-81E5CC7AA886}" name="法人以外の団体／事業所数" dataCellStyle="桁区切り"/>
  </tableColumns>
  <tableStyleInfo name="TableStyleMedium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CD046B00-808B-47FA-AE1B-A4694E39AC41}" name="LTBL_01487" displayName="LTBL_01487" ref="B4:I20" totalsRowCount="1">
  <autoFilter ref="B4:I19" xr:uid="{CD046B00-808B-47FA-AE1B-A4694E39AC41}"/>
  <tableColumns count="8">
    <tableColumn id="9" xr3:uid="{012C0457-7FB9-4C04-A2BA-48C626661878}" name="産業大分類" totalsRowLabel="合計" totalsRowDxfId="951"/>
    <tableColumn id="10" xr3:uid="{5C46F07B-563F-4C29-B066-ADC974DC4200}" name="総数／事業所数" totalsRowFunction="custom" totalsRowDxfId="950" dataCellStyle="桁区切り" totalsRowCellStyle="桁区切り">
      <totalsRowFormula>SUM(LTBL_01487[総数／事業所数])</totalsRowFormula>
    </tableColumn>
    <tableColumn id="11" xr3:uid="{3DBDECE6-C0FC-46CF-951E-470F0E10E49E}" name="総数／構成比" dataDxfId="949"/>
    <tableColumn id="12" xr3:uid="{416A5306-B42E-4F9B-A5B3-E9585CE8615A}" name="個人／事業所数" totalsRowFunction="sum" totalsRowDxfId="948" dataCellStyle="桁区切り" totalsRowCellStyle="桁区切り"/>
    <tableColumn id="13" xr3:uid="{D43573E7-CDE4-4907-B436-14FA22E6A80A}" name="個人／構成比" dataDxfId="947"/>
    <tableColumn id="14" xr3:uid="{E33D8F73-E84B-4391-BC32-9C9D304E8F1C}" name="法人／事業所数" totalsRowFunction="sum" totalsRowDxfId="946" dataCellStyle="桁区切り" totalsRowCellStyle="桁区切り"/>
    <tableColumn id="15" xr3:uid="{6C7A85E2-799F-4DF7-B8C9-5295C21FCFB2}" name="法人／構成比" dataDxfId="945"/>
    <tableColumn id="16" xr3:uid="{E5B95655-2F42-4ECF-B5BE-17A96644C616}" name="法人以外の団体／事業所数" totalsRowFunction="sum" totalsRowDxfId="944" dataCellStyle="桁区切り" totalsRowCellStyle="桁区切り"/>
  </tableColumns>
  <tableStyleInfo name="TableStyleMedium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17415E25-CC81-4407-8D57-BCD111ED44CF}" name="M_TABLE_01487" displayName="M_TABLE_01487" ref="B23:I55" totalsRowShown="0">
  <autoFilter ref="B23:I55" xr:uid="{17415E25-CC81-4407-8D57-BCD111ED44CF}"/>
  <tableColumns count="8">
    <tableColumn id="9" xr3:uid="{96035484-7BE7-4F6C-B86F-52A78671E4A0}" name="産業中分類上位２０"/>
    <tableColumn id="10" xr3:uid="{1EDA86B6-D94E-424A-AECE-28211DA2FC7D}" name="総数／事業所数" dataCellStyle="桁区切り"/>
    <tableColumn id="11" xr3:uid="{15D5D2BF-0EC3-4091-A04E-48FC136C6155}" name="総数／構成比" dataDxfId="943"/>
    <tableColumn id="12" xr3:uid="{E9991209-A0D6-474C-BDE6-D6AF3950D4C1}" name="個人／事業所数" dataCellStyle="桁区切り"/>
    <tableColumn id="13" xr3:uid="{8B216DAB-C95C-4064-B63C-6DE187C31C8A}" name="個人／構成比" dataDxfId="942"/>
    <tableColumn id="14" xr3:uid="{B2881DAD-308B-4574-8D90-EE1774C10C66}" name="法人／事業所数" dataCellStyle="桁区切り"/>
    <tableColumn id="15" xr3:uid="{0FB15874-345B-4FE1-9D29-EEBF115012BE}" name="法人／構成比" dataDxfId="941"/>
    <tableColumn id="16" xr3:uid="{9EE333EB-51FD-40ED-966A-F1A24072666D}" name="法人以外の団体／事業所数" dataCellStyle="桁区切り"/>
  </tableColumns>
  <tableStyleInfo name="TableStyleMedium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F1C4A793-C12F-4043-B092-9081A9A00A45}" name="S_TABLE_01487" displayName="S_TABLE_01487" ref="B58:I81" totalsRowShown="0">
  <autoFilter ref="B58:I81" xr:uid="{F1C4A793-C12F-4043-B092-9081A9A00A45}"/>
  <tableColumns count="8">
    <tableColumn id="9" xr3:uid="{4319E04A-20E2-4E7C-A0D8-D2A88A050C91}" name="産業小分類上位２０"/>
    <tableColumn id="10" xr3:uid="{E5C67F1A-B2AE-4C44-876D-A50D98F7562F}" name="総数／事業所数" dataCellStyle="桁区切り"/>
    <tableColumn id="11" xr3:uid="{3BDA3FB1-77D2-4BEF-9E40-C5A4A86CD9F2}" name="総数／構成比" dataDxfId="940"/>
    <tableColumn id="12" xr3:uid="{288D3786-34F8-4F4B-9815-311ED1A96105}" name="個人／事業所数" dataCellStyle="桁区切り"/>
    <tableColumn id="13" xr3:uid="{B693FDE6-2F15-4B1C-B51B-E24960E3C007}" name="個人／構成比" dataDxfId="939"/>
    <tableColumn id="14" xr3:uid="{34EB88F2-65E9-4887-82C7-719468A86ABC}" name="法人／事業所数" dataCellStyle="桁区切り"/>
    <tableColumn id="15" xr3:uid="{B10B6974-2463-464C-8CA7-2AC309B99B36}" name="法人／構成比" dataDxfId="938"/>
    <tableColumn id="16" xr3:uid="{C926A01A-72BF-4177-A82F-25833475C3A9}" name="法人以外の団体／事業所数" dataCellStyle="桁区切り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91FC6973-F118-4A45-9DA6-9082CA27CC12}" name="LTBL_01202" displayName="LTBL_01202" ref="B4:I20" totalsRowCount="1">
  <autoFilter ref="B4:I19" xr:uid="{91FC6973-F118-4A45-9DA6-9082CA27CC12}"/>
  <tableColumns count="8">
    <tableColumn id="9" xr3:uid="{2F52EC51-03F2-45CA-8E52-303F7216F3DB}" name="産業大分類" totalsRowLabel="合計" totalsRowDxfId="2491"/>
    <tableColumn id="10" xr3:uid="{5E0DDAAC-E046-4D22-86FF-ADCD7B7CA076}" name="総数／事業所数" totalsRowFunction="custom" totalsRowDxfId="2490" dataCellStyle="桁区切り" totalsRowCellStyle="桁区切り">
      <totalsRowFormula>SUM(LTBL_01202[総数／事業所数])</totalsRowFormula>
    </tableColumn>
    <tableColumn id="11" xr3:uid="{27C181A9-3C62-4541-95BC-98C0D43C7E33}" name="総数／構成比" dataDxfId="2489"/>
    <tableColumn id="12" xr3:uid="{2508AB17-56BC-4145-8A96-37F4BCCE6BF2}" name="個人／事業所数" totalsRowFunction="sum" totalsRowDxfId="2488" dataCellStyle="桁区切り" totalsRowCellStyle="桁区切り"/>
    <tableColumn id="13" xr3:uid="{EC107699-5B35-4943-956B-F0DD03784544}" name="個人／構成比" dataDxfId="2487"/>
    <tableColumn id="14" xr3:uid="{DE3D317B-227D-4FD2-B776-22741309017A}" name="法人／事業所数" totalsRowFunction="sum" totalsRowDxfId="2486" dataCellStyle="桁区切り" totalsRowCellStyle="桁区切り"/>
    <tableColumn id="15" xr3:uid="{48369A3F-8496-4532-8575-1A029DC84BB7}" name="法人／構成比" dataDxfId="2485"/>
    <tableColumn id="16" xr3:uid="{091CB9F3-5993-4FEC-B28D-BC655F9B40E8}" name="法人以外の団体／事業所数" totalsRowFunction="sum" totalsRowDxfId="2484" dataCellStyle="桁区切り" totalsRowCellStyle="桁区切り"/>
  </tableColumns>
  <tableStyleInfo name="TableStyleMedium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50C38666-B517-4978-8861-BC869D423998}" name="LTBL_01511" displayName="LTBL_01511" ref="B4:I20" totalsRowCount="1">
  <autoFilter ref="B4:I19" xr:uid="{50C38666-B517-4978-8861-BC869D423998}"/>
  <tableColumns count="8">
    <tableColumn id="9" xr3:uid="{CC4364E5-28DF-4EB9-89E7-ED88B89DF79A}" name="産業大分類" totalsRowLabel="合計" totalsRowDxfId="937"/>
    <tableColumn id="10" xr3:uid="{810ABB79-FDAB-4A8B-ABAE-6D3B921FF802}" name="総数／事業所数" totalsRowFunction="custom" totalsRowDxfId="936" dataCellStyle="桁区切り" totalsRowCellStyle="桁区切り">
      <totalsRowFormula>SUM(LTBL_01511[総数／事業所数])</totalsRowFormula>
    </tableColumn>
    <tableColumn id="11" xr3:uid="{741F0DAF-335C-47B2-BE6F-1C67759089B4}" name="総数／構成比" dataDxfId="935"/>
    <tableColumn id="12" xr3:uid="{E8BC8A7E-F3FD-4D0F-B90E-2DAFD9324DC4}" name="個人／事業所数" totalsRowFunction="sum" totalsRowDxfId="934" dataCellStyle="桁区切り" totalsRowCellStyle="桁区切り"/>
    <tableColumn id="13" xr3:uid="{44161E57-F371-4D3B-AE21-52C21FF6DBC8}" name="個人／構成比" dataDxfId="933"/>
    <tableColumn id="14" xr3:uid="{13C79388-D4B5-4B8D-93CE-209322C39E5E}" name="法人／事業所数" totalsRowFunction="sum" totalsRowDxfId="932" dataCellStyle="桁区切り" totalsRowCellStyle="桁区切り"/>
    <tableColumn id="15" xr3:uid="{E221472A-529B-4028-9633-CD15508CDFF2}" name="法人／構成比" dataDxfId="931"/>
    <tableColumn id="16" xr3:uid="{368A01C9-0ECF-4144-BB4F-851AC4CE415D}" name="法人以外の団体／事業所数" totalsRowFunction="sum" totalsRowDxfId="930" dataCellStyle="桁区切り" totalsRowCellStyle="桁区切り"/>
  </tableColumns>
  <tableStyleInfo name="TableStyleMedium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E5F6222C-6F07-4E0F-8113-6A5E4D0E5214}" name="M_TABLE_01511" displayName="M_TABLE_01511" ref="B23:I41" totalsRowShown="0">
  <autoFilter ref="B23:I41" xr:uid="{E5F6222C-6F07-4E0F-8113-6A5E4D0E5214}"/>
  <tableColumns count="8">
    <tableColumn id="9" xr3:uid="{3A500076-D508-4417-AFBD-A4F24636525F}" name="産業中分類上位２０"/>
    <tableColumn id="10" xr3:uid="{4E7D4B90-7C23-4457-A874-8E2D125FBEB0}" name="総数／事業所数" dataCellStyle="桁区切り"/>
    <tableColumn id="11" xr3:uid="{F8C491DD-C8A0-4CFD-9C08-42B02FFEBCD1}" name="総数／構成比" dataDxfId="929"/>
    <tableColumn id="12" xr3:uid="{1631B628-3C75-4453-8D08-995F08C4F1B9}" name="個人／事業所数" dataCellStyle="桁区切り"/>
    <tableColumn id="13" xr3:uid="{85D4523F-EE08-486E-A429-8F62501A6B12}" name="個人／構成比" dataDxfId="928"/>
    <tableColumn id="14" xr3:uid="{A45ED5B7-E1B4-41EE-8409-3D93A9A31B86}" name="法人／事業所数" dataCellStyle="桁区切り"/>
    <tableColumn id="15" xr3:uid="{7214FD87-598C-495A-82C5-FD76EE1E164A}" name="法人／構成比" dataDxfId="927"/>
    <tableColumn id="16" xr3:uid="{00421841-8585-4AC4-BCD3-42AA8F3054CD}" name="法人以外の団体／事業所数" dataCellStyle="桁区切り"/>
  </tableColumns>
  <tableStyleInfo name="TableStyleMedium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C8C7BC89-4F6D-433E-9809-13C2CD3B1DB1}" name="S_TABLE_01511" displayName="S_TABLE_01511" ref="B44:I75" totalsRowShown="0">
  <autoFilter ref="B44:I75" xr:uid="{C8C7BC89-4F6D-433E-9809-13C2CD3B1DB1}"/>
  <tableColumns count="8">
    <tableColumn id="9" xr3:uid="{884939A7-92E2-4DEB-B6A8-361962C5A3BD}" name="産業小分類上位２０"/>
    <tableColumn id="10" xr3:uid="{9EA96C9E-AB01-4FC2-8C26-51D09926A071}" name="総数／事業所数" dataCellStyle="桁区切り"/>
    <tableColumn id="11" xr3:uid="{44088BF8-4F63-4086-B943-5613C89C8EAA}" name="総数／構成比" dataDxfId="926"/>
    <tableColumn id="12" xr3:uid="{BD460AAB-2E8A-43E8-AA40-F1C012EFC3CF}" name="個人／事業所数" dataCellStyle="桁区切り"/>
    <tableColumn id="13" xr3:uid="{D7088272-C4F0-4263-8495-5DC082D95CC8}" name="個人／構成比" dataDxfId="925"/>
    <tableColumn id="14" xr3:uid="{1A05A328-3933-44DB-9337-C2EAD3EEA810}" name="法人／事業所数" dataCellStyle="桁区切り"/>
    <tableColumn id="15" xr3:uid="{3AE5AE51-D8E2-48A5-8421-C1A0F572AA2F}" name="法人／構成比" dataDxfId="924"/>
    <tableColumn id="16" xr3:uid="{980D5A87-7876-4975-BC4F-0C7978F6CEAD}" name="法人以外の団体／事業所数" dataCellStyle="桁区切り"/>
  </tableColumns>
  <tableStyleInfo name="TableStyleMedium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FAE4A13B-14B3-4409-9106-89821FE8E043}" name="LTBL_01512" displayName="LTBL_01512" ref="B4:I20" totalsRowCount="1">
  <autoFilter ref="B4:I19" xr:uid="{FAE4A13B-14B3-4409-9106-89821FE8E043}"/>
  <tableColumns count="8">
    <tableColumn id="9" xr3:uid="{08CEDAD7-983E-4408-B0E3-297637FFFA58}" name="産業大分類" totalsRowLabel="合計" totalsRowDxfId="923"/>
    <tableColumn id="10" xr3:uid="{6AE87AB1-3810-4239-B2FE-231ABAE2B1BE}" name="総数／事業所数" totalsRowFunction="custom" totalsRowDxfId="922" dataCellStyle="桁区切り" totalsRowCellStyle="桁区切り">
      <totalsRowFormula>SUM(LTBL_01512[総数／事業所数])</totalsRowFormula>
    </tableColumn>
    <tableColumn id="11" xr3:uid="{F84DD19B-F944-44BC-812B-9113C53D54A2}" name="総数／構成比" dataDxfId="921"/>
    <tableColumn id="12" xr3:uid="{CFBE7F96-3FAA-4244-A14B-C81C5F814777}" name="個人／事業所数" totalsRowFunction="sum" totalsRowDxfId="920" dataCellStyle="桁区切り" totalsRowCellStyle="桁区切り"/>
    <tableColumn id="13" xr3:uid="{77AA7E60-C0AE-4A75-88EB-E0A1C617A478}" name="個人／構成比" dataDxfId="919"/>
    <tableColumn id="14" xr3:uid="{8D28137A-DFAE-4842-871C-107CFD60A95F}" name="法人／事業所数" totalsRowFunction="sum" totalsRowDxfId="918" dataCellStyle="桁区切り" totalsRowCellStyle="桁区切り"/>
    <tableColumn id="15" xr3:uid="{A949D31A-46E0-4CD6-81A2-B9DE4B197529}" name="法人／構成比" dataDxfId="917"/>
    <tableColumn id="16" xr3:uid="{D486014C-FCA3-4D0D-A4C7-801EDB2CC1F9}" name="法人以外の団体／事業所数" totalsRowFunction="sum" totalsRowDxfId="916" dataCellStyle="桁区切り" totalsRowCellStyle="桁区切り"/>
  </tableColumns>
  <tableStyleInfo name="TableStyleMedium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4A2A7DC3-4E29-4444-8E83-2215DCFC69F2}" name="M_TABLE_01512" displayName="M_TABLE_01512" ref="B23:I57" totalsRowShown="0">
  <autoFilter ref="B23:I57" xr:uid="{4A2A7DC3-4E29-4444-8E83-2215DCFC69F2}"/>
  <tableColumns count="8">
    <tableColumn id="9" xr3:uid="{CB928E15-40D3-45FE-B627-804046C5760B}" name="産業中分類上位２０"/>
    <tableColumn id="10" xr3:uid="{9BD4D8BB-85EC-44CD-BB6C-2C65A2AAC2E3}" name="総数／事業所数" dataCellStyle="桁区切り"/>
    <tableColumn id="11" xr3:uid="{F66C1E38-6D4E-4692-B638-C0B7EEBBCD9F}" name="総数／構成比" dataDxfId="915"/>
    <tableColumn id="12" xr3:uid="{80CDDCE2-8948-4AC4-8D81-12D4E7E827DB}" name="個人／事業所数" dataCellStyle="桁区切り"/>
    <tableColumn id="13" xr3:uid="{9557CD4E-8975-4293-9899-8137B006313C}" name="個人／構成比" dataDxfId="914"/>
    <tableColumn id="14" xr3:uid="{EB82F5F0-CA47-4BF5-97BD-31A023B8089C}" name="法人／事業所数" dataCellStyle="桁区切り"/>
    <tableColumn id="15" xr3:uid="{40CBEEC9-723A-49D6-81D2-77EB683D44EF}" name="法人／構成比" dataDxfId="913"/>
    <tableColumn id="16" xr3:uid="{591402B8-1C06-4480-BE33-DB50DBF1D827}" name="法人以外の団体／事業所数" dataCellStyle="桁区切り"/>
  </tableColumns>
  <tableStyleInfo name="TableStyleMedium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C076BE41-A9E7-4409-BEB8-57C4180E76C7}" name="S_TABLE_01512" displayName="S_TABLE_01512" ref="B60:I82" totalsRowShown="0">
  <autoFilter ref="B60:I82" xr:uid="{C076BE41-A9E7-4409-BEB8-57C4180E76C7}"/>
  <tableColumns count="8">
    <tableColumn id="9" xr3:uid="{875C32DA-C8E5-4AD9-B164-7594B313F7E6}" name="産業小分類上位２０"/>
    <tableColumn id="10" xr3:uid="{D20D39A1-D52F-41C2-8AC7-1278C784E996}" name="総数／事業所数" dataCellStyle="桁区切り"/>
    <tableColumn id="11" xr3:uid="{C5C1AA25-C86D-4506-80DD-B838D777D273}" name="総数／構成比" dataDxfId="912"/>
    <tableColumn id="12" xr3:uid="{ED5842EE-A5F0-4E60-9CAA-D2C0D3D90A7C}" name="個人／事業所数" dataCellStyle="桁区切り"/>
    <tableColumn id="13" xr3:uid="{FC05CEBC-F0CB-4DFE-BC29-08B23F483431}" name="個人／構成比" dataDxfId="911"/>
    <tableColumn id="14" xr3:uid="{5B63FC46-33F2-41CB-BF02-3A44F99A6603}" name="法人／事業所数" dataCellStyle="桁区切り"/>
    <tableColumn id="15" xr3:uid="{7D896BF8-8BCA-4409-A20F-BD242CA0213F}" name="法人／構成比" dataDxfId="910"/>
    <tableColumn id="16" xr3:uid="{96EDA709-BB96-4993-8FDD-A91CDE92C843}" name="法人以外の団体／事業所数" dataCellStyle="桁区切り"/>
  </tableColumns>
  <tableStyleInfo name="TableStyleMedium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350B678F-DC72-496E-A37D-A5781EA70058}" name="LTBL_01513" displayName="LTBL_01513" ref="B4:I20" totalsRowCount="1">
  <autoFilter ref="B4:I19" xr:uid="{350B678F-DC72-496E-A37D-A5781EA70058}"/>
  <tableColumns count="8">
    <tableColumn id="9" xr3:uid="{849460AA-E9B4-4ACA-8982-10CBAAAEECEB}" name="産業大分類" totalsRowLabel="合計" totalsRowDxfId="909"/>
    <tableColumn id="10" xr3:uid="{EA84DFFE-E0D5-4A27-BBC9-D7120065FB8C}" name="総数／事業所数" totalsRowFunction="custom" totalsRowDxfId="908" dataCellStyle="桁区切り" totalsRowCellStyle="桁区切り">
      <totalsRowFormula>SUM(LTBL_01513[総数／事業所数])</totalsRowFormula>
    </tableColumn>
    <tableColumn id="11" xr3:uid="{66B2C382-710C-454F-BE59-C471E45E67D4}" name="総数／構成比" dataDxfId="907"/>
    <tableColumn id="12" xr3:uid="{49B42E16-3329-446E-A5B6-C3DCFEC51E92}" name="個人／事業所数" totalsRowFunction="sum" totalsRowDxfId="906" dataCellStyle="桁区切り" totalsRowCellStyle="桁区切り"/>
    <tableColumn id="13" xr3:uid="{AADD11FC-7CDF-42A7-B9FE-C7FDC36073C4}" name="個人／構成比" dataDxfId="905"/>
    <tableColumn id="14" xr3:uid="{9ED8721E-2735-43C6-A698-D6A3485A0518}" name="法人／事業所数" totalsRowFunction="sum" totalsRowDxfId="904" dataCellStyle="桁区切り" totalsRowCellStyle="桁区切り"/>
    <tableColumn id="15" xr3:uid="{60ADA27B-92CD-41CC-B987-E0AFCCF423CE}" name="法人／構成比" dataDxfId="903"/>
    <tableColumn id="16" xr3:uid="{BA21D33F-56E6-4535-AEA5-A63E762D0432}" name="法人以外の団体／事業所数" totalsRowFunction="sum" totalsRowDxfId="902" dataCellStyle="桁区切り" totalsRowCellStyle="桁区切り"/>
  </tableColumns>
  <tableStyleInfo name="TableStyleMedium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6DE85E36-1FFC-4F49-8863-5C4775D327F3}" name="M_TABLE_01513" displayName="M_TABLE_01513" ref="B23:I49" totalsRowShown="0">
  <autoFilter ref="B23:I49" xr:uid="{6DE85E36-1FFC-4F49-8863-5C4775D327F3}"/>
  <tableColumns count="8">
    <tableColumn id="9" xr3:uid="{EDB98430-B1F6-4E5C-8CE3-CB7532A55A81}" name="産業中分類上位２０"/>
    <tableColumn id="10" xr3:uid="{9C5C67A3-5946-475A-9B48-4F68DE727268}" name="総数／事業所数" dataCellStyle="桁区切り"/>
    <tableColumn id="11" xr3:uid="{2F3F4D82-A8EA-4FD4-8739-70C5A7F5EFD3}" name="総数／構成比" dataDxfId="901"/>
    <tableColumn id="12" xr3:uid="{E4A19264-1D54-4B9F-A363-19BB364B2EB8}" name="個人／事業所数" dataCellStyle="桁区切り"/>
    <tableColumn id="13" xr3:uid="{87170B88-686B-408A-89E1-65712463BCE0}" name="個人／構成比" dataDxfId="900"/>
    <tableColumn id="14" xr3:uid="{946EB820-DCAD-4D15-8012-552D5675B191}" name="法人／事業所数" dataCellStyle="桁区切り"/>
    <tableColumn id="15" xr3:uid="{E8C6465D-FF2E-422D-901A-08FAE9A48B19}" name="法人／構成比" dataDxfId="899"/>
    <tableColumn id="16" xr3:uid="{81DBA4A5-90E5-4200-B398-E1E69F8E17AD}" name="法人以外の団体／事業所数" dataCellStyle="桁区切り"/>
  </tableColumns>
  <tableStyleInfo name="TableStyleMedium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43329B3E-8DE7-4336-B9CB-0326B669C9B6}" name="S_TABLE_01513" displayName="S_TABLE_01513" ref="B52:I98" totalsRowShown="0">
  <autoFilter ref="B52:I98" xr:uid="{43329B3E-8DE7-4336-B9CB-0326B669C9B6}"/>
  <tableColumns count="8">
    <tableColumn id="9" xr3:uid="{ABA6C789-DB76-4182-98FA-652B88EC6FDF}" name="産業小分類上位２０"/>
    <tableColumn id="10" xr3:uid="{A78AF2A2-D7AD-4F50-AF0B-4FF056D97866}" name="総数／事業所数" dataCellStyle="桁区切り"/>
    <tableColumn id="11" xr3:uid="{7F261BC0-A158-43E4-AD85-2A5F3FA2DF87}" name="総数／構成比" dataDxfId="898"/>
    <tableColumn id="12" xr3:uid="{47D4A5B7-7EDC-4EC2-93AD-E8993456BA6D}" name="個人／事業所数" dataCellStyle="桁区切り"/>
    <tableColumn id="13" xr3:uid="{5A716148-4157-41E0-AF40-E257EFD45645}" name="個人／構成比" dataDxfId="897"/>
    <tableColumn id="14" xr3:uid="{3904F8B7-92FB-4327-A07B-DFA4063F5466}" name="法人／事業所数" dataCellStyle="桁区切り"/>
    <tableColumn id="15" xr3:uid="{AF420526-7C54-4DD5-8AE5-A849A72BEDEE}" name="法人／構成比" dataDxfId="896"/>
    <tableColumn id="16" xr3:uid="{A2C65925-A1AD-439D-8735-75A5F03DD1DB}" name="法人以外の団体／事業所数" dataCellStyle="桁区切り"/>
  </tableColumns>
  <tableStyleInfo name="TableStyleMedium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84452AF9-EFF7-4AD0-8771-CB478127F32A}" name="LTBL_01514" displayName="LTBL_01514" ref="B4:I20" totalsRowCount="1">
  <autoFilter ref="B4:I19" xr:uid="{84452AF9-EFF7-4AD0-8771-CB478127F32A}"/>
  <tableColumns count="8">
    <tableColumn id="9" xr3:uid="{65316352-B69C-4D13-9A6E-ED7C6BB5960B}" name="産業大分類" totalsRowLabel="合計" totalsRowDxfId="895"/>
    <tableColumn id="10" xr3:uid="{296ADF43-94B3-4034-964A-8466F514525C}" name="総数／事業所数" totalsRowFunction="custom" totalsRowDxfId="894" dataCellStyle="桁区切り" totalsRowCellStyle="桁区切り">
      <totalsRowFormula>SUM(LTBL_01514[総数／事業所数])</totalsRowFormula>
    </tableColumn>
    <tableColumn id="11" xr3:uid="{ED96A2C4-EDF7-4B61-8376-A0FD296FC424}" name="総数／構成比" dataDxfId="893"/>
    <tableColumn id="12" xr3:uid="{EDC27151-C63F-444E-AB0D-D0E68BC2E3A6}" name="個人／事業所数" totalsRowFunction="sum" totalsRowDxfId="892" dataCellStyle="桁区切り" totalsRowCellStyle="桁区切り"/>
    <tableColumn id="13" xr3:uid="{7189B8C2-5630-4231-A915-5AB813089C98}" name="個人／構成比" dataDxfId="891"/>
    <tableColumn id="14" xr3:uid="{564526F0-0A2E-45CC-A2C7-8E0C01B2200F}" name="法人／事業所数" totalsRowFunction="sum" totalsRowDxfId="890" dataCellStyle="桁区切り" totalsRowCellStyle="桁区切り"/>
    <tableColumn id="15" xr3:uid="{AD5B04E9-CD19-4991-8BF6-589537AC06FC}" name="法人／構成比" dataDxfId="889"/>
    <tableColumn id="16" xr3:uid="{9D8042AB-2A8C-468B-9333-013D5607C3FA}" name="法人以外の団体／事業所数" totalsRowFunction="sum" totalsRowDxfId="888" dataCellStyle="桁区切り" totalsRowCellStyle="桁区切り"/>
  </tableColumns>
  <tableStyleInfo name="TableStyleMedium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9EACB9C2-48C2-46F3-A4F0-96968FE558FC}" name="M_TABLE_01202" displayName="M_TABLE_01202" ref="B23:I43" totalsRowShown="0">
  <autoFilter ref="B23:I43" xr:uid="{9EACB9C2-48C2-46F3-A4F0-96968FE558FC}"/>
  <tableColumns count="8">
    <tableColumn id="9" xr3:uid="{7A9CF09D-4BD8-4A98-A67D-DDC0D8F036F2}" name="産業中分類上位２０"/>
    <tableColumn id="10" xr3:uid="{5FBB9793-706D-47FB-8FA9-17C74B6E30A7}" name="総数／事業所数" dataCellStyle="桁区切り"/>
    <tableColumn id="11" xr3:uid="{CC773908-39B0-43D2-874C-035296B33433}" name="総数／構成比" dataDxfId="2483"/>
    <tableColumn id="12" xr3:uid="{3CE3084A-8BBD-4C0C-972D-70F288047684}" name="個人／事業所数" dataCellStyle="桁区切り"/>
    <tableColumn id="13" xr3:uid="{9B9AE65F-5560-480A-A579-70E657FC8841}" name="個人／構成比" dataDxfId="2482"/>
    <tableColumn id="14" xr3:uid="{23D9D350-2F09-45CC-9EC5-A6F09C366856}" name="法人／事業所数" dataCellStyle="桁区切り"/>
    <tableColumn id="15" xr3:uid="{E00D29FA-D7E9-43BC-BA60-8E21650ECDFA}" name="法人／構成比" dataDxfId="2481"/>
    <tableColumn id="16" xr3:uid="{DB28708C-8EA7-4E54-AA64-5545D6A24FF8}" name="法人以外の団体／事業所数" dataCellStyle="桁区切り"/>
  </tableColumns>
  <tableStyleInfo name="TableStyleMedium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A6188D69-3788-4755-B6DB-BE07A0F783CD}" name="M_TABLE_01514" displayName="M_TABLE_01514" ref="B23:I45" totalsRowShown="0">
  <autoFilter ref="B23:I45" xr:uid="{A6188D69-3788-4755-B6DB-BE07A0F783CD}"/>
  <tableColumns count="8">
    <tableColumn id="9" xr3:uid="{FA70E0B7-43F4-4A46-A8AD-EC8B387D6EC2}" name="産業中分類上位２０"/>
    <tableColumn id="10" xr3:uid="{3B70F036-BB92-4FC9-B9D6-ACBDB9754A1E}" name="総数／事業所数" dataCellStyle="桁区切り"/>
    <tableColumn id="11" xr3:uid="{AAB20D39-5E63-45F9-BF9D-7EDE9CAF75DB}" name="総数／構成比" dataDxfId="887"/>
    <tableColumn id="12" xr3:uid="{85037569-D8F1-4859-A538-6F30C1C492F3}" name="個人／事業所数" dataCellStyle="桁区切り"/>
    <tableColumn id="13" xr3:uid="{149EC9BB-30B0-4718-83CB-3B5CFA7B25F3}" name="個人／構成比" dataDxfId="886"/>
    <tableColumn id="14" xr3:uid="{5AA34DFD-F847-46DA-84F1-88DD97320265}" name="法人／事業所数" dataCellStyle="桁区切り"/>
    <tableColumn id="15" xr3:uid="{73E66035-D91F-4B53-92A5-E59F2D6B33E0}" name="法人／構成比" dataDxfId="885"/>
    <tableColumn id="16" xr3:uid="{69192685-0922-4930-8C28-FC2E0C84758B}" name="法人以外の団体／事業所数" dataCellStyle="桁区切り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44DEA3C7-7553-4134-AFB3-6C66B4619F8B}" name="S_TABLE_01514" displayName="S_TABLE_01514" ref="B48:I68" totalsRowShown="0">
  <autoFilter ref="B48:I68" xr:uid="{44DEA3C7-7553-4134-AFB3-6C66B4619F8B}"/>
  <tableColumns count="8">
    <tableColumn id="9" xr3:uid="{2B532DED-1B59-4BA6-995D-D0814C9E2F32}" name="産業小分類上位２０"/>
    <tableColumn id="10" xr3:uid="{56D25B45-7360-48D1-ADFA-D023A34A7FD1}" name="総数／事業所数" dataCellStyle="桁区切り"/>
    <tableColumn id="11" xr3:uid="{35D8ED49-D3AA-43FD-BB8A-C8209708B4ED}" name="総数／構成比" dataDxfId="884"/>
    <tableColumn id="12" xr3:uid="{66B18BC7-272D-4E5E-870A-2BAA95F392F4}" name="個人／事業所数" dataCellStyle="桁区切り"/>
    <tableColumn id="13" xr3:uid="{55CEC669-77DB-41F8-B0C9-691BF779584D}" name="個人／構成比" dataDxfId="883"/>
    <tableColumn id="14" xr3:uid="{98FAE982-F161-43F5-A299-F00C51F9782E}" name="法人／事業所数" dataCellStyle="桁区切り"/>
    <tableColumn id="15" xr3:uid="{CB6284B5-A410-46CA-85BE-1219BA89308E}" name="法人／構成比" dataDxfId="882"/>
    <tableColumn id="16" xr3:uid="{ED2B5410-F9F2-47A5-9A88-E81B52B23682}" name="法人以外の団体／事業所数" dataCellStyle="桁区切り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7E348B47-8F43-4074-ABB6-403203D09670}" name="LTBL_01516" displayName="LTBL_01516" ref="B4:I20" totalsRowCount="1">
  <autoFilter ref="B4:I19" xr:uid="{7E348B47-8F43-4074-ABB6-403203D09670}"/>
  <tableColumns count="8">
    <tableColumn id="9" xr3:uid="{191ADBAA-B707-446D-B74E-92605B52B1BA}" name="産業大分類" totalsRowLabel="合計" totalsRowDxfId="881"/>
    <tableColumn id="10" xr3:uid="{9CEE727B-3573-4CB0-BB04-96FA83632DE5}" name="総数／事業所数" totalsRowFunction="custom" totalsRowDxfId="880" dataCellStyle="桁区切り" totalsRowCellStyle="桁区切り">
      <totalsRowFormula>SUM(LTBL_01516[総数／事業所数])</totalsRowFormula>
    </tableColumn>
    <tableColumn id="11" xr3:uid="{40AEEBB3-C94C-4F71-89DF-EF127A09B1E7}" name="総数／構成比" dataDxfId="879"/>
    <tableColumn id="12" xr3:uid="{E250B94D-8987-4BB0-B5CE-085456AEBBBF}" name="個人／事業所数" totalsRowFunction="sum" totalsRowDxfId="878" dataCellStyle="桁区切り" totalsRowCellStyle="桁区切り"/>
    <tableColumn id="13" xr3:uid="{C47CC31E-0966-41C0-B287-2C804F010781}" name="個人／構成比" dataDxfId="877"/>
    <tableColumn id="14" xr3:uid="{90454CE6-CCF9-484F-9878-E83FBE93CAC1}" name="法人／事業所数" totalsRowFunction="sum" totalsRowDxfId="876" dataCellStyle="桁区切り" totalsRowCellStyle="桁区切り"/>
    <tableColumn id="15" xr3:uid="{795165FB-0444-476D-A9F4-68EF67F24D1B}" name="法人／構成比" dataDxfId="875"/>
    <tableColumn id="16" xr3:uid="{267FB9C4-6AD2-443F-BDBE-AB48C9C43C3B}" name="法人以外の団体／事業所数" totalsRowFunction="sum" totalsRowDxfId="874" dataCellStyle="桁区切り" totalsRowCellStyle="桁区切り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D3FA2F14-8806-4BBF-99A3-D9EE56EBE5A2}" name="M_TABLE_01516" displayName="M_TABLE_01516" ref="B23:I49" totalsRowShown="0">
  <autoFilter ref="B23:I49" xr:uid="{D3FA2F14-8806-4BBF-99A3-D9EE56EBE5A2}"/>
  <tableColumns count="8">
    <tableColumn id="9" xr3:uid="{818260EA-C13C-4CDE-854C-487E58C85BA4}" name="産業中分類上位２０"/>
    <tableColumn id="10" xr3:uid="{BE0EF39B-77BB-4D37-AEB2-C696D788B109}" name="総数／事業所数" dataCellStyle="桁区切り"/>
    <tableColumn id="11" xr3:uid="{FAA7008A-A536-47F5-8950-B3B5C209A6BF}" name="総数／構成比" dataDxfId="873"/>
    <tableColumn id="12" xr3:uid="{1B7F0243-CDE1-4854-AA18-26F327BC18B7}" name="個人／事業所数" dataCellStyle="桁区切り"/>
    <tableColumn id="13" xr3:uid="{B53E3870-AD74-420A-A3A2-19D631110884}" name="個人／構成比" dataDxfId="872"/>
    <tableColumn id="14" xr3:uid="{A19628EF-8B54-4252-9198-CC2C29AAA5AF}" name="法人／事業所数" dataCellStyle="桁区切り"/>
    <tableColumn id="15" xr3:uid="{EE323D86-FE2F-4328-870C-3EB858A7FAEF}" name="法人／構成比" dataDxfId="871"/>
    <tableColumn id="16" xr3:uid="{942F6B4C-EA22-47FD-8852-FDE28C7D5EB7}" name="法人以外の団体／事業所数" dataCellStyle="桁区切り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46F0CAB3-E76F-4CD5-BC43-4F87CE5023CA}" name="S_TABLE_01516" displayName="S_TABLE_01516" ref="B52:I86" totalsRowShown="0">
  <autoFilter ref="B52:I86" xr:uid="{46F0CAB3-E76F-4CD5-BC43-4F87CE5023CA}"/>
  <tableColumns count="8">
    <tableColumn id="9" xr3:uid="{82A623F7-CBF8-42E5-B09A-3C74499B7DF5}" name="産業小分類上位２０"/>
    <tableColumn id="10" xr3:uid="{D7259135-CE98-4587-BF87-1FF114C8F0E3}" name="総数／事業所数" dataCellStyle="桁区切り"/>
    <tableColumn id="11" xr3:uid="{135CE45A-3FC6-4934-B225-F3AD4C97016A}" name="総数／構成比" dataDxfId="870"/>
    <tableColumn id="12" xr3:uid="{0397C76D-C6E0-4145-9A73-1DCB4AC8C84D}" name="個人／事業所数" dataCellStyle="桁区切り"/>
    <tableColumn id="13" xr3:uid="{28FF947F-E7A4-41CD-A4DF-C89F1D956A44}" name="個人／構成比" dataDxfId="869"/>
    <tableColumn id="14" xr3:uid="{63EF7D82-DAEF-433A-A2B8-43F8D98088FA}" name="法人／事業所数" dataCellStyle="桁区切り"/>
    <tableColumn id="15" xr3:uid="{C7B99165-8CAE-41C4-8EFE-BFACFC1F6CFB}" name="法人／構成比" dataDxfId="868"/>
    <tableColumn id="16" xr3:uid="{BD21A8AD-D538-4CFD-B115-CD55CDDD7595}" name="法人以外の団体／事業所数" dataCellStyle="桁区切り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C00F3A5D-C6D2-4BAE-B1E8-DC52F8F17376}" name="LTBL_01517" displayName="LTBL_01517" ref="B4:I20" totalsRowCount="1">
  <autoFilter ref="B4:I19" xr:uid="{C00F3A5D-C6D2-4BAE-B1E8-DC52F8F17376}"/>
  <tableColumns count="8">
    <tableColumn id="9" xr3:uid="{BC468B0B-0157-4DBC-8593-31A6368C501F}" name="産業大分類" totalsRowLabel="合計" totalsRowDxfId="867"/>
    <tableColumn id="10" xr3:uid="{D33D66F0-3B26-4A45-9E7E-F3D4E696656B}" name="総数／事業所数" totalsRowFunction="custom" totalsRowDxfId="866" dataCellStyle="桁区切り" totalsRowCellStyle="桁区切り">
      <totalsRowFormula>SUM(LTBL_01517[総数／事業所数])</totalsRowFormula>
    </tableColumn>
    <tableColumn id="11" xr3:uid="{7F78A623-8D3B-43CB-912B-028F744BA6F0}" name="総数／構成比" dataDxfId="865"/>
    <tableColumn id="12" xr3:uid="{D2F51B74-4399-447F-A687-370B0CD45B4D}" name="個人／事業所数" totalsRowFunction="sum" totalsRowDxfId="864" dataCellStyle="桁区切り" totalsRowCellStyle="桁区切り"/>
    <tableColumn id="13" xr3:uid="{16A7E3A9-9489-4602-B982-E6CD2C2AF1FB}" name="個人／構成比" dataDxfId="863"/>
    <tableColumn id="14" xr3:uid="{416E058D-C8A8-41EE-96D6-254BBED2BFCF}" name="法人／事業所数" totalsRowFunction="sum" totalsRowDxfId="862" dataCellStyle="桁区切り" totalsRowCellStyle="桁区切り"/>
    <tableColumn id="15" xr3:uid="{B0FC9D18-120B-482F-B262-AEAAC7434527}" name="法人／構成比" dataDxfId="861"/>
    <tableColumn id="16" xr3:uid="{E1F29D10-739B-4D0C-B290-7593E507CD49}" name="法人以外の団体／事業所数" totalsRowFunction="sum" totalsRowDxfId="860" dataCellStyle="桁区切り" totalsRowCellStyle="桁区切り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FE4175-F38B-4C47-9BC2-6B3CD4195025}" name="M_TABLE_01517" displayName="M_TABLE_01517" ref="B23:I47" totalsRowShown="0">
  <autoFilter ref="B23:I47" xr:uid="{2DFE4175-F38B-4C47-9BC2-6B3CD4195025}"/>
  <tableColumns count="8">
    <tableColumn id="9" xr3:uid="{47771291-75DC-460D-BBBD-EEC5D5EF15A3}" name="産業中分類上位２０"/>
    <tableColumn id="10" xr3:uid="{8B1DC3C9-039E-4693-8845-7544857ED0A2}" name="総数／事業所数" dataCellStyle="桁区切り"/>
    <tableColumn id="11" xr3:uid="{439459A3-D736-46ED-A071-DFDB226BC1D0}" name="総数／構成比" dataDxfId="859"/>
    <tableColumn id="12" xr3:uid="{42112B08-1D2A-4C82-A8D0-619FFF6B2528}" name="個人／事業所数" dataCellStyle="桁区切り"/>
    <tableColumn id="13" xr3:uid="{CFF53438-E378-4673-8DE4-77ECD217180C}" name="個人／構成比" dataDxfId="858"/>
    <tableColumn id="14" xr3:uid="{BD7F4D4D-6DC1-466C-8BF1-AC990DDC14C2}" name="法人／事業所数" dataCellStyle="桁区切り"/>
    <tableColumn id="15" xr3:uid="{451AA84A-BFD1-46FD-B841-2BEB17225FD6}" name="法人／構成比" dataDxfId="857"/>
    <tableColumn id="16" xr3:uid="{F132FDC9-B016-4DAD-8B40-EA3017E1BAEE}" name="法人以外の団体／事業所数" dataCellStyle="桁区切り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F58D41AC-B4FF-4048-B619-916F2103ACA6}" name="S_TABLE_01517" displayName="S_TABLE_01517" ref="B50:I71" totalsRowShown="0">
  <autoFilter ref="B50:I71" xr:uid="{F58D41AC-B4FF-4048-B619-916F2103ACA6}"/>
  <tableColumns count="8">
    <tableColumn id="9" xr3:uid="{64369B15-C87D-4B5B-96CA-8DE408023C17}" name="産業小分類上位２０"/>
    <tableColumn id="10" xr3:uid="{3FDFD501-B6C6-403C-AD0A-2E6E9E307424}" name="総数／事業所数" dataCellStyle="桁区切り"/>
    <tableColumn id="11" xr3:uid="{9833E5B5-49D5-4FB7-9429-32211E10FF70}" name="総数／構成比" dataDxfId="856"/>
    <tableColumn id="12" xr3:uid="{0C0979AF-E62B-47D6-AC2C-5B4940B440F1}" name="個人／事業所数" dataCellStyle="桁区切り"/>
    <tableColumn id="13" xr3:uid="{268685A7-C82B-46AA-B63E-BFA0F7B0C35E}" name="個人／構成比" dataDxfId="855"/>
    <tableColumn id="14" xr3:uid="{86C5C714-6967-43F5-9B08-F6A356A9057F}" name="法人／事業所数" dataCellStyle="桁区切り"/>
    <tableColumn id="15" xr3:uid="{1B9B150E-C33F-4EAB-AF90-F4B76A4069C2}" name="法人／構成比" dataDxfId="854"/>
    <tableColumn id="16" xr3:uid="{DE976AE7-4359-4EE8-A86B-8FB85D15AAE4}" name="法人以外の団体／事業所数" dataCellStyle="桁区切り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4A3123F9-EA18-45D7-A338-E41E3504DC42}" name="LTBL_01518" displayName="LTBL_01518" ref="B4:I20" totalsRowCount="1">
  <autoFilter ref="B4:I19" xr:uid="{4A3123F9-EA18-45D7-A338-E41E3504DC42}"/>
  <tableColumns count="8">
    <tableColumn id="9" xr3:uid="{7C73F219-6D1B-490C-AC15-11E47AD408A2}" name="産業大分類" totalsRowLabel="合計" totalsRowDxfId="853"/>
    <tableColumn id="10" xr3:uid="{FF067A22-52CC-4616-9CF5-0688F6B98F0B}" name="総数／事業所数" totalsRowFunction="custom" totalsRowDxfId="852" dataCellStyle="桁区切り" totalsRowCellStyle="桁区切り">
      <totalsRowFormula>SUM(LTBL_01518[総数／事業所数])</totalsRowFormula>
    </tableColumn>
    <tableColumn id="11" xr3:uid="{5CDCE001-F5F6-4567-80F8-A4F9EB8138CE}" name="総数／構成比" dataDxfId="851"/>
    <tableColumn id="12" xr3:uid="{D2CBC541-B367-45DD-93C7-B8B900064464}" name="個人／事業所数" totalsRowFunction="sum" totalsRowDxfId="850" dataCellStyle="桁区切り" totalsRowCellStyle="桁区切り"/>
    <tableColumn id="13" xr3:uid="{D5ED3E32-2F64-4B57-AE52-A0C6C2DA59A0}" name="個人／構成比" dataDxfId="849"/>
    <tableColumn id="14" xr3:uid="{62E4D2E9-82C9-4584-8F97-BFFE48E5137E}" name="法人／事業所数" totalsRowFunction="sum" totalsRowDxfId="848" dataCellStyle="桁区切り" totalsRowCellStyle="桁区切り"/>
    <tableColumn id="15" xr3:uid="{64FE4955-BD99-4732-896B-AE417044EEDA}" name="法人／構成比" dataDxfId="847"/>
    <tableColumn id="16" xr3:uid="{13F339BA-AFBA-4AA8-908E-54F185A1CF9A}" name="法人以外の団体／事業所数" totalsRowFunction="sum" totalsRowDxfId="846" dataCellStyle="桁区切り" totalsRowCellStyle="桁区切り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E5277453-DFDC-47AA-8CB8-DA9E3CDD661F}" name="M_TABLE_01518" displayName="M_TABLE_01518" ref="B23:I51" totalsRowShown="0">
  <autoFilter ref="B23:I51" xr:uid="{E5277453-DFDC-47AA-8CB8-DA9E3CDD661F}"/>
  <tableColumns count="8">
    <tableColumn id="9" xr3:uid="{F34DA177-5E83-4FA9-A98B-BE2E3A9CB083}" name="産業中分類上位２０"/>
    <tableColumn id="10" xr3:uid="{ACE4E48B-03DA-4E8D-804E-3711BBBE8F12}" name="総数／事業所数" dataCellStyle="桁区切り"/>
    <tableColumn id="11" xr3:uid="{1CFF6DD5-B955-4731-9829-687815727FFA}" name="総数／構成比" dataDxfId="845"/>
    <tableColumn id="12" xr3:uid="{392ECA20-2963-4E8B-951E-A99D270E12D3}" name="個人／事業所数" dataCellStyle="桁区切り"/>
    <tableColumn id="13" xr3:uid="{428D6105-3011-4902-82B2-9D7644EC0A80}" name="個人／構成比" dataDxfId="844"/>
    <tableColumn id="14" xr3:uid="{9D0C559C-4F4E-4938-8A7B-C27BBE2539C6}" name="法人／事業所数" dataCellStyle="桁区切り"/>
    <tableColumn id="15" xr3:uid="{A1572FE0-7BA4-4FF3-80C8-EBA718843997}" name="法人／構成比" dataDxfId="843"/>
    <tableColumn id="16" xr3:uid="{19D6F74B-257F-46D6-9A6B-639DF91F1EE0}" name="法人以外の団体／事業所数" dataCellStyle="桁区切り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F7FBFB0-CEC3-44B0-8923-0CAB4C5B9B02}" name="S_TABLE_01202" displayName="S_TABLE_01202" ref="B46:I66" totalsRowShown="0">
  <autoFilter ref="B46:I66" xr:uid="{3F7FBFB0-CEC3-44B0-8923-0CAB4C5B9B02}"/>
  <tableColumns count="8">
    <tableColumn id="9" xr3:uid="{92C8532A-04A4-420D-804A-325B35944F8D}" name="産業小分類上位２０"/>
    <tableColumn id="10" xr3:uid="{8DDA7FB9-6E38-48F4-8C24-5522807D90A5}" name="総数／事業所数" dataCellStyle="桁区切り"/>
    <tableColumn id="11" xr3:uid="{0E86394F-0C27-4D4C-A954-68B81D387B49}" name="総数／構成比" dataDxfId="2480"/>
    <tableColumn id="12" xr3:uid="{CD748D6F-0307-4509-8BF8-1866B063D27D}" name="個人／事業所数" dataCellStyle="桁区切り"/>
    <tableColumn id="13" xr3:uid="{D6B86907-C02E-4ABF-9232-CAE4AF50F48E}" name="個人／構成比" dataDxfId="2479"/>
    <tableColumn id="14" xr3:uid="{2D6B21AD-1E93-446E-9BBB-5DDD599B04E9}" name="法人／事業所数" dataCellStyle="桁区切り"/>
    <tableColumn id="15" xr3:uid="{6DC2DE05-66BE-4C53-9B03-E085FD223C12}" name="法人／構成比" dataDxfId="2478"/>
    <tableColumn id="16" xr3:uid="{4FDD264E-3097-4768-A7B0-8937F842163F}" name="法人以外の団体／事業所数" dataCellStyle="桁区切り"/>
  </tableColumns>
  <tableStyleInfo name="TableStyleMedium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E90A4BE7-22A6-45A7-B15B-D307324144B6}" name="S_TABLE_01518" displayName="S_TABLE_01518" ref="B54:I106" totalsRowShown="0">
  <autoFilter ref="B54:I106" xr:uid="{E90A4BE7-22A6-45A7-B15B-D307324144B6}"/>
  <tableColumns count="8">
    <tableColumn id="9" xr3:uid="{40AFB61C-59DE-451C-AF4F-E874B32352BA}" name="産業小分類上位２０"/>
    <tableColumn id="10" xr3:uid="{D1525D70-E6EC-4CF9-8690-4A4FEE2A5FDF}" name="総数／事業所数" dataCellStyle="桁区切り"/>
    <tableColumn id="11" xr3:uid="{5CEAEF15-7DBB-4051-84DC-F851A1F48E6B}" name="総数／構成比" dataDxfId="842"/>
    <tableColumn id="12" xr3:uid="{DC2D277A-1204-4187-8DA9-497AEB080238}" name="個人／事業所数" dataCellStyle="桁区切り"/>
    <tableColumn id="13" xr3:uid="{BC5572AF-1742-416B-9960-D1FCF36BEC2A}" name="個人／構成比" dataDxfId="841"/>
    <tableColumn id="14" xr3:uid="{8D4F1DDA-57B3-4F61-8E3D-ED062922084B}" name="法人／事業所数" dataCellStyle="桁区切り"/>
    <tableColumn id="15" xr3:uid="{DA6277B5-A152-4E15-ABD9-9731438D8EE8}" name="法人／構成比" dataDxfId="840"/>
    <tableColumn id="16" xr3:uid="{4613A1CE-1AE1-469B-8988-A380F8ECA34B}" name="法人以外の団体／事業所数" dataCellStyle="桁区切り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68E2A86F-F1CA-4A86-BC23-A40023794FA1}" name="LTBL_01519" displayName="LTBL_01519" ref="B4:I20" totalsRowCount="1">
  <autoFilter ref="B4:I19" xr:uid="{68E2A86F-F1CA-4A86-BC23-A40023794FA1}"/>
  <tableColumns count="8">
    <tableColumn id="9" xr3:uid="{7FCB90B9-F219-401C-9649-B5030BD2DA58}" name="産業大分類" totalsRowLabel="合計" totalsRowDxfId="839"/>
    <tableColumn id="10" xr3:uid="{8B983EEC-5443-4972-A3F8-E2259F5A1384}" name="総数／事業所数" totalsRowFunction="custom" totalsRowDxfId="838" dataCellStyle="桁区切り" totalsRowCellStyle="桁区切り">
      <totalsRowFormula>SUM(LTBL_01519[総数／事業所数])</totalsRowFormula>
    </tableColumn>
    <tableColumn id="11" xr3:uid="{B3ACE35C-D366-470A-976E-DC6164291A1D}" name="総数／構成比" dataDxfId="837"/>
    <tableColumn id="12" xr3:uid="{E1848A11-531A-4E05-82C2-E83C909B369D}" name="個人／事業所数" totalsRowFunction="sum" totalsRowDxfId="836" dataCellStyle="桁区切り" totalsRowCellStyle="桁区切り"/>
    <tableColumn id="13" xr3:uid="{7C639531-55CD-4388-8C2F-C5766D385267}" name="個人／構成比" dataDxfId="835"/>
    <tableColumn id="14" xr3:uid="{273F2AA0-50AC-40DA-B739-D2D981404EE3}" name="法人／事業所数" totalsRowFunction="sum" totalsRowDxfId="834" dataCellStyle="桁区切り" totalsRowCellStyle="桁区切り"/>
    <tableColumn id="15" xr3:uid="{D8DE76B7-8F51-4305-A0E4-D04FDEA88F57}" name="法人／構成比" dataDxfId="833"/>
    <tableColumn id="16" xr3:uid="{4ED91757-6150-4F96-880E-179123648CCD}" name="法人以外の団体／事業所数" totalsRowFunction="sum" totalsRowDxfId="832" dataCellStyle="桁区切り" totalsRowCellStyle="桁区切り"/>
  </tableColumns>
  <tableStyleInfo name="TableStyleMedium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F81B8952-B8CF-44FE-B31E-B8FA645C3AB7}" name="M_TABLE_01519" displayName="M_TABLE_01519" ref="B23:I46" totalsRowShown="0">
  <autoFilter ref="B23:I46" xr:uid="{F81B8952-B8CF-44FE-B31E-B8FA645C3AB7}"/>
  <tableColumns count="8">
    <tableColumn id="9" xr3:uid="{BF011E2D-8E41-435B-894B-08DBD10D2D97}" name="産業中分類上位２０"/>
    <tableColumn id="10" xr3:uid="{17D448CD-C94A-47FA-93DD-1E6F68D4D9FE}" name="総数／事業所数" dataCellStyle="桁区切り"/>
    <tableColumn id="11" xr3:uid="{E71B629D-8CCE-4E05-9BCB-2A71E64C1A39}" name="総数／構成比" dataDxfId="831"/>
    <tableColumn id="12" xr3:uid="{7EC36662-09A3-4EFA-8494-A154DFF2363A}" name="個人／事業所数" dataCellStyle="桁区切り"/>
    <tableColumn id="13" xr3:uid="{638AB41C-A52D-4B4A-81BE-C9072CEE128E}" name="個人／構成比" dataDxfId="830"/>
    <tableColumn id="14" xr3:uid="{EA1722AD-EEB2-4EB9-AF26-66B80FD96F3D}" name="法人／事業所数" dataCellStyle="桁区切り"/>
    <tableColumn id="15" xr3:uid="{07179304-FAF2-4A55-A618-09257E70A6D3}" name="法人／構成比" dataDxfId="829"/>
    <tableColumn id="16" xr3:uid="{3B9CEEA9-2380-4F93-A69D-C1AFABA9AF08}" name="法人以外の団体／事業所数" dataCellStyle="桁区切り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BE5DE551-8469-45EF-8F9B-920A30703612}" name="S_TABLE_01519" displayName="S_TABLE_01519" ref="B49:I74" totalsRowShown="0">
  <autoFilter ref="B49:I74" xr:uid="{BE5DE551-8469-45EF-8F9B-920A30703612}"/>
  <tableColumns count="8">
    <tableColumn id="9" xr3:uid="{332BD7FF-0123-4975-82EC-CCACB23C30F0}" name="産業小分類上位２０"/>
    <tableColumn id="10" xr3:uid="{098EAEA1-12F5-4BCB-AFE3-875E4F8F5901}" name="総数／事業所数" dataCellStyle="桁区切り"/>
    <tableColumn id="11" xr3:uid="{979E5042-5D63-4225-912E-2F6E9C417186}" name="総数／構成比" dataDxfId="828"/>
    <tableColumn id="12" xr3:uid="{FE53A726-B7E6-4CE9-BCD8-78047E03A3A5}" name="個人／事業所数" dataCellStyle="桁区切り"/>
    <tableColumn id="13" xr3:uid="{AE081E1A-FCFD-4A1E-8730-8E3EAFA5E87B}" name="個人／構成比" dataDxfId="827"/>
    <tableColumn id="14" xr3:uid="{0DCDDCE0-7837-493D-8941-FDA4FEEF9562}" name="法人／事業所数" dataCellStyle="桁区切り"/>
    <tableColumn id="15" xr3:uid="{346D1ACC-F66F-4A94-886E-906A88A1C4FC}" name="法人／構成比" dataDxfId="826"/>
    <tableColumn id="16" xr3:uid="{F56C3D1D-FE0A-4715-B88E-CAA51D7AA8E6}" name="法人以外の団体／事業所数" dataCellStyle="桁区切り"/>
  </tableColumns>
  <tableStyleInfo name="TableStyleMedium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4E717988-679A-4FD4-8A04-6CED9620707C}" name="LTBL_01520" displayName="LTBL_01520" ref="B4:I20" totalsRowCount="1">
  <autoFilter ref="B4:I19" xr:uid="{4E717988-679A-4FD4-8A04-6CED9620707C}"/>
  <tableColumns count="8">
    <tableColumn id="9" xr3:uid="{9DAC99D3-F215-4C4D-B1C6-F38D4C5F6366}" name="産業大分類" totalsRowLabel="合計" totalsRowDxfId="825"/>
    <tableColumn id="10" xr3:uid="{CAC07AB9-72B3-4FFF-9644-581FD5C33DF1}" name="総数／事業所数" totalsRowFunction="custom" totalsRowDxfId="824" dataCellStyle="桁区切り" totalsRowCellStyle="桁区切り">
      <totalsRowFormula>SUM(LTBL_01520[総数／事業所数])</totalsRowFormula>
    </tableColumn>
    <tableColumn id="11" xr3:uid="{E28E2B15-C30F-49E2-BA03-9379C52E3A74}" name="総数／構成比" dataDxfId="823"/>
    <tableColumn id="12" xr3:uid="{0E687B50-ED06-47DC-9A36-9669B6D56849}" name="個人／事業所数" totalsRowFunction="sum" totalsRowDxfId="822" dataCellStyle="桁区切り" totalsRowCellStyle="桁区切り"/>
    <tableColumn id="13" xr3:uid="{64A7D66F-1323-4141-9EB2-536E68EA6E69}" name="個人／構成比" dataDxfId="821"/>
    <tableColumn id="14" xr3:uid="{E3B79D43-B3B3-4045-AD41-73C7D71A43F4}" name="法人／事業所数" totalsRowFunction="sum" totalsRowDxfId="820" dataCellStyle="桁区切り" totalsRowCellStyle="桁区切り"/>
    <tableColumn id="15" xr3:uid="{CECE097C-632F-4102-A384-E97B1DA20B51}" name="法人／構成比" dataDxfId="819"/>
    <tableColumn id="16" xr3:uid="{90C62037-038D-4D48-A1D7-BA0D21D423B9}" name="法人以外の団体／事業所数" totalsRowFunction="sum" totalsRowDxfId="818" dataCellStyle="桁区切り" totalsRowCellStyle="桁区切り"/>
  </tableColumns>
  <tableStyleInfo name="TableStyleMedium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4A2412FA-0D6B-4083-98BE-FB320593A2A0}" name="M_TABLE_01520" displayName="M_TABLE_01520" ref="B23:I52" totalsRowShown="0">
  <autoFilter ref="B23:I52" xr:uid="{4A2412FA-0D6B-4083-98BE-FB320593A2A0}"/>
  <tableColumns count="8">
    <tableColumn id="9" xr3:uid="{D1CA20CD-D744-4F14-8803-36AA3A0F5976}" name="産業中分類上位２０"/>
    <tableColumn id="10" xr3:uid="{D0E731BB-84B9-4B97-87DD-9D3A243E544F}" name="総数／事業所数" dataCellStyle="桁区切り"/>
    <tableColumn id="11" xr3:uid="{1A4D5D50-EAEF-444B-985D-185495646326}" name="総数／構成比" dataDxfId="817"/>
    <tableColumn id="12" xr3:uid="{BD1883D5-8232-454A-BB2F-4313AF308B45}" name="個人／事業所数" dataCellStyle="桁区切り"/>
    <tableColumn id="13" xr3:uid="{5E9FDBEE-9A92-4B59-8AB4-35FAD9242107}" name="個人／構成比" dataDxfId="816"/>
    <tableColumn id="14" xr3:uid="{1F439D8D-37FF-4F25-8528-E10D69943482}" name="法人／事業所数" dataCellStyle="桁区切り"/>
    <tableColumn id="15" xr3:uid="{3FCC06C1-191E-4666-905A-45339C77DBE1}" name="法人／構成比" dataDxfId="815"/>
    <tableColumn id="16" xr3:uid="{A68FF4D1-D43F-42FC-80D0-84C3B3ACAFC1}" name="法人以外の団体／事業所数" dataCellStyle="桁区切り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37EFEFB-0495-43A7-BF0D-9C0DC4F7AE7F}" name="S_TABLE_01520" displayName="S_TABLE_01520" ref="B55:I106" totalsRowShown="0">
  <autoFilter ref="B55:I106" xr:uid="{037EFEFB-0495-43A7-BF0D-9C0DC4F7AE7F}"/>
  <tableColumns count="8">
    <tableColumn id="9" xr3:uid="{992C6740-43A0-4E7A-8BB9-09DCC23D8D17}" name="産業小分類上位２０"/>
    <tableColumn id="10" xr3:uid="{A4F4E0F3-CFB7-4478-AC9D-3A9001AFE4AD}" name="総数／事業所数" dataCellStyle="桁区切り"/>
    <tableColumn id="11" xr3:uid="{05634642-FE2C-4919-BDE1-EA1EF3E74F19}" name="総数／構成比" dataDxfId="814"/>
    <tableColumn id="12" xr3:uid="{8427328F-288B-47E3-B156-229AF77A176D}" name="個人／事業所数" dataCellStyle="桁区切り"/>
    <tableColumn id="13" xr3:uid="{B0604DAF-62B3-4FD6-9827-541309594C2B}" name="個人／構成比" dataDxfId="813"/>
    <tableColumn id="14" xr3:uid="{90CC322C-117E-4B69-8059-5816C8458163}" name="法人／事業所数" dataCellStyle="桁区切り"/>
    <tableColumn id="15" xr3:uid="{A6C2216E-98FA-4271-8F38-8BEDD45349E5}" name="法人／構成比" dataDxfId="812"/>
    <tableColumn id="16" xr3:uid="{4915FE2B-4C7A-4D64-A0AC-9D9B6B0943CD}" name="法人以外の団体／事業所数" dataCellStyle="桁区切り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9F4CB36B-568D-4ACD-A0CA-FFED1455D291}" name="LTBL_01543" displayName="LTBL_01543" ref="B4:I20" totalsRowCount="1">
  <autoFilter ref="B4:I19" xr:uid="{9F4CB36B-568D-4ACD-A0CA-FFED1455D291}"/>
  <tableColumns count="8">
    <tableColumn id="9" xr3:uid="{BB4BE4A3-54A9-4462-962C-93BF66C85594}" name="産業大分類" totalsRowLabel="合計" totalsRowDxfId="811"/>
    <tableColumn id="10" xr3:uid="{9B5D8266-E98F-4367-9110-92E5BEED46D0}" name="総数／事業所数" totalsRowFunction="custom" totalsRowDxfId="810" dataCellStyle="桁区切り" totalsRowCellStyle="桁区切り">
      <totalsRowFormula>SUM(LTBL_01543[総数／事業所数])</totalsRowFormula>
    </tableColumn>
    <tableColumn id="11" xr3:uid="{FAE9A54D-F1E4-4ABC-B9E8-C6E969E3382A}" name="総数／構成比" dataDxfId="809"/>
    <tableColumn id="12" xr3:uid="{1FFC2366-7437-4BE6-AFA4-E75ADB8A379F}" name="個人／事業所数" totalsRowFunction="sum" totalsRowDxfId="808" dataCellStyle="桁区切り" totalsRowCellStyle="桁区切り"/>
    <tableColumn id="13" xr3:uid="{5283DE78-0697-47DD-ABD1-6AE1FBB486CF}" name="個人／構成比" dataDxfId="807"/>
    <tableColumn id="14" xr3:uid="{111295BF-B504-4A69-BD6B-66BBF0E153F9}" name="法人／事業所数" totalsRowFunction="sum" totalsRowDxfId="806" dataCellStyle="桁区切り" totalsRowCellStyle="桁区切り"/>
    <tableColumn id="15" xr3:uid="{94E26853-6783-4A04-89F7-DEDC3A1648DF}" name="法人／構成比" dataDxfId="805"/>
    <tableColumn id="16" xr3:uid="{1F61EAD1-D24B-4E36-9C66-2150B3D05ADA}" name="法人以外の団体／事業所数" totalsRowFunction="sum" totalsRowDxfId="804" dataCellStyle="桁区切り" totalsRowCellStyle="桁区切り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5BE9361E-A53B-412A-918D-BCDF64F9AD0D}" name="M_TABLE_01543" displayName="M_TABLE_01543" ref="B23:I44" totalsRowShown="0">
  <autoFilter ref="B23:I44" xr:uid="{5BE9361E-A53B-412A-918D-BCDF64F9AD0D}"/>
  <tableColumns count="8">
    <tableColumn id="9" xr3:uid="{66783DDF-D650-4B4A-B3E6-EE2E4933130D}" name="産業中分類上位２０"/>
    <tableColumn id="10" xr3:uid="{6763C8DE-0197-4A5E-9512-F95177B82D3F}" name="総数／事業所数" dataCellStyle="桁区切り"/>
    <tableColumn id="11" xr3:uid="{E81CC77F-9A52-4211-BAC2-42BCA11C8816}" name="総数／構成比" dataDxfId="803"/>
    <tableColumn id="12" xr3:uid="{9E84B483-80B9-484D-9775-92B710AA6170}" name="個人／事業所数" dataCellStyle="桁区切り"/>
    <tableColumn id="13" xr3:uid="{888DBDB4-8069-45F3-8A75-88AD952D76B6}" name="個人／構成比" dataDxfId="802"/>
    <tableColumn id="14" xr3:uid="{94FF8413-A0C8-4DC3-B4B9-058A9C087DA1}" name="法人／事業所数" dataCellStyle="桁区切り"/>
    <tableColumn id="15" xr3:uid="{7933B976-3AF1-490E-B379-753F2244D327}" name="法人／構成比" dataDxfId="801"/>
    <tableColumn id="16" xr3:uid="{69119880-2BF0-430C-A3D5-0FB698497A08}" name="法人以外の団体／事業所数" dataCellStyle="桁区切り"/>
  </tableColumns>
  <tableStyleInfo name="TableStyleMedium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457B070C-C864-4772-83D5-A21269D63C3B}" name="S_TABLE_01543" displayName="S_TABLE_01543" ref="B47:I67" totalsRowShown="0">
  <autoFilter ref="B47:I67" xr:uid="{457B070C-C864-4772-83D5-A21269D63C3B}"/>
  <tableColumns count="8">
    <tableColumn id="9" xr3:uid="{46E9822F-3B5B-4C17-BAF5-7D09F57B4D3F}" name="産業小分類上位２０"/>
    <tableColumn id="10" xr3:uid="{2C7F9076-200B-4DF2-ADF5-A7BE347C31D7}" name="総数／事業所数" dataCellStyle="桁区切り"/>
    <tableColumn id="11" xr3:uid="{EAAAE38E-1E6A-4A90-9049-B57E0F89CE86}" name="総数／構成比" dataDxfId="800"/>
    <tableColumn id="12" xr3:uid="{CAD5DCD3-B754-4BB5-9608-F11D912D5384}" name="個人／事業所数" dataCellStyle="桁区切り"/>
    <tableColumn id="13" xr3:uid="{044D2598-98C3-4E31-982E-ADE8CB5A6874}" name="個人／構成比" dataDxfId="799"/>
    <tableColumn id="14" xr3:uid="{2D90F732-FC6A-48B4-AA3F-785223B27ADE}" name="法人／事業所数" dataCellStyle="桁区切り"/>
    <tableColumn id="15" xr3:uid="{3C04CEC3-6328-4E45-809B-8AE8CEFA0783}" name="法人／構成比" dataDxfId="798"/>
    <tableColumn id="16" xr3:uid="{294E6044-3DEF-430B-8429-B52BECA070CD}" name="法人以外の団体／事業所数" dataCellStyle="桁区切り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5B0EC13-286E-43F4-81E9-5A558C73DCB2}" name="LTBL_01100" displayName="LTBL_01100" ref="B4:I20" totalsRowCount="1">
  <autoFilter ref="B4:I19" xr:uid="{25B0EC13-286E-43F4-81E9-5A558C73DCB2}"/>
  <tableColumns count="8">
    <tableColumn id="9" xr3:uid="{FF01376A-231B-494A-B140-DC885CB356F3}" name="産業大分類" totalsRowLabel="合計" totalsRowDxfId="2645"/>
    <tableColumn id="10" xr3:uid="{794D66C3-C80B-4C10-8976-1B8435E314A7}" name="総数／事業所数" totalsRowFunction="custom" totalsRowDxfId="2644" dataCellStyle="桁区切り" totalsRowCellStyle="桁区切り">
      <totalsRowFormula>SUM(LTBL_01100[総数／事業所数])</totalsRowFormula>
    </tableColumn>
    <tableColumn id="11" xr3:uid="{AD3A4281-8530-43C7-AB93-5E5845A22EF6}" name="総数／構成比" dataDxfId="2643"/>
    <tableColumn id="12" xr3:uid="{76158F93-D66E-4ABC-B4D3-0B0196488BD3}" name="個人／事業所数" totalsRowFunction="sum" totalsRowDxfId="2642" dataCellStyle="桁区切り" totalsRowCellStyle="桁区切り"/>
    <tableColumn id="13" xr3:uid="{8CA8C63B-D2D4-4032-B402-DC855021D3F9}" name="個人／構成比" dataDxfId="2641"/>
    <tableColumn id="14" xr3:uid="{F7C665B0-DFA9-4409-8051-ECA4D26791D1}" name="法人／事業所数" totalsRowFunction="sum" totalsRowDxfId="2640" dataCellStyle="桁区切り" totalsRowCellStyle="桁区切り"/>
    <tableColumn id="15" xr3:uid="{215A074C-C3B0-475B-9626-6A883D555DE9}" name="法人／構成比" dataDxfId="2639"/>
    <tableColumn id="16" xr3:uid="{1A49411E-ACA2-499D-9922-D06AD4227063}" name="法人以外の団体／事業所数" totalsRowFunction="sum" totalsRowDxfId="2638" dataCellStyle="桁区切り" totalsRowCellStyle="桁区切り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8AE25020-D4FE-4ABF-A11F-63981B441309}" name="LTBL_01203" displayName="LTBL_01203" ref="B4:I20" totalsRowCount="1">
  <autoFilter ref="B4:I19" xr:uid="{8AE25020-D4FE-4ABF-A11F-63981B441309}"/>
  <tableColumns count="8">
    <tableColumn id="9" xr3:uid="{7A015527-5D88-4BCB-B346-3F53CB9B2BCE}" name="産業大分類" totalsRowLabel="合計" totalsRowDxfId="2477"/>
    <tableColumn id="10" xr3:uid="{F8B5265B-2B71-4E88-AB59-14B8BA574F6C}" name="総数／事業所数" totalsRowFunction="custom" totalsRowDxfId="2476" dataCellStyle="桁区切り" totalsRowCellStyle="桁区切り">
      <totalsRowFormula>SUM(LTBL_01203[総数／事業所数])</totalsRowFormula>
    </tableColumn>
    <tableColumn id="11" xr3:uid="{23F49AC1-F89B-44A9-A3BE-E90ADEE3900B}" name="総数／構成比" dataDxfId="2475"/>
    <tableColumn id="12" xr3:uid="{25163D1D-198D-44AB-AC45-EFDCB9FD3287}" name="個人／事業所数" totalsRowFunction="sum" totalsRowDxfId="2474" dataCellStyle="桁区切り" totalsRowCellStyle="桁区切り"/>
    <tableColumn id="13" xr3:uid="{630FB856-D67C-4E85-BADC-147642004E2C}" name="個人／構成比" dataDxfId="2473"/>
    <tableColumn id="14" xr3:uid="{A8BC598D-DC92-4D99-B516-17CC5A1E585A}" name="法人／事業所数" totalsRowFunction="sum" totalsRowDxfId="2472" dataCellStyle="桁区切り" totalsRowCellStyle="桁区切り"/>
    <tableColumn id="15" xr3:uid="{3DB17603-0EFD-4FAB-B735-309BF75E6AFE}" name="法人／構成比" dataDxfId="2471"/>
    <tableColumn id="16" xr3:uid="{ADCF8E33-7F45-4F02-8FED-33F78449DF45}" name="法人以外の団体／事業所数" totalsRowFunction="sum" totalsRowDxfId="2470" dataCellStyle="桁区切り" totalsRowCellStyle="桁区切り"/>
  </tableColumns>
  <tableStyleInfo name="TableStyleMedium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31B090B1-80DF-4E1D-9348-B80234CE69A1}" name="LTBL_01544" displayName="LTBL_01544" ref="B4:I20" totalsRowCount="1">
  <autoFilter ref="B4:I19" xr:uid="{31B090B1-80DF-4E1D-9348-B80234CE69A1}"/>
  <tableColumns count="8">
    <tableColumn id="9" xr3:uid="{16A11752-7DC1-4D4A-9D37-914919A9A0D6}" name="産業大分類" totalsRowLabel="合計" totalsRowDxfId="797"/>
    <tableColumn id="10" xr3:uid="{B797A68F-DECC-4A45-9EF3-1E993C46FBBC}" name="総数／事業所数" totalsRowFunction="custom" totalsRowDxfId="796" dataCellStyle="桁区切り" totalsRowCellStyle="桁区切り">
      <totalsRowFormula>SUM(LTBL_01544[総数／事業所数])</totalsRowFormula>
    </tableColumn>
    <tableColumn id="11" xr3:uid="{33C43D05-240A-4ABD-9540-CB0A355BD24D}" name="総数／構成比" dataDxfId="795"/>
    <tableColumn id="12" xr3:uid="{54E3E91D-41C0-48D1-BA2B-40D5CD764060}" name="個人／事業所数" totalsRowFunction="sum" totalsRowDxfId="794" dataCellStyle="桁区切り" totalsRowCellStyle="桁区切り"/>
    <tableColumn id="13" xr3:uid="{2291D765-8BDE-4117-B5B2-89D71FA5ADBB}" name="個人／構成比" dataDxfId="793"/>
    <tableColumn id="14" xr3:uid="{552EC44F-88AC-47DD-A12E-479E98A912D9}" name="法人／事業所数" totalsRowFunction="sum" totalsRowDxfId="792" dataCellStyle="桁区切り" totalsRowCellStyle="桁区切り"/>
    <tableColumn id="15" xr3:uid="{30A038AF-83D0-4102-80CD-20FF0480A182}" name="法人／構成比" dataDxfId="791"/>
    <tableColumn id="16" xr3:uid="{AFD41490-9BD1-492E-9C63-824DC134C6EC}" name="法人以外の団体／事業所数" totalsRowFunction="sum" totalsRowDxfId="790" dataCellStyle="桁区切り" totalsRowCellStyle="桁区切り"/>
  </tableColumns>
  <tableStyleInfo name="TableStyleMedium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F5D02F61-BFDC-4BCD-8DEE-26F07533A49A}" name="M_TABLE_01544" displayName="M_TABLE_01544" ref="B23:I46" totalsRowShown="0">
  <autoFilter ref="B23:I46" xr:uid="{F5D02F61-BFDC-4BCD-8DEE-26F07533A49A}"/>
  <tableColumns count="8">
    <tableColumn id="9" xr3:uid="{32C81370-B3D8-43A2-9ECB-268EF2CC536F}" name="産業中分類上位２０"/>
    <tableColumn id="10" xr3:uid="{36621039-CB17-47DF-86FB-938CB33DE21F}" name="総数／事業所数" dataCellStyle="桁区切り"/>
    <tableColumn id="11" xr3:uid="{0C0E9534-B88D-42F9-A022-1BA54B0002D4}" name="総数／構成比" dataDxfId="789"/>
    <tableColumn id="12" xr3:uid="{D345357E-3D0E-480D-B20C-F048DCC2E0F2}" name="個人／事業所数" dataCellStyle="桁区切り"/>
    <tableColumn id="13" xr3:uid="{71686578-C4C4-49E0-9669-30A17902E9D1}" name="個人／構成比" dataDxfId="788"/>
    <tableColumn id="14" xr3:uid="{97BF549B-F364-4652-98EC-3B6F8A0D3510}" name="法人／事業所数" dataCellStyle="桁区切り"/>
    <tableColumn id="15" xr3:uid="{DF0B3B4A-920B-478B-8B51-9FC1009C790C}" name="法人／構成比" dataDxfId="787"/>
    <tableColumn id="16" xr3:uid="{FC8080E5-6CB6-45AC-A84A-F69E47C580BF}" name="法人以外の団体／事業所数" dataCellStyle="桁区切り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6559D542-F08A-4BDF-A384-8736445D408C}" name="S_TABLE_01544" displayName="S_TABLE_01544" ref="B49:I73" totalsRowShown="0">
  <autoFilter ref="B49:I73" xr:uid="{6559D542-F08A-4BDF-A384-8736445D408C}"/>
  <tableColumns count="8">
    <tableColumn id="9" xr3:uid="{1ABE378E-5C6A-4EA1-BED0-B30ACB3A2D70}" name="産業小分類上位２０"/>
    <tableColumn id="10" xr3:uid="{6CA0F4B2-6169-4BD7-879D-2663853EE6E1}" name="総数／事業所数" dataCellStyle="桁区切り"/>
    <tableColumn id="11" xr3:uid="{3789A662-A6B8-4D31-9A3A-0B12AC8AADD2}" name="総数／構成比" dataDxfId="786"/>
    <tableColumn id="12" xr3:uid="{D4B90887-5393-4B27-98CE-685638C7FAB6}" name="個人／事業所数" dataCellStyle="桁区切り"/>
    <tableColumn id="13" xr3:uid="{B9920384-03D1-43CC-8858-2982730B3714}" name="個人／構成比" dataDxfId="785"/>
    <tableColumn id="14" xr3:uid="{9746D60D-4B20-4273-A120-75C3F20319A2}" name="法人／事業所数" dataCellStyle="桁区切り"/>
    <tableColumn id="15" xr3:uid="{1341A94A-E746-4AC3-B042-89FF18A7063A}" name="法人／構成比" dataDxfId="784"/>
    <tableColumn id="16" xr3:uid="{971F42E6-D629-437F-B5B2-B98F942542EC}" name="法人以外の団体／事業所数" dataCellStyle="桁区切り"/>
  </tableColumns>
  <tableStyleInfo name="TableStyleMedium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8C76A72C-7A32-4DD9-8624-3FF913A3AC50}" name="LTBL_01545" displayName="LTBL_01545" ref="B4:I20" totalsRowCount="1">
  <autoFilter ref="B4:I19" xr:uid="{8C76A72C-7A32-4DD9-8624-3FF913A3AC50}"/>
  <tableColumns count="8">
    <tableColumn id="9" xr3:uid="{05814BA2-734C-4A3B-ABB9-FC66040BB071}" name="産業大分類" totalsRowLabel="合計" totalsRowDxfId="783"/>
    <tableColumn id="10" xr3:uid="{55FDBC3D-726C-46BB-98C1-E82406A91693}" name="総数／事業所数" totalsRowFunction="custom" totalsRowDxfId="782" dataCellStyle="桁区切り" totalsRowCellStyle="桁区切り">
      <totalsRowFormula>SUM(LTBL_01545[総数／事業所数])</totalsRowFormula>
    </tableColumn>
    <tableColumn id="11" xr3:uid="{673D242F-49BF-4CF4-8F39-0ECFC3E393F1}" name="総数／構成比" dataDxfId="781"/>
    <tableColumn id="12" xr3:uid="{D33E7A70-8702-4FDF-9345-CC13AA8BA803}" name="個人／事業所数" totalsRowFunction="sum" totalsRowDxfId="780" dataCellStyle="桁区切り" totalsRowCellStyle="桁区切り"/>
    <tableColumn id="13" xr3:uid="{7E1292AD-7A49-4BDC-924C-D191CEB1F222}" name="個人／構成比" dataDxfId="779"/>
    <tableColumn id="14" xr3:uid="{1B525A48-216C-45C4-BF3D-3D5800EB7B96}" name="法人／事業所数" totalsRowFunction="sum" totalsRowDxfId="778" dataCellStyle="桁区切り" totalsRowCellStyle="桁区切り"/>
    <tableColumn id="15" xr3:uid="{07E1D368-D569-4741-9D62-F26A02DC854D}" name="法人／構成比" dataDxfId="777"/>
    <tableColumn id="16" xr3:uid="{0A50CBDC-30BD-49DA-9B4E-CB943A6BF3AC}" name="法人以外の団体／事業所数" totalsRowFunction="sum" totalsRowDxfId="776" dataCellStyle="桁区切り" totalsRowCellStyle="桁区切り"/>
  </tableColumns>
  <tableStyleInfo name="TableStyleMedium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FF401252-7CCB-4DBE-9ACE-D5F155085CAF}" name="M_TABLE_01545" displayName="M_TABLE_01545" ref="B23:I45" totalsRowShown="0">
  <autoFilter ref="B23:I45" xr:uid="{FF401252-7CCB-4DBE-9ACE-D5F155085CAF}"/>
  <tableColumns count="8">
    <tableColumn id="9" xr3:uid="{137B0FE2-4BA0-4455-9F37-B9EB1B42B993}" name="産業中分類上位２０"/>
    <tableColumn id="10" xr3:uid="{D66E0C33-7E6E-4210-81DC-8026F5B086C5}" name="総数／事業所数" dataCellStyle="桁区切り"/>
    <tableColumn id="11" xr3:uid="{E752D1FF-7B9E-4701-B6B9-A1BE9AD78F87}" name="総数／構成比" dataDxfId="775"/>
    <tableColumn id="12" xr3:uid="{4A63404C-CFE0-4DB8-A5AA-34B32D7377CC}" name="個人／事業所数" dataCellStyle="桁区切り"/>
    <tableColumn id="13" xr3:uid="{0E9943D4-BC40-44F2-8CCB-3FEB4DD4AED6}" name="個人／構成比" dataDxfId="774"/>
    <tableColumn id="14" xr3:uid="{C8F0F408-B74E-4042-B285-67079CA2A1F3}" name="法人／事業所数" dataCellStyle="桁区切り"/>
    <tableColumn id="15" xr3:uid="{CE1E5C6D-B2F5-4F93-B11C-075460618EEF}" name="法人／構成比" dataDxfId="773"/>
    <tableColumn id="16" xr3:uid="{940D5F8A-F960-4312-ABF8-5C8E1406732F}" name="法人以外の団体／事業所数" dataCellStyle="桁区切り"/>
  </tableColumns>
  <tableStyleInfo name="TableStyleMedium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5E54DE79-56A1-4F1B-9C13-CF831C8A450D}" name="S_TABLE_01545" displayName="S_TABLE_01545" ref="B48:I77" totalsRowShown="0">
  <autoFilter ref="B48:I77" xr:uid="{5E54DE79-56A1-4F1B-9C13-CF831C8A450D}"/>
  <tableColumns count="8">
    <tableColumn id="9" xr3:uid="{1D1830B7-345F-4288-A693-50DACDE96F35}" name="産業小分類上位２０"/>
    <tableColumn id="10" xr3:uid="{CBD1E977-F362-4B5B-AEEC-B6CDF4136C93}" name="総数／事業所数" dataCellStyle="桁区切り"/>
    <tableColumn id="11" xr3:uid="{C0BBDEAF-5763-4573-A3CA-8AD483108855}" name="総数／構成比" dataDxfId="772"/>
    <tableColumn id="12" xr3:uid="{5A21BC9C-2D92-45EC-BFD3-73D4164AA046}" name="個人／事業所数" dataCellStyle="桁区切り"/>
    <tableColumn id="13" xr3:uid="{E832403B-58E6-470C-95BD-6BFAE812C479}" name="個人／構成比" dataDxfId="771"/>
    <tableColumn id="14" xr3:uid="{385AA288-5E7C-4520-B945-519C58C6948C}" name="法人／事業所数" dataCellStyle="桁区切り"/>
    <tableColumn id="15" xr3:uid="{B25BC7F4-A865-4723-9989-D161E1A762B6}" name="法人／構成比" dataDxfId="770"/>
    <tableColumn id="16" xr3:uid="{AFC8A62E-1E38-474F-8888-7FA5BC69EBCA}" name="法人以外の団体／事業所数" dataCellStyle="桁区切り"/>
  </tableColumns>
  <tableStyleInfo name="TableStyleMedium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63405170-A103-4A6D-B542-A0E751F00DCC}" name="LTBL_01546" displayName="LTBL_01546" ref="B4:I20" totalsRowCount="1">
  <autoFilter ref="B4:I19" xr:uid="{63405170-A103-4A6D-B542-A0E751F00DCC}"/>
  <tableColumns count="8">
    <tableColumn id="9" xr3:uid="{8249ED6F-7CA4-440B-BCB7-F504CF264C2D}" name="産業大分類" totalsRowLabel="合計" totalsRowDxfId="769"/>
    <tableColumn id="10" xr3:uid="{86EF3DC6-E791-4393-9BBA-0BC86E8C0E29}" name="総数／事業所数" totalsRowFunction="custom" totalsRowDxfId="768" dataCellStyle="桁区切り" totalsRowCellStyle="桁区切り">
      <totalsRowFormula>SUM(LTBL_01546[総数／事業所数])</totalsRowFormula>
    </tableColumn>
    <tableColumn id="11" xr3:uid="{229A48E8-F2B6-4C79-91B3-7E79AB972B59}" name="総数／構成比" dataDxfId="767"/>
    <tableColumn id="12" xr3:uid="{E41B78AE-2541-4EC5-8866-5D2506DF99A5}" name="個人／事業所数" totalsRowFunction="sum" totalsRowDxfId="766" dataCellStyle="桁区切り" totalsRowCellStyle="桁区切り"/>
    <tableColumn id="13" xr3:uid="{64722D00-DB6D-4EDE-B151-83852C304CDB}" name="個人／構成比" dataDxfId="765"/>
    <tableColumn id="14" xr3:uid="{8165D23C-CF1D-4EC4-9B92-A304211B89ED}" name="法人／事業所数" totalsRowFunction="sum" totalsRowDxfId="764" dataCellStyle="桁区切り" totalsRowCellStyle="桁区切り"/>
    <tableColumn id="15" xr3:uid="{8241C488-C05C-494D-8EEA-963CCD50D572}" name="法人／構成比" dataDxfId="763"/>
    <tableColumn id="16" xr3:uid="{5B340628-DC1A-48C6-9D8F-F18D053897F0}" name="法人以外の団体／事業所数" totalsRowFunction="sum" totalsRowDxfId="762" dataCellStyle="桁区切り" totalsRowCellStyle="桁区切り"/>
  </tableColumns>
  <tableStyleInfo name="TableStyleMedium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A5286262-23B3-49FC-9F1B-6E52CBC2506C}" name="M_TABLE_01546" displayName="M_TABLE_01546" ref="B23:I56" totalsRowShown="0">
  <autoFilter ref="B23:I56" xr:uid="{A5286262-23B3-49FC-9F1B-6E52CBC2506C}"/>
  <tableColumns count="8">
    <tableColumn id="9" xr3:uid="{A2DD45DD-5883-4307-9137-81A97A7E591D}" name="産業中分類上位２０"/>
    <tableColumn id="10" xr3:uid="{03F29E0C-C865-4D3B-9F0B-026D85D69FF6}" name="総数／事業所数" dataCellStyle="桁区切り"/>
    <tableColumn id="11" xr3:uid="{A452763D-1360-42C6-9633-43D11FF538E6}" name="総数／構成比" dataDxfId="761"/>
    <tableColumn id="12" xr3:uid="{5B2C1837-98A3-41E2-AF61-4F48625A5DE4}" name="個人／事業所数" dataCellStyle="桁区切り"/>
    <tableColumn id="13" xr3:uid="{B1AAB164-58B0-4D20-ADC2-D3CB9AB08452}" name="個人／構成比" dataDxfId="760"/>
    <tableColumn id="14" xr3:uid="{C528379F-B12A-499F-98D4-E06035F6C15A}" name="法人／事業所数" dataCellStyle="桁区切り"/>
    <tableColumn id="15" xr3:uid="{5847EC52-B797-48A4-8739-4CC2ABA4F7AB}" name="法人／構成比" dataDxfId="759"/>
    <tableColumn id="16" xr3:uid="{A1993733-26DE-4043-AB7D-856E860C1023}" name="法人以外の団体／事業所数" dataCellStyle="桁区切り"/>
  </tableColumns>
  <tableStyleInfo name="TableStyleMedium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3FB8DC00-630F-49D6-B6D5-05AEF2AFBB77}" name="S_TABLE_01546" displayName="S_TABLE_01546" ref="B59:I113" totalsRowShown="0">
  <autoFilter ref="B59:I113" xr:uid="{3FB8DC00-630F-49D6-B6D5-05AEF2AFBB77}"/>
  <tableColumns count="8">
    <tableColumn id="9" xr3:uid="{310C7625-E4B6-479C-8AD6-86EF645678AC}" name="産業小分類上位２０"/>
    <tableColumn id="10" xr3:uid="{D5F98D52-387C-4B56-B469-AE9C0626F268}" name="総数／事業所数" dataCellStyle="桁区切り"/>
    <tableColumn id="11" xr3:uid="{FF9355FA-E753-43BB-BA75-78098B99378F}" name="総数／構成比" dataDxfId="758"/>
    <tableColumn id="12" xr3:uid="{3573AEE9-5F79-4589-9203-7F439247532A}" name="個人／事業所数" dataCellStyle="桁区切り"/>
    <tableColumn id="13" xr3:uid="{17B1620E-4696-4D09-B7C4-3D6E3E829F56}" name="個人／構成比" dataDxfId="757"/>
    <tableColumn id="14" xr3:uid="{0B30BE3D-3ED1-4491-98C4-2C738B987736}" name="法人／事業所数" dataCellStyle="桁区切り"/>
    <tableColumn id="15" xr3:uid="{C57C3DCE-F7A0-48D3-B402-659653C02CF1}" name="法人／構成比" dataDxfId="756"/>
    <tableColumn id="16" xr3:uid="{86C40922-7777-401C-BE25-0D5AB5F3512C}" name="法人以外の団体／事業所数" dataCellStyle="桁区切り"/>
  </tableColumns>
  <tableStyleInfo name="TableStyleMedium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2F65B8EB-A2F3-42B1-978F-ADD028CC65AD}" name="LTBL_01547" displayName="LTBL_01547" ref="B4:I20" totalsRowCount="1">
  <autoFilter ref="B4:I19" xr:uid="{2F65B8EB-A2F3-42B1-978F-ADD028CC65AD}"/>
  <tableColumns count="8">
    <tableColumn id="9" xr3:uid="{CA102B08-701F-4253-94EC-6F47B303AA56}" name="産業大分類" totalsRowLabel="合計" totalsRowDxfId="755"/>
    <tableColumn id="10" xr3:uid="{97874BAC-1372-4E57-98F1-403C0975096E}" name="総数／事業所数" totalsRowFunction="custom" totalsRowDxfId="754" dataCellStyle="桁区切り" totalsRowCellStyle="桁区切り">
      <totalsRowFormula>SUM(LTBL_01547[総数／事業所数])</totalsRowFormula>
    </tableColumn>
    <tableColumn id="11" xr3:uid="{EDCEF1E8-9360-486A-85E6-BD1C13B71E2A}" name="総数／構成比" dataDxfId="753"/>
    <tableColumn id="12" xr3:uid="{741B330A-F770-40B2-83EC-C29427BD22B3}" name="個人／事業所数" totalsRowFunction="sum" totalsRowDxfId="752" dataCellStyle="桁区切り" totalsRowCellStyle="桁区切り"/>
    <tableColumn id="13" xr3:uid="{BB805DF1-FCC0-4CDA-89DF-2DD01EDEC844}" name="個人／構成比" dataDxfId="751"/>
    <tableColumn id="14" xr3:uid="{65EB6D81-88A5-42E0-8D67-C7F448D1BE56}" name="法人／事業所数" totalsRowFunction="sum" totalsRowDxfId="750" dataCellStyle="桁区切り" totalsRowCellStyle="桁区切り"/>
    <tableColumn id="15" xr3:uid="{BDBE89D7-C2E7-4F71-B859-E75517A1BE37}" name="法人／構成比" dataDxfId="749"/>
    <tableColumn id="16" xr3:uid="{877B84B5-0CE6-4447-BC4E-FD58C87F55EE}" name="法人以外の団体／事業所数" totalsRowFunction="sum" totalsRowDxfId="748" dataCellStyle="桁区切り" totalsRowCellStyle="桁区切り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B3E96397-7D57-454A-9E36-A71380B27E0A}" name="M_TABLE_01203" displayName="M_TABLE_01203" ref="B23:I43" totalsRowShown="0">
  <autoFilter ref="B23:I43" xr:uid="{B3E96397-7D57-454A-9E36-A71380B27E0A}"/>
  <tableColumns count="8">
    <tableColumn id="9" xr3:uid="{18590192-1B92-4C81-BEBE-B57F622DC8D5}" name="産業中分類上位２０"/>
    <tableColumn id="10" xr3:uid="{A2C384B9-2108-4A69-8DC9-FBD5D74A7C0F}" name="総数／事業所数" dataCellStyle="桁区切り"/>
    <tableColumn id="11" xr3:uid="{41BA8A66-D24C-4F51-8904-5646DE5AE54B}" name="総数／構成比" dataDxfId="2469"/>
    <tableColumn id="12" xr3:uid="{3DF1116C-0BF2-41B4-9ED9-142A39E65374}" name="個人／事業所数" dataCellStyle="桁区切り"/>
    <tableColumn id="13" xr3:uid="{62C460B8-C0A3-4F5C-B944-A7D6225F902C}" name="個人／構成比" dataDxfId="2468"/>
    <tableColumn id="14" xr3:uid="{3EB8F8DB-3AAA-4C25-A4A6-A6F448D8E2CB}" name="法人／事業所数" dataCellStyle="桁区切り"/>
    <tableColumn id="15" xr3:uid="{BE56A2B8-E688-43E8-972F-8E8489C7BD3A}" name="法人／構成比" dataDxfId="2467"/>
    <tableColumn id="16" xr3:uid="{BA7AD51A-D0D3-4A61-931C-B80E2880921A}" name="法人以外の団体／事業所数" dataCellStyle="桁区切り"/>
  </tableColumns>
  <tableStyleInfo name="TableStyleMedium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E00F3BFD-0329-41DE-B759-90EE59D4E074}" name="M_TABLE_01547" displayName="M_TABLE_01547" ref="B23:I46" totalsRowShown="0">
  <autoFilter ref="B23:I46" xr:uid="{E00F3BFD-0329-41DE-B759-90EE59D4E074}"/>
  <tableColumns count="8">
    <tableColumn id="9" xr3:uid="{867C1D0A-5578-4648-8F26-584F7A0068C7}" name="産業中分類上位２０"/>
    <tableColumn id="10" xr3:uid="{D6028534-F778-4CCE-82BB-965900778001}" name="総数／事業所数" dataCellStyle="桁区切り"/>
    <tableColumn id="11" xr3:uid="{9C42800E-021F-4C06-807E-045085793EA2}" name="総数／構成比" dataDxfId="747"/>
    <tableColumn id="12" xr3:uid="{5CE21152-5100-4769-986D-EEEB8DD9921F}" name="個人／事業所数" dataCellStyle="桁区切り"/>
    <tableColumn id="13" xr3:uid="{05A7D205-A49C-4149-8A63-29DD4B5D3C96}" name="個人／構成比" dataDxfId="746"/>
    <tableColumn id="14" xr3:uid="{B2833168-A440-4BF2-BBEA-67F196A0D8FC}" name="法人／事業所数" dataCellStyle="桁区切り"/>
    <tableColumn id="15" xr3:uid="{5219A0AC-F090-4299-8D73-77BBA56B7FCF}" name="法人／構成比" dataDxfId="745"/>
    <tableColumn id="16" xr3:uid="{CB699F38-52AC-436F-8C73-CFB84B885CB7}" name="法人以外の団体／事業所数" dataCellStyle="桁区切り"/>
  </tableColumns>
  <tableStyleInfo name="TableStyleMedium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DD582430-54C9-440A-A2C4-9064E4F915C3}" name="S_TABLE_01547" displayName="S_TABLE_01547" ref="B49:I81" totalsRowShown="0">
  <autoFilter ref="B49:I81" xr:uid="{DD582430-54C9-440A-A2C4-9064E4F915C3}"/>
  <tableColumns count="8">
    <tableColumn id="9" xr3:uid="{38534BD0-501D-43F0-AE88-9EF87453B2BB}" name="産業小分類上位２０"/>
    <tableColumn id="10" xr3:uid="{27A9CF92-B6BF-4699-BCCB-B7BE4B8A6211}" name="総数／事業所数" dataCellStyle="桁区切り"/>
    <tableColumn id="11" xr3:uid="{BF06B166-98D0-4541-A2D4-E805A8E17B19}" name="総数／構成比" dataDxfId="744"/>
    <tableColumn id="12" xr3:uid="{02A8B86C-72AD-4031-8514-EEE8842E43BC}" name="個人／事業所数" dataCellStyle="桁区切り"/>
    <tableColumn id="13" xr3:uid="{E98602D0-8F84-4A69-8C1F-2AFBD2E18CE1}" name="個人／構成比" dataDxfId="743"/>
    <tableColumn id="14" xr3:uid="{949D6C82-A54E-43D5-B57E-962CB58B6EE6}" name="法人／事業所数" dataCellStyle="桁区切り"/>
    <tableColumn id="15" xr3:uid="{13C5A6B4-6C51-41B8-A649-D6EABF028AEF}" name="法人／構成比" dataDxfId="742"/>
    <tableColumn id="16" xr3:uid="{3187FCA6-FE02-4A1D-B935-EF7B364B57B9}" name="法人以外の団体／事業所数" dataCellStyle="桁区切り"/>
  </tableColumns>
  <tableStyleInfo name="TableStyleMedium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4FC70607-A832-4F0B-A316-BDA165E0C9DC}" name="LTBL_01549" displayName="LTBL_01549" ref="B4:I20" totalsRowCount="1">
  <autoFilter ref="B4:I19" xr:uid="{4FC70607-A832-4F0B-A316-BDA165E0C9DC}"/>
  <tableColumns count="8">
    <tableColumn id="9" xr3:uid="{CFD99E8C-EC44-41A0-970D-7D40142DFD00}" name="産業大分類" totalsRowLabel="合計" totalsRowDxfId="741"/>
    <tableColumn id="10" xr3:uid="{4E5B1A92-BDEB-4B82-9B8C-A05F096D569B}" name="総数／事業所数" totalsRowFunction="custom" totalsRowDxfId="740" dataCellStyle="桁区切り" totalsRowCellStyle="桁区切り">
      <totalsRowFormula>SUM(LTBL_01549[総数／事業所数])</totalsRowFormula>
    </tableColumn>
    <tableColumn id="11" xr3:uid="{1BD3BD14-A4AC-42C5-B74E-E3DCC421B530}" name="総数／構成比" dataDxfId="739"/>
    <tableColumn id="12" xr3:uid="{5C1FF5A4-4E0E-4DFC-987E-0DED7F70C788}" name="個人／事業所数" totalsRowFunction="sum" totalsRowDxfId="738" dataCellStyle="桁区切り" totalsRowCellStyle="桁区切り"/>
    <tableColumn id="13" xr3:uid="{14C28E76-539A-4B69-90A6-365CE4E50430}" name="個人／構成比" dataDxfId="737"/>
    <tableColumn id="14" xr3:uid="{D2222BB8-745B-44E0-A1BE-D32E11B2FE26}" name="法人／事業所数" totalsRowFunction="sum" totalsRowDxfId="736" dataCellStyle="桁区切り" totalsRowCellStyle="桁区切り"/>
    <tableColumn id="15" xr3:uid="{EC97F920-CD78-42C5-AFC3-78B411184E76}" name="法人／構成比" dataDxfId="735"/>
    <tableColumn id="16" xr3:uid="{A9450CCC-D338-4DC2-B081-01249B2E9E67}" name="法人以外の団体／事業所数" totalsRowFunction="sum" totalsRowDxfId="734" dataCellStyle="桁区切り" totalsRowCellStyle="桁区切り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82A316EF-AC77-4F8D-AD56-9022F2415514}" name="M_TABLE_01549" displayName="M_TABLE_01549" ref="B23:I54" totalsRowShown="0">
  <autoFilter ref="B23:I54" xr:uid="{82A316EF-AC77-4F8D-AD56-9022F2415514}"/>
  <tableColumns count="8">
    <tableColumn id="9" xr3:uid="{7A25FE27-9CC8-475A-827F-5C843592D6B8}" name="産業中分類上位２０"/>
    <tableColumn id="10" xr3:uid="{187275A8-49A6-4C74-9C2B-6623373A315A}" name="総数／事業所数" dataCellStyle="桁区切り"/>
    <tableColumn id="11" xr3:uid="{9253B4BB-1DDD-4A7D-A4BA-CF80DF085E85}" name="総数／構成比" dataDxfId="733"/>
    <tableColumn id="12" xr3:uid="{28943EB4-C030-499D-85CA-B77E2F4B416D}" name="個人／事業所数" dataCellStyle="桁区切り"/>
    <tableColumn id="13" xr3:uid="{B656659A-D509-4080-BB04-EFBFF0912C56}" name="個人／構成比" dataDxfId="732"/>
    <tableColumn id="14" xr3:uid="{F84F1BF6-13AF-4BC4-8E0D-DE1CC771E95F}" name="法人／事業所数" dataCellStyle="桁区切り"/>
    <tableColumn id="15" xr3:uid="{3C55FE56-D60E-4E2E-BB84-78A294AE3D35}" name="法人／構成比" dataDxfId="731"/>
    <tableColumn id="16" xr3:uid="{119F5F6F-DEF0-4703-818C-E1F5235B256A}" name="法人以外の団体／事業所数" dataCellStyle="桁区切り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E3615196-B734-4955-A15F-42248807D507}" name="S_TABLE_01549" displayName="S_TABLE_01549" ref="B57:I77" totalsRowShown="0">
  <autoFilter ref="B57:I77" xr:uid="{E3615196-B734-4955-A15F-42248807D507}"/>
  <tableColumns count="8">
    <tableColumn id="9" xr3:uid="{BE68E24C-2B64-49A7-988A-329C4F452BA5}" name="産業小分類上位２０"/>
    <tableColumn id="10" xr3:uid="{529E311C-19D6-46E7-BCA6-9FEBCACEA813}" name="総数／事業所数" dataCellStyle="桁区切り"/>
    <tableColumn id="11" xr3:uid="{7E086424-C7AE-4FFC-8823-97D94871B7BB}" name="総数／構成比" dataDxfId="730"/>
    <tableColumn id="12" xr3:uid="{3461DC0A-1DDE-45D5-8AA3-231BEC90DCDE}" name="個人／事業所数" dataCellStyle="桁区切り"/>
    <tableColumn id="13" xr3:uid="{269DF538-9ACC-440E-9581-7FC26D94720F}" name="個人／構成比" dataDxfId="729"/>
    <tableColumn id="14" xr3:uid="{B0C68980-A51B-4884-83B3-4BB98E4396B0}" name="法人／事業所数" dataCellStyle="桁区切り"/>
    <tableColumn id="15" xr3:uid="{607A7EFA-C37B-45BF-810B-1D3DE7FC8661}" name="法人／構成比" dataDxfId="728"/>
    <tableColumn id="16" xr3:uid="{4A2CFC57-EB7C-41C2-9F97-CE300F99B57C}" name="法人以外の団体／事業所数" dataCellStyle="桁区切り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3999FB13-7AF3-4233-8AF7-A99257E9B264}" name="LTBL_01550" displayName="LTBL_01550" ref="B4:I20" totalsRowCount="1">
  <autoFilter ref="B4:I19" xr:uid="{3999FB13-7AF3-4233-8AF7-A99257E9B264}"/>
  <tableColumns count="8">
    <tableColumn id="9" xr3:uid="{554E0FA0-238A-42A0-BFC2-FD82683840F9}" name="産業大分類" totalsRowLabel="合計" totalsRowDxfId="727"/>
    <tableColumn id="10" xr3:uid="{12E18FBE-8B69-462E-89FA-AA23D483700A}" name="総数／事業所数" totalsRowFunction="custom" totalsRowDxfId="726" dataCellStyle="桁区切り" totalsRowCellStyle="桁区切り">
      <totalsRowFormula>SUM(LTBL_01550[総数／事業所数])</totalsRowFormula>
    </tableColumn>
    <tableColumn id="11" xr3:uid="{A93E4B7A-728A-4466-8652-84CEDC8A9172}" name="総数／構成比" dataDxfId="725"/>
    <tableColumn id="12" xr3:uid="{B84BBE94-F5E6-4DE2-9C1F-4525B10F948F}" name="個人／事業所数" totalsRowFunction="sum" totalsRowDxfId="724" dataCellStyle="桁区切り" totalsRowCellStyle="桁区切り"/>
    <tableColumn id="13" xr3:uid="{0EA9BE4F-F9D9-4ED0-BC19-2601F3F2B362}" name="個人／構成比" dataDxfId="723"/>
    <tableColumn id="14" xr3:uid="{F34E4D86-8292-411B-A4BF-C6D8F854FB4D}" name="法人／事業所数" totalsRowFunction="sum" totalsRowDxfId="722" dataCellStyle="桁区切り" totalsRowCellStyle="桁区切り"/>
    <tableColumn id="15" xr3:uid="{E3DDBAD6-805F-44C3-A0BC-391D0BF3B7DF}" name="法人／構成比" dataDxfId="721"/>
    <tableColumn id="16" xr3:uid="{5F8BF06B-3E50-46D5-9DA8-9F975755B2F4}" name="法人以外の団体／事業所数" totalsRowFunction="sum" totalsRowDxfId="720" dataCellStyle="桁区切り" totalsRowCellStyle="桁区切り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832196C0-8AD3-45C6-AD52-B65ABE6D7D7E}" name="M_TABLE_01550" displayName="M_TABLE_01550" ref="B23:I56" totalsRowShown="0">
  <autoFilter ref="B23:I56" xr:uid="{832196C0-8AD3-45C6-AD52-B65ABE6D7D7E}"/>
  <tableColumns count="8">
    <tableColumn id="9" xr3:uid="{6213F978-BD95-48FE-BEB8-5F75BB39D61E}" name="産業中分類上位２０"/>
    <tableColumn id="10" xr3:uid="{D1E0C98F-9170-449A-A9AF-A0AEDAB5F116}" name="総数／事業所数" dataCellStyle="桁区切り"/>
    <tableColumn id="11" xr3:uid="{CBF475A3-6526-4EC2-8C00-F81D891DB9AA}" name="総数／構成比" dataDxfId="719"/>
    <tableColumn id="12" xr3:uid="{E239C43E-C82D-44C8-A5DD-6DCEAAF72D72}" name="個人／事業所数" dataCellStyle="桁区切り"/>
    <tableColumn id="13" xr3:uid="{00AD077F-39B9-434E-AEC1-1E075D243B7B}" name="個人／構成比" dataDxfId="718"/>
    <tableColumn id="14" xr3:uid="{B8E37FC9-1B33-4173-B87F-49E34FECFDA0}" name="法人／事業所数" dataCellStyle="桁区切り"/>
    <tableColumn id="15" xr3:uid="{E324F1CA-0F65-478C-9F2A-9BF5735367CD}" name="法人／構成比" dataDxfId="717"/>
    <tableColumn id="16" xr3:uid="{7C727E95-F6C1-46E9-9461-4C99D3F36FD6}" name="法人以外の団体／事業所数" dataCellStyle="桁区切り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2EABC044-64F7-4391-AEF0-7741628EBF3C}" name="S_TABLE_01550" displayName="S_TABLE_01550" ref="B59:I112" totalsRowShown="0">
  <autoFilter ref="B59:I112" xr:uid="{2EABC044-64F7-4391-AEF0-7741628EBF3C}"/>
  <tableColumns count="8">
    <tableColumn id="9" xr3:uid="{DA7DDE86-4D04-4336-9E5F-508078AE7833}" name="産業小分類上位２０"/>
    <tableColumn id="10" xr3:uid="{63F918D2-9109-4E1A-AEAF-4F42A7C8F992}" name="総数／事業所数" dataCellStyle="桁区切り"/>
    <tableColumn id="11" xr3:uid="{D95D2A54-50F3-4823-B4C4-3F35C481751E}" name="総数／構成比" dataDxfId="716"/>
    <tableColumn id="12" xr3:uid="{46E66D64-1CA7-49B8-919D-674246FCCD65}" name="個人／事業所数" dataCellStyle="桁区切り"/>
    <tableColumn id="13" xr3:uid="{9A01B663-8656-41A7-8CF5-1C1831639058}" name="個人／構成比" dataDxfId="715"/>
    <tableColumn id="14" xr3:uid="{5AC2EBBE-8557-407E-8592-37146E317BDC}" name="法人／事業所数" dataCellStyle="桁区切り"/>
    <tableColumn id="15" xr3:uid="{13A66570-2640-4359-BE36-80BA97877B76}" name="法人／構成比" dataDxfId="714"/>
    <tableColumn id="16" xr3:uid="{224AC546-D860-45CE-902E-C82819BE64A3}" name="法人以外の団体／事業所数" dataCellStyle="桁区切り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F33E03CE-C1BF-40D1-A525-761C3C3D9445}" name="LTBL_01552" displayName="LTBL_01552" ref="B4:I20" totalsRowCount="1">
  <autoFilter ref="B4:I19" xr:uid="{F33E03CE-C1BF-40D1-A525-761C3C3D9445}"/>
  <tableColumns count="8">
    <tableColumn id="9" xr3:uid="{E9EB1B16-D6A6-4257-BC10-F78074EC0556}" name="産業大分類" totalsRowLabel="合計" totalsRowDxfId="713"/>
    <tableColumn id="10" xr3:uid="{0B34B342-6CAD-4477-811D-01D69BED277A}" name="総数／事業所数" totalsRowFunction="custom" totalsRowDxfId="712" dataCellStyle="桁区切り" totalsRowCellStyle="桁区切り">
      <totalsRowFormula>SUM(LTBL_01552[総数／事業所数])</totalsRowFormula>
    </tableColumn>
    <tableColumn id="11" xr3:uid="{381A2A6C-C05D-49FC-AC35-4A5C13C9894C}" name="総数／構成比" dataDxfId="711"/>
    <tableColumn id="12" xr3:uid="{4B2CE535-F41F-4BD4-A2A3-5B224045ED53}" name="個人／事業所数" totalsRowFunction="sum" totalsRowDxfId="710" dataCellStyle="桁区切り" totalsRowCellStyle="桁区切り"/>
    <tableColumn id="13" xr3:uid="{99B45D78-99B1-45C9-B1C5-6CE17C1C0C53}" name="個人／構成比" dataDxfId="709"/>
    <tableColumn id="14" xr3:uid="{BA20464B-D01C-4730-8C11-9AE9BDF56E0F}" name="法人／事業所数" totalsRowFunction="sum" totalsRowDxfId="708" dataCellStyle="桁区切り" totalsRowCellStyle="桁区切り"/>
    <tableColumn id="15" xr3:uid="{AF7FCE44-9784-4051-8642-C162BFE2678C}" name="法人／構成比" dataDxfId="707"/>
    <tableColumn id="16" xr3:uid="{37DFAEFE-2268-4D05-92B0-4846D77F8CA9}" name="法人以外の団体／事業所数" totalsRowFunction="sum" totalsRowDxfId="706" dataCellStyle="桁区切り" totalsRowCellStyle="桁区切り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C7FC0357-6223-4922-AFD3-752E70F09819}" name="M_TABLE_01552" displayName="M_TABLE_01552" ref="B23:I49" totalsRowShown="0">
  <autoFilter ref="B23:I49" xr:uid="{C7FC0357-6223-4922-AFD3-752E70F09819}"/>
  <tableColumns count="8">
    <tableColumn id="9" xr3:uid="{C3AB6632-BDDB-454E-89E8-CCBED522511D}" name="産業中分類上位２０"/>
    <tableColumn id="10" xr3:uid="{EDE3331A-B71F-44D5-9E69-9F03BA9DB405}" name="総数／事業所数" dataCellStyle="桁区切り"/>
    <tableColumn id="11" xr3:uid="{A5DB6956-78EA-42F3-9EB1-0F5552C6F012}" name="総数／構成比" dataDxfId="705"/>
    <tableColumn id="12" xr3:uid="{B3415A9F-5914-4381-9AC4-64A0D85E2A07}" name="個人／事業所数" dataCellStyle="桁区切り"/>
    <tableColumn id="13" xr3:uid="{B07029C0-2689-460F-A331-E27CB94BEE45}" name="個人／構成比" dataDxfId="704"/>
    <tableColumn id="14" xr3:uid="{3D2AD9E4-8E13-4EF0-A9D6-DEA1C4D93E71}" name="法人／事業所数" dataCellStyle="桁区切り"/>
    <tableColumn id="15" xr3:uid="{BB5413FE-261E-40F6-86D1-80A295025B0B}" name="法人／構成比" dataDxfId="703"/>
    <tableColumn id="16" xr3:uid="{43B8286E-D777-4FCC-9F0C-C4CF275D345C}" name="法人以外の団体／事業所数" dataCellStyle="桁区切り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3C2F46C6-3508-44BC-8648-334BFCDEC0CE}" name="S_TABLE_01203" displayName="S_TABLE_01203" ref="B46:I67" totalsRowShown="0">
  <autoFilter ref="B46:I67" xr:uid="{3C2F46C6-3508-44BC-8648-334BFCDEC0CE}"/>
  <tableColumns count="8">
    <tableColumn id="9" xr3:uid="{699CD828-6350-40F2-8371-BD95EA2F386E}" name="産業小分類上位２０"/>
    <tableColumn id="10" xr3:uid="{F44B4C61-834B-413B-8EE3-53101199BA58}" name="総数／事業所数" dataCellStyle="桁区切り"/>
    <tableColumn id="11" xr3:uid="{007EA756-3EDE-434A-B4E5-824B112D60C5}" name="総数／構成比" dataDxfId="2466"/>
    <tableColumn id="12" xr3:uid="{38FC555E-38D5-4849-B461-041B95D9F46F}" name="個人／事業所数" dataCellStyle="桁区切り"/>
    <tableColumn id="13" xr3:uid="{6FBCEA1F-7C39-4CE6-8E3F-002EEEAB4A33}" name="個人／構成比" dataDxfId="2465"/>
    <tableColumn id="14" xr3:uid="{B88C544B-CA44-4F39-ADF8-CC363F066FFE}" name="法人／事業所数" dataCellStyle="桁区切り"/>
    <tableColumn id="15" xr3:uid="{476E5FC0-026F-4311-B599-7C49E92B672A}" name="法人／構成比" dataDxfId="2464"/>
    <tableColumn id="16" xr3:uid="{B8BC37B9-2993-4BC8-9CD3-1A08CCCC0776}" name="法人以外の団体／事業所数" dataCellStyle="桁区切り"/>
  </tableColumns>
  <tableStyleInfo name="TableStyleMedium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66DDDED5-7618-4D04-880A-873B4FA379E9}" name="S_TABLE_01552" displayName="S_TABLE_01552" ref="B52:I87" totalsRowShown="0">
  <autoFilter ref="B52:I87" xr:uid="{66DDDED5-7618-4D04-880A-873B4FA379E9}"/>
  <tableColumns count="8">
    <tableColumn id="9" xr3:uid="{D0E9ED81-31D0-40C9-85EA-38F1457B39CD}" name="産業小分類上位２０"/>
    <tableColumn id="10" xr3:uid="{80E4D6D3-B875-4888-A538-FF86F2F791A1}" name="総数／事業所数" dataCellStyle="桁区切り"/>
    <tableColumn id="11" xr3:uid="{A757974A-3E47-4D22-937B-36482ACF15ED}" name="総数／構成比" dataDxfId="702"/>
    <tableColumn id="12" xr3:uid="{3624F39B-8F56-40D4-B27F-D28C2B08CE80}" name="個人／事業所数" dataCellStyle="桁区切り"/>
    <tableColumn id="13" xr3:uid="{97B7250D-94AE-467B-9FD6-DF47A85DEAEC}" name="個人／構成比" dataDxfId="701"/>
    <tableColumn id="14" xr3:uid="{1372A501-C75B-4E96-A1B1-D9C1B4AB1321}" name="法人／事業所数" dataCellStyle="桁区切り"/>
    <tableColumn id="15" xr3:uid="{CF6FE5B0-B341-45F0-8058-C56A690AB43B}" name="法人／構成比" dataDxfId="700"/>
    <tableColumn id="16" xr3:uid="{C2E129FD-EAAF-4398-B94C-81E187551A7B}" name="法人以外の団体／事業所数" dataCellStyle="桁区切り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4E223C60-FDDA-431E-95F1-EE520E6D2C44}" name="LTBL_01555" displayName="LTBL_01555" ref="B4:I20" totalsRowCount="1">
  <autoFilter ref="B4:I19" xr:uid="{4E223C60-FDDA-431E-95F1-EE520E6D2C44}"/>
  <tableColumns count="8">
    <tableColumn id="9" xr3:uid="{03375267-BB6E-4AF5-AB2C-C10D980B0394}" name="産業大分類" totalsRowLabel="合計" totalsRowDxfId="699"/>
    <tableColumn id="10" xr3:uid="{43D6D8F1-3591-4F96-8EF2-04ED235D9903}" name="総数／事業所数" totalsRowFunction="custom" totalsRowDxfId="698" dataCellStyle="桁区切り" totalsRowCellStyle="桁区切り">
      <totalsRowFormula>SUM(LTBL_01555[総数／事業所数])</totalsRowFormula>
    </tableColumn>
    <tableColumn id="11" xr3:uid="{25EDA0C7-19AE-452E-B3AB-7CB6DFB9D518}" name="総数／構成比" dataDxfId="697"/>
    <tableColumn id="12" xr3:uid="{8418EE26-6ABB-44A2-AC61-ED7C6512406C}" name="個人／事業所数" totalsRowFunction="sum" totalsRowDxfId="696" dataCellStyle="桁区切り" totalsRowCellStyle="桁区切り"/>
    <tableColumn id="13" xr3:uid="{67F20810-A03F-4D26-BF99-03301594170D}" name="個人／構成比" dataDxfId="695"/>
    <tableColumn id="14" xr3:uid="{0CCD5E23-792B-4A0D-8556-31CB4333D1B9}" name="法人／事業所数" totalsRowFunction="sum" totalsRowDxfId="694" dataCellStyle="桁区切り" totalsRowCellStyle="桁区切り"/>
    <tableColumn id="15" xr3:uid="{D5666F40-50D0-48B0-8AA4-47324E218AB6}" name="法人／構成比" dataDxfId="693"/>
    <tableColumn id="16" xr3:uid="{F7635AE7-873F-4D4D-8DD9-93923F6F95A5}" name="法人以外の団体／事業所数" totalsRowFunction="sum" totalsRowDxfId="692" dataCellStyle="桁区切り" totalsRowCellStyle="桁区切り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71EB1E58-BB01-417D-AA80-AFAA52AA51B4}" name="M_TABLE_01555" displayName="M_TABLE_01555" ref="B23:I48" totalsRowShown="0">
  <autoFilter ref="B23:I48" xr:uid="{71EB1E58-BB01-417D-AA80-AFAA52AA51B4}"/>
  <tableColumns count="8">
    <tableColumn id="9" xr3:uid="{031EC1FE-820A-4A6F-B5B4-E4BEC658D63B}" name="産業中分類上位２０"/>
    <tableColumn id="10" xr3:uid="{EAB76824-C6AE-4EA9-80F4-EBEDD4B94CCD}" name="総数／事業所数" dataCellStyle="桁区切り"/>
    <tableColumn id="11" xr3:uid="{ADC6100D-9450-4290-8166-B0EDE594B0AB}" name="総数／構成比" dataDxfId="691"/>
    <tableColumn id="12" xr3:uid="{5EB6FC09-FE9F-4F2F-AFC6-1FD4C60576D6}" name="個人／事業所数" dataCellStyle="桁区切り"/>
    <tableColumn id="13" xr3:uid="{F449B6B8-1E4D-4AAD-9A5B-1035A294F9FD}" name="個人／構成比" dataDxfId="690"/>
    <tableColumn id="14" xr3:uid="{8E1A8841-F1F1-495A-9E96-56ED8CBBA7E1}" name="法人／事業所数" dataCellStyle="桁区切り"/>
    <tableColumn id="15" xr3:uid="{87EA1118-280F-44FF-8D94-DF8EA50FB520}" name="法人／構成比" dataDxfId="689"/>
    <tableColumn id="16" xr3:uid="{257D14A9-9837-4D05-9B93-71E27541243E}" name="法人以外の団体／事業所数" dataCellStyle="桁区切り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7DD18CD-53BE-4BAC-997C-44ED11951EEF}" name="S_TABLE_01555" displayName="S_TABLE_01555" ref="B51:I74" totalsRowShown="0">
  <autoFilter ref="B51:I74" xr:uid="{07DD18CD-53BE-4BAC-997C-44ED11951EEF}"/>
  <tableColumns count="8">
    <tableColumn id="9" xr3:uid="{D8A30B05-2305-429C-BEF1-D979860E90D0}" name="産業小分類上位２０"/>
    <tableColumn id="10" xr3:uid="{6C00B628-DAF2-4467-84BD-A439CE40971E}" name="総数／事業所数" dataCellStyle="桁区切り"/>
    <tableColumn id="11" xr3:uid="{2B3B05EE-74C0-4419-B7A1-A4F9CDA12E1E}" name="総数／構成比" dataDxfId="688"/>
    <tableColumn id="12" xr3:uid="{72194518-A6F8-449E-AB24-C5C168271890}" name="個人／事業所数" dataCellStyle="桁区切り"/>
    <tableColumn id="13" xr3:uid="{C07E0EDF-362D-41A8-805E-65D1E6FBF184}" name="個人／構成比" dataDxfId="687"/>
    <tableColumn id="14" xr3:uid="{83D0D6C8-8BDD-414D-BAEE-79ABAD8D7EF3}" name="法人／事業所数" dataCellStyle="桁区切り"/>
    <tableColumn id="15" xr3:uid="{DD0EEB3F-E182-4777-8F9A-EFEA827F2563}" name="法人／構成比" dataDxfId="686"/>
    <tableColumn id="16" xr3:uid="{5FD86AA1-343D-4A36-88C2-3A669CE72C61}" name="法人以外の団体／事業所数" dataCellStyle="桁区切り"/>
  </tableColumns>
  <tableStyleInfo name="TableStyleMedium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DF09004-EC1B-4656-B755-E8CCB318F1DD}" name="LTBL_01559" displayName="LTBL_01559" ref="B4:I20" totalsRowCount="1">
  <autoFilter ref="B4:I19" xr:uid="{0DF09004-EC1B-4656-B755-E8CCB318F1DD}"/>
  <tableColumns count="8">
    <tableColumn id="9" xr3:uid="{A4118771-E810-4F35-B459-E10C1154C9F3}" name="産業大分類" totalsRowLabel="合計" totalsRowDxfId="685"/>
    <tableColumn id="10" xr3:uid="{79297337-F16D-46BC-953F-4706A321B329}" name="総数／事業所数" totalsRowFunction="custom" totalsRowDxfId="684" dataCellStyle="桁区切り" totalsRowCellStyle="桁区切り">
      <totalsRowFormula>SUM(LTBL_01559[総数／事業所数])</totalsRowFormula>
    </tableColumn>
    <tableColumn id="11" xr3:uid="{D81E41D1-A137-4234-9043-4A7424510986}" name="総数／構成比" dataDxfId="683"/>
    <tableColumn id="12" xr3:uid="{CF2C9511-51F6-4F76-81E8-632C5799C6EC}" name="個人／事業所数" totalsRowFunction="sum" totalsRowDxfId="682" dataCellStyle="桁区切り" totalsRowCellStyle="桁区切り"/>
    <tableColumn id="13" xr3:uid="{0FC8EA07-A466-4FEF-87CF-2F4065CDE8C9}" name="個人／構成比" dataDxfId="681"/>
    <tableColumn id="14" xr3:uid="{E1CBADB5-37D4-4C1C-A17C-47CF48CC23A6}" name="法人／事業所数" totalsRowFunction="sum" totalsRowDxfId="680" dataCellStyle="桁区切り" totalsRowCellStyle="桁区切り"/>
    <tableColumn id="15" xr3:uid="{6E223D68-B132-4BF6-B7B8-B6237D2127A6}" name="法人／構成比" dataDxfId="679"/>
    <tableColumn id="16" xr3:uid="{3815EACA-8B98-453C-B9BF-CCB6F7758892}" name="法人以外の団体／事業所数" totalsRowFunction="sum" totalsRowDxfId="678" dataCellStyle="桁区切り" totalsRowCellStyle="桁区切り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82E0EBF8-C1FE-4092-A08F-7BFF4B50E3C8}" name="M_TABLE_01559" displayName="M_TABLE_01559" ref="B23:I45" totalsRowShown="0">
  <autoFilter ref="B23:I45" xr:uid="{82E0EBF8-C1FE-4092-A08F-7BFF4B50E3C8}"/>
  <tableColumns count="8">
    <tableColumn id="9" xr3:uid="{5C73708D-BA10-4E37-A12B-005C3A533E51}" name="産業中分類上位２０"/>
    <tableColumn id="10" xr3:uid="{E508E74B-2CF8-4EAC-B8F3-9BD9C79D31D7}" name="総数／事業所数" dataCellStyle="桁区切り"/>
    <tableColumn id="11" xr3:uid="{6C40348C-F40A-49C0-8D75-9A3D42F27A9E}" name="総数／構成比" dataDxfId="677"/>
    <tableColumn id="12" xr3:uid="{319B2095-96E1-4696-872B-3D59BE82AB58}" name="個人／事業所数" dataCellStyle="桁区切り"/>
    <tableColumn id="13" xr3:uid="{DACE5765-F07F-4427-A803-747FE9FDCDCE}" name="個人／構成比" dataDxfId="676"/>
    <tableColumn id="14" xr3:uid="{7CC84F15-CF02-4DEC-A81B-683130085F17}" name="法人／事業所数" dataCellStyle="桁区切り"/>
    <tableColumn id="15" xr3:uid="{8D6DD8FF-1584-4965-9127-C2993031F704}" name="法人／構成比" dataDxfId="675"/>
    <tableColumn id="16" xr3:uid="{FF61E02B-AA35-428C-83EC-F6DC88893AF9}" name="法人以外の団体／事業所数" dataCellStyle="桁区切り"/>
  </tableColumns>
  <tableStyleInfo name="TableStyleMedium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33A198A3-D4B5-48F2-92D6-E9F6EAF8511F}" name="S_TABLE_01559" displayName="S_TABLE_01559" ref="B48:I68" totalsRowShown="0">
  <autoFilter ref="B48:I68" xr:uid="{33A198A3-D4B5-48F2-92D6-E9F6EAF8511F}"/>
  <tableColumns count="8">
    <tableColumn id="9" xr3:uid="{70AC7663-AA66-4D0C-B32D-060D881D0322}" name="産業小分類上位２０"/>
    <tableColumn id="10" xr3:uid="{ED78603E-6895-4148-8008-C08A12FC1D10}" name="総数／事業所数" dataCellStyle="桁区切り"/>
    <tableColumn id="11" xr3:uid="{EF3A07D9-6F43-4A75-8B2A-1F06683DD232}" name="総数／構成比" dataDxfId="674"/>
    <tableColumn id="12" xr3:uid="{D71DEF6E-71D6-4AFB-B30C-AF453AB9F72D}" name="個人／事業所数" dataCellStyle="桁区切り"/>
    <tableColumn id="13" xr3:uid="{88C47C40-21C7-4BAD-A903-C40FE7771082}" name="個人／構成比" dataDxfId="673"/>
    <tableColumn id="14" xr3:uid="{4F75A3C0-B9AA-4754-B70C-88CE95E2022C}" name="法人／事業所数" dataCellStyle="桁区切り"/>
    <tableColumn id="15" xr3:uid="{4ECD8F0E-2175-4AB4-B875-057592AAAD79}" name="法人／構成比" dataDxfId="672"/>
    <tableColumn id="16" xr3:uid="{51765F1A-345C-48D8-82C0-F823114DB241}" name="法人以外の団体／事業所数" dataCellStyle="桁区切り"/>
  </tableColumns>
  <tableStyleInfo name="TableStyleMedium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F4249F8F-563A-477D-B2C4-8C7C69171C1F}" name="LTBL_01560" displayName="LTBL_01560" ref="B4:I20" totalsRowCount="1">
  <autoFilter ref="B4:I19" xr:uid="{F4249F8F-563A-477D-B2C4-8C7C69171C1F}"/>
  <tableColumns count="8">
    <tableColumn id="9" xr3:uid="{906FAB4B-33EF-4363-B161-5B55EC39D790}" name="産業大分類" totalsRowLabel="合計" totalsRowDxfId="671"/>
    <tableColumn id="10" xr3:uid="{86932B69-BFC8-4DFD-9943-19D3034CFBF4}" name="総数／事業所数" totalsRowFunction="custom" totalsRowDxfId="670" dataCellStyle="桁区切り" totalsRowCellStyle="桁区切り">
      <totalsRowFormula>SUM(LTBL_01560[総数／事業所数])</totalsRowFormula>
    </tableColumn>
    <tableColumn id="11" xr3:uid="{A3EA0EAE-FD4D-472B-A668-A90990B6D278}" name="総数／構成比" dataDxfId="669"/>
    <tableColumn id="12" xr3:uid="{205646F9-45D1-448D-96CB-964D90165F05}" name="個人／事業所数" totalsRowFunction="sum" totalsRowDxfId="668" dataCellStyle="桁区切り" totalsRowCellStyle="桁区切り"/>
    <tableColumn id="13" xr3:uid="{F9C22405-8590-4105-8B2A-B28E591EC23B}" name="個人／構成比" dataDxfId="667"/>
    <tableColumn id="14" xr3:uid="{1F8AE944-26CA-4BDF-8A33-3A5817FC38C1}" name="法人／事業所数" totalsRowFunction="sum" totalsRowDxfId="666" dataCellStyle="桁区切り" totalsRowCellStyle="桁区切り"/>
    <tableColumn id="15" xr3:uid="{03F3D7D8-E174-4F0A-9456-03F309E0A1EE}" name="法人／構成比" dataDxfId="665"/>
    <tableColumn id="16" xr3:uid="{45CAB49F-D70E-474F-9CA5-F85224DAC636}" name="法人以外の団体／事業所数" totalsRowFunction="sum" totalsRowDxfId="664" dataCellStyle="桁区切り" totalsRowCellStyle="桁区切り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DF33459E-8CA9-490E-8C62-91036B3DC474}" name="M_TABLE_01560" displayName="M_TABLE_01560" ref="B23:I54" totalsRowShown="0">
  <autoFilter ref="B23:I54" xr:uid="{DF33459E-8CA9-490E-8C62-91036B3DC474}"/>
  <tableColumns count="8">
    <tableColumn id="9" xr3:uid="{0894A031-7BA9-4B79-B008-F19D8E9829EA}" name="産業中分類上位２０"/>
    <tableColumn id="10" xr3:uid="{DB9377DA-84CF-4334-9B29-FA99417EE81E}" name="総数／事業所数" dataCellStyle="桁区切り"/>
    <tableColumn id="11" xr3:uid="{8A5D8801-FFEF-46AC-86F5-5E0A1B45F8D2}" name="総数／構成比" dataDxfId="663"/>
    <tableColumn id="12" xr3:uid="{8FD4B3CF-BD07-43AD-AD3C-E1129E3C2B20}" name="個人／事業所数" dataCellStyle="桁区切り"/>
    <tableColumn id="13" xr3:uid="{F71DD438-30A1-4378-B497-2F74C58D1CBD}" name="個人／構成比" dataDxfId="662"/>
    <tableColumn id="14" xr3:uid="{13EDE0F2-52E3-43BC-9A70-26DD579C7033}" name="法人／事業所数" dataCellStyle="桁区切り"/>
    <tableColumn id="15" xr3:uid="{C6ED7D0B-4299-4780-B4D2-4B9CBA24D4B6}" name="法人／構成比" dataDxfId="661"/>
    <tableColumn id="16" xr3:uid="{D11DE7C9-3C24-4596-9623-0DF0F23F53B7}" name="法人以外の団体／事業所数" dataCellStyle="桁区切り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40D53DE8-3CF0-411E-AFED-B554C5C5C550}" name="S_TABLE_01560" displayName="S_TABLE_01560" ref="B57:I77" totalsRowShown="0">
  <autoFilter ref="B57:I77" xr:uid="{40D53DE8-3CF0-411E-AFED-B554C5C5C550}"/>
  <tableColumns count="8">
    <tableColumn id="9" xr3:uid="{10649681-2776-4BC4-A561-BE7C228F56A9}" name="産業小分類上位２０"/>
    <tableColumn id="10" xr3:uid="{76258047-90F2-4DEA-838C-B22F4E0DAA9E}" name="総数／事業所数" dataCellStyle="桁区切り"/>
    <tableColumn id="11" xr3:uid="{26610D49-DCA8-4904-BB45-3DD5F51D3FD8}" name="総数／構成比" dataDxfId="660"/>
    <tableColumn id="12" xr3:uid="{88967E0F-A735-4BD3-9D7A-9D189AF8F87D}" name="個人／事業所数" dataCellStyle="桁区切り"/>
    <tableColumn id="13" xr3:uid="{3ACE8E40-CF3F-4756-AA22-E24E99847DD7}" name="個人／構成比" dataDxfId="659"/>
    <tableColumn id="14" xr3:uid="{58ED3CDE-E142-434E-A463-568F84BE39EE}" name="法人／事業所数" dataCellStyle="桁区切り"/>
    <tableColumn id="15" xr3:uid="{5BECEF2A-0B20-44D8-94A6-541F48024ECA}" name="法人／構成比" dataDxfId="658"/>
    <tableColumn id="16" xr3:uid="{9C98A3CB-814E-4785-BBD1-64030D63714F}" name="法人以外の団体／事業所数" dataCellStyle="桁区切り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D79ECEF-720A-4646-AF7C-AA843E664C65}" name="LTBL_01204" displayName="LTBL_01204" ref="B4:I20" totalsRowCount="1">
  <autoFilter ref="B4:I19" xr:uid="{ED79ECEF-720A-4646-AF7C-AA843E664C65}"/>
  <tableColumns count="8">
    <tableColumn id="9" xr3:uid="{0AC26622-39F5-4C35-B3B8-44A1E2B22127}" name="産業大分類" totalsRowLabel="合計" totalsRowDxfId="2463"/>
    <tableColumn id="10" xr3:uid="{4E5F834D-652F-4427-85BD-4A98F389ED5B}" name="総数／事業所数" totalsRowFunction="custom" totalsRowDxfId="2462" dataCellStyle="桁区切り" totalsRowCellStyle="桁区切り">
      <totalsRowFormula>SUM(LTBL_01204[総数／事業所数])</totalsRowFormula>
    </tableColumn>
    <tableColumn id="11" xr3:uid="{553F9CB6-40F4-4630-9218-A65648738530}" name="総数／構成比" dataDxfId="2461"/>
    <tableColumn id="12" xr3:uid="{CEB01332-ED19-452F-B1DA-EC69C571DCE4}" name="個人／事業所数" totalsRowFunction="sum" totalsRowDxfId="2460" dataCellStyle="桁区切り" totalsRowCellStyle="桁区切り"/>
    <tableColumn id="13" xr3:uid="{B07FF79B-3DC9-4B1B-BD07-F530ECA82D52}" name="個人／構成比" dataDxfId="2459"/>
    <tableColumn id="14" xr3:uid="{82D9CA5D-8DA6-401F-814A-A9CF6AFA8C0B}" name="法人／事業所数" totalsRowFunction="sum" totalsRowDxfId="2458" dataCellStyle="桁区切り" totalsRowCellStyle="桁区切り"/>
    <tableColumn id="15" xr3:uid="{3B6B07A2-A3BE-4FC3-A806-0A778AB58944}" name="法人／構成比" dataDxfId="2457"/>
    <tableColumn id="16" xr3:uid="{25F92C07-A8EE-4894-B16E-6CCB0BC39CC2}" name="法人以外の団体／事業所数" totalsRowFunction="sum" totalsRowDxfId="2456" dataCellStyle="桁区切り" totalsRowCellStyle="桁区切り"/>
  </tableColumns>
  <tableStyleInfo name="TableStyleMedium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12D8B57A-E60D-4E15-8081-2366D6A25EB7}" name="LTBL_01561" displayName="LTBL_01561" ref="B4:I20" totalsRowCount="1">
  <autoFilter ref="B4:I19" xr:uid="{12D8B57A-E60D-4E15-8081-2366D6A25EB7}"/>
  <tableColumns count="8">
    <tableColumn id="9" xr3:uid="{8102D7E5-0EA9-45F2-B655-116D801E44B8}" name="産業大分類" totalsRowLabel="合計" totalsRowDxfId="657"/>
    <tableColumn id="10" xr3:uid="{0A96BBDF-8511-4B5B-B9E7-95C0FA42E0CE}" name="総数／事業所数" totalsRowFunction="custom" totalsRowDxfId="656" dataCellStyle="桁区切り" totalsRowCellStyle="桁区切り">
      <totalsRowFormula>SUM(LTBL_01561[総数／事業所数])</totalsRowFormula>
    </tableColumn>
    <tableColumn id="11" xr3:uid="{6CCF2074-2AE3-47B3-9E34-B26005114EAA}" name="総数／構成比" dataDxfId="655"/>
    <tableColumn id="12" xr3:uid="{756DEDD9-1C0A-453D-8ADB-4A297CD0FDBE}" name="個人／事業所数" totalsRowFunction="sum" totalsRowDxfId="654" dataCellStyle="桁区切り" totalsRowCellStyle="桁区切り"/>
    <tableColumn id="13" xr3:uid="{E365AC49-EC51-4A98-958C-54EB03BD7702}" name="個人／構成比" dataDxfId="653"/>
    <tableColumn id="14" xr3:uid="{4CB6DD9A-4AD2-4D0B-98AC-E8E834B6B1E8}" name="法人／事業所数" totalsRowFunction="sum" totalsRowDxfId="652" dataCellStyle="桁区切り" totalsRowCellStyle="桁区切り"/>
    <tableColumn id="15" xr3:uid="{BC89320D-1858-49DB-B2F6-FA887A37C057}" name="法人／構成比" dataDxfId="651"/>
    <tableColumn id="16" xr3:uid="{796BE174-8CCA-4594-B99F-18CCD1A99A21}" name="法人以外の団体／事業所数" totalsRowFunction="sum" totalsRowDxfId="650" dataCellStyle="桁区切り" totalsRowCellStyle="桁区切り"/>
  </tableColumns>
  <tableStyleInfo name="TableStyleMedium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53552CD7-6B5E-4338-BA13-3CF02D558A28}" name="M_TABLE_01561" displayName="M_TABLE_01561" ref="B23:I56" totalsRowShown="0">
  <autoFilter ref="B23:I56" xr:uid="{53552CD7-6B5E-4338-BA13-3CF02D558A28}"/>
  <tableColumns count="8">
    <tableColumn id="9" xr3:uid="{F6A6DDE5-01A0-49F5-A1CB-955421BB99CF}" name="産業中分類上位２０"/>
    <tableColumn id="10" xr3:uid="{A3CE440D-D984-476A-8380-67971C647B3C}" name="総数／事業所数" dataCellStyle="桁区切り"/>
    <tableColumn id="11" xr3:uid="{678CCE6C-97A1-4DEC-B836-81B0EAFE777B}" name="総数／構成比" dataDxfId="649"/>
    <tableColumn id="12" xr3:uid="{F866750B-5842-4CDD-8884-2C296A66BCA9}" name="個人／事業所数" dataCellStyle="桁区切り"/>
    <tableColumn id="13" xr3:uid="{7BC7A28A-DA51-4A64-9F78-AD93441E315A}" name="個人／構成比" dataDxfId="648"/>
    <tableColumn id="14" xr3:uid="{F8CEE2CF-2618-4B40-B5BB-2650F8693AA9}" name="法人／事業所数" dataCellStyle="桁区切り"/>
    <tableColumn id="15" xr3:uid="{7022BF09-33C1-49CA-83EA-292890496021}" name="法人／構成比" dataDxfId="647"/>
    <tableColumn id="16" xr3:uid="{4E04BE96-DC81-47D8-AE92-7BB1A6D68132}" name="法人以外の団体／事業所数" dataCellStyle="桁区切り"/>
  </tableColumns>
  <tableStyleInfo name="TableStyleMedium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40617C29-D4CC-4550-B316-B204DBE32730}" name="S_TABLE_01561" displayName="S_TABLE_01561" ref="B59:I80" totalsRowShown="0">
  <autoFilter ref="B59:I80" xr:uid="{40617C29-D4CC-4550-B316-B204DBE32730}"/>
  <tableColumns count="8">
    <tableColumn id="9" xr3:uid="{B73D4415-ABC4-49B7-A3F2-6D14C6CA83C7}" name="産業小分類上位２０"/>
    <tableColumn id="10" xr3:uid="{434FA304-9E26-491B-9552-4E84B644129F}" name="総数／事業所数" dataCellStyle="桁区切り"/>
    <tableColumn id="11" xr3:uid="{84B64EDA-F975-4129-AA07-FA088D6ABD0B}" name="総数／構成比" dataDxfId="646"/>
    <tableColumn id="12" xr3:uid="{0821FB30-2C27-4A95-8A78-D76C01750ACD}" name="個人／事業所数" dataCellStyle="桁区切り"/>
    <tableColumn id="13" xr3:uid="{6DF51983-A1A4-4A0A-BF9A-94966227208F}" name="個人／構成比" dataDxfId="645"/>
    <tableColumn id="14" xr3:uid="{A3508DD5-F847-47D0-AF4E-FAA86DB4358E}" name="法人／事業所数" dataCellStyle="桁区切り"/>
    <tableColumn id="15" xr3:uid="{A9B11ECB-84FA-494F-8B67-71095BD1F86D}" name="法人／構成比" dataDxfId="644"/>
    <tableColumn id="16" xr3:uid="{247B7038-3515-48E8-8845-DEC54937D80C}" name="法人以外の団体／事業所数" dataCellStyle="桁区切り"/>
  </tableColumns>
  <tableStyleInfo name="TableStyleMedium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214E75FB-2C22-4978-8D3E-2588466A753D}" name="LTBL_01562" displayName="LTBL_01562" ref="B4:I20" totalsRowCount="1">
  <autoFilter ref="B4:I19" xr:uid="{214E75FB-2C22-4978-8D3E-2588466A753D}"/>
  <tableColumns count="8">
    <tableColumn id="9" xr3:uid="{0D0CE39C-9C0F-45D6-9E07-EFBFB3B696BA}" name="産業大分類" totalsRowLabel="合計" totalsRowDxfId="643"/>
    <tableColumn id="10" xr3:uid="{148AEE3A-C373-49E7-9C01-35D278B400F0}" name="総数／事業所数" totalsRowFunction="custom" totalsRowDxfId="642" dataCellStyle="桁区切り" totalsRowCellStyle="桁区切り">
      <totalsRowFormula>SUM(LTBL_01562[総数／事業所数])</totalsRowFormula>
    </tableColumn>
    <tableColumn id="11" xr3:uid="{188E9D5D-84DA-4CBE-9336-DAFFD42B8410}" name="総数／構成比" dataDxfId="641"/>
    <tableColumn id="12" xr3:uid="{B4488519-095F-48DB-BA66-E5F339BF6EBB}" name="個人／事業所数" totalsRowFunction="sum" totalsRowDxfId="640" dataCellStyle="桁区切り" totalsRowCellStyle="桁区切り"/>
    <tableColumn id="13" xr3:uid="{DBE842CC-3955-4921-8822-124238E71B5C}" name="個人／構成比" dataDxfId="639"/>
    <tableColumn id="14" xr3:uid="{4E7BB2E7-E6E4-4695-A0EC-AF561A59AFF0}" name="法人／事業所数" totalsRowFunction="sum" totalsRowDxfId="638" dataCellStyle="桁区切り" totalsRowCellStyle="桁区切り"/>
    <tableColumn id="15" xr3:uid="{AA2DF900-BB09-4496-885B-22F119C8F8A7}" name="法人／構成比" dataDxfId="637"/>
    <tableColumn id="16" xr3:uid="{BBFEF061-607F-4CA9-9E24-A423BEB4BC26}" name="法人以外の団体／事業所数" totalsRowFunction="sum" totalsRowDxfId="636" dataCellStyle="桁区切り" totalsRowCellStyle="桁区切り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3CFF6D15-6A63-41C6-8C71-F64A958453EA}" name="M_TABLE_01562" displayName="M_TABLE_01562" ref="B23:I47" totalsRowShown="0">
  <autoFilter ref="B23:I47" xr:uid="{3CFF6D15-6A63-41C6-8C71-F64A958453EA}"/>
  <tableColumns count="8">
    <tableColumn id="9" xr3:uid="{79558A2F-89F3-4ED4-A735-86FC0DA18DDF}" name="産業中分類上位２０"/>
    <tableColumn id="10" xr3:uid="{CFA68586-9A3D-4309-AE16-2834753ED2FB}" name="総数／事業所数" dataCellStyle="桁区切り"/>
    <tableColumn id="11" xr3:uid="{95D0B028-8D1E-4D85-83A4-C574DF3D26F1}" name="総数／構成比" dataDxfId="635"/>
    <tableColumn id="12" xr3:uid="{B712D55A-1DA6-44CE-94D8-4747F469F562}" name="個人／事業所数" dataCellStyle="桁区切り"/>
    <tableColumn id="13" xr3:uid="{976DBA36-848C-425A-B80F-9665CBFAD025}" name="個人／構成比" dataDxfId="634"/>
    <tableColumn id="14" xr3:uid="{284A99EC-898B-4287-8C3F-38963101826E}" name="法人／事業所数" dataCellStyle="桁区切り"/>
    <tableColumn id="15" xr3:uid="{C4CB07A5-C86B-43F3-86CA-D6F53F6340AC}" name="法人／構成比" dataDxfId="633"/>
    <tableColumn id="16" xr3:uid="{1F289B46-9902-4D2C-8832-E339C4569F12}" name="法人以外の団体／事業所数" dataCellStyle="桁区切り"/>
  </tableColumns>
  <tableStyleInfo name="TableStyleMedium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6EE3D0D5-7E42-410D-8F54-D4E9A7205F90}" name="S_TABLE_01562" displayName="S_TABLE_01562" ref="B50:I81" totalsRowShown="0">
  <autoFilter ref="B50:I81" xr:uid="{6EE3D0D5-7E42-410D-8F54-D4E9A7205F90}"/>
  <tableColumns count="8">
    <tableColumn id="9" xr3:uid="{B4583596-45D4-4AF3-967E-FD33DA0B5A77}" name="産業小分類上位２０"/>
    <tableColumn id="10" xr3:uid="{48058A83-FEC1-44C1-A326-8D6B14B1C8CB}" name="総数／事業所数" dataCellStyle="桁区切り"/>
    <tableColumn id="11" xr3:uid="{DA9C3DB8-D534-418E-A4F7-8C140A75E911}" name="総数／構成比" dataDxfId="632"/>
    <tableColumn id="12" xr3:uid="{7397216D-00C5-4CF6-9A1C-ABD84909277D}" name="個人／事業所数" dataCellStyle="桁区切り"/>
    <tableColumn id="13" xr3:uid="{D39792F9-3F44-4554-B286-44BE976741C0}" name="個人／構成比" dataDxfId="631"/>
    <tableColumn id="14" xr3:uid="{CD2A58D1-1776-4DC5-BF97-BF622444AB92}" name="法人／事業所数" dataCellStyle="桁区切り"/>
    <tableColumn id="15" xr3:uid="{7AD01A37-FAA5-443E-8ED7-90076A033D1C}" name="法人／構成比" dataDxfId="630"/>
    <tableColumn id="16" xr3:uid="{66EA5C35-E12C-4F93-8D93-99BE531F096F}" name="法人以外の団体／事業所数" dataCellStyle="桁区切り"/>
  </tableColumns>
  <tableStyleInfo name="TableStyleMedium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47E40379-8BD3-44AB-AF9A-4841E20B7B38}" name="LTBL_01563" displayName="LTBL_01563" ref="B4:I20" totalsRowCount="1">
  <autoFilter ref="B4:I19" xr:uid="{47E40379-8BD3-44AB-AF9A-4841E20B7B38}"/>
  <tableColumns count="8">
    <tableColumn id="9" xr3:uid="{542AA11F-722F-4AC0-9873-83DC0B353768}" name="産業大分類" totalsRowLabel="合計" totalsRowDxfId="629"/>
    <tableColumn id="10" xr3:uid="{A9AA838F-1E16-4C64-8CFC-0B04ADDD5053}" name="総数／事業所数" totalsRowFunction="custom" totalsRowDxfId="628" dataCellStyle="桁区切り" totalsRowCellStyle="桁区切り">
      <totalsRowFormula>SUM(LTBL_01563[総数／事業所数])</totalsRowFormula>
    </tableColumn>
    <tableColumn id="11" xr3:uid="{61C21D3C-059B-442C-A264-52FC1F741370}" name="総数／構成比" dataDxfId="627"/>
    <tableColumn id="12" xr3:uid="{678215B4-45F0-46E0-AD0C-099AA11D1DC5}" name="個人／事業所数" totalsRowFunction="sum" totalsRowDxfId="626" dataCellStyle="桁区切り" totalsRowCellStyle="桁区切り"/>
    <tableColumn id="13" xr3:uid="{116AAB15-1DF4-49DA-9F3B-05BEB677A2DC}" name="個人／構成比" dataDxfId="625"/>
    <tableColumn id="14" xr3:uid="{DC3C70C5-0D61-498F-A38E-C2A018EE9CD7}" name="法人／事業所数" totalsRowFunction="sum" totalsRowDxfId="624" dataCellStyle="桁区切り" totalsRowCellStyle="桁区切り"/>
    <tableColumn id="15" xr3:uid="{7614C71E-EF78-4028-8075-B3FD0ED05924}" name="法人／構成比" dataDxfId="623"/>
    <tableColumn id="16" xr3:uid="{422B1D54-C350-413D-B391-EFACB8379C11}" name="法人以外の団体／事業所数" totalsRowFunction="sum" totalsRowDxfId="622" dataCellStyle="桁区切り" totalsRowCellStyle="桁区切り"/>
  </tableColumns>
  <tableStyleInfo name="TableStyleMedium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B67F50CA-EB98-471A-83FA-8AC7E30D1864}" name="M_TABLE_01563" displayName="M_TABLE_01563" ref="B23:I58" totalsRowShown="0">
  <autoFilter ref="B23:I58" xr:uid="{B67F50CA-EB98-471A-83FA-8AC7E30D1864}"/>
  <tableColumns count="8">
    <tableColumn id="9" xr3:uid="{666053BC-FD0C-4DD4-B616-B8182F00D5E2}" name="産業中分類上位２０"/>
    <tableColumn id="10" xr3:uid="{3D420229-4653-4AF9-B9F0-C33A7BF5E22E}" name="総数／事業所数" dataCellStyle="桁区切り"/>
    <tableColumn id="11" xr3:uid="{1CDC90A9-56CC-4D95-B461-D053BEEC50CA}" name="総数／構成比" dataDxfId="621"/>
    <tableColumn id="12" xr3:uid="{71A1BB20-823A-46D8-A454-606E75C1256D}" name="個人／事業所数" dataCellStyle="桁区切り"/>
    <tableColumn id="13" xr3:uid="{1C79654D-DE44-459B-B0BC-A359808E9859}" name="個人／構成比" dataDxfId="620"/>
    <tableColumn id="14" xr3:uid="{7FF7EEE7-D0D7-4C67-9473-91E546F96311}" name="法人／事業所数" dataCellStyle="桁区切り"/>
    <tableColumn id="15" xr3:uid="{3FB8CE66-D0CE-49D6-AB80-9E1473C1D831}" name="法人／構成比" dataDxfId="619"/>
    <tableColumn id="16" xr3:uid="{E37E50C8-77BD-449A-B45D-2C04114918D9}" name="法人以外の団体／事業所数" dataCellStyle="桁区切り"/>
  </tableColumns>
  <tableStyleInfo name="TableStyleMedium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13BF9E34-1178-42FD-A006-71B42D374D19}" name="S_TABLE_01563" displayName="S_TABLE_01563" ref="B61:I87" totalsRowShown="0">
  <autoFilter ref="B61:I87" xr:uid="{13BF9E34-1178-42FD-A006-71B42D374D19}"/>
  <tableColumns count="8">
    <tableColumn id="9" xr3:uid="{27137C32-0BF9-40BD-8565-CA8103549096}" name="産業小分類上位２０"/>
    <tableColumn id="10" xr3:uid="{88D30E5D-BD4E-454C-AB36-8CF9E1F03098}" name="総数／事業所数" dataCellStyle="桁区切り"/>
    <tableColumn id="11" xr3:uid="{96ADFDA5-CA35-4C9F-9AE6-1C7C9B438B42}" name="総数／構成比" dataDxfId="618"/>
    <tableColumn id="12" xr3:uid="{EFFAE9BB-2C33-4395-88F4-F3A45393150B}" name="個人／事業所数" dataCellStyle="桁区切り"/>
    <tableColumn id="13" xr3:uid="{25B54744-00FE-4105-9F89-7633D2DFEA82}" name="個人／構成比" dataDxfId="617"/>
    <tableColumn id="14" xr3:uid="{515FCB3D-696F-45A6-88BD-0D298DF62D66}" name="法人／事業所数" dataCellStyle="桁区切り"/>
    <tableColumn id="15" xr3:uid="{1468A525-93F4-4D84-9D7F-813ACA204335}" name="法人／構成比" dataDxfId="616"/>
    <tableColumn id="16" xr3:uid="{75C696ED-CF82-487B-811A-27FB55ADE549}" name="法人以外の団体／事業所数" dataCellStyle="桁区切り"/>
  </tableColumns>
  <tableStyleInfo name="TableStyleMedium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C21D033B-6EEC-4BF9-90EE-E5F749879BA2}" name="LTBL_01564" displayName="LTBL_01564" ref="B4:I20" totalsRowCount="1">
  <autoFilter ref="B4:I19" xr:uid="{C21D033B-6EEC-4BF9-90EE-E5F749879BA2}"/>
  <tableColumns count="8">
    <tableColumn id="9" xr3:uid="{24B3635C-5FDA-47FF-B499-1534167827FE}" name="産業大分類" totalsRowLabel="合計" totalsRowDxfId="615"/>
    <tableColumn id="10" xr3:uid="{43B98E64-2C53-4417-B12B-3145F86F4083}" name="総数／事業所数" totalsRowFunction="custom" totalsRowDxfId="614" dataCellStyle="桁区切り" totalsRowCellStyle="桁区切り">
      <totalsRowFormula>SUM(LTBL_01564[総数／事業所数])</totalsRowFormula>
    </tableColumn>
    <tableColumn id="11" xr3:uid="{7975E352-DA1F-4FF3-9720-1B1160C12FD6}" name="総数／構成比" dataDxfId="613"/>
    <tableColumn id="12" xr3:uid="{9C6CC63B-E1ED-432B-914F-FEC44CCCAC05}" name="個人／事業所数" totalsRowFunction="sum" totalsRowDxfId="612" dataCellStyle="桁区切り" totalsRowCellStyle="桁区切り"/>
    <tableColumn id="13" xr3:uid="{C6E5380F-9B7D-4E3E-BF6B-ECBB21555EA8}" name="個人／構成比" dataDxfId="611"/>
    <tableColumn id="14" xr3:uid="{9D8D0762-D897-4E16-BFD3-2E3F0209EF5A}" name="法人／事業所数" totalsRowFunction="sum" totalsRowDxfId="610" dataCellStyle="桁区切り" totalsRowCellStyle="桁区切り"/>
    <tableColumn id="15" xr3:uid="{61438ACE-DBD4-4D4E-B5F2-01EF020FF37F}" name="法人／構成比" dataDxfId="609"/>
    <tableColumn id="16" xr3:uid="{B285BCC6-230D-478B-B87C-476ADB19827C}" name="法人以外の団体／事業所数" totalsRowFunction="sum" totalsRowDxfId="608" dataCellStyle="桁区切り" totalsRowCellStyle="桁区切り"/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779DE143-86E9-4B87-9917-E9DE753AE18E}" name="M_TABLE_01204" displayName="M_TABLE_01204" ref="B23:I43" totalsRowShown="0">
  <autoFilter ref="B23:I43" xr:uid="{779DE143-86E9-4B87-9917-E9DE753AE18E}"/>
  <tableColumns count="8">
    <tableColumn id="9" xr3:uid="{8F18D6F4-8AF4-46CC-A666-C35EE27FFA93}" name="産業中分類上位２０"/>
    <tableColumn id="10" xr3:uid="{CE89CEF0-B4C9-40A9-94E4-EF3B7AF66030}" name="総数／事業所数" dataCellStyle="桁区切り"/>
    <tableColumn id="11" xr3:uid="{B7D3A3C7-F7A3-40B1-B8E5-2B606FF395D9}" name="総数／構成比" dataDxfId="2455"/>
    <tableColumn id="12" xr3:uid="{5FE0ED5B-A5DA-4050-82D2-5FA61FE25AD1}" name="個人／事業所数" dataCellStyle="桁区切り"/>
    <tableColumn id="13" xr3:uid="{F3E5E4CB-4B0C-4E98-86D1-A5C536CE5A82}" name="個人／構成比" dataDxfId="2454"/>
    <tableColumn id="14" xr3:uid="{66BCC3B5-0902-4DDD-B555-056135EDD906}" name="法人／事業所数" dataCellStyle="桁区切り"/>
    <tableColumn id="15" xr3:uid="{C10EC884-11F5-4DF2-BAA6-556DD359A2F2}" name="法人／構成比" dataDxfId="2453"/>
    <tableColumn id="16" xr3:uid="{D67BF4C2-276B-4B68-B818-4CD6E3C0B19A}" name="法人以外の団体／事業所数" dataCellStyle="桁区切り"/>
  </tableColumns>
  <tableStyleInfo name="TableStyleMedium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E77C9EE0-3359-4F83-8507-13F8A7D5740E}" name="M_TABLE_01564" displayName="M_TABLE_01564" ref="B23:I43" totalsRowShown="0">
  <autoFilter ref="B23:I43" xr:uid="{E77C9EE0-3359-4F83-8507-13F8A7D5740E}"/>
  <tableColumns count="8">
    <tableColumn id="9" xr3:uid="{9C55CAED-4437-474E-8B77-8E48A2E72EF7}" name="産業中分類上位２０"/>
    <tableColumn id="10" xr3:uid="{BAD9D655-23B0-4781-8E0A-864AC38E114F}" name="総数／事業所数" dataCellStyle="桁区切り"/>
    <tableColumn id="11" xr3:uid="{4CBAAC61-BDE4-4343-9CAE-8C0383EF1BB6}" name="総数／構成比" dataDxfId="607"/>
    <tableColumn id="12" xr3:uid="{22DB6F1A-886F-4CBC-93E6-D1F2E97932F3}" name="個人／事業所数" dataCellStyle="桁区切り"/>
    <tableColumn id="13" xr3:uid="{3E9DA178-B1C3-4979-A610-14F9F2EBA3A3}" name="個人／構成比" dataDxfId="606"/>
    <tableColumn id="14" xr3:uid="{9CCA3D06-A747-48B3-9704-4B4077397AAD}" name="法人／事業所数" dataCellStyle="桁区切り"/>
    <tableColumn id="15" xr3:uid="{45B4034D-AB44-4B15-9C79-E940E851115C}" name="法人／構成比" dataDxfId="605"/>
    <tableColumn id="16" xr3:uid="{2C9F7DAF-D785-4F2F-A392-5099EC76590E}" name="法人以外の団体／事業所数" dataCellStyle="桁区切り"/>
  </tableColumns>
  <tableStyleInfo name="TableStyleMedium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E41938D4-EE93-4077-8057-2233464D69B1}" name="S_TABLE_01564" displayName="S_TABLE_01564" ref="B46:I85" totalsRowShown="0">
  <autoFilter ref="B46:I85" xr:uid="{E41938D4-EE93-4077-8057-2233464D69B1}"/>
  <tableColumns count="8">
    <tableColumn id="9" xr3:uid="{2175F661-B963-4E00-8051-34A7CB3BBAFF}" name="産業小分類上位２０"/>
    <tableColumn id="10" xr3:uid="{E0C323B2-B86C-4797-87E1-7CEDC4837694}" name="総数／事業所数" dataCellStyle="桁区切り"/>
    <tableColumn id="11" xr3:uid="{51E26406-9BBC-466B-A0C9-68728E0782B7}" name="総数／構成比" dataDxfId="604"/>
    <tableColumn id="12" xr3:uid="{AC3A3DC9-8608-4482-B1EA-70F9E04042C8}" name="個人／事業所数" dataCellStyle="桁区切り"/>
    <tableColumn id="13" xr3:uid="{061229F2-C390-4FE8-803F-DB5F7265D6E5}" name="個人／構成比" dataDxfId="603"/>
    <tableColumn id="14" xr3:uid="{669406F2-1C2B-4561-8286-904869C81814}" name="法人／事業所数" dataCellStyle="桁区切り"/>
    <tableColumn id="15" xr3:uid="{92A4E2C0-9FB7-4C29-89A2-A809EAB0088A}" name="法人／構成比" dataDxfId="602"/>
    <tableColumn id="16" xr3:uid="{EDAD6E18-5775-4B2B-A859-32A5592EE9BD}" name="法人以外の団体／事業所数" dataCellStyle="桁区切り"/>
  </tableColumns>
  <tableStyleInfo name="TableStyleMedium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265BE554-2A29-4515-8F52-659630C422CD}" name="LTBL_01571" displayName="LTBL_01571" ref="B4:I20" totalsRowCount="1">
  <autoFilter ref="B4:I19" xr:uid="{265BE554-2A29-4515-8F52-659630C422CD}"/>
  <tableColumns count="8">
    <tableColumn id="9" xr3:uid="{8B36A0E8-DF1E-49EE-A8BD-B708859D7498}" name="産業大分類" totalsRowLabel="合計" totalsRowDxfId="601"/>
    <tableColumn id="10" xr3:uid="{24B42639-576E-4727-9C86-A7E3C8C0C5DD}" name="総数／事業所数" totalsRowFunction="custom" totalsRowDxfId="600" dataCellStyle="桁区切り" totalsRowCellStyle="桁区切り">
      <totalsRowFormula>SUM(LTBL_01571[総数／事業所数])</totalsRowFormula>
    </tableColumn>
    <tableColumn id="11" xr3:uid="{A66465C9-17C6-4AF6-A650-2320CD084D6D}" name="総数／構成比" dataDxfId="599"/>
    <tableColumn id="12" xr3:uid="{D7867ADB-2349-4193-BA62-AEF15C28306D}" name="個人／事業所数" totalsRowFunction="sum" totalsRowDxfId="598" dataCellStyle="桁区切り" totalsRowCellStyle="桁区切り"/>
    <tableColumn id="13" xr3:uid="{82F3E3FE-A899-44CF-B48D-69B894454697}" name="個人／構成比" dataDxfId="597"/>
    <tableColumn id="14" xr3:uid="{0C62C7AD-9BFF-418E-BAAA-943F313C1609}" name="法人／事業所数" totalsRowFunction="sum" totalsRowDxfId="596" dataCellStyle="桁区切り" totalsRowCellStyle="桁区切り"/>
    <tableColumn id="15" xr3:uid="{85FE7E1C-49FC-4111-9C44-6C01477926F0}" name="法人／構成比" dataDxfId="595"/>
    <tableColumn id="16" xr3:uid="{6F4B70A4-19CF-439F-ACE0-6874FA624039}" name="法人以外の団体／事業所数" totalsRowFunction="sum" totalsRowDxfId="594" dataCellStyle="桁区切り" totalsRowCellStyle="桁区切り"/>
  </tableColumns>
  <tableStyleInfo name="TableStyleMedium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AF87006D-5AF9-438D-96A9-970706746AA8}" name="M_TABLE_01571" displayName="M_TABLE_01571" ref="B23:I46" totalsRowShown="0">
  <autoFilter ref="B23:I46" xr:uid="{AF87006D-5AF9-438D-96A9-970706746AA8}"/>
  <tableColumns count="8">
    <tableColumn id="9" xr3:uid="{9EE8D873-94F3-4CA5-AF3B-72DB3C5C4C11}" name="産業中分類上位２０"/>
    <tableColumn id="10" xr3:uid="{2BA4BDC6-0034-4CA6-AD65-5238FEE569DA}" name="総数／事業所数" dataCellStyle="桁区切り"/>
    <tableColumn id="11" xr3:uid="{E605A85C-6B9E-432A-AF57-43A2ED086201}" name="総数／構成比" dataDxfId="593"/>
    <tableColumn id="12" xr3:uid="{CAEBEA39-FD6E-4B8D-9690-DEAD7B76E6FC}" name="個人／事業所数" dataCellStyle="桁区切り"/>
    <tableColumn id="13" xr3:uid="{C13CA126-3F8B-4FE7-BA98-70271D13D6D2}" name="個人／構成比" dataDxfId="592"/>
    <tableColumn id="14" xr3:uid="{26389F58-7C70-40DD-8933-D0479B02DD74}" name="法人／事業所数" dataCellStyle="桁区切り"/>
    <tableColumn id="15" xr3:uid="{26208731-7929-4119-8094-03ECC0FD1521}" name="法人／構成比" dataDxfId="591"/>
    <tableColumn id="16" xr3:uid="{7EB5389F-259F-424B-8B9B-4A5A20370F7E}" name="法人以外の団体／事業所数" dataCellStyle="桁区切り"/>
  </tableColumns>
  <tableStyleInfo name="TableStyleMedium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F1BB2E3E-6A5B-47BA-9B1E-055E45FDB69A}" name="S_TABLE_01571" displayName="S_TABLE_01571" ref="B49:I75" totalsRowShown="0">
  <autoFilter ref="B49:I75" xr:uid="{F1BB2E3E-6A5B-47BA-9B1E-055E45FDB69A}"/>
  <tableColumns count="8">
    <tableColumn id="9" xr3:uid="{8BB10F25-C92B-464F-819C-87C690C29D19}" name="産業小分類上位２０"/>
    <tableColumn id="10" xr3:uid="{263D7E55-80B9-4146-A3D8-EF46C35B3897}" name="総数／事業所数" dataCellStyle="桁区切り"/>
    <tableColumn id="11" xr3:uid="{4010778E-6984-41B6-A0B8-98B6F4743E80}" name="総数／構成比" dataDxfId="590"/>
    <tableColumn id="12" xr3:uid="{04F5F633-7B4B-4959-97BF-8C47ADAA2F44}" name="個人／事業所数" dataCellStyle="桁区切り"/>
    <tableColumn id="13" xr3:uid="{835014FE-A085-4DBB-8125-8620041A8C18}" name="個人／構成比" dataDxfId="589"/>
    <tableColumn id="14" xr3:uid="{CCDE12C3-1B19-4419-80A9-75ED81B86AA4}" name="法人／事業所数" dataCellStyle="桁区切り"/>
    <tableColumn id="15" xr3:uid="{640523D2-D377-4213-9939-6B67F264960A}" name="法人／構成比" dataDxfId="588"/>
    <tableColumn id="16" xr3:uid="{96764752-42EA-4D62-8000-D12115844313}" name="法人以外の団体／事業所数" dataCellStyle="桁区切り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D630A985-3003-43C6-A495-8F0CF2A97907}" name="LTBL_01575" displayName="LTBL_01575" ref="B4:I20" totalsRowCount="1">
  <autoFilter ref="B4:I19" xr:uid="{D630A985-3003-43C6-A495-8F0CF2A97907}"/>
  <tableColumns count="8">
    <tableColumn id="9" xr3:uid="{24202C25-A430-4CDE-A85C-E7AB78323942}" name="産業大分類" totalsRowLabel="合計" totalsRowDxfId="587"/>
    <tableColumn id="10" xr3:uid="{25970E99-810E-4D85-88DE-59DC07F5E8A9}" name="総数／事業所数" totalsRowFunction="custom" totalsRowDxfId="586" dataCellStyle="桁区切り" totalsRowCellStyle="桁区切り">
      <totalsRowFormula>SUM(LTBL_01575[総数／事業所数])</totalsRowFormula>
    </tableColumn>
    <tableColumn id="11" xr3:uid="{200AD4ED-B6A8-436C-9820-21C14956F7AD}" name="総数／構成比" dataDxfId="585"/>
    <tableColumn id="12" xr3:uid="{8732F547-18DE-432B-A56C-BE82046148AD}" name="個人／事業所数" totalsRowFunction="sum" totalsRowDxfId="584" dataCellStyle="桁区切り" totalsRowCellStyle="桁区切り"/>
    <tableColumn id="13" xr3:uid="{8764D605-7A62-4340-8362-58A7E9901BD4}" name="個人／構成比" dataDxfId="583"/>
    <tableColumn id="14" xr3:uid="{BFAEB9C8-E6E1-48BA-AA97-CB123ECECCF2}" name="法人／事業所数" totalsRowFunction="sum" totalsRowDxfId="582" dataCellStyle="桁区切り" totalsRowCellStyle="桁区切り"/>
    <tableColumn id="15" xr3:uid="{4F147E2F-F225-40E7-B0D6-7F626DCFFB9C}" name="法人／構成比" dataDxfId="581"/>
    <tableColumn id="16" xr3:uid="{9EDD9BCC-D4F1-41DC-A57E-E368C0C1B4BA}" name="法人以外の団体／事業所数" totalsRowFunction="sum" totalsRowDxfId="580" dataCellStyle="桁区切り" totalsRowCellStyle="桁区切り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C3428B50-1C15-4EE1-9629-C265DDD5736E}" name="M_TABLE_01575" displayName="M_TABLE_01575" ref="B23:I55" totalsRowShown="0">
  <autoFilter ref="B23:I55" xr:uid="{C3428B50-1C15-4EE1-9629-C265DDD5736E}"/>
  <tableColumns count="8">
    <tableColumn id="9" xr3:uid="{F4416731-7ED6-4921-B5D2-8258400FC570}" name="産業中分類上位２０"/>
    <tableColumn id="10" xr3:uid="{4712B0BC-D12A-4F4D-8C56-6D41D133EE3E}" name="総数／事業所数" dataCellStyle="桁区切り"/>
    <tableColumn id="11" xr3:uid="{4E601DC1-14CA-4963-BF95-51C5B6D3CD94}" name="総数／構成比" dataDxfId="579"/>
    <tableColumn id="12" xr3:uid="{9DBACFE4-34DF-46A1-A247-C331A05BA376}" name="個人／事業所数" dataCellStyle="桁区切り"/>
    <tableColumn id="13" xr3:uid="{32E6B6C0-03EA-479F-8AF0-A4F3A93AA47B}" name="個人／構成比" dataDxfId="578"/>
    <tableColumn id="14" xr3:uid="{D3A76097-32AB-4954-9063-A3A9F42C8884}" name="法人／事業所数" dataCellStyle="桁区切り"/>
    <tableColumn id="15" xr3:uid="{7285BA8A-EC9E-457B-89BC-28953E60199E}" name="法人／構成比" dataDxfId="577"/>
    <tableColumn id="16" xr3:uid="{78F664AE-9554-41CB-910B-DADDA4FF26FB}" name="法人以外の団体／事業所数" dataCellStyle="桁区切り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3DA7E36C-741F-44A9-88C9-E01B2AE308B5}" name="S_TABLE_01575" displayName="S_TABLE_01575" ref="B58:I108" totalsRowShown="0">
  <autoFilter ref="B58:I108" xr:uid="{3DA7E36C-741F-44A9-88C9-E01B2AE308B5}"/>
  <tableColumns count="8">
    <tableColumn id="9" xr3:uid="{21519040-C8B4-468D-8A0F-ED249D749E26}" name="産業小分類上位２０"/>
    <tableColumn id="10" xr3:uid="{BDD27E72-2CD0-4015-ACE4-02BCA0D4A322}" name="総数／事業所数" dataCellStyle="桁区切り"/>
    <tableColumn id="11" xr3:uid="{BF0578D2-E905-4A10-AE35-42D62F31A991}" name="総数／構成比" dataDxfId="576"/>
    <tableColumn id="12" xr3:uid="{BF649C38-8FC9-46DA-B7F0-7B18BC12ED4D}" name="個人／事業所数" dataCellStyle="桁区切り"/>
    <tableColumn id="13" xr3:uid="{1FF1A555-B525-4D1B-876E-380E67A1C300}" name="個人／構成比" dataDxfId="575"/>
    <tableColumn id="14" xr3:uid="{84D2236A-1E0C-4069-B0CC-5804D9FE60FC}" name="法人／事業所数" dataCellStyle="桁区切り"/>
    <tableColumn id="15" xr3:uid="{10B1B671-73EB-48EC-9C92-D6DDE3473D7D}" name="法人／構成比" dataDxfId="574"/>
    <tableColumn id="16" xr3:uid="{4D873B05-505A-43B5-9747-8039D7DCB541}" name="法人以外の団体／事業所数" dataCellStyle="桁区切り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5C5D470E-1C8D-491B-A0AF-E89A7EBD10C1}" name="LTBL_01578" displayName="LTBL_01578" ref="B4:I20" totalsRowCount="1">
  <autoFilter ref="B4:I19" xr:uid="{5C5D470E-1C8D-491B-A0AF-E89A7EBD10C1}"/>
  <tableColumns count="8">
    <tableColumn id="9" xr3:uid="{9AD7930B-860E-4D86-B3C7-264984F5D4DF}" name="産業大分類" totalsRowLabel="合計" totalsRowDxfId="573"/>
    <tableColumn id="10" xr3:uid="{19E45082-5149-4C58-924D-99EB788E2176}" name="総数／事業所数" totalsRowFunction="custom" totalsRowDxfId="572" dataCellStyle="桁区切り" totalsRowCellStyle="桁区切り">
      <totalsRowFormula>SUM(LTBL_01578[総数／事業所数])</totalsRowFormula>
    </tableColumn>
    <tableColumn id="11" xr3:uid="{4269F888-E65E-4012-9521-9BDA875EA046}" name="総数／構成比" dataDxfId="571"/>
    <tableColumn id="12" xr3:uid="{A9F387C2-A0A4-4494-A4CA-EAEC77D91809}" name="個人／事業所数" totalsRowFunction="sum" totalsRowDxfId="570" dataCellStyle="桁区切り" totalsRowCellStyle="桁区切り"/>
    <tableColumn id="13" xr3:uid="{E8BB6EFA-8BA8-4EC3-83C5-F6A1CD3E7B70}" name="個人／構成比" dataDxfId="569"/>
    <tableColumn id="14" xr3:uid="{901E4B1D-9A95-4964-B776-C395D854DCD7}" name="法人／事業所数" totalsRowFunction="sum" totalsRowDxfId="568" dataCellStyle="桁区切り" totalsRowCellStyle="桁区切り"/>
    <tableColumn id="15" xr3:uid="{1B76D57F-99B3-4404-9AA9-EB60DBF2658C}" name="法人／構成比" dataDxfId="567"/>
    <tableColumn id="16" xr3:uid="{45D03C24-1EC0-45C6-95A4-8219C94BC9FF}" name="法人以外の団体／事業所数" totalsRowFunction="sum" totalsRowDxfId="566" dataCellStyle="桁区切り" totalsRowCellStyle="桁区切り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7F5FB2DA-0754-417C-B65E-4D4257A84542}" name="M_TABLE_01578" displayName="M_TABLE_01578" ref="B23:I46" totalsRowShown="0">
  <autoFilter ref="B23:I46" xr:uid="{7F5FB2DA-0754-417C-B65E-4D4257A84542}"/>
  <tableColumns count="8">
    <tableColumn id="9" xr3:uid="{F07ADFE4-BBAE-4CDA-856C-D58783C3BA31}" name="産業中分類上位２０"/>
    <tableColumn id="10" xr3:uid="{9EC47670-E1C2-4AC2-BD7E-77AB1949E952}" name="総数／事業所数" dataCellStyle="桁区切り"/>
    <tableColumn id="11" xr3:uid="{D605ABCD-4DD9-46ED-916C-EE9119FC43EA}" name="総数／構成比" dataDxfId="565"/>
    <tableColumn id="12" xr3:uid="{1F2D2BAE-3707-475A-8AFD-8CD7004590D9}" name="個人／事業所数" dataCellStyle="桁区切り"/>
    <tableColumn id="13" xr3:uid="{BB65DEF8-7211-448C-8574-EDA860C972EF}" name="個人／構成比" dataDxfId="564"/>
    <tableColumn id="14" xr3:uid="{E6210DF4-6E49-4AD2-BB19-E41D91B0FB07}" name="法人／事業所数" dataCellStyle="桁区切り"/>
    <tableColumn id="15" xr3:uid="{E2747463-8B1F-4ECF-AA75-E550FAB1D07D}" name="法人／構成比" dataDxfId="563"/>
    <tableColumn id="16" xr3:uid="{73ACACA4-5FE8-46C4-97A7-C3B16E614911}" name="法人以外の団体／事業所数" dataCellStyle="桁区切り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300F457-A6A7-4312-BF82-7AAE9392A50D}" name="S_TABLE_01204" displayName="S_TABLE_01204" ref="B46:I66" totalsRowShown="0">
  <autoFilter ref="B46:I66" xr:uid="{3300F457-A6A7-4312-BF82-7AAE9392A50D}"/>
  <tableColumns count="8">
    <tableColumn id="9" xr3:uid="{38AC8034-CC84-4B7A-BCA7-AF9E05715939}" name="産業小分類上位２０"/>
    <tableColumn id="10" xr3:uid="{11928EBB-4E3F-46BC-945D-FDB631679161}" name="総数／事業所数" dataCellStyle="桁区切り"/>
    <tableColumn id="11" xr3:uid="{A9C638A6-53C9-4E04-A05F-6B7790180442}" name="総数／構成比" dataDxfId="2452"/>
    <tableColumn id="12" xr3:uid="{DB739EB0-A147-43E5-9B1D-6AAB7C96F9DB}" name="個人／事業所数" dataCellStyle="桁区切り"/>
    <tableColumn id="13" xr3:uid="{4FD513FC-6E2A-4CC4-A6F0-578FE491EEB0}" name="個人／構成比" dataDxfId="2451"/>
    <tableColumn id="14" xr3:uid="{371399FC-BDB5-469D-83C5-BE3A787B548E}" name="法人／事業所数" dataCellStyle="桁区切り"/>
    <tableColumn id="15" xr3:uid="{24528BC8-91AD-4B5A-AF4B-B6F54817A1A6}" name="法人／構成比" dataDxfId="2450"/>
    <tableColumn id="16" xr3:uid="{C222C9A8-CD18-43E7-8857-65E1F2416295}" name="法人以外の団体／事業所数" dataCellStyle="桁区切り"/>
  </tableColumns>
  <tableStyleInfo name="TableStyleMedium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4060DE05-9827-4344-8C53-A733C085B2D1}" name="S_TABLE_01578" displayName="S_TABLE_01578" ref="B49:I70" totalsRowShown="0">
  <autoFilter ref="B49:I70" xr:uid="{4060DE05-9827-4344-8C53-A733C085B2D1}"/>
  <tableColumns count="8">
    <tableColumn id="9" xr3:uid="{78869B51-0D27-4BB3-8DFF-C2E7D3FB3CDB}" name="産業小分類上位２０"/>
    <tableColumn id="10" xr3:uid="{31BE3872-0CEC-4ACC-9167-A973DBB7D6B5}" name="総数／事業所数" dataCellStyle="桁区切り"/>
    <tableColumn id="11" xr3:uid="{A844E128-AEAA-46E6-AB9F-11DFA4346337}" name="総数／構成比" dataDxfId="562"/>
    <tableColumn id="12" xr3:uid="{6DA647DF-4ED9-4E31-AF46-CC2BEE03AABB}" name="個人／事業所数" dataCellStyle="桁区切り"/>
    <tableColumn id="13" xr3:uid="{EEA8EF3F-EFD4-4EBA-BC43-EAC297BCA2FB}" name="個人／構成比" dataDxfId="561"/>
    <tableColumn id="14" xr3:uid="{93E9AB8F-0066-4B1D-85F9-9179746D418A}" name="法人／事業所数" dataCellStyle="桁区切り"/>
    <tableColumn id="15" xr3:uid="{BD12CC21-7FEB-4F4A-9FF9-2EBA5992A3D4}" name="法人／構成比" dataDxfId="560"/>
    <tableColumn id="16" xr3:uid="{D014063E-F950-48E7-AE4F-B1CCDC78812B}" name="法人以外の団体／事業所数" dataCellStyle="桁区切り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46DEC777-2933-4849-B324-7F051511CB32}" name="LTBL_01581" displayName="LTBL_01581" ref="B4:I20" totalsRowCount="1">
  <autoFilter ref="B4:I19" xr:uid="{46DEC777-2933-4849-B324-7F051511CB32}"/>
  <tableColumns count="8">
    <tableColumn id="9" xr3:uid="{824AF509-56AB-4460-B811-68416D59D182}" name="産業大分類" totalsRowLabel="合計" totalsRowDxfId="559"/>
    <tableColumn id="10" xr3:uid="{794801F2-8E22-4B30-9606-52A57947EC71}" name="総数／事業所数" totalsRowFunction="custom" totalsRowDxfId="558" dataCellStyle="桁区切り" totalsRowCellStyle="桁区切り">
      <totalsRowFormula>SUM(LTBL_01581[総数／事業所数])</totalsRowFormula>
    </tableColumn>
    <tableColumn id="11" xr3:uid="{7F9CF5EC-EA64-4EB7-9D19-89666E876D1A}" name="総数／構成比" dataDxfId="557"/>
    <tableColumn id="12" xr3:uid="{19C5A0C4-5D6B-4EC3-B2F9-ED396B452035}" name="個人／事業所数" totalsRowFunction="sum" totalsRowDxfId="556" dataCellStyle="桁区切り" totalsRowCellStyle="桁区切り"/>
    <tableColumn id="13" xr3:uid="{B6EFA6F1-99F2-4CE2-95B6-B91C4153A67E}" name="個人／構成比" dataDxfId="555"/>
    <tableColumn id="14" xr3:uid="{D70EFBC2-A52E-4A91-96E7-9A01539204F5}" name="法人／事業所数" totalsRowFunction="sum" totalsRowDxfId="554" dataCellStyle="桁区切り" totalsRowCellStyle="桁区切り"/>
    <tableColumn id="15" xr3:uid="{31D5A38A-601A-41E3-A474-FAF7DEBCAA1A}" name="法人／構成比" dataDxfId="553"/>
    <tableColumn id="16" xr3:uid="{52EF2F34-B4D5-46CD-8356-DE114688E112}" name="法人以外の団体／事業所数" totalsRowFunction="sum" totalsRowDxfId="552" dataCellStyle="桁区切り" totalsRowCellStyle="桁区切り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C1EB877A-9165-425D-AA92-52C4B88E6196}" name="M_TABLE_01581" displayName="M_TABLE_01581" ref="B23:I45" totalsRowShown="0">
  <autoFilter ref="B23:I45" xr:uid="{C1EB877A-9165-425D-AA92-52C4B88E6196}"/>
  <tableColumns count="8">
    <tableColumn id="9" xr3:uid="{49DA4131-CAF4-478A-B034-039C3119087D}" name="産業中分類上位２０"/>
    <tableColumn id="10" xr3:uid="{4983C9F5-BC67-4A3F-9899-CD68E7966498}" name="総数／事業所数" dataCellStyle="桁区切り"/>
    <tableColumn id="11" xr3:uid="{04C3A0A8-1482-4DDA-9F5C-ACD6A4C0B05F}" name="総数／構成比" dataDxfId="551"/>
    <tableColumn id="12" xr3:uid="{B18A540D-3A49-4973-9908-4112F0B76F58}" name="個人／事業所数" dataCellStyle="桁区切り"/>
    <tableColumn id="13" xr3:uid="{AD66B53C-CDAA-4773-8AD1-AA6AC0F3DF5B}" name="個人／構成比" dataDxfId="550"/>
    <tableColumn id="14" xr3:uid="{72CA8D0F-45DC-4C97-9577-56DC27BCFE59}" name="法人／事業所数" dataCellStyle="桁区切り"/>
    <tableColumn id="15" xr3:uid="{2DDE8287-8AC0-45A1-A4B9-6C3B51CA450B}" name="法人／構成比" dataDxfId="549"/>
    <tableColumn id="16" xr3:uid="{B2A4283D-3ECF-4D95-9C5B-48F34D6EFEED}" name="法人以外の団体／事業所数" dataCellStyle="桁区切り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8E529816-9A1C-4F76-A3BD-311B6585230F}" name="S_TABLE_01581" displayName="S_TABLE_01581" ref="B48:I68" totalsRowShown="0">
  <autoFilter ref="B48:I68" xr:uid="{8E529816-9A1C-4F76-A3BD-311B6585230F}"/>
  <tableColumns count="8">
    <tableColumn id="9" xr3:uid="{4E573502-001C-4B68-8FA3-CE8133BE84EE}" name="産業小分類上位２０"/>
    <tableColumn id="10" xr3:uid="{B0770EA7-68A1-44FB-B4F2-AE5093573DCD}" name="総数／事業所数" dataCellStyle="桁区切り"/>
    <tableColumn id="11" xr3:uid="{2AC33140-96AB-4E18-AC38-F80B78B475AD}" name="総数／構成比" dataDxfId="548"/>
    <tableColumn id="12" xr3:uid="{09B4DD80-AFB1-487A-B10A-819E8E40FDC0}" name="個人／事業所数" dataCellStyle="桁区切り"/>
    <tableColumn id="13" xr3:uid="{EA430286-9D0D-4696-9AA9-B453D5F0D31D}" name="個人／構成比" dataDxfId="547"/>
    <tableColumn id="14" xr3:uid="{2F1ABEC7-4692-4CD5-A38A-971350440D23}" name="法人／事業所数" dataCellStyle="桁区切り"/>
    <tableColumn id="15" xr3:uid="{46C309F0-B036-41D1-BA09-7D38CD4F329C}" name="法人／構成比" dataDxfId="546"/>
    <tableColumn id="16" xr3:uid="{EBF987CF-C40A-4572-90EF-548A9E7BB86A}" name="法人以外の団体／事業所数" dataCellStyle="桁区切り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88ED53DE-B9DA-4CB8-BF8F-EA08F1F509F9}" name="LTBL_01584" displayName="LTBL_01584" ref="B4:I20" totalsRowCount="1">
  <autoFilter ref="B4:I19" xr:uid="{88ED53DE-B9DA-4CB8-BF8F-EA08F1F509F9}"/>
  <tableColumns count="8">
    <tableColumn id="9" xr3:uid="{0DC0F749-FF3E-4C42-B2E1-17C10061B310}" name="産業大分類" totalsRowLabel="合計" totalsRowDxfId="545"/>
    <tableColumn id="10" xr3:uid="{C6F12D84-595F-4AFF-9E35-CD1112500FBD}" name="総数／事業所数" totalsRowFunction="custom" totalsRowDxfId="544" dataCellStyle="桁区切り" totalsRowCellStyle="桁区切り">
      <totalsRowFormula>SUM(LTBL_01584[総数／事業所数])</totalsRowFormula>
    </tableColumn>
    <tableColumn id="11" xr3:uid="{3E6D6504-DCC6-41F2-8B7B-5E40E56F05EB}" name="総数／構成比" dataDxfId="543"/>
    <tableColumn id="12" xr3:uid="{7B7A0F58-A932-40F1-A5E4-A84B31C8FAF8}" name="個人／事業所数" totalsRowFunction="sum" totalsRowDxfId="542" dataCellStyle="桁区切り" totalsRowCellStyle="桁区切り"/>
    <tableColumn id="13" xr3:uid="{0CC3A6E4-CB7A-4643-BF92-6F595DB1F361}" name="個人／構成比" dataDxfId="541"/>
    <tableColumn id="14" xr3:uid="{4AE6EF32-0C3E-44CE-8123-0202938CB0AB}" name="法人／事業所数" totalsRowFunction="sum" totalsRowDxfId="540" dataCellStyle="桁区切り" totalsRowCellStyle="桁区切り"/>
    <tableColumn id="15" xr3:uid="{322E3B73-2B7D-4F20-8877-46BCDCA2CD7E}" name="法人／構成比" dataDxfId="539"/>
    <tableColumn id="16" xr3:uid="{4E1D8B25-C6AD-4D2B-A0C8-3DA5DF11A4E7}" name="法人以外の団体／事業所数" totalsRowFunction="sum" totalsRowDxfId="538" dataCellStyle="桁区切り" totalsRowCellStyle="桁区切り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779B8557-80DD-40F0-AB70-B8666574D1BA}" name="M_TABLE_01584" displayName="M_TABLE_01584" ref="B23:I43" totalsRowShown="0">
  <autoFilter ref="B23:I43" xr:uid="{779B8557-80DD-40F0-AB70-B8666574D1BA}"/>
  <tableColumns count="8">
    <tableColumn id="9" xr3:uid="{A287F67E-1AD2-4AC8-8FC8-9B1684DA063B}" name="産業中分類上位２０"/>
    <tableColumn id="10" xr3:uid="{595D63FC-45FD-4A9D-8A08-E23B0B6A762B}" name="総数／事業所数" dataCellStyle="桁区切り"/>
    <tableColumn id="11" xr3:uid="{43E73848-EFBB-4C74-BECA-DA89DC1C5D1C}" name="総数／構成比" dataDxfId="537"/>
    <tableColumn id="12" xr3:uid="{0C5DFA94-2EDA-4BCF-B7A5-6E300D014DA6}" name="個人／事業所数" dataCellStyle="桁区切り"/>
    <tableColumn id="13" xr3:uid="{3EE60511-FAD4-47EF-88A1-E9120AB9E912}" name="個人／構成比" dataDxfId="536"/>
    <tableColumn id="14" xr3:uid="{9BF32EE4-1956-4F66-9B39-E280F85C8B4A}" name="法人／事業所数" dataCellStyle="桁区切り"/>
    <tableColumn id="15" xr3:uid="{985268B0-FDAD-48C0-A7D2-A3AB9A0E2860}" name="法人／構成比" dataDxfId="535"/>
    <tableColumn id="16" xr3:uid="{DA2B2A80-DB2B-450E-B24C-042417DE211C}" name="法人以外の団体／事業所数" dataCellStyle="桁区切り"/>
  </tableColumns>
  <tableStyleInfo name="TableStyleMedium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788CF458-4F08-4240-AD7A-73DE4FDCB3C8}" name="S_TABLE_01584" displayName="S_TABLE_01584" ref="B46:I70" totalsRowShown="0">
  <autoFilter ref="B46:I70" xr:uid="{788CF458-4F08-4240-AD7A-73DE4FDCB3C8}"/>
  <tableColumns count="8">
    <tableColumn id="9" xr3:uid="{C2E85863-B84A-4B43-A364-5C435D749825}" name="産業小分類上位２０"/>
    <tableColumn id="10" xr3:uid="{F1F028A3-75A9-442B-96EB-3C62317A892A}" name="総数／事業所数" dataCellStyle="桁区切り"/>
    <tableColumn id="11" xr3:uid="{5419D229-C53F-4897-8132-7BD16C761887}" name="総数／構成比" dataDxfId="534"/>
    <tableColumn id="12" xr3:uid="{A5441163-4C32-4432-BE56-AE1DFB61AE8C}" name="個人／事業所数" dataCellStyle="桁区切り"/>
    <tableColumn id="13" xr3:uid="{B770E7FA-FDE7-4437-8931-E09A63AE9515}" name="個人／構成比" dataDxfId="533"/>
    <tableColumn id="14" xr3:uid="{2E95C467-C16B-49FD-B7C2-DD222A9A68ED}" name="法人／事業所数" dataCellStyle="桁区切り"/>
    <tableColumn id="15" xr3:uid="{AC2179A2-641D-47D4-8BF2-D80EA526F661}" name="法人／構成比" dataDxfId="532"/>
    <tableColumn id="16" xr3:uid="{9C33DA89-C9E1-4945-BD99-8B1C17531508}" name="法人以外の団体／事業所数" dataCellStyle="桁区切り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2C903D88-92FA-4F69-B545-5053C24D69CB}" name="LTBL_01585" displayName="LTBL_01585" ref="B4:I20" totalsRowCount="1">
  <autoFilter ref="B4:I19" xr:uid="{2C903D88-92FA-4F69-B545-5053C24D69CB}"/>
  <tableColumns count="8">
    <tableColumn id="9" xr3:uid="{C91C7554-EA16-4FAF-9FBE-1BDD5023226E}" name="産業大分類" totalsRowLabel="合計" totalsRowDxfId="531"/>
    <tableColumn id="10" xr3:uid="{9D9F02B4-64E8-42A1-90F5-D8F6789A8BC7}" name="総数／事業所数" totalsRowFunction="custom" totalsRowDxfId="530" dataCellStyle="桁区切り" totalsRowCellStyle="桁区切り">
      <totalsRowFormula>SUM(LTBL_01585[総数／事業所数])</totalsRowFormula>
    </tableColumn>
    <tableColumn id="11" xr3:uid="{054B3C30-99A0-48E5-B75D-8CA5B77B2000}" name="総数／構成比" dataDxfId="529"/>
    <tableColumn id="12" xr3:uid="{B1094B82-50FD-48C0-8FFC-5A2F2D2AC748}" name="個人／事業所数" totalsRowFunction="sum" totalsRowDxfId="528" dataCellStyle="桁区切り" totalsRowCellStyle="桁区切り"/>
    <tableColumn id="13" xr3:uid="{3CD66917-1E57-451E-B457-B0975D505FCC}" name="個人／構成比" dataDxfId="527"/>
    <tableColumn id="14" xr3:uid="{32C2D4E4-98C2-4D59-AB87-D2CF1968FD12}" name="法人／事業所数" totalsRowFunction="sum" totalsRowDxfId="526" dataCellStyle="桁区切り" totalsRowCellStyle="桁区切り"/>
    <tableColumn id="15" xr3:uid="{D848036C-B0EE-4FD8-8903-7C412DDF646A}" name="法人／構成比" dataDxfId="525"/>
    <tableColumn id="16" xr3:uid="{FEA3303A-3D72-420E-BC14-D2638BD4D3C4}" name="法人以外の団体／事業所数" totalsRowFunction="sum" totalsRowDxfId="524" dataCellStyle="桁区切り" totalsRowCellStyle="桁区切り"/>
  </tableColumns>
  <tableStyleInfo name="TableStyleMedium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8" xr:uid="{8ECE021C-9302-49B0-9644-483A166A2B4E}" name="M_TABLE_01585" displayName="M_TABLE_01585" ref="B23:I49" totalsRowShown="0">
  <autoFilter ref="B23:I49" xr:uid="{8ECE021C-9302-49B0-9644-483A166A2B4E}"/>
  <tableColumns count="8">
    <tableColumn id="9" xr3:uid="{D0A1ED33-D650-41BF-B9DA-711317658D11}" name="産業中分類上位２０"/>
    <tableColumn id="10" xr3:uid="{5979C079-D0C5-4808-864E-7A0651BB3558}" name="総数／事業所数" dataCellStyle="桁区切り"/>
    <tableColumn id="11" xr3:uid="{E38B2EFA-B1A7-4145-8221-7333B621A17D}" name="総数／構成比" dataDxfId="523"/>
    <tableColumn id="12" xr3:uid="{C34FAAAE-B3E0-4A64-A3C4-E1619DD78C1F}" name="個人／事業所数" dataCellStyle="桁区切り"/>
    <tableColumn id="13" xr3:uid="{CC9B32D6-26B2-4AB2-9DE7-3459286B607D}" name="個人／構成比" dataDxfId="522"/>
    <tableColumn id="14" xr3:uid="{8A88B682-0626-423E-814D-DFEE67121776}" name="法人／事業所数" dataCellStyle="桁区切り"/>
    <tableColumn id="15" xr3:uid="{DB39EF00-182B-490F-9AEA-BFC4F2CBAB2F}" name="法人／構成比" dataDxfId="521"/>
    <tableColumn id="16" xr3:uid="{290E5D47-C9B9-48EA-970D-05C4338F28EA}" name="法人以外の団体／事業所数" dataCellStyle="桁区切り"/>
  </tableColumns>
  <tableStyleInfo name="TableStyleMedium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9" xr:uid="{89685F57-4F1A-40C0-936D-B26236CB9880}" name="S_TABLE_01585" displayName="S_TABLE_01585" ref="B52:I75" totalsRowShown="0">
  <autoFilter ref="B52:I75" xr:uid="{89685F57-4F1A-40C0-936D-B26236CB9880}"/>
  <tableColumns count="8">
    <tableColumn id="9" xr3:uid="{0DC12C0E-ECA2-4E69-AE6A-CE0695F9B458}" name="産業小分類上位２０"/>
    <tableColumn id="10" xr3:uid="{9498234C-E721-4E1E-8FC1-AF51AA651E25}" name="総数／事業所数" dataCellStyle="桁区切り"/>
    <tableColumn id="11" xr3:uid="{4E1638B9-FE7B-42EB-B96F-D9F120C5B86A}" name="総数／構成比" dataDxfId="520"/>
    <tableColumn id="12" xr3:uid="{13E99C32-C79D-4B03-81D1-93FA5F554880}" name="個人／事業所数" dataCellStyle="桁区切り"/>
    <tableColumn id="13" xr3:uid="{3F99B99C-A205-43CC-B332-9990EBD4A722}" name="個人／構成比" dataDxfId="519"/>
    <tableColumn id="14" xr3:uid="{99F4FD84-BD08-4310-A8DF-629B8AC0F938}" name="法人／事業所数" dataCellStyle="桁区切り"/>
    <tableColumn id="15" xr3:uid="{AAB4E7F0-CBFD-42FF-B000-5B56DBB74CF2}" name="法人／構成比" dataDxfId="518"/>
    <tableColumn id="16" xr3:uid="{CB1D1BBD-C163-427B-86B7-A50DAA4DFCB5}" name="法人以外の団体／事業所数" dataCellStyle="桁区切り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20F336FE-EB1B-4DD6-B4A1-CEE7989CF721}" name="LTBL_01205" displayName="LTBL_01205" ref="B4:I20" totalsRowCount="1">
  <autoFilter ref="B4:I19" xr:uid="{20F336FE-EB1B-4DD6-B4A1-CEE7989CF721}"/>
  <tableColumns count="8">
    <tableColumn id="9" xr3:uid="{B9FDC52E-6AA4-4F7F-9D77-2479F61B876F}" name="産業大分類" totalsRowLabel="合計" totalsRowDxfId="2449"/>
    <tableColumn id="10" xr3:uid="{13D2962B-639B-436F-A137-EBB6D2DA8CE4}" name="総数／事業所数" totalsRowFunction="custom" totalsRowDxfId="2448" dataCellStyle="桁区切り" totalsRowCellStyle="桁区切り">
      <totalsRowFormula>SUM(LTBL_01205[総数／事業所数])</totalsRowFormula>
    </tableColumn>
    <tableColumn id="11" xr3:uid="{40E19385-5A6E-4366-A2D6-F8715A3223F4}" name="総数／構成比" dataDxfId="2447"/>
    <tableColumn id="12" xr3:uid="{2465A7AB-5069-4ADE-895C-EE1DB4BC60FF}" name="個人／事業所数" totalsRowFunction="sum" totalsRowDxfId="2446" dataCellStyle="桁区切り" totalsRowCellStyle="桁区切り"/>
    <tableColumn id="13" xr3:uid="{84610B41-4D16-445F-9223-171CDA6473C6}" name="個人／構成比" dataDxfId="2445"/>
    <tableColumn id="14" xr3:uid="{509AE414-E78A-4376-A6A8-A14B544322E7}" name="法人／事業所数" totalsRowFunction="sum" totalsRowDxfId="2444" dataCellStyle="桁区切り" totalsRowCellStyle="桁区切り"/>
    <tableColumn id="15" xr3:uid="{8803A697-A037-4217-A1D7-F034F25485CD}" name="法人／構成比" dataDxfId="2443"/>
    <tableColumn id="16" xr3:uid="{5A856FF5-18B5-4DCB-B91F-D31DD95D7609}" name="法人以外の団体／事業所数" totalsRowFunction="sum" totalsRowDxfId="2442" dataCellStyle="桁区切り" totalsRowCellStyle="桁区切り"/>
  </tableColumns>
  <tableStyleInfo name="TableStyleMedium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F9D951B2-BC7B-4BD5-9309-5F26CEA48C9C}" name="LTBL_01586" displayName="LTBL_01586" ref="B4:I20" totalsRowCount="1">
  <autoFilter ref="B4:I19" xr:uid="{F9D951B2-BC7B-4BD5-9309-5F26CEA48C9C}"/>
  <tableColumns count="8">
    <tableColumn id="9" xr3:uid="{C3C1478F-F8A0-4303-8A6D-EF3C481796A3}" name="産業大分類" totalsRowLabel="合計" totalsRowDxfId="517"/>
    <tableColumn id="10" xr3:uid="{A3B42E44-90A6-4E39-97E9-E6F40F1D7240}" name="総数／事業所数" totalsRowFunction="custom" totalsRowDxfId="516" dataCellStyle="桁区切り" totalsRowCellStyle="桁区切り">
      <totalsRowFormula>SUM(LTBL_01586[総数／事業所数])</totalsRowFormula>
    </tableColumn>
    <tableColumn id="11" xr3:uid="{28030053-09AC-43A1-A1AD-412BBB089F3B}" name="総数／構成比" dataDxfId="515"/>
    <tableColumn id="12" xr3:uid="{AE7A9103-DC62-4AAC-B7A6-D84B44F0714A}" name="個人／事業所数" totalsRowFunction="sum" totalsRowDxfId="514" dataCellStyle="桁区切り" totalsRowCellStyle="桁区切り"/>
    <tableColumn id="13" xr3:uid="{7845AE85-D7FE-407E-AA3F-E02CA0DE75CA}" name="個人／構成比" dataDxfId="513"/>
    <tableColumn id="14" xr3:uid="{77658AB1-3E10-443B-8EB2-1645CD9A9ED1}" name="法人／事業所数" totalsRowFunction="sum" totalsRowDxfId="512" dataCellStyle="桁区切り" totalsRowCellStyle="桁区切り"/>
    <tableColumn id="15" xr3:uid="{B8DF443D-FA5A-45B7-A27F-72CF412AAEA9}" name="法人／構成比" dataDxfId="511"/>
    <tableColumn id="16" xr3:uid="{7701725F-4561-499E-A7B4-228FABFBA172}" name="法人以外の団体／事業所数" totalsRowFunction="sum" totalsRowDxfId="510" dataCellStyle="桁区切り" totalsRowCellStyle="桁区切り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1" xr:uid="{8DF32F4D-6ACF-4866-A669-0C4168097CBD}" name="M_TABLE_01586" displayName="M_TABLE_01586" ref="B23:I44" totalsRowShown="0">
  <autoFilter ref="B23:I44" xr:uid="{8DF32F4D-6ACF-4866-A669-0C4168097CBD}"/>
  <tableColumns count="8">
    <tableColumn id="9" xr3:uid="{02A2BB43-DCF4-4BBB-9B95-2FF53F13BB78}" name="産業中分類上位２０"/>
    <tableColumn id="10" xr3:uid="{E65318AF-918B-4842-95E0-92A49D39E80D}" name="総数／事業所数" dataCellStyle="桁区切り"/>
    <tableColumn id="11" xr3:uid="{AAEC27BB-03D9-443F-92E8-F151688CF009}" name="総数／構成比" dataDxfId="509"/>
    <tableColumn id="12" xr3:uid="{DA13BB74-1358-4C07-9438-986EBA4D3C65}" name="個人／事業所数" dataCellStyle="桁区切り"/>
    <tableColumn id="13" xr3:uid="{64AD5A9B-9CA8-429F-B990-ACF46AC26D7C}" name="個人／構成比" dataDxfId="508"/>
    <tableColumn id="14" xr3:uid="{52BB55F8-4184-4EF2-AEF3-69748DD237DC}" name="法人／事業所数" dataCellStyle="桁区切り"/>
    <tableColumn id="15" xr3:uid="{C7A16D4C-C31F-4326-957D-D1F6F2071226}" name="法人／構成比" dataDxfId="507"/>
    <tableColumn id="16" xr3:uid="{5971C7A4-06A6-4206-98FD-25BAFDD8960C}" name="法人以外の団体／事業所数" dataCellStyle="桁区切り"/>
  </tableColumns>
  <tableStyleInfo name="TableStyleMedium9" showFirstColumn="0" showLastColumn="0" showRowStripes="1" showColumnStripes="0"/>
</table>
</file>

<file path=xl/tables/table4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2" xr:uid="{DC8F39B2-DCAA-4623-80B0-753349F2FA7E}" name="S_TABLE_01586" displayName="S_TABLE_01586" ref="B47:I77" totalsRowShown="0">
  <autoFilter ref="B47:I77" xr:uid="{DC8F39B2-DCAA-4623-80B0-753349F2FA7E}"/>
  <tableColumns count="8">
    <tableColumn id="9" xr3:uid="{604AA865-2D7D-4570-B609-5935B1C4B9F0}" name="産業小分類上位２０"/>
    <tableColumn id="10" xr3:uid="{9BE930B2-B0BB-4B8B-8F45-208641BE5320}" name="総数／事業所数" dataCellStyle="桁区切り"/>
    <tableColumn id="11" xr3:uid="{057A535B-D14E-4F4E-A4B4-357E641E345D}" name="総数／構成比" dataDxfId="506"/>
    <tableColumn id="12" xr3:uid="{BA22FDE7-CA50-4DD2-B710-236F57D23859}" name="個人／事業所数" dataCellStyle="桁区切り"/>
    <tableColumn id="13" xr3:uid="{C0A4165A-8BBC-4556-BC90-5C9581A30B67}" name="個人／構成比" dataDxfId="505"/>
    <tableColumn id="14" xr3:uid="{4E069871-320C-4292-9D2F-DA205D7BC44F}" name="法人／事業所数" dataCellStyle="桁区切り"/>
    <tableColumn id="15" xr3:uid="{4238006C-7322-41B8-A8B8-8F8A635A594B}" name="法人／構成比" dataDxfId="504"/>
    <tableColumn id="16" xr3:uid="{23D14A41-77FE-41A9-8FEE-A08E8C4B2624}" name="法人以外の団体／事業所数" dataCellStyle="桁区切り"/>
  </tableColumns>
  <tableStyleInfo name="TableStyleMedium9" showFirstColumn="0" showLastColumn="0" showRowStripes="1" showColumnStripes="0"/>
</table>
</file>

<file path=xl/tables/table4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3" xr:uid="{B8FEFC5D-4DAA-4649-8FCA-3DF8379B7438}" name="LTBL_01601" displayName="LTBL_01601" ref="B4:I20" totalsRowCount="1">
  <autoFilter ref="B4:I19" xr:uid="{B8FEFC5D-4DAA-4649-8FCA-3DF8379B7438}"/>
  <tableColumns count="8">
    <tableColumn id="9" xr3:uid="{605E1CDC-0833-4C63-8230-CF6154C74BDC}" name="産業大分類" totalsRowLabel="合計" totalsRowDxfId="503"/>
    <tableColumn id="10" xr3:uid="{45E10D09-D297-4A22-B884-C7E34552BD27}" name="総数／事業所数" totalsRowFunction="custom" totalsRowDxfId="502" dataCellStyle="桁区切り" totalsRowCellStyle="桁区切り">
      <totalsRowFormula>SUM(LTBL_01601[総数／事業所数])</totalsRowFormula>
    </tableColumn>
    <tableColumn id="11" xr3:uid="{A691ABAD-C3EE-43EE-BAD5-3941D8D7B346}" name="総数／構成比" dataDxfId="501"/>
    <tableColumn id="12" xr3:uid="{0D9B0D6C-8589-444E-994D-CD5E4F9AFFB4}" name="個人／事業所数" totalsRowFunction="sum" totalsRowDxfId="500" dataCellStyle="桁区切り" totalsRowCellStyle="桁区切り"/>
    <tableColumn id="13" xr3:uid="{7F219E63-F90B-4280-A0BD-19AC461B91B6}" name="個人／構成比" dataDxfId="499"/>
    <tableColumn id="14" xr3:uid="{57C56012-C861-4473-B0D7-8B20A16EA4B2}" name="法人／事業所数" totalsRowFunction="sum" totalsRowDxfId="498" dataCellStyle="桁区切り" totalsRowCellStyle="桁区切り"/>
    <tableColumn id="15" xr3:uid="{DDCFE155-3C27-4A9F-BF14-347C056EAC84}" name="法人／構成比" dataDxfId="497"/>
    <tableColumn id="16" xr3:uid="{E3A67420-D844-4197-9C0C-F5D41DDFD1E0}" name="法人以外の団体／事業所数" totalsRowFunction="sum" totalsRowDxfId="496" dataCellStyle="桁区切り" totalsRowCellStyle="桁区切り"/>
  </tableColumns>
  <tableStyleInfo name="TableStyleMedium9" showFirstColumn="0" showLastColumn="0" showRowStripes="1" showColumnStripes="0"/>
</table>
</file>

<file path=xl/tables/table4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4" xr:uid="{02D71833-7C02-4742-9B9E-E0680F8F8942}" name="M_TABLE_01601" displayName="M_TABLE_01601" ref="B23:I44" totalsRowShown="0">
  <autoFilter ref="B23:I44" xr:uid="{02D71833-7C02-4742-9B9E-E0680F8F8942}"/>
  <tableColumns count="8">
    <tableColumn id="9" xr3:uid="{8EF98C3A-ECAA-4E72-99C6-9CECA68CF3F4}" name="産業中分類上位２０"/>
    <tableColumn id="10" xr3:uid="{C9D8C103-0A7E-4DAA-9FB4-F99D9F027CE1}" name="総数／事業所数" dataCellStyle="桁区切り"/>
    <tableColumn id="11" xr3:uid="{921D32F0-80C3-4D0C-875C-9239619D53EF}" name="総数／構成比" dataDxfId="495"/>
    <tableColumn id="12" xr3:uid="{12FF2F34-E8F4-4DC0-AA2E-ED87293E84FB}" name="個人／事業所数" dataCellStyle="桁区切り"/>
    <tableColumn id="13" xr3:uid="{AE070E29-BC8C-4F90-A9CA-6BA7C45E3D19}" name="個人／構成比" dataDxfId="494"/>
    <tableColumn id="14" xr3:uid="{B9A7E737-2C68-4D9A-8853-32E975AE419C}" name="法人／事業所数" dataCellStyle="桁区切り"/>
    <tableColumn id="15" xr3:uid="{8FF6A080-51DC-4C83-BB37-DE59B70ED7A2}" name="法人／構成比" dataDxfId="493"/>
    <tableColumn id="16" xr3:uid="{F01A2D6A-36D5-41F1-B8CD-7E9E3221672C}" name="法人以外の団体／事業所数" dataCellStyle="桁区切り"/>
  </tableColumns>
  <tableStyleInfo name="TableStyleMedium9" showFirstColumn="0" showLastColumn="0" showRowStripes="1" showColumnStripes="0"/>
</table>
</file>

<file path=xl/tables/table4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5" xr:uid="{E66FC0ED-A99E-46A7-B696-B8010AA7E6A2}" name="S_TABLE_01601" displayName="S_TABLE_01601" ref="B47:I73" totalsRowShown="0">
  <autoFilter ref="B47:I73" xr:uid="{E66FC0ED-A99E-46A7-B696-B8010AA7E6A2}"/>
  <tableColumns count="8">
    <tableColumn id="9" xr3:uid="{81214AF2-E917-467D-A6BE-68DE42F3CB44}" name="産業小分類上位２０"/>
    <tableColumn id="10" xr3:uid="{BA72902D-7F3F-4D3C-A23B-39B059BA6C19}" name="総数／事業所数" dataCellStyle="桁区切り"/>
    <tableColumn id="11" xr3:uid="{F77FCA45-E81B-45CE-AF34-6C0DEB3ED7E1}" name="総数／構成比" dataDxfId="492"/>
    <tableColumn id="12" xr3:uid="{90D18E85-8F01-482F-B9FE-AC2BE9BD9E57}" name="個人／事業所数" dataCellStyle="桁区切り"/>
    <tableColumn id="13" xr3:uid="{8846CE89-C70B-41D9-AD61-8858A88B7BCB}" name="個人／構成比" dataDxfId="491"/>
    <tableColumn id="14" xr3:uid="{0DA4FCD9-9AB6-4D39-BC81-C2B3B31DDCBC}" name="法人／事業所数" dataCellStyle="桁区切り"/>
    <tableColumn id="15" xr3:uid="{2C8B38CA-ECA6-41EB-98CA-879D07D2C830}" name="法人／構成比" dataDxfId="490"/>
    <tableColumn id="16" xr3:uid="{68A1889C-4E5E-4B38-99C3-8809CEAB6150}" name="法人以外の団体／事業所数" dataCellStyle="桁区切り"/>
  </tableColumns>
  <tableStyleInfo name="TableStyleMedium9" showFirstColumn="0" showLastColumn="0" showRowStripes="1" showColumnStripes="0"/>
</table>
</file>

<file path=xl/tables/table4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6" xr:uid="{93AA64B7-B383-48BD-B6E5-8D836B9D65EE}" name="LTBL_01602" displayName="LTBL_01602" ref="B4:I20" totalsRowCount="1">
  <autoFilter ref="B4:I19" xr:uid="{93AA64B7-B383-48BD-B6E5-8D836B9D65EE}"/>
  <tableColumns count="8">
    <tableColumn id="9" xr3:uid="{5BA20662-A686-4F4F-B2E3-786CB71E4AD0}" name="産業大分類" totalsRowLabel="合計" totalsRowDxfId="489"/>
    <tableColumn id="10" xr3:uid="{244EEC62-3BE2-42C2-8FCA-D08770DE1303}" name="総数／事業所数" totalsRowFunction="custom" totalsRowDxfId="488" dataCellStyle="桁区切り" totalsRowCellStyle="桁区切り">
      <totalsRowFormula>SUM(LTBL_01602[総数／事業所数])</totalsRowFormula>
    </tableColumn>
    <tableColumn id="11" xr3:uid="{B3FA1C46-5514-47FC-92FF-E33FB011EC8C}" name="総数／構成比" dataDxfId="487"/>
    <tableColumn id="12" xr3:uid="{0C12949D-E0EF-4255-8636-47F9EEA78787}" name="個人／事業所数" totalsRowFunction="sum" totalsRowDxfId="486" dataCellStyle="桁区切り" totalsRowCellStyle="桁区切り"/>
    <tableColumn id="13" xr3:uid="{A089B1B0-E30E-4CEC-8AD2-C0F33E2BCA9D}" name="個人／構成比" dataDxfId="485"/>
    <tableColumn id="14" xr3:uid="{FCEFB607-8F90-405A-A449-706CBA10C783}" name="法人／事業所数" totalsRowFunction="sum" totalsRowDxfId="484" dataCellStyle="桁区切り" totalsRowCellStyle="桁区切り"/>
    <tableColumn id="15" xr3:uid="{C4C000B6-44E9-4787-8E56-D95A5A3AC067}" name="法人／構成比" dataDxfId="483"/>
    <tableColumn id="16" xr3:uid="{4F87A5AE-0B45-4F64-A0C9-E7234F3C9B42}" name="法人以外の団体／事業所数" totalsRowFunction="sum" totalsRowDxfId="482" dataCellStyle="桁区切り" totalsRowCellStyle="桁区切り"/>
  </tableColumns>
  <tableStyleInfo name="TableStyleMedium9" showFirstColumn="0" showLastColumn="0" showRowStripes="1" showColumnStripes="0"/>
</table>
</file>

<file path=xl/tables/table4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2F320982-1D3B-4F4D-8CF9-E32D0241D600}" name="M_TABLE_01602" displayName="M_TABLE_01602" ref="B23:I45" totalsRowShown="0">
  <autoFilter ref="B23:I45" xr:uid="{2F320982-1D3B-4F4D-8CF9-E32D0241D600}"/>
  <tableColumns count="8">
    <tableColumn id="9" xr3:uid="{7C3CF333-E1BC-4812-BA4C-0D16F3922760}" name="産業中分類上位２０"/>
    <tableColumn id="10" xr3:uid="{4B3DE025-B851-4A68-8C66-40E6AF3A61F7}" name="総数／事業所数" dataCellStyle="桁区切り"/>
    <tableColumn id="11" xr3:uid="{2E94BA96-406B-4308-B883-C835D1516360}" name="総数／構成比" dataDxfId="481"/>
    <tableColumn id="12" xr3:uid="{E3036686-D823-48BF-B857-98837863EFA6}" name="個人／事業所数" dataCellStyle="桁区切り"/>
    <tableColumn id="13" xr3:uid="{7B605A55-53A5-41C5-BE59-70C7D4AE7BFD}" name="個人／構成比" dataDxfId="480"/>
    <tableColumn id="14" xr3:uid="{ECDA8463-31CC-463E-BE8E-58B1951DD4F5}" name="法人／事業所数" dataCellStyle="桁区切り"/>
    <tableColumn id="15" xr3:uid="{E29CBB30-6073-43CC-829C-215CD75D8BA4}" name="法人／構成比" dataDxfId="479"/>
    <tableColumn id="16" xr3:uid="{6AE73D41-FC1A-454A-BA9C-C24C254FA252}" name="法人以外の団体／事業所数" dataCellStyle="桁区切り"/>
  </tableColumns>
  <tableStyleInfo name="TableStyleMedium9" showFirstColumn="0" showLastColumn="0" showRowStripes="1" showColumnStripes="0"/>
</table>
</file>

<file path=xl/tables/table4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8" xr:uid="{548E6504-2437-4999-8456-73F004D21792}" name="S_TABLE_01602" displayName="S_TABLE_01602" ref="B48:I81" totalsRowShown="0">
  <autoFilter ref="B48:I81" xr:uid="{548E6504-2437-4999-8456-73F004D21792}"/>
  <tableColumns count="8">
    <tableColumn id="9" xr3:uid="{1800C938-A40D-43D1-AA85-C828F173B92C}" name="産業小分類上位２０"/>
    <tableColumn id="10" xr3:uid="{DF42662F-A0D5-489A-9559-E8FC227C8A91}" name="総数／事業所数" dataCellStyle="桁区切り"/>
    <tableColumn id="11" xr3:uid="{BA1FA69B-C17B-4809-A1B7-A64D68536C8C}" name="総数／構成比" dataDxfId="478"/>
    <tableColumn id="12" xr3:uid="{C4FDA41F-72DA-4BF7-9AB7-739B57E659FF}" name="個人／事業所数" dataCellStyle="桁区切り"/>
    <tableColumn id="13" xr3:uid="{D059B16E-7885-4464-BC2D-13AEE378063C}" name="個人／構成比" dataDxfId="477"/>
    <tableColumn id="14" xr3:uid="{9C440066-5070-4FDF-86BD-E7A0B1B3E5CC}" name="法人／事業所数" dataCellStyle="桁区切り"/>
    <tableColumn id="15" xr3:uid="{51AA4A00-9D36-4B8D-8EFC-780107076981}" name="法人／構成比" dataDxfId="476"/>
    <tableColumn id="16" xr3:uid="{82F4716C-6D9B-429A-A85D-3858634B79AF}" name="法人以外の団体／事業所数" dataCellStyle="桁区切り"/>
  </tableColumns>
  <tableStyleInfo name="TableStyleMedium9" showFirstColumn="0" showLastColumn="0" showRowStripes="1" showColumnStripes="0"/>
</table>
</file>

<file path=xl/tables/table4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F422C58B-EE16-4BB1-9DEC-324183CC3F06}" name="LTBL_01604" displayName="LTBL_01604" ref="B4:I20" totalsRowCount="1">
  <autoFilter ref="B4:I19" xr:uid="{F422C58B-EE16-4BB1-9DEC-324183CC3F06}"/>
  <tableColumns count="8">
    <tableColumn id="9" xr3:uid="{7975CCB9-47E8-4F17-A9BE-BB1E59DB7351}" name="産業大分類" totalsRowLabel="合計" totalsRowDxfId="475"/>
    <tableColumn id="10" xr3:uid="{70822F3F-BF27-47C8-A56D-0C520DFAA887}" name="総数／事業所数" totalsRowFunction="custom" totalsRowDxfId="474" dataCellStyle="桁区切り" totalsRowCellStyle="桁区切り">
      <totalsRowFormula>SUM(LTBL_01604[総数／事業所数])</totalsRowFormula>
    </tableColumn>
    <tableColumn id="11" xr3:uid="{7B364DC7-DA73-4054-A840-2D20053B6A54}" name="総数／構成比" dataDxfId="473"/>
    <tableColumn id="12" xr3:uid="{84F1E8E9-CD96-4BE8-B013-D1309601FD74}" name="個人／事業所数" totalsRowFunction="sum" totalsRowDxfId="472" dataCellStyle="桁区切り" totalsRowCellStyle="桁区切り"/>
    <tableColumn id="13" xr3:uid="{F61C00B8-D56C-47C9-9581-68CD4EC6F977}" name="個人／構成比" dataDxfId="471"/>
    <tableColumn id="14" xr3:uid="{91FA8954-9D3B-4590-9F58-C6883AFB29C7}" name="法人／事業所数" totalsRowFunction="sum" totalsRowDxfId="470" dataCellStyle="桁区切り" totalsRowCellStyle="桁区切り"/>
    <tableColumn id="15" xr3:uid="{858B030B-1508-4EEA-838B-97E560DF01A7}" name="法人／構成比" dataDxfId="469"/>
    <tableColumn id="16" xr3:uid="{5CC68D16-8537-4B42-9F67-8AC7B3CBDD9A}" name="法人以外の団体／事業所数" totalsRowFunction="sum" totalsRowDxfId="468" dataCellStyle="桁区切り" totalsRowCellStyle="桁区切り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E717F1C-5E4E-4EBC-9CEB-4B58033A57B1}" name="M_TABLE_01205" displayName="M_TABLE_01205" ref="B23:I43" totalsRowShown="0">
  <autoFilter ref="B23:I43" xr:uid="{FE717F1C-5E4E-4EBC-9CEB-4B58033A57B1}"/>
  <tableColumns count="8">
    <tableColumn id="9" xr3:uid="{2947409E-C142-4327-A554-DFDDC2261B7A}" name="産業中分類上位２０"/>
    <tableColumn id="10" xr3:uid="{AE3E029E-FED5-481F-8ECD-454A3DC40903}" name="総数／事業所数" dataCellStyle="桁区切り"/>
    <tableColumn id="11" xr3:uid="{C0605C20-4539-4010-90F1-26447EE534F5}" name="総数／構成比" dataDxfId="2441"/>
    <tableColumn id="12" xr3:uid="{7FB85349-B70D-4C7A-AB5B-AF85EB8351CC}" name="個人／事業所数" dataCellStyle="桁区切り"/>
    <tableColumn id="13" xr3:uid="{041213DE-EC14-4BA6-9D1D-BB4DCDEED4E8}" name="個人／構成比" dataDxfId="2440"/>
    <tableColumn id="14" xr3:uid="{91555678-CC6D-404E-8705-7D34ABBD0B89}" name="法人／事業所数" dataCellStyle="桁区切り"/>
    <tableColumn id="15" xr3:uid="{EDCE65E9-06D7-4712-B497-2735101A4932}" name="法人／構成比" dataDxfId="2439"/>
    <tableColumn id="16" xr3:uid="{4F23F65A-167F-4BF7-BD24-BB1703D8AE85}" name="法人以外の団体／事業所数" dataCellStyle="桁区切り"/>
  </tableColumns>
  <tableStyleInfo name="TableStyleMedium9" showFirstColumn="0" showLastColumn="0" showRowStripes="1" showColumnStripes="0"/>
</table>
</file>

<file path=xl/tables/table4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8992AAAE-5C69-44BE-AAB2-826176B15EC1}" name="M_TABLE_01604" displayName="M_TABLE_01604" ref="B23:I43" totalsRowShown="0">
  <autoFilter ref="B23:I43" xr:uid="{8992AAAE-5C69-44BE-AAB2-826176B15EC1}"/>
  <tableColumns count="8">
    <tableColumn id="9" xr3:uid="{7677F3C3-774F-4DEC-ACF3-F9D9E9EC80F6}" name="産業中分類上位２０"/>
    <tableColumn id="10" xr3:uid="{3582C59E-5C9B-4683-ACED-001799ACB19B}" name="総数／事業所数" dataCellStyle="桁区切り"/>
    <tableColumn id="11" xr3:uid="{11AC1EE9-AF61-4AFC-A973-0DCFBA40D6C8}" name="総数／構成比" dataDxfId="467"/>
    <tableColumn id="12" xr3:uid="{6CBC1A0C-512B-4943-B004-B838E56D9AF0}" name="個人／事業所数" dataCellStyle="桁区切り"/>
    <tableColumn id="13" xr3:uid="{97E944A3-3FD1-4394-B811-41FA7DCA18D8}" name="個人／構成比" dataDxfId="466"/>
    <tableColumn id="14" xr3:uid="{9E4578DC-5572-4315-9814-A7748D2D8EB1}" name="法人／事業所数" dataCellStyle="桁区切り"/>
    <tableColumn id="15" xr3:uid="{B640FDE2-C1AA-412C-9833-D325441A7352}" name="法人／構成比" dataDxfId="465"/>
    <tableColumn id="16" xr3:uid="{5DBD809D-BC0E-4638-B6B6-FCF8E1184D8E}" name="法人以外の団体／事業所数" dataCellStyle="桁区切り"/>
  </tableColumns>
  <tableStyleInfo name="TableStyleMedium9" showFirstColumn="0" showLastColumn="0" showRowStripes="1" showColumnStripes="0"/>
</table>
</file>

<file path=xl/tables/table4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1" xr:uid="{56DD7E45-F4C2-48A3-813E-1E2A47C1C5B1}" name="S_TABLE_01604" displayName="S_TABLE_01604" ref="B46:I66" totalsRowShown="0">
  <autoFilter ref="B46:I66" xr:uid="{56DD7E45-F4C2-48A3-813E-1E2A47C1C5B1}"/>
  <tableColumns count="8">
    <tableColumn id="9" xr3:uid="{9B2881F1-E54F-4961-8DF2-F442FAC65481}" name="産業小分類上位２０"/>
    <tableColumn id="10" xr3:uid="{F58938E3-1EA8-416C-BB69-7AFE7E34882C}" name="総数／事業所数" dataCellStyle="桁区切り"/>
    <tableColumn id="11" xr3:uid="{E590DD45-6326-4A09-98E0-659777327099}" name="総数／構成比" dataDxfId="464"/>
    <tableColumn id="12" xr3:uid="{8E7C57D8-E2F2-4DCA-823F-75DFDA20BFBE}" name="個人／事業所数" dataCellStyle="桁区切り"/>
    <tableColumn id="13" xr3:uid="{4FA91302-97CA-4C1B-BD91-51270DDF3DF8}" name="個人／構成比" dataDxfId="463"/>
    <tableColumn id="14" xr3:uid="{D78B802B-C5E0-4EF3-A4B8-1A01DFE0A482}" name="法人／事業所数" dataCellStyle="桁区切り"/>
    <tableColumn id="15" xr3:uid="{7819AA7D-43A1-467B-9479-511BED97FDAE}" name="法人／構成比" dataDxfId="462"/>
    <tableColumn id="16" xr3:uid="{5363DF1C-5FE1-42C0-8E21-4183E777226D}" name="法人以外の団体／事業所数" dataCellStyle="桁区切り"/>
  </tableColumns>
  <tableStyleInfo name="TableStyleMedium9" showFirstColumn="0" showLastColumn="0" showRowStripes="1" showColumnStripes="0"/>
</table>
</file>

<file path=xl/tables/table4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2" xr:uid="{A5CAFB4B-D636-4348-8732-1B056DDAA4BC}" name="LTBL_01607" displayName="LTBL_01607" ref="B4:I20" totalsRowCount="1">
  <autoFilter ref="B4:I19" xr:uid="{A5CAFB4B-D636-4348-8732-1B056DDAA4BC}"/>
  <tableColumns count="8">
    <tableColumn id="9" xr3:uid="{17156FD1-0FC4-425B-BBF3-88BD7E345B54}" name="産業大分類" totalsRowLabel="合計" totalsRowDxfId="461"/>
    <tableColumn id="10" xr3:uid="{CE00FA06-910C-4793-B769-D498508856F9}" name="総数／事業所数" totalsRowFunction="custom" totalsRowDxfId="460" dataCellStyle="桁区切り" totalsRowCellStyle="桁区切り">
      <totalsRowFormula>SUM(LTBL_01607[総数／事業所数])</totalsRowFormula>
    </tableColumn>
    <tableColumn id="11" xr3:uid="{5B0E8E30-9B55-4EAC-B477-C73FE2CA9E5A}" name="総数／構成比" dataDxfId="459"/>
    <tableColumn id="12" xr3:uid="{729C265B-0123-4637-9B25-E732DEA224BA}" name="個人／事業所数" totalsRowFunction="sum" totalsRowDxfId="458" dataCellStyle="桁区切り" totalsRowCellStyle="桁区切り"/>
    <tableColumn id="13" xr3:uid="{57087738-EA98-4414-AB08-DAD5091D391F}" name="個人／構成比" dataDxfId="457"/>
    <tableColumn id="14" xr3:uid="{46EA7345-6A9B-4321-9E95-26AB85B7E13D}" name="法人／事業所数" totalsRowFunction="sum" totalsRowDxfId="456" dataCellStyle="桁区切り" totalsRowCellStyle="桁区切り"/>
    <tableColumn id="15" xr3:uid="{A4C58FFE-04FC-4731-BA9A-918A7F562E48}" name="法人／構成比" dataDxfId="455"/>
    <tableColumn id="16" xr3:uid="{39731A0E-C488-493A-A5B6-4243E9DF079C}" name="法人以外の団体／事業所数" totalsRowFunction="sum" totalsRowDxfId="454" dataCellStyle="桁区切り" totalsRowCellStyle="桁区切り"/>
  </tableColumns>
  <tableStyleInfo name="TableStyleMedium9" showFirstColumn="0" showLastColumn="0" showRowStripes="1" showColumnStripes="0"/>
</table>
</file>

<file path=xl/tables/table4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3" xr:uid="{B57B32AA-7AD0-4C48-BC12-16C28BDBB5B6}" name="M_TABLE_01607" displayName="M_TABLE_01607" ref="B23:I43" totalsRowShown="0">
  <autoFilter ref="B23:I43" xr:uid="{B57B32AA-7AD0-4C48-BC12-16C28BDBB5B6}"/>
  <tableColumns count="8">
    <tableColumn id="9" xr3:uid="{B8957FC0-1A2B-4450-8FE2-DFCCD0FADDCB}" name="産業中分類上位２０"/>
    <tableColumn id="10" xr3:uid="{D4EF57BF-8FFB-43E3-9397-19DA14C16125}" name="総数／事業所数" dataCellStyle="桁区切り"/>
    <tableColumn id="11" xr3:uid="{80CA5265-464F-4A5E-AB8E-D55589227097}" name="総数／構成比" dataDxfId="453"/>
    <tableColumn id="12" xr3:uid="{900F5A47-46CF-49B9-BDF4-529FBD255385}" name="個人／事業所数" dataCellStyle="桁区切り"/>
    <tableColumn id="13" xr3:uid="{C21DA6BD-C617-4456-84C3-DD9F1DED0437}" name="個人／構成比" dataDxfId="452"/>
    <tableColumn id="14" xr3:uid="{C2BA69A6-39AD-418C-B20F-CC1B90BDA605}" name="法人／事業所数" dataCellStyle="桁区切り"/>
    <tableColumn id="15" xr3:uid="{544230C0-18F5-4BBA-AFBF-B6C3BBF4830E}" name="法人／構成比" dataDxfId="451"/>
    <tableColumn id="16" xr3:uid="{C98220CB-3656-4EB1-A04E-6D723E082B4C}" name="法人以外の団体／事業所数" dataCellStyle="桁区切り"/>
  </tableColumns>
  <tableStyleInfo name="TableStyleMedium9" showFirstColumn="0" showLastColumn="0" showRowStripes="1" showColumnStripes="0"/>
</table>
</file>

<file path=xl/tables/table4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4" xr:uid="{E83765FD-C324-491D-953C-16CC9A2E6BC6}" name="S_TABLE_01607" displayName="S_TABLE_01607" ref="B46:I71" totalsRowShown="0">
  <autoFilter ref="B46:I71" xr:uid="{E83765FD-C324-491D-953C-16CC9A2E6BC6}"/>
  <tableColumns count="8">
    <tableColumn id="9" xr3:uid="{A1CDEA7E-46D2-4E9E-A778-4549A2195172}" name="産業小分類上位２０"/>
    <tableColumn id="10" xr3:uid="{A668C6D0-0FFE-4D86-8131-098B9727D3A9}" name="総数／事業所数" dataCellStyle="桁区切り"/>
    <tableColumn id="11" xr3:uid="{D1B4F03D-B7C6-48C5-8B9C-AAE3B484E1B3}" name="総数／構成比" dataDxfId="450"/>
    <tableColumn id="12" xr3:uid="{CA14B0D1-503C-4222-97B8-AD4B55D24D6E}" name="個人／事業所数" dataCellStyle="桁区切り"/>
    <tableColumn id="13" xr3:uid="{9D257519-4D58-43DE-9AC9-2E5E69F7141D}" name="個人／構成比" dataDxfId="449"/>
    <tableColumn id="14" xr3:uid="{D3389E4D-670A-4390-8D94-D4784F843768}" name="法人／事業所数" dataCellStyle="桁区切り"/>
    <tableColumn id="15" xr3:uid="{D967C9D7-DD1C-4466-AF4E-C40F8AA89B8B}" name="法人／構成比" dataDxfId="448"/>
    <tableColumn id="16" xr3:uid="{E53B0A11-FB23-4148-BF6B-AB4D704E93AF}" name="法人以外の団体／事業所数" dataCellStyle="桁区切り"/>
  </tableColumns>
  <tableStyleInfo name="TableStyleMedium9" showFirstColumn="0" showLastColumn="0" showRowStripes="1" showColumnStripes="0"/>
</table>
</file>

<file path=xl/tables/table4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5" xr:uid="{55ADCAAA-925C-4F4F-94F4-5B458DD2FDFE}" name="LTBL_01608" displayName="LTBL_01608" ref="B4:I20" totalsRowCount="1">
  <autoFilter ref="B4:I19" xr:uid="{55ADCAAA-925C-4F4F-94F4-5B458DD2FDFE}"/>
  <tableColumns count="8">
    <tableColumn id="9" xr3:uid="{5C585E07-1AD2-41A4-B393-CCF1AE408E6F}" name="産業大分類" totalsRowLabel="合計" totalsRowDxfId="447"/>
    <tableColumn id="10" xr3:uid="{F174D262-1255-4E5B-B4C4-40CAA81EAE1B}" name="総数／事業所数" totalsRowFunction="custom" totalsRowDxfId="446" dataCellStyle="桁区切り" totalsRowCellStyle="桁区切り">
      <totalsRowFormula>SUM(LTBL_01608[総数／事業所数])</totalsRowFormula>
    </tableColumn>
    <tableColumn id="11" xr3:uid="{E46BB2B5-9FE3-464E-B58B-9918D91ACB6D}" name="総数／構成比" dataDxfId="445"/>
    <tableColumn id="12" xr3:uid="{61FC5C03-2F9C-4850-A1FD-BA978773CE94}" name="個人／事業所数" totalsRowFunction="sum" totalsRowDxfId="444" dataCellStyle="桁区切り" totalsRowCellStyle="桁区切り"/>
    <tableColumn id="13" xr3:uid="{80AB8912-C81F-4AE1-9E18-8880F78F6E44}" name="個人／構成比" dataDxfId="443"/>
    <tableColumn id="14" xr3:uid="{97C7D82B-E112-4D72-A817-E3209CBCE679}" name="法人／事業所数" totalsRowFunction="sum" totalsRowDxfId="442" dataCellStyle="桁区切り" totalsRowCellStyle="桁区切り"/>
    <tableColumn id="15" xr3:uid="{DE6E4E07-0EB7-45D9-B46A-2956765FB74E}" name="法人／構成比" dataDxfId="441"/>
    <tableColumn id="16" xr3:uid="{FA60B0BD-D748-49A2-A020-1C8638A1016F}" name="法人以外の団体／事業所数" totalsRowFunction="sum" totalsRowDxfId="440" dataCellStyle="桁区切り" totalsRowCellStyle="桁区切り"/>
  </tableColumns>
  <tableStyleInfo name="TableStyleMedium9" showFirstColumn="0" showLastColumn="0" showRowStripes="1" showColumnStripes="0"/>
</table>
</file>

<file path=xl/tables/table4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6" xr:uid="{D9E1440F-9576-4A7A-B0BF-B862B8EC0621}" name="M_TABLE_01608" displayName="M_TABLE_01608" ref="B23:I44" totalsRowShown="0">
  <autoFilter ref="B23:I44" xr:uid="{D9E1440F-9576-4A7A-B0BF-B862B8EC0621}"/>
  <tableColumns count="8">
    <tableColumn id="9" xr3:uid="{06D613B8-A1A0-4FE9-8699-F34329CD84E0}" name="産業中分類上位２０"/>
    <tableColumn id="10" xr3:uid="{F67F7901-704F-4D34-BFC7-EFE5BA26E671}" name="総数／事業所数" dataCellStyle="桁区切り"/>
    <tableColumn id="11" xr3:uid="{793D8EE0-B84A-420D-9F3C-48E80E5D987C}" name="総数／構成比" dataDxfId="439"/>
    <tableColumn id="12" xr3:uid="{925C8E42-017F-4F37-B02E-B5A0D6FBA36D}" name="個人／事業所数" dataCellStyle="桁区切り"/>
    <tableColumn id="13" xr3:uid="{5BC1BA16-772A-4241-BFC7-ECFEDC1F389C}" name="個人／構成比" dataDxfId="438"/>
    <tableColumn id="14" xr3:uid="{CD1A531D-8AF8-4E32-9C1C-057162CC4F5C}" name="法人／事業所数" dataCellStyle="桁区切り"/>
    <tableColumn id="15" xr3:uid="{DBFFF205-BED5-4E6A-AEE7-0772F43A7753}" name="法人／構成比" dataDxfId="437"/>
    <tableColumn id="16" xr3:uid="{63F8C3E5-8844-4670-93BE-F6255E56CF37}" name="法人以外の団体／事業所数" dataCellStyle="桁区切り"/>
  </tableColumns>
  <tableStyleInfo name="TableStyleMedium9" showFirstColumn="0" showLastColumn="0" showRowStripes="1" showColumnStripes="0"/>
</table>
</file>

<file path=xl/tables/table4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F4149CEC-A5CC-408E-9309-8196913B5F92}" name="S_TABLE_01608" displayName="S_TABLE_01608" ref="B47:I76" totalsRowShown="0">
  <autoFilter ref="B47:I76" xr:uid="{F4149CEC-A5CC-408E-9309-8196913B5F92}"/>
  <tableColumns count="8">
    <tableColumn id="9" xr3:uid="{54300F72-E573-44D8-8CE2-292333DAF46C}" name="産業小分類上位２０"/>
    <tableColumn id="10" xr3:uid="{0716F658-207B-4135-9CFF-D5A1449A969A}" name="総数／事業所数" dataCellStyle="桁区切り"/>
    <tableColumn id="11" xr3:uid="{CC333813-C310-4B43-B814-4E5D5F2F725E}" name="総数／構成比" dataDxfId="436"/>
    <tableColumn id="12" xr3:uid="{8C3E253B-D22B-41EC-9EE6-9340087ACADF}" name="個人／事業所数" dataCellStyle="桁区切り"/>
    <tableColumn id="13" xr3:uid="{BE9F1C0E-360B-4432-A9C6-3AD43E464D34}" name="個人／構成比" dataDxfId="435"/>
    <tableColumn id="14" xr3:uid="{9F5A38A3-DD55-4DC9-B538-969FDA18F0B1}" name="法人／事業所数" dataCellStyle="桁区切り"/>
    <tableColumn id="15" xr3:uid="{F46F7EF1-868B-451F-857B-C0D45359062A}" name="法人／構成比" dataDxfId="434"/>
    <tableColumn id="16" xr3:uid="{59800868-ABF8-40E9-858A-2C0E737725D5}" name="法人以外の団体／事業所数" dataCellStyle="桁区切り"/>
  </tableColumns>
  <tableStyleInfo name="TableStyleMedium9" showFirstColumn="0" showLastColumn="0" showRowStripes="1" showColumnStripes="0"/>
</table>
</file>

<file path=xl/tables/table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C0A09EC7-7C0B-4F94-9F17-FB77CFF6FDDB}" name="LTBL_01609" displayName="LTBL_01609" ref="B4:I20" totalsRowCount="1">
  <autoFilter ref="B4:I19" xr:uid="{C0A09EC7-7C0B-4F94-9F17-FB77CFF6FDDB}"/>
  <tableColumns count="8">
    <tableColumn id="9" xr3:uid="{29289E1E-03B9-46D2-A30D-561BEFB74817}" name="産業大分類" totalsRowLabel="合計" totalsRowDxfId="433"/>
    <tableColumn id="10" xr3:uid="{3905985C-20A4-4BFD-8D2F-2DAD074B1C75}" name="総数／事業所数" totalsRowFunction="custom" totalsRowDxfId="432" dataCellStyle="桁区切り" totalsRowCellStyle="桁区切り">
      <totalsRowFormula>SUM(LTBL_01609[総数／事業所数])</totalsRowFormula>
    </tableColumn>
    <tableColumn id="11" xr3:uid="{ED2519A1-2AEE-4A63-9E55-49F7B6E63365}" name="総数／構成比" dataDxfId="431"/>
    <tableColumn id="12" xr3:uid="{F5C45CBC-06DB-42A4-856D-FEAF1CCA5DC5}" name="個人／事業所数" totalsRowFunction="sum" totalsRowDxfId="430" dataCellStyle="桁区切り" totalsRowCellStyle="桁区切り"/>
    <tableColumn id="13" xr3:uid="{CC6BDC7E-870F-455D-9269-A0B273E4134E}" name="個人／構成比" dataDxfId="429"/>
    <tableColumn id="14" xr3:uid="{70B82E3B-4AC9-4357-99CB-19D5DA856851}" name="法人／事業所数" totalsRowFunction="sum" totalsRowDxfId="428" dataCellStyle="桁区切り" totalsRowCellStyle="桁区切り"/>
    <tableColumn id="15" xr3:uid="{9FA3EB1D-3076-4BF4-B42B-629AA79CD45D}" name="法人／構成比" dataDxfId="427"/>
    <tableColumn id="16" xr3:uid="{82FAF8B4-CE0B-486F-82FE-4134B4965B9D}" name="法人以外の団体／事業所数" totalsRowFunction="sum" totalsRowDxfId="426" dataCellStyle="桁区切り" totalsRowCellStyle="桁区切り"/>
  </tableColumns>
  <tableStyleInfo name="TableStyleMedium9" showFirstColumn="0" showLastColumn="0" showRowStripes="1" showColumnStripes="0"/>
</table>
</file>

<file path=xl/tables/table4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47FF5C44-FBF1-4603-8B8F-AA4F268D49BF}" name="M_TABLE_01609" displayName="M_TABLE_01609" ref="B23:I44" totalsRowShown="0">
  <autoFilter ref="B23:I44" xr:uid="{47FF5C44-FBF1-4603-8B8F-AA4F268D49BF}"/>
  <tableColumns count="8">
    <tableColumn id="9" xr3:uid="{55FA9DE2-88BE-467E-806C-476887D9C9CF}" name="産業中分類上位２０"/>
    <tableColumn id="10" xr3:uid="{E74BBBD5-C5A7-4D34-9A51-69508889CDF6}" name="総数／事業所数" dataCellStyle="桁区切り"/>
    <tableColumn id="11" xr3:uid="{D4DB1382-0A62-4976-B1B1-852BC6E4E31C}" name="総数／構成比" dataDxfId="425"/>
    <tableColumn id="12" xr3:uid="{B81903F9-F772-4621-AF94-DED1BC68977D}" name="個人／事業所数" dataCellStyle="桁区切り"/>
    <tableColumn id="13" xr3:uid="{282D361A-E01A-4AF9-B3E1-DD27B8EA41D2}" name="個人／構成比" dataDxfId="424"/>
    <tableColumn id="14" xr3:uid="{2598C443-7B4C-41E2-A854-C86FBAB95474}" name="法人／事業所数" dataCellStyle="桁区切り"/>
    <tableColumn id="15" xr3:uid="{DB8B3F96-C44D-45D0-A18E-5B7DAB2C84D4}" name="法人／構成比" dataDxfId="423"/>
    <tableColumn id="16" xr3:uid="{0A3A3951-4632-47D0-807D-D2A932388FD4}" name="法人以外の団体／事業所数" dataCellStyle="桁区切り"/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63295C20-C326-4DE0-8A1E-AAA81AA05129}" name="S_TABLE_01205" displayName="S_TABLE_01205" ref="B46:I66" totalsRowShown="0">
  <autoFilter ref="B46:I66" xr:uid="{63295C20-C326-4DE0-8A1E-AAA81AA05129}"/>
  <tableColumns count="8">
    <tableColumn id="9" xr3:uid="{D61ABF71-FB90-4D1A-9874-4E33CCA3DACB}" name="産業小分類上位２０"/>
    <tableColumn id="10" xr3:uid="{73674E6C-73FC-475B-A589-0075240D228E}" name="総数／事業所数" dataCellStyle="桁区切り"/>
    <tableColumn id="11" xr3:uid="{6E2C431C-3A4C-4DFB-A689-A7B49A2B540E}" name="総数／構成比" dataDxfId="2438"/>
    <tableColumn id="12" xr3:uid="{3BA9EFC8-B121-42F5-AF5C-610E9C26E947}" name="個人／事業所数" dataCellStyle="桁区切り"/>
    <tableColumn id="13" xr3:uid="{17BA7B8F-8EA8-42D3-89FF-59D28ADF2B18}" name="個人／構成比" dataDxfId="2437"/>
    <tableColumn id="14" xr3:uid="{6F2E111A-98EE-4C40-BA0E-94B12EF8EB80}" name="法人／事業所数" dataCellStyle="桁区切り"/>
    <tableColumn id="15" xr3:uid="{208CA255-CC18-4C8D-8A7D-08C8EA78E049}" name="法人／構成比" dataDxfId="2436"/>
    <tableColumn id="16" xr3:uid="{B76D9EF2-EFC0-4E25-81D1-EE1A03608680}" name="法人以外の団体／事業所数" dataCellStyle="桁区切り"/>
  </tableColumns>
  <tableStyleInfo name="TableStyleMedium9" showFirstColumn="0" showLastColumn="0" showRowStripes="1" showColumnStripes="0"/>
</table>
</file>

<file path=xl/tables/table4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0" xr:uid="{2CEE03C7-C02E-4D59-BEC8-25CAB3766033}" name="S_TABLE_01609" displayName="S_TABLE_01609" ref="B47:I68" totalsRowShown="0">
  <autoFilter ref="B47:I68" xr:uid="{2CEE03C7-C02E-4D59-BEC8-25CAB3766033}"/>
  <tableColumns count="8">
    <tableColumn id="9" xr3:uid="{E5EAA982-721B-4370-8060-CD93EF31A27B}" name="産業小分類上位２０"/>
    <tableColumn id="10" xr3:uid="{6B2AB6E0-9108-4826-AE01-379306087A88}" name="総数／事業所数" dataCellStyle="桁区切り"/>
    <tableColumn id="11" xr3:uid="{34E5A9F8-4317-4AC3-8EE8-87510A8EDCAB}" name="総数／構成比" dataDxfId="422"/>
    <tableColumn id="12" xr3:uid="{4A6E484C-B957-4EAB-8FD6-967B98ADB67A}" name="個人／事業所数" dataCellStyle="桁区切り"/>
    <tableColumn id="13" xr3:uid="{61E8BEB5-27C1-497A-BD3F-E9B21855E39A}" name="個人／構成比" dataDxfId="421"/>
    <tableColumn id="14" xr3:uid="{C1324FFA-1573-4399-AF71-100FF2C5A45D}" name="法人／事業所数" dataCellStyle="桁区切り"/>
    <tableColumn id="15" xr3:uid="{B30D189F-18A9-45D5-A0D9-52C6C15F6B66}" name="法人／構成比" dataDxfId="420"/>
    <tableColumn id="16" xr3:uid="{58062C36-D864-42E4-A71F-C03050E0E2EA}" name="法人以外の団体／事業所数" dataCellStyle="桁区切り"/>
  </tableColumns>
  <tableStyleInfo name="TableStyleMedium9" showFirstColumn="0" showLastColumn="0" showRowStripes="1" showColumnStripes="0"/>
</table>
</file>

<file path=xl/tables/table4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1" xr:uid="{F2286D57-6753-43D3-865B-70B4C56D0F42}" name="LTBL_01610" displayName="LTBL_01610" ref="B4:I20" totalsRowCount="1">
  <autoFilter ref="B4:I19" xr:uid="{F2286D57-6753-43D3-865B-70B4C56D0F42}"/>
  <tableColumns count="8">
    <tableColumn id="9" xr3:uid="{291D45ED-1CAF-416B-AB68-8414AE9D573B}" name="産業大分類" totalsRowLabel="合計" totalsRowDxfId="419"/>
    <tableColumn id="10" xr3:uid="{CC335AE6-AD22-4801-B1BC-A8FEE2A615DB}" name="総数／事業所数" totalsRowFunction="custom" totalsRowDxfId="418" dataCellStyle="桁区切り" totalsRowCellStyle="桁区切り">
      <totalsRowFormula>SUM(LTBL_01610[総数／事業所数])</totalsRowFormula>
    </tableColumn>
    <tableColumn id="11" xr3:uid="{A0298D8F-23F4-48C3-A366-9DC8849077C2}" name="総数／構成比" dataDxfId="417"/>
    <tableColumn id="12" xr3:uid="{2FC7FA70-7791-495C-B068-3617B09D37D8}" name="個人／事業所数" totalsRowFunction="sum" totalsRowDxfId="416" dataCellStyle="桁区切り" totalsRowCellStyle="桁区切り"/>
    <tableColumn id="13" xr3:uid="{0E75267A-7266-4059-9243-3235E7D558A9}" name="個人／構成比" dataDxfId="415"/>
    <tableColumn id="14" xr3:uid="{5AB0868F-D9C9-480C-A786-87E7093800E5}" name="法人／事業所数" totalsRowFunction="sum" totalsRowDxfId="414" dataCellStyle="桁区切り" totalsRowCellStyle="桁区切り"/>
    <tableColumn id="15" xr3:uid="{2A70E834-81C6-4BA1-8E10-4D4EB2C45717}" name="法人／構成比" dataDxfId="413"/>
    <tableColumn id="16" xr3:uid="{60160068-360E-416E-A85F-D85865789A04}" name="法人以外の団体／事業所数" totalsRowFunction="sum" totalsRowDxfId="412" dataCellStyle="桁区切り" totalsRowCellStyle="桁区切り"/>
  </tableColumns>
  <tableStyleInfo name="TableStyleMedium9" showFirstColumn="0" showLastColumn="0" showRowStripes="1" showColumnStripes="0"/>
</table>
</file>

<file path=xl/tables/table4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2" xr:uid="{88F52AC1-F427-4052-A0E4-896DD127EE0F}" name="M_TABLE_01610" displayName="M_TABLE_01610" ref="B23:I46" totalsRowShown="0">
  <autoFilter ref="B23:I46" xr:uid="{88F52AC1-F427-4052-A0E4-896DD127EE0F}"/>
  <tableColumns count="8">
    <tableColumn id="9" xr3:uid="{9ED32998-AC97-42D9-8DCE-C9BEB6B2C349}" name="産業中分類上位２０"/>
    <tableColumn id="10" xr3:uid="{81D73D6F-470D-4D9C-A0FF-605FFF80E9AF}" name="総数／事業所数" dataCellStyle="桁区切り"/>
    <tableColumn id="11" xr3:uid="{1AB7800A-DE28-422A-BAB9-1017411A5B07}" name="総数／構成比" dataDxfId="411"/>
    <tableColumn id="12" xr3:uid="{14D8D2D0-3763-44D2-B351-051AA13A8691}" name="個人／事業所数" dataCellStyle="桁区切り"/>
    <tableColumn id="13" xr3:uid="{D6CCE005-6C55-4CC4-A8A0-41CC7FF2E3A3}" name="個人／構成比" dataDxfId="410"/>
    <tableColumn id="14" xr3:uid="{4F02AB91-7A1E-4FEF-AE77-616FFBFE317D}" name="法人／事業所数" dataCellStyle="桁区切り"/>
    <tableColumn id="15" xr3:uid="{6CA9922F-E6B0-447B-9C8C-6F57588C4E6D}" name="法人／構成比" dataDxfId="409"/>
    <tableColumn id="16" xr3:uid="{9F499319-905B-4E0E-B7FB-7E4DE5C2FC66}" name="法人以外の団体／事業所数" dataCellStyle="桁区切り"/>
  </tableColumns>
  <tableStyleInfo name="TableStyleMedium9" showFirstColumn="0" showLastColumn="0" showRowStripes="1" showColumnStripes="0"/>
</table>
</file>

<file path=xl/tables/table4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3" xr:uid="{8CDE0A24-32F3-4A96-A147-CFDF0DAD37F7}" name="S_TABLE_01610" displayName="S_TABLE_01610" ref="B49:I69" totalsRowShown="0">
  <autoFilter ref="B49:I69" xr:uid="{8CDE0A24-32F3-4A96-A147-CFDF0DAD37F7}"/>
  <tableColumns count="8">
    <tableColumn id="9" xr3:uid="{E8874EAB-99FF-436C-BB76-95F04AE2D339}" name="産業小分類上位２０"/>
    <tableColumn id="10" xr3:uid="{30DF0ACD-E977-43E5-90FD-3956F44FCA39}" name="総数／事業所数" dataCellStyle="桁区切り"/>
    <tableColumn id="11" xr3:uid="{1379A14E-3E6C-4C44-AE92-1179B3C98D2F}" name="総数／構成比" dataDxfId="408"/>
    <tableColumn id="12" xr3:uid="{BFC4553B-9DF2-4025-B840-2CB350C95F74}" name="個人／事業所数" dataCellStyle="桁区切り"/>
    <tableColumn id="13" xr3:uid="{A11342A6-3219-4276-82D0-738449E76913}" name="個人／構成比" dataDxfId="407"/>
    <tableColumn id="14" xr3:uid="{2D2B6137-8A2B-4778-B899-3A70843A544C}" name="法人／事業所数" dataCellStyle="桁区切り"/>
    <tableColumn id="15" xr3:uid="{EB8680A2-6A53-4296-929F-1BE5B6BDAD60}" name="法人／構成比" dataDxfId="406"/>
    <tableColumn id="16" xr3:uid="{0B0FD726-E96C-471B-845E-67FA36D863B0}" name="法人以外の団体／事業所数" dataCellStyle="桁区切り"/>
  </tableColumns>
  <tableStyleInfo name="TableStyleMedium9" showFirstColumn="0" showLastColumn="0" showRowStripes="1" showColumnStripes="0"/>
</table>
</file>

<file path=xl/tables/table4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4" xr:uid="{7DD591BC-3177-4A15-AB94-62FAD23E724F}" name="LTBL_01631" displayName="LTBL_01631" ref="B4:I20" totalsRowCount="1">
  <autoFilter ref="B4:I19" xr:uid="{7DD591BC-3177-4A15-AB94-62FAD23E724F}"/>
  <tableColumns count="8">
    <tableColumn id="9" xr3:uid="{FC9789B9-016C-49B8-968C-7AE5CF29EE40}" name="産業大分類" totalsRowLabel="合計" totalsRowDxfId="405"/>
    <tableColumn id="10" xr3:uid="{553CF27A-429B-4E7B-AC88-4B4675E69898}" name="総数／事業所数" totalsRowFunction="custom" totalsRowDxfId="404" dataCellStyle="桁区切り" totalsRowCellStyle="桁区切り">
      <totalsRowFormula>SUM(LTBL_01631[総数／事業所数])</totalsRowFormula>
    </tableColumn>
    <tableColumn id="11" xr3:uid="{A641267C-8370-4F0D-9DB1-1508CE3A317E}" name="総数／構成比" dataDxfId="403"/>
    <tableColumn id="12" xr3:uid="{DEE651A5-001E-420D-AFB8-F91D0632E2A8}" name="個人／事業所数" totalsRowFunction="sum" totalsRowDxfId="402" dataCellStyle="桁区切り" totalsRowCellStyle="桁区切り"/>
    <tableColumn id="13" xr3:uid="{CD4C032A-6D9C-436B-B13A-FAA9A4E74718}" name="個人／構成比" dataDxfId="401"/>
    <tableColumn id="14" xr3:uid="{85589AC0-ECEF-448C-AEF6-705AA4C768B2}" name="法人／事業所数" totalsRowFunction="sum" totalsRowDxfId="400" dataCellStyle="桁区切り" totalsRowCellStyle="桁区切り"/>
    <tableColumn id="15" xr3:uid="{B8420005-E6B6-4274-816E-64F92CEFBB97}" name="法人／構成比" dataDxfId="399"/>
    <tableColumn id="16" xr3:uid="{CFC181A4-0C8C-465C-B13E-F51248FC65D3}" name="法人以外の団体／事業所数" totalsRowFunction="sum" totalsRowDxfId="398" dataCellStyle="桁区切り" totalsRowCellStyle="桁区切り"/>
  </tableColumns>
  <tableStyleInfo name="TableStyleMedium9" showFirstColumn="0" showLastColumn="0" showRowStripes="1" showColumnStripes="0"/>
</table>
</file>

<file path=xl/tables/table4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5" xr:uid="{2D0AA4BD-E6A6-4873-AA96-9BFE93245BBE}" name="M_TABLE_01631" displayName="M_TABLE_01631" ref="B23:I43" totalsRowShown="0">
  <autoFilter ref="B23:I43" xr:uid="{2D0AA4BD-E6A6-4873-AA96-9BFE93245BBE}"/>
  <tableColumns count="8">
    <tableColumn id="9" xr3:uid="{9C646314-874A-44B6-A4D4-AC34A0732B1F}" name="産業中分類上位２０"/>
    <tableColumn id="10" xr3:uid="{690544FD-08F2-4F7B-AFE2-3C0380DEBAA0}" name="総数／事業所数" dataCellStyle="桁区切り"/>
    <tableColumn id="11" xr3:uid="{24ABF10F-5A02-44F7-8AE4-C64C939A4468}" name="総数／構成比" dataDxfId="397"/>
    <tableColumn id="12" xr3:uid="{A8FD265A-BD99-4ECE-8C7B-CB7B285C037C}" name="個人／事業所数" dataCellStyle="桁区切り"/>
    <tableColumn id="13" xr3:uid="{1637A925-E466-4988-AE50-5F90E8585746}" name="個人／構成比" dataDxfId="396"/>
    <tableColumn id="14" xr3:uid="{0888C058-A804-44A7-852D-03DB82AD02A1}" name="法人／事業所数" dataCellStyle="桁区切り"/>
    <tableColumn id="15" xr3:uid="{A18E42C6-D307-4257-A7AA-8FAFCFD33C6F}" name="法人／構成比" dataDxfId="395"/>
    <tableColumn id="16" xr3:uid="{7D3E3399-0156-469C-A435-BAC677A54788}" name="法人以外の団体／事業所数" dataCellStyle="桁区切り"/>
  </tableColumns>
  <tableStyleInfo name="TableStyleMedium9" showFirstColumn="0" showLastColumn="0" showRowStripes="1" showColumnStripes="0"/>
</table>
</file>

<file path=xl/tables/table4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6" xr:uid="{4D856CE9-58C7-44BB-9C01-8650BB1C08FF}" name="S_TABLE_01631" displayName="S_TABLE_01631" ref="B46:I66" totalsRowShown="0">
  <autoFilter ref="B46:I66" xr:uid="{4D856CE9-58C7-44BB-9C01-8650BB1C08FF}"/>
  <tableColumns count="8">
    <tableColumn id="9" xr3:uid="{F0F06893-69A2-4D46-A99F-E9DFE768B9CA}" name="産業小分類上位２０"/>
    <tableColumn id="10" xr3:uid="{B46F5199-51FC-43F7-BBA6-8F22DDDDB071}" name="総数／事業所数" dataCellStyle="桁区切り"/>
    <tableColumn id="11" xr3:uid="{DDCB38E9-EDF9-440D-9DE1-AA2674EC240D}" name="総数／構成比" dataDxfId="394"/>
    <tableColumn id="12" xr3:uid="{E1FF75B4-3BAD-42F9-A18D-591DB444C9C9}" name="個人／事業所数" dataCellStyle="桁区切り"/>
    <tableColumn id="13" xr3:uid="{61CD2210-5C17-434E-817D-444B178ECC5B}" name="個人／構成比" dataDxfId="393"/>
    <tableColumn id="14" xr3:uid="{4E2CE51B-6582-4A2F-AED5-48F9BD0CD993}" name="法人／事業所数" dataCellStyle="桁区切り"/>
    <tableColumn id="15" xr3:uid="{ACE84F24-47D4-43BA-A279-D19E1A8DAD46}" name="法人／構成比" dataDxfId="392"/>
    <tableColumn id="16" xr3:uid="{C6CEF14B-7C9A-4642-8765-B5FB0B4B827C}" name="法人以外の団体／事業所数" dataCellStyle="桁区切り"/>
  </tableColumns>
  <tableStyleInfo name="TableStyleMedium9" showFirstColumn="0" showLastColumn="0" showRowStripes="1" showColumnStripes="0"/>
</table>
</file>

<file path=xl/tables/table4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7" xr:uid="{5E70ED10-9904-40F2-A78A-D5331C0FE48C}" name="LTBL_01632" displayName="LTBL_01632" ref="B4:I20" totalsRowCount="1">
  <autoFilter ref="B4:I19" xr:uid="{5E70ED10-9904-40F2-A78A-D5331C0FE48C}"/>
  <tableColumns count="8">
    <tableColumn id="9" xr3:uid="{13DEB1A9-9534-4BF2-9629-D26B345BA362}" name="産業大分類" totalsRowLabel="合計" totalsRowDxfId="391"/>
    <tableColumn id="10" xr3:uid="{D1622636-D3A7-4DAB-91F5-8105319E3CF7}" name="総数／事業所数" totalsRowFunction="custom" totalsRowDxfId="390" dataCellStyle="桁区切り" totalsRowCellStyle="桁区切り">
      <totalsRowFormula>SUM(LTBL_01632[総数／事業所数])</totalsRowFormula>
    </tableColumn>
    <tableColumn id="11" xr3:uid="{C6B71CB7-78BB-4D8E-B0FB-F60B05BE04BF}" name="総数／構成比" dataDxfId="389"/>
    <tableColumn id="12" xr3:uid="{DE618591-7CE9-4C59-95C9-981D9C45C71F}" name="個人／事業所数" totalsRowFunction="sum" totalsRowDxfId="388" dataCellStyle="桁区切り" totalsRowCellStyle="桁区切り"/>
    <tableColumn id="13" xr3:uid="{3B6AD9C4-93E8-4A01-9676-5A549774C8B6}" name="個人／構成比" dataDxfId="387"/>
    <tableColumn id="14" xr3:uid="{324361AE-BB7E-4B37-8477-3CEAF4E831D6}" name="法人／事業所数" totalsRowFunction="sum" totalsRowDxfId="386" dataCellStyle="桁区切り" totalsRowCellStyle="桁区切り"/>
    <tableColumn id="15" xr3:uid="{8FA79AA3-F2FF-49E7-B82E-D06043BBA325}" name="法人／構成比" dataDxfId="385"/>
    <tableColumn id="16" xr3:uid="{ADDBA386-8392-44D8-87DF-F7B5186FC402}" name="法人以外の団体／事業所数" totalsRowFunction="sum" totalsRowDxfId="384" dataCellStyle="桁区切り" totalsRowCellStyle="桁区切り"/>
  </tableColumns>
  <tableStyleInfo name="TableStyleMedium9" showFirstColumn="0" showLastColumn="0" showRowStripes="1" showColumnStripes="0"/>
</table>
</file>

<file path=xl/tables/table4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8" xr:uid="{AD61D776-E241-4706-B69C-9486EA2F0899}" name="M_TABLE_01632" displayName="M_TABLE_01632" ref="B23:I56" totalsRowShown="0">
  <autoFilter ref="B23:I56" xr:uid="{AD61D776-E241-4706-B69C-9486EA2F0899}"/>
  <tableColumns count="8">
    <tableColumn id="9" xr3:uid="{F020C19A-F97A-40EE-AE24-2158CDD733F4}" name="産業中分類上位２０"/>
    <tableColumn id="10" xr3:uid="{99096B5F-BD3C-462A-BAE4-7B06AF52B763}" name="総数／事業所数" dataCellStyle="桁区切り"/>
    <tableColumn id="11" xr3:uid="{D0D8A9DC-EEA9-4255-93EF-99E62C253BC3}" name="総数／構成比" dataDxfId="383"/>
    <tableColumn id="12" xr3:uid="{DB7ECD37-FEF0-486B-9A84-DE42209A67E9}" name="個人／事業所数" dataCellStyle="桁区切り"/>
    <tableColumn id="13" xr3:uid="{A8EE9597-01B0-4FB0-8559-86B23B8A9B84}" name="個人／構成比" dataDxfId="382"/>
    <tableColumn id="14" xr3:uid="{A121F8D1-177B-45CC-8B0D-5A1D2C1D5D3C}" name="法人／事業所数" dataCellStyle="桁区切り"/>
    <tableColumn id="15" xr3:uid="{17EDA6CA-3F57-4FDB-AA48-8DE12FF2A85D}" name="法人／構成比" dataDxfId="381"/>
    <tableColumn id="16" xr3:uid="{49EF3C9D-36C7-4FBB-ABBF-DA176C43C302}" name="法人以外の団体／事業所数" dataCellStyle="桁区切り"/>
  </tableColumns>
  <tableStyleInfo name="TableStyleMedium9" showFirstColumn="0" showLastColumn="0" showRowStripes="1" showColumnStripes="0"/>
</table>
</file>

<file path=xl/tables/table4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9" xr:uid="{BAAA5F4B-F42E-4F2F-82E8-461F3C468029}" name="S_TABLE_01632" displayName="S_TABLE_01632" ref="B59:I89" totalsRowShown="0">
  <autoFilter ref="B59:I89" xr:uid="{BAAA5F4B-F42E-4F2F-82E8-461F3C468029}"/>
  <tableColumns count="8">
    <tableColumn id="9" xr3:uid="{8CB7853B-5053-4F55-BE96-95E35AE33498}" name="産業小分類上位２０"/>
    <tableColumn id="10" xr3:uid="{B58285A1-07B3-47B1-931F-7C0FFB676F1F}" name="総数／事業所数" dataCellStyle="桁区切り"/>
    <tableColumn id="11" xr3:uid="{DD7D5F30-FF76-4467-9F44-8F6A20E537BC}" name="総数／構成比" dataDxfId="380"/>
    <tableColumn id="12" xr3:uid="{32158544-5D17-4726-9494-39B09D980EE8}" name="個人／事業所数" dataCellStyle="桁区切り"/>
    <tableColumn id="13" xr3:uid="{E7B0404B-1C40-4804-A8D1-3AC7148D4730}" name="個人／構成比" dataDxfId="379"/>
    <tableColumn id="14" xr3:uid="{BB6ACE9C-306A-4574-8F38-DD8FC37F907D}" name="法人／事業所数" dataCellStyle="桁区切り"/>
    <tableColumn id="15" xr3:uid="{E7BDAB17-F543-49BD-8D04-5E71937BFE47}" name="法人／構成比" dataDxfId="378"/>
    <tableColumn id="16" xr3:uid="{117310D5-D343-4247-BA37-4ABC47E87041}" name="法人以外の団体／事業所数" dataCellStyle="桁区切り"/>
  </tableColumns>
  <tableStyleInfo name="TableStyleMedium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C7744839-04F9-4346-B24D-9B65695C4158}" name="LTBL_01206" displayName="LTBL_01206" ref="B4:I20" totalsRowCount="1">
  <autoFilter ref="B4:I19" xr:uid="{C7744839-04F9-4346-B24D-9B65695C4158}"/>
  <tableColumns count="8">
    <tableColumn id="9" xr3:uid="{3438262E-E990-46A3-B297-1EC02921053A}" name="産業大分類" totalsRowLabel="合計" totalsRowDxfId="2435"/>
    <tableColumn id="10" xr3:uid="{BA91DBF4-C804-41F4-A84E-772B27EB49B1}" name="総数／事業所数" totalsRowFunction="custom" totalsRowDxfId="2434" dataCellStyle="桁区切り" totalsRowCellStyle="桁区切り">
      <totalsRowFormula>SUM(LTBL_01206[総数／事業所数])</totalsRowFormula>
    </tableColumn>
    <tableColumn id="11" xr3:uid="{6068419A-55EB-4188-A42B-DF86175EF7DD}" name="総数／構成比" dataDxfId="2433"/>
    <tableColumn id="12" xr3:uid="{6C136637-80F9-4E7F-BDCA-7684F04C7843}" name="個人／事業所数" totalsRowFunction="sum" totalsRowDxfId="2432" dataCellStyle="桁区切り" totalsRowCellStyle="桁区切り"/>
    <tableColumn id="13" xr3:uid="{D99EB646-DAEB-456F-88A3-D16EDA56E3F5}" name="個人／構成比" dataDxfId="2431"/>
    <tableColumn id="14" xr3:uid="{8971E238-DE1C-4444-B31F-23163C6831CD}" name="法人／事業所数" totalsRowFunction="sum" totalsRowDxfId="2430" dataCellStyle="桁区切り" totalsRowCellStyle="桁区切り"/>
    <tableColumn id="15" xr3:uid="{4D50EB30-C912-40E6-AA8C-FEEA4457AFF7}" name="法人／構成比" dataDxfId="2429"/>
    <tableColumn id="16" xr3:uid="{346BF65B-1D9F-4A61-87D9-2B6CBE24730F}" name="法人以外の団体／事業所数" totalsRowFunction="sum" totalsRowDxfId="2428" dataCellStyle="桁区切り" totalsRowCellStyle="桁区切り"/>
  </tableColumns>
  <tableStyleInfo name="TableStyleMedium9" showFirstColumn="0" showLastColumn="0" showRowStripes="1" showColumnStripes="0"/>
</table>
</file>

<file path=xl/tables/table4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0" xr:uid="{6A1F4009-0D3F-4D4B-A8E5-4269F989C5CE}" name="LTBL_01633" displayName="LTBL_01633" ref="B4:I20" totalsRowCount="1">
  <autoFilter ref="B4:I19" xr:uid="{6A1F4009-0D3F-4D4B-A8E5-4269F989C5CE}"/>
  <tableColumns count="8">
    <tableColumn id="9" xr3:uid="{AF4AE3D9-A579-43BA-BF85-74C324C57569}" name="産業大分類" totalsRowLabel="合計" totalsRowDxfId="377"/>
    <tableColumn id="10" xr3:uid="{1B3AC241-DA26-450A-BF48-D1FB4DF2BC79}" name="総数／事業所数" totalsRowFunction="custom" totalsRowDxfId="376" dataCellStyle="桁区切り" totalsRowCellStyle="桁区切り">
      <totalsRowFormula>SUM(LTBL_01633[総数／事業所数])</totalsRowFormula>
    </tableColumn>
    <tableColumn id="11" xr3:uid="{B5ACEDF8-7FCD-458D-8017-5EECB806FC3D}" name="総数／構成比" dataDxfId="375"/>
    <tableColumn id="12" xr3:uid="{CE2F6B46-E8D3-49CF-AB31-D83A11C7A4C7}" name="個人／事業所数" totalsRowFunction="sum" totalsRowDxfId="374" dataCellStyle="桁区切り" totalsRowCellStyle="桁区切り"/>
    <tableColumn id="13" xr3:uid="{EB453B4E-F13B-43AC-883C-C816F716BE4D}" name="個人／構成比" dataDxfId="373"/>
    <tableColumn id="14" xr3:uid="{8F7AAABE-430D-4CC9-868C-91586172BC55}" name="法人／事業所数" totalsRowFunction="sum" totalsRowDxfId="372" dataCellStyle="桁区切り" totalsRowCellStyle="桁区切り"/>
    <tableColumn id="15" xr3:uid="{306501F1-65B3-495F-A761-3DFF3C9242D3}" name="法人／構成比" dataDxfId="371"/>
    <tableColumn id="16" xr3:uid="{AE7BD76E-C4E2-400D-A76A-D21F0C0A12E4}" name="法人以外の団体／事業所数" totalsRowFunction="sum" totalsRowDxfId="370" dataCellStyle="桁区切り" totalsRowCellStyle="桁区切り"/>
  </tableColumns>
  <tableStyleInfo name="TableStyleMedium9" showFirstColumn="0" showLastColumn="0" showRowStripes="1" showColumnStripes="0"/>
</table>
</file>

<file path=xl/tables/table4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1" xr:uid="{979BB12F-F577-47E9-BEB6-25AC5EFAF5C6}" name="M_TABLE_01633" displayName="M_TABLE_01633" ref="B23:I48" totalsRowShown="0">
  <autoFilter ref="B23:I48" xr:uid="{979BB12F-F577-47E9-BEB6-25AC5EFAF5C6}"/>
  <tableColumns count="8">
    <tableColumn id="9" xr3:uid="{65A40E09-414E-4D61-BE31-1E2040D0AFB4}" name="産業中分類上位２０"/>
    <tableColumn id="10" xr3:uid="{DF74E372-E58A-48CB-ADB5-2606F8101AA2}" name="総数／事業所数" dataCellStyle="桁区切り"/>
    <tableColumn id="11" xr3:uid="{3DB0BE6C-4DE1-46E0-90A5-22936827DA26}" name="総数／構成比" dataDxfId="369"/>
    <tableColumn id="12" xr3:uid="{E40366BF-C7A5-41E8-A8F6-F0B77A72042B}" name="個人／事業所数" dataCellStyle="桁区切り"/>
    <tableColumn id="13" xr3:uid="{4640F5C9-5028-4689-9CD1-D2B8DACE43EA}" name="個人／構成比" dataDxfId="368"/>
    <tableColumn id="14" xr3:uid="{E07436D5-95E6-4FD7-9793-E67AF164FAD9}" name="法人／事業所数" dataCellStyle="桁区切り"/>
    <tableColumn id="15" xr3:uid="{C659FAC6-6C5D-4472-8836-158475154503}" name="法人／構成比" dataDxfId="367"/>
    <tableColumn id="16" xr3:uid="{FDFA88DC-292E-4CA0-92F3-F7BB2F13D092}" name="法人以外の団体／事業所数" dataCellStyle="桁区切り"/>
  </tableColumns>
  <tableStyleInfo name="TableStyleMedium9" showFirstColumn="0" showLastColumn="0" showRowStripes="1" showColumnStripes="0"/>
</table>
</file>

<file path=xl/tables/table4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2" xr:uid="{F32FA339-95AA-409E-B928-F420D0B3D9FD}" name="S_TABLE_01633" displayName="S_TABLE_01633" ref="B51:I82" totalsRowShown="0">
  <autoFilter ref="B51:I82" xr:uid="{F32FA339-95AA-409E-B928-F420D0B3D9FD}"/>
  <tableColumns count="8">
    <tableColumn id="9" xr3:uid="{60AEE2FB-3EE6-414F-83F0-81D3A6932B7A}" name="産業小分類上位２０"/>
    <tableColumn id="10" xr3:uid="{43B25027-D4F1-499F-B232-CB7663D53A7A}" name="総数／事業所数" dataCellStyle="桁区切り"/>
    <tableColumn id="11" xr3:uid="{FD6E3C01-421B-4CFB-A788-8E21F9872DEF}" name="総数／構成比" dataDxfId="366"/>
    <tableColumn id="12" xr3:uid="{CB580715-8CD5-41EF-9454-C956D36FEBD7}" name="個人／事業所数" dataCellStyle="桁区切り"/>
    <tableColumn id="13" xr3:uid="{309EB8E1-E92D-43E3-96EB-55DCA88F911B}" name="個人／構成比" dataDxfId="365"/>
    <tableColumn id="14" xr3:uid="{5A1973E4-5F3E-4B0A-BD24-7F7DDDE0E174}" name="法人／事業所数" dataCellStyle="桁区切り"/>
    <tableColumn id="15" xr3:uid="{91FD3100-F0DD-4277-99C6-76059653B328}" name="法人／構成比" dataDxfId="364"/>
    <tableColumn id="16" xr3:uid="{65AB22F0-B78F-4BD2-8EB4-45AEF8B6BEEC}" name="法人以外の団体／事業所数" dataCellStyle="桁区切り"/>
  </tableColumns>
  <tableStyleInfo name="TableStyleMedium9" showFirstColumn="0" showLastColumn="0" showRowStripes="1" showColumnStripes="0"/>
</table>
</file>

<file path=xl/tables/table4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3" xr:uid="{ABE4FD04-D1BE-4EF8-B45A-E659022E4E80}" name="LTBL_01634" displayName="LTBL_01634" ref="B4:I20" totalsRowCount="1">
  <autoFilter ref="B4:I19" xr:uid="{ABE4FD04-D1BE-4EF8-B45A-E659022E4E80}"/>
  <tableColumns count="8">
    <tableColumn id="9" xr3:uid="{8BD27E9C-4EB5-4FF6-9902-302C66ADD50B}" name="産業大分類" totalsRowLabel="合計" totalsRowDxfId="363"/>
    <tableColumn id="10" xr3:uid="{BF099016-2E71-406F-A099-CC842DF2A1B2}" name="総数／事業所数" totalsRowFunction="custom" totalsRowDxfId="362" dataCellStyle="桁区切り" totalsRowCellStyle="桁区切り">
      <totalsRowFormula>SUM(LTBL_01634[総数／事業所数])</totalsRowFormula>
    </tableColumn>
    <tableColumn id="11" xr3:uid="{5794A5F0-9D44-4166-8D62-6E858AE6CC51}" name="総数／構成比" dataDxfId="361"/>
    <tableColumn id="12" xr3:uid="{1EE9B181-314F-455B-9CBD-0D291254DA8E}" name="個人／事業所数" totalsRowFunction="sum" totalsRowDxfId="360" dataCellStyle="桁区切り" totalsRowCellStyle="桁区切り"/>
    <tableColumn id="13" xr3:uid="{FD773D5E-92D2-423F-9E0F-2CC1FA70871C}" name="個人／構成比" dataDxfId="359"/>
    <tableColumn id="14" xr3:uid="{3FA7DEBA-834E-4E55-942A-3DD576C487B9}" name="法人／事業所数" totalsRowFunction="sum" totalsRowDxfId="358" dataCellStyle="桁区切り" totalsRowCellStyle="桁区切り"/>
    <tableColumn id="15" xr3:uid="{8B16C2A4-C745-41E3-A7FF-F86B3668198F}" name="法人／構成比" dataDxfId="357"/>
    <tableColumn id="16" xr3:uid="{6C571A00-3442-4A93-B1FC-00EFCF36B53C}" name="法人以外の団体／事業所数" totalsRowFunction="sum" totalsRowDxfId="356" dataCellStyle="桁区切り" totalsRowCellStyle="桁区切り"/>
  </tableColumns>
  <tableStyleInfo name="TableStyleMedium9" showFirstColumn="0" showLastColumn="0" showRowStripes="1" showColumnStripes="0"/>
</table>
</file>

<file path=xl/tables/table4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4" xr:uid="{0977AB34-CD04-4DBA-B27F-26E4AB0B5277}" name="M_TABLE_01634" displayName="M_TABLE_01634" ref="B23:I43" totalsRowShown="0">
  <autoFilter ref="B23:I43" xr:uid="{0977AB34-CD04-4DBA-B27F-26E4AB0B5277}"/>
  <tableColumns count="8">
    <tableColumn id="9" xr3:uid="{08D50301-EA57-4BB8-8E09-FE9DB0E6E4E5}" name="産業中分類上位２０"/>
    <tableColumn id="10" xr3:uid="{C4E2BD65-13DD-4406-91E2-7825460C13DE}" name="総数／事業所数" dataCellStyle="桁区切り"/>
    <tableColumn id="11" xr3:uid="{A24A7C80-97A0-43B4-9110-61AD33BF875E}" name="総数／構成比" dataDxfId="355"/>
    <tableColumn id="12" xr3:uid="{30A1868E-637B-43F2-862B-EAEC61605BAF}" name="個人／事業所数" dataCellStyle="桁区切り"/>
    <tableColumn id="13" xr3:uid="{9557B2BB-7598-4180-8875-D6F284F1A6F0}" name="個人／構成比" dataDxfId="354"/>
    <tableColumn id="14" xr3:uid="{EAA80D8B-2296-4966-95CA-AF055C92696E}" name="法人／事業所数" dataCellStyle="桁区切り"/>
    <tableColumn id="15" xr3:uid="{75EA0B53-5BDE-4A5B-B590-BDC91FAB05C7}" name="法人／構成比" dataDxfId="353"/>
    <tableColumn id="16" xr3:uid="{DC4CF410-D9D3-429F-BB0F-3D31F3D16C25}" name="法人以外の団体／事業所数" dataCellStyle="桁区切り"/>
  </tableColumns>
  <tableStyleInfo name="TableStyleMedium9" showFirstColumn="0" showLastColumn="0" showRowStripes="1" showColumnStripes="0"/>
</table>
</file>

<file path=xl/tables/table4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5" xr:uid="{86AA9155-8C4E-4146-B8BC-99399D891974}" name="S_TABLE_01634" displayName="S_TABLE_01634" ref="B46:I74" totalsRowShown="0">
  <autoFilter ref="B46:I74" xr:uid="{86AA9155-8C4E-4146-B8BC-99399D891974}"/>
  <tableColumns count="8">
    <tableColumn id="9" xr3:uid="{9889AE99-6B5D-4A16-B504-C27930EC5C70}" name="産業小分類上位２０"/>
    <tableColumn id="10" xr3:uid="{9F4EFAD8-5493-472C-9561-4977FEA81289}" name="総数／事業所数" dataCellStyle="桁区切り"/>
    <tableColumn id="11" xr3:uid="{A995221D-47A3-4D7F-9B09-CEC2C37DB831}" name="総数／構成比" dataDxfId="352"/>
    <tableColumn id="12" xr3:uid="{302DC242-EBCB-4E99-B609-CD850057A299}" name="個人／事業所数" dataCellStyle="桁区切り"/>
    <tableColumn id="13" xr3:uid="{2A73F8CA-8F92-47B9-90A1-632221A52CAD}" name="個人／構成比" dataDxfId="351"/>
    <tableColumn id="14" xr3:uid="{0A857003-FE4B-4B79-9538-F4C6EA51EFE0}" name="法人／事業所数" dataCellStyle="桁区切り"/>
    <tableColumn id="15" xr3:uid="{D44CA026-5C32-4266-A8FE-5A2CB9F01E01}" name="法人／構成比" dataDxfId="350"/>
    <tableColumn id="16" xr3:uid="{94B57FD5-61F1-4B7A-B305-03F01E0EE2EF}" name="法人以外の団体／事業所数" dataCellStyle="桁区切り"/>
  </tableColumns>
  <tableStyleInfo name="TableStyleMedium9" showFirstColumn="0" showLastColumn="0" showRowStripes="1" showColumnStripes="0"/>
</table>
</file>

<file path=xl/tables/table4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6" xr:uid="{678CCA60-6E7B-40A4-81B6-8DCD2F630874}" name="LTBL_01635" displayName="LTBL_01635" ref="B4:I20" totalsRowCount="1">
  <autoFilter ref="B4:I19" xr:uid="{678CCA60-6E7B-40A4-81B6-8DCD2F630874}"/>
  <tableColumns count="8">
    <tableColumn id="9" xr3:uid="{B4E92081-D4C7-442C-B636-6F4D262C2C7F}" name="産業大分類" totalsRowLabel="合計" totalsRowDxfId="349"/>
    <tableColumn id="10" xr3:uid="{65F7FB64-4193-4C52-A220-066D2E417612}" name="総数／事業所数" totalsRowFunction="custom" totalsRowDxfId="348" dataCellStyle="桁区切り" totalsRowCellStyle="桁区切り">
      <totalsRowFormula>SUM(LTBL_01635[総数／事業所数])</totalsRowFormula>
    </tableColumn>
    <tableColumn id="11" xr3:uid="{7F12C3E1-88AC-48F8-A01C-383A2D5D62D4}" name="総数／構成比" dataDxfId="347"/>
    <tableColumn id="12" xr3:uid="{FA3ADD67-4C81-4878-AB67-1C6022F86CD1}" name="個人／事業所数" totalsRowFunction="sum" totalsRowDxfId="346" dataCellStyle="桁区切り" totalsRowCellStyle="桁区切り"/>
    <tableColumn id="13" xr3:uid="{EDB017B1-F2C7-49B1-9803-9A0FAAB5EF91}" name="個人／構成比" dataDxfId="345"/>
    <tableColumn id="14" xr3:uid="{6DA0CAF4-8AD4-49D4-8ACF-99828F86A5A0}" name="法人／事業所数" totalsRowFunction="sum" totalsRowDxfId="344" dataCellStyle="桁区切り" totalsRowCellStyle="桁区切り"/>
    <tableColumn id="15" xr3:uid="{80C539E3-6D9B-415F-8408-F813AED17D7A}" name="法人／構成比" dataDxfId="343"/>
    <tableColumn id="16" xr3:uid="{F237B2E3-B773-4E17-ADBC-6CF1B97DCDCB}" name="法人以外の団体／事業所数" totalsRowFunction="sum" totalsRowDxfId="342" dataCellStyle="桁区切り" totalsRowCellStyle="桁区切り"/>
  </tableColumns>
  <tableStyleInfo name="TableStyleMedium9" showFirstColumn="0" showLastColumn="0" showRowStripes="1" showColumnStripes="0"/>
</table>
</file>

<file path=xl/tables/table4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7" xr:uid="{63EE41EC-14FE-4064-8BA9-6B9D04A60C4C}" name="M_TABLE_01635" displayName="M_TABLE_01635" ref="B23:I44" totalsRowShown="0">
  <autoFilter ref="B23:I44" xr:uid="{63EE41EC-14FE-4064-8BA9-6B9D04A60C4C}"/>
  <tableColumns count="8">
    <tableColumn id="9" xr3:uid="{6F1984CB-6196-4347-813E-F1857949CC1E}" name="産業中分類上位２０"/>
    <tableColumn id="10" xr3:uid="{10A3D665-AB2F-4157-A13D-203F6DFB9F30}" name="総数／事業所数" dataCellStyle="桁区切り"/>
    <tableColumn id="11" xr3:uid="{BFCF3E6F-84DD-403A-AE10-D770E111C0D1}" name="総数／構成比" dataDxfId="341"/>
    <tableColumn id="12" xr3:uid="{D3D12E9A-82BB-47ED-8746-303E8A3D47B5}" name="個人／事業所数" dataCellStyle="桁区切り"/>
    <tableColumn id="13" xr3:uid="{8EC801F3-4FE2-4AF3-9715-9132B98AF086}" name="個人／構成比" dataDxfId="340"/>
    <tableColumn id="14" xr3:uid="{CA496392-6E39-4456-BDD4-3C2ACB8A7448}" name="法人／事業所数" dataCellStyle="桁区切り"/>
    <tableColumn id="15" xr3:uid="{293C7534-DC5E-46D9-BD21-D4E5C5BF6D7A}" name="法人／構成比" dataDxfId="339"/>
    <tableColumn id="16" xr3:uid="{4747EEC0-8274-4298-8CCA-08C5361CFFE1}" name="法人以外の団体／事業所数" dataCellStyle="桁区切り"/>
  </tableColumns>
  <tableStyleInfo name="TableStyleMedium9" showFirstColumn="0" showLastColumn="0" showRowStripes="1" showColumnStripes="0"/>
</table>
</file>

<file path=xl/tables/table4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8" xr:uid="{236EA1C1-AF0F-4A59-9EDA-45FE14B1869D}" name="S_TABLE_01635" displayName="S_TABLE_01635" ref="B47:I67" totalsRowShown="0">
  <autoFilter ref="B47:I67" xr:uid="{236EA1C1-AF0F-4A59-9EDA-45FE14B1869D}"/>
  <tableColumns count="8">
    <tableColumn id="9" xr3:uid="{3CE0B4AD-B7D7-4B5F-855A-8D8CD1379477}" name="産業小分類上位２０"/>
    <tableColumn id="10" xr3:uid="{7BFD4EE9-78DC-483D-B7D1-99B38AACCA1C}" name="総数／事業所数" dataCellStyle="桁区切り"/>
    <tableColumn id="11" xr3:uid="{E63F00B0-17C8-483F-9561-40513879103E}" name="総数／構成比" dataDxfId="338"/>
    <tableColumn id="12" xr3:uid="{D32E6113-9DC8-4BE0-A152-FBC7D63554C3}" name="個人／事業所数" dataCellStyle="桁区切り"/>
    <tableColumn id="13" xr3:uid="{BE00819D-8C8D-49B5-AF2B-4B4C1FD1B202}" name="個人／構成比" dataDxfId="337"/>
    <tableColumn id="14" xr3:uid="{388972D9-1B79-43DE-9478-CC31FEFAE8E6}" name="法人／事業所数" dataCellStyle="桁区切り"/>
    <tableColumn id="15" xr3:uid="{B16E670D-E0F9-494C-B3B9-88B95E3C8F31}" name="法人／構成比" dataDxfId="336"/>
    <tableColumn id="16" xr3:uid="{960B3709-3CB1-42D5-8FE4-D41A221BA075}" name="法人以外の団体／事業所数" dataCellStyle="桁区切り"/>
  </tableColumns>
  <tableStyleInfo name="TableStyleMedium9" showFirstColumn="0" showLastColumn="0" showRowStripes="1" showColumnStripes="0"/>
</table>
</file>

<file path=xl/tables/table4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9" xr:uid="{7BD6F638-259A-4908-8404-D142AB5652C9}" name="LTBL_01636" displayName="LTBL_01636" ref="B4:I20" totalsRowCount="1">
  <autoFilter ref="B4:I19" xr:uid="{7BD6F638-259A-4908-8404-D142AB5652C9}"/>
  <tableColumns count="8">
    <tableColumn id="9" xr3:uid="{026F4EFE-8B6C-4E8D-9686-105C2254CF13}" name="産業大分類" totalsRowLabel="合計" totalsRowDxfId="335"/>
    <tableColumn id="10" xr3:uid="{AC09EA7C-2742-4306-BE15-C5480CB568CE}" name="総数／事業所数" totalsRowFunction="custom" totalsRowDxfId="334" dataCellStyle="桁区切り" totalsRowCellStyle="桁区切り">
      <totalsRowFormula>SUM(LTBL_01636[総数／事業所数])</totalsRowFormula>
    </tableColumn>
    <tableColumn id="11" xr3:uid="{F60A28D9-9E7D-4901-BF21-010295E94F2E}" name="総数／構成比" dataDxfId="333"/>
    <tableColumn id="12" xr3:uid="{DE336BF1-B3B1-4617-852A-D482EA899518}" name="個人／事業所数" totalsRowFunction="sum" totalsRowDxfId="332" dataCellStyle="桁区切り" totalsRowCellStyle="桁区切り"/>
    <tableColumn id="13" xr3:uid="{9DE83479-CA8F-453F-AABD-5E3936CCA3CF}" name="個人／構成比" dataDxfId="331"/>
    <tableColumn id="14" xr3:uid="{45C29C9B-D653-40E2-B7D1-78F3F003EAF4}" name="法人／事業所数" totalsRowFunction="sum" totalsRowDxfId="330" dataCellStyle="桁区切り" totalsRowCellStyle="桁区切り"/>
    <tableColumn id="15" xr3:uid="{72ED6DE3-64B5-4830-B134-002435060235}" name="法人／構成比" dataDxfId="329"/>
    <tableColumn id="16" xr3:uid="{5D1172CE-2829-43FC-A4F3-696043A4F37F}" name="法人以外の団体／事業所数" totalsRowFunction="sum" totalsRowDxfId="328" dataCellStyle="桁区切り" totalsRowCellStyle="桁区切り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FCF71AE-B4C1-40FF-B407-99B3611F625C}" name="M_TABLE_01100" displayName="M_TABLE_01100" ref="B23:I43" totalsRowShown="0">
  <autoFilter ref="B23:I43" xr:uid="{8FCF71AE-B4C1-40FF-B407-99B3611F625C}"/>
  <tableColumns count="8">
    <tableColumn id="9" xr3:uid="{5378D436-3001-4E62-BA01-DE8E05B79F2C}" name="産業中分類上位２０"/>
    <tableColumn id="10" xr3:uid="{039D9D23-04ED-4076-8F91-FE20579BD7CE}" name="総数／事業所数" dataCellStyle="桁区切り"/>
    <tableColumn id="11" xr3:uid="{7D7C9AEE-771E-475A-ACEE-F135565CF688}" name="総数／構成比" dataDxfId="2637"/>
    <tableColumn id="12" xr3:uid="{A6161C01-6879-4AD3-8A9B-5892D56A1209}" name="個人／事業所数" dataCellStyle="桁区切り"/>
    <tableColumn id="13" xr3:uid="{D5B554CA-FE70-449C-B9B8-92E30BC08761}" name="個人／構成比" dataDxfId="2636"/>
    <tableColumn id="14" xr3:uid="{37BD4A7D-3300-48E6-BECD-565A9235369D}" name="法人／事業所数" dataCellStyle="桁区切り"/>
    <tableColumn id="15" xr3:uid="{1DFBA0A1-A74F-4E9F-9793-8B8C930D1665}" name="法人／構成比" dataDxfId="2635"/>
    <tableColumn id="16" xr3:uid="{93A3B05D-AF86-4045-8503-04E8DD8B9B76}" name="法人以外の団体／事業所数" dataCellStyle="桁区切り"/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D7719325-93CB-415C-9358-8BB74718CDD5}" name="M_TABLE_01206" displayName="M_TABLE_01206" ref="B23:I43" totalsRowShown="0">
  <autoFilter ref="B23:I43" xr:uid="{D7719325-93CB-415C-9358-8BB74718CDD5}"/>
  <tableColumns count="8">
    <tableColumn id="9" xr3:uid="{AE32E24C-1A56-4736-A8A8-709927B55EE1}" name="産業中分類上位２０"/>
    <tableColumn id="10" xr3:uid="{7BBF89E8-A282-4742-9907-38933335FDB3}" name="総数／事業所数" dataCellStyle="桁区切り"/>
    <tableColumn id="11" xr3:uid="{40834B52-56DE-4B04-B4C7-4E1A0F62E0F4}" name="総数／構成比" dataDxfId="2427"/>
    <tableColumn id="12" xr3:uid="{855BC2F4-A637-467B-AE69-DC243BD01B98}" name="個人／事業所数" dataCellStyle="桁区切り"/>
    <tableColumn id="13" xr3:uid="{829A7CAD-930A-4817-8E2B-28BCBEB1098A}" name="個人／構成比" dataDxfId="2426"/>
    <tableColumn id="14" xr3:uid="{F8E5ACF8-057B-4B54-B75C-9E0628DC84EE}" name="法人／事業所数" dataCellStyle="桁区切り"/>
    <tableColumn id="15" xr3:uid="{B5D864B7-7829-4417-AAF4-D83309EF225D}" name="法人／構成比" dataDxfId="2425"/>
    <tableColumn id="16" xr3:uid="{8D81BEF4-4ED1-4E9B-B83F-BC5161BE1F48}" name="法人以外の団体／事業所数" dataCellStyle="桁区切り"/>
  </tableColumns>
  <tableStyleInfo name="TableStyleMedium9" showFirstColumn="0" showLastColumn="0" showRowStripes="1" showColumnStripes="0"/>
</table>
</file>

<file path=xl/tables/table5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0" xr:uid="{2212227C-F3C5-4346-9C36-83AFE718DF34}" name="M_TABLE_01636" displayName="M_TABLE_01636" ref="B23:I43" totalsRowShown="0">
  <autoFilter ref="B23:I43" xr:uid="{2212227C-F3C5-4346-9C36-83AFE718DF34}"/>
  <tableColumns count="8">
    <tableColumn id="9" xr3:uid="{EB23B252-89E7-4E88-9675-6989EE29C019}" name="産業中分類上位２０"/>
    <tableColumn id="10" xr3:uid="{C00C796D-9A61-44B3-8B07-F4A8C1A47B01}" name="総数／事業所数" dataCellStyle="桁区切り"/>
    <tableColumn id="11" xr3:uid="{146AB8BF-E8F9-45E9-81B1-777263DFE9C8}" name="総数／構成比" dataDxfId="327"/>
    <tableColumn id="12" xr3:uid="{03C73517-A01C-4549-A1D1-7E37E62E11B9}" name="個人／事業所数" dataCellStyle="桁区切り"/>
    <tableColumn id="13" xr3:uid="{F5F03100-BA4D-49A1-ABCC-41232C3FD1E2}" name="個人／構成比" dataDxfId="326"/>
    <tableColumn id="14" xr3:uid="{41D6D823-FC6A-4FD4-804C-8BEB0D6354B9}" name="法人／事業所数" dataCellStyle="桁区切り"/>
    <tableColumn id="15" xr3:uid="{DFADFF75-0C09-4A71-8712-E88B6A181A35}" name="法人／構成比" dataDxfId="325"/>
    <tableColumn id="16" xr3:uid="{7A60D675-1808-4CBF-8119-3767E7E746AD}" name="法人以外の団体／事業所数" dataCellStyle="桁区切り"/>
  </tableColumns>
  <tableStyleInfo name="TableStyleMedium9" showFirstColumn="0" showLastColumn="0" showRowStripes="1" showColumnStripes="0"/>
</table>
</file>

<file path=xl/tables/table5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1" xr:uid="{7FD95BC5-D063-4501-8474-C4B2DB82AC12}" name="S_TABLE_01636" displayName="S_TABLE_01636" ref="B46:I71" totalsRowShown="0">
  <autoFilter ref="B46:I71" xr:uid="{7FD95BC5-D063-4501-8474-C4B2DB82AC12}"/>
  <tableColumns count="8">
    <tableColumn id="9" xr3:uid="{CD64EBB2-D1A5-4260-80BD-780821A62AC3}" name="産業小分類上位２０"/>
    <tableColumn id="10" xr3:uid="{176B59D0-87A6-43EE-AF39-9ACCB4CC4003}" name="総数／事業所数" dataCellStyle="桁区切り"/>
    <tableColumn id="11" xr3:uid="{FEFFC00E-3319-49FA-BA30-AAAC5ED1641E}" name="総数／構成比" dataDxfId="324"/>
    <tableColumn id="12" xr3:uid="{FD46647B-BAB9-4E75-BE78-8FFCF51E1427}" name="個人／事業所数" dataCellStyle="桁区切り"/>
    <tableColumn id="13" xr3:uid="{889B423F-16FE-4A3D-BC4A-EA3FCBD16522}" name="個人／構成比" dataDxfId="323"/>
    <tableColumn id="14" xr3:uid="{B28E55B0-E5F0-4329-B821-C85B4A050F4E}" name="法人／事業所数" dataCellStyle="桁区切り"/>
    <tableColumn id="15" xr3:uid="{FFA22F8D-FCBC-4396-BE3A-4F94058DA5FA}" name="法人／構成比" dataDxfId="322"/>
    <tableColumn id="16" xr3:uid="{EF3EE9FA-F7C2-4A15-9B84-1A08C9BFF541}" name="法人以外の団体／事業所数" dataCellStyle="桁区切り"/>
  </tableColumns>
  <tableStyleInfo name="TableStyleMedium9" showFirstColumn="0" showLastColumn="0" showRowStripes="1" showColumnStripes="0"/>
</table>
</file>

<file path=xl/tables/table5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2" xr:uid="{1A58605E-68CB-43E7-8933-AD7151450FFB}" name="LTBL_01637" displayName="LTBL_01637" ref="B4:I20" totalsRowCount="1">
  <autoFilter ref="B4:I19" xr:uid="{1A58605E-68CB-43E7-8933-AD7151450FFB}"/>
  <tableColumns count="8">
    <tableColumn id="9" xr3:uid="{E0D731D1-6246-4CF0-B5FA-DFC21517146B}" name="産業大分類" totalsRowLabel="合計" totalsRowDxfId="321"/>
    <tableColumn id="10" xr3:uid="{D5C24224-70C2-4ECA-92F0-913BBC1F0C69}" name="総数／事業所数" totalsRowFunction="custom" totalsRowDxfId="320" dataCellStyle="桁区切り" totalsRowCellStyle="桁区切り">
      <totalsRowFormula>SUM(LTBL_01637[総数／事業所数])</totalsRowFormula>
    </tableColumn>
    <tableColumn id="11" xr3:uid="{0F2347C2-EE80-469A-A38C-99D769BF5FF4}" name="総数／構成比" dataDxfId="319"/>
    <tableColumn id="12" xr3:uid="{57FE02CB-8BCB-4464-835A-87D4EBA5AD55}" name="個人／事業所数" totalsRowFunction="sum" totalsRowDxfId="318" dataCellStyle="桁区切り" totalsRowCellStyle="桁区切り"/>
    <tableColumn id="13" xr3:uid="{8A59D7DC-9029-49AB-A0AD-4862C539D06D}" name="個人／構成比" dataDxfId="317"/>
    <tableColumn id="14" xr3:uid="{925A0FCE-4E3B-4A57-9D96-92E21C7BF6AE}" name="法人／事業所数" totalsRowFunction="sum" totalsRowDxfId="316" dataCellStyle="桁区切り" totalsRowCellStyle="桁区切り"/>
    <tableColumn id="15" xr3:uid="{D631241A-A68D-4777-8CA7-7569AA45C935}" name="法人／構成比" dataDxfId="315"/>
    <tableColumn id="16" xr3:uid="{EE763049-16F1-48CE-8859-8D939F3B0B62}" name="法人以外の団体／事業所数" totalsRowFunction="sum" totalsRowDxfId="314" dataCellStyle="桁区切り" totalsRowCellStyle="桁区切り"/>
  </tableColumns>
  <tableStyleInfo name="TableStyleMedium9" showFirstColumn="0" showLastColumn="0" showRowStripes="1" showColumnStripes="0"/>
</table>
</file>

<file path=xl/tables/table5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3" xr:uid="{C04C9643-95B9-4A1C-ADC3-7926FAE902F0}" name="M_TABLE_01637" displayName="M_TABLE_01637" ref="B23:I44" totalsRowShown="0">
  <autoFilter ref="B23:I44" xr:uid="{C04C9643-95B9-4A1C-ADC3-7926FAE902F0}"/>
  <tableColumns count="8">
    <tableColumn id="9" xr3:uid="{9C35618B-0EF0-4398-A842-0FF89E9E3F20}" name="産業中分類上位２０"/>
    <tableColumn id="10" xr3:uid="{76056BA1-3AB5-40CE-A1D2-797DE88929A9}" name="総数／事業所数" dataCellStyle="桁区切り"/>
    <tableColumn id="11" xr3:uid="{7FFC495C-AE59-4325-964E-F9AE9521C3D2}" name="総数／構成比" dataDxfId="313"/>
    <tableColumn id="12" xr3:uid="{FE2103EE-BF8F-41C3-95A0-6C4DB8D2BED9}" name="個人／事業所数" dataCellStyle="桁区切り"/>
    <tableColumn id="13" xr3:uid="{E992F37B-3E5D-433A-BD0C-3001581E699D}" name="個人／構成比" dataDxfId="312"/>
    <tableColumn id="14" xr3:uid="{BFAB566E-B771-4396-B346-9529F211C8F6}" name="法人／事業所数" dataCellStyle="桁区切り"/>
    <tableColumn id="15" xr3:uid="{6547AE43-D9DF-4E49-96A7-C62C8EFFC92E}" name="法人／構成比" dataDxfId="311"/>
    <tableColumn id="16" xr3:uid="{E4F831F3-697B-4179-8425-1E65A26C3598}" name="法人以外の団体／事業所数" dataCellStyle="桁区切り"/>
  </tableColumns>
  <tableStyleInfo name="TableStyleMedium9" showFirstColumn="0" showLastColumn="0" showRowStripes="1" showColumnStripes="0"/>
</table>
</file>

<file path=xl/tables/table5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4" xr:uid="{E39EE490-C60A-477A-AD69-B519109B5735}" name="S_TABLE_01637" displayName="S_TABLE_01637" ref="B47:I68" totalsRowShown="0">
  <autoFilter ref="B47:I68" xr:uid="{E39EE490-C60A-477A-AD69-B519109B5735}"/>
  <tableColumns count="8">
    <tableColumn id="9" xr3:uid="{E4E30371-F0A2-4F4E-A790-93A9E2A06725}" name="産業小分類上位２０"/>
    <tableColumn id="10" xr3:uid="{E52F27D9-CC09-4FFC-BB50-9611C2DBFF2E}" name="総数／事業所数" dataCellStyle="桁区切り"/>
    <tableColumn id="11" xr3:uid="{0994A388-9560-42DA-ADE9-31A9F98A90CC}" name="総数／構成比" dataDxfId="310"/>
    <tableColumn id="12" xr3:uid="{A56BCADA-B0E0-4179-9944-E3F4565891B8}" name="個人／事業所数" dataCellStyle="桁区切り"/>
    <tableColumn id="13" xr3:uid="{7265BEAC-B594-45EB-BAA9-3B6747262B58}" name="個人／構成比" dataDxfId="309"/>
    <tableColumn id="14" xr3:uid="{34FA870A-8209-4C51-8E76-8420D1A4BFBB}" name="法人／事業所数" dataCellStyle="桁区切り"/>
    <tableColumn id="15" xr3:uid="{D350D483-31AE-40C3-9059-D5F4875A285E}" name="法人／構成比" dataDxfId="308"/>
    <tableColumn id="16" xr3:uid="{0C6CB9AA-0F59-4C7C-85E7-2C0A60602731}" name="法人以外の団体／事業所数" dataCellStyle="桁区切り"/>
  </tableColumns>
  <tableStyleInfo name="TableStyleMedium9" showFirstColumn="0" showLastColumn="0" showRowStripes="1" showColumnStripes="0"/>
</table>
</file>

<file path=xl/tables/table5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5" xr:uid="{EFB29E97-06D7-4424-A867-94E14DFF0EB1}" name="LTBL_01638" displayName="LTBL_01638" ref="B4:I20" totalsRowCount="1">
  <autoFilter ref="B4:I19" xr:uid="{EFB29E97-06D7-4424-A867-94E14DFF0EB1}"/>
  <tableColumns count="8">
    <tableColumn id="9" xr3:uid="{59B73424-1E4A-4FBF-907B-FD79B8B309E7}" name="産業大分類" totalsRowLabel="合計" totalsRowDxfId="307"/>
    <tableColumn id="10" xr3:uid="{56B4E39E-0EF6-41D7-B7BE-08DB120B8F5F}" name="総数／事業所数" totalsRowFunction="custom" totalsRowDxfId="306" dataCellStyle="桁区切り" totalsRowCellStyle="桁区切り">
      <totalsRowFormula>SUM(LTBL_01638[総数／事業所数])</totalsRowFormula>
    </tableColumn>
    <tableColumn id="11" xr3:uid="{ADC3BDA3-736D-455F-B38F-73126045FD6B}" name="総数／構成比" dataDxfId="305"/>
    <tableColumn id="12" xr3:uid="{EC34E609-55ED-42FE-B123-4BBE97463142}" name="個人／事業所数" totalsRowFunction="sum" totalsRowDxfId="304" dataCellStyle="桁区切り" totalsRowCellStyle="桁区切り"/>
    <tableColumn id="13" xr3:uid="{176A6E7C-C781-4151-8036-AA0C2A1C36FC}" name="個人／構成比" dataDxfId="303"/>
    <tableColumn id="14" xr3:uid="{3DB5E84C-2ECF-4AF7-B84C-8C8CF7BBD08C}" name="法人／事業所数" totalsRowFunction="sum" totalsRowDxfId="302" dataCellStyle="桁区切り" totalsRowCellStyle="桁区切り"/>
    <tableColumn id="15" xr3:uid="{94CC95FF-CAD8-429A-8705-C13BB8327A93}" name="法人／構成比" dataDxfId="301"/>
    <tableColumn id="16" xr3:uid="{91000CDF-7006-4FA5-AF83-C98DC6A62B44}" name="法人以外の団体／事業所数" totalsRowFunction="sum" totalsRowDxfId="300" dataCellStyle="桁区切り" totalsRowCellStyle="桁区切り"/>
  </tableColumns>
  <tableStyleInfo name="TableStyleMedium9" showFirstColumn="0" showLastColumn="0" showRowStripes="1" showColumnStripes="0"/>
</table>
</file>

<file path=xl/tables/table5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6" xr:uid="{7DAC9621-9AE6-450A-85E5-618026519E62}" name="M_TABLE_01638" displayName="M_TABLE_01638" ref="B23:I43" totalsRowShown="0">
  <autoFilter ref="B23:I43" xr:uid="{7DAC9621-9AE6-450A-85E5-618026519E62}"/>
  <tableColumns count="8">
    <tableColumn id="9" xr3:uid="{59DDBFD6-9754-4FC9-84A5-CB6010A761F4}" name="産業中分類上位２０"/>
    <tableColumn id="10" xr3:uid="{1DA5C929-668A-47E1-8672-79A92484690A}" name="総数／事業所数" dataCellStyle="桁区切り"/>
    <tableColumn id="11" xr3:uid="{BD2AA470-5312-4DF4-BFC3-FCCF8EF4054E}" name="総数／構成比" dataDxfId="299"/>
    <tableColumn id="12" xr3:uid="{7E385536-E7FC-4F1B-AABD-3BD68AD3E7E6}" name="個人／事業所数" dataCellStyle="桁区切り"/>
    <tableColumn id="13" xr3:uid="{D32B1420-36E2-482A-A1AE-3D204E4A0C0D}" name="個人／構成比" dataDxfId="298"/>
    <tableColumn id="14" xr3:uid="{9C876753-A1DB-4E26-90F8-3B2DCF017DAD}" name="法人／事業所数" dataCellStyle="桁区切り"/>
    <tableColumn id="15" xr3:uid="{041487C7-A63B-4855-9291-509E2894C61D}" name="法人／構成比" dataDxfId="297"/>
    <tableColumn id="16" xr3:uid="{AE39CC25-390D-497F-9E1F-00312CDD3D8D}" name="法人以外の団体／事業所数" dataCellStyle="桁区切り"/>
  </tableColumns>
  <tableStyleInfo name="TableStyleMedium9" showFirstColumn="0" showLastColumn="0" showRowStripes="1" showColumnStripes="0"/>
</table>
</file>

<file path=xl/tables/table5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7" xr:uid="{40DA407F-7C45-4E09-BB6B-FDAB2C4D4235}" name="S_TABLE_01638" displayName="S_TABLE_01638" ref="B46:I117" totalsRowShown="0">
  <autoFilter ref="B46:I117" xr:uid="{40DA407F-7C45-4E09-BB6B-FDAB2C4D4235}"/>
  <tableColumns count="8">
    <tableColumn id="9" xr3:uid="{35586009-D047-4223-974B-0D41EDE77E77}" name="産業小分類上位２０"/>
    <tableColumn id="10" xr3:uid="{23DB09FF-3F3E-4396-B578-0C5D59AC2FE9}" name="総数／事業所数" dataCellStyle="桁区切り"/>
    <tableColumn id="11" xr3:uid="{058A19A9-7ADE-48C7-A9CF-D13B885EAAE5}" name="総数／構成比" dataDxfId="296"/>
    <tableColumn id="12" xr3:uid="{379DF299-9C43-4C4E-A2F9-72C55D36466E}" name="個人／事業所数" dataCellStyle="桁区切り"/>
    <tableColumn id="13" xr3:uid="{615A7DAC-E7E9-495A-A673-503D9AF6A2DD}" name="個人／構成比" dataDxfId="295"/>
    <tableColumn id="14" xr3:uid="{A9AC2D25-BC78-4C60-999F-5139244412D2}" name="法人／事業所数" dataCellStyle="桁区切り"/>
    <tableColumn id="15" xr3:uid="{8ECCA774-50D5-452E-8492-D29EE1CEC257}" name="法人／構成比" dataDxfId="294"/>
    <tableColumn id="16" xr3:uid="{768C4256-D46C-4866-B53B-13608F62692F}" name="法人以外の団体／事業所数" dataCellStyle="桁区切り"/>
  </tableColumns>
  <tableStyleInfo name="TableStyleMedium9" showFirstColumn="0" showLastColumn="0" showRowStripes="1" showColumnStripes="0"/>
</table>
</file>

<file path=xl/tables/table5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8" xr:uid="{E66E1C4E-C776-4462-BC9F-DD34E00D2710}" name="LTBL_01639" displayName="LTBL_01639" ref="B4:I20" totalsRowCount="1">
  <autoFilter ref="B4:I19" xr:uid="{E66E1C4E-C776-4462-BC9F-DD34E00D2710}"/>
  <tableColumns count="8">
    <tableColumn id="9" xr3:uid="{3B1DF49B-5E89-4E4E-BA59-F32F8F4BD8FC}" name="産業大分類" totalsRowLabel="合計" totalsRowDxfId="293"/>
    <tableColumn id="10" xr3:uid="{8748C281-F6FB-4C4A-BBFF-506790764084}" name="総数／事業所数" totalsRowFunction="custom" totalsRowDxfId="292" dataCellStyle="桁区切り" totalsRowCellStyle="桁区切り">
      <totalsRowFormula>SUM(LTBL_01639[総数／事業所数])</totalsRowFormula>
    </tableColumn>
    <tableColumn id="11" xr3:uid="{05356401-7701-4F8D-987F-40BCEBA2D02D}" name="総数／構成比" dataDxfId="291"/>
    <tableColumn id="12" xr3:uid="{B8739853-3912-4F5D-AB3D-0E4F3752F2BE}" name="個人／事業所数" totalsRowFunction="sum" totalsRowDxfId="290" dataCellStyle="桁区切り" totalsRowCellStyle="桁区切り"/>
    <tableColumn id="13" xr3:uid="{51BE5A56-16D8-4710-B66E-B73E22B231C6}" name="個人／構成比" dataDxfId="289"/>
    <tableColumn id="14" xr3:uid="{DDB0E249-5343-4FF7-B3D2-B46A36D5DA4B}" name="法人／事業所数" totalsRowFunction="sum" totalsRowDxfId="288" dataCellStyle="桁区切り" totalsRowCellStyle="桁区切り"/>
    <tableColumn id="15" xr3:uid="{39F8BE79-A660-4996-9661-9CAD5DFD1478}" name="法人／構成比" dataDxfId="287"/>
    <tableColumn id="16" xr3:uid="{411C944E-8869-4CC1-9F2F-7EE91A67DA31}" name="法人以外の団体／事業所数" totalsRowFunction="sum" totalsRowDxfId="286" dataCellStyle="桁区切り" totalsRowCellStyle="桁区切り"/>
  </tableColumns>
  <tableStyleInfo name="TableStyleMedium9" showFirstColumn="0" showLastColumn="0" showRowStripes="1" showColumnStripes="0"/>
</table>
</file>

<file path=xl/tables/table5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9" xr:uid="{84326D79-C7E6-4107-9055-1BEDF3C5E5C5}" name="M_TABLE_01639" displayName="M_TABLE_01639" ref="B23:I48" totalsRowShown="0">
  <autoFilter ref="B23:I48" xr:uid="{84326D79-C7E6-4107-9055-1BEDF3C5E5C5}"/>
  <tableColumns count="8">
    <tableColumn id="9" xr3:uid="{1455E201-A94F-4842-BB0B-C31801BFDE00}" name="産業中分類上位２０"/>
    <tableColumn id="10" xr3:uid="{3ADE9634-B9B6-42DA-8201-95708ADC016B}" name="総数／事業所数" dataCellStyle="桁区切り"/>
    <tableColumn id="11" xr3:uid="{091AD588-F384-4370-94B6-75D168F4E20B}" name="総数／構成比" dataDxfId="285"/>
    <tableColumn id="12" xr3:uid="{2F929E90-B05F-4F13-8E03-59149B95B006}" name="個人／事業所数" dataCellStyle="桁区切り"/>
    <tableColumn id="13" xr3:uid="{585535AA-E0F7-4FE6-8865-C0BE180D4D7A}" name="個人／構成比" dataDxfId="284"/>
    <tableColumn id="14" xr3:uid="{3EEA0F79-BE0B-4AC0-A24B-4746EEF6FAC3}" name="法人／事業所数" dataCellStyle="桁区切り"/>
    <tableColumn id="15" xr3:uid="{5A8E8E1A-A5C7-497C-B4E5-396DD259E5BA}" name="法人／構成比" dataDxfId="283"/>
    <tableColumn id="16" xr3:uid="{D2ED7915-803A-464F-9396-A6665A7921C7}" name="法人以外の団体／事業所数" dataCellStyle="桁区切り"/>
  </tableColumns>
  <tableStyleInfo name="TableStyleMedium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1BE82A49-61E8-4E9D-933E-3B26A6757B26}" name="S_TABLE_01206" displayName="S_TABLE_01206" ref="B46:I69" totalsRowShown="0">
  <autoFilter ref="B46:I69" xr:uid="{1BE82A49-61E8-4E9D-933E-3B26A6757B26}"/>
  <tableColumns count="8">
    <tableColumn id="9" xr3:uid="{1A07AC10-18F8-4613-BDB6-480586F8B278}" name="産業小分類上位２０"/>
    <tableColumn id="10" xr3:uid="{D762B4D6-B667-4E44-99C9-319672D9F308}" name="総数／事業所数" dataCellStyle="桁区切り"/>
    <tableColumn id="11" xr3:uid="{3020E8D8-1C95-48A0-B2E4-52E09F8A825B}" name="総数／構成比" dataDxfId="2424"/>
    <tableColumn id="12" xr3:uid="{BABDD1F5-1548-4B87-8725-D59AD1AA9CD0}" name="個人／事業所数" dataCellStyle="桁区切り"/>
    <tableColumn id="13" xr3:uid="{F9C7E852-4899-461D-B79F-4D6CA3B67BD8}" name="個人／構成比" dataDxfId="2423"/>
    <tableColumn id="14" xr3:uid="{6F5EED68-8885-41E6-8E5B-E6267BBE5CF2}" name="法人／事業所数" dataCellStyle="桁区切り"/>
    <tableColumn id="15" xr3:uid="{F058773F-527C-4FBF-B1C8-3FE4AC53951C}" name="法人／構成比" dataDxfId="2422"/>
    <tableColumn id="16" xr3:uid="{E23C81A7-CB48-4261-BEC6-4A831A631D38}" name="法人以外の団体／事業所数" dataCellStyle="桁区切り"/>
  </tableColumns>
  <tableStyleInfo name="TableStyleMedium9" showFirstColumn="0" showLastColumn="0" showRowStripes="1" showColumnStripes="0"/>
</table>
</file>

<file path=xl/tables/table5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0" xr:uid="{41C0E1A8-0A3C-4F98-A8CB-D87B9C1046A6}" name="S_TABLE_01639" displayName="S_TABLE_01639" ref="B51:I92" totalsRowShown="0">
  <autoFilter ref="B51:I92" xr:uid="{41C0E1A8-0A3C-4F98-A8CB-D87B9C1046A6}"/>
  <tableColumns count="8">
    <tableColumn id="9" xr3:uid="{45946908-27B8-4C13-94E9-C78B28F13EF8}" name="産業小分類上位２０"/>
    <tableColumn id="10" xr3:uid="{6563D81A-7462-4370-B0A6-3D920252BB5A}" name="総数／事業所数" dataCellStyle="桁区切り"/>
    <tableColumn id="11" xr3:uid="{348643A5-2B58-4D91-A817-76893D0D1BB2}" name="総数／構成比" dataDxfId="282"/>
    <tableColumn id="12" xr3:uid="{A799A0CF-47F0-44EA-A5E3-E288C1006FEC}" name="個人／事業所数" dataCellStyle="桁区切り"/>
    <tableColumn id="13" xr3:uid="{2A1E8AD0-5F78-4653-9B12-01B931A28E4A}" name="個人／構成比" dataDxfId="281"/>
    <tableColumn id="14" xr3:uid="{63FE2D0A-6B0F-470F-B2D5-05953E5E23A0}" name="法人／事業所数" dataCellStyle="桁区切り"/>
    <tableColumn id="15" xr3:uid="{18CFA6C9-461F-49BA-B771-3C6BCEAE69AC}" name="法人／構成比" dataDxfId="280"/>
    <tableColumn id="16" xr3:uid="{E526EB86-5116-4602-B9B5-D68F49F74CA7}" name="法人以外の団体／事業所数" dataCellStyle="桁区切り"/>
  </tableColumns>
  <tableStyleInfo name="TableStyleMedium9" showFirstColumn="0" showLastColumn="0" showRowStripes="1" showColumnStripes="0"/>
</table>
</file>

<file path=xl/tables/table5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1" xr:uid="{B687846B-7EBD-448A-9ABB-75E1CBF3257F}" name="LTBL_01641" displayName="LTBL_01641" ref="B4:I20" totalsRowCount="1">
  <autoFilter ref="B4:I19" xr:uid="{B687846B-7EBD-448A-9ABB-75E1CBF3257F}"/>
  <tableColumns count="8">
    <tableColumn id="9" xr3:uid="{D56253A4-5DA4-4909-BF69-82CA916F3815}" name="産業大分類" totalsRowLabel="合計" totalsRowDxfId="279"/>
    <tableColumn id="10" xr3:uid="{98DD6ED7-63FF-459E-874F-1841940CBF26}" name="総数／事業所数" totalsRowFunction="custom" totalsRowDxfId="278" dataCellStyle="桁区切り" totalsRowCellStyle="桁区切り">
      <totalsRowFormula>SUM(LTBL_01641[総数／事業所数])</totalsRowFormula>
    </tableColumn>
    <tableColumn id="11" xr3:uid="{194C6619-02B6-46CB-BFEB-785999DA775D}" name="総数／構成比" dataDxfId="277"/>
    <tableColumn id="12" xr3:uid="{A259BD02-3B8D-47B9-9668-3B604DFABA52}" name="個人／事業所数" totalsRowFunction="sum" totalsRowDxfId="276" dataCellStyle="桁区切り" totalsRowCellStyle="桁区切り"/>
    <tableColumn id="13" xr3:uid="{5E7E9706-D059-430B-A026-569C4480473B}" name="個人／構成比" dataDxfId="275"/>
    <tableColumn id="14" xr3:uid="{9FA70128-7DFF-4996-B533-A94D867E2C7B}" name="法人／事業所数" totalsRowFunction="sum" totalsRowDxfId="274" dataCellStyle="桁区切り" totalsRowCellStyle="桁区切り"/>
    <tableColumn id="15" xr3:uid="{344F5AF8-022D-4863-883C-AB1531012CB5}" name="法人／構成比" dataDxfId="273"/>
    <tableColumn id="16" xr3:uid="{3C48F2BF-725F-47FA-8F65-8E436DBF8683}" name="法人以外の団体／事業所数" totalsRowFunction="sum" totalsRowDxfId="272" dataCellStyle="桁区切り" totalsRowCellStyle="桁区切り"/>
  </tableColumns>
  <tableStyleInfo name="TableStyleMedium9" showFirstColumn="0" showLastColumn="0" showRowStripes="1" showColumnStripes="0"/>
</table>
</file>

<file path=xl/tables/table5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2" xr:uid="{36649D63-D4E5-41FE-8F88-336777C41A75}" name="M_TABLE_01641" displayName="M_TABLE_01641" ref="B23:I48" totalsRowShown="0">
  <autoFilter ref="B23:I48" xr:uid="{36649D63-D4E5-41FE-8F88-336777C41A75}"/>
  <tableColumns count="8">
    <tableColumn id="9" xr3:uid="{E34F1C82-9F47-4CD8-A5E7-94DFBBDD978C}" name="産業中分類上位２０"/>
    <tableColumn id="10" xr3:uid="{68EC1D7A-40D1-49CB-A82A-FA1ABBE282C2}" name="総数／事業所数" dataCellStyle="桁区切り"/>
    <tableColumn id="11" xr3:uid="{30C9FED5-3240-4500-9D0A-21F679DC93BC}" name="総数／構成比" dataDxfId="271"/>
    <tableColumn id="12" xr3:uid="{D487C0C5-DBDC-4EB8-AC86-C271CB0661DD}" name="個人／事業所数" dataCellStyle="桁区切り"/>
    <tableColumn id="13" xr3:uid="{6469F0C3-42A4-4921-A5AF-FD990A423D7C}" name="個人／構成比" dataDxfId="270"/>
    <tableColumn id="14" xr3:uid="{3AC27DC1-B48A-45FB-8747-1AFC77DB7B25}" name="法人／事業所数" dataCellStyle="桁区切り"/>
    <tableColumn id="15" xr3:uid="{3C76402F-D309-4A67-9CAF-8422AD702292}" name="法人／構成比" dataDxfId="269"/>
    <tableColumn id="16" xr3:uid="{762503FB-7013-4CBC-948A-C9F58361C09E}" name="法人以外の団体／事業所数" dataCellStyle="桁区切り"/>
  </tableColumns>
  <tableStyleInfo name="TableStyleMedium9" showFirstColumn="0" showLastColumn="0" showRowStripes="1" showColumnStripes="0"/>
</table>
</file>

<file path=xl/tables/table5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3" xr:uid="{F6345063-4886-4AC2-8C11-B19A252B197C}" name="S_TABLE_01641" displayName="S_TABLE_01641" ref="B51:I74" totalsRowShown="0">
  <autoFilter ref="B51:I74" xr:uid="{F6345063-4886-4AC2-8C11-B19A252B197C}"/>
  <tableColumns count="8">
    <tableColumn id="9" xr3:uid="{AAA3E27E-F750-47AA-8C42-95F34A3E6D2E}" name="産業小分類上位２０"/>
    <tableColumn id="10" xr3:uid="{03151505-3086-4098-9A8A-B1CAD71D34BD}" name="総数／事業所数" dataCellStyle="桁区切り"/>
    <tableColumn id="11" xr3:uid="{9A970BEE-174B-4171-B117-A43BE590AEEC}" name="総数／構成比" dataDxfId="268"/>
    <tableColumn id="12" xr3:uid="{A56D32B1-662B-43B2-A8A7-B99EB73BFDA1}" name="個人／事業所数" dataCellStyle="桁区切り"/>
    <tableColumn id="13" xr3:uid="{E834719E-B84B-41BA-964C-E1BB6C162483}" name="個人／構成比" dataDxfId="267"/>
    <tableColumn id="14" xr3:uid="{C0ADCA47-4FCC-43A2-A9AB-1D3BD936C4D2}" name="法人／事業所数" dataCellStyle="桁区切り"/>
    <tableColumn id="15" xr3:uid="{83DCD1A9-3902-4E8C-9271-AFCC071E7A1A}" name="法人／構成比" dataDxfId="266"/>
    <tableColumn id="16" xr3:uid="{3263E67C-33C9-491A-955C-8394A678D535}" name="法人以外の団体／事業所数" dataCellStyle="桁区切り"/>
  </tableColumns>
  <tableStyleInfo name="TableStyleMedium9" showFirstColumn="0" showLastColumn="0" showRowStripes="1" showColumnStripes="0"/>
</table>
</file>

<file path=xl/tables/table5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4" xr:uid="{4C049CB4-F134-4952-868C-611952FFEFCF}" name="LTBL_01642" displayName="LTBL_01642" ref="B4:I20" totalsRowCount="1">
  <autoFilter ref="B4:I19" xr:uid="{4C049CB4-F134-4952-868C-611952FFEFCF}"/>
  <tableColumns count="8">
    <tableColumn id="9" xr3:uid="{684E46E5-A487-4DFF-A8B8-DFEC3A51FD12}" name="産業大分類" totalsRowLabel="合計" totalsRowDxfId="265"/>
    <tableColumn id="10" xr3:uid="{EFEC9EEC-66A2-4EEB-9E9E-AA2BB7704EDE}" name="総数／事業所数" totalsRowFunction="custom" totalsRowDxfId="264" dataCellStyle="桁区切り" totalsRowCellStyle="桁区切り">
      <totalsRowFormula>SUM(LTBL_01642[総数／事業所数])</totalsRowFormula>
    </tableColumn>
    <tableColumn id="11" xr3:uid="{AB5AEA5F-1987-4A6A-B6BC-792FBDD14A9C}" name="総数／構成比" dataDxfId="263"/>
    <tableColumn id="12" xr3:uid="{557EE6E4-950C-463C-9552-5AF61921F84A}" name="個人／事業所数" totalsRowFunction="sum" totalsRowDxfId="262" dataCellStyle="桁区切り" totalsRowCellStyle="桁区切り"/>
    <tableColumn id="13" xr3:uid="{BA9941C1-DC73-43A8-832B-B67856936B2C}" name="個人／構成比" dataDxfId="261"/>
    <tableColumn id="14" xr3:uid="{B9E9B283-E008-46E0-9423-BB2CF39CBA5F}" name="法人／事業所数" totalsRowFunction="sum" totalsRowDxfId="260" dataCellStyle="桁区切り" totalsRowCellStyle="桁区切り"/>
    <tableColumn id="15" xr3:uid="{379794FB-6F49-4950-9967-3071C294D44A}" name="法人／構成比" dataDxfId="259"/>
    <tableColumn id="16" xr3:uid="{6DC9F169-57EA-4340-8F3A-8275A3AC65AC}" name="法人以外の団体／事業所数" totalsRowFunction="sum" totalsRowDxfId="258" dataCellStyle="桁区切り" totalsRowCellStyle="桁区切り"/>
  </tableColumns>
  <tableStyleInfo name="TableStyleMedium9" showFirstColumn="0" showLastColumn="0" showRowStripes="1" showColumnStripes="0"/>
</table>
</file>

<file path=xl/tables/table5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5" xr:uid="{0707E6C3-51CF-4AA4-85BF-B1F8EACF949A}" name="M_TABLE_01642" displayName="M_TABLE_01642" ref="B23:I45" totalsRowShown="0">
  <autoFilter ref="B23:I45" xr:uid="{0707E6C3-51CF-4AA4-85BF-B1F8EACF949A}"/>
  <tableColumns count="8">
    <tableColumn id="9" xr3:uid="{D08361CF-1214-4DF7-A379-0D8DA80043CE}" name="産業中分類上位２０"/>
    <tableColumn id="10" xr3:uid="{379C28E2-5EBC-4739-8D8B-92CFE9401C5A}" name="総数／事業所数" dataCellStyle="桁区切り"/>
    <tableColumn id="11" xr3:uid="{9F90A543-0526-415D-90CA-587767D5C4DB}" name="総数／構成比" dataDxfId="257"/>
    <tableColumn id="12" xr3:uid="{5E472CD6-65C3-4E6D-8E9E-A324F6CDED39}" name="個人／事業所数" dataCellStyle="桁区切り"/>
    <tableColumn id="13" xr3:uid="{194851CC-A283-408B-85FF-4AF726115926}" name="個人／構成比" dataDxfId="256"/>
    <tableColumn id="14" xr3:uid="{45C97CC1-F96C-4E0E-904C-4494536F6530}" name="法人／事業所数" dataCellStyle="桁区切り"/>
    <tableColumn id="15" xr3:uid="{493A5A3C-E342-4E09-B836-480570BE9CC9}" name="法人／構成比" dataDxfId="255"/>
    <tableColumn id="16" xr3:uid="{6ED252CA-682A-40B5-BB23-24E95C992E08}" name="法人以外の団体／事業所数" dataCellStyle="桁区切り"/>
  </tableColumns>
  <tableStyleInfo name="TableStyleMedium9" showFirstColumn="0" showLastColumn="0" showRowStripes="1" showColumnStripes="0"/>
</table>
</file>

<file path=xl/tables/table5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6" xr:uid="{0EB7E8F5-7E16-4871-B033-BD73C9A347B3}" name="S_TABLE_01642" displayName="S_TABLE_01642" ref="B48:I69" totalsRowShown="0">
  <autoFilter ref="B48:I69" xr:uid="{0EB7E8F5-7E16-4871-B033-BD73C9A347B3}"/>
  <tableColumns count="8">
    <tableColumn id="9" xr3:uid="{1518679A-2991-4C56-9D61-90B45A868128}" name="産業小分類上位２０"/>
    <tableColumn id="10" xr3:uid="{DA1B4B12-3AB6-419B-A440-06F99E86482D}" name="総数／事業所数" dataCellStyle="桁区切り"/>
    <tableColumn id="11" xr3:uid="{801456EC-7C62-4C37-9652-ACD1909C5509}" name="総数／構成比" dataDxfId="254"/>
    <tableColumn id="12" xr3:uid="{F1012865-5B77-49D3-9071-9B4880C6F79F}" name="個人／事業所数" dataCellStyle="桁区切り"/>
    <tableColumn id="13" xr3:uid="{0B4CF280-4FE0-4F43-8607-FD47B07A9A28}" name="個人／構成比" dataDxfId="253"/>
    <tableColumn id="14" xr3:uid="{E02F5A58-736F-478B-BC15-60FF296E163C}" name="法人／事業所数" dataCellStyle="桁区切り"/>
    <tableColumn id="15" xr3:uid="{ED14DAA2-4E17-414C-86AE-434F41A5522E}" name="法人／構成比" dataDxfId="252"/>
    <tableColumn id="16" xr3:uid="{629AB3B2-E0D3-4435-ACB1-6EFA4161ABCE}" name="法人以外の団体／事業所数" dataCellStyle="桁区切り"/>
  </tableColumns>
  <tableStyleInfo name="TableStyleMedium9" showFirstColumn="0" showLastColumn="0" showRowStripes="1" showColumnStripes="0"/>
</table>
</file>

<file path=xl/tables/table5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7" xr:uid="{3ABAC91F-B88F-426C-8124-673A08AA7611}" name="LTBL_01643" displayName="LTBL_01643" ref="B4:I20" totalsRowCount="1">
  <autoFilter ref="B4:I19" xr:uid="{3ABAC91F-B88F-426C-8124-673A08AA7611}"/>
  <tableColumns count="8">
    <tableColumn id="9" xr3:uid="{4FC39B2B-0DFF-4366-9D07-2B44097931B2}" name="産業大分類" totalsRowLabel="合計" totalsRowDxfId="251"/>
    <tableColumn id="10" xr3:uid="{EFB63738-780B-4DB0-AA55-F976DA020F9C}" name="総数／事業所数" totalsRowFunction="custom" totalsRowDxfId="250" dataCellStyle="桁区切り" totalsRowCellStyle="桁区切り">
      <totalsRowFormula>SUM(LTBL_01643[総数／事業所数])</totalsRowFormula>
    </tableColumn>
    <tableColumn id="11" xr3:uid="{9CCB7425-F711-4D31-961B-C78C5264207E}" name="総数／構成比" dataDxfId="249"/>
    <tableColumn id="12" xr3:uid="{15DD6AC7-CE25-40C3-B68E-EF145CBD9200}" name="個人／事業所数" totalsRowFunction="sum" totalsRowDxfId="248" dataCellStyle="桁区切り" totalsRowCellStyle="桁区切り"/>
    <tableColumn id="13" xr3:uid="{BDF0C368-B28F-4BEC-82F5-7A2D2BF9331A}" name="個人／構成比" dataDxfId="247"/>
    <tableColumn id="14" xr3:uid="{7A58A267-9F55-4370-A1F2-83D4D0B4DA05}" name="法人／事業所数" totalsRowFunction="sum" totalsRowDxfId="246" dataCellStyle="桁区切り" totalsRowCellStyle="桁区切り"/>
    <tableColumn id="15" xr3:uid="{3ED93002-817B-417A-9FF6-20AA3A2BC87F}" name="法人／構成比" dataDxfId="245"/>
    <tableColumn id="16" xr3:uid="{1B24DADB-CD0C-46B6-8011-D6104799D793}" name="法人以外の団体／事業所数" totalsRowFunction="sum" totalsRowDxfId="244" dataCellStyle="桁区切り" totalsRowCellStyle="桁区切り"/>
  </tableColumns>
  <tableStyleInfo name="TableStyleMedium9" showFirstColumn="0" showLastColumn="0" showRowStripes="1" showColumnStripes="0"/>
</table>
</file>

<file path=xl/tables/table5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8" xr:uid="{2C0EC175-B536-4080-8F66-DECFD821D41D}" name="M_TABLE_01643" displayName="M_TABLE_01643" ref="B23:I43" totalsRowShown="0">
  <autoFilter ref="B23:I43" xr:uid="{2C0EC175-B536-4080-8F66-DECFD821D41D}"/>
  <tableColumns count="8">
    <tableColumn id="9" xr3:uid="{E8276772-4B61-48FA-8F73-7A37646AAC0B}" name="産業中分類上位２０"/>
    <tableColumn id="10" xr3:uid="{0C150215-D56D-463A-ADFF-4DE005E21B70}" name="総数／事業所数" dataCellStyle="桁区切り"/>
    <tableColumn id="11" xr3:uid="{4CCC8750-BA24-45B5-9EEC-4D7373A1B897}" name="総数／構成比" dataDxfId="243"/>
    <tableColumn id="12" xr3:uid="{A1F2EEAB-E09C-46A0-BFD6-67FDC79DADCA}" name="個人／事業所数" dataCellStyle="桁区切り"/>
    <tableColumn id="13" xr3:uid="{66A9D921-1237-4BE2-A1A6-977990631E4B}" name="個人／構成比" dataDxfId="242"/>
    <tableColumn id="14" xr3:uid="{976F06DC-3810-4B6D-8535-2D414629EFE8}" name="法人／事業所数" dataCellStyle="桁区切り"/>
    <tableColumn id="15" xr3:uid="{3BF25433-4A85-428F-AB55-321AF45677B2}" name="法人／構成比" dataDxfId="241"/>
    <tableColumn id="16" xr3:uid="{9795DCA2-D2D2-49CF-8581-84D84CDA7CC4}" name="法人以外の団体／事業所数" dataCellStyle="桁区切り"/>
  </tableColumns>
  <tableStyleInfo name="TableStyleMedium9" showFirstColumn="0" showLastColumn="0" showRowStripes="1" showColumnStripes="0"/>
</table>
</file>

<file path=xl/tables/table5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9" xr:uid="{CA72EE6C-D814-4422-9FB0-C245E4931EC2}" name="S_TABLE_01643" displayName="S_TABLE_01643" ref="B46:I68" totalsRowShown="0">
  <autoFilter ref="B46:I68" xr:uid="{CA72EE6C-D814-4422-9FB0-C245E4931EC2}"/>
  <tableColumns count="8">
    <tableColumn id="9" xr3:uid="{6228F903-79E2-4AD3-A163-7AF4421C3825}" name="産業小分類上位２０"/>
    <tableColumn id="10" xr3:uid="{E7810D56-66A5-48C3-85ED-39123C118446}" name="総数／事業所数" dataCellStyle="桁区切り"/>
    <tableColumn id="11" xr3:uid="{8F70C34A-05E9-4D66-8133-CF9C368C6872}" name="総数／構成比" dataDxfId="240"/>
    <tableColumn id="12" xr3:uid="{13CD868C-B482-4F68-BC56-680E875B1F41}" name="個人／事業所数" dataCellStyle="桁区切り"/>
    <tableColumn id="13" xr3:uid="{9C328C56-37EE-4891-9198-CBE3706B3445}" name="個人／構成比" dataDxfId="239"/>
    <tableColumn id="14" xr3:uid="{924E21E5-0E68-4052-BECC-161DC3B34258}" name="法人／事業所数" dataCellStyle="桁区切り"/>
    <tableColumn id="15" xr3:uid="{736F6253-2E67-4CEA-A1EE-77BD3D8BF4B3}" name="法人／構成比" dataDxfId="238"/>
    <tableColumn id="16" xr3:uid="{718DFF63-EAC5-4DDF-A159-6F8BB13EE0C0}" name="法人以外の団体／事業所数" dataCellStyle="桁区切り"/>
  </tableColumns>
  <tableStyleInfo name="TableStyleMedium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433C4E7D-629E-4BCA-AD75-F82A1DC3F7FE}" name="LTBL_01207" displayName="LTBL_01207" ref="B4:I20" totalsRowCount="1">
  <autoFilter ref="B4:I19" xr:uid="{433C4E7D-629E-4BCA-AD75-F82A1DC3F7FE}"/>
  <tableColumns count="8">
    <tableColumn id="9" xr3:uid="{0F222F68-A909-4A20-9C08-187D02BD78E2}" name="産業大分類" totalsRowLabel="合計" totalsRowDxfId="2421"/>
    <tableColumn id="10" xr3:uid="{32DB39B1-4E32-4CD0-8E64-1808F69EC475}" name="総数／事業所数" totalsRowFunction="custom" totalsRowDxfId="2420" dataCellStyle="桁区切り" totalsRowCellStyle="桁区切り">
      <totalsRowFormula>SUM(LTBL_01207[総数／事業所数])</totalsRowFormula>
    </tableColumn>
    <tableColumn id="11" xr3:uid="{E1744A56-57F3-43DF-8EE2-CDCE7E4B837B}" name="総数／構成比" dataDxfId="2419"/>
    <tableColumn id="12" xr3:uid="{8323349D-5DB8-44F9-A896-03690BBECFD8}" name="個人／事業所数" totalsRowFunction="sum" totalsRowDxfId="2418" dataCellStyle="桁区切り" totalsRowCellStyle="桁区切り"/>
    <tableColumn id="13" xr3:uid="{05DFF0F2-43BE-4D8E-9B43-6F491B0D6B88}" name="個人／構成比" dataDxfId="2417"/>
    <tableColumn id="14" xr3:uid="{EADB572B-DAFD-4539-941E-A53B37FCDCC1}" name="法人／事業所数" totalsRowFunction="sum" totalsRowDxfId="2416" dataCellStyle="桁区切り" totalsRowCellStyle="桁区切り"/>
    <tableColumn id="15" xr3:uid="{9F9E7C52-0D2E-474A-ABA9-2288D05E818C}" name="法人／構成比" dataDxfId="2415"/>
    <tableColumn id="16" xr3:uid="{BC605549-D3C8-408A-9DE0-E7B85B5FF34F}" name="法人以外の団体／事業所数" totalsRowFunction="sum" totalsRowDxfId="2414" dataCellStyle="桁区切り" totalsRowCellStyle="桁区切り"/>
  </tableColumns>
  <tableStyleInfo name="TableStyleMedium9" showFirstColumn="0" showLastColumn="0" showRowStripes="1" showColumnStripes="0"/>
</table>
</file>

<file path=xl/tables/table5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0" xr:uid="{1C1D5A82-775F-4AD0-9BA2-2037D7CB40E0}" name="LTBL_01644" displayName="LTBL_01644" ref="B4:I20" totalsRowCount="1">
  <autoFilter ref="B4:I19" xr:uid="{1C1D5A82-775F-4AD0-9BA2-2037D7CB40E0}"/>
  <tableColumns count="8">
    <tableColumn id="9" xr3:uid="{A786D004-9536-45B2-B588-0E26C4CD5648}" name="産業大分類" totalsRowLabel="合計" totalsRowDxfId="237"/>
    <tableColumn id="10" xr3:uid="{D2DA95B9-5D75-4BC5-8BC6-17B0E2F6A908}" name="総数／事業所数" totalsRowFunction="custom" totalsRowDxfId="236" dataCellStyle="桁区切り" totalsRowCellStyle="桁区切り">
      <totalsRowFormula>SUM(LTBL_01644[総数／事業所数])</totalsRowFormula>
    </tableColumn>
    <tableColumn id="11" xr3:uid="{4308FEE8-53BA-443D-BD34-5F08DC2E1786}" name="総数／構成比" dataDxfId="235"/>
    <tableColumn id="12" xr3:uid="{A2238F2F-18A0-4E26-9E41-24F8DB8A178A}" name="個人／事業所数" totalsRowFunction="sum" totalsRowDxfId="234" dataCellStyle="桁区切り" totalsRowCellStyle="桁区切り"/>
    <tableColumn id="13" xr3:uid="{55A2E98B-4F62-4D07-82DE-ED928E9E3EB2}" name="個人／構成比" dataDxfId="233"/>
    <tableColumn id="14" xr3:uid="{9E5BF180-9397-4B9D-A775-6086DA761E05}" name="法人／事業所数" totalsRowFunction="sum" totalsRowDxfId="232" dataCellStyle="桁区切り" totalsRowCellStyle="桁区切り"/>
    <tableColumn id="15" xr3:uid="{8D645BD6-0341-4FD8-8F21-BBC5D3CCDD05}" name="法人／構成比" dataDxfId="231"/>
    <tableColumn id="16" xr3:uid="{4EB27B6E-2D0A-4343-896B-7EA50F203A8F}" name="法人以外の団体／事業所数" totalsRowFunction="sum" totalsRowDxfId="230" dataCellStyle="桁区切り" totalsRowCellStyle="桁区切り"/>
  </tableColumns>
  <tableStyleInfo name="TableStyleMedium9" showFirstColumn="0" showLastColumn="0" showRowStripes="1" showColumnStripes="0"/>
</table>
</file>

<file path=xl/tables/table5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1" xr:uid="{7A8851C7-9C9D-4133-9399-6CC612D434FE}" name="M_TABLE_01644" displayName="M_TABLE_01644" ref="B23:I47" totalsRowShown="0">
  <autoFilter ref="B23:I47" xr:uid="{7A8851C7-9C9D-4133-9399-6CC612D434FE}"/>
  <tableColumns count="8">
    <tableColumn id="9" xr3:uid="{E08266D6-F78E-49E6-AAD0-3617DC3DD23C}" name="産業中分類上位２０"/>
    <tableColumn id="10" xr3:uid="{351F7A2E-FEAF-42C4-86F8-763626B721E6}" name="総数／事業所数" dataCellStyle="桁区切り"/>
    <tableColumn id="11" xr3:uid="{47173DA1-6185-46B7-A312-9CD58F8E88CB}" name="総数／構成比" dataDxfId="229"/>
    <tableColumn id="12" xr3:uid="{8AA11A2C-915F-4B57-B498-740D43FB3414}" name="個人／事業所数" dataCellStyle="桁区切り"/>
    <tableColumn id="13" xr3:uid="{7D4A5A80-1DD6-4F9F-BDFF-2CDC6B4F54EC}" name="個人／構成比" dataDxfId="228"/>
    <tableColumn id="14" xr3:uid="{EE76396D-423E-4D9E-86EC-48B32DABAC46}" name="法人／事業所数" dataCellStyle="桁区切り"/>
    <tableColumn id="15" xr3:uid="{1BCCEAC0-DDD4-43EE-8655-BEB90B06BFDE}" name="法人／構成比" dataDxfId="227"/>
    <tableColumn id="16" xr3:uid="{BADAE583-C24A-414B-8D4D-93519A269BBB}" name="法人以外の団体／事業所数" dataCellStyle="桁区切り"/>
  </tableColumns>
  <tableStyleInfo name="TableStyleMedium9" showFirstColumn="0" showLastColumn="0" showRowStripes="1" showColumnStripes="0"/>
</table>
</file>

<file path=xl/tables/table5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2" xr:uid="{AD463994-A010-42E9-9B5C-C4AE0C9B0AD5}" name="S_TABLE_01644" displayName="S_TABLE_01644" ref="B50:I79" totalsRowShown="0">
  <autoFilter ref="B50:I79" xr:uid="{AD463994-A010-42E9-9B5C-C4AE0C9B0AD5}"/>
  <tableColumns count="8">
    <tableColumn id="9" xr3:uid="{F856747A-1C3F-470B-ACAA-AC09CB7439C6}" name="産業小分類上位２０"/>
    <tableColumn id="10" xr3:uid="{91AF77B5-3F62-4B7C-89AB-3528FC6D43D4}" name="総数／事業所数" dataCellStyle="桁区切り"/>
    <tableColumn id="11" xr3:uid="{B2A2926E-C23D-4C2A-8C86-86ECA416577F}" name="総数／構成比" dataDxfId="226"/>
    <tableColumn id="12" xr3:uid="{D2D8364A-110A-409B-9C59-E01BC1A951D0}" name="個人／事業所数" dataCellStyle="桁区切り"/>
    <tableColumn id="13" xr3:uid="{D2AF8636-232F-4DB7-B0A8-D5D7EA65E9BA}" name="個人／構成比" dataDxfId="225"/>
    <tableColumn id="14" xr3:uid="{12CB02E5-E298-4E72-8C7F-33596DFF2252}" name="法人／事業所数" dataCellStyle="桁区切り"/>
    <tableColumn id="15" xr3:uid="{3204C95B-0A53-4A99-AADE-5F6BE0B04147}" name="法人／構成比" dataDxfId="224"/>
    <tableColumn id="16" xr3:uid="{DB933460-89A5-40D4-A768-661F579E11CB}" name="法人以外の団体／事業所数" dataCellStyle="桁区切り"/>
  </tableColumns>
  <tableStyleInfo name="TableStyleMedium9" showFirstColumn="0" showLastColumn="0" showRowStripes="1" showColumnStripes="0"/>
</table>
</file>

<file path=xl/tables/table5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3" xr:uid="{466DEEAD-2010-44E5-9286-10A3F72D4D01}" name="LTBL_01645" displayName="LTBL_01645" ref="B4:I20" totalsRowCount="1">
  <autoFilter ref="B4:I19" xr:uid="{466DEEAD-2010-44E5-9286-10A3F72D4D01}"/>
  <tableColumns count="8">
    <tableColumn id="9" xr3:uid="{DE81037C-9FBD-4B0E-AC4D-F7AB410A83A5}" name="産業大分類" totalsRowLabel="合計" totalsRowDxfId="223"/>
    <tableColumn id="10" xr3:uid="{F0FC066D-390C-449F-8C03-BD6254CB5296}" name="総数／事業所数" totalsRowFunction="custom" totalsRowDxfId="222" dataCellStyle="桁区切り" totalsRowCellStyle="桁区切り">
      <totalsRowFormula>SUM(LTBL_01645[総数／事業所数])</totalsRowFormula>
    </tableColumn>
    <tableColumn id="11" xr3:uid="{8831D4AB-788A-40FB-B5E8-3896176021E7}" name="総数／構成比" dataDxfId="221"/>
    <tableColumn id="12" xr3:uid="{F3F1CF16-6DE5-4679-82C9-9A90A0E24343}" name="個人／事業所数" totalsRowFunction="sum" totalsRowDxfId="220" dataCellStyle="桁区切り" totalsRowCellStyle="桁区切り"/>
    <tableColumn id="13" xr3:uid="{F1713C29-83F2-4392-9956-ABD595B4C638}" name="個人／構成比" dataDxfId="219"/>
    <tableColumn id="14" xr3:uid="{A2D0766C-A157-4B02-A203-C16556B50357}" name="法人／事業所数" totalsRowFunction="sum" totalsRowDxfId="218" dataCellStyle="桁区切り" totalsRowCellStyle="桁区切り"/>
    <tableColumn id="15" xr3:uid="{83B2202F-B17B-403D-94D1-BCC470B20B35}" name="法人／構成比" dataDxfId="217"/>
    <tableColumn id="16" xr3:uid="{88910908-6E8C-4919-98CF-7A0A28EAF678}" name="法人以外の団体／事業所数" totalsRowFunction="sum" totalsRowDxfId="216" dataCellStyle="桁区切り" totalsRowCellStyle="桁区切り"/>
  </tableColumns>
  <tableStyleInfo name="TableStyleMedium9" showFirstColumn="0" showLastColumn="0" showRowStripes="1" showColumnStripes="0"/>
</table>
</file>

<file path=xl/tables/table5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4" xr:uid="{5CD29A36-5F57-4F22-9253-FEAC55F0538A}" name="M_TABLE_01645" displayName="M_TABLE_01645" ref="B23:I59" totalsRowShown="0">
  <autoFilter ref="B23:I59" xr:uid="{5CD29A36-5F57-4F22-9253-FEAC55F0538A}"/>
  <tableColumns count="8">
    <tableColumn id="9" xr3:uid="{CB43D4F6-4823-4267-BF50-EA5EE034DD93}" name="産業中分類上位２０"/>
    <tableColumn id="10" xr3:uid="{085B8CDE-1D5E-421E-AFE1-C488D516959A}" name="総数／事業所数" dataCellStyle="桁区切り"/>
    <tableColumn id="11" xr3:uid="{B4867E61-1C93-4104-923D-89C1E7CFE997}" name="総数／構成比" dataDxfId="215"/>
    <tableColumn id="12" xr3:uid="{9DB3B744-7D42-4848-B413-A936FBA1A93F}" name="個人／事業所数" dataCellStyle="桁区切り"/>
    <tableColumn id="13" xr3:uid="{3AF0A574-359B-4A3D-9F20-589A02AE015F}" name="個人／構成比" dataDxfId="214"/>
    <tableColumn id="14" xr3:uid="{D4C6CA47-C16D-4E2B-9915-8455EB681DF6}" name="法人／事業所数" dataCellStyle="桁区切り"/>
    <tableColumn id="15" xr3:uid="{05288216-33CC-439D-8B09-78AA2D15790E}" name="法人／構成比" dataDxfId="213"/>
    <tableColumn id="16" xr3:uid="{E33C7809-9A22-4E88-A0DE-DE7FA0A7F0E8}" name="法人以外の団体／事業所数" dataCellStyle="桁区切り"/>
  </tableColumns>
  <tableStyleInfo name="TableStyleMedium9" showFirstColumn="0" showLastColumn="0" showRowStripes="1" showColumnStripes="0"/>
</table>
</file>

<file path=xl/tables/table5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5" xr:uid="{CA458AA8-CBAB-4339-AA43-7B8F18868AD7}" name="S_TABLE_01645" displayName="S_TABLE_01645" ref="B62:I120" totalsRowShown="0">
  <autoFilter ref="B62:I120" xr:uid="{CA458AA8-CBAB-4339-AA43-7B8F18868AD7}"/>
  <tableColumns count="8">
    <tableColumn id="9" xr3:uid="{824390A2-CD1B-471A-9F46-53E5C4BCC883}" name="産業小分類上位２０"/>
    <tableColumn id="10" xr3:uid="{E083897D-BD2A-475E-A5C9-81331E06A317}" name="総数／事業所数" dataCellStyle="桁区切り"/>
    <tableColumn id="11" xr3:uid="{07DB026E-1DF1-44D2-9F0A-603A57B79838}" name="総数／構成比" dataDxfId="212"/>
    <tableColumn id="12" xr3:uid="{1BCC6478-5CD5-4D1F-899E-ECCDC0F60FE4}" name="個人／事業所数" dataCellStyle="桁区切り"/>
    <tableColumn id="13" xr3:uid="{7E65CE8F-E87A-4F17-B4D4-45C9AA3335BB}" name="個人／構成比" dataDxfId="211"/>
    <tableColumn id="14" xr3:uid="{1606647C-212D-4579-93E2-377478A8BC8E}" name="法人／事業所数" dataCellStyle="桁区切り"/>
    <tableColumn id="15" xr3:uid="{2B35ACB1-3A25-427B-B085-CD975173C76B}" name="法人／構成比" dataDxfId="210"/>
    <tableColumn id="16" xr3:uid="{99D023F6-3FAF-48D4-817C-9C8CBDF97911}" name="法人以外の団体／事業所数" dataCellStyle="桁区切り"/>
  </tableColumns>
  <tableStyleInfo name="TableStyleMedium9" showFirstColumn="0" showLastColumn="0" showRowStripes="1" showColumnStripes="0"/>
</table>
</file>

<file path=xl/tables/table5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6" xr:uid="{488882DB-3B32-414C-9C56-81C622A5AE7E}" name="LTBL_01646" displayName="LTBL_01646" ref="B4:I20" totalsRowCount="1">
  <autoFilter ref="B4:I19" xr:uid="{488882DB-3B32-414C-9C56-81C622A5AE7E}"/>
  <tableColumns count="8">
    <tableColumn id="9" xr3:uid="{9954EF9E-4196-4213-B8D5-86F6FAFF787A}" name="産業大分類" totalsRowLabel="合計" totalsRowDxfId="209"/>
    <tableColumn id="10" xr3:uid="{D72F4E50-E7C9-4B79-B666-45549DF63C49}" name="総数／事業所数" totalsRowFunction="custom" totalsRowDxfId="208" dataCellStyle="桁区切り" totalsRowCellStyle="桁区切り">
      <totalsRowFormula>SUM(LTBL_01646[総数／事業所数])</totalsRowFormula>
    </tableColumn>
    <tableColumn id="11" xr3:uid="{57931E33-132D-4811-BEAB-E77B10A16A02}" name="総数／構成比" dataDxfId="207"/>
    <tableColumn id="12" xr3:uid="{55109BD4-001E-436E-96E7-FF87FA3FB6DB}" name="個人／事業所数" totalsRowFunction="sum" totalsRowDxfId="206" dataCellStyle="桁区切り" totalsRowCellStyle="桁区切り"/>
    <tableColumn id="13" xr3:uid="{2C41F7F9-E801-44B0-A7C2-7853CC5EB371}" name="個人／構成比" dataDxfId="205"/>
    <tableColumn id="14" xr3:uid="{6EDF8A62-3D13-4F73-ACD7-7FBBDE794A95}" name="法人／事業所数" totalsRowFunction="sum" totalsRowDxfId="204" dataCellStyle="桁区切り" totalsRowCellStyle="桁区切り"/>
    <tableColumn id="15" xr3:uid="{48D2290A-55E4-4338-B7E6-FACADE1A37DA}" name="法人／構成比" dataDxfId="203"/>
    <tableColumn id="16" xr3:uid="{B007F6D7-20C2-4690-9612-BE71D8FB51D4}" name="法人以外の団体／事業所数" totalsRowFunction="sum" totalsRowDxfId="202" dataCellStyle="桁区切り" totalsRowCellStyle="桁区切り"/>
  </tableColumns>
  <tableStyleInfo name="TableStyleMedium9" showFirstColumn="0" showLastColumn="0" showRowStripes="1" showColumnStripes="0"/>
</table>
</file>

<file path=xl/tables/table5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7" xr:uid="{55B68084-41AF-40A1-AA05-D7BB1E36D6B4}" name="M_TABLE_01646" displayName="M_TABLE_01646" ref="B23:I44" totalsRowShown="0">
  <autoFilter ref="B23:I44" xr:uid="{55B68084-41AF-40A1-AA05-D7BB1E36D6B4}"/>
  <tableColumns count="8">
    <tableColumn id="9" xr3:uid="{85A305F4-948C-4032-8645-1481A1E8A0FC}" name="産業中分類上位２０"/>
    <tableColumn id="10" xr3:uid="{1C0D689D-0634-42B4-BF22-37405568BEB7}" name="総数／事業所数" dataCellStyle="桁区切り"/>
    <tableColumn id="11" xr3:uid="{D3C3E0C4-CB4E-414D-B876-C9F9240C0D19}" name="総数／構成比" dataDxfId="201"/>
    <tableColumn id="12" xr3:uid="{00FBDFA4-706B-40E9-8344-46F44CD2DBA2}" name="個人／事業所数" dataCellStyle="桁区切り"/>
    <tableColumn id="13" xr3:uid="{9362F071-DC23-477E-BA53-B194CEE63073}" name="個人／構成比" dataDxfId="200"/>
    <tableColumn id="14" xr3:uid="{F80CE26E-B679-41C3-93AA-7E0D84C41E97}" name="法人／事業所数" dataCellStyle="桁区切り"/>
    <tableColumn id="15" xr3:uid="{0ED741B3-1F42-4966-A6A0-C7185C5374C4}" name="法人／構成比" dataDxfId="199"/>
    <tableColumn id="16" xr3:uid="{2765CC28-0FC9-4848-BF13-7AF47C21F3AD}" name="法人以外の団体／事業所数" dataCellStyle="桁区切り"/>
  </tableColumns>
  <tableStyleInfo name="TableStyleMedium9" showFirstColumn="0" showLastColumn="0" showRowStripes="1" showColumnStripes="0"/>
</table>
</file>

<file path=xl/tables/table5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8" xr:uid="{1B1E0381-54DD-43A1-947C-121899032B3F}" name="S_TABLE_01646" displayName="S_TABLE_01646" ref="B47:I68" totalsRowShown="0">
  <autoFilter ref="B47:I68" xr:uid="{1B1E0381-54DD-43A1-947C-121899032B3F}"/>
  <tableColumns count="8">
    <tableColumn id="9" xr3:uid="{EBC435B6-B036-474F-B499-D24A2DCA0AD3}" name="産業小分類上位２０"/>
    <tableColumn id="10" xr3:uid="{1C289F4C-4F73-439E-B0DC-92E9174F85B3}" name="総数／事業所数" dataCellStyle="桁区切り"/>
    <tableColumn id="11" xr3:uid="{AFA5A5B1-A4DA-4465-9D39-8499F2D6B258}" name="総数／構成比" dataDxfId="198"/>
    <tableColumn id="12" xr3:uid="{9F93AFE6-7829-4B0D-844B-E27C6BC55E59}" name="個人／事業所数" dataCellStyle="桁区切り"/>
    <tableColumn id="13" xr3:uid="{69E30BFD-63B1-4ED4-90A9-B3905C0DA575}" name="個人／構成比" dataDxfId="197"/>
    <tableColumn id="14" xr3:uid="{CE12D022-8BFB-4C80-862C-1671395263CA}" name="法人／事業所数" dataCellStyle="桁区切り"/>
    <tableColumn id="15" xr3:uid="{4F5E0795-52DD-4A06-B8A2-02BE52A8E751}" name="法人／構成比" dataDxfId="196"/>
    <tableColumn id="16" xr3:uid="{60FEE972-2704-4ADE-AFBE-AFCEAC1A1CF7}" name="法人以外の団体／事業所数" dataCellStyle="桁区切り"/>
  </tableColumns>
  <tableStyleInfo name="TableStyleMedium9" showFirstColumn="0" showLastColumn="0" showRowStripes="1" showColumnStripes="0"/>
</table>
</file>

<file path=xl/tables/table5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9" xr:uid="{C538EF33-66A0-4283-B2CE-7434BB62D7A0}" name="LTBL_01647" displayName="LTBL_01647" ref="B4:I20" totalsRowCount="1">
  <autoFilter ref="B4:I19" xr:uid="{C538EF33-66A0-4283-B2CE-7434BB62D7A0}"/>
  <tableColumns count="8">
    <tableColumn id="9" xr3:uid="{DAC404C7-58A5-47CF-8E0D-94A7524BC53A}" name="産業大分類" totalsRowLabel="合計" totalsRowDxfId="195"/>
    <tableColumn id="10" xr3:uid="{10C49855-7127-448F-8C63-97994727E10B}" name="総数／事業所数" totalsRowFunction="custom" totalsRowDxfId="194" dataCellStyle="桁区切り" totalsRowCellStyle="桁区切り">
      <totalsRowFormula>SUM(LTBL_01647[総数／事業所数])</totalsRowFormula>
    </tableColumn>
    <tableColumn id="11" xr3:uid="{BB84B83D-6D28-42FF-B16D-80AB8DD9ACC3}" name="総数／構成比" dataDxfId="193"/>
    <tableColumn id="12" xr3:uid="{83A8D3AE-2B30-4963-9A11-52375E479D3C}" name="個人／事業所数" totalsRowFunction="sum" totalsRowDxfId="192" dataCellStyle="桁区切り" totalsRowCellStyle="桁区切り"/>
    <tableColumn id="13" xr3:uid="{D178D442-F8E5-4C1C-8980-791D37340BBC}" name="個人／構成比" dataDxfId="191"/>
    <tableColumn id="14" xr3:uid="{BAA1B466-4CC8-4AAA-8816-57CA8F8FC318}" name="法人／事業所数" totalsRowFunction="sum" totalsRowDxfId="190" dataCellStyle="桁区切り" totalsRowCellStyle="桁区切り"/>
    <tableColumn id="15" xr3:uid="{1D915ACB-224B-40A3-BAA7-1B484970151C}" name="法人／構成比" dataDxfId="189"/>
    <tableColumn id="16" xr3:uid="{282E896D-9B8B-4F47-A17A-4CD17E2AE5FA}" name="法人以外の団体／事業所数" totalsRowFunction="sum" totalsRowDxfId="188" dataCellStyle="桁区切り" totalsRowCellStyle="桁区切り"/>
  </tableColumns>
  <tableStyleInfo name="TableStyleMedium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2B1C2FDC-A1C2-42CC-9A95-F6FD5CD0F991}" name="M_TABLE_01207" displayName="M_TABLE_01207" ref="B23:I43" totalsRowShown="0">
  <autoFilter ref="B23:I43" xr:uid="{2B1C2FDC-A1C2-42CC-9A95-F6FD5CD0F991}"/>
  <tableColumns count="8">
    <tableColumn id="9" xr3:uid="{AE0933C7-FA64-4056-8696-9B3D9604855F}" name="産業中分類上位２０"/>
    <tableColumn id="10" xr3:uid="{7B81FF4F-0E25-42F2-887F-F2874A456E1F}" name="総数／事業所数" dataCellStyle="桁区切り"/>
    <tableColumn id="11" xr3:uid="{C216A63A-6C2A-4D6C-97AD-212627F12760}" name="総数／構成比" dataDxfId="2413"/>
    <tableColumn id="12" xr3:uid="{01E24FAA-1C72-47D5-9F86-9E9090697083}" name="個人／事業所数" dataCellStyle="桁区切り"/>
    <tableColumn id="13" xr3:uid="{1599DA94-C597-45EB-86C9-21FDD01D4CDF}" name="個人／構成比" dataDxfId="2412"/>
    <tableColumn id="14" xr3:uid="{8A10FD59-5C34-4400-BE87-D34A40467BAB}" name="法人／事業所数" dataCellStyle="桁区切り"/>
    <tableColumn id="15" xr3:uid="{7632DFC7-9214-4FE5-93B2-D51AB85F2B12}" name="法人／構成比" dataDxfId="2411"/>
    <tableColumn id="16" xr3:uid="{B70D9B57-34EB-4992-B1AD-830804AD0848}" name="法人以外の団体／事業所数" dataCellStyle="桁区切り"/>
  </tableColumns>
  <tableStyleInfo name="TableStyleMedium9" showFirstColumn="0" showLastColumn="0" showRowStripes="1" showColumnStripes="0"/>
</table>
</file>

<file path=xl/tables/table5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0" xr:uid="{147171AA-3851-484C-B7E2-FE64A5B37959}" name="M_TABLE_01647" displayName="M_TABLE_01647" ref="B23:I51" totalsRowShown="0">
  <autoFilter ref="B23:I51" xr:uid="{147171AA-3851-484C-B7E2-FE64A5B37959}"/>
  <tableColumns count="8">
    <tableColumn id="9" xr3:uid="{DDDF5177-CD18-4C14-8C33-6592304372BF}" name="産業中分類上位２０"/>
    <tableColumn id="10" xr3:uid="{C404C01F-0104-49C0-841C-D33C8CDDEB0E}" name="総数／事業所数" dataCellStyle="桁区切り"/>
    <tableColumn id="11" xr3:uid="{4F9890F8-925A-41FB-A693-1D4705C25E08}" name="総数／構成比" dataDxfId="187"/>
    <tableColumn id="12" xr3:uid="{01545C8F-1FAE-439C-AF60-950302ADDCFB}" name="個人／事業所数" dataCellStyle="桁区切り"/>
    <tableColumn id="13" xr3:uid="{FE27B83F-159F-402A-AE9E-C746D646E5AC}" name="個人／構成比" dataDxfId="186"/>
    <tableColumn id="14" xr3:uid="{CB60F61F-9B93-4D2C-8C82-16FF35463927}" name="法人／事業所数" dataCellStyle="桁区切り"/>
    <tableColumn id="15" xr3:uid="{64AD8B05-F026-4167-B9AA-95BED8FC5F45}" name="法人／構成比" dataDxfId="185"/>
    <tableColumn id="16" xr3:uid="{69F5A69F-51CB-44E5-9C13-72A712339AE3}" name="法人以外の団体／事業所数" dataCellStyle="桁区切り"/>
  </tableColumns>
  <tableStyleInfo name="TableStyleMedium9" showFirstColumn="0" showLastColumn="0" showRowStripes="1" showColumnStripes="0"/>
</table>
</file>

<file path=xl/tables/table5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1" xr:uid="{4363974F-775A-471F-B7C2-B726E3E0927A}" name="S_TABLE_01647" displayName="S_TABLE_01647" ref="B54:I77" totalsRowShown="0">
  <autoFilter ref="B54:I77" xr:uid="{4363974F-775A-471F-B7C2-B726E3E0927A}"/>
  <tableColumns count="8">
    <tableColumn id="9" xr3:uid="{65D49D42-875F-41C9-A434-838D9AB445ED}" name="産業小分類上位２０"/>
    <tableColumn id="10" xr3:uid="{4CB0B3E7-DE74-41CA-81A4-26FB0D6BE020}" name="総数／事業所数" dataCellStyle="桁区切り"/>
    <tableColumn id="11" xr3:uid="{43C56772-1B76-4668-B37D-46AA95FE8310}" name="総数／構成比" dataDxfId="184"/>
    <tableColumn id="12" xr3:uid="{1C2ECE17-5648-4CA6-A057-46D48F8E606E}" name="個人／事業所数" dataCellStyle="桁区切り"/>
    <tableColumn id="13" xr3:uid="{1AEB80FF-15B8-4D2F-8DBE-159E20DE4779}" name="個人／構成比" dataDxfId="183"/>
    <tableColumn id="14" xr3:uid="{5D4BC00B-2290-4396-884D-DD61CDB94A01}" name="法人／事業所数" dataCellStyle="桁区切り"/>
    <tableColumn id="15" xr3:uid="{D10597C6-A492-49C5-B69A-46D92020783E}" name="法人／構成比" dataDxfId="182"/>
    <tableColumn id="16" xr3:uid="{C79C23C7-1206-48DC-8C4E-5EB02BEA2766}" name="法人以外の団体／事業所数" dataCellStyle="桁区切り"/>
  </tableColumns>
  <tableStyleInfo name="TableStyleMedium9" showFirstColumn="0" showLastColumn="0" showRowStripes="1" showColumnStripes="0"/>
</table>
</file>

<file path=xl/tables/table5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2" xr:uid="{132453D4-908A-495D-8D36-DA9007DD8DAE}" name="LTBL_01648" displayName="LTBL_01648" ref="B4:I20" totalsRowCount="1">
  <autoFilter ref="B4:I19" xr:uid="{132453D4-908A-495D-8D36-DA9007DD8DAE}"/>
  <tableColumns count="8">
    <tableColumn id="9" xr3:uid="{1A172DB0-6CC3-4A21-9446-4CAF3F28EB12}" name="産業大分類" totalsRowLabel="合計" totalsRowDxfId="181"/>
    <tableColumn id="10" xr3:uid="{8C734050-51B4-4F52-98A3-7540055D306E}" name="総数／事業所数" totalsRowFunction="custom" totalsRowDxfId="180" dataCellStyle="桁区切り" totalsRowCellStyle="桁区切り">
      <totalsRowFormula>SUM(LTBL_01648[総数／事業所数])</totalsRowFormula>
    </tableColumn>
    <tableColumn id="11" xr3:uid="{A3CC3A94-BE99-470C-A54E-AD309BF67A31}" name="総数／構成比" dataDxfId="179"/>
    <tableColumn id="12" xr3:uid="{800FC6B3-BD30-4CF8-96E0-7BF97A3C9B54}" name="個人／事業所数" totalsRowFunction="sum" totalsRowDxfId="178" dataCellStyle="桁区切り" totalsRowCellStyle="桁区切り"/>
    <tableColumn id="13" xr3:uid="{7AAAD76B-EF6B-4D90-92CF-B23DF4074572}" name="個人／構成比" dataDxfId="177"/>
    <tableColumn id="14" xr3:uid="{B439AAE7-078E-4FD0-B72E-05E2546EF6F3}" name="法人／事業所数" totalsRowFunction="sum" totalsRowDxfId="176" dataCellStyle="桁区切り" totalsRowCellStyle="桁区切り"/>
    <tableColumn id="15" xr3:uid="{377B1E6C-DD58-4BEB-BD12-EB01039F29E8}" name="法人／構成比" dataDxfId="175"/>
    <tableColumn id="16" xr3:uid="{1C2F63BE-4B3D-4A23-8558-55A395208B02}" name="法人以外の団体／事業所数" totalsRowFunction="sum" totalsRowDxfId="174" dataCellStyle="桁区切り" totalsRowCellStyle="桁区切り"/>
  </tableColumns>
  <tableStyleInfo name="TableStyleMedium9" showFirstColumn="0" showLastColumn="0" showRowStripes="1" showColumnStripes="0"/>
</table>
</file>

<file path=xl/tables/table5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3" xr:uid="{03553FE1-8F8C-4663-8C46-E6D527AE83C3}" name="M_TABLE_01648" displayName="M_TABLE_01648" ref="B23:I53" totalsRowShown="0">
  <autoFilter ref="B23:I53" xr:uid="{03553FE1-8F8C-4663-8C46-E6D527AE83C3}"/>
  <tableColumns count="8">
    <tableColumn id="9" xr3:uid="{DFE091B4-D869-46C9-B196-97D767EDEE03}" name="産業中分類上位２０"/>
    <tableColumn id="10" xr3:uid="{4EF8CCE6-13C0-4A12-A249-B32D23436C50}" name="総数／事業所数" dataCellStyle="桁区切り"/>
    <tableColumn id="11" xr3:uid="{FCF66EE8-2AC0-4C16-ABB5-7B90D2A3645B}" name="総数／構成比" dataDxfId="173"/>
    <tableColumn id="12" xr3:uid="{E5832C02-CBCB-4685-B804-D5CF831A837B}" name="個人／事業所数" dataCellStyle="桁区切り"/>
    <tableColumn id="13" xr3:uid="{BF0FD66D-07BB-4453-85E8-0B8C2705A48F}" name="個人／構成比" dataDxfId="172"/>
    <tableColumn id="14" xr3:uid="{7462CBEA-741A-449A-9810-C7D8D8327204}" name="法人／事業所数" dataCellStyle="桁区切り"/>
    <tableColumn id="15" xr3:uid="{AA3B4779-DA9F-4D1A-9FF2-9287AE9BEC0F}" name="法人／構成比" dataDxfId="171"/>
    <tableColumn id="16" xr3:uid="{3E6CEC3A-C840-470B-AF01-B3EE46AFB998}" name="法人以外の団体／事業所数" dataCellStyle="桁区切り"/>
  </tableColumns>
  <tableStyleInfo name="TableStyleMedium9" showFirstColumn="0" showLastColumn="0" showRowStripes="1" showColumnStripes="0"/>
</table>
</file>

<file path=xl/tables/table5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4" xr:uid="{1189B15D-C67D-4E59-9349-F60211B3A020}" name="S_TABLE_01648" displayName="S_TABLE_01648" ref="B56:I108" totalsRowShown="0">
  <autoFilter ref="B56:I108" xr:uid="{1189B15D-C67D-4E59-9349-F60211B3A020}"/>
  <tableColumns count="8">
    <tableColumn id="9" xr3:uid="{094F39E6-16A5-4400-B9D5-470811ACBC1F}" name="産業小分類上位２０"/>
    <tableColumn id="10" xr3:uid="{5A3240F9-6DB4-4E2C-9AFA-CC2A6687AD46}" name="総数／事業所数" dataCellStyle="桁区切り"/>
    <tableColumn id="11" xr3:uid="{D4285E8A-323D-4689-A2E9-D104B2EB95BF}" name="総数／構成比" dataDxfId="170"/>
    <tableColumn id="12" xr3:uid="{FD3D4E02-3C27-45CF-9003-1CA6EFC65A75}" name="個人／事業所数" dataCellStyle="桁区切り"/>
    <tableColumn id="13" xr3:uid="{D86E6363-3BF2-4F6A-A4E3-1AAE29595AC1}" name="個人／構成比" dataDxfId="169"/>
    <tableColumn id="14" xr3:uid="{2B26A276-BE59-4915-95AB-5F5277D09BD7}" name="法人／事業所数" dataCellStyle="桁区切り"/>
    <tableColumn id="15" xr3:uid="{A8CC7F1F-BFF0-4028-B5C0-4C4F2D224C06}" name="法人／構成比" dataDxfId="168"/>
    <tableColumn id="16" xr3:uid="{3E432DAE-B203-4818-9067-3190224806E1}" name="法人以外の団体／事業所数" dataCellStyle="桁区切り"/>
  </tableColumns>
  <tableStyleInfo name="TableStyleMedium9" showFirstColumn="0" showLastColumn="0" showRowStripes="1" showColumnStripes="0"/>
</table>
</file>

<file path=xl/tables/table5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5" xr:uid="{B8DEAFFA-F82D-43DF-BBA7-CB1EBA660F0E}" name="LTBL_01649" displayName="LTBL_01649" ref="B4:I20" totalsRowCount="1">
  <autoFilter ref="B4:I19" xr:uid="{B8DEAFFA-F82D-43DF-BBA7-CB1EBA660F0E}"/>
  <tableColumns count="8">
    <tableColumn id="9" xr3:uid="{F96D1640-3006-4CB9-9428-350789E682D5}" name="産業大分類" totalsRowLabel="合計" totalsRowDxfId="167"/>
    <tableColumn id="10" xr3:uid="{555E054E-45BA-430E-B6C2-59D1F31D3B0E}" name="総数／事業所数" totalsRowFunction="custom" totalsRowDxfId="166" dataCellStyle="桁区切り" totalsRowCellStyle="桁区切り">
      <totalsRowFormula>SUM(LTBL_01649[総数／事業所数])</totalsRowFormula>
    </tableColumn>
    <tableColumn id="11" xr3:uid="{FC48A98D-8C3B-4D5C-AE64-F4E7B2D85B63}" name="総数／構成比" dataDxfId="165"/>
    <tableColumn id="12" xr3:uid="{D65311B6-5160-4019-92EC-D12DCFFE5C19}" name="個人／事業所数" totalsRowFunction="sum" totalsRowDxfId="164" dataCellStyle="桁区切り" totalsRowCellStyle="桁区切り"/>
    <tableColumn id="13" xr3:uid="{D2BF5F31-F200-4996-81F2-79E275E49684}" name="個人／構成比" dataDxfId="163"/>
    <tableColumn id="14" xr3:uid="{A20314E3-CC8D-483E-A26B-1F3A4DE789CF}" name="法人／事業所数" totalsRowFunction="sum" totalsRowDxfId="162" dataCellStyle="桁区切り" totalsRowCellStyle="桁区切り"/>
    <tableColumn id="15" xr3:uid="{050154FF-6B10-418F-B522-29C9F416BBF9}" name="法人／構成比" dataDxfId="161"/>
    <tableColumn id="16" xr3:uid="{A7FB80C3-739F-42E0-8E65-486D9882805E}" name="法人以外の団体／事業所数" totalsRowFunction="sum" totalsRowDxfId="160" dataCellStyle="桁区切り" totalsRowCellStyle="桁区切り"/>
  </tableColumns>
  <tableStyleInfo name="TableStyleMedium9" showFirstColumn="0" showLastColumn="0" showRowStripes="1" showColumnStripes="0"/>
</table>
</file>

<file path=xl/tables/table5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6" xr:uid="{5C46887A-FA28-47B4-ABAA-14C09BB2356E}" name="M_TABLE_01649" displayName="M_TABLE_01649" ref="B23:I46" totalsRowShown="0">
  <autoFilter ref="B23:I46" xr:uid="{5C46887A-FA28-47B4-ABAA-14C09BB2356E}"/>
  <tableColumns count="8">
    <tableColumn id="9" xr3:uid="{DE503F18-A8DB-4EE4-A508-6F9C4FF88FE7}" name="産業中分類上位２０"/>
    <tableColumn id="10" xr3:uid="{D1C18420-A09D-4B02-B94A-5FE6065FDBB1}" name="総数／事業所数" dataCellStyle="桁区切り"/>
    <tableColumn id="11" xr3:uid="{AC59EB4D-3719-401F-BAB5-1AF0B217F5E8}" name="総数／構成比" dataDxfId="159"/>
    <tableColumn id="12" xr3:uid="{B25ADF7F-566A-4BBB-95D3-9A891CD95BBC}" name="個人／事業所数" dataCellStyle="桁区切り"/>
    <tableColumn id="13" xr3:uid="{654417E5-720B-4332-85EC-CE69F66B0F08}" name="個人／構成比" dataDxfId="158"/>
    <tableColumn id="14" xr3:uid="{23E2EEAB-CDFC-46BB-ABD0-822A6F38E3B6}" name="法人／事業所数" dataCellStyle="桁区切り"/>
    <tableColumn id="15" xr3:uid="{EC8ABDAD-6639-4A1A-BD70-E3BAA312AF76}" name="法人／構成比" dataDxfId="157"/>
    <tableColumn id="16" xr3:uid="{FA8A8375-D5AB-498E-A205-CB540F16BC21}" name="法人以外の団体／事業所数" dataCellStyle="桁区切り"/>
  </tableColumns>
  <tableStyleInfo name="TableStyleMedium9" showFirstColumn="0" showLastColumn="0" showRowStripes="1" showColumnStripes="0"/>
</table>
</file>

<file path=xl/tables/table5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7" xr:uid="{E19F6BC3-64BC-4D78-A9D3-198B1A9EF7DA}" name="S_TABLE_01649" displayName="S_TABLE_01649" ref="B49:I81" totalsRowShown="0">
  <autoFilter ref="B49:I81" xr:uid="{E19F6BC3-64BC-4D78-A9D3-198B1A9EF7DA}"/>
  <tableColumns count="8">
    <tableColumn id="9" xr3:uid="{E348DB11-4AA6-4343-B33B-BCB2BA528C77}" name="産業小分類上位２０"/>
    <tableColumn id="10" xr3:uid="{28718636-5734-453C-B7FD-062FC0687DC8}" name="総数／事業所数" dataCellStyle="桁区切り"/>
    <tableColumn id="11" xr3:uid="{8D737A6A-531C-44EE-978F-EEC5B2EEC5BE}" name="総数／構成比" dataDxfId="156"/>
    <tableColumn id="12" xr3:uid="{E10FA1E2-638F-4FF5-A028-040E68FBE824}" name="個人／事業所数" dataCellStyle="桁区切り"/>
    <tableColumn id="13" xr3:uid="{FF3C4DFF-BF16-4096-A651-F6F3FA5F0B68}" name="個人／構成比" dataDxfId="155"/>
    <tableColumn id="14" xr3:uid="{0089F94B-069D-4A13-B916-4C5E8F383B0B}" name="法人／事業所数" dataCellStyle="桁区切り"/>
    <tableColumn id="15" xr3:uid="{F85B3820-0126-4306-918B-7FE751E57A3F}" name="法人／構成比" dataDxfId="154"/>
    <tableColumn id="16" xr3:uid="{90B3133A-D287-462A-BA11-447DB48A3736}" name="法人以外の団体／事業所数" dataCellStyle="桁区切り"/>
  </tableColumns>
  <tableStyleInfo name="TableStyleMedium9" showFirstColumn="0" showLastColumn="0" showRowStripes="1" showColumnStripes="0"/>
</table>
</file>

<file path=xl/tables/table5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8" xr:uid="{E8DEFC45-71AE-4226-AB7B-0B9E8F6A1D6D}" name="LTBL_01661" displayName="LTBL_01661" ref="B4:I20" totalsRowCount="1">
  <autoFilter ref="B4:I19" xr:uid="{E8DEFC45-71AE-4226-AB7B-0B9E8F6A1D6D}"/>
  <tableColumns count="8">
    <tableColumn id="9" xr3:uid="{16E5A312-5855-4CFA-A2AA-19E0BED323AC}" name="産業大分類" totalsRowLabel="合計" totalsRowDxfId="153"/>
    <tableColumn id="10" xr3:uid="{6DCEC0D1-4B49-4ABE-A299-B85206CD762A}" name="総数／事業所数" totalsRowFunction="custom" totalsRowDxfId="152" dataCellStyle="桁区切り" totalsRowCellStyle="桁区切り">
      <totalsRowFormula>SUM(LTBL_01661[総数／事業所数])</totalsRowFormula>
    </tableColumn>
    <tableColumn id="11" xr3:uid="{EACD69A2-8D6F-45EE-BCFC-4FC627DB4470}" name="総数／構成比" dataDxfId="151"/>
    <tableColumn id="12" xr3:uid="{BACBA757-F972-4092-B9CE-C789D9C76E95}" name="個人／事業所数" totalsRowFunction="sum" totalsRowDxfId="150" dataCellStyle="桁区切り" totalsRowCellStyle="桁区切り"/>
    <tableColumn id="13" xr3:uid="{76ADEBE8-97D0-4545-8E43-D6358DCA563D}" name="個人／構成比" dataDxfId="149"/>
    <tableColumn id="14" xr3:uid="{23B3D590-8DD0-4420-8BC8-71870EB6642F}" name="法人／事業所数" totalsRowFunction="sum" totalsRowDxfId="148" dataCellStyle="桁区切り" totalsRowCellStyle="桁区切り"/>
    <tableColumn id="15" xr3:uid="{A5D7F1E4-F417-4038-BAC2-C66C19CE4E0C}" name="法人／構成比" dataDxfId="147"/>
    <tableColumn id="16" xr3:uid="{5EFAD8F4-CFF7-48FB-ACC6-6DAEB07252A2}" name="法人以外の団体／事業所数" totalsRowFunction="sum" totalsRowDxfId="146" dataCellStyle="桁区切り" totalsRowCellStyle="桁区切り"/>
  </tableColumns>
  <tableStyleInfo name="TableStyleMedium9" showFirstColumn="0" showLastColumn="0" showRowStripes="1" showColumnStripes="0"/>
</table>
</file>

<file path=xl/tables/table5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9" xr:uid="{E66E9A71-2045-4C1D-866D-AA1089387089}" name="M_TABLE_01661" displayName="M_TABLE_01661" ref="B23:I43" totalsRowShown="0">
  <autoFilter ref="B23:I43" xr:uid="{E66E9A71-2045-4C1D-866D-AA1089387089}"/>
  <tableColumns count="8">
    <tableColumn id="9" xr3:uid="{4FA1D4E5-C091-4D4D-837A-2166D3DBBFC4}" name="産業中分類上位２０"/>
    <tableColumn id="10" xr3:uid="{38FEF7E7-1316-4A79-A44E-6CD5DDC67A1B}" name="総数／事業所数" dataCellStyle="桁区切り"/>
    <tableColumn id="11" xr3:uid="{79598EAD-F361-4340-A79A-98BA1C5B33EB}" name="総数／構成比" dataDxfId="145"/>
    <tableColumn id="12" xr3:uid="{698ECEA2-4A95-4434-B6B5-CEE27A055166}" name="個人／事業所数" dataCellStyle="桁区切り"/>
    <tableColumn id="13" xr3:uid="{D593070C-09FE-45D0-8365-5532B6F5E774}" name="個人／構成比" dataDxfId="144"/>
    <tableColumn id="14" xr3:uid="{16FB82C3-8251-4753-B671-EBFF86EDD438}" name="法人／事業所数" dataCellStyle="桁区切り"/>
    <tableColumn id="15" xr3:uid="{317EDFDB-CC01-44A5-A3D7-2F7AA1746D32}" name="法人／構成比" dataDxfId="143"/>
    <tableColumn id="16" xr3:uid="{BC8626A2-2032-4CEC-9F4A-EAD2D5FBE577}" name="法人以外の団体／事業所数" dataCellStyle="桁区切り"/>
  </tableColumns>
  <tableStyleInfo name="TableStyleMedium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A9BB423E-4849-4370-8BEE-4325B0ECFD5D}" name="S_TABLE_01207" displayName="S_TABLE_01207" ref="B46:I66" totalsRowShown="0">
  <autoFilter ref="B46:I66" xr:uid="{A9BB423E-4849-4370-8BEE-4325B0ECFD5D}"/>
  <tableColumns count="8">
    <tableColumn id="9" xr3:uid="{62E77CAA-AF2D-4FFE-A180-BEBE6A1DBECF}" name="産業小分類上位２０"/>
    <tableColumn id="10" xr3:uid="{05D076C6-2517-4321-A78C-F04DA0DF1D66}" name="総数／事業所数" dataCellStyle="桁区切り"/>
    <tableColumn id="11" xr3:uid="{FA28AA1E-2F93-46B6-95E4-63E659B3DA5C}" name="総数／構成比" dataDxfId="2410"/>
    <tableColumn id="12" xr3:uid="{C03A3D8D-76A9-4CBA-9A92-8EB10B85DB04}" name="個人／事業所数" dataCellStyle="桁区切り"/>
    <tableColumn id="13" xr3:uid="{9E91D265-869F-4455-88CC-B4F20966D84D}" name="個人／構成比" dataDxfId="2409"/>
    <tableColumn id="14" xr3:uid="{37DDD270-7985-4EF4-BB5A-410B128C2F60}" name="法人／事業所数" dataCellStyle="桁区切り"/>
    <tableColumn id="15" xr3:uid="{0A5E84FD-ADDC-4D74-9FD8-3EF9BDF14595}" name="法人／構成比" dataDxfId="2408"/>
    <tableColumn id="16" xr3:uid="{389D3224-3A91-4A4B-9B65-2BFD6AEEE70C}" name="法人以外の団体／事業所数" dataCellStyle="桁区切り"/>
  </tableColumns>
  <tableStyleInfo name="TableStyleMedium9" showFirstColumn="0" showLastColumn="0" showRowStripes="1" showColumnStripes="0"/>
</table>
</file>

<file path=xl/tables/table5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0" xr:uid="{117CFE11-79B0-4F96-854E-F3EAB7FACBBA}" name="S_TABLE_01661" displayName="S_TABLE_01661" ref="B46:I67" totalsRowShown="0">
  <autoFilter ref="B46:I67" xr:uid="{117CFE11-79B0-4F96-854E-F3EAB7FACBBA}"/>
  <tableColumns count="8">
    <tableColumn id="9" xr3:uid="{CEA7EE99-8FF7-4BCB-8BC4-77236E834693}" name="産業小分類上位２０"/>
    <tableColumn id="10" xr3:uid="{BEBB46C0-6DD3-45E8-87CF-BE30FE8CC50F}" name="総数／事業所数" dataCellStyle="桁区切り"/>
    <tableColumn id="11" xr3:uid="{B24614E3-CF49-4812-B45A-E77FE6583399}" name="総数／構成比" dataDxfId="142"/>
    <tableColumn id="12" xr3:uid="{90F7BD4A-7597-4B33-89AC-44F5992199B0}" name="個人／事業所数" dataCellStyle="桁区切り"/>
    <tableColumn id="13" xr3:uid="{DCD18E99-D09F-4346-979D-68248068ABE3}" name="個人／構成比" dataDxfId="141"/>
    <tableColumn id="14" xr3:uid="{99F8870D-27A1-48C1-87E9-94D987F21AC0}" name="法人／事業所数" dataCellStyle="桁区切り"/>
    <tableColumn id="15" xr3:uid="{DB9FDA82-4ECC-49AA-9A78-831FB3FE511B}" name="法人／構成比" dataDxfId="140"/>
    <tableColumn id="16" xr3:uid="{0DA17831-584B-4B18-8EE8-35E5BF0FF608}" name="法人以外の団体／事業所数" dataCellStyle="桁区切り"/>
  </tableColumns>
  <tableStyleInfo name="TableStyleMedium9" showFirstColumn="0" showLastColumn="0" showRowStripes="1" showColumnStripes="0"/>
</table>
</file>

<file path=xl/tables/table5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1" xr:uid="{A1AD5397-5640-4A43-BD12-D715D38B98B2}" name="LTBL_01662" displayName="LTBL_01662" ref="B4:I20" totalsRowCount="1">
  <autoFilter ref="B4:I19" xr:uid="{A1AD5397-5640-4A43-BD12-D715D38B98B2}"/>
  <tableColumns count="8">
    <tableColumn id="9" xr3:uid="{BF77A3FD-FB59-43EA-A269-4A409AEA1477}" name="産業大分類" totalsRowLabel="合計" totalsRowDxfId="139"/>
    <tableColumn id="10" xr3:uid="{9C4638DB-AD6A-4C93-8027-D00E4B4135C5}" name="総数／事業所数" totalsRowFunction="custom" totalsRowDxfId="138" dataCellStyle="桁区切り" totalsRowCellStyle="桁区切り">
      <totalsRowFormula>SUM(LTBL_01662[総数／事業所数])</totalsRowFormula>
    </tableColumn>
    <tableColumn id="11" xr3:uid="{7803B3C7-41E6-45FC-A38D-8EE15697BED6}" name="総数／構成比" dataDxfId="137"/>
    <tableColumn id="12" xr3:uid="{6A611639-C8EC-41D4-BD22-F0945B1F3AA7}" name="個人／事業所数" totalsRowFunction="sum" totalsRowDxfId="136" dataCellStyle="桁区切り" totalsRowCellStyle="桁区切り"/>
    <tableColumn id="13" xr3:uid="{EB3E511A-2B83-4F65-BB66-C5502B127526}" name="個人／構成比" dataDxfId="135"/>
    <tableColumn id="14" xr3:uid="{E142DA99-DDD2-44DF-9290-2E1FFD37AE24}" name="法人／事業所数" totalsRowFunction="sum" totalsRowDxfId="134" dataCellStyle="桁区切り" totalsRowCellStyle="桁区切り"/>
    <tableColumn id="15" xr3:uid="{82DF9090-05B6-4C62-90FA-1F334B9A46C1}" name="法人／構成比" dataDxfId="133"/>
    <tableColumn id="16" xr3:uid="{E88C2FC3-A90B-4479-9DC9-50547D9CB0D9}" name="法人以外の団体／事業所数" totalsRowFunction="sum" totalsRowDxfId="132" dataCellStyle="桁区切り" totalsRowCellStyle="桁区切り"/>
  </tableColumns>
  <tableStyleInfo name="TableStyleMedium9" showFirstColumn="0" showLastColumn="0" showRowStripes="1" showColumnStripes="0"/>
</table>
</file>

<file path=xl/tables/table5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2" xr:uid="{96516170-C0ED-46E6-A6EA-03A9456CA690}" name="M_TABLE_01662" displayName="M_TABLE_01662" ref="B23:I43" totalsRowShown="0">
  <autoFilter ref="B23:I43" xr:uid="{96516170-C0ED-46E6-A6EA-03A9456CA690}"/>
  <tableColumns count="8">
    <tableColumn id="9" xr3:uid="{002F0248-8338-4F82-9272-81B676BC61F6}" name="産業中分類上位２０"/>
    <tableColumn id="10" xr3:uid="{4DC2D2E0-C131-4CF1-9348-39B7687F9447}" name="総数／事業所数" dataCellStyle="桁区切り"/>
    <tableColumn id="11" xr3:uid="{C800A2FD-BDCF-4353-B322-699698B83A89}" name="総数／構成比" dataDxfId="131"/>
    <tableColumn id="12" xr3:uid="{E880CB40-24CF-498E-93FF-B60C070AE38D}" name="個人／事業所数" dataCellStyle="桁区切り"/>
    <tableColumn id="13" xr3:uid="{A43925B5-C619-42E2-8C1B-B23FA08D1AE1}" name="個人／構成比" dataDxfId="130"/>
    <tableColumn id="14" xr3:uid="{908DE3B0-07AC-4C20-9A77-CE9AEA765F7A}" name="法人／事業所数" dataCellStyle="桁区切り"/>
    <tableColumn id="15" xr3:uid="{EDB36D26-6051-4839-A1BD-CCC6C4B00869}" name="法人／構成比" dataDxfId="129"/>
    <tableColumn id="16" xr3:uid="{9C069817-C3E3-456F-AE1B-258659E1B6CE}" name="法人以外の団体／事業所数" dataCellStyle="桁区切り"/>
  </tableColumns>
  <tableStyleInfo name="TableStyleMedium9" showFirstColumn="0" showLastColumn="0" showRowStripes="1" showColumnStripes="0"/>
</table>
</file>

<file path=xl/tables/table5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3" xr:uid="{23CB297A-33F0-4B72-9038-BB35AADAF979}" name="S_TABLE_01662" displayName="S_TABLE_01662" ref="B46:I66" totalsRowShown="0">
  <autoFilter ref="B46:I66" xr:uid="{23CB297A-33F0-4B72-9038-BB35AADAF979}"/>
  <tableColumns count="8">
    <tableColumn id="9" xr3:uid="{56D502BC-2DFA-416A-B7FF-FE441A49E23E}" name="産業小分類上位２０"/>
    <tableColumn id="10" xr3:uid="{5DECE9A4-8FE1-4761-B3FD-5074CA4AEAE7}" name="総数／事業所数" dataCellStyle="桁区切り"/>
    <tableColumn id="11" xr3:uid="{1E47F31B-5AF8-4B3E-BAD5-926640B24C98}" name="総数／構成比" dataDxfId="128"/>
    <tableColumn id="12" xr3:uid="{78F83E34-2B6D-4951-ADCD-3CEDA0B033CB}" name="個人／事業所数" dataCellStyle="桁区切り"/>
    <tableColumn id="13" xr3:uid="{8ADE1360-B53D-4AEE-8729-08EC8428CE28}" name="個人／構成比" dataDxfId="127"/>
    <tableColumn id="14" xr3:uid="{417E127A-46E1-48FF-A308-087F00286BCD}" name="法人／事業所数" dataCellStyle="桁区切り"/>
    <tableColumn id="15" xr3:uid="{EBBCEEBA-4A21-4A5B-BA39-5146697BE816}" name="法人／構成比" dataDxfId="126"/>
    <tableColumn id="16" xr3:uid="{242C1D92-7CC0-4FBF-BF03-26CD0CD57CF3}" name="法人以外の団体／事業所数" dataCellStyle="桁区切り"/>
  </tableColumns>
  <tableStyleInfo name="TableStyleMedium9" showFirstColumn="0" showLastColumn="0" showRowStripes="1" showColumnStripes="0"/>
</table>
</file>

<file path=xl/tables/table5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4" xr:uid="{C5B3EEEE-3D6A-45DE-8486-99E0D56BCA8C}" name="LTBL_01663" displayName="LTBL_01663" ref="B4:I20" totalsRowCount="1">
  <autoFilter ref="B4:I19" xr:uid="{C5B3EEEE-3D6A-45DE-8486-99E0D56BCA8C}"/>
  <tableColumns count="8">
    <tableColumn id="9" xr3:uid="{3C11BD66-121C-4017-8EAF-7F2268562F59}" name="産業大分類" totalsRowLabel="合計" totalsRowDxfId="125"/>
    <tableColumn id="10" xr3:uid="{63DECC93-24BE-4E10-9CCA-ABAC661CA9F3}" name="総数／事業所数" totalsRowFunction="custom" totalsRowDxfId="124" dataCellStyle="桁区切り" totalsRowCellStyle="桁区切り">
      <totalsRowFormula>SUM(LTBL_01663[総数／事業所数])</totalsRowFormula>
    </tableColumn>
    <tableColumn id="11" xr3:uid="{B4329C8B-7705-4681-A1AF-9D9A3CFDC7C5}" name="総数／構成比" dataDxfId="123"/>
    <tableColumn id="12" xr3:uid="{8657A968-7D55-41AC-B4D6-CBA8AF2B339F}" name="個人／事業所数" totalsRowFunction="sum" totalsRowDxfId="122" dataCellStyle="桁区切り" totalsRowCellStyle="桁区切り"/>
    <tableColumn id="13" xr3:uid="{9D04F4B5-D238-4745-937F-F77FBD690D5C}" name="個人／構成比" dataDxfId="121"/>
    <tableColumn id="14" xr3:uid="{B01AA481-AD16-4F6E-A731-FA1EFA47D974}" name="法人／事業所数" totalsRowFunction="sum" totalsRowDxfId="120" dataCellStyle="桁区切り" totalsRowCellStyle="桁区切り"/>
    <tableColumn id="15" xr3:uid="{1946FD69-5213-4A8D-B0A8-A6C322B672B8}" name="法人／構成比" dataDxfId="119"/>
    <tableColumn id="16" xr3:uid="{F51B3309-8F69-4083-A371-1F216E1C8527}" name="法人以外の団体／事業所数" totalsRowFunction="sum" totalsRowDxfId="118" dataCellStyle="桁区切り" totalsRowCellStyle="桁区切り"/>
  </tableColumns>
  <tableStyleInfo name="TableStyleMedium9" showFirstColumn="0" showLastColumn="0" showRowStripes="1" showColumnStripes="0"/>
</table>
</file>

<file path=xl/tables/table5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5" xr:uid="{EFAB277E-3AE8-4C0E-A639-BF0C371EA056}" name="M_TABLE_01663" displayName="M_TABLE_01663" ref="B23:I45" totalsRowShown="0">
  <autoFilter ref="B23:I45" xr:uid="{EFAB277E-3AE8-4C0E-A639-BF0C371EA056}"/>
  <tableColumns count="8">
    <tableColumn id="9" xr3:uid="{5330BB2E-801E-4777-AC62-CF3C24B9EBCF}" name="産業中分類上位２０"/>
    <tableColumn id="10" xr3:uid="{1D435B17-D408-45EC-929E-80D92C062F89}" name="総数／事業所数" dataCellStyle="桁区切り"/>
    <tableColumn id="11" xr3:uid="{B427EC4A-2B24-47B9-8D01-C5FC77E83292}" name="総数／構成比" dataDxfId="117"/>
    <tableColumn id="12" xr3:uid="{B6B38478-EFE7-4CD4-BCBB-8F5330F7BA94}" name="個人／事業所数" dataCellStyle="桁区切り"/>
    <tableColumn id="13" xr3:uid="{934E0215-1CD8-4C91-ADC7-C4546B12DBA1}" name="個人／構成比" dataDxfId="116"/>
    <tableColumn id="14" xr3:uid="{2598FC27-0161-426A-80E5-B1AFC59A894A}" name="法人／事業所数" dataCellStyle="桁区切り"/>
    <tableColumn id="15" xr3:uid="{538F5AAC-21FC-414E-A8E5-41888D03B8CC}" name="法人／構成比" dataDxfId="115"/>
    <tableColumn id="16" xr3:uid="{FAA7C4DC-E27D-41D3-B993-12A7521E9C70}" name="法人以外の団体／事業所数" dataCellStyle="桁区切り"/>
  </tableColumns>
  <tableStyleInfo name="TableStyleMedium9" showFirstColumn="0" showLastColumn="0" showRowStripes="1" showColumnStripes="0"/>
</table>
</file>

<file path=xl/tables/table5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6" xr:uid="{19544A91-E08C-4197-8652-4AC586633F05}" name="S_TABLE_01663" displayName="S_TABLE_01663" ref="B48:I80" totalsRowShown="0">
  <autoFilter ref="B48:I80" xr:uid="{19544A91-E08C-4197-8652-4AC586633F05}"/>
  <tableColumns count="8">
    <tableColumn id="9" xr3:uid="{043802E0-47A9-475F-8D76-EE7F79A9891A}" name="産業小分類上位２０"/>
    <tableColumn id="10" xr3:uid="{629558D4-CBC8-482D-B253-91B54769F85B}" name="総数／事業所数" dataCellStyle="桁区切り"/>
    <tableColumn id="11" xr3:uid="{F1C91DCD-B975-4A68-824A-F62E4313B103}" name="総数／構成比" dataDxfId="114"/>
    <tableColumn id="12" xr3:uid="{08EE18C8-A62F-4357-AF69-1775BDBB94C0}" name="個人／事業所数" dataCellStyle="桁区切り"/>
    <tableColumn id="13" xr3:uid="{3C1D2254-9B3F-4538-BB46-126D68778853}" name="個人／構成比" dataDxfId="113"/>
    <tableColumn id="14" xr3:uid="{A32C1ACA-CE6B-40CE-BFBF-F9C1D108C4CE}" name="法人／事業所数" dataCellStyle="桁区切り"/>
    <tableColumn id="15" xr3:uid="{2EB8800A-FB2D-4604-BE3A-451FF939DF8F}" name="法人／構成比" dataDxfId="112"/>
    <tableColumn id="16" xr3:uid="{12227C3B-514E-417F-BFB9-E4DD4B0C0997}" name="法人以外の団体／事業所数" dataCellStyle="桁区切り"/>
  </tableColumns>
  <tableStyleInfo name="TableStyleMedium9" showFirstColumn="0" showLastColumn="0" showRowStripes="1" showColumnStripes="0"/>
</table>
</file>

<file path=xl/tables/table5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7" xr:uid="{2F230E28-E173-448D-A966-C8C01A5C1787}" name="LTBL_01664" displayName="LTBL_01664" ref="B4:I20" totalsRowCount="1">
  <autoFilter ref="B4:I19" xr:uid="{2F230E28-E173-448D-A966-C8C01A5C1787}"/>
  <tableColumns count="8">
    <tableColumn id="9" xr3:uid="{B0AA1195-BD7E-4F9A-A439-F257C4B0BDB7}" name="産業大分類" totalsRowLabel="合計" totalsRowDxfId="111"/>
    <tableColumn id="10" xr3:uid="{079BE818-BB61-4E83-940D-32948A8C19FE}" name="総数／事業所数" totalsRowFunction="custom" totalsRowDxfId="110" dataCellStyle="桁区切り" totalsRowCellStyle="桁区切り">
      <totalsRowFormula>SUM(LTBL_01664[総数／事業所数])</totalsRowFormula>
    </tableColumn>
    <tableColumn id="11" xr3:uid="{F72E2155-EAC2-4973-BA26-EA096663A58B}" name="総数／構成比" dataDxfId="109"/>
    <tableColumn id="12" xr3:uid="{A48DF1ED-DB26-4C36-B4EF-7553414681BA}" name="個人／事業所数" totalsRowFunction="sum" totalsRowDxfId="108" dataCellStyle="桁区切り" totalsRowCellStyle="桁区切り"/>
    <tableColumn id="13" xr3:uid="{6614C771-D775-4934-9A2D-47BEEAADE08E}" name="個人／構成比" dataDxfId="107"/>
    <tableColumn id="14" xr3:uid="{7F9D693C-3F36-460C-BF48-7228403719AD}" name="法人／事業所数" totalsRowFunction="sum" totalsRowDxfId="106" dataCellStyle="桁区切り" totalsRowCellStyle="桁区切り"/>
    <tableColumn id="15" xr3:uid="{3142A7C9-2043-49ED-839D-E37897A06FE8}" name="法人／構成比" dataDxfId="105"/>
    <tableColumn id="16" xr3:uid="{ECFB95A6-A54B-4E0F-9200-D687C1E285C0}" name="法人以外の団体／事業所数" totalsRowFunction="sum" totalsRowDxfId="104" dataCellStyle="桁区切り" totalsRowCellStyle="桁区切り"/>
  </tableColumns>
  <tableStyleInfo name="TableStyleMedium9" showFirstColumn="0" showLastColumn="0" showRowStripes="1" showColumnStripes="0"/>
</table>
</file>

<file path=xl/tables/table5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8" xr:uid="{CE085DD4-40D0-42C5-A477-F58537DDBE8A}" name="M_TABLE_01664" displayName="M_TABLE_01664" ref="B23:I45" totalsRowShown="0">
  <autoFilter ref="B23:I45" xr:uid="{CE085DD4-40D0-42C5-A477-F58537DDBE8A}"/>
  <tableColumns count="8">
    <tableColumn id="9" xr3:uid="{0AFCB383-EBA5-44CB-A13B-EFBC18D180E8}" name="産業中分類上位２０"/>
    <tableColumn id="10" xr3:uid="{065596C7-018D-479D-9E77-E33AB37EECFA}" name="総数／事業所数" dataCellStyle="桁区切り"/>
    <tableColumn id="11" xr3:uid="{D337AD60-E9F8-4471-A62D-855612915491}" name="総数／構成比" dataDxfId="103"/>
    <tableColumn id="12" xr3:uid="{319011EC-609F-44F9-90BF-C7E0EA69E3E2}" name="個人／事業所数" dataCellStyle="桁区切り"/>
    <tableColumn id="13" xr3:uid="{6A98B0C2-1015-4C0E-933F-5C01B28302D6}" name="個人／構成比" dataDxfId="102"/>
    <tableColumn id="14" xr3:uid="{85D56E1C-BCD2-4092-AA4D-C8CD6ECD00D1}" name="法人／事業所数" dataCellStyle="桁区切り"/>
    <tableColumn id="15" xr3:uid="{397D9671-6028-46E1-8ABA-B13FF4E10B87}" name="法人／構成比" dataDxfId="101"/>
    <tableColumn id="16" xr3:uid="{98A59DE0-AFB0-427E-AB7F-8D7209394E29}" name="法人以外の団体／事業所数" dataCellStyle="桁区切り"/>
  </tableColumns>
  <tableStyleInfo name="TableStyleMedium9" showFirstColumn="0" showLastColumn="0" showRowStripes="1" showColumnStripes="0"/>
</table>
</file>

<file path=xl/tables/table5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9" xr:uid="{1675ADDA-C723-4A36-BBA2-3ED483610F48}" name="S_TABLE_01664" displayName="S_TABLE_01664" ref="B48:I68" totalsRowShown="0">
  <autoFilter ref="B48:I68" xr:uid="{1675ADDA-C723-4A36-BBA2-3ED483610F48}"/>
  <tableColumns count="8">
    <tableColumn id="9" xr3:uid="{AF363D1A-68DA-4191-8F71-9A05FC16232F}" name="産業小分類上位２０"/>
    <tableColumn id="10" xr3:uid="{FB4805F3-2C64-4980-8AA9-1BBF08E94747}" name="総数／事業所数" dataCellStyle="桁区切り"/>
    <tableColumn id="11" xr3:uid="{B2F0641B-7F92-4761-9F4F-59B42CB6C9E9}" name="総数／構成比" dataDxfId="100"/>
    <tableColumn id="12" xr3:uid="{F0346547-065F-4F2F-A2C4-5AF0DF5B6C55}" name="個人／事業所数" dataCellStyle="桁区切り"/>
    <tableColumn id="13" xr3:uid="{9FA9C680-122C-4DFF-B954-C9BC4013A778}" name="個人／構成比" dataDxfId="99"/>
    <tableColumn id="14" xr3:uid="{8DB62117-E4C2-4604-BD28-627A623076B7}" name="法人／事業所数" dataCellStyle="桁区切り"/>
    <tableColumn id="15" xr3:uid="{1C6ED761-D5FE-469D-A1CF-4D9CA3F367AC}" name="法人／構成比" dataDxfId="98"/>
    <tableColumn id="16" xr3:uid="{2B8BEF1C-5571-437C-84E3-CADEFFD98000}" name="法人以外の団体／事業所数" dataCellStyle="桁区切り"/>
  </tableColumns>
  <tableStyleInfo name="TableStyleMedium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924E2D4F-E0ED-4F5A-851F-2FBD35E06688}" name="LTBL_01208" displayName="LTBL_01208" ref="B4:I20" totalsRowCount="1">
  <autoFilter ref="B4:I19" xr:uid="{924E2D4F-E0ED-4F5A-851F-2FBD35E06688}"/>
  <tableColumns count="8">
    <tableColumn id="9" xr3:uid="{E1857980-064E-474C-9EF9-52347D765195}" name="産業大分類" totalsRowLabel="合計" totalsRowDxfId="2407"/>
    <tableColumn id="10" xr3:uid="{13B41C62-7F04-4447-94B4-06440FE39F24}" name="総数／事業所数" totalsRowFunction="custom" totalsRowDxfId="2406" dataCellStyle="桁区切り" totalsRowCellStyle="桁区切り">
      <totalsRowFormula>SUM(LTBL_01208[総数／事業所数])</totalsRowFormula>
    </tableColumn>
    <tableColumn id="11" xr3:uid="{B5ECF5E5-7339-48AD-A496-76DF2290AE5F}" name="総数／構成比" dataDxfId="2405"/>
    <tableColumn id="12" xr3:uid="{8ABFCC01-BF51-4187-B1BB-51ACD52AD47A}" name="個人／事業所数" totalsRowFunction="sum" totalsRowDxfId="2404" dataCellStyle="桁区切り" totalsRowCellStyle="桁区切り"/>
    <tableColumn id="13" xr3:uid="{2D55765F-888C-45E9-98B1-E1E492123C5B}" name="個人／構成比" dataDxfId="2403"/>
    <tableColumn id="14" xr3:uid="{3F17535C-A63B-4A86-9D60-66A36FAA046A}" name="法人／事業所数" totalsRowFunction="sum" totalsRowDxfId="2402" dataCellStyle="桁区切り" totalsRowCellStyle="桁区切り"/>
    <tableColumn id="15" xr3:uid="{72821A89-4799-4C5F-8FB1-A4E4E61C3717}" name="法人／構成比" dataDxfId="2401"/>
    <tableColumn id="16" xr3:uid="{8E39AAF9-10DD-4493-B870-2E9B050BD4D1}" name="法人以外の団体／事業所数" totalsRowFunction="sum" totalsRowDxfId="2400" dataCellStyle="桁区切り" totalsRowCellStyle="桁区切り"/>
  </tableColumns>
  <tableStyleInfo name="TableStyleMedium9" showFirstColumn="0" showLastColumn="0" showRowStripes="1" showColumnStripes="0"/>
</table>
</file>

<file path=xl/tables/table5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0" xr:uid="{3B14735D-0599-4616-8AAF-5019B53247F1}" name="LTBL_01665" displayName="LTBL_01665" ref="B4:I20" totalsRowCount="1">
  <autoFilter ref="B4:I19" xr:uid="{3B14735D-0599-4616-8AAF-5019B53247F1}"/>
  <tableColumns count="8">
    <tableColumn id="9" xr3:uid="{8C34AEB3-C533-40A8-9D97-F2A4DC4603CB}" name="産業大分類" totalsRowLabel="合計" totalsRowDxfId="97"/>
    <tableColumn id="10" xr3:uid="{29A65BE5-0E7E-40F9-9F9F-588D26EF7AB8}" name="総数／事業所数" totalsRowFunction="custom" totalsRowDxfId="96" dataCellStyle="桁区切り" totalsRowCellStyle="桁区切り">
      <totalsRowFormula>SUM(LTBL_01665[総数／事業所数])</totalsRowFormula>
    </tableColumn>
    <tableColumn id="11" xr3:uid="{70FB6A14-8E87-4071-9397-512377807D4C}" name="総数／構成比" dataDxfId="95"/>
    <tableColumn id="12" xr3:uid="{28CC8BB5-99FA-480B-9120-53E9EC9A4163}" name="個人／事業所数" totalsRowFunction="sum" totalsRowDxfId="94" dataCellStyle="桁区切り" totalsRowCellStyle="桁区切り"/>
    <tableColumn id="13" xr3:uid="{B886718A-1A20-46BA-893B-21CFE582A22E}" name="個人／構成比" dataDxfId="93"/>
    <tableColumn id="14" xr3:uid="{4CE4F2E5-7311-4180-8E08-334E617F2C79}" name="法人／事業所数" totalsRowFunction="sum" totalsRowDxfId="92" dataCellStyle="桁区切り" totalsRowCellStyle="桁区切り"/>
    <tableColumn id="15" xr3:uid="{63730441-7B9B-4901-9602-2A17DC8A0651}" name="法人／構成比" dataDxfId="91"/>
    <tableColumn id="16" xr3:uid="{95E76764-216F-4CB4-A594-F32682B33DC6}" name="法人以外の団体／事業所数" totalsRowFunction="sum" totalsRowDxfId="90" dataCellStyle="桁区切り" totalsRowCellStyle="桁区切り"/>
  </tableColumns>
  <tableStyleInfo name="TableStyleMedium9" showFirstColumn="0" showLastColumn="0" showRowStripes="1" showColumnStripes="0"/>
</table>
</file>

<file path=xl/tables/table5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1" xr:uid="{6E0CB094-AA26-47B0-85D4-8AD3A6C5A31D}" name="M_TABLE_01665" displayName="M_TABLE_01665" ref="B23:I46" totalsRowShown="0">
  <autoFilter ref="B23:I46" xr:uid="{6E0CB094-AA26-47B0-85D4-8AD3A6C5A31D}"/>
  <tableColumns count="8">
    <tableColumn id="9" xr3:uid="{A0A80A9B-3834-454B-9856-0B69FFF4BF81}" name="産業中分類上位２０"/>
    <tableColumn id="10" xr3:uid="{0D19CC8D-FE28-4A86-AC7A-09FAF136BEBB}" name="総数／事業所数" dataCellStyle="桁区切り"/>
    <tableColumn id="11" xr3:uid="{84C2DC79-3496-4A09-8CBE-69BCBC822C5C}" name="総数／構成比" dataDxfId="89"/>
    <tableColumn id="12" xr3:uid="{657C78B3-9922-41FF-9548-AD4422E15E88}" name="個人／事業所数" dataCellStyle="桁区切り"/>
    <tableColumn id="13" xr3:uid="{A5CBF321-6E6E-4103-97A1-BB148C9A1BC1}" name="個人／構成比" dataDxfId="88"/>
    <tableColumn id="14" xr3:uid="{C247DDC3-3914-4403-9385-9D7161268733}" name="法人／事業所数" dataCellStyle="桁区切り"/>
    <tableColumn id="15" xr3:uid="{21BFF1FC-F902-44F0-96D3-D01B37AF0002}" name="法人／構成比" dataDxfId="87"/>
    <tableColumn id="16" xr3:uid="{1B4CEF9E-7C35-4DD4-B121-6EDCBB3B76C2}" name="法人以外の団体／事業所数" dataCellStyle="桁区切り"/>
  </tableColumns>
  <tableStyleInfo name="TableStyleMedium9" showFirstColumn="0" showLastColumn="0" showRowStripes="1" showColumnStripes="0"/>
</table>
</file>

<file path=xl/tables/table5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2" xr:uid="{D34050A7-5464-42D5-9103-CD55D85F4909}" name="S_TABLE_01665" displayName="S_TABLE_01665" ref="B49:I70" totalsRowShown="0">
  <autoFilter ref="B49:I70" xr:uid="{D34050A7-5464-42D5-9103-CD55D85F4909}"/>
  <tableColumns count="8">
    <tableColumn id="9" xr3:uid="{8522633A-F95E-4F63-9700-310A0C4267D2}" name="産業小分類上位２０"/>
    <tableColumn id="10" xr3:uid="{ECA63A6B-8921-4966-8499-FC18A3F82987}" name="総数／事業所数" dataCellStyle="桁区切り"/>
    <tableColumn id="11" xr3:uid="{B7E501AB-6C25-4E19-A1EC-EB7EC4F73B06}" name="総数／構成比" dataDxfId="86"/>
    <tableColumn id="12" xr3:uid="{F58E2FC4-CE37-4AB8-93A8-BAD3317F627E}" name="個人／事業所数" dataCellStyle="桁区切り"/>
    <tableColumn id="13" xr3:uid="{E1A53C50-C9CF-4FC4-9020-CEE56773E570}" name="個人／構成比" dataDxfId="85"/>
    <tableColumn id="14" xr3:uid="{7B1B942F-13FE-4F64-B2FF-4A83A5D28CCD}" name="法人／事業所数" dataCellStyle="桁区切り"/>
    <tableColumn id="15" xr3:uid="{0E005CF0-AB1E-495D-98E8-FCA341389E6D}" name="法人／構成比" dataDxfId="84"/>
    <tableColumn id="16" xr3:uid="{0B7D27F3-7D56-4C96-BEB5-FC8FF9A1B56F}" name="法人以外の団体／事業所数" dataCellStyle="桁区切り"/>
  </tableColumns>
  <tableStyleInfo name="TableStyleMedium9" showFirstColumn="0" showLastColumn="0" showRowStripes="1" showColumnStripes="0"/>
</table>
</file>

<file path=xl/tables/table5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3" xr:uid="{CD5916D1-E506-4644-8CFC-75925C0DBC4E}" name="LTBL_01667" displayName="LTBL_01667" ref="B4:I20" totalsRowCount="1">
  <autoFilter ref="B4:I19" xr:uid="{CD5916D1-E506-4644-8CFC-75925C0DBC4E}"/>
  <tableColumns count="8">
    <tableColumn id="9" xr3:uid="{242E46CA-4155-4BE5-9AEE-A5680CF9DFDD}" name="産業大分類" totalsRowLabel="合計" totalsRowDxfId="83"/>
    <tableColumn id="10" xr3:uid="{FAD3B207-B283-4E2E-8272-77B2ECD45464}" name="総数／事業所数" totalsRowFunction="custom" totalsRowDxfId="82" dataCellStyle="桁区切り" totalsRowCellStyle="桁区切り">
      <totalsRowFormula>SUM(LTBL_01667[総数／事業所数])</totalsRowFormula>
    </tableColumn>
    <tableColumn id="11" xr3:uid="{57035446-588E-421D-A128-185EEAEEA0AF}" name="総数／構成比" dataDxfId="81"/>
    <tableColumn id="12" xr3:uid="{356E6E7D-DEDD-465A-A28A-8889933760AB}" name="個人／事業所数" totalsRowFunction="sum" totalsRowDxfId="80" dataCellStyle="桁区切り" totalsRowCellStyle="桁区切り"/>
    <tableColumn id="13" xr3:uid="{2843F32A-B039-4E90-91B2-55691223F58D}" name="個人／構成比" dataDxfId="79"/>
    <tableColumn id="14" xr3:uid="{AF8C3746-2D23-49A5-8D49-98F69A2B1D40}" name="法人／事業所数" totalsRowFunction="sum" totalsRowDxfId="78" dataCellStyle="桁区切り" totalsRowCellStyle="桁区切り"/>
    <tableColumn id="15" xr3:uid="{DD384752-988B-45C3-997E-0E796B888F5F}" name="法人／構成比" dataDxfId="77"/>
    <tableColumn id="16" xr3:uid="{BB2DE352-B7E4-4F8D-A83A-E027181E8FA9}" name="法人以外の団体／事業所数" totalsRowFunction="sum" totalsRowDxfId="76" dataCellStyle="桁区切り" totalsRowCellStyle="桁区切り"/>
  </tableColumns>
  <tableStyleInfo name="TableStyleMedium9" showFirstColumn="0" showLastColumn="0" showRowStripes="1" showColumnStripes="0"/>
</table>
</file>

<file path=xl/tables/table5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4" xr:uid="{ABDE76D2-B533-4F28-B77E-553DCDFD8684}" name="M_TABLE_01667" displayName="M_TABLE_01667" ref="B23:I49" totalsRowShown="0">
  <autoFilter ref="B23:I49" xr:uid="{ABDE76D2-B533-4F28-B77E-553DCDFD8684}"/>
  <tableColumns count="8">
    <tableColumn id="9" xr3:uid="{02E430CE-9AB6-428E-930F-F9B3FC78C14A}" name="産業中分類上位２０"/>
    <tableColumn id="10" xr3:uid="{E9407928-162F-492E-A912-1419291FA9BE}" name="総数／事業所数" dataCellStyle="桁区切り"/>
    <tableColumn id="11" xr3:uid="{61BC670D-B53F-4A40-ACEC-91A4E8109837}" name="総数／構成比" dataDxfId="75"/>
    <tableColumn id="12" xr3:uid="{06160D34-0E03-4BAE-B552-F04C237FB3CF}" name="個人／事業所数" dataCellStyle="桁区切り"/>
    <tableColumn id="13" xr3:uid="{31636238-039B-4612-AA62-C2FF5A857A2A}" name="個人／構成比" dataDxfId="74"/>
    <tableColumn id="14" xr3:uid="{54420C80-28DD-4824-B3F0-52DC75957DDA}" name="法人／事業所数" dataCellStyle="桁区切り"/>
    <tableColumn id="15" xr3:uid="{2B37AB86-81FF-4569-B0F1-04CF1693EDC4}" name="法人／構成比" dataDxfId="73"/>
    <tableColumn id="16" xr3:uid="{0B46D624-9861-43CB-BAE8-067E95386A68}" name="法人以外の団体／事業所数" dataCellStyle="桁区切り"/>
  </tableColumns>
  <tableStyleInfo name="TableStyleMedium9" showFirstColumn="0" showLastColumn="0" showRowStripes="1" showColumnStripes="0"/>
</table>
</file>

<file path=xl/tables/table5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5" xr:uid="{3FA6B447-87B9-44AF-AD10-419F40D56185}" name="S_TABLE_01667" displayName="S_TABLE_01667" ref="B52:I93" totalsRowShown="0">
  <autoFilter ref="B52:I93" xr:uid="{3FA6B447-87B9-44AF-AD10-419F40D56185}"/>
  <tableColumns count="8">
    <tableColumn id="9" xr3:uid="{ECF64F44-5852-4071-85A9-44716F8750D8}" name="産業小分類上位２０"/>
    <tableColumn id="10" xr3:uid="{7710D95D-5D4C-4810-82C1-D2E1FBA77390}" name="総数／事業所数" dataCellStyle="桁区切り"/>
    <tableColumn id="11" xr3:uid="{7C57A7BD-1F95-467D-B417-78D4249E1770}" name="総数／構成比" dataDxfId="72"/>
    <tableColumn id="12" xr3:uid="{78968F50-BD48-4C94-B3E3-B28F1AC3D6CF}" name="個人／事業所数" dataCellStyle="桁区切り"/>
    <tableColumn id="13" xr3:uid="{28347443-3294-4DD9-8E34-08DE92B6E9C3}" name="個人／構成比" dataDxfId="71"/>
    <tableColumn id="14" xr3:uid="{E68386EA-E2C2-4350-9899-C98DEB84F393}" name="法人／事業所数" dataCellStyle="桁区切り"/>
    <tableColumn id="15" xr3:uid="{84633FF2-FFF4-4224-85E8-7BF8B5799B59}" name="法人／構成比" dataDxfId="70"/>
    <tableColumn id="16" xr3:uid="{B117E0A3-9C4D-43A7-9BB9-30C90C80C2F3}" name="法人以外の団体／事業所数" dataCellStyle="桁区切り"/>
  </tableColumns>
  <tableStyleInfo name="TableStyleMedium9" showFirstColumn="0" showLastColumn="0" showRowStripes="1" showColumnStripes="0"/>
</table>
</file>

<file path=xl/tables/table5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6" xr:uid="{A06FD10D-083C-46D9-B971-7D867FFB1A10}" name="LTBL_01668" displayName="LTBL_01668" ref="B4:I20" totalsRowCount="1">
  <autoFilter ref="B4:I19" xr:uid="{A06FD10D-083C-46D9-B971-7D867FFB1A10}"/>
  <tableColumns count="8">
    <tableColumn id="9" xr3:uid="{F959E4BB-8F57-4CC1-944E-DC01114325D2}" name="産業大分類" totalsRowLabel="合計" totalsRowDxfId="69"/>
    <tableColumn id="10" xr3:uid="{B5EE3106-3E87-446E-B5BF-169F9F825CCD}" name="総数／事業所数" totalsRowFunction="custom" totalsRowDxfId="68" dataCellStyle="桁区切り" totalsRowCellStyle="桁区切り">
      <totalsRowFormula>SUM(LTBL_01668[総数／事業所数])</totalsRowFormula>
    </tableColumn>
    <tableColumn id="11" xr3:uid="{190A83DE-8618-4321-A106-4372D2B120C2}" name="総数／構成比" dataDxfId="67"/>
    <tableColumn id="12" xr3:uid="{2EAF9602-C7BB-4328-AC82-1B4D8DB87219}" name="個人／事業所数" totalsRowFunction="sum" totalsRowDxfId="66" dataCellStyle="桁区切り" totalsRowCellStyle="桁区切り"/>
    <tableColumn id="13" xr3:uid="{B96BE6DD-A0FB-47B8-82FE-04924D8F221B}" name="個人／構成比" dataDxfId="65"/>
    <tableColumn id="14" xr3:uid="{5F17055C-D632-4AED-9F12-DDF096D7A016}" name="法人／事業所数" totalsRowFunction="sum" totalsRowDxfId="64" dataCellStyle="桁区切り" totalsRowCellStyle="桁区切り"/>
    <tableColumn id="15" xr3:uid="{5C4EB641-8E22-4740-9892-55D30DA11190}" name="法人／構成比" dataDxfId="63"/>
    <tableColumn id="16" xr3:uid="{52E4D2CC-1F7C-44C7-A65B-D8253F621540}" name="法人以外の団体／事業所数" totalsRowFunction="sum" totalsRowDxfId="62" dataCellStyle="桁区切り" totalsRowCellStyle="桁区切り"/>
  </tableColumns>
  <tableStyleInfo name="TableStyleMedium9" showFirstColumn="0" showLastColumn="0" showRowStripes="1" showColumnStripes="0"/>
</table>
</file>

<file path=xl/tables/table5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7" xr:uid="{EF0B29C1-1A60-410D-95F6-1E500571CF04}" name="M_TABLE_01668" displayName="M_TABLE_01668" ref="B23:I43" totalsRowShown="0">
  <autoFilter ref="B23:I43" xr:uid="{EF0B29C1-1A60-410D-95F6-1E500571CF04}"/>
  <tableColumns count="8">
    <tableColumn id="9" xr3:uid="{9F10E138-9DF5-4E84-A43C-18A1AF00A221}" name="産業中分類上位２０"/>
    <tableColumn id="10" xr3:uid="{CB3E9D64-F973-462C-8D3A-4E1A592ADDAE}" name="総数／事業所数" dataCellStyle="桁区切り"/>
    <tableColumn id="11" xr3:uid="{B50F9DF2-82D6-4F95-8420-6CE6D850473A}" name="総数／構成比" dataDxfId="61"/>
    <tableColumn id="12" xr3:uid="{A85C297B-7A9D-4754-BB68-FE0B2017DD97}" name="個人／事業所数" dataCellStyle="桁区切り"/>
    <tableColumn id="13" xr3:uid="{6CD4302E-B0AE-4EBC-B0DF-CAA89564758C}" name="個人／構成比" dataDxfId="60"/>
    <tableColumn id="14" xr3:uid="{F99935FD-B2BE-4E43-888E-388AA575682F}" name="法人／事業所数" dataCellStyle="桁区切り"/>
    <tableColumn id="15" xr3:uid="{251CF7A0-A87C-41C7-90A3-6460F1DED0CD}" name="法人／構成比" dataDxfId="59"/>
    <tableColumn id="16" xr3:uid="{4F072D55-845E-422E-B7E9-26BAC70A678D}" name="法人以外の団体／事業所数" dataCellStyle="桁区切り"/>
  </tableColumns>
  <tableStyleInfo name="TableStyleMedium9" showFirstColumn="0" showLastColumn="0" showRowStripes="1" showColumnStripes="0"/>
</table>
</file>

<file path=xl/tables/table5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8" xr:uid="{4B89648D-A672-41B5-B26D-11EFCC1E162C}" name="S_TABLE_01668" displayName="S_TABLE_01668" ref="B46:I70" totalsRowShown="0">
  <autoFilter ref="B46:I70" xr:uid="{4B89648D-A672-41B5-B26D-11EFCC1E162C}"/>
  <tableColumns count="8">
    <tableColumn id="9" xr3:uid="{3E6CF204-3BCC-4C06-AE7F-3BB3B8672F8C}" name="産業小分類上位２０"/>
    <tableColumn id="10" xr3:uid="{764FFF20-BDF3-47E0-97D7-900E43AE96F1}" name="総数／事業所数" dataCellStyle="桁区切り"/>
    <tableColumn id="11" xr3:uid="{7A2FD29A-AFDF-426A-95AE-A3DDA86036D6}" name="総数／構成比" dataDxfId="58"/>
    <tableColumn id="12" xr3:uid="{3E61E2BC-264C-4319-9DA9-0D9310200FE5}" name="個人／事業所数" dataCellStyle="桁区切り"/>
    <tableColumn id="13" xr3:uid="{9B465563-0D62-4C03-840D-0FEFDC67992E}" name="個人／構成比" dataDxfId="57"/>
    <tableColumn id="14" xr3:uid="{FD50FC38-1972-47F7-84F1-61910ACA0DDA}" name="法人／事業所数" dataCellStyle="桁区切り"/>
    <tableColumn id="15" xr3:uid="{338E501E-4B4A-4B24-A5E5-CC1E2918CCFA}" name="法人／構成比" dataDxfId="56"/>
    <tableColumn id="16" xr3:uid="{87B5634E-CC09-4C9C-9E3C-54DC275BEF8E}" name="法人以外の団体／事業所数" dataCellStyle="桁区切り"/>
  </tableColumns>
  <tableStyleInfo name="TableStyleMedium9" showFirstColumn="0" showLastColumn="0" showRowStripes="1" showColumnStripes="0"/>
</table>
</file>

<file path=xl/tables/table5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9" xr:uid="{44C0B6DD-7EED-4A76-937E-3FA3B19E5453}" name="LTBL_01691" displayName="LTBL_01691" ref="B4:I20" totalsRowCount="1">
  <autoFilter ref="B4:I19" xr:uid="{44C0B6DD-7EED-4A76-937E-3FA3B19E5453}"/>
  <tableColumns count="8">
    <tableColumn id="9" xr3:uid="{CF973C11-57AE-4D69-82BE-252CDDC16019}" name="産業大分類" totalsRowLabel="合計" totalsRowDxfId="55"/>
    <tableColumn id="10" xr3:uid="{E2117E7B-9CD0-4168-A6BE-D7DA3EC48029}" name="総数／事業所数" totalsRowFunction="custom" totalsRowDxfId="54" dataCellStyle="桁区切り" totalsRowCellStyle="桁区切り">
      <totalsRowFormula>SUM(LTBL_01691[総数／事業所数])</totalsRowFormula>
    </tableColumn>
    <tableColumn id="11" xr3:uid="{73F1DFB2-60CC-4DBB-9D2F-7643B5C4BD11}" name="総数／構成比" dataDxfId="53"/>
    <tableColumn id="12" xr3:uid="{BEFA1F1C-A944-41F7-B635-819CFAABD417}" name="個人／事業所数" totalsRowFunction="sum" totalsRowDxfId="52" dataCellStyle="桁区切り" totalsRowCellStyle="桁区切り"/>
    <tableColumn id="13" xr3:uid="{87DCE564-E180-496E-98EC-3581187477BE}" name="個人／構成比" dataDxfId="51"/>
    <tableColumn id="14" xr3:uid="{0EA987A4-E961-4F6A-B83C-001B85FBDA46}" name="法人／事業所数" totalsRowFunction="sum" totalsRowDxfId="50" dataCellStyle="桁区切り" totalsRowCellStyle="桁区切り"/>
    <tableColumn id="15" xr3:uid="{FE5453B7-9E07-43B7-8957-2001929F146B}" name="法人／構成比" dataDxfId="49"/>
    <tableColumn id="16" xr3:uid="{22DED32B-DC5F-4491-AAB5-E2457D64E641}" name="法人以外の団体／事業所数" totalsRowFunction="sum" totalsRowDxfId="48" dataCellStyle="桁区切り" totalsRowCellStyle="桁区切り"/>
  </tableColumns>
  <tableStyleInfo name="TableStyleMedium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57778B43-DF0A-46F7-8B0A-35F2F3E68198}" name="M_TABLE_01208" displayName="M_TABLE_01208" ref="B23:I44" totalsRowShown="0">
  <autoFilter ref="B23:I44" xr:uid="{57778B43-DF0A-46F7-8B0A-35F2F3E68198}"/>
  <tableColumns count="8">
    <tableColumn id="9" xr3:uid="{56C5AEF5-07D5-4202-B50A-053916D389C3}" name="産業中分類上位２０"/>
    <tableColumn id="10" xr3:uid="{1097DF53-81B5-4C25-9D85-7141BAC8F211}" name="総数／事業所数" dataCellStyle="桁区切り"/>
    <tableColumn id="11" xr3:uid="{884BA8C7-B862-4EE5-B12A-3909552975C6}" name="総数／構成比" dataDxfId="2399"/>
    <tableColumn id="12" xr3:uid="{06666B0A-11ED-489E-BF7F-9C22EEBE4159}" name="個人／事業所数" dataCellStyle="桁区切り"/>
    <tableColumn id="13" xr3:uid="{F9AB5077-93B9-4512-A253-87ADCDE615E6}" name="個人／構成比" dataDxfId="2398"/>
    <tableColumn id="14" xr3:uid="{5390A4BC-219E-4D19-998C-1907043713B1}" name="法人／事業所数" dataCellStyle="桁区切り"/>
    <tableColumn id="15" xr3:uid="{2AED563F-428C-44BA-99BB-7B62E8D476E1}" name="法人／構成比" dataDxfId="2397"/>
    <tableColumn id="16" xr3:uid="{EDFF2294-9884-4F04-B426-2F490CDDAC49}" name="法人以外の団体／事業所数" dataCellStyle="桁区切り"/>
  </tableColumns>
  <tableStyleInfo name="TableStyleMedium9" showFirstColumn="0" showLastColumn="0" showRowStripes="1" showColumnStripes="0"/>
</table>
</file>

<file path=xl/tables/table5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0" xr:uid="{55B7A5F1-BD2F-4692-98B8-9FDA8E7C6AC9}" name="M_TABLE_01691" displayName="M_TABLE_01691" ref="B23:I46" totalsRowShown="0">
  <autoFilter ref="B23:I46" xr:uid="{55B7A5F1-BD2F-4692-98B8-9FDA8E7C6AC9}"/>
  <tableColumns count="8">
    <tableColumn id="9" xr3:uid="{528A8243-FFE5-4CC3-BB30-292489585DFF}" name="産業中分類上位２０"/>
    <tableColumn id="10" xr3:uid="{C6EB3455-7949-4C19-A17C-28DAB3B145B6}" name="総数／事業所数" dataCellStyle="桁区切り"/>
    <tableColumn id="11" xr3:uid="{F7B8E7B0-9497-4ED5-A2D3-DEA402557130}" name="総数／構成比" dataDxfId="47"/>
    <tableColumn id="12" xr3:uid="{15B9E7F3-640B-41B6-A8AD-5E6F1B48FBCC}" name="個人／事業所数" dataCellStyle="桁区切り"/>
    <tableColumn id="13" xr3:uid="{4F80AAF3-E4F2-4607-87DE-805209116D88}" name="個人／構成比" dataDxfId="46"/>
    <tableColumn id="14" xr3:uid="{27E42D24-3606-4730-BA0F-632A40B5D152}" name="法人／事業所数" dataCellStyle="桁区切り"/>
    <tableColumn id="15" xr3:uid="{38D4AAA5-01CD-48D6-9DBA-6DE35CD21F26}" name="法人／構成比" dataDxfId="45"/>
    <tableColumn id="16" xr3:uid="{DF7B7DC1-922C-407D-A004-A262A2093EE1}" name="法人以外の団体／事業所数" dataCellStyle="桁区切り"/>
  </tableColumns>
  <tableStyleInfo name="TableStyleMedium9" showFirstColumn="0" showLastColumn="0" showRowStripes="1" showColumnStripes="0"/>
</table>
</file>

<file path=xl/tables/table5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1" xr:uid="{12109B5B-558A-430C-A4F9-B8F42E3F3BFD}" name="S_TABLE_01691" displayName="S_TABLE_01691" ref="B49:I71" totalsRowShown="0">
  <autoFilter ref="B49:I71" xr:uid="{12109B5B-558A-430C-A4F9-B8F42E3F3BFD}"/>
  <tableColumns count="8">
    <tableColumn id="9" xr3:uid="{07D3780A-7CBF-4E55-BA0D-630A78EAA695}" name="産業小分類上位２０"/>
    <tableColumn id="10" xr3:uid="{DED96798-2633-4BF6-B4FA-D6FD9D5B13F1}" name="総数／事業所数" dataCellStyle="桁区切り"/>
    <tableColumn id="11" xr3:uid="{ED14AF3D-751F-403F-98D0-87842C035F71}" name="総数／構成比" dataDxfId="44"/>
    <tableColumn id="12" xr3:uid="{EED51238-FBEC-45B4-B3CF-A2E3DD5DECE6}" name="個人／事業所数" dataCellStyle="桁区切り"/>
    <tableColumn id="13" xr3:uid="{33C9D5A6-9AFE-4FBE-B0E1-0E0B5FF426BA}" name="個人／構成比" dataDxfId="43"/>
    <tableColumn id="14" xr3:uid="{D3F90D7A-92A0-41FC-99D5-B2DC9526FFC3}" name="法人／事業所数" dataCellStyle="桁区切り"/>
    <tableColumn id="15" xr3:uid="{B38FF6A2-EF2C-4BF5-9A59-247FCABFC4DF}" name="法人／構成比" dataDxfId="42"/>
    <tableColumn id="16" xr3:uid="{2CAC7B8C-70E5-43DC-882C-114DDB7F6144}" name="法人以外の団体／事業所数" dataCellStyle="桁区切り"/>
  </tableColumns>
  <tableStyleInfo name="TableStyleMedium9" showFirstColumn="0" showLastColumn="0" showRowStripes="1" showColumnStripes="0"/>
</table>
</file>

<file path=xl/tables/table5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2" xr:uid="{44340F26-B7B4-4CF5-A361-F70B60F01FF6}" name="LTBL_01692" displayName="LTBL_01692" ref="B4:I20" totalsRowCount="1">
  <autoFilter ref="B4:I19" xr:uid="{44340F26-B7B4-4CF5-A361-F70B60F01FF6}"/>
  <tableColumns count="8">
    <tableColumn id="9" xr3:uid="{A6448AB3-359D-438A-BDC4-32948A44E736}" name="産業大分類" totalsRowLabel="合計" totalsRowDxfId="41"/>
    <tableColumn id="10" xr3:uid="{DDC5A3A2-53F2-4510-A1C4-6BB90E7ACEE5}" name="総数／事業所数" totalsRowFunction="custom" totalsRowDxfId="40" dataCellStyle="桁区切り" totalsRowCellStyle="桁区切り">
      <totalsRowFormula>SUM(LTBL_01692[総数／事業所数])</totalsRowFormula>
    </tableColumn>
    <tableColumn id="11" xr3:uid="{2D5CF728-8FF6-4F94-BDA0-8EFBC6FDCE7A}" name="総数／構成比" dataDxfId="39"/>
    <tableColumn id="12" xr3:uid="{AB9B6D3C-FEA8-4D6E-87F7-E3723ED2547C}" name="個人／事業所数" totalsRowFunction="sum" totalsRowDxfId="38" dataCellStyle="桁区切り" totalsRowCellStyle="桁区切り"/>
    <tableColumn id="13" xr3:uid="{A74DC626-3462-4F4A-A66A-5634FB8365CE}" name="個人／構成比" dataDxfId="37"/>
    <tableColumn id="14" xr3:uid="{34BAD0FE-F599-4E12-8B9D-47F43FB9CD77}" name="法人／事業所数" totalsRowFunction="sum" totalsRowDxfId="36" dataCellStyle="桁区切り" totalsRowCellStyle="桁区切り"/>
    <tableColumn id="15" xr3:uid="{B67F22B7-1AF1-4595-BA1B-2FC6A04823A7}" name="法人／構成比" dataDxfId="35"/>
    <tableColumn id="16" xr3:uid="{C34A5258-32C1-40A5-9708-147DB067C7C0}" name="法人以外の団体／事業所数" totalsRowFunction="sum" totalsRowDxfId="34" dataCellStyle="桁区切り" totalsRowCellStyle="桁区切り"/>
  </tableColumns>
  <tableStyleInfo name="TableStyleMedium9" showFirstColumn="0" showLastColumn="0" showRowStripes="1" showColumnStripes="0"/>
</table>
</file>

<file path=xl/tables/table5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3" xr:uid="{5CCDE13D-60BB-4CC4-9BFE-5C81DCDACB45}" name="M_TABLE_01692" displayName="M_TABLE_01692" ref="B23:I43" totalsRowShown="0">
  <autoFilter ref="B23:I43" xr:uid="{5CCDE13D-60BB-4CC4-9BFE-5C81DCDACB45}"/>
  <tableColumns count="8">
    <tableColumn id="9" xr3:uid="{8B8995B8-5120-454E-B167-8DAAC670B2E8}" name="産業中分類上位２０"/>
    <tableColumn id="10" xr3:uid="{0EDC0EC0-776D-4771-8B80-4C146B14798F}" name="総数／事業所数" dataCellStyle="桁区切り"/>
    <tableColumn id="11" xr3:uid="{BD4EF2CB-A3DC-4EFE-9A09-18348C7E682B}" name="総数／構成比" dataDxfId="33"/>
    <tableColumn id="12" xr3:uid="{8CCEF8A5-65D0-4AC8-8DAD-69AFED6FE2E2}" name="個人／事業所数" dataCellStyle="桁区切り"/>
    <tableColumn id="13" xr3:uid="{42AFEDE1-CF4E-4789-9AEC-C93E1F11C8AA}" name="個人／構成比" dataDxfId="32"/>
    <tableColumn id="14" xr3:uid="{CF03694E-ED9F-4D6A-8DBB-781A4FD639E0}" name="法人／事業所数" dataCellStyle="桁区切り"/>
    <tableColumn id="15" xr3:uid="{78793C8F-F9BF-4431-9E47-09E32C1872F8}" name="法人／構成比" dataDxfId="31"/>
    <tableColumn id="16" xr3:uid="{2E372881-829F-449C-9F91-45164DEDAB0E}" name="法人以外の団体／事業所数" dataCellStyle="桁区切り"/>
  </tableColumns>
  <tableStyleInfo name="TableStyleMedium9" showFirstColumn="0" showLastColumn="0" showRowStripes="1" showColumnStripes="0"/>
</table>
</file>

<file path=xl/tables/table5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4" xr:uid="{A55E1901-07E1-4414-A7F6-235041B6D064}" name="S_TABLE_01692" displayName="S_TABLE_01692" ref="B46:I66" totalsRowShown="0">
  <autoFilter ref="B46:I66" xr:uid="{A55E1901-07E1-4414-A7F6-235041B6D064}"/>
  <tableColumns count="8">
    <tableColumn id="9" xr3:uid="{939BE7D4-F8EC-49E2-806D-C288CCE1C178}" name="産業小分類上位２０"/>
    <tableColumn id="10" xr3:uid="{1159994F-63FA-4DA5-98C0-1297299B8857}" name="総数／事業所数" dataCellStyle="桁区切り"/>
    <tableColumn id="11" xr3:uid="{8A1CA671-5215-431A-B4A4-CD77D91CC6B0}" name="総数／構成比" dataDxfId="30"/>
    <tableColumn id="12" xr3:uid="{255D3DAE-7B0B-4D84-B48D-EB2EDAEDF496}" name="個人／事業所数" dataCellStyle="桁区切り"/>
    <tableColumn id="13" xr3:uid="{D80AF8D0-83BB-4BF2-A9AB-77C8502FAE76}" name="個人／構成比" dataDxfId="29"/>
    <tableColumn id="14" xr3:uid="{D314BEB3-0E4E-4905-99EA-1E61778F5E8E}" name="法人／事業所数" dataCellStyle="桁区切り"/>
    <tableColumn id="15" xr3:uid="{8A7DBF53-5CDF-4FD1-9F9A-D9441CFBAFFE}" name="法人／構成比" dataDxfId="28"/>
    <tableColumn id="16" xr3:uid="{3C143B1F-E824-4A31-B348-4F15DE1C3C0F}" name="法人以外の団体／事業所数" dataCellStyle="桁区切り"/>
  </tableColumns>
  <tableStyleInfo name="TableStyleMedium9" showFirstColumn="0" showLastColumn="0" showRowStripes="1" showColumnStripes="0"/>
</table>
</file>

<file path=xl/tables/table5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5" xr:uid="{002C198B-9702-4CC5-A024-3347689F92E7}" name="LTBL_01693" displayName="LTBL_01693" ref="B4:I20" totalsRowCount="1">
  <autoFilter ref="B4:I19" xr:uid="{002C198B-9702-4CC5-A024-3347689F92E7}"/>
  <tableColumns count="8">
    <tableColumn id="9" xr3:uid="{326B9646-3BC9-4D38-8C79-D657E8F963AF}" name="産業大分類" totalsRowLabel="合計" totalsRowDxfId="27"/>
    <tableColumn id="10" xr3:uid="{4EE5CA10-E946-422F-A532-0D38F3BF5E1C}" name="総数／事業所数" totalsRowFunction="custom" totalsRowDxfId="26" dataCellStyle="桁区切り" totalsRowCellStyle="桁区切り">
      <totalsRowFormula>SUM(LTBL_01693[総数／事業所数])</totalsRowFormula>
    </tableColumn>
    <tableColumn id="11" xr3:uid="{AAADF1DF-0F66-466B-B04E-FDD42699CD77}" name="総数／構成比" dataDxfId="25"/>
    <tableColumn id="12" xr3:uid="{5068BB1E-27A9-4860-82A4-AFF5E5979747}" name="個人／事業所数" totalsRowFunction="sum" totalsRowDxfId="24" dataCellStyle="桁区切り" totalsRowCellStyle="桁区切り"/>
    <tableColumn id="13" xr3:uid="{DF7A273A-12F3-41B3-BABA-B8D708AF6A6F}" name="個人／構成比" dataDxfId="23"/>
    <tableColumn id="14" xr3:uid="{0FB17083-85E0-45FA-A0C4-F6C7D1EB6818}" name="法人／事業所数" totalsRowFunction="sum" totalsRowDxfId="22" dataCellStyle="桁区切り" totalsRowCellStyle="桁区切り"/>
    <tableColumn id="15" xr3:uid="{B03F90D1-D094-44B6-901B-ABCA5919990D}" name="法人／構成比" dataDxfId="21"/>
    <tableColumn id="16" xr3:uid="{24BD4EE4-71AF-4D54-8C5E-60597D9CDF42}" name="法人以外の団体／事業所数" totalsRowFunction="sum" totalsRowDxfId="20" dataCellStyle="桁区切り" totalsRowCellStyle="桁区切り"/>
  </tableColumns>
  <tableStyleInfo name="TableStyleMedium9" showFirstColumn="0" showLastColumn="0" showRowStripes="1" showColumnStripes="0"/>
</table>
</file>

<file path=xl/tables/table5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6" xr:uid="{E04815D3-40DF-4139-BCA7-D3E98F71CDCB}" name="M_TABLE_01693" displayName="M_TABLE_01693" ref="B23:I45" totalsRowShown="0">
  <autoFilter ref="B23:I45" xr:uid="{E04815D3-40DF-4139-BCA7-D3E98F71CDCB}"/>
  <tableColumns count="8">
    <tableColumn id="9" xr3:uid="{88F3ED26-E50B-49A8-BBBB-7B823AE5CA12}" name="産業中分類上位２０"/>
    <tableColumn id="10" xr3:uid="{72246FFB-9985-4F11-B0F6-EB1A0B23717B}" name="総数／事業所数" dataCellStyle="桁区切り"/>
    <tableColumn id="11" xr3:uid="{DF550502-9063-4D44-87BD-7E0A122DBD59}" name="総数／構成比" dataDxfId="19"/>
    <tableColumn id="12" xr3:uid="{6D91DAD5-1545-4844-844F-4F5E7923D279}" name="個人／事業所数" dataCellStyle="桁区切り"/>
    <tableColumn id="13" xr3:uid="{39998F0A-1795-4CA1-AE50-B9ACB97464F8}" name="個人／構成比" dataDxfId="18"/>
    <tableColumn id="14" xr3:uid="{7E840649-B368-429A-97D3-973202CC0AD7}" name="法人／事業所数" dataCellStyle="桁区切り"/>
    <tableColumn id="15" xr3:uid="{211C639C-9A47-4392-8204-D5B7C38F9168}" name="法人／構成比" dataDxfId="17"/>
    <tableColumn id="16" xr3:uid="{9F884691-F077-4209-9E51-F28E198482A5}" name="法人以外の団体／事業所数" dataCellStyle="桁区切り"/>
  </tableColumns>
  <tableStyleInfo name="TableStyleMedium9" showFirstColumn="0" showLastColumn="0" showRowStripes="1" showColumnStripes="0"/>
</table>
</file>

<file path=xl/tables/table5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7" xr:uid="{BB26C6D1-2C3D-4CAB-8AAB-1656720BCC07}" name="S_TABLE_01693" displayName="S_TABLE_01693" ref="B48:I79" totalsRowShown="0">
  <autoFilter ref="B48:I79" xr:uid="{BB26C6D1-2C3D-4CAB-8AAB-1656720BCC07}"/>
  <tableColumns count="8">
    <tableColumn id="9" xr3:uid="{A1425BFD-0C81-491D-8DD0-D36FB4165F67}" name="産業小分類上位２０"/>
    <tableColumn id="10" xr3:uid="{11938B73-B065-43FD-988F-B0A6494003C5}" name="総数／事業所数" dataCellStyle="桁区切り"/>
    <tableColumn id="11" xr3:uid="{E5BB35B0-7919-48FE-A6DD-9D1124AE5850}" name="総数／構成比" dataDxfId="16"/>
    <tableColumn id="12" xr3:uid="{54E7B6F5-1AD2-4DA4-9CFB-89ACF3630A12}" name="個人／事業所数" dataCellStyle="桁区切り"/>
    <tableColumn id="13" xr3:uid="{635F5E8C-4832-4459-A074-739EF6EFB281}" name="個人／構成比" dataDxfId="15"/>
    <tableColumn id="14" xr3:uid="{085AEC4A-D5F0-446C-8767-E70B0E7CDBBD}" name="法人／事業所数" dataCellStyle="桁区切り"/>
    <tableColumn id="15" xr3:uid="{C2B7D682-AFBA-4CBA-94F2-DE1A04840444}" name="法人／構成比" dataDxfId="14"/>
    <tableColumn id="16" xr3:uid="{46EDB814-7E99-4D1E-8F15-CCFF898134F3}" name="法人以外の団体／事業所数" dataCellStyle="桁区切り"/>
  </tableColumns>
  <tableStyleInfo name="TableStyleMedium9" showFirstColumn="0" showLastColumn="0" showRowStripes="1" showColumnStripes="0"/>
</table>
</file>

<file path=xl/tables/table5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8" xr:uid="{2A316436-AB6E-41BC-82CE-BE8B17B22CA5}" name="LTBL_01694" displayName="LTBL_01694" ref="B4:I20" totalsRowCount="1">
  <autoFilter ref="B4:I19" xr:uid="{2A316436-AB6E-41BC-82CE-BE8B17B22CA5}"/>
  <tableColumns count="8">
    <tableColumn id="9" xr3:uid="{A0A31F7A-DAC2-4C43-9E54-6DBD9DB94D07}" name="産業大分類" totalsRowLabel="合計" totalsRowDxfId="13"/>
    <tableColumn id="10" xr3:uid="{5FE9D61D-C10B-4BC5-A779-404BCF675C6A}" name="総数／事業所数" totalsRowFunction="custom" totalsRowDxfId="12" dataCellStyle="桁区切り" totalsRowCellStyle="桁区切り">
      <totalsRowFormula>SUM(LTBL_01694[総数／事業所数])</totalsRowFormula>
    </tableColumn>
    <tableColumn id="11" xr3:uid="{BE2121A9-DBB3-4087-9565-4CE91CF1401D}" name="総数／構成比" dataDxfId="11"/>
    <tableColumn id="12" xr3:uid="{40C0CE0C-1A44-4AF3-9931-15C92F166EBB}" name="個人／事業所数" totalsRowFunction="sum" totalsRowDxfId="10" dataCellStyle="桁区切り" totalsRowCellStyle="桁区切り"/>
    <tableColumn id="13" xr3:uid="{AF11739A-0A59-4A75-8E99-E7380230A3E2}" name="個人／構成比" dataDxfId="9"/>
    <tableColumn id="14" xr3:uid="{6485D269-CC58-4A64-A3AA-9781B02EA020}" name="法人／事業所数" totalsRowFunction="sum" totalsRowDxfId="8" dataCellStyle="桁区切り" totalsRowCellStyle="桁区切り"/>
    <tableColumn id="15" xr3:uid="{561E95F5-D829-4CC7-A08B-A0A312D2CFE5}" name="法人／構成比" dataDxfId="7"/>
    <tableColumn id="16" xr3:uid="{60742A9B-95AA-4BCC-8165-27F11D24CEEE}" name="法人以外の団体／事業所数" totalsRowFunction="sum" totalsRowDxfId="6" dataCellStyle="桁区切り" totalsRowCellStyle="桁区切り"/>
  </tableColumns>
  <tableStyleInfo name="TableStyleMedium9" showFirstColumn="0" showLastColumn="0" showRowStripes="1" showColumnStripes="0"/>
</table>
</file>

<file path=xl/tables/table5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9" xr:uid="{09D356E3-53A5-4339-805D-80E20CA2E756}" name="M_TABLE_01694" displayName="M_TABLE_01694" ref="B23:I46" totalsRowShown="0">
  <autoFilter ref="B23:I46" xr:uid="{09D356E3-53A5-4339-805D-80E20CA2E756}"/>
  <tableColumns count="8">
    <tableColumn id="9" xr3:uid="{439A9D87-8286-4F79-91A4-CA7815B80ED3}" name="産業中分類上位２０"/>
    <tableColumn id="10" xr3:uid="{9CFD951B-608A-49C5-A957-48998382D0E4}" name="総数／事業所数" dataCellStyle="桁区切り"/>
    <tableColumn id="11" xr3:uid="{F7120DA3-B7C0-4974-B559-9B60FA742632}" name="総数／構成比" dataDxfId="5"/>
    <tableColumn id="12" xr3:uid="{4A454D1B-EA10-4ECE-8D84-C53F1AF6653E}" name="個人／事業所数" dataCellStyle="桁区切り"/>
    <tableColumn id="13" xr3:uid="{FF8F7823-4AA4-475C-87E6-96344CF9468F}" name="個人／構成比" dataDxfId="4"/>
    <tableColumn id="14" xr3:uid="{EEFA0BA1-7906-4C60-85FD-69B1C96074A1}" name="法人／事業所数" dataCellStyle="桁区切り"/>
    <tableColumn id="15" xr3:uid="{08E839D8-3660-4F95-80DE-16B484634E55}" name="法人／構成比" dataDxfId="3"/>
    <tableColumn id="16" xr3:uid="{71B8AF4C-03FD-40E2-93B6-34076511B21B}" name="法人以外の団体／事業所数" dataCellStyle="桁区切り"/>
  </tableColumns>
  <tableStyleInfo name="TableStyleMedium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E65CD04E-B34B-4197-829E-F5619C318E51}" name="S_TABLE_01208" displayName="S_TABLE_01208" ref="B47:I67" totalsRowShown="0">
  <autoFilter ref="B47:I67" xr:uid="{E65CD04E-B34B-4197-829E-F5619C318E51}"/>
  <tableColumns count="8">
    <tableColumn id="9" xr3:uid="{493FA301-0461-4DD3-9B98-5377559798E1}" name="産業小分類上位２０"/>
    <tableColumn id="10" xr3:uid="{998F5982-5587-494B-889B-D7BFBFD58FB5}" name="総数／事業所数" dataCellStyle="桁区切り"/>
    <tableColumn id="11" xr3:uid="{54AE444E-058D-410E-9696-F57344751416}" name="総数／構成比" dataDxfId="2396"/>
    <tableColumn id="12" xr3:uid="{23E879AD-CD93-4E30-B9A7-DD987ADFF6C4}" name="個人／事業所数" dataCellStyle="桁区切り"/>
    <tableColumn id="13" xr3:uid="{249B8BC5-CD56-4348-B7B3-6D2C154AA52E}" name="個人／構成比" dataDxfId="2395"/>
    <tableColumn id="14" xr3:uid="{DD4B11AC-85D1-472D-8ACC-1BB53AB5C2A5}" name="法人／事業所数" dataCellStyle="桁区切り"/>
    <tableColumn id="15" xr3:uid="{D4C85E27-FD5D-46BF-B347-7A1C5DD76AF2}" name="法人／構成比" dataDxfId="2394"/>
    <tableColumn id="16" xr3:uid="{6160E990-8955-4EF8-AB6B-846806EEA950}" name="法人以外の団体／事業所数" dataCellStyle="桁区切り"/>
  </tableColumns>
  <tableStyleInfo name="TableStyleMedium9" showFirstColumn="0" showLastColumn="0" showRowStripes="1" showColumnStripes="0"/>
</table>
</file>

<file path=xl/tables/table5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0" xr:uid="{6B42652B-BD99-43A2-9153-720EB93EC912}" name="S_TABLE_01694" displayName="S_TABLE_01694" ref="B49:I79" totalsRowShown="0">
  <autoFilter ref="B49:I79" xr:uid="{6B42652B-BD99-43A2-9153-720EB93EC912}"/>
  <tableColumns count="8">
    <tableColumn id="9" xr3:uid="{F7E725D9-2351-4DEA-8844-B4C4D5A423E8}" name="産業小分類上位２０"/>
    <tableColumn id="10" xr3:uid="{2B746019-AD07-4D3B-A293-F38F04591377}" name="総数／事業所数" dataCellStyle="桁区切り"/>
    <tableColumn id="11" xr3:uid="{D6A77366-DB9B-4F59-AB70-4AFF4C6EAD99}" name="総数／構成比" dataDxfId="2"/>
    <tableColumn id="12" xr3:uid="{D20C2A5C-7442-45E7-AE2D-4FB744B0D727}" name="個人／事業所数" dataCellStyle="桁区切り"/>
    <tableColumn id="13" xr3:uid="{D6ED5A77-8103-4E7E-9C4E-06DD70679713}" name="個人／構成比" dataDxfId="1"/>
    <tableColumn id="14" xr3:uid="{F29850F6-603E-4543-9761-A6A3ABB001E1}" name="法人／事業所数" dataCellStyle="桁区切り"/>
    <tableColumn id="15" xr3:uid="{13126FF1-2B0A-465A-8424-A6561ABB7A76}" name="法人／構成比" dataDxfId="0"/>
    <tableColumn id="16" xr3:uid="{912CFA18-843E-46D4-A2F5-581B7A889FF0}" name="法人以外の団体／事業所数" dataCellStyle="桁区切り"/>
  </tableColumns>
  <tableStyleInfo name="TableStyleMedium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4D3A1746-0898-450F-961E-7132C7967A92}" name="LTBL_01209" displayName="LTBL_01209" ref="B4:I20" totalsRowCount="1">
  <autoFilter ref="B4:I19" xr:uid="{4D3A1746-0898-450F-961E-7132C7967A92}"/>
  <tableColumns count="8">
    <tableColumn id="9" xr3:uid="{358D5164-C2C6-4FCA-A69E-0E94DDE58D57}" name="産業大分類" totalsRowLabel="合計" totalsRowDxfId="2393"/>
    <tableColumn id="10" xr3:uid="{888DA1C3-E572-4AC2-A42C-7A14FEAF04A1}" name="総数／事業所数" totalsRowFunction="custom" totalsRowDxfId="2392" dataCellStyle="桁区切り" totalsRowCellStyle="桁区切り">
      <totalsRowFormula>SUM(LTBL_01209[総数／事業所数])</totalsRowFormula>
    </tableColumn>
    <tableColumn id="11" xr3:uid="{766E2AA0-DC65-4196-8D11-32D41B9EFCB7}" name="総数／構成比" dataDxfId="2391"/>
    <tableColumn id="12" xr3:uid="{9C69D18B-B3B4-40D4-9201-D87608489CB6}" name="個人／事業所数" totalsRowFunction="sum" totalsRowDxfId="2390" dataCellStyle="桁区切り" totalsRowCellStyle="桁区切り"/>
    <tableColumn id="13" xr3:uid="{9AC75163-A394-4FF7-B29D-78C6831DDAFE}" name="個人／構成比" dataDxfId="2389"/>
    <tableColumn id="14" xr3:uid="{46B62DC4-F98E-45A5-9FA4-F3E5A32AB10D}" name="法人／事業所数" totalsRowFunction="sum" totalsRowDxfId="2388" dataCellStyle="桁区切り" totalsRowCellStyle="桁区切り"/>
    <tableColumn id="15" xr3:uid="{BD17BA66-9030-42A3-89CB-128FC80DD748}" name="法人／構成比" dataDxfId="2387"/>
    <tableColumn id="16" xr3:uid="{AB44217E-9F64-43A9-872C-4F16AD82C9A6}" name="法人以外の団体／事業所数" totalsRowFunction="sum" totalsRowDxfId="2386" dataCellStyle="桁区切り" totalsRowCellStyle="桁区切り"/>
  </tableColumns>
  <tableStyleInfo name="TableStyleMedium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1F454950-80B2-48B8-8922-5B1C075758BD}" name="M_TABLE_01209" displayName="M_TABLE_01209" ref="B23:I45" totalsRowShown="0">
  <autoFilter ref="B23:I45" xr:uid="{1F454950-80B2-48B8-8922-5B1C075758BD}"/>
  <tableColumns count="8">
    <tableColumn id="9" xr3:uid="{4D745760-5C7B-4271-ABF7-3ECA10AB79C5}" name="産業中分類上位２０"/>
    <tableColumn id="10" xr3:uid="{7C663A2F-BF63-404E-BEBE-51362C289077}" name="総数／事業所数" dataCellStyle="桁区切り"/>
    <tableColumn id="11" xr3:uid="{FA1B3C95-8E99-4CE0-8286-F4D5A22A8641}" name="総数／構成比" dataDxfId="2385"/>
    <tableColumn id="12" xr3:uid="{DE628587-F3D8-4068-A27E-4815971BC5BF}" name="個人／事業所数" dataCellStyle="桁区切り"/>
    <tableColumn id="13" xr3:uid="{B29797CC-0B43-4719-9583-0F0817C70CD8}" name="個人／構成比" dataDxfId="2384"/>
    <tableColumn id="14" xr3:uid="{542F3167-DBD7-4D2C-9420-5A98F24FE122}" name="法人／事業所数" dataCellStyle="桁区切り"/>
    <tableColumn id="15" xr3:uid="{027B0C57-C600-409F-A96C-A374718C271B}" name="法人／構成比" dataDxfId="2383"/>
    <tableColumn id="16" xr3:uid="{B8EAFF8C-D364-4244-A870-8E6CF77516C8}" name="法人以外の団体／事業所数" dataCellStyle="桁区切り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1A460C8-A599-4FBA-9666-3B0BBDCCE696}" name="S_TABLE_01100" displayName="S_TABLE_01100" ref="B46:I66" totalsRowShown="0">
  <autoFilter ref="B46:I66" xr:uid="{61A460C8-A599-4FBA-9666-3B0BBDCCE696}"/>
  <tableColumns count="8">
    <tableColumn id="9" xr3:uid="{4ECA39E7-A5D5-4B9B-8ED5-0E4530DC42C5}" name="産業小分類上位２０"/>
    <tableColumn id="10" xr3:uid="{2C5629DC-D4CA-48A8-971D-56168B84896D}" name="総数／事業所数" dataCellStyle="桁区切り"/>
    <tableColumn id="11" xr3:uid="{E8FD710B-C533-4871-8AA8-6AB06BD4662B}" name="総数／構成比" dataDxfId="2634"/>
    <tableColumn id="12" xr3:uid="{FB640DDE-F5E7-4D92-B822-7AFE73FE0CF7}" name="個人／事業所数" dataCellStyle="桁区切り"/>
    <tableColumn id="13" xr3:uid="{4861B11E-1E65-4288-81E7-477B0BC18B5B}" name="個人／構成比" dataDxfId="2633"/>
    <tableColumn id="14" xr3:uid="{EEFBA3A0-5B92-45FC-8EC4-05F4545E630B}" name="法人／事業所数" dataCellStyle="桁区切り"/>
    <tableColumn id="15" xr3:uid="{9443EBD1-3AD5-4957-A6C3-5100A657654E}" name="法人／構成比" dataDxfId="2632"/>
    <tableColumn id="16" xr3:uid="{2A3A5874-48FC-4106-9918-D1B81B7526AE}" name="法人以外の団体／事業所数" dataCellStyle="桁区切り"/>
  </tableColumns>
  <tableStyleInfo name="TableStyleMedium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B03E4FE-DAEF-4B05-89CA-532DE1948944}" name="S_TABLE_01209" displayName="S_TABLE_01209" ref="B48:I72" totalsRowShown="0">
  <autoFilter ref="B48:I72" xr:uid="{1B03E4FE-DAEF-4B05-89CA-532DE1948944}"/>
  <tableColumns count="8">
    <tableColumn id="9" xr3:uid="{87F3C691-F3E9-4CD4-B807-B18A7C9C7983}" name="産業小分類上位２０"/>
    <tableColumn id="10" xr3:uid="{445258E1-191C-4BC3-95B1-6356A8CE8BED}" name="総数／事業所数" dataCellStyle="桁区切り"/>
    <tableColumn id="11" xr3:uid="{144CD0AB-9749-40BA-960E-0001A5D1E0FA}" name="総数／構成比" dataDxfId="2382"/>
    <tableColumn id="12" xr3:uid="{F43C6560-ECDD-4D0D-A9D9-653CF88BCAD0}" name="個人／事業所数" dataCellStyle="桁区切り"/>
    <tableColumn id="13" xr3:uid="{B66EE868-673C-4664-A128-63B9919CC9BF}" name="個人／構成比" dataDxfId="2381"/>
    <tableColumn id="14" xr3:uid="{3BACB797-2740-41A3-860D-E58742B1CEA3}" name="法人／事業所数" dataCellStyle="桁区切り"/>
    <tableColumn id="15" xr3:uid="{EB8B2007-686E-4A4B-A4F9-497A1352FB8B}" name="法人／構成比" dataDxfId="2380"/>
    <tableColumn id="16" xr3:uid="{D1E5CA40-7E74-4839-83EF-DE5F1A982327}" name="法人以外の団体／事業所数" dataCellStyle="桁区切り"/>
  </tableColumns>
  <tableStyleInfo name="TableStyleMedium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F100A15F-E08B-4DA2-A26B-E9C9FF90F2ED}" name="LTBL_01210" displayName="LTBL_01210" ref="B4:I20" totalsRowCount="1">
  <autoFilter ref="B4:I19" xr:uid="{F100A15F-E08B-4DA2-A26B-E9C9FF90F2ED}"/>
  <tableColumns count="8">
    <tableColumn id="9" xr3:uid="{D08FB9A6-03E9-4DF5-8BA9-FDF3A819A8E3}" name="産業大分類" totalsRowLabel="合計" totalsRowDxfId="2379"/>
    <tableColumn id="10" xr3:uid="{B91325D8-2031-4D88-87EF-8040CA63971E}" name="総数／事業所数" totalsRowFunction="custom" totalsRowDxfId="2378" dataCellStyle="桁区切り" totalsRowCellStyle="桁区切り">
      <totalsRowFormula>SUM(LTBL_01210[総数／事業所数])</totalsRowFormula>
    </tableColumn>
    <tableColumn id="11" xr3:uid="{881E4400-7A27-4A62-BCC3-17674170FA9C}" name="総数／構成比" dataDxfId="2377"/>
    <tableColumn id="12" xr3:uid="{54F8379F-4029-4BED-9289-0761863B31D1}" name="個人／事業所数" totalsRowFunction="sum" totalsRowDxfId="2376" dataCellStyle="桁区切り" totalsRowCellStyle="桁区切り"/>
    <tableColumn id="13" xr3:uid="{2BEF193B-6694-4883-8DBB-693EFFE9931F}" name="個人／構成比" dataDxfId="2375"/>
    <tableColumn id="14" xr3:uid="{0C76210D-2CB7-4003-86FA-C7DD84AB302D}" name="法人／事業所数" totalsRowFunction="sum" totalsRowDxfId="2374" dataCellStyle="桁区切り" totalsRowCellStyle="桁区切り"/>
    <tableColumn id="15" xr3:uid="{1C141E50-A748-4855-8B38-9DAE7DBEC926}" name="法人／構成比" dataDxfId="2373"/>
    <tableColumn id="16" xr3:uid="{746D48AD-49D3-440A-900B-E4430E71B8FD}" name="法人以外の団体／事業所数" totalsRowFunction="sum" totalsRowDxfId="2372" dataCellStyle="桁区切り" totalsRowCellStyle="桁区切り"/>
  </tableColumns>
  <tableStyleInfo name="TableStyleMedium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8DC2E8B2-CB68-45B7-BC18-25E818E57888}" name="M_TABLE_01210" displayName="M_TABLE_01210" ref="B23:I43" totalsRowShown="0">
  <autoFilter ref="B23:I43" xr:uid="{8DC2E8B2-CB68-45B7-BC18-25E818E57888}"/>
  <tableColumns count="8">
    <tableColumn id="9" xr3:uid="{5FAA95E1-E908-4413-B788-2D88BD94EF57}" name="産業中分類上位２０"/>
    <tableColumn id="10" xr3:uid="{F3777ED8-4C18-417B-942F-6CF346A4881D}" name="総数／事業所数" dataCellStyle="桁区切り"/>
    <tableColumn id="11" xr3:uid="{3BB13B3B-9A0D-4513-B9AA-776E87FA3B49}" name="総数／構成比" dataDxfId="2371"/>
    <tableColumn id="12" xr3:uid="{6E43C8D8-BACD-4E7D-8785-D795016B0A02}" name="個人／事業所数" dataCellStyle="桁区切り"/>
    <tableColumn id="13" xr3:uid="{E18DCF19-148F-4950-AAF9-FDB44D457A30}" name="個人／構成比" dataDxfId="2370"/>
    <tableColumn id="14" xr3:uid="{A8E2BB1A-5029-444A-9148-5AA32A0CBAAA}" name="法人／事業所数" dataCellStyle="桁区切り"/>
    <tableColumn id="15" xr3:uid="{2AB9E3BB-FCC6-4DAB-ACE2-A4DCA7610E29}" name="法人／構成比" dataDxfId="2369"/>
    <tableColumn id="16" xr3:uid="{0438931C-D177-40A8-99F7-DFB891E8BAC2}" name="法人以外の団体／事業所数" dataCellStyle="桁区切り"/>
  </tableColumns>
  <tableStyleInfo name="TableStyleMedium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9E011048-2BCB-451D-9B4D-8FF8109CC3C6}" name="S_TABLE_01210" displayName="S_TABLE_01210" ref="B46:I68" totalsRowShown="0">
  <autoFilter ref="B46:I68" xr:uid="{9E011048-2BCB-451D-9B4D-8FF8109CC3C6}"/>
  <tableColumns count="8">
    <tableColumn id="9" xr3:uid="{6B5A62ED-498C-4843-98E6-085B76A903F9}" name="産業小分類上位２０"/>
    <tableColumn id="10" xr3:uid="{F677E535-DEB0-4ACF-95D9-C2A110CCE4D7}" name="総数／事業所数" dataCellStyle="桁区切り"/>
    <tableColumn id="11" xr3:uid="{F063F39F-5016-480E-A36F-12150E19B386}" name="総数／構成比" dataDxfId="2368"/>
    <tableColumn id="12" xr3:uid="{9E14D45A-BC19-47D0-A4B6-863CC3F508AD}" name="個人／事業所数" dataCellStyle="桁区切り"/>
    <tableColumn id="13" xr3:uid="{F9DA78AE-F72A-411D-9377-5C4E041B971D}" name="個人／構成比" dataDxfId="2367"/>
    <tableColumn id="14" xr3:uid="{B4773CFE-BD69-4E81-B848-47D6A73D96FA}" name="法人／事業所数" dataCellStyle="桁区切り"/>
    <tableColumn id="15" xr3:uid="{942E33AE-F52A-4611-BD1F-E501E049DB62}" name="法人／構成比" dataDxfId="2366"/>
    <tableColumn id="16" xr3:uid="{E3492B25-B67F-47D3-BF54-7156CA3D584D}" name="法人以外の団体／事業所数" dataCellStyle="桁区切り"/>
  </tableColumns>
  <tableStyleInfo name="TableStyleMedium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DC017061-739B-4954-9FD8-9E38FB39DF43}" name="LTBL_01211" displayName="LTBL_01211" ref="B4:I20" totalsRowCount="1">
  <autoFilter ref="B4:I19" xr:uid="{DC017061-739B-4954-9FD8-9E38FB39DF43}"/>
  <tableColumns count="8">
    <tableColumn id="9" xr3:uid="{011BB6B0-AF5D-43CB-B73D-0A2065C8CF6A}" name="産業大分類" totalsRowLabel="合計" totalsRowDxfId="2365"/>
    <tableColumn id="10" xr3:uid="{AB26B8B3-686B-4B75-B4EA-66798B096813}" name="総数／事業所数" totalsRowFunction="custom" totalsRowDxfId="2364" dataCellStyle="桁区切り" totalsRowCellStyle="桁区切り">
      <totalsRowFormula>SUM(LTBL_01211[総数／事業所数])</totalsRowFormula>
    </tableColumn>
    <tableColumn id="11" xr3:uid="{6CDD5F7B-A6DF-4DB4-88AC-6036169F26EA}" name="総数／構成比" dataDxfId="2363"/>
    <tableColumn id="12" xr3:uid="{4245F5E7-E6B9-4C2E-A374-5CC00997E246}" name="個人／事業所数" totalsRowFunction="sum" totalsRowDxfId="2362" dataCellStyle="桁区切り" totalsRowCellStyle="桁区切り"/>
    <tableColumn id="13" xr3:uid="{0046007E-6DE3-462F-A631-0EABFD6CB274}" name="個人／構成比" dataDxfId="2361"/>
    <tableColumn id="14" xr3:uid="{DD1D45E2-A604-4978-BDE4-F60B9457529C}" name="法人／事業所数" totalsRowFunction="sum" totalsRowDxfId="2360" dataCellStyle="桁区切り" totalsRowCellStyle="桁区切り"/>
    <tableColumn id="15" xr3:uid="{D1435C5B-19D3-4C45-8F7A-4E896A97ABCC}" name="法人／構成比" dataDxfId="2359"/>
    <tableColumn id="16" xr3:uid="{FAAAC257-CE26-4866-BE0E-E8F4DF61E563}" name="法人以外の団体／事業所数" totalsRowFunction="sum" totalsRowDxfId="2358" dataCellStyle="桁区切り" totalsRowCellStyle="桁区切り"/>
  </tableColumns>
  <tableStyleInfo name="TableStyleMedium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4218B4E3-41C2-4B9B-92A3-DF50D81CF030}" name="M_TABLE_01211" displayName="M_TABLE_01211" ref="B23:I45" totalsRowShown="0">
  <autoFilter ref="B23:I45" xr:uid="{4218B4E3-41C2-4B9B-92A3-DF50D81CF030}"/>
  <tableColumns count="8">
    <tableColumn id="9" xr3:uid="{89BB6804-B903-4198-A5E3-ED1BEDB47CCC}" name="産業中分類上位２０"/>
    <tableColumn id="10" xr3:uid="{997DDA2E-77C3-4124-9167-84A8E41BAE94}" name="総数／事業所数" dataCellStyle="桁区切り"/>
    <tableColumn id="11" xr3:uid="{02B43CD6-97A4-4DD1-B359-3D70341E5BF8}" name="総数／構成比" dataDxfId="2357"/>
    <tableColumn id="12" xr3:uid="{45291C0D-BB49-4533-842A-B6EE40885DD8}" name="個人／事業所数" dataCellStyle="桁区切り"/>
    <tableColumn id="13" xr3:uid="{1DA78DFB-8363-4494-A57C-62D2197CB1C3}" name="個人／構成比" dataDxfId="2356"/>
    <tableColumn id="14" xr3:uid="{688943CE-AC9B-445F-9729-4810C5213554}" name="法人／事業所数" dataCellStyle="桁区切り"/>
    <tableColumn id="15" xr3:uid="{B3A75374-1489-42BB-A4A2-EEAD3B54D605}" name="法人／構成比" dataDxfId="2355"/>
    <tableColumn id="16" xr3:uid="{47CE0966-32A8-4AC6-B5D8-F2E735ABDD41}" name="法人以外の団体／事業所数" dataCellStyle="桁区切り"/>
  </tableColumns>
  <tableStyleInfo name="TableStyleMedium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D7C41116-3A5F-434B-8601-2596CCE63CB5}" name="S_TABLE_01211" displayName="S_TABLE_01211" ref="B48:I69" totalsRowShown="0">
  <autoFilter ref="B48:I69" xr:uid="{D7C41116-3A5F-434B-8601-2596CCE63CB5}"/>
  <tableColumns count="8">
    <tableColumn id="9" xr3:uid="{0533A1CF-CAFF-4D30-B97A-9E0F52EA3C8E}" name="産業小分類上位２０"/>
    <tableColumn id="10" xr3:uid="{35E1DED2-DE35-49EA-883B-94215D4EC448}" name="総数／事業所数" dataCellStyle="桁区切り"/>
    <tableColumn id="11" xr3:uid="{3B3D88D1-31D3-45CA-AFC8-B4DC80CD4CD7}" name="総数／構成比" dataDxfId="2354"/>
    <tableColumn id="12" xr3:uid="{4F72BA0E-2B1F-4DE9-BC7A-CFE5FF5569FC}" name="個人／事業所数" dataCellStyle="桁区切り"/>
    <tableColumn id="13" xr3:uid="{033D9C41-C9A6-48CB-860D-7D4ABBE0924B}" name="個人／構成比" dataDxfId="2353"/>
    <tableColumn id="14" xr3:uid="{9F8055AF-332A-4F27-A8E9-8227C41A6534}" name="法人／事業所数" dataCellStyle="桁区切り"/>
    <tableColumn id="15" xr3:uid="{719D40E8-329E-42F2-BF13-5EEBC6241A12}" name="法人／構成比" dataDxfId="2352"/>
    <tableColumn id="16" xr3:uid="{5747FE78-386D-4A31-A9BB-3CD807E98E09}" name="法人以外の団体／事業所数" dataCellStyle="桁区切り"/>
  </tableColumns>
  <tableStyleInfo name="TableStyleMedium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47B27C76-B489-450F-AA41-095FBA89B11B}" name="LTBL_01212" displayName="LTBL_01212" ref="B4:I20" totalsRowCount="1">
  <autoFilter ref="B4:I19" xr:uid="{47B27C76-B489-450F-AA41-095FBA89B11B}"/>
  <tableColumns count="8">
    <tableColumn id="9" xr3:uid="{4DE22791-4817-40D8-A233-0A93063CC455}" name="産業大分類" totalsRowLabel="合計" totalsRowDxfId="2351"/>
    <tableColumn id="10" xr3:uid="{4BCBA667-3F04-41D4-AF4B-E2F36141DF81}" name="総数／事業所数" totalsRowFunction="custom" totalsRowDxfId="2350" dataCellStyle="桁区切り" totalsRowCellStyle="桁区切り">
      <totalsRowFormula>SUM(LTBL_01212[総数／事業所数])</totalsRowFormula>
    </tableColumn>
    <tableColumn id="11" xr3:uid="{B18D0667-8AB4-4CB0-98AB-F95E38A1082E}" name="総数／構成比" dataDxfId="2349"/>
    <tableColumn id="12" xr3:uid="{9A0483FD-79C3-4B93-84E4-97CA6A948015}" name="個人／事業所数" totalsRowFunction="sum" totalsRowDxfId="2348" dataCellStyle="桁区切り" totalsRowCellStyle="桁区切り"/>
    <tableColumn id="13" xr3:uid="{4BAAFC83-CD34-4154-8596-7F68BB362F33}" name="個人／構成比" dataDxfId="2347"/>
    <tableColumn id="14" xr3:uid="{B8744684-ED5A-43AE-B844-08DA600A623B}" name="法人／事業所数" totalsRowFunction="sum" totalsRowDxfId="2346" dataCellStyle="桁区切り" totalsRowCellStyle="桁区切り"/>
    <tableColumn id="15" xr3:uid="{96537B67-DC40-4D41-8EBF-A4869FADC538}" name="法人／構成比" dataDxfId="2345"/>
    <tableColumn id="16" xr3:uid="{622161B8-C7A5-47CE-B9E8-59A107906EED}" name="法人以外の団体／事業所数" totalsRowFunction="sum" totalsRowDxfId="2344" dataCellStyle="桁区切り" totalsRowCellStyle="桁区切り"/>
  </tableColumns>
  <tableStyleInfo name="TableStyleMedium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120752C1-1B7E-414C-A5EC-66C6C8EB2A96}" name="M_TABLE_01212" displayName="M_TABLE_01212" ref="B23:I47" totalsRowShown="0">
  <autoFilter ref="B23:I47" xr:uid="{120752C1-1B7E-414C-A5EC-66C6C8EB2A96}"/>
  <tableColumns count="8">
    <tableColumn id="9" xr3:uid="{41D32D98-3D94-4CFB-BE93-BAC2545F76B5}" name="産業中分類上位２０"/>
    <tableColumn id="10" xr3:uid="{DEAB7623-C220-4BC6-8465-275559421A3E}" name="総数／事業所数" dataCellStyle="桁区切り"/>
    <tableColumn id="11" xr3:uid="{E8A6FEE2-4756-447C-A13C-AA911385D4CD}" name="総数／構成比" dataDxfId="2343"/>
    <tableColumn id="12" xr3:uid="{25FBD5C5-5702-4542-A649-A8C635BCB9D6}" name="個人／事業所数" dataCellStyle="桁区切り"/>
    <tableColumn id="13" xr3:uid="{18F8248D-4825-4CD6-829E-247CFD28E08D}" name="個人／構成比" dataDxfId="2342"/>
    <tableColumn id="14" xr3:uid="{2F265B12-E1A3-4E25-981C-28D225DA9301}" name="法人／事業所数" dataCellStyle="桁区切り"/>
    <tableColumn id="15" xr3:uid="{A3C6D2A3-7EC7-4BC1-BB1C-B37A21978062}" name="法人／構成比" dataDxfId="2341"/>
    <tableColumn id="16" xr3:uid="{320E2199-45EE-4500-9221-10CC775F1F50}" name="法人以外の団体／事業所数" dataCellStyle="桁区切り"/>
  </tableColumns>
  <tableStyleInfo name="TableStyleMedium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AC092B48-29FA-4FEA-8C7C-583A7F5500DD}" name="S_TABLE_01212" displayName="S_TABLE_01212" ref="B50:I73" totalsRowShown="0">
  <autoFilter ref="B50:I73" xr:uid="{AC092B48-29FA-4FEA-8C7C-583A7F5500DD}"/>
  <tableColumns count="8">
    <tableColumn id="9" xr3:uid="{59436BAC-12D6-451C-96FB-15E1651D076B}" name="産業小分類上位２０"/>
    <tableColumn id="10" xr3:uid="{9EA465A4-34E2-40EE-990F-58F6A87842F7}" name="総数／事業所数" dataCellStyle="桁区切り"/>
    <tableColumn id="11" xr3:uid="{F3D16A9F-B279-4019-8D3E-80486C16791F}" name="総数／構成比" dataDxfId="2340"/>
    <tableColumn id="12" xr3:uid="{2ADE03B0-217B-4F84-85A1-146664B5E0E5}" name="個人／事業所数" dataCellStyle="桁区切り"/>
    <tableColumn id="13" xr3:uid="{07027557-3435-447F-B246-AF360BEF2F87}" name="個人／構成比" dataDxfId="2339"/>
    <tableColumn id="14" xr3:uid="{C268298A-6C96-4101-A9E7-2AA1B485ED73}" name="法人／事業所数" dataCellStyle="桁区切り"/>
    <tableColumn id="15" xr3:uid="{E2E094F6-9500-442E-B6DA-BF39535E4DA7}" name="法人／構成比" dataDxfId="2338"/>
    <tableColumn id="16" xr3:uid="{BC03B95F-D4E1-4478-A366-2E569BD87A66}" name="法人以外の団体／事業所数" dataCellStyle="桁区切り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A772B9C-65A8-477E-A848-2F66BBF63162}" name="LTBL_01101" displayName="LTBL_01101" ref="B4:I20" totalsRowCount="1">
  <autoFilter ref="B4:I19" xr:uid="{5A772B9C-65A8-477E-A848-2F66BBF63162}"/>
  <tableColumns count="8">
    <tableColumn id="9" xr3:uid="{A10A7339-5A61-41C0-8997-D63238FB2CEA}" name="産業大分類" totalsRowLabel="合計" totalsRowDxfId="2631"/>
    <tableColumn id="10" xr3:uid="{103F5DD5-A045-48B8-851A-6B6A66DD2BAF}" name="総数／事業所数" totalsRowFunction="custom" totalsRowDxfId="2630" dataCellStyle="桁区切り" totalsRowCellStyle="桁区切り">
      <totalsRowFormula>SUM(LTBL_01101[総数／事業所数])</totalsRowFormula>
    </tableColumn>
    <tableColumn id="11" xr3:uid="{65CCF31A-966E-4347-9F9E-59A78DED7DA6}" name="総数／構成比" dataDxfId="2629"/>
    <tableColumn id="12" xr3:uid="{290E12D2-2394-43D0-95FF-69B066D4494B}" name="個人／事業所数" totalsRowFunction="sum" totalsRowDxfId="2628" dataCellStyle="桁区切り" totalsRowCellStyle="桁区切り"/>
    <tableColumn id="13" xr3:uid="{DEDCA69F-97B6-48CE-9C27-87512BD78407}" name="個人／構成比" dataDxfId="2627"/>
    <tableColumn id="14" xr3:uid="{8604073D-A6F1-473F-A235-2ED8992EBDD6}" name="法人／事業所数" totalsRowFunction="sum" totalsRowDxfId="2626" dataCellStyle="桁区切り" totalsRowCellStyle="桁区切り"/>
    <tableColumn id="15" xr3:uid="{A97BA979-935E-4F38-8651-C63CA7D3E6C9}" name="法人／構成比" dataDxfId="2625"/>
    <tableColumn id="16" xr3:uid="{E840EBC8-E68D-4116-8389-66E3CEED3DC8}" name="法人以外の団体／事業所数" totalsRowFunction="sum" totalsRowDxfId="2624" dataCellStyle="桁区切り" totalsRowCellStyle="桁区切り"/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6E77F192-9D28-4313-9371-D89E1512EADE}" name="LTBL_01213" displayName="LTBL_01213" ref="B4:I20" totalsRowCount="1">
  <autoFilter ref="B4:I19" xr:uid="{6E77F192-9D28-4313-9371-D89E1512EADE}"/>
  <tableColumns count="8">
    <tableColumn id="9" xr3:uid="{C729DB74-B1F1-4370-AB1E-2A25EDD8A6E4}" name="産業大分類" totalsRowLabel="合計" totalsRowDxfId="2337"/>
    <tableColumn id="10" xr3:uid="{8C351E27-7FEE-467B-A3D5-26F04AE9E959}" name="総数／事業所数" totalsRowFunction="custom" totalsRowDxfId="2336" dataCellStyle="桁区切り" totalsRowCellStyle="桁区切り">
      <totalsRowFormula>SUM(LTBL_01213[総数／事業所数])</totalsRowFormula>
    </tableColumn>
    <tableColumn id="11" xr3:uid="{02C747E8-941E-4E75-90E9-331F0DBEBD29}" name="総数／構成比" dataDxfId="2335"/>
    <tableColumn id="12" xr3:uid="{A2838ED7-342E-45F6-BC07-BD975FE5F7C2}" name="個人／事業所数" totalsRowFunction="sum" totalsRowDxfId="2334" dataCellStyle="桁区切り" totalsRowCellStyle="桁区切り"/>
    <tableColumn id="13" xr3:uid="{351835FC-49E8-4F79-8A8D-1B64F2D3E396}" name="個人／構成比" dataDxfId="2333"/>
    <tableColumn id="14" xr3:uid="{EAD0CF63-07C1-4A8D-97C4-E80C2D7CEF98}" name="法人／事業所数" totalsRowFunction="sum" totalsRowDxfId="2332" dataCellStyle="桁区切り" totalsRowCellStyle="桁区切り"/>
    <tableColumn id="15" xr3:uid="{A21BF719-69CD-4163-AFCD-78FB72D02BE5}" name="法人／構成比" dataDxfId="2331"/>
    <tableColumn id="16" xr3:uid="{37AE3850-20AF-40A0-BDEF-A4D248A978C1}" name="法人以外の団体／事業所数" totalsRowFunction="sum" totalsRowDxfId="2330" dataCellStyle="桁区切り" totalsRowCellStyle="桁区切り"/>
  </tableColumns>
  <tableStyleInfo name="TableStyleMedium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1290DA1A-14B1-43CB-B8D8-C4F5E77CDECC}" name="M_TABLE_01213" displayName="M_TABLE_01213" ref="B23:I43" totalsRowShown="0">
  <autoFilter ref="B23:I43" xr:uid="{1290DA1A-14B1-43CB-B8D8-C4F5E77CDECC}"/>
  <tableColumns count="8">
    <tableColumn id="9" xr3:uid="{21601DBE-2351-4158-99BF-71BB489D89DF}" name="産業中分類上位２０"/>
    <tableColumn id="10" xr3:uid="{4DA3D856-C38C-4B2F-A7DE-262AE6B460B7}" name="総数／事業所数" dataCellStyle="桁区切り"/>
    <tableColumn id="11" xr3:uid="{2A5CF560-1741-4438-B35F-A76F959DB631}" name="総数／構成比" dataDxfId="2329"/>
    <tableColumn id="12" xr3:uid="{4FCF3090-BBC6-477A-ACE6-9AD93368ECB7}" name="個人／事業所数" dataCellStyle="桁区切り"/>
    <tableColumn id="13" xr3:uid="{D349086D-9088-44A0-A360-14F7D63C2DD5}" name="個人／構成比" dataDxfId="2328"/>
    <tableColumn id="14" xr3:uid="{6B033392-0A59-47DF-86D9-FA4BE723D333}" name="法人／事業所数" dataCellStyle="桁区切り"/>
    <tableColumn id="15" xr3:uid="{D5919D04-67B4-47E2-A2E2-EC18FC7579B3}" name="法人／構成比" dataDxfId="2327"/>
    <tableColumn id="16" xr3:uid="{6DC49F4F-4746-43E3-A104-214B17894D30}" name="法人以外の団体／事業所数" dataCellStyle="桁区切り"/>
  </tableColumns>
  <tableStyleInfo name="TableStyleMedium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7B7CE885-BB90-45BE-A525-3F528B8B1173}" name="S_TABLE_01213" displayName="S_TABLE_01213" ref="B46:I66" totalsRowShown="0">
  <autoFilter ref="B46:I66" xr:uid="{7B7CE885-BB90-45BE-A525-3F528B8B1173}"/>
  <tableColumns count="8">
    <tableColumn id="9" xr3:uid="{9DFB4AC6-4F36-4321-A7A1-53CF2AFCBC01}" name="産業小分類上位２０"/>
    <tableColumn id="10" xr3:uid="{5D60E464-7FCF-46B7-AE73-8ECB6F74C487}" name="総数／事業所数" dataCellStyle="桁区切り"/>
    <tableColumn id="11" xr3:uid="{FAA452AE-D0A7-4296-AB41-D60C22C26352}" name="総数／構成比" dataDxfId="2326"/>
    <tableColumn id="12" xr3:uid="{12415B18-55E4-44E4-948B-1AF615F78BD7}" name="個人／事業所数" dataCellStyle="桁区切り"/>
    <tableColumn id="13" xr3:uid="{809F8D36-4EE3-4EE1-A002-72759727DD28}" name="個人／構成比" dataDxfId="2325"/>
    <tableColumn id="14" xr3:uid="{E07938C5-EAB4-4FC5-83CC-7B02EF82EDF0}" name="法人／事業所数" dataCellStyle="桁区切り"/>
    <tableColumn id="15" xr3:uid="{1F01655E-3840-42DE-A269-F7C28BC8BAA2}" name="法人／構成比" dataDxfId="2324"/>
    <tableColumn id="16" xr3:uid="{E53061DA-1504-4742-BF7B-6789A33D8825}" name="法人以外の団体／事業所数" dataCellStyle="桁区切り"/>
  </tableColumns>
  <tableStyleInfo name="TableStyleMedium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EC5A12CC-B7FA-42D0-B51D-11E511F43F6F}" name="LTBL_01214" displayName="LTBL_01214" ref="B4:I20" totalsRowCount="1">
  <autoFilter ref="B4:I19" xr:uid="{EC5A12CC-B7FA-42D0-B51D-11E511F43F6F}"/>
  <tableColumns count="8">
    <tableColumn id="9" xr3:uid="{49BEBB66-E3AC-411F-9828-72D035FB75F7}" name="産業大分類" totalsRowLabel="合計" totalsRowDxfId="2323"/>
    <tableColumn id="10" xr3:uid="{B15C2BC6-6152-413F-9392-6D9A4236E00B}" name="総数／事業所数" totalsRowFunction="custom" totalsRowDxfId="2322" dataCellStyle="桁区切り" totalsRowCellStyle="桁区切り">
      <totalsRowFormula>SUM(LTBL_01214[総数／事業所数])</totalsRowFormula>
    </tableColumn>
    <tableColumn id="11" xr3:uid="{6DC6B145-A47B-4067-BC00-7ED27AFCE8AD}" name="総数／構成比" dataDxfId="2321"/>
    <tableColumn id="12" xr3:uid="{948ABDC9-D80F-4C11-A348-3EFA393590E7}" name="個人／事業所数" totalsRowFunction="sum" totalsRowDxfId="2320" dataCellStyle="桁区切り" totalsRowCellStyle="桁区切り"/>
    <tableColumn id="13" xr3:uid="{F6FF45CB-D002-470E-A7F8-E9FBF60E8742}" name="個人／構成比" dataDxfId="2319"/>
    <tableColumn id="14" xr3:uid="{62410622-C8C1-4274-B451-AEDED67C8237}" name="法人／事業所数" totalsRowFunction="sum" totalsRowDxfId="2318" dataCellStyle="桁区切り" totalsRowCellStyle="桁区切り"/>
    <tableColumn id="15" xr3:uid="{ED4C4EB9-810E-4E0D-9958-379106EA3B49}" name="法人／構成比" dataDxfId="2317"/>
    <tableColumn id="16" xr3:uid="{94080A29-5AFD-42F4-9902-7580DB0B5F87}" name="法人以外の団体／事業所数" totalsRowFunction="sum" totalsRowDxfId="2316" dataCellStyle="桁区切り" totalsRowCellStyle="桁区切り"/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DED3A135-4B16-4EBE-BAFA-E26B0FAFF590}" name="M_TABLE_01214" displayName="M_TABLE_01214" ref="B23:I44" totalsRowShown="0">
  <autoFilter ref="B23:I44" xr:uid="{DED3A135-4B16-4EBE-BAFA-E26B0FAFF590}"/>
  <tableColumns count="8">
    <tableColumn id="9" xr3:uid="{E494B4B4-FAE5-49F3-BF4D-B0056E43CE5A}" name="産業中分類上位２０"/>
    <tableColumn id="10" xr3:uid="{94CFD6CE-E5EB-48BA-86C0-681AD5A4F45A}" name="総数／事業所数" dataCellStyle="桁区切り"/>
    <tableColumn id="11" xr3:uid="{AAD93422-3FEF-49C2-AC0A-C6F8F0F67FBA}" name="総数／構成比" dataDxfId="2315"/>
    <tableColumn id="12" xr3:uid="{2EEBBC93-4F13-4988-B19F-661800C19BE8}" name="個人／事業所数" dataCellStyle="桁区切り"/>
    <tableColumn id="13" xr3:uid="{30A7BAEA-688F-4E83-B783-C71E46A17778}" name="個人／構成比" dataDxfId="2314"/>
    <tableColumn id="14" xr3:uid="{35B02B40-86FD-4759-B7C4-E06EBABA83B2}" name="法人／事業所数" dataCellStyle="桁区切り"/>
    <tableColumn id="15" xr3:uid="{A6A1938E-6F82-4AFA-A7CE-F58D8D3C60AF}" name="法人／構成比" dataDxfId="2313"/>
    <tableColumn id="16" xr3:uid="{E920A1FE-8606-44F4-9176-E25B8C7BE9F2}" name="法人以外の団体／事業所数" dataCellStyle="桁区切り"/>
  </tableColumns>
  <tableStyleInfo name="TableStyleMedium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9EF0169E-403D-4D43-8DFA-759E661D3DD6}" name="S_TABLE_01214" displayName="S_TABLE_01214" ref="B47:I69" totalsRowShown="0">
  <autoFilter ref="B47:I69" xr:uid="{9EF0169E-403D-4D43-8DFA-759E661D3DD6}"/>
  <tableColumns count="8">
    <tableColumn id="9" xr3:uid="{EAA550B0-B888-4628-BCE0-2EB4C9307906}" name="産業小分類上位２０"/>
    <tableColumn id="10" xr3:uid="{64ACAF36-70B5-4247-9725-BBC5DF4FE4A1}" name="総数／事業所数" dataCellStyle="桁区切り"/>
    <tableColumn id="11" xr3:uid="{C1D612F8-C2BE-419C-9751-46A257246FAA}" name="総数／構成比" dataDxfId="2312"/>
    <tableColumn id="12" xr3:uid="{A9ACEAC0-CFDF-4E33-90EA-77DAEAA1AF1C}" name="個人／事業所数" dataCellStyle="桁区切り"/>
    <tableColumn id="13" xr3:uid="{72D8AA79-90F2-4FCD-8FF7-69947A87023A}" name="個人／構成比" dataDxfId="2311"/>
    <tableColumn id="14" xr3:uid="{5CF73DA9-34E9-4F07-AECF-F0B9C87B4D66}" name="法人／事業所数" dataCellStyle="桁区切り"/>
    <tableColumn id="15" xr3:uid="{F5BAD37E-8865-40D4-B965-2E38590EF632}" name="法人／構成比" dataDxfId="2310"/>
    <tableColumn id="16" xr3:uid="{E18D8D5E-E56C-4036-97CB-4818F07738AA}" name="法人以外の団体／事業所数" dataCellStyle="桁区切り"/>
  </tableColumns>
  <tableStyleInfo name="TableStyleMedium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E66271F0-E8C9-4FD7-B3DA-1133E768DB1D}" name="LTBL_01215" displayName="LTBL_01215" ref="B4:I20" totalsRowCount="1">
  <autoFilter ref="B4:I19" xr:uid="{E66271F0-E8C9-4FD7-B3DA-1133E768DB1D}"/>
  <tableColumns count="8">
    <tableColumn id="9" xr3:uid="{1E3347A0-38AB-49A7-898A-9589C5E07C5A}" name="産業大分類" totalsRowLabel="合計" totalsRowDxfId="2309"/>
    <tableColumn id="10" xr3:uid="{F0EE1EF9-8C5D-4EB6-A10D-C7D0C47A15EB}" name="総数／事業所数" totalsRowFunction="custom" totalsRowDxfId="2308" dataCellStyle="桁区切り" totalsRowCellStyle="桁区切り">
      <totalsRowFormula>SUM(LTBL_01215[総数／事業所数])</totalsRowFormula>
    </tableColumn>
    <tableColumn id="11" xr3:uid="{51FCF84C-B846-4A92-9BA9-B8646E3CC248}" name="総数／構成比" dataDxfId="2307"/>
    <tableColumn id="12" xr3:uid="{D9175498-7070-4A2D-A5CB-6C08213F9B8C}" name="個人／事業所数" totalsRowFunction="sum" totalsRowDxfId="2306" dataCellStyle="桁区切り" totalsRowCellStyle="桁区切り"/>
    <tableColumn id="13" xr3:uid="{2C7FCAEC-45ED-4C02-8B78-FD5C1033F158}" name="個人／構成比" dataDxfId="2305"/>
    <tableColumn id="14" xr3:uid="{EE57A033-97C9-43D9-9A74-764AEAEF2D70}" name="法人／事業所数" totalsRowFunction="sum" totalsRowDxfId="2304" dataCellStyle="桁区切り" totalsRowCellStyle="桁区切り"/>
    <tableColumn id="15" xr3:uid="{86FBF5BE-35B7-4C8E-BE2D-9A34FB4BCF74}" name="法人／構成比" dataDxfId="2303"/>
    <tableColumn id="16" xr3:uid="{4A9110E9-8269-463D-AB69-52E15EC62BFB}" name="法人以外の団体／事業所数" totalsRowFunction="sum" totalsRowDxfId="2302" dataCellStyle="桁区切り" totalsRowCellStyle="桁区切り"/>
  </tableColumns>
  <tableStyleInfo name="TableStyleMedium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C62C50D2-CABB-47F0-9719-AA942610FA1E}" name="M_TABLE_01215" displayName="M_TABLE_01215" ref="B23:I47" totalsRowShown="0">
  <autoFilter ref="B23:I47" xr:uid="{C62C50D2-CABB-47F0-9719-AA942610FA1E}"/>
  <tableColumns count="8">
    <tableColumn id="9" xr3:uid="{F66A91F3-60AF-4D81-A37B-0BFD5EF08CDA}" name="産業中分類上位２０"/>
    <tableColumn id="10" xr3:uid="{DA67957F-4559-4168-9483-682166F6AF2F}" name="総数／事業所数" dataCellStyle="桁区切り"/>
    <tableColumn id="11" xr3:uid="{BC98C3AD-20FC-49F8-83D1-00CB74682B6D}" name="総数／構成比" dataDxfId="2301"/>
    <tableColumn id="12" xr3:uid="{E182E04B-AAA3-4FF6-BC47-6FBF1007E6F9}" name="個人／事業所数" dataCellStyle="桁区切り"/>
    <tableColumn id="13" xr3:uid="{6068447D-DBB1-4B88-A89F-D8F8E4249FC5}" name="個人／構成比" dataDxfId="2300"/>
    <tableColumn id="14" xr3:uid="{AC5AA150-476A-4ABD-A1DB-F08B7EFB5138}" name="法人／事業所数" dataCellStyle="桁区切り"/>
    <tableColumn id="15" xr3:uid="{ECC3F54C-3A5E-4F64-A1AA-E53EC370F65B}" name="法人／構成比" dataDxfId="2299"/>
    <tableColumn id="16" xr3:uid="{A7D54554-8789-4B8B-BA75-1A0B234572D9}" name="法人以外の団体／事業所数" dataCellStyle="桁区切り"/>
  </tableColumns>
  <tableStyleInfo name="TableStyleMedium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2387A8A-D2A1-4369-9016-6F111C9BA3EA}" name="S_TABLE_01215" displayName="S_TABLE_01215" ref="B50:I70" totalsRowShown="0">
  <autoFilter ref="B50:I70" xr:uid="{02387A8A-D2A1-4369-9016-6F111C9BA3EA}"/>
  <tableColumns count="8">
    <tableColumn id="9" xr3:uid="{1DE6216B-5706-4B87-9C5F-AFB59D9F1B6A}" name="産業小分類上位２０"/>
    <tableColumn id="10" xr3:uid="{E27D0D74-DA62-4983-B576-72E5BC01CB42}" name="総数／事業所数" dataCellStyle="桁区切り"/>
    <tableColumn id="11" xr3:uid="{CB1EF047-5430-44A9-8A71-CE51A7DF89B4}" name="総数／構成比" dataDxfId="2298"/>
    <tableColumn id="12" xr3:uid="{0FFB96B1-98D5-4D80-A279-D25CA28E61D5}" name="個人／事業所数" dataCellStyle="桁区切り"/>
    <tableColumn id="13" xr3:uid="{F9EA613D-E359-429F-BB2B-12C5FA920519}" name="個人／構成比" dataDxfId="2297"/>
    <tableColumn id="14" xr3:uid="{2BC726A4-6DDA-41E0-8853-9FACFA0B3DD1}" name="法人／事業所数" dataCellStyle="桁区切り"/>
    <tableColumn id="15" xr3:uid="{686AF228-8151-446B-838C-6D9DBEEB2967}" name="法人／構成比" dataDxfId="2296"/>
    <tableColumn id="16" xr3:uid="{8BCD8111-559F-45AD-B92E-824607F680A8}" name="法人以外の団体／事業所数" dataCellStyle="桁区切り"/>
  </tableColumns>
  <tableStyleInfo name="TableStyleMedium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A7181F12-1888-434F-B7E3-E912E05E3C47}" name="LTBL_01216" displayName="LTBL_01216" ref="B4:I20" totalsRowCount="1">
  <autoFilter ref="B4:I19" xr:uid="{A7181F12-1888-434F-B7E3-E912E05E3C47}"/>
  <tableColumns count="8">
    <tableColumn id="9" xr3:uid="{C7900A1B-088C-4C80-BA0E-2B1CD50E877A}" name="産業大分類" totalsRowLabel="合計" totalsRowDxfId="2295"/>
    <tableColumn id="10" xr3:uid="{4DC0D707-261F-4B5C-A7CB-934A06C09382}" name="総数／事業所数" totalsRowFunction="custom" totalsRowDxfId="2294" dataCellStyle="桁区切り" totalsRowCellStyle="桁区切り">
      <totalsRowFormula>SUM(LTBL_01216[総数／事業所数])</totalsRowFormula>
    </tableColumn>
    <tableColumn id="11" xr3:uid="{35ECAE50-F9F4-44A8-ADD9-ADA1FE6D6C82}" name="総数／構成比" dataDxfId="2293"/>
    <tableColumn id="12" xr3:uid="{7745CF58-AFA7-4D25-8686-B821D4C7322B}" name="個人／事業所数" totalsRowFunction="sum" totalsRowDxfId="2292" dataCellStyle="桁区切り" totalsRowCellStyle="桁区切り"/>
    <tableColumn id="13" xr3:uid="{DC436BAA-3D2A-4D55-AE00-78F295E023C8}" name="個人／構成比" dataDxfId="2291"/>
    <tableColumn id="14" xr3:uid="{24CAFE3E-AC70-44E9-88E8-28ABEF0C83EA}" name="法人／事業所数" totalsRowFunction="sum" totalsRowDxfId="2290" dataCellStyle="桁区切り" totalsRowCellStyle="桁区切り"/>
    <tableColumn id="15" xr3:uid="{B7634A41-E0CA-4FF7-BCE1-33852362FBD0}" name="法人／構成比" dataDxfId="2289"/>
    <tableColumn id="16" xr3:uid="{A6C8BF1A-E7B7-41C5-8097-C83798EE0421}" name="法人以外の団体／事業所数" totalsRowFunction="sum" totalsRowDxfId="2288" dataCellStyle="桁区切り" totalsRowCellStyle="桁区切り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C391429-7606-44BF-A8FA-D4379A40BF70}" name="M_TABLE_01101" displayName="M_TABLE_01101" ref="B23:I43" totalsRowShown="0">
  <autoFilter ref="B23:I43" xr:uid="{EC391429-7606-44BF-A8FA-D4379A40BF70}"/>
  <tableColumns count="8">
    <tableColumn id="9" xr3:uid="{8DF91C7B-4CE0-4FA1-BFA3-452E512871B0}" name="産業中分類上位２０"/>
    <tableColumn id="10" xr3:uid="{0BBD6FBA-AA77-43F9-BCED-CD4E66C343D0}" name="総数／事業所数" dataCellStyle="桁区切り"/>
    <tableColumn id="11" xr3:uid="{2D72ED58-BBEE-459D-96C7-5B6AA0561C3D}" name="総数／構成比" dataDxfId="2623"/>
    <tableColumn id="12" xr3:uid="{B8FCA3A6-A13E-47CA-B15F-754B04370666}" name="個人／事業所数" dataCellStyle="桁区切り"/>
    <tableColumn id="13" xr3:uid="{6695D50B-2340-4C21-8F05-9C3C505B4524}" name="個人／構成比" dataDxfId="2622"/>
    <tableColumn id="14" xr3:uid="{D7EA9F26-5C99-4F22-84EA-570B010BC364}" name="法人／事業所数" dataCellStyle="桁区切り"/>
    <tableColumn id="15" xr3:uid="{2C4CA19C-CD78-4F51-B739-C5CC5C2CB918}" name="法人／構成比" dataDxfId="2621"/>
    <tableColumn id="16" xr3:uid="{17F4107F-672B-4E9F-B9A0-593180FE57ED}" name="法人以外の団体／事業所数" dataCellStyle="桁区切り"/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E17116A-CBA6-4C8C-8037-3378A32EF2B4}" name="M_TABLE_01216" displayName="M_TABLE_01216" ref="B23:I49" totalsRowShown="0">
  <autoFilter ref="B23:I49" xr:uid="{0E17116A-CBA6-4C8C-8037-3378A32EF2B4}"/>
  <tableColumns count="8">
    <tableColumn id="9" xr3:uid="{77FA866D-0726-4CED-9E13-8C62FDC0A4AF}" name="産業中分類上位２０"/>
    <tableColumn id="10" xr3:uid="{CE9E980D-57F0-4BE0-88EE-1B68483FEAE9}" name="総数／事業所数" dataCellStyle="桁区切り"/>
    <tableColumn id="11" xr3:uid="{53C2019E-BB62-4E5D-97A2-C26DBAA4134F}" name="総数／構成比" dataDxfId="2287"/>
    <tableColumn id="12" xr3:uid="{963D7496-27C2-4359-94A9-F35CDB576094}" name="個人／事業所数" dataCellStyle="桁区切り"/>
    <tableColumn id="13" xr3:uid="{4C523324-BBF8-46E4-85B9-1E87A845659F}" name="個人／構成比" dataDxfId="2286"/>
    <tableColumn id="14" xr3:uid="{38E0D6EB-AA50-489C-9B03-EB202AD79717}" name="法人／事業所数" dataCellStyle="桁区切り"/>
    <tableColumn id="15" xr3:uid="{9AA96359-0AB4-4505-9A9E-1147107F3D24}" name="法人／構成比" dataDxfId="2285"/>
    <tableColumn id="16" xr3:uid="{1C16FB2B-D66D-45EB-818D-10D73123F1B3}" name="法人以外の団体／事業所数" dataCellStyle="桁区切り"/>
  </tableColumns>
  <tableStyleInfo name="TableStyleMedium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480295D3-9512-4256-9E53-30EBEA7C429C}" name="S_TABLE_01216" displayName="S_TABLE_01216" ref="B52:I72" totalsRowShown="0">
  <autoFilter ref="B52:I72" xr:uid="{480295D3-9512-4256-9E53-30EBEA7C429C}"/>
  <tableColumns count="8">
    <tableColumn id="9" xr3:uid="{B2575B77-6FC9-4616-B41B-E67D5E982A37}" name="産業小分類上位２０"/>
    <tableColumn id="10" xr3:uid="{669B6682-4702-419B-A8CE-DB2CD98A54CC}" name="総数／事業所数" dataCellStyle="桁区切り"/>
    <tableColumn id="11" xr3:uid="{D29A4F2B-4D98-40EF-BBC4-2016328D5A82}" name="総数／構成比" dataDxfId="2284"/>
    <tableColumn id="12" xr3:uid="{33D471FD-BB54-4E2A-B302-E550C430CBDB}" name="個人／事業所数" dataCellStyle="桁区切り"/>
    <tableColumn id="13" xr3:uid="{6ECEE6DB-7C31-4A80-B0DA-DB07B15DEDBC}" name="個人／構成比" dataDxfId="2283"/>
    <tableColumn id="14" xr3:uid="{B2D0C907-98B8-44E5-8825-E620FE334B6F}" name="法人／事業所数" dataCellStyle="桁区切り"/>
    <tableColumn id="15" xr3:uid="{E71BB1FA-2820-41D4-8129-89F17CC614C2}" name="法人／構成比" dataDxfId="2282"/>
    <tableColumn id="16" xr3:uid="{7B8C1420-9DB8-4A3F-8052-E53A1B67CB60}" name="法人以外の団体／事業所数" dataCellStyle="桁区切り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4939CD33-A516-4880-A08B-D33D47784870}" name="LTBL_01217" displayName="LTBL_01217" ref="B4:I20" totalsRowCount="1">
  <autoFilter ref="B4:I19" xr:uid="{4939CD33-A516-4880-A08B-D33D47784870}"/>
  <tableColumns count="8">
    <tableColumn id="9" xr3:uid="{68A06A2C-FC4F-4643-87BC-3331FB60581D}" name="産業大分類" totalsRowLabel="合計" totalsRowDxfId="2281"/>
    <tableColumn id="10" xr3:uid="{47289558-5AD7-4B44-B7C6-49D97A62031E}" name="総数／事業所数" totalsRowFunction="custom" totalsRowDxfId="2280" dataCellStyle="桁区切り" totalsRowCellStyle="桁区切り">
      <totalsRowFormula>SUM(LTBL_01217[総数／事業所数])</totalsRowFormula>
    </tableColumn>
    <tableColumn id="11" xr3:uid="{962810F8-610A-4EE6-B6CB-C735D2DD4AE1}" name="総数／構成比" dataDxfId="2279"/>
    <tableColumn id="12" xr3:uid="{46474510-ABA6-4537-A1CB-CAB6BF132538}" name="個人／事業所数" totalsRowFunction="sum" totalsRowDxfId="2278" dataCellStyle="桁区切り" totalsRowCellStyle="桁区切り"/>
    <tableColumn id="13" xr3:uid="{F46EDB85-E956-4BCB-BFED-3A00ECEC5B83}" name="個人／構成比" dataDxfId="2277"/>
    <tableColumn id="14" xr3:uid="{B71842D8-B891-4FAC-81BD-D58BBC969F59}" name="法人／事業所数" totalsRowFunction="sum" totalsRowDxfId="2276" dataCellStyle="桁区切り" totalsRowCellStyle="桁区切り"/>
    <tableColumn id="15" xr3:uid="{9AF0E3AC-0F08-446B-A371-3105C13210EE}" name="法人／構成比" dataDxfId="2275"/>
    <tableColumn id="16" xr3:uid="{AB3772BF-FEEE-44D5-B764-10A6D89B7B57}" name="法人以外の団体／事業所数" totalsRowFunction="sum" totalsRowDxfId="2274" dataCellStyle="桁区切り" totalsRowCellStyle="桁区切り"/>
  </tableColumns>
  <tableStyleInfo name="TableStyleMedium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5F8E9759-F598-4FB8-8F89-A4DEAFAAEA7D}" name="M_TABLE_01217" displayName="M_TABLE_01217" ref="B23:I44" totalsRowShown="0">
  <autoFilter ref="B23:I44" xr:uid="{5F8E9759-F598-4FB8-8F89-A4DEAFAAEA7D}"/>
  <tableColumns count="8">
    <tableColumn id="9" xr3:uid="{05639599-A8D5-435C-8497-38D0B547FD70}" name="産業中分類上位２０"/>
    <tableColumn id="10" xr3:uid="{38CFC823-00B3-4DD5-8381-123845D3CBCD}" name="総数／事業所数" dataCellStyle="桁区切り"/>
    <tableColumn id="11" xr3:uid="{56A92EEC-38A1-43FF-BD26-3EECA533A1D2}" name="総数／構成比" dataDxfId="2273"/>
    <tableColumn id="12" xr3:uid="{D18B6F4A-0770-43E1-8641-705942405F2B}" name="個人／事業所数" dataCellStyle="桁区切り"/>
    <tableColumn id="13" xr3:uid="{49ACADD1-1A90-460D-A48B-C484FAB1D5AB}" name="個人／構成比" dataDxfId="2272"/>
    <tableColumn id="14" xr3:uid="{B9635D6D-3E18-494A-A033-ACC6C8C85D10}" name="法人／事業所数" dataCellStyle="桁区切り"/>
    <tableColumn id="15" xr3:uid="{201C0174-610F-480B-A0C8-E0FAAC2C9FE2}" name="法人／構成比" dataDxfId="2271"/>
    <tableColumn id="16" xr3:uid="{5FC50B69-0F01-433A-A35D-897D9446E4E7}" name="法人以外の団体／事業所数" dataCellStyle="桁区切り"/>
  </tableColumns>
  <tableStyleInfo name="TableStyleMedium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5A69110-92F7-4D82-A866-70A6550E354B}" name="S_TABLE_01217" displayName="S_TABLE_01217" ref="B47:I69" totalsRowShown="0">
  <autoFilter ref="B47:I69" xr:uid="{05A69110-92F7-4D82-A866-70A6550E354B}"/>
  <tableColumns count="8">
    <tableColumn id="9" xr3:uid="{AA7F2D0A-DE91-4F7F-8C62-BF244B91D00F}" name="産業小分類上位２０"/>
    <tableColumn id="10" xr3:uid="{7B282FB7-EC74-4888-915D-2984446AC73B}" name="総数／事業所数" dataCellStyle="桁区切り"/>
    <tableColumn id="11" xr3:uid="{E8C21560-1E62-4EBE-8B73-DA27430B4B7A}" name="総数／構成比" dataDxfId="2270"/>
    <tableColumn id="12" xr3:uid="{44C2006A-D72C-4F1B-B3B8-059884014925}" name="個人／事業所数" dataCellStyle="桁区切り"/>
    <tableColumn id="13" xr3:uid="{FD3F1CD4-8985-43DB-BD27-54A68C2FE56A}" name="個人／構成比" dataDxfId="2269"/>
    <tableColumn id="14" xr3:uid="{A52D666D-51B1-4CCF-944A-7D6B000F72C2}" name="法人／事業所数" dataCellStyle="桁区切り"/>
    <tableColumn id="15" xr3:uid="{2D91E17F-796D-4667-B096-E11D9BD69A81}" name="法人／構成比" dataDxfId="2268"/>
    <tableColumn id="16" xr3:uid="{730AEB34-9044-41A0-B59B-AE6DE6108E8C}" name="法人以外の団体／事業所数" dataCellStyle="桁区切り"/>
  </tableColumns>
  <tableStyleInfo name="TableStyleMedium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5FEFFC1E-0DE8-4F35-9CA2-C9B735CC627C}" name="LTBL_01218" displayName="LTBL_01218" ref="B4:I20" totalsRowCount="1">
  <autoFilter ref="B4:I19" xr:uid="{5FEFFC1E-0DE8-4F35-9CA2-C9B735CC627C}"/>
  <tableColumns count="8">
    <tableColumn id="9" xr3:uid="{A9021AD4-53CE-428D-9415-5E58759EB116}" name="産業大分類" totalsRowLabel="合計" totalsRowDxfId="2267"/>
    <tableColumn id="10" xr3:uid="{961B9B70-F0C1-430F-8B6A-469E1B79D17E}" name="総数／事業所数" totalsRowFunction="custom" totalsRowDxfId="2266" dataCellStyle="桁区切り" totalsRowCellStyle="桁区切り">
      <totalsRowFormula>SUM(LTBL_01218[総数／事業所数])</totalsRowFormula>
    </tableColumn>
    <tableColumn id="11" xr3:uid="{5AE6A0DD-491A-494D-87C6-BDB1B0B055F0}" name="総数／構成比" dataDxfId="2265"/>
    <tableColumn id="12" xr3:uid="{ABBEABA3-DA71-4AA9-AD97-F9E5B627F250}" name="個人／事業所数" totalsRowFunction="sum" totalsRowDxfId="2264" dataCellStyle="桁区切り" totalsRowCellStyle="桁区切り"/>
    <tableColumn id="13" xr3:uid="{CE6A32D6-F97F-4117-AA92-956AE7EC77F2}" name="個人／構成比" dataDxfId="2263"/>
    <tableColumn id="14" xr3:uid="{21C48A7D-EC9B-4FF5-BF64-95B7EB9D6F28}" name="法人／事業所数" totalsRowFunction="sum" totalsRowDxfId="2262" dataCellStyle="桁区切り" totalsRowCellStyle="桁区切り"/>
    <tableColumn id="15" xr3:uid="{F437E400-9560-4AF4-82E0-BEB8066A6709}" name="法人／構成比" dataDxfId="2261"/>
    <tableColumn id="16" xr3:uid="{85F2BE43-D407-46CF-8E74-B9FB7EBC501A}" name="法人以外の団体／事業所数" totalsRowFunction="sum" totalsRowDxfId="2260" dataCellStyle="桁区切り" totalsRowCellStyle="桁区切り"/>
  </tableColumns>
  <tableStyleInfo name="TableStyleMedium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EEBC2188-06C8-4163-8D48-7ABE8E6E017A}" name="M_TABLE_01218" displayName="M_TABLE_01218" ref="B23:I47" totalsRowShown="0">
  <autoFilter ref="B23:I47" xr:uid="{EEBC2188-06C8-4163-8D48-7ABE8E6E017A}"/>
  <tableColumns count="8">
    <tableColumn id="9" xr3:uid="{88418872-4C17-48D5-94D9-410DDB40DCEF}" name="産業中分類上位２０"/>
    <tableColumn id="10" xr3:uid="{92075F56-5B2C-4C31-A5B1-9A942ACADD99}" name="総数／事業所数" dataCellStyle="桁区切り"/>
    <tableColumn id="11" xr3:uid="{BCB732B8-B7E8-4621-B11D-34112F861E9A}" name="総数／構成比" dataDxfId="2259"/>
    <tableColumn id="12" xr3:uid="{ECFFE58C-7BC4-412A-BCE1-30FF967C894A}" name="個人／事業所数" dataCellStyle="桁区切り"/>
    <tableColumn id="13" xr3:uid="{03457754-929A-4EA2-8396-893B9FC05749}" name="個人／構成比" dataDxfId="2258"/>
    <tableColumn id="14" xr3:uid="{CB9A15B4-840A-4EEE-9655-D78F9BF360CE}" name="法人／事業所数" dataCellStyle="桁区切り"/>
    <tableColumn id="15" xr3:uid="{B2E4F5DC-613E-4E5B-92FE-D628B3EA3C8C}" name="法人／構成比" dataDxfId="2257"/>
    <tableColumn id="16" xr3:uid="{F00FC21D-BB0C-486A-94D4-2E2B19426262}" name="法人以外の団体／事業所数" dataCellStyle="桁区切り"/>
  </tableColumns>
  <tableStyleInfo name="TableStyleMedium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54C27CD4-D882-497E-99C2-E32DAA0B06B5}" name="S_TABLE_01218" displayName="S_TABLE_01218" ref="B50:I71" totalsRowShown="0">
  <autoFilter ref="B50:I71" xr:uid="{54C27CD4-D882-497E-99C2-E32DAA0B06B5}"/>
  <tableColumns count="8">
    <tableColumn id="9" xr3:uid="{87843B4C-A933-4E1B-A7C5-4D5E704D91F4}" name="産業小分類上位２０"/>
    <tableColumn id="10" xr3:uid="{157278D8-87FE-45C3-895D-0715D0728223}" name="総数／事業所数" dataCellStyle="桁区切り"/>
    <tableColumn id="11" xr3:uid="{13B8D35A-3859-4C7C-A64E-C84BDC032DF9}" name="総数／構成比" dataDxfId="2256"/>
    <tableColumn id="12" xr3:uid="{61D0D345-AE13-47EB-89F9-78789A68B947}" name="個人／事業所数" dataCellStyle="桁区切り"/>
    <tableColumn id="13" xr3:uid="{E848CFCA-FF2F-4992-BD48-31CA1CA20D52}" name="個人／構成比" dataDxfId="2255"/>
    <tableColumn id="14" xr3:uid="{79EB787E-DC0D-491D-8893-9CD57D9402C4}" name="法人／事業所数" dataCellStyle="桁区切り"/>
    <tableColumn id="15" xr3:uid="{05FF289B-D78D-4887-9A31-8540ED5BA291}" name="法人／構成比" dataDxfId="2254"/>
    <tableColumn id="16" xr3:uid="{CF0F1918-FAE4-4EF3-9833-BC0216BE7612}" name="法人以外の団体／事業所数" dataCellStyle="桁区切り"/>
  </tableColumns>
  <tableStyleInfo name="TableStyleMedium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B0DE1158-003D-473A-AB19-E024956E9751}" name="LTBL_01219" displayName="LTBL_01219" ref="B4:I20" totalsRowCount="1">
  <autoFilter ref="B4:I19" xr:uid="{B0DE1158-003D-473A-AB19-E024956E9751}"/>
  <tableColumns count="8">
    <tableColumn id="9" xr3:uid="{B2415D5F-98D4-4C0A-B7A3-1B25034E8B87}" name="産業大分類" totalsRowLabel="合計" totalsRowDxfId="2253"/>
    <tableColumn id="10" xr3:uid="{FD7EF187-DA32-4772-8324-B82358345EA3}" name="総数／事業所数" totalsRowFunction="custom" totalsRowDxfId="2252" dataCellStyle="桁区切り" totalsRowCellStyle="桁区切り">
      <totalsRowFormula>SUM(LTBL_01219[総数／事業所数])</totalsRowFormula>
    </tableColumn>
    <tableColumn id="11" xr3:uid="{3A889286-FC12-46E5-97F7-A90333025A46}" name="総数／構成比" dataDxfId="2251"/>
    <tableColumn id="12" xr3:uid="{EB8E929E-69FE-4DED-9AFB-DA5282803ECD}" name="個人／事業所数" totalsRowFunction="sum" totalsRowDxfId="2250" dataCellStyle="桁区切り" totalsRowCellStyle="桁区切り"/>
    <tableColumn id="13" xr3:uid="{61D145A3-D0F8-47EC-A60C-185E5723E2A6}" name="個人／構成比" dataDxfId="2249"/>
    <tableColumn id="14" xr3:uid="{5097670E-1B0C-48D2-A161-F69195567B69}" name="法人／事業所数" totalsRowFunction="sum" totalsRowDxfId="2248" dataCellStyle="桁区切り" totalsRowCellStyle="桁区切り"/>
    <tableColumn id="15" xr3:uid="{46419F60-57CB-4C10-B8A9-4ACF2B41AEFB}" name="法人／構成比" dataDxfId="2247"/>
    <tableColumn id="16" xr3:uid="{18115B03-5CAE-4E6F-A003-A9EFD9EF9B8F}" name="法人以外の団体／事業所数" totalsRowFunction="sum" totalsRowDxfId="2246" dataCellStyle="桁区切り" totalsRowCellStyle="桁区切り"/>
  </tableColumns>
  <tableStyleInfo name="TableStyleMedium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F3DFC9A9-92D5-4AD9-BD5C-CF487119B59A}" name="M_TABLE_01219" displayName="M_TABLE_01219" ref="B23:I44" totalsRowShown="0">
  <autoFilter ref="B23:I44" xr:uid="{F3DFC9A9-92D5-4AD9-BD5C-CF487119B59A}"/>
  <tableColumns count="8">
    <tableColumn id="9" xr3:uid="{39A57B77-7439-4014-A6D2-2A831941E75E}" name="産業中分類上位２０"/>
    <tableColumn id="10" xr3:uid="{FFD56A6C-6EEE-4744-92B2-733986C49131}" name="総数／事業所数" dataCellStyle="桁区切り"/>
    <tableColumn id="11" xr3:uid="{36A68A25-DDF0-4726-BCC2-3095D26136C5}" name="総数／構成比" dataDxfId="2245"/>
    <tableColumn id="12" xr3:uid="{9EE349AC-DF6C-43AE-9EF0-CE725F130C08}" name="個人／事業所数" dataCellStyle="桁区切り"/>
    <tableColumn id="13" xr3:uid="{6EB3E11D-4900-4458-8713-32C371F1FD7D}" name="個人／構成比" dataDxfId="2244"/>
    <tableColumn id="14" xr3:uid="{32B9F1EF-910E-4116-B4B2-E32DAB599F56}" name="法人／事業所数" dataCellStyle="桁区切り"/>
    <tableColumn id="15" xr3:uid="{AE3B2B1A-AD7A-46C5-8085-A4FD30BA782E}" name="法人／構成比" dataDxfId="2243"/>
    <tableColumn id="16" xr3:uid="{677ADE2B-D82A-4022-B808-CDF0EC2EBFB4}" name="法人以外の団体／事業所数" dataCellStyle="桁区切り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F0E8F5D-F0B8-47D2-A4BB-BF634FF62198}" name="S_TABLE_01101" displayName="S_TABLE_01101" ref="B46:I66" totalsRowShown="0">
  <autoFilter ref="B46:I66" xr:uid="{0F0E8F5D-F0B8-47D2-A4BB-BF634FF62198}"/>
  <tableColumns count="8">
    <tableColumn id="9" xr3:uid="{EFE47D72-DEC3-4B6E-B3B7-E5CDA700725C}" name="産業小分類上位２０"/>
    <tableColumn id="10" xr3:uid="{C0E7F690-BC5E-4499-AFD1-00FE9997EBE1}" name="総数／事業所数" dataCellStyle="桁区切り"/>
    <tableColumn id="11" xr3:uid="{BC6485EC-1AB1-487C-BF3E-5CA4F45FC99E}" name="総数／構成比" dataDxfId="2620"/>
    <tableColumn id="12" xr3:uid="{71512D70-B0C3-4A9D-B9A2-C60184EE87ED}" name="個人／事業所数" dataCellStyle="桁区切り"/>
    <tableColumn id="13" xr3:uid="{B6640910-88C6-46FA-B995-04B3EEFB3D03}" name="個人／構成比" dataDxfId="2619"/>
    <tableColumn id="14" xr3:uid="{13F45E94-12D9-4898-93E1-F7A766BC513A}" name="法人／事業所数" dataCellStyle="桁区切り"/>
    <tableColumn id="15" xr3:uid="{537C5A1B-8BEE-45CC-8094-1399794A1589}" name="法人／構成比" dataDxfId="2618"/>
    <tableColumn id="16" xr3:uid="{917BE772-34D9-4E35-9FFA-D2C557F31F2F}" name="法人以外の団体／事業所数" dataCellStyle="桁区切り"/>
  </tableColumns>
  <tableStyleInfo name="TableStyleMedium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A4AC04AB-A295-4248-9492-13A0303A6196}" name="S_TABLE_01219" displayName="S_TABLE_01219" ref="B47:I74" totalsRowShown="0">
  <autoFilter ref="B47:I74" xr:uid="{A4AC04AB-A295-4248-9492-13A0303A6196}"/>
  <tableColumns count="8">
    <tableColumn id="9" xr3:uid="{3F0E14DB-8473-4DCA-AF8B-1353B37EFE35}" name="産業小分類上位２０"/>
    <tableColumn id="10" xr3:uid="{B6EBB9C3-BAFB-4324-A35D-DCC38E9EF914}" name="総数／事業所数" dataCellStyle="桁区切り"/>
    <tableColumn id="11" xr3:uid="{970CDA24-03F1-4E3C-B8C7-FF1F3C70E783}" name="総数／構成比" dataDxfId="2242"/>
    <tableColumn id="12" xr3:uid="{7D206D8E-D9E9-4523-AB1F-F83EE61662A5}" name="個人／事業所数" dataCellStyle="桁区切り"/>
    <tableColumn id="13" xr3:uid="{79D799A7-2ABF-43E9-8518-A293605BE244}" name="個人／構成比" dataDxfId="2241"/>
    <tableColumn id="14" xr3:uid="{CBF66F6E-2118-4CE0-805A-3526733308ED}" name="法人／事業所数" dataCellStyle="桁区切り"/>
    <tableColumn id="15" xr3:uid="{A34C0008-81A3-43C7-9372-C127EE861100}" name="法人／構成比" dataDxfId="2240"/>
    <tableColumn id="16" xr3:uid="{832340E6-14F2-4E78-ABA3-3950FCE2AF0A}" name="法人以外の団体／事業所数" dataCellStyle="桁区切り"/>
  </tableColumns>
  <tableStyleInfo name="TableStyleMedium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73B623CC-C765-47E5-85F4-81394665E10F}" name="LTBL_01220" displayName="LTBL_01220" ref="B4:I20" totalsRowCount="1">
  <autoFilter ref="B4:I19" xr:uid="{73B623CC-C765-47E5-85F4-81394665E10F}"/>
  <tableColumns count="8">
    <tableColumn id="9" xr3:uid="{EEBA964C-5A7C-45B1-9A60-E9C1BF5C6F35}" name="産業大分類" totalsRowLabel="合計" totalsRowDxfId="2239"/>
    <tableColumn id="10" xr3:uid="{85F18310-D00F-420C-97E2-04C977268484}" name="総数／事業所数" totalsRowFunction="custom" totalsRowDxfId="2238" dataCellStyle="桁区切り" totalsRowCellStyle="桁区切り">
      <totalsRowFormula>SUM(LTBL_01220[総数／事業所数])</totalsRowFormula>
    </tableColumn>
    <tableColumn id="11" xr3:uid="{43FA153F-1983-4C22-A25A-3CF32346430F}" name="総数／構成比" dataDxfId="2237"/>
    <tableColumn id="12" xr3:uid="{10521D72-F19C-43BC-8E0C-44666453AB2A}" name="個人／事業所数" totalsRowFunction="sum" totalsRowDxfId="2236" dataCellStyle="桁区切り" totalsRowCellStyle="桁区切り"/>
    <tableColumn id="13" xr3:uid="{2A55A34F-4615-4894-B747-4AB06B613B72}" name="個人／構成比" dataDxfId="2235"/>
    <tableColumn id="14" xr3:uid="{AFC9956E-8F29-4725-948D-21D8E7AD93FF}" name="法人／事業所数" totalsRowFunction="sum" totalsRowDxfId="2234" dataCellStyle="桁区切り" totalsRowCellStyle="桁区切り"/>
    <tableColumn id="15" xr3:uid="{2DBCFE6D-6FFD-4923-A0C8-6A47302AD1C1}" name="法人／構成比" dataDxfId="2233"/>
    <tableColumn id="16" xr3:uid="{A6A23CF3-E2E9-46B2-A885-8623FDA9EF22}" name="法人以外の団体／事業所数" totalsRowFunction="sum" totalsRowDxfId="2232" dataCellStyle="桁区切り" totalsRowCellStyle="桁区切り"/>
  </tableColumns>
  <tableStyleInfo name="TableStyleMedium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8D77F389-617E-45F6-98A6-96612FCF8135}" name="M_TABLE_01220" displayName="M_TABLE_01220" ref="B23:I43" totalsRowShown="0">
  <autoFilter ref="B23:I43" xr:uid="{8D77F389-617E-45F6-98A6-96612FCF8135}"/>
  <tableColumns count="8">
    <tableColumn id="9" xr3:uid="{A107B489-FDD5-4878-B4E9-20D09F715490}" name="産業中分類上位２０"/>
    <tableColumn id="10" xr3:uid="{06EF5638-84C9-4C19-8982-752D1F73FE87}" name="総数／事業所数" dataCellStyle="桁区切り"/>
    <tableColumn id="11" xr3:uid="{A39C3C16-79AC-4238-9435-92CD583FC539}" name="総数／構成比" dataDxfId="2231"/>
    <tableColumn id="12" xr3:uid="{8B34CA19-9D7E-4F0F-B8F3-FA1096358B0C}" name="個人／事業所数" dataCellStyle="桁区切り"/>
    <tableColumn id="13" xr3:uid="{153C2273-C778-4881-87AE-73341F495F54}" name="個人／構成比" dataDxfId="2230"/>
    <tableColumn id="14" xr3:uid="{4646A1FE-878B-4628-9585-B51E754E1B8A}" name="法人／事業所数" dataCellStyle="桁区切り"/>
    <tableColumn id="15" xr3:uid="{0B2E044F-0470-4E24-A4E3-906D7C8B220A}" name="法人／構成比" dataDxfId="2229"/>
    <tableColumn id="16" xr3:uid="{2DBECE87-7800-4B95-9449-F3D2F4ADFD52}" name="法人以外の団体／事業所数" dataCellStyle="桁区切り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249AA8B6-AF6C-4B39-9E71-EBD0B1A8C4B8}" name="S_TABLE_01220" displayName="S_TABLE_01220" ref="B46:I72" totalsRowShown="0">
  <autoFilter ref="B46:I72" xr:uid="{249AA8B6-AF6C-4B39-9E71-EBD0B1A8C4B8}"/>
  <tableColumns count="8">
    <tableColumn id="9" xr3:uid="{BF870826-2C4C-4D75-BAE0-25BDECDE7A99}" name="産業小分類上位２０"/>
    <tableColumn id="10" xr3:uid="{B44C0A28-C02A-485F-BD3B-5A18A0B40553}" name="総数／事業所数" dataCellStyle="桁区切り"/>
    <tableColumn id="11" xr3:uid="{3F98D4DD-E29D-45FE-9B81-45BE9BFC7E2C}" name="総数／構成比" dataDxfId="2228"/>
    <tableColumn id="12" xr3:uid="{967C3218-0D1E-4D4B-B72A-3DF9D91B1350}" name="個人／事業所数" dataCellStyle="桁区切り"/>
    <tableColumn id="13" xr3:uid="{85CE9A2C-F3BD-4CB3-AA83-B220F44339FA}" name="個人／構成比" dataDxfId="2227"/>
    <tableColumn id="14" xr3:uid="{C5786716-5416-4A61-A816-3E4973A1EFAB}" name="法人／事業所数" dataCellStyle="桁区切り"/>
    <tableColumn id="15" xr3:uid="{9C35D33C-3772-44FA-A6AC-A6E16107F66D}" name="法人／構成比" dataDxfId="2226"/>
    <tableColumn id="16" xr3:uid="{0F15442F-1B67-4676-9585-D69FA571EC53}" name="法人以外の団体／事業所数" dataCellStyle="桁区切り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EBEDBFAE-151A-4952-AF2B-80E8008C53E3}" name="LTBL_01221" displayName="LTBL_01221" ref="B4:I20" totalsRowCount="1">
  <autoFilter ref="B4:I19" xr:uid="{EBEDBFAE-151A-4952-AF2B-80E8008C53E3}"/>
  <tableColumns count="8">
    <tableColumn id="9" xr3:uid="{F2FDB352-0D28-4E5B-B9D4-9B3E44AE1506}" name="産業大分類" totalsRowLabel="合計" totalsRowDxfId="2225"/>
    <tableColumn id="10" xr3:uid="{BD79E56E-79B4-423A-8CFC-3F61A646B823}" name="総数／事業所数" totalsRowFunction="custom" totalsRowDxfId="2224" dataCellStyle="桁区切り" totalsRowCellStyle="桁区切り">
      <totalsRowFormula>SUM(LTBL_01221[総数／事業所数])</totalsRowFormula>
    </tableColumn>
    <tableColumn id="11" xr3:uid="{EBCDA3A8-004B-4C2A-A2DE-9F4DC32C2824}" name="総数／構成比" dataDxfId="2223"/>
    <tableColumn id="12" xr3:uid="{3335F486-F284-4806-BB6D-1FFF449BE340}" name="個人／事業所数" totalsRowFunction="sum" totalsRowDxfId="2222" dataCellStyle="桁区切り" totalsRowCellStyle="桁区切り"/>
    <tableColumn id="13" xr3:uid="{D226D4AB-A6D5-4843-90A6-34AC28E06CFF}" name="個人／構成比" dataDxfId="2221"/>
    <tableColumn id="14" xr3:uid="{C659F004-12B1-4DFC-BBE9-49CAB141A933}" name="法人／事業所数" totalsRowFunction="sum" totalsRowDxfId="2220" dataCellStyle="桁区切り" totalsRowCellStyle="桁区切り"/>
    <tableColumn id="15" xr3:uid="{5E6E2C7D-338E-40A1-8CD8-9D98CDC49A75}" name="法人／構成比" dataDxfId="2219"/>
    <tableColumn id="16" xr3:uid="{29760860-F03F-4E71-B303-F53277C6F7EB}" name="法人以外の団体／事業所数" totalsRowFunction="sum" totalsRowDxfId="2218" dataCellStyle="桁区切り" totalsRowCellStyle="桁区切り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294FDB76-A4BA-4A05-A6E9-0A1FF9388ADA}" name="M_TABLE_01221" displayName="M_TABLE_01221" ref="B23:I45" totalsRowShown="0">
  <autoFilter ref="B23:I45" xr:uid="{294FDB76-A4BA-4A05-A6E9-0A1FF9388ADA}"/>
  <tableColumns count="8">
    <tableColumn id="9" xr3:uid="{38FCFEBB-F0AA-4EDF-B26A-6B5C06D726F5}" name="産業中分類上位２０"/>
    <tableColumn id="10" xr3:uid="{081F2ABA-1F1D-455E-9577-C863E9F80172}" name="総数／事業所数" dataCellStyle="桁区切り"/>
    <tableColumn id="11" xr3:uid="{18D9338F-9AE4-4FB3-8C83-13271EFE68C9}" name="総数／構成比" dataDxfId="2217"/>
    <tableColumn id="12" xr3:uid="{38778194-7A31-488D-88E7-B6FC17E7219F}" name="個人／事業所数" dataCellStyle="桁区切り"/>
    <tableColumn id="13" xr3:uid="{F6532502-30A2-44FE-BE3D-6089BC57D79C}" name="個人／構成比" dataDxfId="2216"/>
    <tableColumn id="14" xr3:uid="{5242488F-DCBD-4653-91C8-BCB757A22EFD}" name="法人／事業所数" dataCellStyle="桁区切り"/>
    <tableColumn id="15" xr3:uid="{038F8E64-1AF5-4778-9A8D-9EE9046A320A}" name="法人／構成比" dataDxfId="2215"/>
    <tableColumn id="16" xr3:uid="{C24F6C85-F1FF-4BD7-BC8D-E166C79F6E91}" name="法人以外の団体／事業所数" dataCellStyle="桁区切り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DCC4A4D8-1FA6-4C5B-940E-5539B039A19D}" name="S_TABLE_01221" displayName="S_TABLE_01221" ref="B48:I68" totalsRowShown="0">
  <autoFilter ref="B48:I68" xr:uid="{DCC4A4D8-1FA6-4C5B-940E-5539B039A19D}"/>
  <tableColumns count="8">
    <tableColumn id="9" xr3:uid="{1CC90322-106E-42DA-A347-A988C0F407A5}" name="産業小分類上位２０"/>
    <tableColumn id="10" xr3:uid="{2B7262F4-D1D2-4618-A0BB-62E8FA9C53D8}" name="総数／事業所数" dataCellStyle="桁区切り"/>
    <tableColumn id="11" xr3:uid="{9642D76E-83B2-479B-8698-CDAFF97E7CEE}" name="総数／構成比" dataDxfId="2214"/>
    <tableColumn id="12" xr3:uid="{E605CC20-345F-42EA-86AA-D8F758501C54}" name="個人／事業所数" dataCellStyle="桁区切り"/>
    <tableColumn id="13" xr3:uid="{6C8C769A-E545-4929-9217-132D643D945F}" name="個人／構成比" dataDxfId="2213"/>
    <tableColumn id="14" xr3:uid="{31F96FD5-B276-4061-82B4-CF963D80A0DD}" name="法人／事業所数" dataCellStyle="桁区切り"/>
    <tableColumn id="15" xr3:uid="{EBACA34C-B7F5-4E5E-BCB2-1BE3B6827E7C}" name="法人／構成比" dataDxfId="2212"/>
    <tableColumn id="16" xr3:uid="{0D88AF2E-5BA5-4EAA-97BE-B74F644462DA}" name="法人以外の団体／事業所数" dataCellStyle="桁区切り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F8CE8E72-2DF9-4508-BA5E-928F97BE4519}" name="LTBL_01222" displayName="LTBL_01222" ref="B4:I20" totalsRowCount="1">
  <autoFilter ref="B4:I19" xr:uid="{F8CE8E72-2DF9-4508-BA5E-928F97BE4519}"/>
  <tableColumns count="8">
    <tableColumn id="9" xr3:uid="{784BAE01-D9A3-44E2-BB28-4F1CB22EE414}" name="産業大分類" totalsRowLabel="合計" totalsRowDxfId="2211"/>
    <tableColumn id="10" xr3:uid="{4871B609-6CDE-4AA3-8FB5-978EA5AC1039}" name="総数／事業所数" totalsRowFunction="custom" totalsRowDxfId="2210" dataCellStyle="桁区切り" totalsRowCellStyle="桁区切り">
      <totalsRowFormula>SUM(LTBL_01222[総数／事業所数])</totalsRowFormula>
    </tableColumn>
    <tableColumn id="11" xr3:uid="{0C84AEAA-D0D5-4E3B-BB91-066A45C14527}" name="総数／構成比" dataDxfId="2209"/>
    <tableColumn id="12" xr3:uid="{E0EAA459-08F5-4F6C-8884-CB68CE2E5180}" name="個人／事業所数" totalsRowFunction="sum" totalsRowDxfId="2208" dataCellStyle="桁区切り" totalsRowCellStyle="桁区切り"/>
    <tableColumn id="13" xr3:uid="{5C3F7CE5-0C4C-44D7-B2F9-7DE36866F8A3}" name="個人／構成比" dataDxfId="2207"/>
    <tableColumn id="14" xr3:uid="{D277F135-1AD5-43FC-8193-EA0D77DE6D8E}" name="法人／事業所数" totalsRowFunction="sum" totalsRowDxfId="2206" dataCellStyle="桁区切り" totalsRowCellStyle="桁区切り"/>
    <tableColumn id="15" xr3:uid="{8232B3A5-F7F9-4842-803F-BB2039616394}" name="法人／構成比" dataDxfId="2205"/>
    <tableColumn id="16" xr3:uid="{4C9E33E4-8540-480E-B253-6A53B11503C0}" name="法人以外の団体／事業所数" totalsRowFunction="sum" totalsRowDxfId="2204" dataCellStyle="桁区切り" totalsRowCellStyle="桁区切り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8E83E16E-01DE-43C1-8B85-42F1DC4320F2}" name="M_TABLE_01222" displayName="M_TABLE_01222" ref="B23:I49" totalsRowShown="0">
  <autoFilter ref="B23:I49" xr:uid="{8E83E16E-01DE-43C1-8B85-42F1DC4320F2}"/>
  <tableColumns count="8">
    <tableColumn id="9" xr3:uid="{C3980974-D7E6-48A4-8050-262A34BCF4F0}" name="産業中分類上位２０"/>
    <tableColumn id="10" xr3:uid="{33956DEC-CFFC-4163-9421-78CAB0A1CF37}" name="総数／事業所数" dataCellStyle="桁区切り"/>
    <tableColumn id="11" xr3:uid="{E89B91F2-9438-4C96-9545-EEF8CCC43E7E}" name="総数／構成比" dataDxfId="2203"/>
    <tableColumn id="12" xr3:uid="{CE3C4BD5-8CDB-44A3-8530-D3ED50B89F15}" name="個人／事業所数" dataCellStyle="桁区切り"/>
    <tableColumn id="13" xr3:uid="{B1B0B8A3-7A14-499C-A61B-C87E7F4B4261}" name="個人／構成比" dataDxfId="2202"/>
    <tableColumn id="14" xr3:uid="{FEDD7223-7C83-4518-98BD-EFA6197CA1D0}" name="法人／事業所数" dataCellStyle="桁区切り"/>
    <tableColumn id="15" xr3:uid="{EDDF5AE3-A69C-44B7-A5B5-0CE1473D413E}" name="法人／構成比" dataDxfId="2201"/>
    <tableColumn id="16" xr3:uid="{13F1ABFE-6174-4A69-B1EA-B1F8AB6C8477}" name="法人以外の団体／事業所数" dataCellStyle="桁区切り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18852311-751D-46E6-9FB2-5B17078A7FEC}" name="S_TABLE_01222" displayName="S_TABLE_01222" ref="B52:I74" totalsRowShown="0">
  <autoFilter ref="B52:I74" xr:uid="{18852311-751D-46E6-9FB2-5B17078A7FEC}"/>
  <tableColumns count="8">
    <tableColumn id="9" xr3:uid="{682387E5-8C4B-4F37-9463-26B9B0B191C0}" name="産業小分類上位２０"/>
    <tableColumn id="10" xr3:uid="{F917AE1E-2FCA-412B-AE00-67E2FAD53BF7}" name="総数／事業所数" dataCellStyle="桁区切り"/>
    <tableColumn id="11" xr3:uid="{8572074D-7BA8-4466-A62F-00C3BA753936}" name="総数／構成比" dataDxfId="2200"/>
    <tableColumn id="12" xr3:uid="{255F607A-FFDC-44CA-ABEE-3728C71A9B9A}" name="個人／事業所数" dataCellStyle="桁区切り"/>
    <tableColumn id="13" xr3:uid="{E2F97B2D-680F-4249-AD5E-790E3BA56F22}" name="個人／構成比" dataDxfId="2199"/>
    <tableColumn id="14" xr3:uid="{EF82E9F8-D72C-4C58-94FD-329121D1E68D}" name="法人／事業所数" dataCellStyle="桁区切り"/>
    <tableColumn id="15" xr3:uid="{FF3A1DAE-A511-4EEC-BBEB-DBD07DCD5E03}" name="法人／構成比" dataDxfId="2198"/>
    <tableColumn id="16" xr3:uid="{224816C7-65F4-424B-BA3F-CD57EF7F0F27}" name="法人以外の団体／事業所数" dataCellStyle="桁区切り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8.xm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7.xml"/><Relationship Id="rId2" Type="http://schemas.openxmlformats.org/officeDocument/2006/relationships/table" Target="../tables/table286.xml"/><Relationship Id="rId1" Type="http://schemas.openxmlformats.org/officeDocument/2006/relationships/printerSettings" Target="../printerSettings/printerSettings99.bin"/><Relationship Id="rId4" Type="http://schemas.openxmlformats.org/officeDocument/2006/relationships/table" Target="../tables/table288.xm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0.xml"/><Relationship Id="rId2" Type="http://schemas.openxmlformats.org/officeDocument/2006/relationships/table" Target="../tables/table289.xml"/><Relationship Id="rId1" Type="http://schemas.openxmlformats.org/officeDocument/2006/relationships/printerSettings" Target="../printerSettings/printerSettings100.bin"/><Relationship Id="rId4" Type="http://schemas.openxmlformats.org/officeDocument/2006/relationships/table" Target="../tables/table291.xm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3.xml"/><Relationship Id="rId2" Type="http://schemas.openxmlformats.org/officeDocument/2006/relationships/table" Target="../tables/table292.xml"/><Relationship Id="rId1" Type="http://schemas.openxmlformats.org/officeDocument/2006/relationships/printerSettings" Target="../printerSettings/printerSettings101.bin"/><Relationship Id="rId4" Type="http://schemas.openxmlformats.org/officeDocument/2006/relationships/table" Target="../tables/table294.xm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6.xml"/><Relationship Id="rId2" Type="http://schemas.openxmlformats.org/officeDocument/2006/relationships/table" Target="../tables/table295.xml"/><Relationship Id="rId1" Type="http://schemas.openxmlformats.org/officeDocument/2006/relationships/printerSettings" Target="../printerSettings/printerSettings102.bin"/><Relationship Id="rId4" Type="http://schemas.openxmlformats.org/officeDocument/2006/relationships/table" Target="../tables/table297.xm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9.xml"/><Relationship Id="rId2" Type="http://schemas.openxmlformats.org/officeDocument/2006/relationships/table" Target="../tables/table298.xml"/><Relationship Id="rId1" Type="http://schemas.openxmlformats.org/officeDocument/2006/relationships/printerSettings" Target="../printerSettings/printerSettings103.bin"/><Relationship Id="rId4" Type="http://schemas.openxmlformats.org/officeDocument/2006/relationships/table" Target="../tables/table300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2.xml"/><Relationship Id="rId2" Type="http://schemas.openxmlformats.org/officeDocument/2006/relationships/table" Target="../tables/table301.xml"/><Relationship Id="rId1" Type="http://schemas.openxmlformats.org/officeDocument/2006/relationships/printerSettings" Target="../printerSettings/printerSettings104.bin"/><Relationship Id="rId4" Type="http://schemas.openxmlformats.org/officeDocument/2006/relationships/table" Target="../tables/table303.xm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5.xml"/><Relationship Id="rId2" Type="http://schemas.openxmlformats.org/officeDocument/2006/relationships/table" Target="../tables/table304.xml"/><Relationship Id="rId1" Type="http://schemas.openxmlformats.org/officeDocument/2006/relationships/printerSettings" Target="../printerSettings/printerSettings105.bin"/><Relationship Id="rId4" Type="http://schemas.openxmlformats.org/officeDocument/2006/relationships/table" Target="../tables/table306.xm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8.xml"/><Relationship Id="rId2" Type="http://schemas.openxmlformats.org/officeDocument/2006/relationships/table" Target="../tables/table307.xml"/><Relationship Id="rId1" Type="http://schemas.openxmlformats.org/officeDocument/2006/relationships/printerSettings" Target="../printerSettings/printerSettings106.bin"/><Relationship Id="rId4" Type="http://schemas.openxmlformats.org/officeDocument/2006/relationships/table" Target="../tables/table309.xm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1.xml"/><Relationship Id="rId2" Type="http://schemas.openxmlformats.org/officeDocument/2006/relationships/table" Target="../tables/table310.xml"/><Relationship Id="rId1" Type="http://schemas.openxmlformats.org/officeDocument/2006/relationships/printerSettings" Target="../printerSettings/printerSettings107.bin"/><Relationship Id="rId4" Type="http://schemas.openxmlformats.org/officeDocument/2006/relationships/table" Target="../tables/table312.xm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4.xml"/><Relationship Id="rId2" Type="http://schemas.openxmlformats.org/officeDocument/2006/relationships/table" Target="../tables/table313.xml"/><Relationship Id="rId1" Type="http://schemas.openxmlformats.org/officeDocument/2006/relationships/printerSettings" Target="../printerSettings/printerSettings108.bin"/><Relationship Id="rId4" Type="http://schemas.openxmlformats.org/officeDocument/2006/relationships/table" Target="../tables/table31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21.xm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7.xml"/><Relationship Id="rId2" Type="http://schemas.openxmlformats.org/officeDocument/2006/relationships/table" Target="../tables/table316.xml"/><Relationship Id="rId1" Type="http://schemas.openxmlformats.org/officeDocument/2006/relationships/printerSettings" Target="../printerSettings/printerSettings109.bin"/><Relationship Id="rId4" Type="http://schemas.openxmlformats.org/officeDocument/2006/relationships/table" Target="../tables/table318.xm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0.xml"/><Relationship Id="rId2" Type="http://schemas.openxmlformats.org/officeDocument/2006/relationships/table" Target="../tables/table319.xml"/><Relationship Id="rId1" Type="http://schemas.openxmlformats.org/officeDocument/2006/relationships/printerSettings" Target="../printerSettings/printerSettings110.bin"/><Relationship Id="rId4" Type="http://schemas.openxmlformats.org/officeDocument/2006/relationships/table" Target="../tables/table321.xm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3.xml"/><Relationship Id="rId2" Type="http://schemas.openxmlformats.org/officeDocument/2006/relationships/table" Target="../tables/table322.xml"/><Relationship Id="rId1" Type="http://schemas.openxmlformats.org/officeDocument/2006/relationships/printerSettings" Target="../printerSettings/printerSettings111.bin"/><Relationship Id="rId4" Type="http://schemas.openxmlformats.org/officeDocument/2006/relationships/table" Target="../tables/table324.xm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6.xml"/><Relationship Id="rId2" Type="http://schemas.openxmlformats.org/officeDocument/2006/relationships/table" Target="../tables/table325.xml"/><Relationship Id="rId1" Type="http://schemas.openxmlformats.org/officeDocument/2006/relationships/printerSettings" Target="../printerSettings/printerSettings112.bin"/><Relationship Id="rId4" Type="http://schemas.openxmlformats.org/officeDocument/2006/relationships/table" Target="../tables/table327.xm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9.xml"/><Relationship Id="rId2" Type="http://schemas.openxmlformats.org/officeDocument/2006/relationships/table" Target="../tables/table328.xml"/><Relationship Id="rId1" Type="http://schemas.openxmlformats.org/officeDocument/2006/relationships/printerSettings" Target="../printerSettings/printerSettings113.bin"/><Relationship Id="rId4" Type="http://schemas.openxmlformats.org/officeDocument/2006/relationships/table" Target="../tables/table330.xm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2.xml"/><Relationship Id="rId2" Type="http://schemas.openxmlformats.org/officeDocument/2006/relationships/table" Target="../tables/table331.xml"/><Relationship Id="rId1" Type="http://schemas.openxmlformats.org/officeDocument/2006/relationships/printerSettings" Target="../printerSettings/printerSettings114.bin"/><Relationship Id="rId4" Type="http://schemas.openxmlformats.org/officeDocument/2006/relationships/table" Target="../tables/table333.xm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5.xml"/><Relationship Id="rId2" Type="http://schemas.openxmlformats.org/officeDocument/2006/relationships/table" Target="../tables/table334.xml"/><Relationship Id="rId1" Type="http://schemas.openxmlformats.org/officeDocument/2006/relationships/printerSettings" Target="../printerSettings/printerSettings115.bin"/><Relationship Id="rId4" Type="http://schemas.openxmlformats.org/officeDocument/2006/relationships/table" Target="../tables/table336.xm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8.xml"/><Relationship Id="rId2" Type="http://schemas.openxmlformats.org/officeDocument/2006/relationships/table" Target="../tables/table337.xml"/><Relationship Id="rId1" Type="http://schemas.openxmlformats.org/officeDocument/2006/relationships/printerSettings" Target="../printerSettings/printerSettings116.bin"/><Relationship Id="rId4" Type="http://schemas.openxmlformats.org/officeDocument/2006/relationships/table" Target="../tables/table339.xm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1.xml"/><Relationship Id="rId2" Type="http://schemas.openxmlformats.org/officeDocument/2006/relationships/table" Target="../tables/table340.xml"/><Relationship Id="rId1" Type="http://schemas.openxmlformats.org/officeDocument/2006/relationships/printerSettings" Target="../printerSettings/printerSettings117.bin"/><Relationship Id="rId4" Type="http://schemas.openxmlformats.org/officeDocument/2006/relationships/table" Target="../tables/table342.xm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4.xml"/><Relationship Id="rId2" Type="http://schemas.openxmlformats.org/officeDocument/2006/relationships/table" Target="../tables/table343.xml"/><Relationship Id="rId1" Type="http://schemas.openxmlformats.org/officeDocument/2006/relationships/printerSettings" Target="../printerSettings/printerSettings118.bin"/><Relationship Id="rId4" Type="http://schemas.openxmlformats.org/officeDocument/2006/relationships/table" Target="../tables/table34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24.xm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7.xml"/><Relationship Id="rId2" Type="http://schemas.openxmlformats.org/officeDocument/2006/relationships/table" Target="../tables/table346.xml"/><Relationship Id="rId1" Type="http://schemas.openxmlformats.org/officeDocument/2006/relationships/printerSettings" Target="../printerSettings/printerSettings119.bin"/><Relationship Id="rId4" Type="http://schemas.openxmlformats.org/officeDocument/2006/relationships/table" Target="../tables/table348.xm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0.xml"/><Relationship Id="rId2" Type="http://schemas.openxmlformats.org/officeDocument/2006/relationships/table" Target="../tables/table349.xml"/><Relationship Id="rId1" Type="http://schemas.openxmlformats.org/officeDocument/2006/relationships/printerSettings" Target="../printerSettings/printerSettings120.bin"/><Relationship Id="rId4" Type="http://schemas.openxmlformats.org/officeDocument/2006/relationships/table" Target="../tables/table351.xm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3.xml"/><Relationship Id="rId2" Type="http://schemas.openxmlformats.org/officeDocument/2006/relationships/table" Target="../tables/table352.xml"/><Relationship Id="rId1" Type="http://schemas.openxmlformats.org/officeDocument/2006/relationships/printerSettings" Target="../printerSettings/printerSettings121.bin"/><Relationship Id="rId4" Type="http://schemas.openxmlformats.org/officeDocument/2006/relationships/table" Target="../tables/table354.xm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6.xml"/><Relationship Id="rId2" Type="http://schemas.openxmlformats.org/officeDocument/2006/relationships/table" Target="../tables/table355.xml"/><Relationship Id="rId1" Type="http://schemas.openxmlformats.org/officeDocument/2006/relationships/printerSettings" Target="../printerSettings/printerSettings122.bin"/><Relationship Id="rId4" Type="http://schemas.openxmlformats.org/officeDocument/2006/relationships/table" Target="../tables/table357.xm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9.xml"/><Relationship Id="rId2" Type="http://schemas.openxmlformats.org/officeDocument/2006/relationships/table" Target="../tables/table358.xml"/><Relationship Id="rId1" Type="http://schemas.openxmlformats.org/officeDocument/2006/relationships/printerSettings" Target="../printerSettings/printerSettings123.bin"/><Relationship Id="rId4" Type="http://schemas.openxmlformats.org/officeDocument/2006/relationships/table" Target="../tables/table360.xm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2.xml"/><Relationship Id="rId2" Type="http://schemas.openxmlformats.org/officeDocument/2006/relationships/table" Target="../tables/table361.xml"/><Relationship Id="rId1" Type="http://schemas.openxmlformats.org/officeDocument/2006/relationships/printerSettings" Target="../printerSettings/printerSettings124.bin"/><Relationship Id="rId4" Type="http://schemas.openxmlformats.org/officeDocument/2006/relationships/table" Target="../tables/table363.xm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5.xml"/><Relationship Id="rId2" Type="http://schemas.openxmlformats.org/officeDocument/2006/relationships/table" Target="../tables/table364.xml"/><Relationship Id="rId1" Type="http://schemas.openxmlformats.org/officeDocument/2006/relationships/printerSettings" Target="../printerSettings/printerSettings125.bin"/><Relationship Id="rId4" Type="http://schemas.openxmlformats.org/officeDocument/2006/relationships/table" Target="../tables/table366.xm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8.xml"/><Relationship Id="rId2" Type="http://schemas.openxmlformats.org/officeDocument/2006/relationships/table" Target="../tables/table367.xml"/><Relationship Id="rId1" Type="http://schemas.openxmlformats.org/officeDocument/2006/relationships/printerSettings" Target="../printerSettings/printerSettings126.bin"/><Relationship Id="rId4" Type="http://schemas.openxmlformats.org/officeDocument/2006/relationships/table" Target="../tables/table369.xm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1.xml"/><Relationship Id="rId2" Type="http://schemas.openxmlformats.org/officeDocument/2006/relationships/table" Target="../tables/table370.xml"/><Relationship Id="rId1" Type="http://schemas.openxmlformats.org/officeDocument/2006/relationships/printerSettings" Target="../printerSettings/printerSettings127.bin"/><Relationship Id="rId4" Type="http://schemas.openxmlformats.org/officeDocument/2006/relationships/table" Target="../tables/table372.xm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4.xml"/><Relationship Id="rId2" Type="http://schemas.openxmlformats.org/officeDocument/2006/relationships/table" Target="../tables/table373.xml"/><Relationship Id="rId1" Type="http://schemas.openxmlformats.org/officeDocument/2006/relationships/printerSettings" Target="../printerSettings/printerSettings128.bin"/><Relationship Id="rId4" Type="http://schemas.openxmlformats.org/officeDocument/2006/relationships/table" Target="../tables/table37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27.xm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7.xml"/><Relationship Id="rId2" Type="http://schemas.openxmlformats.org/officeDocument/2006/relationships/table" Target="../tables/table376.xml"/><Relationship Id="rId1" Type="http://schemas.openxmlformats.org/officeDocument/2006/relationships/printerSettings" Target="../printerSettings/printerSettings129.bin"/><Relationship Id="rId4" Type="http://schemas.openxmlformats.org/officeDocument/2006/relationships/table" Target="../tables/table378.xm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0.xml"/><Relationship Id="rId2" Type="http://schemas.openxmlformats.org/officeDocument/2006/relationships/table" Target="../tables/table379.xml"/><Relationship Id="rId1" Type="http://schemas.openxmlformats.org/officeDocument/2006/relationships/printerSettings" Target="../printerSettings/printerSettings130.bin"/><Relationship Id="rId4" Type="http://schemas.openxmlformats.org/officeDocument/2006/relationships/table" Target="../tables/table381.xm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3.xml"/><Relationship Id="rId2" Type="http://schemas.openxmlformats.org/officeDocument/2006/relationships/table" Target="../tables/table382.xml"/><Relationship Id="rId1" Type="http://schemas.openxmlformats.org/officeDocument/2006/relationships/printerSettings" Target="../printerSettings/printerSettings131.bin"/><Relationship Id="rId4" Type="http://schemas.openxmlformats.org/officeDocument/2006/relationships/table" Target="../tables/table384.xm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6.xml"/><Relationship Id="rId2" Type="http://schemas.openxmlformats.org/officeDocument/2006/relationships/table" Target="../tables/table385.xml"/><Relationship Id="rId1" Type="http://schemas.openxmlformats.org/officeDocument/2006/relationships/printerSettings" Target="../printerSettings/printerSettings132.bin"/><Relationship Id="rId4" Type="http://schemas.openxmlformats.org/officeDocument/2006/relationships/table" Target="../tables/table387.xm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9.xml"/><Relationship Id="rId2" Type="http://schemas.openxmlformats.org/officeDocument/2006/relationships/table" Target="../tables/table388.xml"/><Relationship Id="rId1" Type="http://schemas.openxmlformats.org/officeDocument/2006/relationships/printerSettings" Target="../printerSettings/printerSettings133.bin"/><Relationship Id="rId4" Type="http://schemas.openxmlformats.org/officeDocument/2006/relationships/table" Target="../tables/table390.xm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2.xml"/><Relationship Id="rId2" Type="http://schemas.openxmlformats.org/officeDocument/2006/relationships/table" Target="../tables/table391.xml"/><Relationship Id="rId1" Type="http://schemas.openxmlformats.org/officeDocument/2006/relationships/printerSettings" Target="../printerSettings/printerSettings134.bin"/><Relationship Id="rId4" Type="http://schemas.openxmlformats.org/officeDocument/2006/relationships/table" Target="../tables/table393.xm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5.xml"/><Relationship Id="rId2" Type="http://schemas.openxmlformats.org/officeDocument/2006/relationships/table" Target="../tables/table394.xml"/><Relationship Id="rId1" Type="http://schemas.openxmlformats.org/officeDocument/2006/relationships/printerSettings" Target="../printerSettings/printerSettings135.bin"/><Relationship Id="rId4" Type="http://schemas.openxmlformats.org/officeDocument/2006/relationships/table" Target="../tables/table396.xm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8.xml"/><Relationship Id="rId2" Type="http://schemas.openxmlformats.org/officeDocument/2006/relationships/table" Target="../tables/table397.xml"/><Relationship Id="rId1" Type="http://schemas.openxmlformats.org/officeDocument/2006/relationships/printerSettings" Target="../printerSettings/printerSettings136.bin"/><Relationship Id="rId4" Type="http://schemas.openxmlformats.org/officeDocument/2006/relationships/table" Target="../tables/table399.xm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1.xml"/><Relationship Id="rId2" Type="http://schemas.openxmlformats.org/officeDocument/2006/relationships/table" Target="../tables/table400.xml"/><Relationship Id="rId1" Type="http://schemas.openxmlformats.org/officeDocument/2006/relationships/printerSettings" Target="../printerSettings/printerSettings137.bin"/><Relationship Id="rId4" Type="http://schemas.openxmlformats.org/officeDocument/2006/relationships/table" Target="../tables/table402.xm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4.xml"/><Relationship Id="rId2" Type="http://schemas.openxmlformats.org/officeDocument/2006/relationships/table" Target="../tables/table403.xml"/><Relationship Id="rId1" Type="http://schemas.openxmlformats.org/officeDocument/2006/relationships/printerSettings" Target="../printerSettings/printerSettings138.bin"/><Relationship Id="rId4" Type="http://schemas.openxmlformats.org/officeDocument/2006/relationships/table" Target="../tables/table40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30.xm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7.xml"/><Relationship Id="rId2" Type="http://schemas.openxmlformats.org/officeDocument/2006/relationships/table" Target="../tables/table406.xml"/><Relationship Id="rId1" Type="http://schemas.openxmlformats.org/officeDocument/2006/relationships/printerSettings" Target="../printerSettings/printerSettings139.bin"/><Relationship Id="rId4" Type="http://schemas.openxmlformats.org/officeDocument/2006/relationships/table" Target="../tables/table408.xm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0.xml"/><Relationship Id="rId2" Type="http://schemas.openxmlformats.org/officeDocument/2006/relationships/table" Target="../tables/table409.xml"/><Relationship Id="rId1" Type="http://schemas.openxmlformats.org/officeDocument/2006/relationships/printerSettings" Target="../printerSettings/printerSettings140.bin"/><Relationship Id="rId4" Type="http://schemas.openxmlformats.org/officeDocument/2006/relationships/table" Target="../tables/table411.xm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3.xml"/><Relationship Id="rId2" Type="http://schemas.openxmlformats.org/officeDocument/2006/relationships/table" Target="../tables/table412.xml"/><Relationship Id="rId1" Type="http://schemas.openxmlformats.org/officeDocument/2006/relationships/printerSettings" Target="../printerSettings/printerSettings141.bin"/><Relationship Id="rId4" Type="http://schemas.openxmlformats.org/officeDocument/2006/relationships/table" Target="../tables/table414.xm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6.xml"/><Relationship Id="rId2" Type="http://schemas.openxmlformats.org/officeDocument/2006/relationships/table" Target="../tables/table415.xml"/><Relationship Id="rId1" Type="http://schemas.openxmlformats.org/officeDocument/2006/relationships/printerSettings" Target="../printerSettings/printerSettings142.bin"/><Relationship Id="rId4" Type="http://schemas.openxmlformats.org/officeDocument/2006/relationships/table" Target="../tables/table417.xm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9.xml"/><Relationship Id="rId2" Type="http://schemas.openxmlformats.org/officeDocument/2006/relationships/table" Target="../tables/table418.xml"/><Relationship Id="rId1" Type="http://schemas.openxmlformats.org/officeDocument/2006/relationships/printerSettings" Target="../printerSettings/printerSettings143.bin"/><Relationship Id="rId4" Type="http://schemas.openxmlformats.org/officeDocument/2006/relationships/table" Target="../tables/table420.xm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2.xml"/><Relationship Id="rId2" Type="http://schemas.openxmlformats.org/officeDocument/2006/relationships/table" Target="../tables/table421.xml"/><Relationship Id="rId1" Type="http://schemas.openxmlformats.org/officeDocument/2006/relationships/printerSettings" Target="../printerSettings/printerSettings144.bin"/><Relationship Id="rId4" Type="http://schemas.openxmlformats.org/officeDocument/2006/relationships/table" Target="../tables/table423.xm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5.xml"/><Relationship Id="rId2" Type="http://schemas.openxmlformats.org/officeDocument/2006/relationships/table" Target="../tables/table424.xml"/><Relationship Id="rId1" Type="http://schemas.openxmlformats.org/officeDocument/2006/relationships/printerSettings" Target="../printerSettings/printerSettings145.bin"/><Relationship Id="rId4" Type="http://schemas.openxmlformats.org/officeDocument/2006/relationships/table" Target="../tables/table426.xm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8.xml"/><Relationship Id="rId2" Type="http://schemas.openxmlformats.org/officeDocument/2006/relationships/table" Target="../tables/table427.xml"/><Relationship Id="rId1" Type="http://schemas.openxmlformats.org/officeDocument/2006/relationships/printerSettings" Target="../printerSettings/printerSettings146.bin"/><Relationship Id="rId4" Type="http://schemas.openxmlformats.org/officeDocument/2006/relationships/table" Target="../tables/table429.xm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1.xml"/><Relationship Id="rId2" Type="http://schemas.openxmlformats.org/officeDocument/2006/relationships/table" Target="../tables/table430.xml"/><Relationship Id="rId1" Type="http://schemas.openxmlformats.org/officeDocument/2006/relationships/printerSettings" Target="../printerSettings/printerSettings147.bin"/><Relationship Id="rId4" Type="http://schemas.openxmlformats.org/officeDocument/2006/relationships/table" Target="../tables/table432.xm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4.xml"/><Relationship Id="rId2" Type="http://schemas.openxmlformats.org/officeDocument/2006/relationships/table" Target="../tables/table433.xml"/><Relationship Id="rId1" Type="http://schemas.openxmlformats.org/officeDocument/2006/relationships/printerSettings" Target="../printerSettings/printerSettings148.bin"/><Relationship Id="rId4" Type="http://schemas.openxmlformats.org/officeDocument/2006/relationships/table" Target="../tables/table43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33.xm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7.xml"/><Relationship Id="rId2" Type="http://schemas.openxmlformats.org/officeDocument/2006/relationships/table" Target="../tables/table436.xml"/><Relationship Id="rId1" Type="http://schemas.openxmlformats.org/officeDocument/2006/relationships/printerSettings" Target="../printerSettings/printerSettings149.bin"/><Relationship Id="rId4" Type="http://schemas.openxmlformats.org/officeDocument/2006/relationships/table" Target="../tables/table438.xm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0.xml"/><Relationship Id="rId2" Type="http://schemas.openxmlformats.org/officeDocument/2006/relationships/table" Target="../tables/table439.xml"/><Relationship Id="rId1" Type="http://schemas.openxmlformats.org/officeDocument/2006/relationships/printerSettings" Target="../printerSettings/printerSettings150.bin"/><Relationship Id="rId4" Type="http://schemas.openxmlformats.org/officeDocument/2006/relationships/table" Target="../tables/table441.xm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3.xml"/><Relationship Id="rId2" Type="http://schemas.openxmlformats.org/officeDocument/2006/relationships/table" Target="../tables/table442.xml"/><Relationship Id="rId1" Type="http://schemas.openxmlformats.org/officeDocument/2006/relationships/printerSettings" Target="../printerSettings/printerSettings151.bin"/><Relationship Id="rId4" Type="http://schemas.openxmlformats.org/officeDocument/2006/relationships/table" Target="../tables/table444.xm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6.xml"/><Relationship Id="rId2" Type="http://schemas.openxmlformats.org/officeDocument/2006/relationships/table" Target="../tables/table445.xml"/><Relationship Id="rId1" Type="http://schemas.openxmlformats.org/officeDocument/2006/relationships/printerSettings" Target="../printerSettings/printerSettings152.bin"/><Relationship Id="rId4" Type="http://schemas.openxmlformats.org/officeDocument/2006/relationships/table" Target="../tables/table447.xm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9.xml"/><Relationship Id="rId2" Type="http://schemas.openxmlformats.org/officeDocument/2006/relationships/table" Target="../tables/table448.xml"/><Relationship Id="rId1" Type="http://schemas.openxmlformats.org/officeDocument/2006/relationships/printerSettings" Target="../printerSettings/printerSettings153.bin"/><Relationship Id="rId4" Type="http://schemas.openxmlformats.org/officeDocument/2006/relationships/table" Target="../tables/table450.xm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2.xml"/><Relationship Id="rId2" Type="http://schemas.openxmlformats.org/officeDocument/2006/relationships/table" Target="../tables/table451.xml"/><Relationship Id="rId1" Type="http://schemas.openxmlformats.org/officeDocument/2006/relationships/printerSettings" Target="../printerSettings/printerSettings154.bin"/><Relationship Id="rId4" Type="http://schemas.openxmlformats.org/officeDocument/2006/relationships/table" Target="../tables/table453.xm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5.xml"/><Relationship Id="rId2" Type="http://schemas.openxmlformats.org/officeDocument/2006/relationships/table" Target="../tables/table454.xml"/><Relationship Id="rId1" Type="http://schemas.openxmlformats.org/officeDocument/2006/relationships/printerSettings" Target="../printerSettings/printerSettings155.bin"/><Relationship Id="rId4" Type="http://schemas.openxmlformats.org/officeDocument/2006/relationships/table" Target="../tables/table456.xm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8.xml"/><Relationship Id="rId2" Type="http://schemas.openxmlformats.org/officeDocument/2006/relationships/table" Target="../tables/table457.xml"/><Relationship Id="rId1" Type="http://schemas.openxmlformats.org/officeDocument/2006/relationships/printerSettings" Target="../printerSettings/printerSettings156.bin"/><Relationship Id="rId4" Type="http://schemas.openxmlformats.org/officeDocument/2006/relationships/table" Target="../tables/table459.xm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1.xml"/><Relationship Id="rId2" Type="http://schemas.openxmlformats.org/officeDocument/2006/relationships/table" Target="../tables/table460.xml"/><Relationship Id="rId1" Type="http://schemas.openxmlformats.org/officeDocument/2006/relationships/printerSettings" Target="../printerSettings/printerSettings157.bin"/><Relationship Id="rId4" Type="http://schemas.openxmlformats.org/officeDocument/2006/relationships/table" Target="../tables/table462.xm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4.xml"/><Relationship Id="rId2" Type="http://schemas.openxmlformats.org/officeDocument/2006/relationships/table" Target="../tables/table463.xml"/><Relationship Id="rId1" Type="http://schemas.openxmlformats.org/officeDocument/2006/relationships/printerSettings" Target="../printerSettings/printerSettings158.bin"/><Relationship Id="rId4" Type="http://schemas.openxmlformats.org/officeDocument/2006/relationships/table" Target="../tables/table46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36.xm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7.xml"/><Relationship Id="rId2" Type="http://schemas.openxmlformats.org/officeDocument/2006/relationships/table" Target="../tables/table466.xml"/><Relationship Id="rId1" Type="http://schemas.openxmlformats.org/officeDocument/2006/relationships/printerSettings" Target="../printerSettings/printerSettings159.bin"/><Relationship Id="rId4" Type="http://schemas.openxmlformats.org/officeDocument/2006/relationships/table" Target="../tables/table468.xm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0.xml"/><Relationship Id="rId2" Type="http://schemas.openxmlformats.org/officeDocument/2006/relationships/table" Target="../tables/table469.xml"/><Relationship Id="rId1" Type="http://schemas.openxmlformats.org/officeDocument/2006/relationships/printerSettings" Target="../printerSettings/printerSettings160.bin"/><Relationship Id="rId4" Type="http://schemas.openxmlformats.org/officeDocument/2006/relationships/table" Target="../tables/table471.xm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3.xml"/><Relationship Id="rId2" Type="http://schemas.openxmlformats.org/officeDocument/2006/relationships/table" Target="../tables/table472.xml"/><Relationship Id="rId1" Type="http://schemas.openxmlformats.org/officeDocument/2006/relationships/printerSettings" Target="../printerSettings/printerSettings161.bin"/><Relationship Id="rId4" Type="http://schemas.openxmlformats.org/officeDocument/2006/relationships/table" Target="../tables/table474.xm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6.xml"/><Relationship Id="rId2" Type="http://schemas.openxmlformats.org/officeDocument/2006/relationships/table" Target="../tables/table475.xml"/><Relationship Id="rId1" Type="http://schemas.openxmlformats.org/officeDocument/2006/relationships/printerSettings" Target="../printerSettings/printerSettings162.bin"/><Relationship Id="rId4" Type="http://schemas.openxmlformats.org/officeDocument/2006/relationships/table" Target="../tables/table477.xm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9.xml"/><Relationship Id="rId2" Type="http://schemas.openxmlformats.org/officeDocument/2006/relationships/table" Target="../tables/table478.xml"/><Relationship Id="rId1" Type="http://schemas.openxmlformats.org/officeDocument/2006/relationships/printerSettings" Target="../printerSettings/printerSettings163.bin"/><Relationship Id="rId4" Type="http://schemas.openxmlformats.org/officeDocument/2006/relationships/table" Target="../tables/table480.xm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2.xml"/><Relationship Id="rId2" Type="http://schemas.openxmlformats.org/officeDocument/2006/relationships/table" Target="../tables/table481.xml"/><Relationship Id="rId1" Type="http://schemas.openxmlformats.org/officeDocument/2006/relationships/printerSettings" Target="../printerSettings/printerSettings164.bin"/><Relationship Id="rId4" Type="http://schemas.openxmlformats.org/officeDocument/2006/relationships/table" Target="../tables/table483.xm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5.xml"/><Relationship Id="rId2" Type="http://schemas.openxmlformats.org/officeDocument/2006/relationships/table" Target="../tables/table484.xml"/><Relationship Id="rId1" Type="http://schemas.openxmlformats.org/officeDocument/2006/relationships/printerSettings" Target="../printerSettings/printerSettings165.bin"/><Relationship Id="rId4" Type="http://schemas.openxmlformats.org/officeDocument/2006/relationships/table" Target="../tables/table486.xm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8.xml"/><Relationship Id="rId2" Type="http://schemas.openxmlformats.org/officeDocument/2006/relationships/table" Target="../tables/table487.xml"/><Relationship Id="rId1" Type="http://schemas.openxmlformats.org/officeDocument/2006/relationships/printerSettings" Target="../printerSettings/printerSettings166.bin"/><Relationship Id="rId4" Type="http://schemas.openxmlformats.org/officeDocument/2006/relationships/table" Target="../tables/table489.xm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1.xml"/><Relationship Id="rId2" Type="http://schemas.openxmlformats.org/officeDocument/2006/relationships/table" Target="../tables/table490.xml"/><Relationship Id="rId1" Type="http://schemas.openxmlformats.org/officeDocument/2006/relationships/printerSettings" Target="../printerSettings/printerSettings167.bin"/><Relationship Id="rId4" Type="http://schemas.openxmlformats.org/officeDocument/2006/relationships/table" Target="../tables/table492.xm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4.xml"/><Relationship Id="rId2" Type="http://schemas.openxmlformats.org/officeDocument/2006/relationships/table" Target="../tables/table493.xml"/><Relationship Id="rId1" Type="http://schemas.openxmlformats.org/officeDocument/2006/relationships/printerSettings" Target="../printerSettings/printerSettings168.bin"/><Relationship Id="rId4" Type="http://schemas.openxmlformats.org/officeDocument/2006/relationships/table" Target="../tables/table49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39.xm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7.xml"/><Relationship Id="rId2" Type="http://schemas.openxmlformats.org/officeDocument/2006/relationships/table" Target="../tables/table496.xml"/><Relationship Id="rId1" Type="http://schemas.openxmlformats.org/officeDocument/2006/relationships/printerSettings" Target="../printerSettings/printerSettings169.bin"/><Relationship Id="rId4" Type="http://schemas.openxmlformats.org/officeDocument/2006/relationships/table" Target="../tables/table498.xm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0.xml"/><Relationship Id="rId2" Type="http://schemas.openxmlformats.org/officeDocument/2006/relationships/table" Target="../tables/table499.xml"/><Relationship Id="rId1" Type="http://schemas.openxmlformats.org/officeDocument/2006/relationships/printerSettings" Target="../printerSettings/printerSettings170.bin"/><Relationship Id="rId4" Type="http://schemas.openxmlformats.org/officeDocument/2006/relationships/table" Target="../tables/table501.xm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3.xml"/><Relationship Id="rId2" Type="http://schemas.openxmlformats.org/officeDocument/2006/relationships/table" Target="../tables/table502.xml"/><Relationship Id="rId1" Type="http://schemas.openxmlformats.org/officeDocument/2006/relationships/printerSettings" Target="../printerSettings/printerSettings171.bin"/><Relationship Id="rId4" Type="http://schemas.openxmlformats.org/officeDocument/2006/relationships/table" Target="../tables/table504.xm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6.xml"/><Relationship Id="rId2" Type="http://schemas.openxmlformats.org/officeDocument/2006/relationships/table" Target="../tables/table505.xml"/><Relationship Id="rId1" Type="http://schemas.openxmlformats.org/officeDocument/2006/relationships/printerSettings" Target="../printerSettings/printerSettings172.bin"/><Relationship Id="rId4" Type="http://schemas.openxmlformats.org/officeDocument/2006/relationships/table" Target="../tables/table507.xm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9.xml"/><Relationship Id="rId2" Type="http://schemas.openxmlformats.org/officeDocument/2006/relationships/table" Target="../tables/table508.xml"/><Relationship Id="rId1" Type="http://schemas.openxmlformats.org/officeDocument/2006/relationships/printerSettings" Target="../printerSettings/printerSettings173.bin"/><Relationship Id="rId4" Type="http://schemas.openxmlformats.org/officeDocument/2006/relationships/table" Target="../tables/table510.xml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2.xml"/><Relationship Id="rId2" Type="http://schemas.openxmlformats.org/officeDocument/2006/relationships/table" Target="../tables/table511.xml"/><Relationship Id="rId1" Type="http://schemas.openxmlformats.org/officeDocument/2006/relationships/printerSettings" Target="../printerSettings/printerSettings174.bin"/><Relationship Id="rId4" Type="http://schemas.openxmlformats.org/officeDocument/2006/relationships/table" Target="../tables/table513.xml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5.xml"/><Relationship Id="rId2" Type="http://schemas.openxmlformats.org/officeDocument/2006/relationships/table" Target="../tables/table514.xml"/><Relationship Id="rId1" Type="http://schemas.openxmlformats.org/officeDocument/2006/relationships/printerSettings" Target="../printerSettings/printerSettings175.bin"/><Relationship Id="rId4" Type="http://schemas.openxmlformats.org/officeDocument/2006/relationships/table" Target="../tables/table516.xml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8.xml"/><Relationship Id="rId2" Type="http://schemas.openxmlformats.org/officeDocument/2006/relationships/table" Target="../tables/table517.xml"/><Relationship Id="rId1" Type="http://schemas.openxmlformats.org/officeDocument/2006/relationships/printerSettings" Target="../printerSettings/printerSettings176.bin"/><Relationship Id="rId4" Type="http://schemas.openxmlformats.org/officeDocument/2006/relationships/table" Target="../tables/table519.xml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1.xml"/><Relationship Id="rId2" Type="http://schemas.openxmlformats.org/officeDocument/2006/relationships/table" Target="../tables/table520.xml"/><Relationship Id="rId1" Type="http://schemas.openxmlformats.org/officeDocument/2006/relationships/printerSettings" Target="../printerSettings/printerSettings177.bin"/><Relationship Id="rId4" Type="http://schemas.openxmlformats.org/officeDocument/2006/relationships/table" Target="../tables/table522.xml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4.xml"/><Relationship Id="rId2" Type="http://schemas.openxmlformats.org/officeDocument/2006/relationships/table" Target="../tables/table523.xml"/><Relationship Id="rId1" Type="http://schemas.openxmlformats.org/officeDocument/2006/relationships/printerSettings" Target="../printerSettings/printerSettings178.bin"/><Relationship Id="rId4" Type="http://schemas.openxmlformats.org/officeDocument/2006/relationships/table" Target="../tables/table52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42.xml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7.xml"/><Relationship Id="rId2" Type="http://schemas.openxmlformats.org/officeDocument/2006/relationships/table" Target="../tables/table526.xml"/><Relationship Id="rId1" Type="http://schemas.openxmlformats.org/officeDocument/2006/relationships/printerSettings" Target="../printerSettings/printerSettings179.bin"/><Relationship Id="rId4" Type="http://schemas.openxmlformats.org/officeDocument/2006/relationships/table" Target="../tables/table528.xml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0.xml"/><Relationship Id="rId2" Type="http://schemas.openxmlformats.org/officeDocument/2006/relationships/table" Target="../tables/table529.xml"/><Relationship Id="rId1" Type="http://schemas.openxmlformats.org/officeDocument/2006/relationships/printerSettings" Target="../printerSettings/printerSettings180.bin"/><Relationship Id="rId4" Type="http://schemas.openxmlformats.org/officeDocument/2006/relationships/table" Target="../tables/table531.xml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3.xml"/><Relationship Id="rId2" Type="http://schemas.openxmlformats.org/officeDocument/2006/relationships/table" Target="../tables/table532.xml"/><Relationship Id="rId1" Type="http://schemas.openxmlformats.org/officeDocument/2006/relationships/printerSettings" Target="../printerSettings/printerSettings181.bin"/><Relationship Id="rId4" Type="http://schemas.openxmlformats.org/officeDocument/2006/relationships/table" Target="../tables/table534.xml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6.xml"/><Relationship Id="rId2" Type="http://schemas.openxmlformats.org/officeDocument/2006/relationships/table" Target="../tables/table535.xml"/><Relationship Id="rId1" Type="http://schemas.openxmlformats.org/officeDocument/2006/relationships/printerSettings" Target="../printerSettings/printerSettings182.bin"/><Relationship Id="rId4" Type="http://schemas.openxmlformats.org/officeDocument/2006/relationships/table" Target="../tables/table537.xml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9.xml"/><Relationship Id="rId2" Type="http://schemas.openxmlformats.org/officeDocument/2006/relationships/table" Target="../tables/table538.xml"/><Relationship Id="rId1" Type="http://schemas.openxmlformats.org/officeDocument/2006/relationships/printerSettings" Target="../printerSettings/printerSettings183.bin"/><Relationship Id="rId4" Type="http://schemas.openxmlformats.org/officeDocument/2006/relationships/table" Target="../tables/table540.xml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2.xml"/><Relationship Id="rId2" Type="http://schemas.openxmlformats.org/officeDocument/2006/relationships/table" Target="../tables/table541.xml"/><Relationship Id="rId1" Type="http://schemas.openxmlformats.org/officeDocument/2006/relationships/printerSettings" Target="../printerSettings/printerSettings184.bin"/><Relationship Id="rId4" Type="http://schemas.openxmlformats.org/officeDocument/2006/relationships/table" Target="../tables/table543.xml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5.xml"/><Relationship Id="rId2" Type="http://schemas.openxmlformats.org/officeDocument/2006/relationships/table" Target="../tables/table544.xml"/><Relationship Id="rId1" Type="http://schemas.openxmlformats.org/officeDocument/2006/relationships/printerSettings" Target="../printerSettings/printerSettings185.bin"/><Relationship Id="rId4" Type="http://schemas.openxmlformats.org/officeDocument/2006/relationships/table" Target="../tables/table546.xml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8.xml"/><Relationship Id="rId2" Type="http://schemas.openxmlformats.org/officeDocument/2006/relationships/table" Target="../tables/table547.xml"/><Relationship Id="rId1" Type="http://schemas.openxmlformats.org/officeDocument/2006/relationships/printerSettings" Target="../printerSettings/printerSettings186.bin"/><Relationship Id="rId4" Type="http://schemas.openxmlformats.org/officeDocument/2006/relationships/table" Target="../tables/table549.xml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1.xml"/><Relationship Id="rId2" Type="http://schemas.openxmlformats.org/officeDocument/2006/relationships/table" Target="../tables/table550.xml"/><Relationship Id="rId1" Type="http://schemas.openxmlformats.org/officeDocument/2006/relationships/printerSettings" Target="../printerSettings/printerSettings187.bin"/><Relationship Id="rId4" Type="http://schemas.openxmlformats.org/officeDocument/2006/relationships/table" Target="../tables/table552.xml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4.xml"/><Relationship Id="rId2" Type="http://schemas.openxmlformats.org/officeDocument/2006/relationships/table" Target="../tables/table553.xml"/><Relationship Id="rId1" Type="http://schemas.openxmlformats.org/officeDocument/2006/relationships/printerSettings" Target="../printerSettings/printerSettings188.bin"/><Relationship Id="rId4" Type="http://schemas.openxmlformats.org/officeDocument/2006/relationships/table" Target="../tables/table55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18.bin"/><Relationship Id="rId4" Type="http://schemas.openxmlformats.org/officeDocument/2006/relationships/table" Target="../tables/table45.xml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7.xml"/><Relationship Id="rId2" Type="http://schemas.openxmlformats.org/officeDocument/2006/relationships/table" Target="../tables/table556.xml"/><Relationship Id="rId1" Type="http://schemas.openxmlformats.org/officeDocument/2006/relationships/printerSettings" Target="../printerSettings/printerSettings189.bin"/><Relationship Id="rId4" Type="http://schemas.openxmlformats.org/officeDocument/2006/relationships/table" Target="../tables/table558.xml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0.xml"/><Relationship Id="rId2" Type="http://schemas.openxmlformats.org/officeDocument/2006/relationships/table" Target="../tables/table559.xml"/><Relationship Id="rId1" Type="http://schemas.openxmlformats.org/officeDocument/2006/relationships/printerSettings" Target="../printerSettings/printerSettings190.bin"/><Relationship Id="rId4" Type="http://schemas.openxmlformats.org/officeDocument/2006/relationships/table" Target="../tables/table561.xml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3.xml"/><Relationship Id="rId2" Type="http://schemas.openxmlformats.org/officeDocument/2006/relationships/table" Target="../tables/table562.xml"/><Relationship Id="rId1" Type="http://schemas.openxmlformats.org/officeDocument/2006/relationships/printerSettings" Target="../printerSettings/printerSettings191.bin"/><Relationship Id="rId4" Type="http://schemas.openxmlformats.org/officeDocument/2006/relationships/table" Target="../tables/table564.xml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6.xml"/><Relationship Id="rId2" Type="http://schemas.openxmlformats.org/officeDocument/2006/relationships/table" Target="../tables/table565.xml"/><Relationship Id="rId1" Type="http://schemas.openxmlformats.org/officeDocument/2006/relationships/printerSettings" Target="../printerSettings/printerSettings192.bin"/><Relationship Id="rId4" Type="http://schemas.openxmlformats.org/officeDocument/2006/relationships/table" Target="../tables/table567.xml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9.xml"/><Relationship Id="rId2" Type="http://schemas.openxmlformats.org/officeDocument/2006/relationships/table" Target="../tables/table568.xml"/><Relationship Id="rId1" Type="http://schemas.openxmlformats.org/officeDocument/2006/relationships/printerSettings" Target="../printerSettings/printerSettings193.bin"/><Relationship Id="rId4" Type="http://schemas.openxmlformats.org/officeDocument/2006/relationships/table" Target="../tables/table57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19.bin"/><Relationship Id="rId4" Type="http://schemas.openxmlformats.org/officeDocument/2006/relationships/table" Target="../tables/table4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5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table" Target="../tables/table52.xml"/><Relationship Id="rId1" Type="http://schemas.openxmlformats.org/officeDocument/2006/relationships/printerSettings" Target="../printerSettings/printerSettings21.bin"/><Relationship Id="rId4" Type="http://schemas.openxmlformats.org/officeDocument/2006/relationships/table" Target="../tables/table5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.xml"/><Relationship Id="rId2" Type="http://schemas.openxmlformats.org/officeDocument/2006/relationships/table" Target="../tables/table55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5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table" Target="../tables/table58.xml"/><Relationship Id="rId1" Type="http://schemas.openxmlformats.org/officeDocument/2006/relationships/printerSettings" Target="../printerSettings/printerSettings23.bin"/><Relationship Id="rId4" Type="http://schemas.openxmlformats.org/officeDocument/2006/relationships/table" Target="../tables/table6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.xml"/><Relationship Id="rId2" Type="http://schemas.openxmlformats.org/officeDocument/2006/relationships/table" Target="../tables/table61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6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5.xml"/><Relationship Id="rId2" Type="http://schemas.openxmlformats.org/officeDocument/2006/relationships/table" Target="../tables/table64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6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8.xml"/><Relationship Id="rId2" Type="http://schemas.openxmlformats.org/officeDocument/2006/relationships/table" Target="../tables/table67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6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1.xml"/><Relationship Id="rId2" Type="http://schemas.openxmlformats.org/officeDocument/2006/relationships/table" Target="../tables/table70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7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4.xml"/><Relationship Id="rId2" Type="http://schemas.openxmlformats.org/officeDocument/2006/relationships/table" Target="../tables/table73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7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7.xml"/><Relationship Id="rId2" Type="http://schemas.openxmlformats.org/officeDocument/2006/relationships/table" Target="../tables/table76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7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0.xml"/><Relationship Id="rId2" Type="http://schemas.openxmlformats.org/officeDocument/2006/relationships/table" Target="../tables/table79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8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3.xml"/><Relationship Id="rId2" Type="http://schemas.openxmlformats.org/officeDocument/2006/relationships/table" Target="../tables/table82.xml"/><Relationship Id="rId1" Type="http://schemas.openxmlformats.org/officeDocument/2006/relationships/printerSettings" Target="../printerSettings/printerSettings31.bin"/><Relationship Id="rId4" Type="http://schemas.openxmlformats.org/officeDocument/2006/relationships/table" Target="../tables/table84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6.xml"/><Relationship Id="rId2" Type="http://schemas.openxmlformats.org/officeDocument/2006/relationships/table" Target="../tables/table85.xml"/><Relationship Id="rId1" Type="http://schemas.openxmlformats.org/officeDocument/2006/relationships/printerSettings" Target="../printerSettings/printerSettings32.bin"/><Relationship Id="rId4" Type="http://schemas.openxmlformats.org/officeDocument/2006/relationships/table" Target="../tables/table87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9.xml"/><Relationship Id="rId2" Type="http://schemas.openxmlformats.org/officeDocument/2006/relationships/table" Target="../tables/table88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90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2.xml"/><Relationship Id="rId2" Type="http://schemas.openxmlformats.org/officeDocument/2006/relationships/table" Target="../tables/table91.xml"/><Relationship Id="rId1" Type="http://schemas.openxmlformats.org/officeDocument/2006/relationships/printerSettings" Target="../printerSettings/printerSettings34.bin"/><Relationship Id="rId4" Type="http://schemas.openxmlformats.org/officeDocument/2006/relationships/table" Target="../tables/table9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5.xml"/><Relationship Id="rId2" Type="http://schemas.openxmlformats.org/officeDocument/2006/relationships/table" Target="../tables/table94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9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8.xml"/><Relationship Id="rId2" Type="http://schemas.openxmlformats.org/officeDocument/2006/relationships/table" Target="../tables/table97.xml"/><Relationship Id="rId1" Type="http://schemas.openxmlformats.org/officeDocument/2006/relationships/printerSettings" Target="../printerSettings/printerSettings36.bin"/><Relationship Id="rId4" Type="http://schemas.openxmlformats.org/officeDocument/2006/relationships/table" Target="../tables/table9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1.xml"/><Relationship Id="rId2" Type="http://schemas.openxmlformats.org/officeDocument/2006/relationships/table" Target="../tables/table100.xml"/><Relationship Id="rId1" Type="http://schemas.openxmlformats.org/officeDocument/2006/relationships/printerSettings" Target="../printerSettings/printerSettings37.bin"/><Relationship Id="rId4" Type="http://schemas.openxmlformats.org/officeDocument/2006/relationships/table" Target="../tables/table10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4.xml"/><Relationship Id="rId2" Type="http://schemas.openxmlformats.org/officeDocument/2006/relationships/table" Target="../tables/table103.xml"/><Relationship Id="rId1" Type="http://schemas.openxmlformats.org/officeDocument/2006/relationships/printerSettings" Target="../printerSettings/printerSettings38.bin"/><Relationship Id="rId4" Type="http://schemas.openxmlformats.org/officeDocument/2006/relationships/table" Target="../tables/table10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7.xml"/><Relationship Id="rId2" Type="http://schemas.openxmlformats.org/officeDocument/2006/relationships/table" Target="../tables/table106.xml"/><Relationship Id="rId1" Type="http://schemas.openxmlformats.org/officeDocument/2006/relationships/printerSettings" Target="../printerSettings/printerSettings39.bin"/><Relationship Id="rId4" Type="http://schemas.openxmlformats.org/officeDocument/2006/relationships/table" Target="../tables/table108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0.xml"/><Relationship Id="rId2" Type="http://schemas.openxmlformats.org/officeDocument/2006/relationships/table" Target="../tables/table109.xml"/><Relationship Id="rId1" Type="http://schemas.openxmlformats.org/officeDocument/2006/relationships/printerSettings" Target="../printerSettings/printerSettings40.bin"/><Relationship Id="rId4" Type="http://schemas.openxmlformats.org/officeDocument/2006/relationships/table" Target="../tables/table11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3.xml"/><Relationship Id="rId2" Type="http://schemas.openxmlformats.org/officeDocument/2006/relationships/table" Target="../tables/table112.xml"/><Relationship Id="rId1" Type="http://schemas.openxmlformats.org/officeDocument/2006/relationships/printerSettings" Target="../printerSettings/printerSettings41.bin"/><Relationship Id="rId4" Type="http://schemas.openxmlformats.org/officeDocument/2006/relationships/table" Target="../tables/table114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6.xml"/><Relationship Id="rId2" Type="http://schemas.openxmlformats.org/officeDocument/2006/relationships/table" Target="../tables/table115.xml"/><Relationship Id="rId1" Type="http://schemas.openxmlformats.org/officeDocument/2006/relationships/printerSettings" Target="../printerSettings/printerSettings42.bin"/><Relationship Id="rId4" Type="http://schemas.openxmlformats.org/officeDocument/2006/relationships/table" Target="../tables/table11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9.xml"/><Relationship Id="rId2" Type="http://schemas.openxmlformats.org/officeDocument/2006/relationships/table" Target="../tables/table118.xml"/><Relationship Id="rId1" Type="http://schemas.openxmlformats.org/officeDocument/2006/relationships/printerSettings" Target="../printerSettings/printerSettings43.bin"/><Relationship Id="rId4" Type="http://schemas.openxmlformats.org/officeDocument/2006/relationships/table" Target="../tables/table120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2.xml"/><Relationship Id="rId2" Type="http://schemas.openxmlformats.org/officeDocument/2006/relationships/table" Target="../tables/table121.xml"/><Relationship Id="rId1" Type="http://schemas.openxmlformats.org/officeDocument/2006/relationships/printerSettings" Target="../printerSettings/printerSettings44.bin"/><Relationship Id="rId4" Type="http://schemas.openxmlformats.org/officeDocument/2006/relationships/table" Target="../tables/table123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5.xml"/><Relationship Id="rId2" Type="http://schemas.openxmlformats.org/officeDocument/2006/relationships/table" Target="../tables/table124.xml"/><Relationship Id="rId1" Type="http://schemas.openxmlformats.org/officeDocument/2006/relationships/printerSettings" Target="../printerSettings/printerSettings45.bin"/><Relationship Id="rId4" Type="http://schemas.openxmlformats.org/officeDocument/2006/relationships/table" Target="../tables/table12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8.xml"/><Relationship Id="rId2" Type="http://schemas.openxmlformats.org/officeDocument/2006/relationships/table" Target="../tables/table127.xml"/><Relationship Id="rId1" Type="http://schemas.openxmlformats.org/officeDocument/2006/relationships/printerSettings" Target="../printerSettings/printerSettings46.bin"/><Relationship Id="rId4" Type="http://schemas.openxmlformats.org/officeDocument/2006/relationships/table" Target="../tables/table129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1.xml"/><Relationship Id="rId2" Type="http://schemas.openxmlformats.org/officeDocument/2006/relationships/table" Target="../tables/table130.xml"/><Relationship Id="rId1" Type="http://schemas.openxmlformats.org/officeDocument/2006/relationships/printerSettings" Target="../printerSettings/printerSettings47.bin"/><Relationship Id="rId4" Type="http://schemas.openxmlformats.org/officeDocument/2006/relationships/table" Target="../tables/table13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4.xml"/><Relationship Id="rId2" Type="http://schemas.openxmlformats.org/officeDocument/2006/relationships/table" Target="../tables/table133.xml"/><Relationship Id="rId1" Type="http://schemas.openxmlformats.org/officeDocument/2006/relationships/printerSettings" Target="../printerSettings/printerSettings48.bin"/><Relationship Id="rId4" Type="http://schemas.openxmlformats.org/officeDocument/2006/relationships/table" Target="../tables/table13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7.xml"/><Relationship Id="rId2" Type="http://schemas.openxmlformats.org/officeDocument/2006/relationships/table" Target="../tables/table136.xml"/><Relationship Id="rId1" Type="http://schemas.openxmlformats.org/officeDocument/2006/relationships/printerSettings" Target="../printerSettings/printerSettings49.bin"/><Relationship Id="rId4" Type="http://schemas.openxmlformats.org/officeDocument/2006/relationships/table" Target="../tables/table138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0.xml"/><Relationship Id="rId2" Type="http://schemas.openxmlformats.org/officeDocument/2006/relationships/table" Target="../tables/table139.xml"/><Relationship Id="rId1" Type="http://schemas.openxmlformats.org/officeDocument/2006/relationships/printerSettings" Target="../printerSettings/printerSettings50.bin"/><Relationship Id="rId4" Type="http://schemas.openxmlformats.org/officeDocument/2006/relationships/table" Target="../tables/table14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3.xml"/><Relationship Id="rId2" Type="http://schemas.openxmlformats.org/officeDocument/2006/relationships/table" Target="../tables/table142.xml"/><Relationship Id="rId1" Type="http://schemas.openxmlformats.org/officeDocument/2006/relationships/printerSettings" Target="../printerSettings/printerSettings51.bin"/><Relationship Id="rId4" Type="http://schemas.openxmlformats.org/officeDocument/2006/relationships/table" Target="../tables/table144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6.xml"/><Relationship Id="rId2" Type="http://schemas.openxmlformats.org/officeDocument/2006/relationships/table" Target="../tables/table145.xml"/><Relationship Id="rId1" Type="http://schemas.openxmlformats.org/officeDocument/2006/relationships/printerSettings" Target="../printerSettings/printerSettings52.bin"/><Relationship Id="rId4" Type="http://schemas.openxmlformats.org/officeDocument/2006/relationships/table" Target="../tables/table147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9.xml"/><Relationship Id="rId2" Type="http://schemas.openxmlformats.org/officeDocument/2006/relationships/table" Target="../tables/table148.xml"/><Relationship Id="rId1" Type="http://schemas.openxmlformats.org/officeDocument/2006/relationships/printerSettings" Target="../printerSettings/printerSettings53.bin"/><Relationship Id="rId4" Type="http://schemas.openxmlformats.org/officeDocument/2006/relationships/table" Target="../tables/table150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2.xml"/><Relationship Id="rId2" Type="http://schemas.openxmlformats.org/officeDocument/2006/relationships/table" Target="../tables/table151.xml"/><Relationship Id="rId1" Type="http://schemas.openxmlformats.org/officeDocument/2006/relationships/printerSettings" Target="../printerSettings/printerSettings54.bin"/><Relationship Id="rId4" Type="http://schemas.openxmlformats.org/officeDocument/2006/relationships/table" Target="../tables/table153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5.xml"/><Relationship Id="rId2" Type="http://schemas.openxmlformats.org/officeDocument/2006/relationships/table" Target="../tables/table154.xml"/><Relationship Id="rId1" Type="http://schemas.openxmlformats.org/officeDocument/2006/relationships/printerSettings" Target="../printerSettings/printerSettings55.bin"/><Relationship Id="rId4" Type="http://schemas.openxmlformats.org/officeDocument/2006/relationships/table" Target="../tables/table1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8.xml"/><Relationship Id="rId2" Type="http://schemas.openxmlformats.org/officeDocument/2006/relationships/table" Target="../tables/table157.xml"/><Relationship Id="rId1" Type="http://schemas.openxmlformats.org/officeDocument/2006/relationships/printerSettings" Target="../printerSettings/printerSettings56.bin"/><Relationship Id="rId4" Type="http://schemas.openxmlformats.org/officeDocument/2006/relationships/table" Target="../tables/table159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1.xml"/><Relationship Id="rId2" Type="http://schemas.openxmlformats.org/officeDocument/2006/relationships/table" Target="../tables/table160.xml"/><Relationship Id="rId1" Type="http://schemas.openxmlformats.org/officeDocument/2006/relationships/printerSettings" Target="../printerSettings/printerSettings57.bin"/><Relationship Id="rId4" Type="http://schemas.openxmlformats.org/officeDocument/2006/relationships/table" Target="../tables/table162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4.xml"/><Relationship Id="rId2" Type="http://schemas.openxmlformats.org/officeDocument/2006/relationships/table" Target="../tables/table163.xml"/><Relationship Id="rId1" Type="http://schemas.openxmlformats.org/officeDocument/2006/relationships/printerSettings" Target="../printerSettings/printerSettings58.bin"/><Relationship Id="rId4" Type="http://schemas.openxmlformats.org/officeDocument/2006/relationships/table" Target="../tables/table16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7.xml"/><Relationship Id="rId2" Type="http://schemas.openxmlformats.org/officeDocument/2006/relationships/table" Target="../tables/table166.xml"/><Relationship Id="rId1" Type="http://schemas.openxmlformats.org/officeDocument/2006/relationships/printerSettings" Target="../printerSettings/printerSettings59.bin"/><Relationship Id="rId4" Type="http://schemas.openxmlformats.org/officeDocument/2006/relationships/table" Target="../tables/table168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0.xml"/><Relationship Id="rId2" Type="http://schemas.openxmlformats.org/officeDocument/2006/relationships/table" Target="../tables/table169.xml"/><Relationship Id="rId1" Type="http://schemas.openxmlformats.org/officeDocument/2006/relationships/printerSettings" Target="../printerSettings/printerSettings60.bin"/><Relationship Id="rId4" Type="http://schemas.openxmlformats.org/officeDocument/2006/relationships/table" Target="../tables/table17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3.xml"/><Relationship Id="rId2" Type="http://schemas.openxmlformats.org/officeDocument/2006/relationships/table" Target="../tables/table172.xml"/><Relationship Id="rId1" Type="http://schemas.openxmlformats.org/officeDocument/2006/relationships/printerSettings" Target="../printerSettings/printerSettings61.bin"/><Relationship Id="rId4" Type="http://schemas.openxmlformats.org/officeDocument/2006/relationships/table" Target="../tables/table174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6.xml"/><Relationship Id="rId2" Type="http://schemas.openxmlformats.org/officeDocument/2006/relationships/table" Target="../tables/table175.xml"/><Relationship Id="rId1" Type="http://schemas.openxmlformats.org/officeDocument/2006/relationships/printerSettings" Target="../printerSettings/printerSettings62.bin"/><Relationship Id="rId4" Type="http://schemas.openxmlformats.org/officeDocument/2006/relationships/table" Target="../tables/table177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9.xml"/><Relationship Id="rId2" Type="http://schemas.openxmlformats.org/officeDocument/2006/relationships/table" Target="../tables/table178.xml"/><Relationship Id="rId1" Type="http://schemas.openxmlformats.org/officeDocument/2006/relationships/printerSettings" Target="../printerSettings/printerSettings63.bin"/><Relationship Id="rId4" Type="http://schemas.openxmlformats.org/officeDocument/2006/relationships/table" Target="../tables/table180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2.xml"/><Relationship Id="rId2" Type="http://schemas.openxmlformats.org/officeDocument/2006/relationships/table" Target="../tables/table181.xml"/><Relationship Id="rId1" Type="http://schemas.openxmlformats.org/officeDocument/2006/relationships/printerSettings" Target="../printerSettings/printerSettings64.bin"/><Relationship Id="rId4" Type="http://schemas.openxmlformats.org/officeDocument/2006/relationships/table" Target="../tables/table183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5.xml"/><Relationship Id="rId2" Type="http://schemas.openxmlformats.org/officeDocument/2006/relationships/table" Target="../tables/table184.xml"/><Relationship Id="rId1" Type="http://schemas.openxmlformats.org/officeDocument/2006/relationships/printerSettings" Target="../printerSettings/printerSettings65.bin"/><Relationship Id="rId4" Type="http://schemas.openxmlformats.org/officeDocument/2006/relationships/table" Target="../tables/table186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8.xml"/><Relationship Id="rId2" Type="http://schemas.openxmlformats.org/officeDocument/2006/relationships/table" Target="../tables/table187.xml"/><Relationship Id="rId1" Type="http://schemas.openxmlformats.org/officeDocument/2006/relationships/printerSettings" Target="../printerSettings/printerSettings66.bin"/><Relationship Id="rId4" Type="http://schemas.openxmlformats.org/officeDocument/2006/relationships/table" Target="../tables/table189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1.xml"/><Relationship Id="rId2" Type="http://schemas.openxmlformats.org/officeDocument/2006/relationships/table" Target="../tables/table190.xml"/><Relationship Id="rId1" Type="http://schemas.openxmlformats.org/officeDocument/2006/relationships/printerSettings" Target="../printerSettings/printerSettings67.bin"/><Relationship Id="rId4" Type="http://schemas.openxmlformats.org/officeDocument/2006/relationships/table" Target="../tables/table192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4.xml"/><Relationship Id="rId2" Type="http://schemas.openxmlformats.org/officeDocument/2006/relationships/table" Target="../tables/table193.xml"/><Relationship Id="rId1" Type="http://schemas.openxmlformats.org/officeDocument/2006/relationships/printerSettings" Target="../printerSettings/printerSettings68.bin"/><Relationship Id="rId4" Type="http://schemas.openxmlformats.org/officeDocument/2006/relationships/table" Target="../tables/table19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9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7.xml"/><Relationship Id="rId2" Type="http://schemas.openxmlformats.org/officeDocument/2006/relationships/table" Target="../tables/table196.xml"/><Relationship Id="rId1" Type="http://schemas.openxmlformats.org/officeDocument/2006/relationships/printerSettings" Target="../printerSettings/printerSettings69.bin"/><Relationship Id="rId4" Type="http://schemas.openxmlformats.org/officeDocument/2006/relationships/table" Target="../tables/table198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0.xml"/><Relationship Id="rId2" Type="http://schemas.openxmlformats.org/officeDocument/2006/relationships/table" Target="../tables/table199.xml"/><Relationship Id="rId1" Type="http://schemas.openxmlformats.org/officeDocument/2006/relationships/printerSettings" Target="../printerSettings/printerSettings70.bin"/><Relationship Id="rId4" Type="http://schemas.openxmlformats.org/officeDocument/2006/relationships/table" Target="../tables/table201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3.xml"/><Relationship Id="rId2" Type="http://schemas.openxmlformats.org/officeDocument/2006/relationships/table" Target="../tables/table202.xml"/><Relationship Id="rId1" Type="http://schemas.openxmlformats.org/officeDocument/2006/relationships/printerSettings" Target="../printerSettings/printerSettings71.bin"/><Relationship Id="rId4" Type="http://schemas.openxmlformats.org/officeDocument/2006/relationships/table" Target="../tables/table204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6.xml"/><Relationship Id="rId2" Type="http://schemas.openxmlformats.org/officeDocument/2006/relationships/table" Target="../tables/table205.xml"/><Relationship Id="rId1" Type="http://schemas.openxmlformats.org/officeDocument/2006/relationships/printerSettings" Target="../printerSettings/printerSettings72.bin"/><Relationship Id="rId4" Type="http://schemas.openxmlformats.org/officeDocument/2006/relationships/table" Target="../tables/table207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9.xml"/><Relationship Id="rId2" Type="http://schemas.openxmlformats.org/officeDocument/2006/relationships/table" Target="../tables/table208.xml"/><Relationship Id="rId1" Type="http://schemas.openxmlformats.org/officeDocument/2006/relationships/printerSettings" Target="../printerSettings/printerSettings73.bin"/><Relationship Id="rId4" Type="http://schemas.openxmlformats.org/officeDocument/2006/relationships/table" Target="../tables/table210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2.xml"/><Relationship Id="rId2" Type="http://schemas.openxmlformats.org/officeDocument/2006/relationships/table" Target="../tables/table211.xml"/><Relationship Id="rId1" Type="http://schemas.openxmlformats.org/officeDocument/2006/relationships/printerSettings" Target="../printerSettings/printerSettings74.bin"/><Relationship Id="rId4" Type="http://schemas.openxmlformats.org/officeDocument/2006/relationships/table" Target="../tables/table213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5.xml"/><Relationship Id="rId2" Type="http://schemas.openxmlformats.org/officeDocument/2006/relationships/table" Target="../tables/table214.xml"/><Relationship Id="rId1" Type="http://schemas.openxmlformats.org/officeDocument/2006/relationships/printerSettings" Target="../printerSettings/printerSettings75.bin"/><Relationship Id="rId4" Type="http://schemas.openxmlformats.org/officeDocument/2006/relationships/table" Target="../tables/table216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8.xml"/><Relationship Id="rId2" Type="http://schemas.openxmlformats.org/officeDocument/2006/relationships/table" Target="../tables/table217.xml"/><Relationship Id="rId1" Type="http://schemas.openxmlformats.org/officeDocument/2006/relationships/printerSettings" Target="../printerSettings/printerSettings76.bin"/><Relationship Id="rId4" Type="http://schemas.openxmlformats.org/officeDocument/2006/relationships/table" Target="../tables/table219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1.xml"/><Relationship Id="rId2" Type="http://schemas.openxmlformats.org/officeDocument/2006/relationships/table" Target="../tables/table220.xml"/><Relationship Id="rId1" Type="http://schemas.openxmlformats.org/officeDocument/2006/relationships/printerSettings" Target="../printerSettings/printerSettings77.bin"/><Relationship Id="rId4" Type="http://schemas.openxmlformats.org/officeDocument/2006/relationships/table" Target="../tables/table222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4.xml"/><Relationship Id="rId2" Type="http://schemas.openxmlformats.org/officeDocument/2006/relationships/table" Target="../tables/table223.xml"/><Relationship Id="rId1" Type="http://schemas.openxmlformats.org/officeDocument/2006/relationships/printerSettings" Target="../printerSettings/printerSettings78.bin"/><Relationship Id="rId4" Type="http://schemas.openxmlformats.org/officeDocument/2006/relationships/table" Target="../tables/table22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12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7.xml"/><Relationship Id="rId2" Type="http://schemas.openxmlformats.org/officeDocument/2006/relationships/table" Target="../tables/table226.xml"/><Relationship Id="rId1" Type="http://schemas.openxmlformats.org/officeDocument/2006/relationships/printerSettings" Target="../printerSettings/printerSettings79.bin"/><Relationship Id="rId4" Type="http://schemas.openxmlformats.org/officeDocument/2006/relationships/table" Target="../tables/table228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0.xml"/><Relationship Id="rId2" Type="http://schemas.openxmlformats.org/officeDocument/2006/relationships/table" Target="../tables/table229.xml"/><Relationship Id="rId1" Type="http://schemas.openxmlformats.org/officeDocument/2006/relationships/printerSettings" Target="../printerSettings/printerSettings80.bin"/><Relationship Id="rId4" Type="http://schemas.openxmlformats.org/officeDocument/2006/relationships/table" Target="../tables/table231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3.xml"/><Relationship Id="rId2" Type="http://schemas.openxmlformats.org/officeDocument/2006/relationships/table" Target="../tables/table232.xml"/><Relationship Id="rId1" Type="http://schemas.openxmlformats.org/officeDocument/2006/relationships/printerSettings" Target="../printerSettings/printerSettings81.bin"/><Relationship Id="rId4" Type="http://schemas.openxmlformats.org/officeDocument/2006/relationships/table" Target="../tables/table234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6.xml"/><Relationship Id="rId2" Type="http://schemas.openxmlformats.org/officeDocument/2006/relationships/table" Target="../tables/table235.xml"/><Relationship Id="rId1" Type="http://schemas.openxmlformats.org/officeDocument/2006/relationships/printerSettings" Target="../printerSettings/printerSettings82.bin"/><Relationship Id="rId4" Type="http://schemas.openxmlformats.org/officeDocument/2006/relationships/table" Target="../tables/table237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9.xml"/><Relationship Id="rId2" Type="http://schemas.openxmlformats.org/officeDocument/2006/relationships/table" Target="../tables/table238.xml"/><Relationship Id="rId1" Type="http://schemas.openxmlformats.org/officeDocument/2006/relationships/printerSettings" Target="../printerSettings/printerSettings83.bin"/><Relationship Id="rId4" Type="http://schemas.openxmlformats.org/officeDocument/2006/relationships/table" Target="../tables/table240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2.xml"/><Relationship Id="rId2" Type="http://schemas.openxmlformats.org/officeDocument/2006/relationships/table" Target="../tables/table241.xml"/><Relationship Id="rId1" Type="http://schemas.openxmlformats.org/officeDocument/2006/relationships/printerSettings" Target="../printerSettings/printerSettings84.bin"/><Relationship Id="rId4" Type="http://schemas.openxmlformats.org/officeDocument/2006/relationships/table" Target="../tables/table243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5.xml"/><Relationship Id="rId2" Type="http://schemas.openxmlformats.org/officeDocument/2006/relationships/table" Target="../tables/table244.xml"/><Relationship Id="rId1" Type="http://schemas.openxmlformats.org/officeDocument/2006/relationships/printerSettings" Target="../printerSettings/printerSettings85.bin"/><Relationship Id="rId4" Type="http://schemas.openxmlformats.org/officeDocument/2006/relationships/table" Target="../tables/table246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8.xml"/><Relationship Id="rId2" Type="http://schemas.openxmlformats.org/officeDocument/2006/relationships/table" Target="../tables/table247.xml"/><Relationship Id="rId1" Type="http://schemas.openxmlformats.org/officeDocument/2006/relationships/printerSettings" Target="../printerSettings/printerSettings86.bin"/><Relationship Id="rId4" Type="http://schemas.openxmlformats.org/officeDocument/2006/relationships/table" Target="../tables/table249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1.xml"/><Relationship Id="rId2" Type="http://schemas.openxmlformats.org/officeDocument/2006/relationships/table" Target="../tables/table250.xml"/><Relationship Id="rId1" Type="http://schemas.openxmlformats.org/officeDocument/2006/relationships/printerSettings" Target="../printerSettings/printerSettings87.bin"/><Relationship Id="rId4" Type="http://schemas.openxmlformats.org/officeDocument/2006/relationships/table" Target="../tables/table252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4.xml"/><Relationship Id="rId2" Type="http://schemas.openxmlformats.org/officeDocument/2006/relationships/table" Target="../tables/table253.xml"/><Relationship Id="rId1" Type="http://schemas.openxmlformats.org/officeDocument/2006/relationships/printerSettings" Target="../printerSettings/printerSettings88.bin"/><Relationship Id="rId4" Type="http://schemas.openxmlformats.org/officeDocument/2006/relationships/table" Target="../tables/table25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5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7.xml"/><Relationship Id="rId2" Type="http://schemas.openxmlformats.org/officeDocument/2006/relationships/table" Target="../tables/table256.xml"/><Relationship Id="rId1" Type="http://schemas.openxmlformats.org/officeDocument/2006/relationships/printerSettings" Target="../printerSettings/printerSettings89.bin"/><Relationship Id="rId4" Type="http://schemas.openxmlformats.org/officeDocument/2006/relationships/table" Target="../tables/table258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0.xml"/><Relationship Id="rId2" Type="http://schemas.openxmlformats.org/officeDocument/2006/relationships/table" Target="../tables/table259.xml"/><Relationship Id="rId1" Type="http://schemas.openxmlformats.org/officeDocument/2006/relationships/printerSettings" Target="../printerSettings/printerSettings90.bin"/><Relationship Id="rId4" Type="http://schemas.openxmlformats.org/officeDocument/2006/relationships/table" Target="../tables/table261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3.xml"/><Relationship Id="rId2" Type="http://schemas.openxmlformats.org/officeDocument/2006/relationships/table" Target="../tables/table262.xml"/><Relationship Id="rId1" Type="http://schemas.openxmlformats.org/officeDocument/2006/relationships/printerSettings" Target="../printerSettings/printerSettings91.bin"/><Relationship Id="rId4" Type="http://schemas.openxmlformats.org/officeDocument/2006/relationships/table" Target="../tables/table264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6.xml"/><Relationship Id="rId2" Type="http://schemas.openxmlformats.org/officeDocument/2006/relationships/table" Target="../tables/table265.xml"/><Relationship Id="rId1" Type="http://schemas.openxmlformats.org/officeDocument/2006/relationships/printerSettings" Target="../printerSettings/printerSettings92.bin"/><Relationship Id="rId4" Type="http://schemas.openxmlformats.org/officeDocument/2006/relationships/table" Target="../tables/table267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9.xml"/><Relationship Id="rId2" Type="http://schemas.openxmlformats.org/officeDocument/2006/relationships/table" Target="../tables/table268.xml"/><Relationship Id="rId1" Type="http://schemas.openxmlformats.org/officeDocument/2006/relationships/printerSettings" Target="../printerSettings/printerSettings93.bin"/><Relationship Id="rId4" Type="http://schemas.openxmlformats.org/officeDocument/2006/relationships/table" Target="../tables/table270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2.xml"/><Relationship Id="rId2" Type="http://schemas.openxmlformats.org/officeDocument/2006/relationships/table" Target="../tables/table271.xml"/><Relationship Id="rId1" Type="http://schemas.openxmlformats.org/officeDocument/2006/relationships/printerSettings" Target="../printerSettings/printerSettings94.bin"/><Relationship Id="rId4" Type="http://schemas.openxmlformats.org/officeDocument/2006/relationships/table" Target="../tables/table273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5.xml"/><Relationship Id="rId2" Type="http://schemas.openxmlformats.org/officeDocument/2006/relationships/table" Target="../tables/table274.xml"/><Relationship Id="rId1" Type="http://schemas.openxmlformats.org/officeDocument/2006/relationships/printerSettings" Target="../printerSettings/printerSettings95.bin"/><Relationship Id="rId4" Type="http://schemas.openxmlformats.org/officeDocument/2006/relationships/table" Target="../tables/table276.xm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8.xml"/><Relationship Id="rId2" Type="http://schemas.openxmlformats.org/officeDocument/2006/relationships/table" Target="../tables/table277.xml"/><Relationship Id="rId1" Type="http://schemas.openxmlformats.org/officeDocument/2006/relationships/printerSettings" Target="../printerSettings/printerSettings96.bin"/><Relationship Id="rId4" Type="http://schemas.openxmlformats.org/officeDocument/2006/relationships/table" Target="../tables/table279.xm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1.xml"/><Relationship Id="rId2" Type="http://schemas.openxmlformats.org/officeDocument/2006/relationships/table" Target="../tables/table280.xml"/><Relationship Id="rId1" Type="http://schemas.openxmlformats.org/officeDocument/2006/relationships/printerSettings" Target="../printerSettings/printerSettings97.bin"/><Relationship Id="rId4" Type="http://schemas.openxmlformats.org/officeDocument/2006/relationships/table" Target="../tables/table282.xm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4.xml"/><Relationship Id="rId2" Type="http://schemas.openxmlformats.org/officeDocument/2006/relationships/table" Target="../tables/table283.xml"/><Relationship Id="rId1" Type="http://schemas.openxmlformats.org/officeDocument/2006/relationships/printerSettings" Target="../printerSettings/printerSettings98.bin"/><Relationship Id="rId4" Type="http://schemas.openxmlformats.org/officeDocument/2006/relationships/table" Target="../tables/table28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177F3-19E7-4CF7-8C1A-9249FC851587}">
  <dimension ref="A1:B194"/>
  <sheetViews>
    <sheetView tabSelected="1" workbookViewId="0"/>
  </sheetViews>
  <sheetFormatPr defaultRowHeight="13.2" x14ac:dyDescent="0.2"/>
  <sheetData>
    <row r="1" spans="1:2" x14ac:dyDescent="0.2">
      <c r="A1" t="s">
        <v>912</v>
      </c>
    </row>
    <row r="2" spans="1:2" x14ac:dyDescent="0.2">
      <c r="B2" s="13" t="s">
        <v>528</v>
      </c>
    </row>
    <row r="3" spans="1:2" x14ac:dyDescent="0.2">
      <c r="B3" s="13" t="s">
        <v>287</v>
      </c>
    </row>
    <row r="4" spans="1:2" x14ac:dyDescent="0.2">
      <c r="B4" s="13" t="s">
        <v>526</v>
      </c>
    </row>
    <row r="5" spans="1:2" x14ac:dyDescent="0.2">
      <c r="B5" s="13" t="s">
        <v>722</v>
      </c>
    </row>
    <row r="6" spans="1:2" x14ac:dyDescent="0.2">
      <c r="B6" s="13" t="s">
        <v>723</v>
      </c>
    </row>
    <row r="7" spans="1:2" x14ac:dyDescent="0.2">
      <c r="B7" s="13" t="s">
        <v>724</v>
      </c>
    </row>
    <row r="8" spans="1:2" x14ac:dyDescent="0.2">
      <c r="B8" s="13" t="s">
        <v>725</v>
      </c>
    </row>
    <row r="9" spans="1:2" x14ac:dyDescent="0.2">
      <c r="B9" s="13" t="s">
        <v>726</v>
      </c>
    </row>
    <row r="10" spans="1:2" x14ac:dyDescent="0.2">
      <c r="B10" s="13" t="s">
        <v>727</v>
      </c>
    </row>
    <row r="11" spans="1:2" x14ac:dyDescent="0.2">
      <c r="B11" s="13" t="s">
        <v>728</v>
      </c>
    </row>
    <row r="12" spans="1:2" x14ac:dyDescent="0.2">
      <c r="B12" s="13" t="s">
        <v>729</v>
      </c>
    </row>
    <row r="13" spans="1:2" x14ac:dyDescent="0.2">
      <c r="B13" s="13" t="s">
        <v>730</v>
      </c>
    </row>
    <row r="14" spans="1:2" x14ac:dyDescent="0.2">
      <c r="B14" s="13" t="s">
        <v>731</v>
      </c>
    </row>
    <row r="15" spans="1:2" x14ac:dyDescent="0.2">
      <c r="B15" s="13" t="s">
        <v>732</v>
      </c>
    </row>
    <row r="16" spans="1:2" x14ac:dyDescent="0.2">
      <c r="B16" s="13" t="s">
        <v>733</v>
      </c>
    </row>
    <row r="17" spans="2:2" x14ac:dyDescent="0.2">
      <c r="B17" s="13" t="s">
        <v>734</v>
      </c>
    </row>
    <row r="18" spans="2:2" x14ac:dyDescent="0.2">
      <c r="B18" s="13" t="s">
        <v>735</v>
      </c>
    </row>
    <row r="19" spans="2:2" x14ac:dyDescent="0.2">
      <c r="B19" s="13" t="s">
        <v>736</v>
      </c>
    </row>
    <row r="20" spans="2:2" x14ac:dyDescent="0.2">
      <c r="B20" s="13" t="s">
        <v>737</v>
      </c>
    </row>
    <row r="21" spans="2:2" x14ac:dyDescent="0.2">
      <c r="B21" s="13" t="s">
        <v>738</v>
      </c>
    </row>
    <row r="22" spans="2:2" x14ac:dyDescent="0.2">
      <c r="B22" s="13" t="s">
        <v>739</v>
      </c>
    </row>
    <row r="23" spans="2:2" x14ac:dyDescent="0.2">
      <c r="B23" s="13" t="s">
        <v>740</v>
      </c>
    </row>
    <row r="24" spans="2:2" x14ac:dyDescent="0.2">
      <c r="B24" s="13" t="s">
        <v>741</v>
      </c>
    </row>
    <row r="25" spans="2:2" x14ac:dyDescent="0.2">
      <c r="B25" s="13" t="s">
        <v>742</v>
      </c>
    </row>
    <row r="26" spans="2:2" x14ac:dyDescent="0.2">
      <c r="B26" s="13" t="s">
        <v>743</v>
      </c>
    </row>
    <row r="27" spans="2:2" x14ac:dyDescent="0.2">
      <c r="B27" s="13" t="s">
        <v>744</v>
      </c>
    </row>
    <row r="28" spans="2:2" x14ac:dyDescent="0.2">
      <c r="B28" s="13" t="s">
        <v>745</v>
      </c>
    </row>
    <row r="29" spans="2:2" x14ac:dyDescent="0.2">
      <c r="B29" s="13" t="s">
        <v>746</v>
      </c>
    </row>
    <row r="30" spans="2:2" x14ac:dyDescent="0.2">
      <c r="B30" s="13" t="s">
        <v>747</v>
      </c>
    </row>
    <row r="31" spans="2:2" x14ac:dyDescent="0.2">
      <c r="B31" s="13" t="s">
        <v>748</v>
      </c>
    </row>
    <row r="32" spans="2:2" x14ac:dyDescent="0.2">
      <c r="B32" s="13" t="s">
        <v>749</v>
      </c>
    </row>
    <row r="33" spans="2:2" x14ac:dyDescent="0.2">
      <c r="B33" s="13" t="s">
        <v>750</v>
      </c>
    </row>
    <row r="34" spans="2:2" x14ac:dyDescent="0.2">
      <c r="B34" s="13" t="s">
        <v>751</v>
      </c>
    </row>
    <row r="35" spans="2:2" x14ac:dyDescent="0.2">
      <c r="B35" s="13" t="s">
        <v>752</v>
      </c>
    </row>
    <row r="36" spans="2:2" x14ac:dyDescent="0.2">
      <c r="B36" s="13" t="s">
        <v>753</v>
      </c>
    </row>
    <row r="37" spans="2:2" x14ac:dyDescent="0.2">
      <c r="B37" s="13" t="s">
        <v>754</v>
      </c>
    </row>
    <row r="38" spans="2:2" x14ac:dyDescent="0.2">
      <c r="B38" s="13" t="s">
        <v>755</v>
      </c>
    </row>
    <row r="39" spans="2:2" x14ac:dyDescent="0.2">
      <c r="B39" s="13" t="s">
        <v>756</v>
      </c>
    </row>
    <row r="40" spans="2:2" x14ac:dyDescent="0.2">
      <c r="B40" s="13" t="s">
        <v>757</v>
      </c>
    </row>
    <row r="41" spans="2:2" x14ac:dyDescent="0.2">
      <c r="B41" s="13" t="s">
        <v>758</v>
      </c>
    </row>
    <row r="42" spans="2:2" x14ac:dyDescent="0.2">
      <c r="B42" s="13" t="s">
        <v>759</v>
      </c>
    </row>
    <row r="43" spans="2:2" x14ac:dyDescent="0.2">
      <c r="B43" s="13" t="s">
        <v>760</v>
      </c>
    </row>
    <row r="44" spans="2:2" x14ac:dyDescent="0.2">
      <c r="B44" s="13" t="s">
        <v>761</v>
      </c>
    </row>
    <row r="45" spans="2:2" x14ac:dyDescent="0.2">
      <c r="B45" s="13" t="s">
        <v>762</v>
      </c>
    </row>
    <row r="46" spans="2:2" x14ac:dyDescent="0.2">
      <c r="B46" s="13" t="s">
        <v>763</v>
      </c>
    </row>
    <row r="47" spans="2:2" x14ac:dyDescent="0.2">
      <c r="B47" s="13" t="s">
        <v>764</v>
      </c>
    </row>
    <row r="48" spans="2:2" x14ac:dyDescent="0.2">
      <c r="B48" s="13" t="s">
        <v>765</v>
      </c>
    </row>
    <row r="49" spans="2:2" x14ac:dyDescent="0.2">
      <c r="B49" s="13" t="s">
        <v>766</v>
      </c>
    </row>
    <row r="50" spans="2:2" x14ac:dyDescent="0.2">
      <c r="B50" s="13" t="s">
        <v>767</v>
      </c>
    </row>
    <row r="51" spans="2:2" x14ac:dyDescent="0.2">
      <c r="B51" s="13" t="s">
        <v>768</v>
      </c>
    </row>
    <row r="52" spans="2:2" x14ac:dyDescent="0.2">
      <c r="B52" s="13" t="s">
        <v>769</v>
      </c>
    </row>
    <row r="53" spans="2:2" x14ac:dyDescent="0.2">
      <c r="B53" s="13" t="s">
        <v>770</v>
      </c>
    </row>
    <row r="54" spans="2:2" x14ac:dyDescent="0.2">
      <c r="B54" s="13" t="s">
        <v>771</v>
      </c>
    </row>
    <row r="55" spans="2:2" x14ac:dyDescent="0.2">
      <c r="B55" s="13" t="s">
        <v>772</v>
      </c>
    </row>
    <row r="56" spans="2:2" x14ac:dyDescent="0.2">
      <c r="B56" s="13" t="s">
        <v>773</v>
      </c>
    </row>
    <row r="57" spans="2:2" x14ac:dyDescent="0.2">
      <c r="B57" s="13" t="s">
        <v>774</v>
      </c>
    </row>
    <row r="58" spans="2:2" x14ac:dyDescent="0.2">
      <c r="B58" s="13" t="s">
        <v>775</v>
      </c>
    </row>
    <row r="59" spans="2:2" x14ac:dyDescent="0.2">
      <c r="B59" s="13" t="s">
        <v>776</v>
      </c>
    </row>
    <row r="60" spans="2:2" x14ac:dyDescent="0.2">
      <c r="B60" s="13" t="s">
        <v>777</v>
      </c>
    </row>
    <row r="61" spans="2:2" x14ac:dyDescent="0.2">
      <c r="B61" s="13" t="s">
        <v>778</v>
      </c>
    </row>
    <row r="62" spans="2:2" x14ac:dyDescent="0.2">
      <c r="B62" s="13" t="s">
        <v>779</v>
      </c>
    </row>
    <row r="63" spans="2:2" x14ac:dyDescent="0.2">
      <c r="B63" s="13" t="s">
        <v>780</v>
      </c>
    </row>
    <row r="64" spans="2:2" x14ac:dyDescent="0.2">
      <c r="B64" s="13" t="s">
        <v>781</v>
      </c>
    </row>
    <row r="65" spans="2:2" x14ac:dyDescent="0.2">
      <c r="B65" s="13" t="s">
        <v>782</v>
      </c>
    </row>
    <row r="66" spans="2:2" x14ac:dyDescent="0.2">
      <c r="B66" s="13" t="s">
        <v>783</v>
      </c>
    </row>
    <row r="67" spans="2:2" x14ac:dyDescent="0.2">
      <c r="B67" s="13" t="s">
        <v>784</v>
      </c>
    </row>
    <row r="68" spans="2:2" x14ac:dyDescent="0.2">
      <c r="B68" s="13" t="s">
        <v>785</v>
      </c>
    </row>
    <row r="69" spans="2:2" x14ac:dyDescent="0.2">
      <c r="B69" s="13" t="s">
        <v>786</v>
      </c>
    </row>
    <row r="70" spans="2:2" x14ac:dyDescent="0.2">
      <c r="B70" s="13" t="s">
        <v>787</v>
      </c>
    </row>
    <row r="71" spans="2:2" x14ac:dyDescent="0.2">
      <c r="B71" s="13" t="s">
        <v>788</v>
      </c>
    </row>
    <row r="72" spans="2:2" x14ac:dyDescent="0.2">
      <c r="B72" s="13" t="s">
        <v>789</v>
      </c>
    </row>
    <row r="73" spans="2:2" x14ac:dyDescent="0.2">
      <c r="B73" s="13" t="s">
        <v>790</v>
      </c>
    </row>
    <row r="74" spans="2:2" x14ac:dyDescent="0.2">
      <c r="B74" s="13" t="s">
        <v>791</v>
      </c>
    </row>
    <row r="75" spans="2:2" x14ac:dyDescent="0.2">
      <c r="B75" s="13" t="s">
        <v>792</v>
      </c>
    </row>
    <row r="76" spans="2:2" x14ac:dyDescent="0.2">
      <c r="B76" s="13" t="s">
        <v>793</v>
      </c>
    </row>
    <row r="77" spans="2:2" x14ac:dyDescent="0.2">
      <c r="B77" s="13" t="s">
        <v>794</v>
      </c>
    </row>
    <row r="78" spans="2:2" x14ac:dyDescent="0.2">
      <c r="B78" s="13" t="s">
        <v>795</v>
      </c>
    </row>
    <row r="79" spans="2:2" x14ac:dyDescent="0.2">
      <c r="B79" s="13" t="s">
        <v>796</v>
      </c>
    </row>
    <row r="80" spans="2:2" x14ac:dyDescent="0.2">
      <c r="B80" s="13" t="s">
        <v>797</v>
      </c>
    </row>
    <row r="81" spans="2:2" x14ac:dyDescent="0.2">
      <c r="B81" s="13" t="s">
        <v>798</v>
      </c>
    </row>
    <row r="82" spans="2:2" x14ac:dyDescent="0.2">
      <c r="B82" s="13" t="s">
        <v>799</v>
      </c>
    </row>
    <row r="83" spans="2:2" x14ac:dyDescent="0.2">
      <c r="B83" s="13" t="s">
        <v>800</v>
      </c>
    </row>
    <row r="84" spans="2:2" x14ac:dyDescent="0.2">
      <c r="B84" s="13" t="s">
        <v>801</v>
      </c>
    </row>
    <row r="85" spans="2:2" x14ac:dyDescent="0.2">
      <c r="B85" s="13" t="s">
        <v>802</v>
      </c>
    </row>
    <row r="86" spans="2:2" x14ac:dyDescent="0.2">
      <c r="B86" s="13" t="s">
        <v>803</v>
      </c>
    </row>
    <row r="87" spans="2:2" x14ac:dyDescent="0.2">
      <c r="B87" s="13" t="s">
        <v>804</v>
      </c>
    </row>
    <row r="88" spans="2:2" x14ac:dyDescent="0.2">
      <c r="B88" s="13" t="s">
        <v>805</v>
      </c>
    </row>
    <row r="89" spans="2:2" x14ac:dyDescent="0.2">
      <c r="B89" s="13" t="s">
        <v>806</v>
      </c>
    </row>
    <row r="90" spans="2:2" x14ac:dyDescent="0.2">
      <c r="B90" s="13" t="s">
        <v>807</v>
      </c>
    </row>
    <row r="91" spans="2:2" x14ac:dyDescent="0.2">
      <c r="B91" s="13" t="s">
        <v>808</v>
      </c>
    </row>
    <row r="92" spans="2:2" x14ac:dyDescent="0.2">
      <c r="B92" s="13" t="s">
        <v>809</v>
      </c>
    </row>
    <row r="93" spans="2:2" x14ac:dyDescent="0.2">
      <c r="B93" s="13" t="s">
        <v>810</v>
      </c>
    </row>
    <row r="94" spans="2:2" x14ac:dyDescent="0.2">
      <c r="B94" s="13" t="s">
        <v>811</v>
      </c>
    </row>
    <row r="95" spans="2:2" x14ac:dyDescent="0.2">
      <c r="B95" s="13" t="s">
        <v>812</v>
      </c>
    </row>
    <row r="96" spans="2:2" x14ac:dyDescent="0.2">
      <c r="B96" s="13" t="s">
        <v>813</v>
      </c>
    </row>
    <row r="97" spans="2:2" x14ac:dyDescent="0.2">
      <c r="B97" s="13" t="s">
        <v>814</v>
      </c>
    </row>
    <row r="98" spans="2:2" x14ac:dyDescent="0.2">
      <c r="B98" s="13" t="s">
        <v>815</v>
      </c>
    </row>
    <row r="99" spans="2:2" x14ac:dyDescent="0.2">
      <c r="B99" s="13" t="s">
        <v>816</v>
      </c>
    </row>
    <row r="100" spans="2:2" x14ac:dyDescent="0.2">
      <c r="B100" s="13" t="s">
        <v>817</v>
      </c>
    </row>
    <row r="101" spans="2:2" x14ac:dyDescent="0.2">
      <c r="B101" s="13" t="s">
        <v>818</v>
      </c>
    </row>
    <row r="102" spans="2:2" x14ac:dyDescent="0.2">
      <c r="B102" s="13" t="s">
        <v>819</v>
      </c>
    </row>
    <row r="103" spans="2:2" x14ac:dyDescent="0.2">
      <c r="B103" s="13" t="s">
        <v>820</v>
      </c>
    </row>
    <row r="104" spans="2:2" x14ac:dyDescent="0.2">
      <c r="B104" s="13" t="s">
        <v>821</v>
      </c>
    </row>
    <row r="105" spans="2:2" x14ac:dyDescent="0.2">
      <c r="B105" s="13" t="s">
        <v>822</v>
      </c>
    </row>
    <row r="106" spans="2:2" x14ac:dyDescent="0.2">
      <c r="B106" s="13" t="s">
        <v>823</v>
      </c>
    </row>
    <row r="107" spans="2:2" x14ac:dyDescent="0.2">
      <c r="B107" s="13" t="s">
        <v>824</v>
      </c>
    </row>
    <row r="108" spans="2:2" x14ac:dyDescent="0.2">
      <c r="B108" s="13" t="s">
        <v>825</v>
      </c>
    </row>
    <row r="109" spans="2:2" x14ac:dyDescent="0.2">
      <c r="B109" s="13" t="s">
        <v>826</v>
      </c>
    </row>
    <row r="110" spans="2:2" x14ac:dyDescent="0.2">
      <c r="B110" s="13" t="s">
        <v>827</v>
      </c>
    </row>
    <row r="111" spans="2:2" x14ac:dyDescent="0.2">
      <c r="B111" s="13" t="s">
        <v>828</v>
      </c>
    </row>
    <row r="112" spans="2:2" x14ac:dyDescent="0.2">
      <c r="B112" s="13" t="s">
        <v>829</v>
      </c>
    </row>
    <row r="113" spans="2:2" x14ac:dyDescent="0.2">
      <c r="B113" s="13" t="s">
        <v>830</v>
      </c>
    </row>
    <row r="114" spans="2:2" x14ac:dyDescent="0.2">
      <c r="B114" s="13" t="s">
        <v>831</v>
      </c>
    </row>
    <row r="115" spans="2:2" x14ac:dyDescent="0.2">
      <c r="B115" s="13" t="s">
        <v>832</v>
      </c>
    </row>
    <row r="116" spans="2:2" x14ac:dyDescent="0.2">
      <c r="B116" s="13" t="s">
        <v>833</v>
      </c>
    </row>
    <row r="117" spans="2:2" x14ac:dyDescent="0.2">
      <c r="B117" s="13" t="s">
        <v>834</v>
      </c>
    </row>
    <row r="118" spans="2:2" x14ac:dyDescent="0.2">
      <c r="B118" s="13" t="s">
        <v>835</v>
      </c>
    </row>
    <row r="119" spans="2:2" x14ac:dyDescent="0.2">
      <c r="B119" s="13" t="s">
        <v>836</v>
      </c>
    </row>
    <row r="120" spans="2:2" x14ac:dyDescent="0.2">
      <c r="B120" s="13" t="s">
        <v>837</v>
      </c>
    </row>
    <row r="121" spans="2:2" x14ac:dyDescent="0.2">
      <c r="B121" s="13" t="s">
        <v>838</v>
      </c>
    </row>
    <row r="122" spans="2:2" x14ac:dyDescent="0.2">
      <c r="B122" s="13" t="s">
        <v>839</v>
      </c>
    </row>
    <row r="123" spans="2:2" x14ac:dyDescent="0.2">
      <c r="B123" s="13" t="s">
        <v>840</v>
      </c>
    </row>
    <row r="124" spans="2:2" x14ac:dyDescent="0.2">
      <c r="B124" s="13" t="s">
        <v>841</v>
      </c>
    </row>
    <row r="125" spans="2:2" x14ac:dyDescent="0.2">
      <c r="B125" s="13" t="s">
        <v>842</v>
      </c>
    </row>
    <row r="126" spans="2:2" x14ac:dyDescent="0.2">
      <c r="B126" s="13" t="s">
        <v>843</v>
      </c>
    </row>
    <row r="127" spans="2:2" x14ac:dyDescent="0.2">
      <c r="B127" s="13" t="s">
        <v>844</v>
      </c>
    </row>
    <row r="128" spans="2:2" x14ac:dyDescent="0.2">
      <c r="B128" s="13" t="s">
        <v>845</v>
      </c>
    </row>
    <row r="129" spans="2:2" x14ac:dyDescent="0.2">
      <c r="B129" s="13" t="s">
        <v>846</v>
      </c>
    </row>
    <row r="130" spans="2:2" x14ac:dyDescent="0.2">
      <c r="B130" s="13" t="s">
        <v>847</v>
      </c>
    </row>
    <row r="131" spans="2:2" x14ac:dyDescent="0.2">
      <c r="B131" s="13" t="s">
        <v>848</v>
      </c>
    </row>
    <row r="132" spans="2:2" x14ac:dyDescent="0.2">
      <c r="B132" s="13" t="s">
        <v>849</v>
      </c>
    </row>
    <row r="133" spans="2:2" x14ac:dyDescent="0.2">
      <c r="B133" s="13" t="s">
        <v>850</v>
      </c>
    </row>
    <row r="134" spans="2:2" x14ac:dyDescent="0.2">
      <c r="B134" s="13" t="s">
        <v>851</v>
      </c>
    </row>
    <row r="135" spans="2:2" x14ac:dyDescent="0.2">
      <c r="B135" s="13" t="s">
        <v>852</v>
      </c>
    </row>
    <row r="136" spans="2:2" x14ac:dyDescent="0.2">
      <c r="B136" s="13" t="s">
        <v>853</v>
      </c>
    </row>
    <row r="137" spans="2:2" x14ac:dyDescent="0.2">
      <c r="B137" s="13" t="s">
        <v>854</v>
      </c>
    </row>
    <row r="138" spans="2:2" x14ac:dyDescent="0.2">
      <c r="B138" s="13" t="s">
        <v>855</v>
      </c>
    </row>
    <row r="139" spans="2:2" x14ac:dyDescent="0.2">
      <c r="B139" s="13" t="s">
        <v>856</v>
      </c>
    </row>
    <row r="140" spans="2:2" x14ac:dyDescent="0.2">
      <c r="B140" s="13" t="s">
        <v>857</v>
      </c>
    </row>
    <row r="141" spans="2:2" x14ac:dyDescent="0.2">
      <c r="B141" s="13" t="s">
        <v>858</v>
      </c>
    </row>
    <row r="142" spans="2:2" x14ac:dyDescent="0.2">
      <c r="B142" s="13" t="s">
        <v>859</v>
      </c>
    </row>
    <row r="143" spans="2:2" x14ac:dyDescent="0.2">
      <c r="B143" s="13" t="s">
        <v>860</v>
      </c>
    </row>
    <row r="144" spans="2:2" x14ac:dyDescent="0.2">
      <c r="B144" s="13" t="s">
        <v>861</v>
      </c>
    </row>
    <row r="145" spans="2:2" x14ac:dyDescent="0.2">
      <c r="B145" s="13" t="s">
        <v>862</v>
      </c>
    </row>
    <row r="146" spans="2:2" x14ac:dyDescent="0.2">
      <c r="B146" s="13" t="s">
        <v>863</v>
      </c>
    </row>
    <row r="147" spans="2:2" x14ac:dyDescent="0.2">
      <c r="B147" s="13" t="s">
        <v>864</v>
      </c>
    </row>
    <row r="148" spans="2:2" x14ac:dyDescent="0.2">
      <c r="B148" s="13" t="s">
        <v>865</v>
      </c>
    </row>
    <row r="149" spans="2:2" x14ac:dyDescent="0.2">
      <c r="B149" s="13" t="s">
        <v>866</v>
      </c>
    </row>
    <row r="150" spans="2:2" x14ac:dyDescent="0.2">
      <c r="B150" s="13" t="s">
        <v>867</v>
      </c>
    </row>
    <row r="151" spans="2:2" x14ac:dyDescent="0.2">
      <c r="B151" s="13" t="s">
        <v>868</v>
      </c>
    </row>
    <row r="152" spans="2:2" x14ac:dyDescent="0.2">
      <c r="B152" s="13" t="s">
        <v>869</v>
      </c>
    </row>
    <row r="153" spans="2:2" x14ac:dyDescent="0.2">
      <c r="B153" s="13" t="s">
        <v>870</v>
      </c>
    </row>
    <row r="154" spans="2:2" x14ac:dyDescent="0.2">
      <c r="B154" s="13" t="s">
        <v>871</v>
      </c>
    </row>
    <row r="155" spans="2:2" x14ac:dyDescent="0.2">
      <c r="B155" s="13" t="s">
        <v>872</v>
      </c>
    </row>
    <row r="156" spans="2:2" x14ac:dyDescent="0.2">
      <c r="B156" s="13" t="s">
        <v>873</v>
      </c>
    </row>
    <row r="157" spans="2:2" x14ac:dyDescent="0.2">
      <c r="B157" s="13" t="s">
        <v>874</v>
      </c>
    </row>
    <row r="158" spans="2:2" x14ac:dyDescent="0.2">
      <c r="B158" s="13" t="s">
        <v>875</v>
      </c>
    </row>
    <row r="159" spans="2:2" x14ac:dyDescent="0.2">
      <c r="B159" s="13" t="s">
        <v>876</v>
      </c>
    </row>
    <row r="160" spans="2:2" x14ac:dyDescent="0.2">
      <c r="B160" s="13" t="s">
        <v>877</v>
      </c>
    </row>
    <row r="161" spans="2:2" x14ac:dyDescent="0.2">
      <c r="B161" s="13" t="s">
        <v>878</v>
      </c>
    </row>
    <row r="162" spans="2:2" x14ac:dyDescent="0.2">
      <c r="B162" s="13" t="s">
        <v>879</v>
      </c>
    </row>
    <row r="163" spans="2:2" x14ac:dyDescent="0.2">
      <c r="B163" s="13" t="s">
        <v>880</v>
      </c>
    </row>
    <row r="164" spans="2:2" x14ac:dyDescent="0.2">
      <c r="B164" s="13" t="s">
        <v>881</v>
      </c>
    </row>
    <row r="165" spans="2:2" x14ac:dyDescent="0.2">
      <c r="B165" s="13" t="s">
        <v>882</v>
      </c>
    </row>
    <row r="166" spans="2:2" x14ac:dyDescent="0.2">
      <c r="B166" s="13" t="s">
        <v>883</v>
      </c>
    </row>
    <row r="167" spans="2:2" x14ac:dyDescent="0.2">
      <c r="B167" s="13" t="s">
        <v>884</v>
      </c>
    </row>
    <row r="168" spans="2:2" x14ac:dyDescent="0.2">
      <c r="B168" s="13" t="s">
        <v>885</v>
      </c>
    </row>
    <row r="169" spans="2:2" x14ac:dyDescent="0.2">
      <c r="B169" s="13" t="s">
        <v>886</v>
      </c>
    </row>
    <row r="170" spans="2:2" x14ac:dyDescent="0.2">
      <c r="B170" s="13" t="s">
        <v>887</v>
      </c>
    </row>
    <row r="171" spans="2:2" x14ac:dyDescent="0.2">
      <c r="B171" s="13" t="s">
        <v>888</v>
      </c>
    </row>
    <row r="172" spans="2:2" x14ac:dyDescent="0.2">
      <c r="B172" s="13" t="s">
        <v>889</v>
      </c>
    </row>
    <row r="173" spans="2:2" x14ac:dyDescent="0.2">
      <c r="B173" s="13" t="s">
        <v>890</v>
      </c>
    </row>
    <row r="174" spans="2:2" x14ac:dyDescent="0.2">
      <c r="B174" s="13" t="s">
        <v>891</v>
      </c>
    </row>
    <row r="175" spans="2:2" x14ac:dyDescent="0.2">
      <c r="B175" s="13" t="s">
        <v>892</v>
      </c>
    </row>
    <row r="176" spans="2:2" x14ac:dyDescent="0.2">
      <c r="B176" s="13" t="s">
        <v>893</v>
      </c>
    </row>
    <row r="177" spans="2:2" x14ac:dyDescent="0.2">
      <c r="B177" s="13" t="s">
        <v>894</v>
      </c>
    </row>
    <row r="178" spans="2:2" x14ac:dyDescent="0.2">
      <c r="B178" s="13" t="s">
        <v>895</v>
      </c>
    </row>
    <row r="179" spans="2:2" x14ac:dyDescent="0.2">
      <c r="B179" s="13" t="s">
        <v>896</v>
      </c>
    </row>
    <row r="180" spans="2:2" x14ac:dyDescent="0.2">
      <c r="B180" s="13" t="s">
        <v>897</v>
      </c>
    </row>
    <row r="181" spans="2:2" x14ac:dyDescent="0.2">
      <c r="B181" s="13" t="s">
        <v>898</v>
      </c>
    </row>
    <row r="182" spans="2:2" x14ac:dyDescent="0.2">
      <c r="B182" s="13" t="s">
        <v>899</v>
      </c>
    </row>
    <row r="183" spans="2:2" x14ac:dyDescent="0.2">
      <c r="B183" s="13" t="s">
        <v>900</v>
      </c>
    </row>
    <row r="184" spans="2:2" x14ac:dyDescent="0.2">
      <c r="B184" s="13" t="s">
        <v>901</v>
      </c>
    </row>
    <row r="185" spans="2:2" x14ac:dyDescent="0.2">
      <c r="B185" s="13" t="s">
        <v>902</v>
      </c>
    </row>
    <row r="186" spans="2:2" x14ac:dyDescent="0.2">
      <c r="B186" s="13" t="s">
        <v>903</v>
      </c>
    </row>
    <row r="187" spans="2:2" x14ac:dyDescent="0.2">
      <c r="B187" s="13" t="s">
        <v>904</v>
      </c>
    </row>
    <row r="188" spans="2:2" x14ac:dyDescent="0.2">
      <c r="B188" s="13" t="s">
        <v>905</v>
      </c>
    </row>
    <row r="189" spans="2:2" x14ac:dyDescent="0.2">
      <c r="B189" s="13" t="s">
        <v>906</v>
      </c>
    </row>
    <row r="190" spans="2:2" x14ac:dyDescent="0.2">
      <c r="B190" s="13" t="s">
        <v>907</v>
      </c>
    </row>
    <row r="191" spans="2:2" x14ac:dyDescent="0.2">
      <c r="B191" s="13" t="s">
        <v>908</v>
      </c>
    </row>
    <row r="192" spans="2:2" x14ac:dyDescent="0.2">
      <c r="B192" s="13" t="s">
        <v>909</v>
      </c>
    </row>
    <row r="193" spans="2:2" x14ac:dyDescent="0.2">
      <c r="B193" s="13" t="s">
        <v>910</v>
      </c>
    </row>
    <row r="194" spans="2:2" x14ac:dyDescent="0.2">
      <c r="B194" s="13" t="s">
        <v>911</v>
      </c>
    </row>
  </sheetData>
  <phoneticPr fontId="1"/>
  <hyperlinks>
    <hyperlink ref="B2" location="'産業大分類'!a1" display="産業大分類" xr:uid="{D0C15C6F-7852-44BA-BE93-560CC8ECAA4B}"/>
    <hyperlink ref="B3" location="'産業中分類'!a1" display="産業中分類" xr:uid="{5EE56544-42EA-49D3-97ED-EC2FFD66AB80}"/>
    <hyperlink ref="B4" location="'産業小分類'!a1" display="産業小分類" xr:uid="{44A5883A-4061-4CE8-B81E-69BC26C4531F}"/>
    <hyperlink ref="B5" location="'北海道'!a1" display="北海道" xr:uid="{630E7554-240D-41CE-B470-893109A5FD02}"/>
    <hyperlink ref="B6" location="'札幌市'!a1" display="札幌市" xr:uid="{31CE274E-7BF8-47D2-8C7A-5CE787AA4AA3}"/>
    <hyperlink ref="B7" location="'札幌市中央区'!a1" display="札幌市中央区" xr:uid="{539EBA5C-8300-41CD-B927-14D2F1F1DB9F}"/>
    <hyperlink ref="B8" location="'札幌市北区'!a1" display="札幌市北区" xr:uid="{9FB9F79A-044C-41EA-B6D9-D7FF6FA6BE4A}"/>
    <hyperlink ref="B9" location="'札幌市東区'!a1" display="札幌市東区" xr:uid="{E18FF6F8-2C0D-42BB-83E6-2929FF2FF60F}"/>
    <hyperlink ref="B10" location="'札幌市白石区'!a1" display="札幌市白石区" xr:uid="{EF3EC0CA-8F0D-4147-A106-3241346A062D}"/>
    <hyperlink ref="B11" location="'札幌市豊平区'!a1" display="札幌市豊平区" xr:uid="{6B25D4EC-74D4-43EF-80D9-C2FD4356D5EB}"/>
    <hyperlink ref="B12" location="'札幌市南区'!a1" display="札幌市南区" xr:uid="{E6BC2B49-F18D-491A-A728-264FEFDD10F2}"/>
    <hyperlink ref="B13" location="'札幌市西区'!a1" display="札幌市西区" xr:uid="{E51125A2-71FB-4F71-B9C8-FBB3926C1BC2}"/>
    <hyperlink ref="B14" location="'札幌市厚別区'!a1" display="札幌市厚別区" xr:uid="{D6F0F0A8-5954-4AA7-BD24-1145FDF06AE9}"/>
    <hyperlink ref="B15" location="'札幌市手稲区'!a1" display="札幌市手稲区" xr:uid="{8E0D264C-5340-4C76-83F1-FCFDD48B51AA}"/>
    <hyperlink ref="B16" location="'札幌市清田区'!a1" display="札幌市清田区" xr:uid="{2F4FFD62-1AA0-4B23-84AD-093146C18275}"/>
    <hyperlink ref="B17" location="'函館市'!a1" display="函館市" xr:uid="{45F8F362-602A-4405-9816-D2069DD56657}"/>
    <hyperlink ref="B18" location="'小樽市'!a1" display="小樽市" xr:uid="{24A3CBEB-656A-4E3F-A60F-18CB2C9124A8}"/>
    <hyperlink ref="B19" location="'旭川市'!a1" display="旭川市" xr:uid="{F87D48E1-A2BC-4444-8459-8B0593ADA9CF}"/>
    <hyperlink ref="B20" location="'室蘭市'!a1" display="室蘭市" xr:uid="{33381CFD-844F-4395-B943-6E3E3456D282}"/>
    <hyperlink ref="B21" location="'釧路市'!a1" display="釧路市" xr:uid="{48B6F7A8-CEBC-4268-9046-0BA0AC0530D7}"/>
    <hyperlink ref="B22" location="'帯広市'!a1" display="帯広市" xr:uid="{DB60F928-872D-49D0-881C-96723268D977}"/>
    <hyperlink ref="B23" location="'北見市'!a1" display="北見市" xr:uid="{DE50E43E-C321-4214-A808-A44F540E06A1}"/>
    <hyperlink ref="B24" location="'夕張市'!a1" display="夕張市" xr:uid="{C9725F69-8D1A-49BC-AAAF-B672C5A88AF8}"/>
    <hyperlink ref="B25" location="'岩見沢市'!a1" display="岩見沢市" xr:uid="{9E4D9B2A-E512-4225-BAC6-964BC33D7417}"/>
    <hyperlink ref="B26" location="'網走市'!a1" display="網走市" xr:uid="{30E0DE31-181D-4A22-A70E-0741BB9D39E9}"/>
    <hyperlink ref="B27" location="'留萌市'!a1" display="留萌市" xr:uid="{06B7E3C3-EF41-4FE0-8E3B-5D75D918065A}"/>
    <hyperlink ref="B28" location="'苫小牧市'!a1" display="苫小牧市" xr:uid="{D7B2D9CA-098B-4C03-9171-6F3396CB9EA6}"/>
    <hyperlink ref="B29" location="'稚内市'!a1" display="稚内市" xr:uid="{43666AD4-0BB7-4D0D-AB66-DB1D114A7F29}"/>
    <hyperlink ref="B30" location="'美唄市'!a1" display="美唄市" xr:uid="{E410C306-9D28-4EF8-B69B-8EFFB0E03A5C}"/>
    <hyperlink ref="B31" location="'芦別市'!a1" display="芦別市" xr:uid="{544F560A-56FD-4FE3-93B7-82E888255A5E}"/>
    <hyperlink ref="B32" location="'江別市'!a1" display="江別市" xr:uid="{D03D3348-419D-4D51-9701-16B2B769B1F7}"/>
    <hyperlink ref="B33" location="'赤平市'!a1" display="赤平市" xr:uid="{4F86F158-AA2F-4BDB-B4D6-21EABD17789B}"/>
    <hyperlink ref="B34" location="'紋別市'!a1" display="紋別市" xr:uid="{1A904DD0-90B2-46B3-9229-B03E6AB98371}"/>
    <hyperlink ref="B35" location="'士別市'!a1" display="士別市" xr:uid="{1AC163AB-EDE5-4162-A994-BB50212BEB4C}"/>
    <hyperlink ref="B36" location="'名寄市'!a1" display="名寄市" xr:uid="{0C673CC7-57B6-4230-A23D-C357FF121E93}"/>
    <hyperlink ref="B37" location="'三笠市'!a1" display="三笠市" xr:uid="{A875D34F-BA6D-40CE-B423-7EF58B9324BD}"/>
    <hyperlink ref="B38" location="'根室市'!a1" display="根室市" xr:uid="{D1327597-80F5-4C9D-89F8-9F7800E007ED}"/>
    <hyperlink ref="B39" location="'千歳市'!a1" display="千歳市" xr:uid="{59435BC3-AC3C-479D-BDF2-671470791AA7}"/>
    <hyperlink ref="B40" location="'滝川市'!a1" display="滝川市" xr:uid="{19FC0266-B51F-427E-AA0D-6AD6BAD766EA}"/>
    <hyperlink ref="B41" location="'砂川市'!a1" display="砂川市" xr:uid="{346FE918-986A-485A-90A9-66D6CE586DDA}"/>
    <hyperlink ref="B42" location="'歌志内市'!a1" display="歌志内市" xr:uid="{BE450496-6AD9-4BEC-B211-020A39ECD98A}"/>
    <hyperlink ref="B43" location="'深川市'!a1" display="深川市" xr:uid="{8E27B336-84BE-4BFB-9A37-903FE0450D15}"/>
    <hyperlink ref="B44" location="'富良野市'!a1" display="富良野市" xr:uid="{F6641433-7A6D-4357-A680-2348DCE6CF60}"/>
    <hyperlink ref="B45" location="'登別市'!a1" display="登別市" xr:uid="{0C4E3224-5687-456A-9B9F-5CEE7147B93F}"/>
    <hyperlink ref="B46" location="'恵庭市'!a1" display="恵庭市" xr:uid="{F8304A84-7CFF-4C4D-9B8F-F15D150BF6D1}"/>
    <hyperlink ref="B47" location="'伊達市'!a1" display="伊達市" xr:uid="{CC9772A7-511C-427F-80BC-DA31A40BCC6E}"/>
    <hyperlink ref="B48" location="'北広島市'!a1" display="北広島市" xr:uid="{702713C7-2D1E-4DB3-8163-2E00A35DBF15}"/>
    <hyperlink ref="B49" location="'石狩市'!a1" display="石狩市" xr:uid="{8679EE1D-19F7-4CF4-9A13-60C8AE9F961A}"/>
    <hyperlink ref="B50" location="'北斗市'!a1" display="北斗市" xr:uid="{951940C6-130F-4B26-8317-CB1369337156}"/>
    <hyperlink ref="B51" location="'石狩郡当別町'!a1" display="石狩郡当別町" xr:uid="{471FAA4A-5C25-438F-8BB2-40353D47A3F0}"/>
    <hyperlink ref="B52" location="'石狩郡新篠津村'!a1" display="石狩郡新篠津村" xr:uid="{2834F9FF-33FA-4DCC-9E96-87732D54DCB8}"/>
    <hyperlink ref="B53" location="'松前郡松前町'!a1" display="松前郡松前町" xr:uid="{B61C4E89-0336-41B3-941D-296ABBD14DF0}"/>
    <hyperlink ref="B54" location="'松前郡福島町'!a1" display="松前郡福島町" xr:uid="{E818E15E-15BF-4180-8783-3234EAEECE35}"/>
    <hyperlink ref="B55" location="'上磯郡知内町'!a1" display="上磯郡知内町" xr:uid="{E3121646-5E8A-4AAE-84E9-FC9329A9713B}"/>
    <hyperlink ref="B56" location="'上磯郡木古内町'!a1" display="上磯郡木古内町" xr:uid="{E8374ED3-C60F-4394-AE92-4FBD729D5690}"/>
    <hyperlink ref="B57" location="'亀田郡七飯町'!a1" display="亀田郡七飯町" xr:uid="{1E32908E-9CC2-4691-BBEE-87801822DE7C}"/>
    <hyperlink ref="B58" location="'茅部郡鹿部町'!a1" display="茅部郡鹿部町" xr:uid="{DDC0BBDF-3E66-4558-8590-CA6BC08D8BF7}"/>
    <hyperlink ref="B59" location="'茅部郡森町'!a1" display="茅部郡森町" xr:uid="{B1747F33-1482-4813-812E-403647FAB427}"/>
    <hyperlink ref="B60" location="'二海郡八雲町'!a1" display="二海郡八雲町" xr:uid="{664BC0C9-32E0-4506-90B9-07C1D6EEB634}"/>
    <hyperlink ref="B61" location="'山越郡長万部町'!a1" display="山越郡長万部町" xr:uid="{24DDCFFA-6DFE-453B-919D-9BC3F5C8D906}"/>
    <hyperlink ref="B62" location="'檜山郡江差町'!a1" display="檜山郡江差町" xr:uid="{8ACC955A-B20F-4BD1-BC9B-D67DF8C7EF01}"/>
    <hyperlink ref="B63" location="'檜山郡上ノ国町'!a1" display="檜山郡上ノ国町" xr:uid="{7634FB03-61A8-4D98-A3BD-B8402B6CD35A}"/>
    <hyperlink ref="B64" location="'檜山郡厚沢部町'!a1" display="檜山郡厚沢部町" xr:uid="{D3369003-489F-4579-AA9A-937118738B59}"/>
    <hyperlink ref="B65" location="'爾志郡乙部町'!a1" display="爾志郡乙部町" xr:uid="{5011BECD-1E4A-4A8B-90F7-76C7F2E7D96E}"/>
    <hyperlink ref="B66" location="'奥尻郡奥尻町'!a1" display="奥尻郡奥尻町" xr:uid="{85CA162E-570B-4944-99DD-1D3A9CC467CC}"/>
    <hyperlink ref="B67" location="'瀬棚郡今金町'!a1" display="瀬棚郡今金町" xr:uid="{54E45814-902E-482D-9428-B13EA5F7F4A6}"/>
    <hyperlink ref="B68" location="'久遠郡せたな町'!a1" display="久遠郡せたな町" xr:uid="{59BC07C4-40AE-44A2-A8B7-203399E132F0}"/>
    <hyperlink ref="B69" location="'島牧郡島牧村'!a1" display="島牧郡島牧村" xr:uid="{73CC0504-FE64-4855-AF34-980CB27322D7}"/>
    <hyperlink ref="B70" location="'寿都郡寿都町'!a1" display="寿都郡寿都町" xr:uid="{08438405-1AD8-48D9-94DE-5F940A86D401}"/>
    <hyperlink ref="B71" location="'寿都郡黒松内町'!a1" display="寿都郡黒松内町" xr:uid="{F779A7FB-73CF-4C5F-8E23-CEE12EB4EF86}"/>
    <hyperlink ref="B72" location="'磯谷郡蘭越町'!a1" display="磯谷郡蘭越町" xr:uid="{FDCDEB3B-F850-455E-A4E9-7C1308AC4487}"/>
    <hyperlink ref="B73" location="'虻田郡ニセコ町'!a1" display="虻田郡ニセコ町" xr:uid="{FC8ECE40-728B-46B8-911A-55550312B6E1}"/>
    <hyperlink ref="B74" location="'虻田郡真狩村'!a1" display="虻田郡真狩村" xr:uid="{7B0D8DDF-BF11-4A71-BC95-9D18A904BAA9}"/>
    <hyperlink ref="B75" location="'虻田郡留寿都村'!a1" display="虻田郡留寿都村" xr:uid="{B73F7C18-0BD7-414A-90E7-B8F3A475BBDC}"/>
    <hyperlink ref="B76" location="'虻田郡喜茂別町'!a1" display="虻田郡喜茂別町" xr:uid="{BD3C1755-2199-4EFE-ADC9-696710AE9D8C}"/>
    <hyperlink ref="B77" location="'虻田郡京極町'!a1" display="虻田郡京極町" xr:uid="{0CB7F2CE-CBA4-4CD9-8CC5-0CEB514AA8E5}"/>
    <hyperlink ref="B78" location="'虻田郡倶知安町'!a1" display="虻田郡倶知安町" xr:uid="{65C48EB4-63A9-4FB3-A5E9-BA49FCB5FAE9}"/>
    <hyperlink ref="B79" location="'岩内郡共和町'!a1" display="岩内郡共和町" xr:uid="{E9D677B8-82F1-4BEA-B397-155AAA9AD334}"/>
    <hyperlink ref="B80" location="'岩内郡岩内町'!a1" display="岩内郡岩内町" xr:uid="{F6D42390-201B-4DB7-9E54-37C21B6D9170}"/>
    <hyperlink ref="B81" location="'古宇郡泊村'!a1" display="古宇郡泊村" xr:uid="{41EA9BDF-59EC-4608-9377-56D7DC945FF8}"/>
    <hyperlink ref="B82" location="'古宇郡神恵内村'!a1" display="古宇郡神恵内村" xr:uid="{F7A062EA-3431-402C-9EEA-AD6F899C9B45}"/>
    <hyperlink ref="B83" location="'積丹郡積丹町'!a1" display="積丹郡積丹町" xr:uid="{3B0F41A6-AB79-46DE-825B-BC0F2C8AFE2E}"/>
    <hyperlink ref="B84" location="'古平郡古平町'!a1" display="古平郡古平町" xr:uid="{C3FDBD84-A7EF-4612-8AC0-7C8D6099A6E2}"/>
    <hyperlink ref="B85" location="'余市郡仁木町'!a1" display="余市郡仁木町" xr:uid="{4904CD96-84BE-4262-AC73-74DC1CA47F2D}"/>
    <hyperlink ref="B86" location="'余市郡余市町'!a1" display="余市郡余市町" xr:uid="{68BC86D4-3972-4499-8574-3DADFACD0142}"/>
    <hyperlink ref="B87" location="'余市郡赤井川村'!a1" display="余市郡赤井川村" xr:uid="{F9759B13-BC66-4DB6-B594-0CFD06D69141}"/>
    <hyperlink ref="B88" location="'空知郡南幌町'!a1" display="空知郡南幌町" xr:uid="{BD3255B9-3BAC-4F9F-BCA6-7DC3EABCF73F}"/>
    <hyperlink ref="B89" location="'空知郡奈井江町'!a1" display="空知郡奈井江町" xr:uid="{43FF8CA9-9D20-4C7E-A241-201A12792AFA}"/>
    <hyperlink ref="B90" location="'空知郡上砂川町'!a1" display="空知郡上砂川町" xr:uid="{554FB471-B957-468F-8BB2-E816BBE05D92}"/>
    <hyperlink ref="B91" location="'夕張郡由仁町'!a1" display="夕張郡由仁町" xr:uid="{AC0478F8-2BEC-44CD-B178-F3540A849806}"/>
    <hyperlink ref="B92" location="'夕張郡長沼町'!a1" display="夕張郡長沼町" xr:uid="{01A38784-4280-4F4D-A8CF-867D9FA8EA33}"/>
    <hyperlink ref="B93" location="'夕張郡栗山町'!a1" display="夕張郡栗山町" xr:uid="{9FD2222B-553F-4877-B127-A2648F4B1DC2}"/>
    <hyperlink ref="B94" location="'樺戸郡月形町'!a1" display="樺戸郡月形町" xr:uid="{B09518CD-E472-49BE-A0FE-E76BB2F4FC40}"/>
    <hyperlink ref="B95" location="'樺戸郡浦臼町'!a1" display="樺戸郡浦臼町" xr:uid="{F738742F-3F97-4BF9-B7E6-51D94B26BD83}"/>
    <hyperlink ref="B96" location="'樺戸郡新十津川町'!a1" display="樺戸郡新十津川町" xr:uid="{1B6919E3-4B3A-4C70-9DC1-A8AF4A0FD546}"/>
    <hyperlink ref="B97" location="'雨竜郡妹背牛町'!a1" display="雨竜郡妹背牛町" xr:uid="{D8143C20-7BCB-4113-B434-24CF0F3CDAEA}"/>
    <hyperlink ref="B98" location="'雨竜郡秩父別町'!a1" display="雨竜郡秩父別町" xr:uid="{9B19974D-316C-4580-8E45-D6D5C1CA9EDE}"/>
    <hyperlink ref="B99" location="'雨竜郡雨竜町'!a1" display="雨竜郡雨竜町" xr:uid="{6F3F5A6B-D33A-4B20-8E67-68CA00998251}"/>
    <hyperlink ref="B100" location="'雨竜郡北竜町'!a1" display="雨竜郡北竜町" xr:uid="{2157F4F9-0C0A-429E-B413-7C7D4DD655A7}"/>
    <hyperlink ref="B101" location="'雨竜郡沼田町'!a1" display="雨竜郡沼田町" xr:uid="{37AE457E-A6EA-4696-B887-9BD0D5690FC5}"/>
    <hyperlink ref="B102" location="'上川郡鷹栖町'!a1" display="上川郡鷹栖町" xr:uid="{0D60EB82-F4CF-48AD-AD37-A969F9CE0438}"/>
    <hyperlink ref="B103" location="'上川郡東神楽町'!a1" display="上川郡東神楽町" xr:uid="{6A64EBD9-9B7D-4905-B09A-5608398384FA}"/>
    <hyperlink ref="B104" location="'上川郡当麻町'!a1" display="上川郡当麻町" xr:uid="{F28F3A91-EF36-423D-9EE8-51DCD9570605}"/>
    <hyperlink ref="B105" location="'上川郡比布町'!a1" display="上川郡比布町" xr:uid="{2A11ECC5-3D0F-47E1-8389-BA56C11EE454}"/>
    <hyperlink ref="B106" location="'上川郡愛別町'!a1" display="上川郡愛別町" xr:uid="{CD18F540-674A-42E1-AC6B-E8DB2EB90453}"/>
    <hyperlink ref="B107" location="'上川郡上川町'!a1" display="上川郡上川町" xr:uid="{06739CF5-1BFA-453A-9CF6-C9810044C72A}"/>
    <hyperlink ref="B108" location="'上川郡東川町'!a1" display="上川郡東川町" xr:uid="{7AB2A269-B071-42D2-BB5D-4A3ABF3135E5}"/>
    <hyperlink ref="B109" location="'上川郡美瑛町'!a1" display="上川郡美瑛町" xr:uid="{01934F00-1B9D-4BB8-A5E5-1FAFDAC7E15B}"/>
    <hyperlink ref="B110" location="'空知郡上富良野町'!a1" display="空知郡上富良野町" xr:uid="{46D61B03-8A14-4BD5-9E9B-447AF5D62A8A}"/>
    <hyperlink ref="B111" location="'空知郡中富良野町'!a1" display="空知郡中富良野町" xr:uid="{E236B3C6-13C4-4A42-8BC8-68AEC152B189}"/>
    <hyperlink ref="B112" location="'空知郡南富良野町'!a1" display="空知郡南富良野町" xr:uid="{1C401A6C-4645-47B0-A09C-211FA013C5E8}"/>
    <hyperlink ref="B113" location="'勇払郡占冠村'!a1" display="勇払郡占冠村" xr:uid="{C582A9CD-1112-498F-86CE-5D29DE3F454C}"/>
    <hyperlink ref="B114" location="'上川郡和寒町'!a1" display="上川郡和寒町" xr:uid="{A87130EA-9063-426B-B378-724FA6127CA9}"/>
    <hyperlink ref="B115" location="'上川郡剣淵町'!a1" display="上川郡剣淵町" xr:uid="{AC7BA752-E792-4F61-896C-3BC3BB029134}"/>
    <hyperlink ref="B116" location="'上川郡下川町'!a1" display="上川郡下川町" xr:uid="{4FC357A4-104B-4523-9AE4-697E6988492F}"/>
    <hyperlink ref="B117" location="'中川郡美深町'!a1" display="中川郡美深町" xr:uid="{51CC4142-AA61-4F3B-9BF7-50A54D380665}"/>
    <hyperlink ref="B118" location="'中川郡音威子府村'!a1" display="中川郡音威子府村" xr:uid="{63D07C9B-940F-48EE-87AD-0267330E443F}"/>
    <hyperlink ref="B119" location="'中川郡中川町'!a1" display="中川郡中川町" xr:uid="{9F34DE10-FFA0-4FEA-991E-F9684D532BA7}"/>
    <hyperlink ref="B120" location="'雨竜郡幌加内町'!a1" display="雨竜郡幌加内町" xr:uid="{64F4BE28-CBBC-457A-B92E-CF2A75F8BE4B}"/>
    <hyperlink ref="B121" location="'増毛郡増毛町'!a1" display="増毛郡増毛町" xr:uid="{630DAA95-AB66-4E3A-A362-D74C4228E908}"/>
    <hyperlink ref="B122" location="'留萌郡小平町'!a1" display="留萌郡小平町" xr:uid="{563230B0-A0E3-4360-9580-5AB105DFA28A}"/>
    <hyperlink ref="B123" location="'苫前郡苫前町'!a1" display="苫前郡苫前町" xr:uid="{316D858F-8F04-4ADD-B01D-A6F838F38DBF}"/>
    <hyperlink ref="B124" location="'苫前郡羽幌町'!a1" display="苫前郡羽幌町" xr:uid="{4FB6689D-954E-4FE3-9C93-C3838AF9A7DE}"/>
    <hyperlink ref="B125" location="'苫前郡初山別村'!a1" display="苫前郡初山別村" xr:uid="{D5AE73A2-FF6A-41F0-8010-A1B106FB39FA}"/>
    <hyperlink ref="B126" location="'天塩郡遠別町'!a1" display="天塩郡遠別町" xr:uid="{DE0F0B47-A0AA-4B27-9B67-126D74A24A58}"/>
    <hyperlink ref="B127" location="'天塩郡天塩町'!a1" display="天塩郡天塩町" xr:uid="{456A54EA-4050-42A5-A943-E32B6EC64A03}"/>
    <hyperlink ref="B128" location="'宗谷郡猿払村'!a1" display="宗谷郡猿払村" xr:uid="{A72C55D9-D828-4DA8-A2F5-C4D6860836AB}"/>
    <hyperlink ref="B129" location="'枝幸郡浜頓別町'!a1" display="枝幸郡浜頓別町" xr:uid="{9F075222-E33B-4775-AD04-C77059BB3D0F}"/>
    <hyperlink ref="B130" location="'枝幸郡中頓別町'!a1" display="枝幸郡中頓別町" xr:uid="{664EACB0-215A-4241-9CB3-058EF4C64E48}"/>
    <hyperlink ref="B131" location="'枝幸郡枝幸町'!a1" display="枝幸郡枝幸町" xr:uid="{217ED287-B0E0-463D-BBA3-2041955B55BE}"/>
    <hyperlink ref="B132" location="'天塩郡豊富町'!a1" display="天塩郡豊富町" xr:uid="{4EBBF69D-D0F4-409E-934B-A61C8F581F0E}"/>
    <hyperlink ref="B133" location="'礼文郡礼文町'!a1" display="礼文郡礼文町" xr:uid="{471FB2CF-EFFF-42CC-ADC9-DB17080D8609}"/>
    <hyperlink ref="B134" location="'利尻郡利尻町'!a1" display="利尻郡利尻町" xr:uid="{6BF367A5-5221-4C4E-B9DF-11601B6372BE}"/>
    <hyperlink ref="B135" location="'利尻郡利尻富士町'!a1" display="利尻郡利尻富士町" xr:uid="{661B0C3C-2D61-4BD9-B0C6-72093A279E8B}"/>
    <hyperlink ref="B136" location="'天塩郡幌延町'!a1" display="天塩郡幌延町" xr:uid="{8F35D42C-886D-4AAF-9F23-4E36E5C0BC70}"/>
    <hyperlink ref="B137" location="'網走郡美幌町'!a1" display="網走郡美幌町" xr:uid="{3BC79775-544E-44CD-A00A-74FF3793B3F2}"/>
    <hyperlink ref="B138" location="'網走郡津別町'!a1" display="網走郡津別町" xr:uid="{C3BB3106-9395-4266-A6A6-BB7AC43E019C}"/>
    <hyperlink ref="B139" location="'斜里郡斜里町'!a1" display="斜里郡斜里町" xr:uid="{692D1589-DE43-4D50-A7BF-883E48F4B6EB}"/>
    <hyperlink ref="B140" location="'斜里郡清里町'!a1" display="斜里郡清里町" xr:uid="{27924F88-E762-4EDB-82AB-17D3D3B40151}"/>
    <hyperlink ref="B141" location="'斜里郡小清水町'!a1" display="斜里郡小清水町" xr:uid="{F4F7DFB8-B55F-4C93-88E4-470642BCB28D}"/>
    <hyperlink ref="B142" location="'常呂郡訓子府町'!a1" display="常呂郡訓子府町" xr:uid="{894D647D-0CA9-44C8-8725-9AF38642F0B8}"/>
    <hyperlink ref="B143" location="'常呂郡置戸町'!a1" display="常呂郡置戸町" xr:uid="{1A0F7A45-1A26-48A0-88F9-BC6AA18396AB}"/>
    <hyperlink ref="B144" location="'常呂郡佐呂間町'!a1" display="常呂郡佐呂間町" xr:uid="{7C498590-C03D-484C-A74F-B393F4360019}"/>
    <hyperlink ref="B145" location="'紋別郡遠軽町'!a1" display="紋別郡遠軽町" xr:uid="{0DD74684-2CC2-4637-9C82-E7DEFBBA8FCC}"/>
    <hyperlink ref="B146" location="'紋別郡湧別町'!a1" display="紋別郡湧別町" xr:uid="{E8B65FD4-0206-4310-B7F8-24A86C2A660A}"/>
    <hyperlink ref="B147" location="'紋別郡滝上町'!a1" display="紋別郡滝上町" xr:uid="{7BCF92A8-4CE1-460C-9814-276AD9237463}"/>
    <hyperlink ref="B148" location="'紋別郡興部町'!a1" display="紋別郡興部町" xr:uid="{F03901F6-FC8A-4013-9DFB-6366E1AE5747}"/>
    <hyperlink ref="B149" location="'紋別郡西興部村'!a1" display="紋別郡西興部村" xr:uid="{F598CEE9-AB0E-49D9-B776-930606E922D6}"/>
    <hyperlink ref="B150" location="'紋別郡雄武町'!a1" display="紋別郡雄武町" xr:uid="{4F86ABDC-5E0E-4EB2-BB31-FFF67B6CA9CE}"/>
    <hyperlink ref="B151" location="'網走郡大空町'!a1" display="網走郡大空町" xr:uid="{4554BD74-9C79-4778-AF10-4E7D1D787F2B}"/>
    <hyperlink ref="B152" location="'虻田郡豊浦町'!a1" display="虻田郡豊浦町" xr:uid="{642699B1-2E54-48F6-A1A2-22D15BF4A716}"/>
    <hyperlink ref="B153" location="'有珠郡壮瞥町'!a1" display="有珠郡壮瞥町" xr:uid="{805BE77A-FE2D-451F-9C36-D6F9DF87248D}"/>
    <hyperlink ref="B154" location="'白老郡白老町'!a1" display="白老郡白老町" xr:uid="{CD151B42-71FF-47FA-A4A5-4B9CE13E10F9}"/>
    <hyperlink ref="B155" location="'勇払郡厚真町'!a1" display="勇払郡厚真町" xr:uid="{28254A4F-6C60-4031-80C8-75FE275BE1D8}"/>
    <hyperlink ref="B156" location="'虻田郡洞爺湖町'!a1" display="虻田郡洞爺湖町" xr:uid="{59B05FD5-72E9-4D52-9CA6-37141B834C73}"/>
    <hyperlink ref="B157" location="'勇払郡安平町'!a1" display="勇払郡安平町" xr:uid="{0B477A67-6EEC-485C-82A7-3D220C898C2C}"/>
    <hyperlink ref="B158" location="'勇払郡むかわ町'!a1" display="勇払郡むかわ町" xr:uid="{59597EF5-BAFB-4581-A3A2-085BA9FE0A1A}"/>
    <hyperlink ref="B159" location="'沙流郡日高町'!a1" display="沙流郡日高町" xr:uid="{F2C2F669-C38E-4D49-A7D0-BA087F79A297}"/>
    <hyperlink ref="B160" location="'沙流郡平取町'!a1" display="沙流郡平取町" xr:uid="{C986EB3A-345C-40B9-B0F8-3E8582D90FCF}"/>
    <hyperlink ref="B161" location="'新冠郡新冠町'!a1" display="新冠郡新冠町" xr:uid="{2F8C8C8F-CB9B-4566-A8B4-3DD424DC437D}"/>
    <hyperlink ref="B162" location="'浦河郡浦河町'!a1" display="浦河郡浦河町" xr:uid="{B22E16AA-4C61-4730-9249-B9762572BE1E}"/>
    <hyperlink ref="B163" location="'様似郡様似町'!a1" display="様似郡様似町" xr:uid="{666BB232-9974-42B3-9AFC-2C8AF4A3B75F}"/>
    <hyperlink ref="B164" location="'幌泉郡えりも町'!a1" display="幌泉郡えりも町" xr:uid="{22EAD4D1-7B2B-466B-94E6-99FF8842028E}"/>
    <hyperlink ref="B165" location="'日高郡新ひだか町'!a1" display="日高郡新ひだか町" xr:uid="{60060EE8-1EF7-47A9-A7C4-1723A44B2004}"/>
    <hyperlink ref="B166" location="'河東郡音更町'!a1" display="河東郡音更町" xr:uid="{0BDB9E78-6988-4A57-AFFA-95ECB05B8AC3}"/>
    <hyperlink ref="B167" location="'河東郡士幌町'!a1" display="河東郡士幌町" xr:uid="{B48C9875-139A-4EC5-BC48-9121F754AB5F}"/>
    <hyperlink ref="B168" location="'河東郡上士幌町'!a1" display="河東郡上士幌町" xr:uid="{3CA682E5-B430-42E7-A8C0-E61540314F15}"/>
    <hyperlink ref="B169" location="'河東郡鹿追町'!a1" display="河東郡鹿追町" xr:uid="{26EAAFA8-038B-4C38-BA25-4CFCF20029AC}"/>
    <hyperlink ref="B170" location="'上川郡新得町'!a1" display="上川郡新得町" xr:uid="{BCD400B7-6C23-4946-B66D-55BE27B08423}"/>
    <hyperlink ref="B171" location="'上川郡清水町'!a1" display="上川郡清水町" xr:uid="{DA30A176-27C7-48C0-AC46-D75A8136F19E}"/>
    <hyperlink ref="B172" location="'河西郡芽室町'!a1" display="河西郡芽室町" xr:uid="{72758B79-11A5-45C0-8E0D-D18166650133}"/>
    <hyperlink ref="B173" location="'河西郡中札内村'!a1" display="河西郡中札内村" xr:uid="{E6C94165-242A-4730-AC9A-44FD56E9D1D1}"/>
    <hyperlink ref="B174" location="'河西郡更別村'!a1" display="河西郡更別村" xr:uid="{1750217B-398C-4B49-A13C-FCDD52ACC482}"/>
    <hyperlink ref="B175" location="'広尾郡大樹町'!a1" display="広尾郡大樹町" xr:uid="{9DEE8CE5-EC1B-4B80-9D05-57F75134D34B}"/>
    <hyperlink ref="B176" location="'広尾郡広尾町'!a1" display="広尾郡広尾町" xr:uid="{CFF6FD84-645F-4992-B177-F81C0B6F5447}"/>
    <hyperlink ref="B177" location="'中川郡幕別町'!a1" display="中川郡幕別町" xr:uid="{FC4D23E2-984C-4E12-BB35-A2715610F7E0}"/>
    <hyperlink ref="B178" location="'中川郡池田町'!a1" display="中川郡池田町" xr:uid="{C4FDDCB5-58A4-4885-919B-4E6BFEE9E325}"/>
    <hyperlink ref="B179" location="'中川郡豊頃町'!a1" display="中川郡豊頃町" xr:uid="{53728051-B451-4F2B-B07F-3EC4FE0E8732}"/>
    <hyperlink ref="B180" location="'中川郡本別町'!a1" display="中川郡本別町" xr:uid="{D0597EBB-946F-4F12-B73C-2ACE0B0D1FD7}"/>
    <hyperlink ref="B181" location="'足寄郡足寄町'!a1" display="足寄郡足寄町" xr:uid="{FD7DA782-D6DA-481F-91EF-F90766C373A6}"/>
    <hyperlink ref="B182" location="'足寄郡陸別町'!a1" display="足寄郡陸別町" xr:uid="{07D220F2-2FC0-46DF-9B43-15A406AE42AE}"/>
    <hyperlink ref="B183" location="'十勝郡浦幌町'!a1" display="十勝郡浦幌町" xr:uid="{F170EDF8-D38A-45A2-9EE1-61D2F531D2C8}"/>
    <hyperlink ref="B184" location="'釧路郡釧路町'!a1" display="釧路郡釧路町" xr:uid="{21687D20-446C-4D1A-AF22-E7CDF4C0E541}"/>
    <hyperlink ref="B185" location="'厚岸郡厚岸町'!a1" display="厚岸郡厚岸町" xr:uid="{81F52E6E-89EB-43FC-954E-5937CE9A9E9F}"/>
    <hyperlink ref="B186" location="'厚岸郡浜中町'!a1" display="厚岸郡浜中町" xr:uid="{AA5605E8-A1A4-45DB-87DB-4F80D1182632}"/>
    <hyperlink ref="B187" location="'川上郡標茶町'!a1" display="川上郡標茶町" xr:uid="{F93F94E5-A377-4D13-BADF-BC4F46FD52B9}"/>
    <hyperlink ref="B188" location="'川上郡弟子屈町'!a1" display="川上郡弟子屈町" xr:uid="{36D52F21-71FF-42C0-8C15-8ECA50F64230}"/>
    <hyperlink ref="B189" location="'阿寒郡鶴居村'!a1" display="阿寒郡鶴居村" xr:uid="{BEB1B1F3-09FC-4918-B04A-623C07AEF0D7}"/>
    <hyperlink ref="B190" location="'白糠郡白糠町'!a1" display="白糠郡白糠町" xr:uid="{7A310B21-3B11-459A-AD26-2A9C785068E5}"/>
    <hyperlink ref="B191" location="'野付郡別海町'!a1" display="野付郡別海町" xr:uid="{DCC5EFE5-A458-4DAE-8985-73E06007276A}"/>
    <hyperlink ref="B192" location="'標津郡中標津町'!a1" display="標津郡中標津町" xr:uid="{812CB720-FB11-49FB-A5BF-F560A0A1F852}"/>
    <hyperlink ref="B193" location="'標津郡標津町'!a1" display="標津郡標津町" xr:uid="{8BD23306-4FF9-4546-945D-580B55D44405}"/>
    <hyperlink ref="B194" location="'目梨郡羅臼町'!a1" display="目梨郡羅臼町" xr:uid="{283A55A6-B940-492A-936C-6633510E8F22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8D403-90E9-491E-8A6A-911B25CE07CF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537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785</v>
      </c>
      <c r="D6" s="8">
        <v>17.579999999999998</v>
      </c>
      <c r="E6" s="12">
        <v>35</v>
      </c>
      <c r="F6" s="8">
        <v>2.36</v>
      </c>
      <c r="G6" s="12">
        <v>750</v>
      </c>
      <c r="H6" s="8">
        <v>25.28</v>
      </c>
      <c r="I6" s="12">
        <v>0</v>
      </c>
    </row>
    <row r="7" spans="2:9" ht="15" customHeight="1" x14ac:dyDescent="0.2">
      <c r="B7" t="s">
        <v>192</v>
      </c>
      <c r="C7" s="12">
        <v>254</v>
      </c>
      <c r="D7" s="8">
        <v>5.69</v>
      </c>
      <c r="E7" s="12">
        <v>32</v>
      </c>
      <c r="F7" s="8">
        <v>2.15</v>
      </c>
      <c r="G7" s="12">
        <v>222</v>
      </c>
      <c r="H7" s="8">
        <v>7.48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0.02</v>
      </c>
      <c r="E8" s="12">
        <v>0</v>
      </c>
      <c r="F8" s="8">
        <v>0</v>
      </c>
      <c r="G8" s="12">
        <v>1</v>
      </c>
      <c r="H8" s="8">
        <v>0.03</v>
      </c>
      <c r="I8" s="12">
        <v>0</v>
      </c>
    </row>
    <row r="9" spans="2:9" ht="15" customHeight="1" x14ac:dyDescent="0.2">
      <c r="B9" t="s">
        <v>194</v>
      </c>
      <c r="C9" s="12">
        <v>48</v>
      </c>
      <c r="D9" s="8">
        <v>1.08</v>
      </c>
      <c r="E9" s="12">
        <v>0</v>
      </c>
      <c r="F9" s="8">
        <v>0</v>
      </c>
      <c r="G9" s="12">
        <v>48</v>
      </c>
      <c r="H9" s="8">
        <v>1.62</v>
      </c>
      <c r="I9" s="12">
        <v>0</v>
      </c>
    </row>
    <row r="10" spans="2:9" ht="15" customHeight="1" x14ac:dyDescent="0.2">
      <c r="B10" t="s">
        <v>195</v>
      </c>
      <c r="C10" s="12">
        <v>102</v>
      </c>
      <c r="D10" s="8">
        <v>2.2799999999999998</v>
      </c>
      <c r="E10" s="12">
        <v>26</v>
      </c>
      <c r="F10" s="8">
        <v>1.75</v>
      </c>
      <c r="G10" s="12">
        <v>76</v>
      </c>
      <c r="H10" s="8">
        <v>2.56</v>
      </c>
      <c r="I10" s="12">
        <v>0</v>
      </c>
    </row>
    <row r="11" spans="2:9" ht="15" customHeight="1" x14ac:dyDescent="0.2">
      <c r="B11" t="s">
        <v>196</v>
      </c>
      <c r="C11" s="12">
        <v>1006</v>
      </c>
      <c r="D11" s="8">
        <v>22.53</v>
      </c>
      <c r="E11" s="12">
        <v>141</v>
      </c>
      <c r="F11" s="8">
        <v>9.49</v>
      </c>
      <c r="G11" s="12">
        <v>865</v>
      </c>
      <c r="H11" s="8">
        <v>29.15</v>
      </c>
      <c r="I11" s="12">
        <v>0</v>
      </c>
    </row>
    <row r="12" spans="2:9" ht="15" customHeight="1" x14ac:dyDescent="0.2">
      <c r="B12" t="s">
        <v>197</v>
      </c>
      <c r="C12" s="12">
        <v>29</v>
      </c>
      <c r="D12" s="8">
        <v>0.65</v>
      </c>
      <c r="E12" s="12">
        <v>3</v>
      </c>
      <c r="F12" s="8">
        <v>0.2</v>
      </c>
      <c r="G12" s="12">
        <v>26</v>
      </c>
      <c r="H12" s="8">
        <v>0.88</v>
      </c>
      <c r="I12" s="12">
        <v>0</v>
      </c>
    </row>
    <row r="13" spans="2:9" ht="15" customHeight="1" x14ac:dyDescent="0.2">
      <c r="B13" t="s">
        <v>198</v>
      </c>
      <c r="C13" s="12">
        <v>777</v>
      </c>
      <c r="D13" s="8">
        <v>17.399999999999999</v>
      </c>
      <c r="E13" s="12">
        <v>417</v>
      </c>
      <c r="F13" s="8">
        <v>28.08</v>
      </c>
      <c r="G13" s="12">
        <v>360</v>
      </c>
      <c r="H13" s="8">
        <v>12.13</v>
      </c>
      <c r="I13" s="12">
        <v>0</v>
      </c>
    </row>
    <row r="14" spans="2:9" ht="15" customHeight="1" x14ac:dyDescent="0.2">
      <c r="B14" t="s">
        <v>199</v>
      </c>
      <c r="C14" s="12">
        <v>200</v>
      </c>
      <c r="D14" s="8">
        <v>4.4800000000000004</v>
      </c>
      <c r="E14" s="12">
        <v>52</v>
      </c>
      <c r="F14" s="8">
        <v>3.5</v>
      </c>
      <c r="G14" s="12">
        <v>147</v>
      </c>
      <c r="H14" s="8">
        <v>4.95</v>
      </c>
      <c r="I14" s="12">
        <v>0</v>
      </c>
    </row>
    <row r="15" spans="2:9" ht="15" customHeight="1" x14ac:dyDescent="0.2">
      <c r="B15" t="s">
        <v>200</v>
      </c>
      <c r="C15" s="12">
        <v>359</v>
      </c>
      <c r="D15" s="8">
        <v>8.0399999999999991</v>
      </c>
      <c r="E15" s="12">
        <v>277</v>
      </c>
      <c r="F15" s="8">
        <v>18.649999999999999</v>
      </c>
      <c r="G15" s="12">
        <v>82</v>
      </c>
      <c r="H15" s="8">
        <v>2.76</v>
      </c>
      <c r="I15" s="12">
        <v>0</v>
      </c>
    </row>
    <row r="16" spans="2:9" ht="15" customHeight="1" x14ac:dyDescent="0.2">
      <c r="B16" t="s">
        <v>201</v>
      </c>
      <c r="C16" s="12">
        <v>427</v>
      </c>
      <c r="D16" s="8">
        <v>9.56</v>
      </c>
      <c r="E16" s="12">
        <v>295</v>
      </c>
      <c r="F16" s="8">
        <v>19.87</v>
      </c>
      <c r="G16" s="12">
        <v>132</v>
      </c>
      <c r="H16" s="8">
        <v>4.45</v>
      </c>
      <c r="I16" s="12">
        <v>0</v>
      </c>
    </row>
    <row r="17" spans="2:9" ht="15" customHeight="1" x14ac:dyDescent="0.2">
      <c r="B17" t="s">
        <v>202</v>
      </c>
      <c r="C17" s="12">
        <v>72</v>
      </c>
      <c r="D17" s="8">
        <v>1.61</v>
      </c>
      <c r="E17" s="12">
        <v>47</v>
      </c>
      <c r="F17" s="8">
        <v>3.16</v>
      </c>
      <c r="G17" s="12">
        <v>23</v>
      </c>
      <c r="H17" s="8">
        <v>0.78</v>
      </c>
      <c r="I17" s="12">
        <v>2</v>
      </c>
    </row>
    <row r="18" spans="2:9" ht="15" customHeight="1" x14ac:dyDescent="0.2">
      <c r="B18" t="s">
        <v>203</v>
      </c>
      <c r="C18" s="12">
        <v>232</v>
      </c>
      <c r="D18" s="8">
        <v>5.2</v>
      </c>
      <c r="E18" s="12">
        <v>132</v>
      </c>
      <c r="F18" s="8">
        <v>8.89</v>
      </c>
      <c r="G18" s="12">
        <v>100</v>
      </c>
      <c r="H18" s="8">
        <v>3.37</v>
      </c>
      <c r="I18" s="12">
        <v>0</v>
      </c>
    </row>
    <row r="19" spans="2:9" ht="15" customHeight="1" x14ac:dyDescent="0.2">
      <c r="B19" t="s">
        <v>204</v>
      </c>
      <c r="C19" s="12">
        <v>173</v>
      </c>
      <c r="D19" s="8">
        <v>3.87</v>
      </c>
      <c r="E19" s="12">
        <v>28</v>
      </c>
      <c r="F19" s="8">
        <v>1.89</v>
      </c>
      <c r="G19" s="12">
        <v>135</v>
      </c>
      <c r="H19" s="8">
        <v>4.55</v>
      </c>
      <c r="I19" s="12">
        <v>10</v>
      </c>
    </row>
    <row r="20" spans="2:9" ht="15" customHeight="1" x14ac:dyDescent="0.2">
      <c r="B20" s="9" t="s">
        <v>529</v>
      </c>
      <c r="C20" s="12">
        <f>SUM(LTBL_01104[総数／事業所数])</f>
        <v>4465</v>
      </c>
      <c r="E20" s="12">
        <f>SUBTOTAL(109,LTBL_01104[個人／事業所数])</f>
        <v>1485</v>
      </c>
      <c r="G20" s="12">
        <f>SUBTOTAL(109,LTBL_01104[法人／事業所数])</f>
        <v>2967</v>
      </c>
      <c r="I20" s="12">
        <f>SUBTOTAL(109,LTBL_01104[法人以外の団体／事業所数])</f>
        <v>12</v>
      </c>
    </row>
    <row r="21" spans="2:9" ht="15" customHeight="1" x14ac:dyDescent="0.2">
      <c r="E21" s="11">
        <f>LTBL_01104[[#Totals],[個人／事業所数]]/LTBL_01104[[#Totals],[総数／事業所数]]</f>
        <v>0.33258678611422171</v>
      </c>
      <c r="G21" s="11">
        <f>LTBL_01104[[#Totals],[法人／事業所数]]/LTBL_01104[[#Totals],[総数／事業所数]]</f>
        <v>0.66450167973124297</v>
      </c>
      <c r="I21" s="11">
        <f>LTBL_01104[[#Totals],[法人以外の団体／事業所数]]/LTBL_01104[[#Totals],[総数／事業所数]]</f>
        <v>2.6875699888017916E-3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683</v>
      </c>
      <c r="D24" s="8">
        <v>15.3</v>
      </c>
      <c r="E24" s="12">
        <v>414</v>
      </c>
      <c r="F24" s="8">
        <v>27.88</v>
      </c>
      <c r="G24" s="12">
        <v>269</v>
      </c>
      <c r="H24" s="8">
        <v>9.07</v>
      </c>
      <c r="I24" s="12">
        <v>0</v>
      </c>
    </row>
    <row r="25" spans="2:9" ht="15" customHeight="1" x14ac:dyDescent="0.2">
      <c r="B25" t="s">
        <v>228</v>
      </c>
      <c r="C25" s="12">
        <v>356</v>
      </c>
      <c r="D25" s="8">
        <v>7.97</v>
      </c>
      <c r="E25" s="12">
        <v>276</v>
      </c>
      <c r="F25" s="8">
        <v>18.59</v>
      </c>
      <c r="G25" s="12">
        <v>80</v>
      </c>
      <c r="H25" s="8">
        <v>2.7</v>
      </c>
      <c r="I25" s="12">
        <v>0</v>
      </c>
    </row>
    <row r="26" spans="2:9" ht="15" customHeight="1" x14ac:dyDescent="0.2">
      <c r="B26" t="s">
        <v>214</v>
      </c>
      <c r="C26" s="12">
        <v>333</v>
      </c>
      <c r="D26" s="8">
        <v>7.46</v>
      </c>
      <c r="E26" s="12">
        <v>24</v>
      </c>
      <c r="F26" s="8">
        <v>1.62</v>
      </c>
      <c r="G26" s="12">
        <v>309</v>
      </c>
      <c r="H26" s="8">
        <v>10.41</v>
      </c>
      <c r="I26" s="12">
        <v>0</v>
      </c>
    </row>
    <row r="27" spans="2:9" ht="15" customHeight="1" x14ac:dyDescent="0.2">
      <c r="B27" t="s">
        <v>227</v>
      </c>
      <c r="C27" s="12">
        <v>320</v>
      </c>
      <c r="D27" s="8">
        <v>7.17</v>
      </c>
      <c r="E27" s="12">
        <v>269</v>
      </c>
      <c r="F27" s="8">
        <v>18.11</v>
      </c>
      <c r="G27" s="12">
        <v>51</v>
      </c>
      <c r="H27" s="8">
        <v>1.72</v>
      </c>
      <c r="I27" s="12">
        <v>0</v>
      </c>
    </row>
    <row r="28" spans="2:9" ht="15" customHeight="1" x14ac:dyDescent="0.2">
      <c r="B28" t="s">
        <v>213</v>
      </c>
      <c r="C28" s="12">
        <v>226</v>
      </c>
      <c r="D28" s="8">
        <v>5.0599999999999996</v>
      </c>
      <c r="E28" s="12">
        <v>5</v>
      </c>
      <c r="F28" s="8">
        <v>0.34</v>
      </c>
      <c r="G28" s="12">
        <v>221</v>
      </c>
      <c r="H28" s="8">
        <v>7.45</v>
      </c>
      <c r="I28" s="12">
        <v>0</v>
      </c>
    </row>
    <row r="29" spans="2:9" ht="15" customHeight="1" x14ac:dyDescent="0.2">
      <c r="B29" t="s">
        <v>215</v>
      </c>
      <c r="C29" s="12">
        <v>226</v>
      </c>
      <c r="D29" s="8">
        <v>5.0599999999999996</v>
      </c>
      <c r="E29" s="12">
        <v>6</v>
      </c>
      <c r="F29" s="8">
        <v>0.4</v>
      </c>
      <c r="G29" s="12">
        <v>220</v>
      </c>
      <c r="H29" s="8">
        <v>7.41</v>
      </c>
      <c r="I29" s="12">
        <v>0</v>
      </c>
    </row>
    <row r="30" spans="2:9" ht="15" customHeight="1" x14ac:dyDescent="0.2">
      <c r="B30" t="s">
        <v>223</v>
      </c>
      <c r="C30" s="12">
        <v>186</v>
      </c>
      <c r="D30" s="8">
        <v>4.17</v>
      </c>
      <c r="E30" s="12">
        <v>60</v>
      </c>
      <c r="F30" s="8">
        <v>4.04</v>
      </c>
      <c r="G30" s="12">
        <v>126</v>
      </c>
      <c r="H30" s="8">
        <v>4.25</v>
      </c>
      <c r="I30" s="12">
        <v>0</v>
      </c>
    </row>
    <row r="31" spans="2:9" ht="15" customHeight="1" x14ac:dyDescent="0.2">
      <c r="B31" t="s">
        <v>218</v>
      </c>
      <c r="C31" s="12">
        <v>175</v>
      </c>
      <c r="D31" s="8">
        <v>3.92</v>
      </c>
      <c r="E31" s="12">
        <v>4</v>
      </c>
      <c r="F31" s="8">
        <v>0.27</v>
      </c>
      <c r="G31" s="12">
        <v>171</v>
      </c>
      <c r="H31" s="8">
        <v>5.76</v>
      </c>
      <c r="I31" s="12">
        <v>0</v>
      </c>
    </row>
    <row r="32" spans="2:9" ht="15" customHeight="1" x14ac:dyDescent="0.2">
      <c r="B32" t="s">
        <v>231</v>
      </c>
      <c r="C32" s="12">
        <v>166</v>
      </c>
      <c r="D32" s="8">
        <v>3.72</v>
      </c>
      <c r="E32" s="12">
        <v>131</v>
      </c>
      <c r="F32" s="8">
        <v>8.82</v>
      </c>
      <c r="G32" s="12">
        <v>35</v>
      </c>
      <c r="H32" s="8">
        <v>1.18</v>
      </c>
      <c r="I32" s="12">
        <v>0</v>
      </c>
    </row>
    <row r="33" spans="2:9" ht="15" customHeight="1" x14ac:dyDescent="0.2">
      <c r="B33" t="s">
        <v>219</v>
      </c>
      <c r="C33" s="12">
        <v>148</v>
      </c>
      <c r="D33" s="8">
        <v>3.31</v>
      </c>
      <c r="E33" s="12">
        <v>4</v>
      </c>
      <c r="F33" s="8">
        <v>0.27</v>
      </c>
      <c r="G33" s="12">
        <v>144</v>
      </c>
      <c r="H33" s="8">
        <v>4.8499999999999996</v>
      </c>
      <c r="I33" s="12">
        <v>0</v>
      </c>
    </row>
    <row r="34" spans="2:9" ht="15" customHeight="1" x14ac:dyDescent="0.2">
      <c r="B34" t="s">
        <v>222</v>
      </c>
      <c r="C34" s="12">
        <v>124</v>
      </c>
      <c r="D34" s="8">
        <v>2.78</v>
      </c>
      <c r="E34" s="12">
        <v>25</v>
      </c>
      <c r="F34" s="8">
        <v>1.68</v>
      </c>
      <c r="G34" s="12">
        <v>99</v>
      </c>
      <c r="H34" s="8">
        <v>3.34</v>
      </c>
      <c r="I34" s="12">
        <v>0</v>
      </c>
    </row>
    <row r="35" spans="2:9" ht="15" customHeight="1" x14ac:dyDescent="0.2">
      <c r="B35" t="s">
        <v>226</v>
      </c>
      <c r="C35" s="12">
        <v>113</v>
      </c>
      <c r="D35" s="8">
        <v>2.5299999999999998</v>
      </c>
      <c r="E35" s="12">
        <v>11</v>
      </c>
      <c r="F35" s="8">
        <v>0.74</v>
      </c>
      <c r="G35" s="12">
        <v>101</v>
      </c>
      <c r="H35" s="8">
        <v>3.4</v>
      </c>
      <c r="I35" s="12">
        <v>0</v>
      </c>
    </row>
    <row r="36" spans="2:9" ht="15" customHeight="1" x14ac:dyDescent="0.2">
      <c r="B36" t="s">
        <v>217</v>
      </c>
      <c r="C36" s="12">
        <v>112</v>
      </c>
      <c r="D36" s="8">
        <v>2.5099999999999998</v>
      </c>
      <c r="E36" s="12">
        <v>4</v>
      </c>
      <c r="F36" s="8">
        <v>0.27</v>
      </c>
      <c r="G36" s="12">
        <v>108</v>
      </c>
      <c r="H36" s="8">
        <v>3.64</v>
      </c>
      <c r="I36" s="12">
        <v>0</v>
      </c>
    </row>
    <row r="37" spans="2:9" ht="15" customHeight="1" x14ac:dyDescent="0.2">
      <c r="B37" t="s">
        <v>221</v>
      </c>
      <c r="C37" s="12">
        <v>84</v>
      </c>
      <c r="D37" s="8">
        <v>1.88</v>
      </c>
      <c r="E37" s="12">
        <v>29</v>
      </c>
      <c r="F37" s="8">
        <v>1.95</v>
      </c>
      <c r="G37" s="12">
        <v>55</v>
      </c>
      <c r="H37" s="8">
        <v>1.85</v>
      </c>
      <c r="I37" s="12">
        <v>0</v>
      </c>
    </row>
    <row r="38" spans="2:9" ht="15" customHeight="1" x14ac:dyDescent="0.2">
      <c r="B38" t="s">
        <v>225</v>
      </c>
      <c r="C38" s="12">
        <v>79</v>
      </c>
      <c r="D38" s="8">
        <v>1.77</v>
      </c>
      <c r="E38" s="12">
        <v>41</v>
      </c>
      <c r="F38" s="8">
        <v>2.76</v>
      </c>
      <c r="G38" s="12">
        <v>38</v>
      </c>
      <c r="H38" s="8">
        <v>1.28</v>
      </c>
      <c r="I38" s="12">
        <v>0</v>
      </c>
    </row>
    <row r="39" spans="2:9" ht="15" customHeight="1" x14ac:dyDescent="0.2">
      <c r="B39" t="s">
        <v>233</v>
      </c>
      <c r="C39" s="12">
        <v>73</v>
      </c>
      <c r="D39" s="8">
        <v>1.63</v>
      </c>
      <c r="E39" s="12">
        <v>3</v>
      </c>
      <c r="F39" s="8">
        <v>0.2</v>
      </c>
      <c r="G39" s="12">
        <v>70</v>
      </c>
      <c r="H39" s="8">
        <v>2.36</v>
      </c>
      <c r="I39" s="12">
        <v>0</v>
      </c>
    </row>
    <row r="40" spans="2:9" ht="15" customHeight="1" x14ac:dyDescent="0.2">
      <c r="B40" t="s">
        <v>230</v>
      </c>
      <c r="C40" s="12">
        <v>72</v>
      </c>
      <c r="D40" s="8">
        <v>1.61</v>
      </c>
      <c r="E40" s="12">
        <v>47</v>
      </c>
      <c r="F40" s="8">
        <v>3.16</v>
      </c>
      <c r="G40" s="12">
        <v>23</v>
      </c>
      <c r="H40" s="8">
        <v>0.78</v>
      </c>
      <c r="I40" s="12">
        <v>2</v>
      </c>
    </row>
    <row r="41" spans="2:9" ht="15" customHeight="1" x14ac:dyDescent="0.2">
      <c r="B41" t="s">
        <v>236</v>
      </c>
      <c r="C41" s="12">
        <v>68</v>
      </c>
      <c r="D41" s="8">
        <v>1.52</v>
      </c>
      <c r="E41" s="12">
        <v>4</v>
      </c>
      <c r="F41" s="8">
        <v>0.27</v>
      </c>
      <c r="G41" s="12">
        <v>64</v>
      </c>
      <c r="H41" s="8">
        <v>2.16</v>
      </c>
      <c r="I41" s="12">
        <v>0</v>
      </c>
    </row>
    <row r="42" spans="2:9" ht="15" customHeight="1" x14ac:dyDescent="0.2">
      <c r="B42" t="s">
        <v>232</v>
      </c>
      <c r="C42" s="12">
        <v>66</v>
      </c>
      <c r="D42" s="8">
        <v>1.48</v>
      </c>
      <c r="E42" s="12">
        <v>1</v>
      </c>
      <c r="F42" s="8">
        <v>7.0000000000000007E-2</v>
      </c>
      <c r="G42" s="12">
        <v>65</v>
      </c>
      <c r="H42" s="8">
        <v>2.19</v>
      </c>
      <c r="I42" s="12">
        <v>0</v>
      </c>
    </row>
    <row r="43" spans="2:9" ht="15" customHeight="1" x14ac:dyDescent="0.2">
      <c r="B43" t="s">
        <v>216</v>
      </c>
      <c r="C43" s="12">
        <v>64</v>
      </c>
      <c r="D43" s="8">
        <v>1.43</v>
      </c>
      <c r="E43" s="12">
        <v>0</v>
      </c>
      <c r="F43" s="8">
        <v>0</v>
      </c>
      <c r="G43" s="12">
        <v>64</v>
      </c>
      <c r="H43" s="8">
        <v>2.16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552</v>
      </c>
      <c r="D47" s="8">
        <v>12.36</v>
      </c>
      <c r="E47" s="12">
        <v>389</v>
      </c>
      <c r="F47" s="8">
        <v>26.2</v>
      </c>
      <c r="G47" s="12">
        <v>163</v>
      </c>
      <c r="H47" s="8">
        <v>5.49</v>
      </c>
      <c r="I47" s="12">
        <v>0</v>
      </c>
    </row>
    <row r="48" spans="2:9" ht="15" customHeight="1" x14ac:dyDescent="0.2">
      <c r="B48" t="s">
        <v>304</v>
      </c>
      <c r="C48" s="12">
        <v>180</v>
      </c>
      <c r="D48" s="8">
        <v>4.03</v>
      </c>
      <c r="E48" s="12">
        <v>156</v>
      </c>
      <c r="F48" s="8">
        <v>10.51</v>
      </c>
      <c r="G48" s="12">
        <v>24</v>
      </c>
      <c r="H48" s="8">
        <v>0.81</v>
      </c>
      <c r="I48" s="12">
        <v>0</v>
      </c>
    </row>
    <row r="49" spans="2:9" ht="15" customHeight="1" x14ac:dyDescent="0.2">
      <c r="B49" t="s">
        <v>303</v>
      </c>
      <c r="C49" s="12">
        <v>112</v>
      </c>
      <c r="D49" s="8">
        <v>2.5099999999999998</v>
      </c>
      <c r="E49" s="12">
        <v>99</v>
      </c>
      <c r="F49" s="8">
        <v>6.67</v>
      </c>
      <c r="G49" s="12">
        <v>13</v>
      </c>
      <c r="H49" s="8">
        <v>0.44</v>
      </c>
      <c r="I49" s="12">
        <v>0</v>
      </c>
    </row>
    <row r="50" spans="2:9" ht="15" customHeight="1" x14ac:dyDescent="0.2">
      <c r="B50" t="s">
        <v>309</v>
      </c>
      <c r="C50" s="12">
        <v>104</v>
      </c>
      <c r="D50" s="8">
        <v>2.33</v>
      </c>
      <c r="E50" s="12">
        <v>4</v>
      </c>
      <c r="F50" s="8">
        <v>0.27</v>
      </c>
      <c r="G50" s="12">
        <v>100</v>
      </c>
      <c r="H50" s="8">
        <v>3.37</v>
      </c>
      <c r="I50" s="12">
        <v>0</v>
      </c>
    </row>
    <row r="51" spans="2:9" ht="15" customHeight="1" x14ac:dyDescent="0.2">
      <c r="B51" t="s">
        <v>306</v>
      </c>
      <c r="C51" s="12">
        <v>104</v>
      </c>
      <c r="D51" s="8">
        <v>2.33</v>
      </c>
      <c r="E51" s="12">
        <v>85</v>
      </c>
      <c r="F51" s="8">
        <v>5.72</v>
      </c>
      <c r="G51" s="12">
        <v>19</v>
      </c>
      <c r="H51" s="8">
        <v>0.64</v>
      </c>
      <c r="I51" s="12">
        <v>0</v>
      </c>
    </row>
    <row r="52" spans="2:9" ht="15" customHeight="1" x14ac:dyDescent="0.2">
      <c r="B52" t="s">
        <v>300</v>
      </c>
      <c r="C52" s="12">
        <v>99</v>
      </c>
      <c r="D52" s="8">
        <v>2.2200000000000002</v>
      </c>
      <c r="E52" s="12">
        <v>83</v>
      </c>
      <c r="F52" s="8">
        <v>5.59</v>
      </c>
      <c r="G52" s="12">
        <v>16</v>
      </c>
      <c r="H52" s="8">
        <v>0.54</v>
      </c>
      <c r="I52" s="12">
        <v>0</v>
      </c>
    </row>
    <row r="53" spans="2:9" ht="15" customHeight="1" x14ac:dyDescent="0.2">
      <c r="B53" t="s">
        <v>291</v>
      </c>
      <c r="C53" s="12">
        <v>98</v>
      </c>
      <c r="D53" s="8">
        <v>2.19</v>
      </c>
      <c r="E53" s="12">
        <v>2</v>
      </c>
      <c r="F53" s="8">
        <v>0.13</v>
      </c>
      <c r="G53" s="12">
        <v>96</v>
      </c>
      <c r="H53" s="8">
        <v>3.24</v>
      </c>
      <c r="I53" s="12">
        <v>0</v>
      </c>
    </row>
    <row r="54" spans="2:9" ht="15" customHeight="1" x14ac:dyDescent="0.2">
      <c r="B54" t="s">
        <v>293</v>
      </c>
      <c r="C54" s="12">
        <v>91</v>
      </c>
      <c r="D54" s="8">
        <v>2.04</v>
      </c>
      <c r="E54" s="12">
        <v>15</v>
      </c>
      <c r="F54" s="8">
        <v>1.01</v>
      </c>
      <c r="G54" s="12">
        <v>76</v>
      </c>
      <c r="H54" s="8">
        <v>2.56</v>
      </c>
      <c r="I54" s="12">
        <v>0</v>
      </c>
    </row>
    <row r="55" spans="2:9" ht="15" customHeight="1" x14ac:dyDescent="0.2">
      <c r="B55" t="s">
        <v>298</v>
      </c>
      <c r="C55" s="12">
        <v>84</v>
      </c>
      <c r="D55" s="8">
        <v>1.88</v>
      </c>
      <c r="E55" s="12">
        <v>6</v>
      </c>
      <c r="F55" s="8">
        <v>0.4</v>
      </c>
      <c r="G55" s="12">
        <v>78</v>
      </c>
      <c r="H55" s="8">
        <v>2.63</v>
      </c>
      <c r="I55" s="12">
        <v>0</v>
      </c>
    </row>
    <row r="56" spans="2:9" ht="15" customHeight="1" x14ac:dyDescent="0.2">
      <c r="B56" t="s">
        <v>308</v>
      </c>
      <c r="C56" s="12">
        <v>77</v>
      </c>
      <c r="D56" s="8">
        <v>1.72</v>
      </c>
      <c r="E56" s="12">
        <v>10</v>
      </c>
      <c r="F56" s="8">
        <v>0.67</v>
      </c>
      <c r="G56" s="12">
        <v>67</v>
      </c>
      <c r="H56" s="8">
        <v>2.2599999999999998</v>
      </c>
      <c r="I56" s="12">
        <v>0</v>
      </c>
    </row>
    <row r="57" spans="2:9" ht="15" customHeight="1" x14ac:dyDescent="0.2">
      <c r="B57" t="s">
        <v>321</v>
      </c>
      <c r="C57" s="12">
        <v>76</v>
      </c>
      <c r="D57" s="8">
        <v>1.7</v>
      </c>
      <c r="E57" s="12">
        <v>1</v>
      </c>
      <c r="F57" s="8">
        <v>7.0000000000000007E-2</v>
      </c>
      <c r="G57" s="12">
        <v>75</v>
      </c>
      <c r="H57" s="8">
        <v>2.5299999999999998</v>
      </c>
      <c r="I57" s="12">
        <v>0</v>
      </c>
    </row>
    <row r="58" spans="2:9" ht="15" customHeight="1" x14ac:dyDescent="0.2">
      <c r="B58" t="s">
        <v>289</v>
      </c>
      <c r="C58" s="12">
        <v>74</v>
      </c>
      <c r="D58" s="8">
        <v>1.66</v>
      </c>
      <c r="E58" s="12">
        <v>0</v>
      </c>
      <c r="F58" s="8">
        <v>0</v>
      </c>
      <c r="G58" s="12">
        <v>74</v>
      </c>
      <c r="H58" s="8">
        <v>2.4900000000000002</v>
      </c>
      <c r="I58" s="12">
        <v>0</v>
      </c>
    </row>
    <row r="59" spans="2:9" ht="15" customHeight="1" x14ac:dyDescent="0.2">
      <c r="B59" t="s">
        <v>299</v>
      </c>
      <c r="C59" s="12">
        <v>72</v>
      </c>
      <c r="D59" s="8">
        <v>1.61</v>
      </c>
      <c r="E59" s="12">
        <v>56</v>
      </c>
      <c r="F59" s="8">
        <v>3.77</v>
      </c>
      <c r="G59" s="12">
        <v>16</v>
      </c>
      <c r="H59" s="8">
        <v>0.54</v>
      </c>
      <c r="I59" s="12">
        <v>0</v>
      </c>
    </row>
    <row r="60" spans="2:9" ht="15" customHeight="1" x14ac:dyDescent="0.2">
      <c r="B60" t="s">
        <v>296</v>
      </c>
      <c r="C60" s="12">
        <v>71</v>
      </c>
      <c r="D60" s="8">
        <v>1.59</v>
      </c>
      <c r="E60" s="12">
        <v>17</v>
      </c>
      <c r="F60" s="8">
        <v>1.1399999999999999</v>
      </c>
      <c r="G60" s="12">
        <v>54</v>
      </c>
      <c r="H60" s="8">
        <v>1.82</v>
      </c>
      <c r="I60" s="12">
        <v>0</v>
      </c>
    </row>
    <row r="61" spans="2:9" ht="15" customHeight="1" x14ac:dyDescent="0.2">
      <c r="B61" t="s">
        <v>290</v>
      </c>
      <c r="C61" s="12">
        <v>69</v>
      </c>
      <c r="D61" s="8">
        <v>1.55</v>
      </c>
      <c r="E61" s="12">
        <v>2</v>
      </c>
      <c r="F61" s="8">
        <v>0.13</v>
      </c>
      <c r="G61" s="12">
        <v>67</v>
      </c>
      <c r="H61" s="8">
        <v>2.2599999999999998</v>
      </c>
      <c r="I61" s="12">
        <v>0</v>
      </c>
    </row>
    <row r="62" spans="2:9" ht="15" customHeight="1" x14ac:dyDescent="0.2">
      <c r="B62" t="s">
        <v>301</v>
      </c>
      <c r="C62" s="12">
        <v>68</v>
      </c>
      <c r="D62" s="8">
        <v>1.52</v>
      </c>
      <c r="E62" s="12">
        <v>66</v>
      </c>
      <c r="F62" s="8">
        <v>4.4400000000000004</v>
      </c>
      <c r="G62" s="12">
        <v>2</v>
      </c>
      <c r="H62" s="8">
        <v>7.0000000000000007E-2</v>
      </c>
      <c r="I62" s="12">
        <v>0</v>
      </c>
    </row>
    <row r="63" spans="2:9" ht="15" customHeight="1" x14ac:dyDescent="0.2">
      <c r="B63" t="s">
        <v>320</v>
      </c>
      <c r="C63" s="12">
        <v>65</v>
      </c>
      <c r="D63" s="8">
        <v>1.46</v>
      </c>
      <c r="E63" s="12">
        <v>2</v>
      </c>
      <c r="F63" s="8">
        <v>0.13</v>
      </c>
      <c r="G63" s="12">
        <v>63</v>
      </c>
      <c r="H63" s="8">
        <v>2.12</v>
      </c>
      <c r="I63" s="12">
        <v>0</v>
      </c>
    </row>
    <row r="64" spans="2:9" ht="15" customHeight="1" x14ac:dyDescent="0.2">
      <c r="B64" t="s">
        <v>295</v>
      </c>
      <c r="C64" s="12">
        <v>59</v>
      </c>
      <c r="D64" s="8">
        <v>1.32</v>
      </c>
      <c r="E64" s="12">
        <v>34</v>
      </c>
      <c r="F64" s="8">
        <v>2.29</v>
      </c>
      <c r="G64" s="12">
        <v>25</v>
      </c>
      <c r="H64" s="8">
        <v>0.84</v>
      </c>
      <c r="I64" s="12">
        <v>0</v>
      </c>
    </row>
    <row r="65" spans="2:9" ht="15" customHeight="1" x14ac:dyDescent="0.2">
      <c r="B65" t="s">
        <v>319</v>
      </c>
      <c r="C65" s="12">
        <v>56</v>
      </c>
      <c r="D65" s="8">
        <v>1.25</v>
      </c>
      <c r="E65" s="12">
        <v>0</v>
      </c>
      <c r="F65" s="8">
        <v>0</v>
      </c>
      <c r="G65" s="12">
        <v>56</v>
      </c>
      <c r="H65" s="8">
        <v>1.89</v>
      </c>
      <c r="I65" s="12">
        <v>0</v>
      </c>
    </row>
    <row r="66" spans="2:9" ht="15" customHeight="1" x14ac:dyDescent="0.2">
      <c r="B66" t="s">
        <v>310</v>
      </c>
      <c r="C66" s="12">
        <v>53</v>
      </c>
      <c r="D66" s="8">
        <v>1.19</v>
      </c>
      <c r="E66" s="12">
        <v>3</v>
      </c>
      <c r="F66" s="8">
        <v>0.2</v>
      </c>
      <c r="G66" s="12">
        <v>50</v>
      </c>
      <c r="H66" s="8">
        <v>1.69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20F27-B4BB-49C1-84DB-5BE41BD9B19F}">
  <sheetPr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2.5</v>
      </c>
      <c r="E5" s="12">
        <v>1</v>
      </c>
      <c r="F5" s="8">
        <v>4.17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6</v>
      </c>
      <c r="D6" s="8">
        <v>15</v>
      </c>
      <c r="E6" s="12">
        <v>2</v>
      </c>
      <c r="F6" s="8">
        <v>8.33</v>
      </c>
      <c r="G6" s="12">
        <v>4</v>
      </c>
      <c r="H6" s="8">
        <v>30.77</v>
      </c>
      <c r="I6" s="12">
        <v>0</v>
      </c>
    </row>
    <row r="7" spans="2:9" ht="15" customHeight="1" x14ac:dyDescent="0.2">
      <c r="B7" t="s">
        <v>192</v>
      </c>
      <c r="C7" s="12">
        <v>0</v>
      </c>
      <c r="D7" s="8">
        <v>0</v>
      </c>
      <c r="E7" s="12">
        <v>0</v>
      </c>
      <c r="F7" s="8">
        <v>0</v>
      </c>
      <c r="G7" s="12">
        <v>0</v>
      </c>
      <c r="H7" s="8">
        <v>0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2.5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2.5</v>
      </c>
      <c r="E10" s="12">
        <v>0</v>
      </c>
      <c r="F10" s="8">
        <v>0</v>
      </c>
      <c r="G10" s="12">
        <v>1</v>
      </c>
      <c r="H10" s="8">
        <v>7.69</v>
      </c>
      <c r="I10" s="12">
        <v>0</v>
      </c>
    </row>
    <row r="11" spans="2:9" ht="15" customHeight="1" x14ac:dyDescent="0.2">
      <c r="B11" t="s">
        <v>196</v>
      </c>
      <c r="C11" s="12">
        <v>11</v>
      </c>
      <c r="D11" s="8">
        <v>27.5</v>
      </c>
      <c r="E11" s="12">
        <v>6</v>
      </c>
      <c r="F11" s="8">
        <v>25</v>
      </c>
      <c r="G11" s="12">
        <v>5</v>
      </c>
      <c r="H11" s="8">
        <v>38.46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5</v>
      </c>
      <c r="E13" s="12">
        <v>0</v>
      </c>
      <c r="F13" s="8">
        <v>0</v>
      </c>
      <c r="G13" s="12">
        <v>2</v>
      </c>
      <c r="H13" s="8">
        <v>15.38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6</v>
      </c>
      <c r="D15" s="8">
        <v>15</v>
      </c>
      <c r="E15" s="12">
        <v>6</v>
      </c>
      <c r="F15" s="8">
        <v>25</v>
      </c>
      <c r="G15" s="12">
        <v>0</v>
      </c>
      <c r="H15" s="8">
        <v>0</v>
      </c>
      <c r="I15" s="12">
        <v>0</v>
      </c>
    </row>
    <row r="16" spans="2:9" ht="15" customHeight="1" x14ac:dyDescent="0.2">
      <c r="B16" t="s">
        <v>201</v>
      </c>
      <c r="C16" s="12">
        <v>5</v>
      </c>
      <c r="D16" s="8">
        <v>12.5</v>
      </c>
      <c r="E16" s="12">
        <v>5</v>
      </c>
      <c r="F16" s="8">
        <v>20.83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10</v>
      </c>
      <c r="E18" s="12">
        <v>3</v>
      </c>
      <c r="F18" s="8">
        <v>12.5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7.5</v>
      </c>
      <c r="E19" s="12">
        <v>1</v>
      </c>
      <c r="F19" s="8">
        <v>4.17</v>
      </c>
      <c r="G19" s="12">
        <v>1</v>
      </c>
      <c r="H19" s="8">
        <v>7.69</v>
      </c>
      <c r="I19" s="12">
        <v>0</v>
      </c>
    </row>
    <row r="20" spans="2:9" ht="15" customHeight="1" x14ac:dyDescent="0.2">
      <c r="B20" s="9" t="s">
        <v>529</v>
      </c>
      <c r="C20" s="12">
        <f>SUM(LTBL_01437[総数／事業所数])</f>
        <v>40</v>
      </c>
      <c r="E20" s="12">
        <f>SUBTOTAL(109,LTBL_01437[個人／事業所数])</f>
        <v>24</v>
      </c>
      <c r="G20" s="12">
        <f>SUBTOTAL(109,LTBL_01437[法人／事業所数])</f>
        <v>13</v>
      </c>
      <c r="I20" s="12">
        <f>SUBTOTAL(109,LTBL_01437[法人以外の団体／事業所数])</f>
        <v>0</v>
      </c>
    </row>
    <row r="21" spans="2:9" ht="15" customHeight="1" x14ac:dyDescent="0.2">
      <c r="E21" s="11">
        <f>LTBL_01437[[#Totals],[個人／事業所数]]/LTBL_01437[[#Totals],[総数／事業所数]]</f>
        <v>0.6</v>
      </c>
      <c r="G21" s="11">
        <f>LTBL_01437[[#Totals],[法人／事業所数]]/LTBL_01437[[#Totals],[総数／事業所数]]</f>
        <v>0.32500000000000001</v>
      </c>
      <c r="I21" s="11">
        <f>LTBL_01437[[#Totals],[法人以外の団体／事業所数]]/LTBL_01437[[#Totals],[総数／事業所数]]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8</v>
      </c>
      <c r="D24" s="8">
        <v>20</v>
      </c>
      <c r="E24" s="12">
        <v>5</v>
      </c>
      <c r="F24" s="8">
        <v>20.83</v>
      </c>
      <c r="G24" s="12">
        <v>3</v>
      </c>
      <c r="H24" s="8">
        <v>23.08</v>
      </c>
      <c r="I24" s="12">
        <v>0</v>
      </c>
    </row>
    <row r="25" spans="2:9" ht="15" customHeight="1" x14ac:dyDescent="0.2">
      <c r="B25" t="s">
        <v>227</v>
      </c>
      <c r="C25" s="12">
        <v>6</v>
      </c>
      <c r="D25" s="8">
        <v>15</v>
      </c>
      <c r="E25" s="12">
        <v>6</v>
      </c>
      <c r="F25" s="8">
        <v>25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213</v>
      </c>
      <c r="C26" s="12">
        <v>5</v>
      </c>
      <c r="D26" s="8">
        <v>12.5</v>
      </c>
      <c r="E26" s="12">
        <v>1</v>
      </c>
      <c r="F26" s="8">
        <v>4.17</v>
      </c>
      <c r="G26" s="12">
        <v>4</v>
      </c>
      <c r="H26" s="8">
        <v>30.77</v>
      </c>
      <c r="I26" s="12">
        <v>0</v>
      </c>
    </row>
    <row r="27" spans="2:9" ht="15" customHeight="1" x14ac:dyDescent="0.2">
      <c r="B27" t="s">
        <v>228</v>
      </c>
      <c r="C27" s="12">
        <v>5</v>
      </c>
      <c r="D27" s="8">
        <v>12.5</v>
      </c>
      <c r="E27" s="12">
        <v>5</v>
      </c>
      <c r="F27" s="8">
        <v>20.83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231</v>
      </c>
      <c r="C28" s="12">
        <v>3</v>
      </c>
      <c r="D28" s="8">
        <v>7.5</v>
      </c>
      <c r="E28" s="12">
        <v>3</v>
      </c>
      <c r="F28" s="8">
        <v>12.5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221</v>
      </c>
      <c r="C29" s="12">
        <v>2</v>
      </c>
      <c r="D29" s="8">
        <v>5</v>
      </c>
      <c r="E29" s="12">
        <v>1</v>
      </c>
      <c r="F29" s="8">
        <v>4.17</v>
      </c>
      <c r="G29" s="12">
        <v>1</v>
      </c>
      <c r="H29" s="8">
        <v>7.69</v>
      </c>
      <c r="I29" s="12">
        <v>0</v>
      </c>
    </row>
    <row r="30" spans="2:9" ht="15" customHeight="1" x14ac:dyDescent="0.2">
      <c r="B30" t="s">
        <v>242</v>
      </c>
      <c r="C30" s="12">
        <v>2</v>
      </c>
      <c r="D30" s="8">
        <v>5</v>
      </c>
      <c r="E30" s="12">
        <v>1</v>
      </c>
      <c r="F30" s="8">
        <v>4.17</v>
      </c>
      <c r="G30" s="12">
        <v>1</v>
      </c>
      <c r="H30" s="8">
        <v>7.69</v>
      </c>
      <c r="I30" s="12">
        <v>0</v>
      </c>
    </row>
    <row r="31" spans="2:9" ht="15" customHeight="1" x14ac:dyDescent="0.2">
      <c r="B31" t="s">
        <v>273</v>
      </c>
      <c r="C31" s="12">
        <v>1</v>
      </c>
      <c r="D31" s="8">
        <v>2.5</v>
      </c>
      <c r="E31" s="12">
        <v>1</v>
      </c>
      <c r="F31" s="8">
        <v>4.17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214</v>
      </c>
      <c r="C32" s="12">
        <v>1</v>
      </c>
      <c r="D32" s="8">
        <v>2.5</v>
      </c>
      <c r="E32" s="12">
        <v>1</v>
      </c>
      <c r="F32" s="8">
        <v>4.17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255</v>
      </c>
      <c r="C33" s="12">
        <v>1</v>
      </c>
      <c r="D33" s="8">
        <v>2.5</v>
      </c>
      <c r="E33" s="12">
        <v>0</v>
      </c>
      <c r="F33" s="8">
        <v>0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238</v>
      </c>
      <c r="C34" s="12">
        <v>1</v>
      </c>
      <c r="D34" s="8">
        <v>2.5</v>
      </c>
      <c r="E34" s="12">
        <v>0</v>
      </c>
      <c r="F34" s="8">
        <v>0</v>
      </c>
      <c r="G34" s="12">
        <v>1</v>
      </c>
      <c r="H34" s="8">
        <v>7.69</v>
      </c>
      <c r="I34" s="12">
        <v>0</v>
      </c>
    </row>
    <row r="35" spans="2:9" ht="15" customHeight="1" x14ac:dyDescent="0.2">
      <c r="B35" t="s">
        <v>222</v>
      </c>
      <c r="C35" s="12">
        <v>1</v>
      </c>
      <c r="D35" s="8">
        <v>2.5</v>
      </c>
      <c r="E35" s="12">
        <v>0</v>
      </c>
      <c r="F35" s="8">
        <v>0</v>
      </c>
      <c r="G35" s="12">
        <v>1</v>
      </c>
      <c r="H35" s="8">
        <v>7.69</v>
      </c>
      <c r="I35" s="12">
        <v>0</v>
      </c>
    </row>
    <row r="36" spans="2:9" ht="15" customHeight="1" x14ac:dyDescent="0.2">
      <c r="B36" t="s">
        <v>224</v>
      </c>
      <c r="C36" s="12">
        <v>1</v>
      </c>
      <c r="D36" s="8">
        <v>2.5</v>
      </c>
      <c r="E36" s="12">
        <v>0</v>
      </c>
      <c r="F36" s="8">
        <v>0</v>
      </c>
      <c r="G36" s="12">
        <v>1</v>
      </c>
      <c r="H36" s="8">
        <v>7.69</v>
      </c>
      <c r="I36" s="12">
        <v>0</v>
      </c>
    </row>
    <row r="37" spans="2:9" ht="15" customHeight="1" x14ac:dyDescent="0.2">
      <c r="B37" t="s">
        <v>246</v>
      </c>
      <c r="C37" s="12">
        <v>1</v>
      </c>
      <c r="D37" s="8">
        <v>2.5</v>
      </c>
      <c r="E37" s="12">
        <v>0</v>
      </c>
      <c r="F37" s="8">
        <v>0</v>
      </c>
      <c r="G37" s="12">
        <v>1</v>
      </c>
      <c r="H37" s="8">
        <v>7.69</v>
      </c>
      <c r="I37" s="12">
        <v>0</v>
      </c>
    </row>
    <row r="38" spans="2:9" ht="15" customHeight="1" x14ac:dyDescent="0.2">
      <c r="B38" t="s">
        <v>232</v>
      </c>
      <c r="C38" s="12">
        <v>1</v>
      </c>
      <c r="D38" s="8">
        <v>2.5</v>
      </c>
      <c r="E38" s="12">
        <v>0</v>
      </c>
      <c r="F38" s="8">
        <v>0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250</v>
      </c>
      <c r="C39" s="12">
        <v>1</v>
      </c>
      <c r="D39" s="8">
        <v>2.5</v>
      </c>
      <c r="E39" s="12">
        <v>0</v>
      </c>
      <c r="F39" s="8">
        <v>0</v>
      </c>
      <c r="G39" s="12">
        <v>0</v>
      </c>
      <c r="H39" s="8">
        <v>0</v>
      </c>
      <c r="I39" s="12">
        <v>0</v>
      </c>
    </row>
    <row r="42" spans="2:9" ht="33" customHeight="1" x14ac:dyDescent="0.2">
      <c r="B42" t="s">
        <v>531</v>
      </c>
      <c r="C42" s="10" t="s">
        <v>206</v>
      </c>
      <c r="D42" s="10" t="s">
        <v>207</v>
      </c>
      <c r="E42" s="10" t="s">
        <v>208</v>
      </c>
      <c r="F42" s="10" t="s">
        <v>209</v>
      </c>
      <c r="G42" s="10" t="s">
        <v>210</v>
      </c>
      <c r="H42" s="10" t="s">
        <v>211</v>
      </c>
      <c r="I42" s="10" t="s">
        <v>212</v>
      </c>
    </row>
    <row r="43" spans="2:9" ht="15" customHeight="1" x14ac:dyDescent="0.2">
      <c r="B43" t="s">
        <v>330</v>
      </c>
      <c r="C43" s="12">
        <v>3</v>
      </c>
      <c r="D43" s="8">
        <v>7.5</v>
      </c>
      <c r="E43" s="12">
        <v>2</v>
      </c>
      <c r="F43" s="8">
        <v>8.33</v>
      </c>
      <c r="G43" s="12">
        <v>1</v>
      </c>
      <c r="H43" s="8">
        <v>7.69</v>
      </c>
      <c r="I43" s="12">
        <v>0</v>
      </c>
    </row>
    <row r="44" spans="2:9" ht="15" customHeight="1" x14ac:dyDescent="0.2">
      <c r="B44" t="s">
        <v>304</v>
      </c>
      <c r="C44" s="12">
        <v>3</v>
      </c>
      <c r="D44" s="8">
        <v>7.5</v>
      </c>
      <c r="E44" s="12">
        <v>3</v>
      </c>
      <c r="F44" s="8">
        <v>12.5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288</v>
      </c>
      <c r="C45" s="12">
        <v>2</v>
      </c>
      <c r="D45" s="8">
        <v>5</v>
      </c>
      <c r="E45" s="12">
        <v>0</v>
      </c>
      <c r="F45" s="8">
        <v>0</v>
      </c>
      <c r="G45" s="12">
        <v>2</v>
      </c>
      <c r="H45" s="8">
        <v>15.38</v>
      </c>
      <c r="I45" s="12">
        <v>0</v>
      </c>
    </row>
    <row r="46" spans="2:9" ht="15" customHeight="1" x14ac:dyDescent="0.2">
      <c r="B46" t="s">
        <v>299</v>
      </c>
      <c r="C46" s="12">
        <v>2</v>
      </c>
      <c r="D46" s="8">
        <v>5</v>
      </c>
      <c r="E46" s="12">
        <v>2</v>
      </c>
      <c r="F46" s="8">
        <v>8.33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300</v>
      </c>
      <c r="C47" s="12">
        <v>2</v>
      </c>
      <c r="D47" s="8">
        <v>5</v>
      </c>
      <c r="E47" s="12">
        <v>2</v>
      </c>
      <c r="F47" s="8">
        <v>8.33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301</v>
      </c>
      <c r="C48" s="12">
        <v>2</v>
      </c>
      <c r="D48" s="8">
        <v>5</v>
      </c>
      <c r="E48" s="12">
        <v>2</v>
      </c>
      <c r="F48" s="8">
        <v>8.33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303</v>
      </c>
      <c r="C49" s="12">
        <v>2</v>
      </c>
      <c r="D49" s="8">
        <v>5</v>
      </c>
      <c r="E49" s="12">
        <v>2</v>
      </c>
      <c r="F49" s="8">
        <v>8.33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306</v>
      </c>
      <c r="C50" s="12">
        <v>2</v>
      </c>
      <c r="D50" s="8">
        <v>5</v>
      </c>
      <c r="E50" s="12">
        <v>2</v>
      </c>
      <c r="F50" s="8">
        <v>8.33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371</v>
      </c>
      <c r="C51" s="12">
        <v>2</v>
      </c>
      <c r="D51" s="8">
        <v>5</v>
      </c>
      <c r="E51" s="12">
        <v>1</v>
      </c>
      <c r="F51" s="8">
        <v>4.17</v>
      </c>
      <c r="G51" s="12">
        <v>1</v>
      </c>
      <c r="H51" s="8">
        <v>7.69</v>
      </c>
      <c r="I51" s="12">
        <v>0</v>
      </c>
    </row>
    <row r="52" spans="2:9" ht="15" customHeight="1" x14ac:dyDescent="0.2">
      <c r="B52" t="s">
        <v>427</v>
      </c>
      <c r="C52" s="12">
        <v>1</v>
      </c>
      <c r="D52" s="8">
        <v>2.5</v>
      </c>
      <c r="E52" s="12">
        <v>1</v>
      </c>
      <c r="F52" s="8">
        <v>4.17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442</v>
      </c>
      <c r="C53" s="12">
        <v>1</v>
      </c>
      <c r="D53" s="8">
        <v>2.5</v>
      </c>
      <c r="E53" s="12">
        <v>0</v>
      </c>
      <c r="F53" s="8">
        <v>0</v>
      </c>
      <c r="G53" s="12">
        <v>1</v>
      </c>
      <c r="H53" s="8">
        <v>7.69</v>
      </c>
      <c r="I53" s="12">
        <v>0</v>
      </c>
    </row>
    <row r="54" spans="2:9" ht="15" customHeight="1" x14ac:dyDescent="0.2">
      <c r="B54" t="s">
        <v>289</v>
      </c>
      <c r="C54" s="12">
        <v>1</v>
      </c>
      <c r="D54" s="8">
        <v>2.5</v>
      </c>
      <c r="E54" s="12">
        <v>1</v>
      </c>
      <c r="F54" s="8">
        <v>4.17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328</v>
      </c>
      <c r="C55" s="12">
        <v>1</v>
      </c>
      <c r="D55" s="8">
        <v>2.5</v>
      </c>
      <c r="E55" s="12">
        <v>0</v>
      </c>
      <c r="F55" s="8">
        <v>0</v>
      </c>
      <c r="G55" s="12">
        <v>1</v>
      </c>
      <c r="H55" s="8">
        <v>7.69</v>
      </c>
      <c r="I55" s="12">
        <v>0</v>
      </c>
    </row>
    <row r="56" spans="2:9" ht="15" customHeight="1" x14ac:dyDescent="0.2">
      <c r="B56" t="s">
        <v>343</v>
      </c>
      <c r="C56" s="12">
        <v>1</v>
      </c>
      <c r="D56" s="8">
        <v>2.5</v>
      </c>
      <c r="E56" s="12">
        <v>1</v>
      </c>
      <c r="F56" s="8">
        <v>4.17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362</v>
      </c>
      <c r="C57" s="12">
        <v>1</v>
      </c>
      <c r="D57" s="8">
        <v>2.5</v>
      </c>
      <c r="E57" s="12">
        <v>0</v>
      </c>
      <c r="F57" s="8">
        <v>0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326</v>
      </c>
      <c r="C58" s="12">
        <v>1</v>
      </c>
      <c r="D58" s="8">
        <v>2.5</v>
      </c>
      <c r="E58" s="12">
        <v>0</v>
      </c>
      <c r="F58" s="8">
        <v>0</v>
      </c>
      <c r="G58" s="12">
        <v>1</v>
      </c>
      <c r="H58" s="8">
        <v>7.69</v>
      </c>
      <c r="I58" s="12">
        <v>0</v>
      </c>
    </row>
    <row r="59" spans="2:9" ht="15" customHeight="1" x14ac:dyDescent="0.2">
      <c r="B59" t="s">
        <v>332</v>
      </c>
      <c r="C59" s="12">
        <v>1</v>
      </c>
      <c r="D59" s="8">
        <v>2.5</v>
      </c>
      <c r="E59" s="12">
        <v>1</v>
      </c>
      <c r="F59" s="8">
        <v>4.17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292</v>
      </c>
      <c r="C60" s="12">
        <v>1</v>
      </c>
      <c r="D60" s="8">
        <v>2.5</v>
      </c>
      <c r="E60" s="12">
        <v>0</v>
      </c>
      <c r="F60" s="8">
        <v>0</v>
      </c>
      <c r="G60" s="12">
        <v>1</v>
      </c>
      <c r="H60" s="8">
        <v>7.69</v>
      </c>
      <c r="I60" s="12">
        <v>0</v>
      </c>
    </row>
    <row r="61" spans="2:9" ht="15" customHeight="1" x14ac:dyDescent="0.2">
      <c r="B61" t="s">
        <v>293</v>
      </c>
      <c r="C61" s="12">
        <v>1</v>
      </c>
      <c r="D61" s="8">
        <v>2.5</v>
      </c>
      <c r="E61" s="12">
        <v>0</v>
      </c>
      <c r="F61" s="8">
        <v>0</v>
      </c>
      <c r="G61" s="12">
        <v>1</v>
      </c>
      <c r="H61" s="8">
        <v>7.69</v>
      </c>
      <c r="I61" s="12">
        <v>0</v>
      </c>
    </row>
    <row r="62" spans="2:9" ht="15" customHeight="1" x14ac:dyDescent="0.2">
      <c r="B62" t="s">
        <v>401</v>
      </c>
      <c r="C62" s="12">
        <v>1</v>
      </c>
      <c r="D62" s="8">
        <v>2.5</v>
      </c>
      <c r="E62" s="12">
        <v>0</v>
      </c>
      <c r="F62" s="8">
        <v>0</v>
      </c>
      <c r="G62" s="12">
        <v>1</v>
      </c>
      <c r="H62" s="8">
        <v>7.69</v>
      </c>
      <c r="I62" s="12">
        <v>0</v>
      </c>
    </row>
    <row r="63" spans="2:9" ht="15" customHeight="1" x14ac:dyDescent="0.2">
      <c r="B63" t="s">
        <v>402</v>
      </c>
      <c r="C63" s="12">
        <v>1</v>
      </c>
      <c r="D63" s="8">
        <v>2.5</v>
      </c>
      <c r="E63" s="12">
        <v>1</v>
      </c>
      <c r="F63" s="8">
        <v>4.17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294</v>
      </c>
      <c r="C64" s="12">
        <v>1</v>
      </c>
      <c r="D64" s="8">
        <v>2.5</v>
      </c>
      <c r="E64" s="12">
        <v>1</v>
      </c>
      <c r="F64" s="8">
        <v>4.17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372</v>
      </c>
      <c r="C65" s="12">
        <v>1</v>
      </c>
      <c r="D65" s="8">
        <v>2.5</v>
      </c>
      <c r="E65" s="12">
        <v>0</v>
      </c>
      <c r="F65" s="8">
        <v>0</v>
      </c>
      <c r="G65" s="12">
        <v>1</v>
      </c>
      <c r="H65" s="8">
        <v>7.69</v>
      </c>
      <c r="I65" s="12">
        <v>0</v>
      </c>
    </row>
    <row r="66" spans="2:9" ht="15" customHeight="1" x14ac:dyDescent="0.2">
      <c r="B66" t="s">
        <v>337</v>
      </c>
      <c r="C66" s="12">
        <v>1</v>
      </c>
      <c r="D66" s="8">
        <v>2.5</v>
      </c>
      <c r="E66" s="12">
        <v>1</v>
      </c>
      <c r="F66" s="8">
        <v>4.17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297</v>
      </c>
      <c r="C67" s="12">
        <v>1</v>
      </c>
      <c r="D67" s="8">
        <v>2.5</v>
      </c>
      <c r="E67" s="12">
        <v>0</v>
      </c>
      <c r="F67" s="8">
        <v>0</v>
      </c>
      <c r="G67" s="12">
        <v>1</v>
      </c>
      <c r="H67" s="8">
        <v>7.69</v>
      </c>
      <c r="I67" s="12">
        <v>0</v>
      </c>
    </row>
    <row r="68" spans="2:9" ht="15" customHeight="1" x14ac:dyDescent="0.2">
      <c r="B68" t="s">
        <v>415</v>
      </c>
      <c r="C68" s="12">
        <v>1</v>
      </c>
      <c r="D68" s="8">
        <v>2.5</v>
      </c>
      <c r="E68" s="12">
        <v>0</v>
      </c>
      <c r="F68" s="8">
        <v>0</v>
      </c>
      <c r="G68" s="12">
        <v>1</v>
      </c>
      <c r="H68" s="8">
        <v>7.69</v>
      </c>
      <c r="I68" s="12">
        <v>0</v>
      </c>
    </row>
    <row r="69" spans="2:9" ht="15" customHeight="1" x14ac:dyDescent="0.2">
      <c r="B69" t="s">
        <v>312</v>
      </c>
      <c r="C69" s="12">
        <v>1</v>
      </c>
      <c r="D69" s="8">
        <v>2.5</v>
      </c>
      <c r="E69" s="12">
        <v>1</v>
      </c>
      <c r="F69" s="8">
        <v>4.17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331</v>
      </c>
      <c r="C70" s="12">
        <v>1</v>
      </c>
      <c r="D70" s="8">
        <v>2.5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345</v>
      </c>
      <c r="C71" s="12">
        <v>1</v>
      </c>
      <c r="D71" s="8">
        <v>2.5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3" spans="2:9" ht="15" customHeight="1" x14ac:dyDescent="0.2">
      <c r="B7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34AD8-C961-42B1-8982-0B4B1141DB29}">
  <sheetPr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0.97</v>
      </c>
      <c r="E5" s="12">
        <v>0</v>
      </c>
      <c r="F5" s="8">
        <v>0</v>
      </c>
      <c r="G5" s="12">
        <v>1</v>
      </c>
      <c r="H5" s="8">
        <v>3.03</v>
      </c>
      <c r="I5" s="12">
        <v>0</v>
      </c>
    </row>
    <row r="6" spans="2:9" ht="15" customHeight="1" x14ac:dyDescent="0.2">
      <c r="B6" t="s">
        <v>191</v>
      </c>
      <c r="C6" s="12">
        <v>14</v>
      </c>
      <c r="D6" s="8">
        <v>13.59</v>
      </c>
      <c r="E6" s="12">
        <v>5</v>
      </c>
      <c r="F6" s="8">
        <v>8.33</v>
      </c>
      <c r="G6" s="12">
        <v>9</v>
      </c>
      <c r="H6" s="8">
        <v>27.27</v>
      </c>
      <c r="I6" s="12">
        <v>0</v>
      </c>
    </row>
    <row r="7" spans="2:9" ht="15" customHeight="1" x14ac:dyDescent="0.2">
      <c r="B7" t="s">
        <v>192</v>
      </c>
      <c r="C7" s="12">
        <v>5</v>
      </c>
      <c r="D7" s="8">
        <v>4.8499999999999996</v>
      </c>
      <c r="E7" s="12">
        <v>3</v>
      </c>
      <c r="F7" s="8">
        <v>5</v>
      </c>
      <c r="G7" s="12">
        <v>2</v>
      </c>
      <c r="H7" s="8">
        <v>6.06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0.97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0.97</v>
      </c>
      <c r="E9" s="12">
        <v>0</v>
      </c>
      <c r="F9" s="8">
        <v>0</v>
      </c>
      <c r="G9" s="12">
        <v>1</v>
      </c>
      <c r="H9" s="8">
        <v>3.03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3.88</v>
      </c>
      <c r="E10" s="12">
        <v>0</v>
      </c>
      <c r="F10" s="8">
        <v>0</v>
      </c>
      <c r="G10" s="12">
        <v>3</v>
      </c>
      <c r="H10" s="8">
        <v>9.09</v>
      </c>
      <c r="I10" s="12">
        <v>0</v>
      </c>
    </row>
    <row r="11" spans="2:9" ht="15" customHeight="1" x14ac:dyDescent="0.2">
      <c r="B11" t="s">
        <v>196</v>
      </c>
      <c r="C11" s="12">
        <v>25</v>
      </c>
      <c r="D11" s="8">
        <v>24.27</v>
      </c>
      <c r="E11" s="12">
        <v>16</v>
      </c>
      <c r="F11" s="8">
        <v>26.67</v>
      </c>
      <c r="G11" s="12">
        <v>9</v>
      </c>
      <c r="H11" s="8">
        <v>27.27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0.97</v>
      </c>
      <c r="E12" s="12">
        <v>1</v>
      </c>
      <c r="F12" s="8">
        <v>1.67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1.94</v>
      </c>
      <c r="E13" s="12">
        <v>0</v>
      </c>
      <c r="F13" s="8">
        <v>0</v>
      </c>
      <c r="G13" s="12">
        <v>1</v>
      </c>
      <c r="H13" s="8">
        <v>3.03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0.97</v>
      </c>
      <c r="E14" s="12">
        <v>1</v>
      </c>
      <c r="F14" s="8">
        <v>1.67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19</v>
      </c>
      <c r="D15" s="8">
        <v>18.45</v>
      </c>
      <c r="E15" s="12">
        <v>18</v>
      </c>
      <c r="F15" s="8">
        <v>30</v>
      </c>
      <c r="G15" s="12">
        <v>1</v>
      </c>
      <c r="H15" s="8">
        <v>3.03</v>
      </c>
      <c r="I15" s="12">
        <v>0</v>
      </c>
    </row>
    <row r="16" spans="2:9" ht="15" customHeight="1" x14ac:dyDescent="0.2">
      <c r="B16" t="s">
        <v>201</v>
      </c>
      <c r="C16" s="12">
        <v>13</v>
      </c>
      <c r="D16" s="8">
        <v>12.62</v>
      </c>
      <c r="E16" s="12">
        <v>11</v>
      </c>
      <c r="F16" s="8">
        <v>18.329999999999998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6.8</v>
      </c>
      <c r="E17" s="12">
        <v>3</v>
      </c>
      <c r="F17" s="8">
        <v>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2.91</v>
      </c>
      <c r="E18" s="12">
        <v>2</v>
      </c>
      <c r="F18" s="8">
        <v>3.33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5.83</v>
      </c>
      <c r="E19" s="12">
        <v>0</v>
      </c>
      <c r="F19" s="8">
        <v>0</v>
      </c>
      <c r="G19" s="12">
        <v>6</v>
      </c>
      <c r="H19" s="8">
        <v>18.18</v>
      </c>
      <c r="I19" s="12">
        <v>0</v>
      </c>
    </row>
    <row r="20" spans="2:9" ht="15" customHeight="1" x14ac:dyDescent="0.2">
      <c r="B20" s="9" t="s">
        <v>529</v>
      </c>
      <c r="C20" s="12">
        <f>SUM(LTBL_01438[総数／事業所数])</f>
        <v>103</v>
      </c>
      <c r="E20" s="12">
        <f>SUBTOTAL(109,LTBL_01438[個人／事業所数])</f>
        <v>60</v>
      </c>
      <c r="G20" s="12">
        <f>SUBTOTAL(109,LTBL_01438[法人／事業所数])</f>
        <v>33</v>
      </c>
      <c r="I20" s="12">
        <f>SUBTOTAL(109,LTBL_01438[法人以外の団体／事業所数])</f>
        <v>0</v>
      </c>
    </row>
    <row r="21" spans="2:9" ht="15" customHeight="1" x14ac:dyDescent="0.2">
      <c r="E21" s="11">
        <f>LTBL_01438[[#Totals],[個人／事業所数]]/LTBL_01438[[#Totals],[総数／事業所数]]</f>
        <v>0.58252427184466016</v>
      </c>
      <c r="G21" s="11">
        <f>LTBL_01438[[#Totals],[法人／事業所数]]/LTBL_01438[[#Totals],[総数／事業所数]]</f>
        <v>0.32038834951456313</v>
      </c>
      <c r="I21" s="11">
        <f>LTBL_01438[[#Totals],[法人以外の団体／事業所数]]/LTBL_01438[[#Totals],[総数／事業所数]]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18</v>
      </c>
      <c r="D24" s="8">
        <v>17.48</v>
      </c>
      <c r="E24" s="12">
        <v>18</v>
      </c>
      <c r="F24" s="8">
        <v>30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223</v>
      </c>
      <c r="C25" s="12">
        <v>10</v>
      </c>
      <c r="D25" s="8">
        <v>9.7100000000000009</v>
      </c>
      <c r="E25" s="12">
        <v>7</v>
      </c>
      <c r="F25" s="8">
        <v>11.67</v>
      </c>
      <c r="G25" s="12">
        <v>3</v>
      </c>
      <c r="H25" s="8">
        <v>9.09</v>
      </c>
      <c r="I25" s="12">
        <v>0</v>
      </c>
    </row>
    <row r="26" spans="2:9" ht="15" customHeight="1" x14ac:dyDescent="0.2">
      <c r="B26" t="s">
        <v>228</v>
      </c>
      <c r="C26" s="12">
        <v>10</v>
      </c>
      <c r="D26" s="8">
        <v>9.7100000000000009</v>
      </c>
      <c r="E26" s="12">
        <v>10</v>
      </c>
      <c r="F26" s="8">
        <v>16.670000000000002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214</v>
      </c>
      <c r="C27" s="12">
        <v>8</v>
      </c>
      <c r="D27" s="8">
        <v>7.77</v>
      </c>
      <c r="E27" s="12">
        <v>5</v>
      </c>
      <c r="F27" s="8">
        <v>8.33</v>
      </c>
      <c r="G27" s="12">
        <v>3</v>
      </c>
      <c r="H27" s="8">
        <v>9.09</v>
      </c>
      <c r="I27" s="12">
        <v>0</v>
      </c>
    </row>
    <row r="28" spans="2:9" ht="15" customHeight="1" x14ac:dyDescent="0.2">
      <c r="B28" t="s">
        <v>221</v>
      </c>
      <c r="C28" s="12">
        <v>7</v>
      </c>
      <c r="D28" s="8">
        <v>6.8</v>
      </c>
      <c r="E28" s="12">
        <v>4</v>
      </c>
      <c r="F28" s="8">
        <v>6.67</v>
      </c>
      <c r="G28" s="12">
        <v>3</v>
      </c>
      <c r="H28" s="8">
        <v>9.09</v>
      </c>
      <c r="I28" s="12">
        <v>0</v>
      </c>
    </row>
    <row r="29" spans="2:9" ht="15" customHeight="1" x14ac:dyDescent="0.2">
      <c r="B29" t="s">
        <v>230</v>
      </c>
      <c r="C29" s="12">
        <v>7</v>
      </c>
      <c r="D29" s="8">
        <v>6.8</v>
      </c>
      <c r="E29" s="12">
        <v>3</v>
      </c>
      <c r="F29" s="8">
        <v>5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234</v>
      </c>
      <c r="C30" s="12">
        <v>5</v>
      </c>
      <c r="D30" s="8">
        <v>4.8499999999999996</v>
      </c>
      <c r="E30" s="12">
        <v>0</v>
      </c>
      <c r="F30" s="8">
        <v>0</v>
      </c>
      <c r="G30" s="12">
        <v>5</v>
      </c>
      <c r="H30" s="8">
        <v>15.15</v>
      </c>
      <c r="I30" s="12">
        <v>0</v>
      </c>
    </row>
    <row r="31" spans="2:9" ht="15" customHeight="1" x14ac:dyDescent="0.2">
      <c r="B31" t="s">
        <v>213</v>
      </c>
      <c r="C31" s="12">
        <v>4</v>
      </c>
      <c r="D31" s="8">
        <v>3.88</v>
      </c>
      <c r="E31" s="12">
        <v>0</v>
      </c>
      <c r="F31" s="8">
        <v>0</v>
      </c>
      <c r="G31" s="12">
        <v>4</v>
      </c>
      <c r="H31" s="8">
        <v>12.12</v>
      </c>
      <c r="I31" s="12">
        <v>0</v>
      </c>
    </row>
    <row r="32" spans="2:9" ht="15" customHeight="1" x14ac:dyDescent="0.2">
      <c r="B32" t="s">
        <v>215</v>
      </c>
      <c r="C32" s="12">
        <v>2</v>
      </c>
      <c r="D32" s="8">
        <v>1.94</v>
      </c>
      <c r="E32" s="12">
        <v>0</v>
      </c>
      <c r="F32" s="8">
        <v>0</v>
      </c>
      <c r="G32" s="12">
        <v>2</v>
      </c>
      <c r="H32" s="8">
        <v>6.06</v>
      </c>
      <c r="I32" s="12">
        <v>0</v>
      </c>
    </row>
    <row r="33" spans="2:9" ht="15" customHeight="1" x14ac:dyDescent="0.2">
      <c r="B33" t="s">
        <v>258</v>
      </c>
      <c r="C33" s="12">
        <v>2</v>
      </c>
      <c r="D33" s="8">
        <v>1.94</v>
      </c>
      <c r="E33" s="12">
        <v>2</v>
      </c>
      <c r="F33" s="8">
        <v>3.33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260</v>
      </c>
      <c r="C34" s="12">
        <v>2</v>
      </c>
      <c r="D34" s="8">
        <v>1.94</v>
      </c>
      <c r="E34" s="12">
        <v>0</v>
      </c>
      <c r="F34" s="8">
        <v>0</v>
      </c>
      <c r="G34" s="12">
        <v>2</v>
      </c>
      <c r="H34" s="8">
        <v>6.06</v>
      </c>
      <c r="I34" s="12">
        <v>0</v>
      </c>
    </row>
    <row r="35" spans="2:9" ht="15" customHeight="1" x14ac:dyDescent="0.2">
      <c r="B35" t="s">
        <v>217</v>
      </c>
      <c r="C35" s="12">
        <v>2</v>
      </c>
      <c r="D35" s="8">
        <v>1.94</v>
      </c>
      <c r="E35" s="12">
        <v>1</v>
      </c>
      <c r="F35" s="8">
        <v>1.67</v>
      </c>
      <c r="G35" s="12">
        <v>1</v>
      </c>
      <c r="H35" s="8">
        <v>3.03</v>
      </c>
      <c r="I35" s="12">
        <v>0</v>
      </c>
    </row>
    <row r="36" spans="2:9" ht="15" customHeight="1" x14ac:dyDescent="0.2">
      <c r="B36" t="s">
        <v>220</v>
      </c>
      <c r="C36" s="12">
        <v>2</v>
      </c>
      <c r="D36" s="8">
        <v>1.94</v>
      </c>
      <c r="E36" s="12">
        <v>1</v>
      </c>
      <c r="F36" s="8">
        <v>1.67</v>
      </c>
      <c r="G36" s="12">
        <v>1</v>
      </c>
      <c r="H36" s="8">
        <v>3.03</v>
      </c>
      <c r="I36" s="12">
        <v>0</v>
      </c>
    </row>
    <row r="37" spans="2:9" ht="15" customHeight="1" x14ac:dyDescent="0.2">
      <c r="B37" t="s">
        <v>222</v>
      </c>
      <c r="C37" s="12">
        <v>2</v>
      </c>
      <c r="D37" s="8">
        <v>1.94</v>
      </c>
      <c r="E37" s="12">
        <v>2</v>
      </c>
      <c r="F37" s="8">
        <v>3.33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247</v>
      </c>
      <c r="C38" s="12">
        <v>2</v>
      </c>
      <c r="D38" s="8">
        <v>1.94</v>
      </c>
      <c r="E38" s="12">
        <v>0</v>
      </c>
      <c r="F38" s="8">
        <v>0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231</v>
      </c>
      <c r="C39" s="12">
        <v>2</v>
      </c>
      <c r="D39" s="8">
        <v>1.94</v>
      </c>
      <c r="E39" s="12">
        <v>2</v>
      </c>
      <c r="F39" s="8">
        <v>3.33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273</v>
      </c>
      <c r="C40" s="12">
        <v>1</v>
      </c>
      <c r="D40" s="8">
        <v>0.97</v>
      </c>
      <c r="E40" s="12">
        <v>0</v>
      </c>
      <c r="F40" s="8">
        <v>0</v>
      </c>
      <c r="G40" s="12">
        <v>1</v>
      </c>
      <c r="H40" s="8">
        <v>3.03</v>
      </c>
      <c r="I40" s="12">
        <v>0</v>
      </c>
    </row>
    <row r="41" spans="2:9" ht="15" customHeight="1" x14ac:dyDescent="0.2">
      <c r="B41" t="s">
        <v>252</v>
      </c>
      <c r="C41" s="12">
        <v>1</v>
      </c>
      <c r="D41" s="8">
        <v>0.97</v>
      </c>
      <c r="E41" s="12">
        <v>0</v>
      </c>
      <c r="F41" s="8">
        <v>0</v>
      </c>
      <c r="G41" s="12">
        <v>1</v>
      </c>
      <c r="H41" s="8">
        <v>3.03</v>
      </c>
      <c r="I41" s="12">
        <v>0</v>
      </c>
    </row>
    <row r="42" spans="2:9" ht="15" customHeight="1" x14ac:dyDescent="0.2">
      <c r="B42" t="s">
        <v>253</v>
      </c>
      <c r="C42" s="12">
        <v>1</v>
      </c>
      <c r="D42" s="8">
        <v>0.97</v>
      </c>
      <c r="E42" s="12">
        <v>1</v>
      </c>
      <c r="F42" s="8">
        <v>1.67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278</v>
      </c>
      <c r="C43" s="12">
        <v>1</v>
      </c>
      <c r="D43" s="8">
        <v>0.97</v>
      </c>
      <c r="E43" s="12">
        <v>0</v>
      </c>
      <c r="F43" s="8">
        <v>0</v>
      </c>
      <c r="G43" s="12">
        <v>1</v>
      </c>
      <c r="H43" s="8">
        <v>3.03</v>
      </c>
      <c r="I43" s="12">
        <v>0</v>
      </c>
    </row>
    <row r="44" spans="2:9" ht="15" customHeight="1" x14ac:dyDescent="0.2">
      <c r="B44" t="s">
        <v>255</v>
      </c>
      <c r="C44" s="12">
        <v>1</v>
      </c>
      <c r="D44" s="8">
        <v>0.97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235</v>
      </c>
      <c r="C45" s="12">
        <v>1</v>
      </c>
      <c r="D45" s="8">
        <v>0.97</v>
      </c>
      <c r="E45" s="12">
        <v>0</v>
      </c>
      <c r="F45" s="8">
        <v>0</v>
      </c>
      <c r="G45" s="12">
        <v>1</v>
      </c>
      <c r="H45" s="8">
        <v>3.03</v>
      </c>
      <c r="I45" s="12">
        <v>0</v>
      </c>
    </row>
    <row r="46" spans="2:9" ht="15" customHeight="1" x14ac:dyDescent="0.2">
      <c r="B46" t="s">
        <v>238</v>
      </c>
      <c r="C46" s="12">
        <v>1</v>
      </c>
      <c r="D46" s="8">
        <v>0.97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248</v>
      </c>
      <c r="C47" s="12">
        <v>1</v>
      </c>
      <c r="D47" s="8">
        <v>0.97</v>
      </c>
      <c r="E47" s="12">
        <v>0</v>
      </c>
      <c r="F47" s="8">
        <v>0</v>
      </c>
      <c r="G47" s="12">
        <v>1</v>
      </c>
      <c r="H47" s="8">
        <v>3.03</v>
      </c>
      <c r="I47" s="12">
        <v>0</v>
      </c>
    </row>
    <row r="48" spans="2:9" ht="15" customHeight="1" x14ac:dyDescent="0.2">
      <c r="B48" t="s">
        <v>219</v>
      </c>
      <c r="C48" s="12">
        <v>1</v>
      </c>
      <c r="D48" s="8">
        <v>0.97</v>
      </c>
      <c r="E48" s="12">
        <v>0</v>
      </c>
      <c r="F48" s="8">
        <v>0</v>
      </c>
      <c r="G48" s="12">
        <v>1</v>
      </c>
      <c r="H48" s="8">
        <v>3.03</v>
      </c>
      <c r="I48" s="12">
        <v>0</v>
      </c>
    </row>
    <row r="49" spans="2:9" ht="15" customHeight="1" x14ac:dyDescent="0.2">
      <c r="B49" t="s">
        <v>236</v>
      </c>
      <c r="C49" s="12">
        <v>1</v>
      </c>
      <c r="D49" s="8">
        <v>0.97</v>
      </c>
      <c r="E49" s="12">
        <v>1</v>
      </c>
      <c r="F49" s="8">
        <v>1.67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237</v>
      </c>
      <c r="C50" s="12">
        <v>1</v>
      </c>
      <c r="D50" s="8">
        <v>0.97</v>
      </c>
      <c r="E50" s="12">
        <v>1</v>
      </c>
      <c r="F50" s="8">
        <v>1.67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224</v>
      </c>
      <c r="C51" s="12">
        <v>1</v>
      </c>
      <c r="D51" s="8">
        <v>0.97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246</v>
      </c>
      <c r="C52" s="12">
        <v>1</v>
      </c>
      <c r="D52" s="8">
        <v>0.97</v>
      </c>
      <c r="E52" s="12">
        <v>0</v>
      </c>
      <c r="F52" s="8">
        <v>0</v>
      </c>
      <c r="G52" s="12">
        <v>1</v>
      </c>
      <c r="H52" s="8">
        <v>3.03</v>
      </c>
      <c r="I52" s="12">
        <v>0</v>
      </c>
    </row>
    <row r="53" spans="2:9" ht="15" customHeight="1" x14ac:dyDescent="0.2">
      <c r="B53" t="s">
        <v>226</v>
      </c>
      <c r="C53" s="12">
        <v>1</v>
      </c>
      <c r="D53" s="8">
        <v>0.97</v>
      </c>
      <c r="E53" s="12">
        <v>1</v>
      </c>
      <c r="F53" s="8">
        <v>1.67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239</v>
      </c>
      <c r="C54" s="12">
        <v>1</v>
      </c>
      <c r="D54" s="8">
        <v>0.97</v>
      </c>
      <c r="E54" s="12">
        <v>0</v>
      </c>
      <c r="F54" s="8">
        <v>0</v>
      </c>
      <c r="G54" s="12">
        <v>1</v>
      </c>
      <c r="H54" s="8">
        <v>3.03</v>
      </c>
      <c r="I54" s="12">
        <v>0</v>
      </c>
    </row>
    <row r="55" spans="2:9" ht="15" customHeight="1" x14ac:dyDescent="0.2">
      <c r="B55" t="s">
        <v>229</v>
      </c>
      <c r="C55" s="12">
        <v>1</v>
      </c>
      <c r="D55" s="8">
        <v>0.97</v>
      </c>
      <c r="E55" s="12">
        <v>1</v>
      </c>
      <c r="F55" s="8">
        <v>1.67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232</v>
      </c>
      <c r="C56" s="12">
        <v>1</v>
      </c>
      <c r="D56" s="8">
        <v>0.97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249</v>
      </c>
      <c r="C57" s="12">
        <v>1</v>
      </c>
      <c r="D57" s="8">
        <v>0.97</v>
      </c>
      <c r="E57" s="12">
        <v>0</v>
      </c>
      <c r="F57" s="8">
        <v>0</v>
      </c>
      <c r="G57" s="12">
        <v>1</v>
      </c>
      <c r="H57" s="8">
        <v>3.03</v>
      </c>
      <c r="I57" s="12">
        <v>0</v>
      </c>
    </row>
    <row r="60" spans="2:9" ht="33" customHeight="1" x14ac:dyDescent="0.2">
      <c r="B60" t="s">
        <v>531</v>
      </c>
      <c r="C60" s="10" t="s">
        <v>206</v>
      </c>
      <c r="D60" s="10" t="s">
        <v>207</v>
      </c>
      <c r="E60" s="10" t="s">
        <v>208</v>
      </c>
      <c r="F60" s="10" t="s">
        <v>209</v>
      </c>
      <c r="G60" s="10" t="s">
        <v>210</v>
      </c>
      <c r="H60" s="10" t="s">
        <v>211</v>
      </c>
      <c r="I60" s="10" t="s">
        <v>212</v>
      </c>
    </row>
    <row r="61" spans="2:9" ht="15" customHeight="1" x14ac:dyDescent="0.2">
      <c r="B61" t="s">
        <v>304</v>
      </c>
      <c r="C61" s="12">
        <v>7</v>
      </c>
      <c r="D61" s="8">
        <v>6.8</v>
      </c>
      <c r="E61" s="12">
        <v>7</v>
      </c>
      <c r="F61" s="8">
        <v>11.67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301</v>
      </c>
      <c r="C62" s="12">
        <v>6</v>
      </c>
      <c r="D62" s="8">
        <v>5.83</v>
      </c>
      <c r="E62" s="12">
        <v>6</v>
      </c>
      <c r="F62" s="8">
        <v>10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332</v>
      </c>
      <c r="C63" s="12">
        <v>4</v>
      </c>
      <c r="D63" s="8">
        <v>3.88</v>
      </c>
      <c r="E63" s="12">
        <v>3</v>
      </c>
      <c r="F63" s="8">
        <v>5</v>
      </c>
      <c r="G63" s="12">
        <v>1</v>
      </c>
      <c r="H63" s="8">
        <v>3.03</v>
      </c>
      <c r="I63" s="12">
        <v>0</v>
      </c>
    </row>
    <row r="64" spans="2:9" ht="15" customHeight="1" x14ac:dyDescent="0.2">
      <c r="B64" t="s">
        <v>300</v>
      </c>
      <c r="C64" s="12">
        <v>4</v>
      </c>
      <c r="D64" s="8">
        <v>3.88</v>
      </c>
      <c r="E64" s="12">
        <v>4</v>
      </c>
      <c r="F64" s="8">
        <v>6.67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340</v>
      </c>
      <c r="C65" s="12">
        <v>4</v>
      </c>
      <c r="D65" s="8">
        <v>3.88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289</v>
      </c>
      <c r="C66" s="12">
        <v>3</v>
      </c>
      <c r="D66" s="8">
        <v>2.91</v>
      </c>
      <c r="E66" s="12">
        <v>0</v>
      </c>
      <c r="F66" s="8">
        <v>0</v>
      </c>
      <c r="G66" s="12">
        <v>3</v>
      </c>
      <c r="H66" s="8">
        <v>9.09</v>
      </c>
      <c r="I66" s="12">
        <v>0</v>
      </c>
    </row>
    <row r="67" spans="2:9" ht="15" customHeight="1" x14ac:dyDescent="0.2">
      <c r="B67" t="s">
        <v>295</v>
      </c>
      <c r="C67" s="12">
        <v>3</v>
      </c>
      <c r="D67" s="8">
        <v>2.91</v>
      </c>
      <c r="E67" s="12">
        <v>2</v>
      </c>
      <c r="F67" s="8">
        <v>3.33</v>
      </c>
      <c r="G67" s="12">
        <v>1</v>
      </c>
      <c r="H67" s="8">
        <v>3.03</v>
      </c>
      <c r="I67" s="12">
        <v>0</v>
      </c>
    </row>
    <row r="68" spans="2:9" ht="15" customHeight="1" x14ac:dyDescent="0.2">
      <c r="B68" t="s">
        <v>334</v>
      </c>
      <c r="C68" s="12">
        <v>3</v>
      </c>
      <c r="D68" s="8">
        <v>2.91</v>
      </c>
      <c r="E68" s="12">
        <v>3</v>
      </c>
      <c r="F68" s="8">
        <v>5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348</v>
      </c>
      <c r="C69" s="12">
        <v>3</v>
      </c>
      <c r="D69" s="8">
        <v>2.91</v>
      </c>
      <c r="E69" s="12">
        <v>0</v>
      </c>
      <c r="F69" s="8">
        <v>0</v>
      </c>
      <c r="G69" s="12">
        <v>3</v>
      </c>
      <c r="H69" s="8">
        <v>9.09</v>
      </c>
      <c r="I69" s="12">
        <v>0</v>
      </c>
    </row>
    <row r="70" spans="2:9" ht="15" customHeight="1" x14ac:dyDescent="0.2">
      <c r="B70" t="s">
        <v>375</v>
      </c>
      <c r="C70" s="12">
        <v>2</v>
      </c>
      <c r="D70" s="8">
        <v>1.94</v>
      </c>
      <c r="E70" s="12">
        <v>1</v>
      </c>
      <c r="F70" s="8">
        <v>1.67</v>
      </c>
      <c r="G70" s="12">
        <v>1</v>
      </c>
      <c r="H70" s="8">
        <v>3.03</v>
      </c>
      <c r="I70" s="12">
        <v>0</v>
      </c>
    </row>
    <row r="71" spans="2:9" ht="15" customHeight="1" x14ac:dyDescent="0.2">
      <c r="B71" t="s">
        <v>333</v>
      </c>
      <c r="C71" s="12">
        <v>2</v>
      </c>
      <c r="D71" s="8">
        <v>1.94</v>
      </c>
      <c r="E71" s="12">
        <v>1</v>
      </c>
      <c r="F71" s="8">
        <v>1.67</v>
      </c>
      <c r="G71" s="12">
        <v>1</v>
      </c>
      <c r="H71" s="8">
        <v>3.03</v>
      </c>
      <c r="I71" s="12">
        <v>0</v>
      </c>
    </row>
    <row r="72" spans="2:9" ht="15" customHeight="1" x14ac:dyDescent="0.2">
      <c r="B72" t="s">
        <v>308</v>
      </c>
      <c r="C72" s="12">
        <v>2</v>
      </c>
      <c r="D72" s="8">
        <v>1.94</v>
      </c>
      <c r="E72" s="12">
        <v>1</v>
      </c>
      <c r="F72" s="8">
        <v>1.67</v>
      </c>
      <c r="G72" s="12">
        <v>1</v>
      </c>
      <c r="H72" s="8">
        <v>3.03</v>
      </c>
      <c r="I72" s="12">
        <v>0</v>
      </c>
    </row>
    <row r="73" spans="2:9" ht="15" customHeight="1" x14ac:dyDescent="0.2">
      <c r="B73" t="s">
        <v>290</v>
      </c>
      <c r="C73" s="12">
        <v>2</v>
      </c>
      <c r="D73" s="8">
        <v>1.94</v>
      </c>
      <c r="E73" s="12">
        <v>0</v>
      </c>
      <c r="F73" s="8">
        <v>0</v>
      </c>
      <c r="G73" s="12">
        <v>2</v>
      </c>
      <c r="H73" s="8">
        <v>6.06</v>
      </c>
      <c r="I73" s="12">
        <v>0</v>
      </c>
    </row>
    <row r="74" spans="2:9" ht="15" customHeight="1" x14ac:dyDescent="0.2">
      <c r="B74" t="s">
        <v>381</v>
      </c>
      <c r="C74" s="12">
        <v>2</v>
      </c>
      <c r="D74" s="8">
        <v>1.94</v>
      </c>
      <c r="E74" s="12">
        <v>2</v>
      </c>
      <c r="F74" s="8">
        <v>3.33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363</v>
      </c>
      <c r="C75" s="12">
        <v>2</v>
      </c>
      <c r="D75" s="8">
        <v>1.94</v>
      </c>
      <c r="E75" s="12">
        <v>0</v>
      </c>
      <c r="F75" s="8">
        <v>0</v>
      </c>
      <c r="G75" s="12">
        <v>2</v>
      </c>
      <c r="H75" s="8">
        <v>6.06</v>
      </c>
      <c r="I75" s="12">
        <v>0</v>
      </c>
    </row>
    <row r="76" spans="2:9" ht="15" customHeight="1" x14ac:dyDescent="0.2">
      <c r="B76" t="s">
        <v>294</v>
      </c>
      <c r="C76" s="12">
        <v>2</v>
      </c>
      <c r="D76" s="8">
        <v>1.94</v>
      </c>
      <c r="E76" s="12">
        <v>1</v>
      </c>
      <c r="F76" s="8">
        <v>1.67</v>
      </c>
      <c r="G76" s="12">
        <v>1</v>
      </c>
      <c r="H76" s="8">
        <v>3.03</v>
      </c>
      <c r="I76" s="12">
        <v>0</v>
      </c>
    </row>
    <row r="77" spans="2:9" ht="15" customHeight="1" x14ac:dyDescent="0.2">
      <c r="B77" t="s">
        <v>330</v>
      </c>
      <c r="C77" s="12">
        <v>2</v>
      </c>
      <c r="D77" s="8">
        <v>1.94</v>
      </c>
      <c r="E77" s="12">
        <v>1</v>
      </c>
      <c r="F77" s="8">
        <v>1.67</v>
      </c>
      <c r="G77" s="12">
        <v>1</v>
      </c>
      <c r="H77" s="8">
        <v>3.03</v>
      </c>
      <c r="I77" s="12">
        <v>0</v>
      </c>
    </row>
    <row r="78" spans="2:9" ht="15" customHeight="1" x14ac:dyDescent="0.2">
      <c r="B78" t="s">
        <v>299</v>
      </c>
      <c r="C78" s="12">
        <v>2</v>
      </c>
      <c r="D78" s="8">
        <v>1.94</v>
      </c>
      <c r="E78" s="12">
        <v>2</v>
      </c>
      <c r="F78" s="8">
        <v>3.33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419</v>
      </c>
      <c r="C79" s="12">
        <v>2</v>
      </c>
      <c r="D79" s="8">
        <v>1.94</v>
      </c>
      <c r="E79" s="12">
        <v>2</v>
      </c>
      <c r="F79" s="8">
        <v>3.33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303</v>
      </c>
      <c r="C80" s="12">
        <v>2</v>
      </c>
      <c r="D80" s="8">
        <v>1.94</v>
      </c>
      <c r="E80" s="12">
        <v>2</v>
      </c>
      <c r="F80" s="8">
        <v>3.33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368</v>
      </c>
      <c r="C81" s="12">
        <v>2</v>
      </c>
      <c r="D81" s="8">
        <v>1.94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305</v>
      </c>
      <c r="C82" s="12">
        <v>2</v>
      </c>
      <c r="D82" s="8">
        <v>1.94</v>
      </c>
      <c r="E82" s="12">
        <v>2</v>
      </c>
      <c r="F82" s="8">
        <v>3.33</v>
      </c>
      <c r="G82" s="12">
        <v>0</v>
      </c>
      <c r="H82" s="8">
        <v>0</v>
      </c>
      <c r="I82" s="12">
        <v>0</v>
      </c>
    </row>
    <row r="84" spans="2:9" ht="15" customHeight="1" x14ac:dyDescent="0.2">
      <c r="B8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F2EEE-DB90-4C4E-8234-6000AEF969B1}">
  <sheetPr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34</v>
      </c>
      <c r="D6" s="8">
        <v>23.78</v>
      </c>
      <c r="E6" s="12">
        <v>13</v>
      </c>
      <c r="F6" s="8">
        <v>18.84</v>
      </c>
      <c r="G6" s="12">
        <v>21</v>
      </c>
      <c r="H6" s="8">
        <v>30</v>
      </c>
      <c r="I6" s="12">
        <v>0</v>
      </c>
    </row>
    <row r="7" spans="2:9" ht="15" customHeight="1" x14ac:dyDescent="0.2">
      <c r="B7" t="s">
        <v>192</v>
      </c>
      <c r="C7" s="12">
        <v>15</v>
      </c>
      <c r="D7" s="8">
        <v>10.49</v>
      </c>
      <c r="E7" s="12">
        <v>5</v>
      </c>
      <c r="F7" s="8">
        <v>7.25</v>
      </c>
      <c r="G7" s="12">
        <v>10</v>
      </c>
      <c r="H7" s="8">
        <v>14.29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0.7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1.4</v>
      </c>
      <c r="E10" s="12">
        <v>0</v>
      </c>
      <c r="F10" s="8">
        <v>0</v>
      </c>
      <c r="G10" s="12">
        <v>2</v>
      </c>
      <c r="H10" s="8">
        <v>2.86</v>
      </c>
      <c r="I10" s="12">
        <v>0</v>
      </c>
    </row>
    <row r="11" spans="2:9" ht="15" customHeight="1" x14ac:dyDescent="0.2">
      <c r="B11" t="s">
        <v>196</v>
      </c>
      <c r="C11" s="12">
        <v>34</v>
      </c>
      <c r="D11" s="8">
        <v>23.78</v>
      </c>
      <c r="E11" s="12">
        <v>19</v>
      </c>
      <c r="F11" s="8">
        <v>27.54</v>
      </c>
      <c r="G11" s="12">
        <v>15</v>
      </c>
      <c r="H11" s="8">
        <v>21.43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0.7</v>
      </c>
      <c r="E12" s="12">
        <v>0</v>
      </c>
      <c r="F12" s="8">
        <v>0</v>
      </c>
      <c r="G12" s="12">
        <v>1</v>
      </c>
      <c r="H12" s="8">
        <v>1.43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2.1</v>
      </c>
      <c r="E13" s="12">
        <v>1</v>
      </c>
      <c r="F13" s="8">
        <v>1.45</v>
      </c>
      <c r="G13" s="12">
        <v>2</v>
      </c>
      <c r="H13" s="8">
        <v>2.86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3.5</v>
      </c>
      <c r="E14" s="12">
        <v>4</v>
      </c>
      <c r="F14" s="8">
        <v>5.8</v>
      </c>
      <c r="G14" s="12">
        <v>1</v>
      </c>
      <c r="H14" s="8">
        <v>1.43</v>
      </c>
      <c r="I14" s="12">
        <v>0</v>
      </c>
    </row>
    <row r="15" spans="2:9" ht="15" customHeight="1" x14ac:dyDescent="0.2">
      <c r="B15" t="s">
        <v>200</v>
      </c>
      <c r="C15" s="12">
        <v>14</v>
      </c>
      <c r="D15" s="8">
        <v>9.7899999999999991</v>
      </c>
      <c r="E15" s="12">
        <v>10</v>
      </c>
      <c r="F15" s="8">
        <v>14.49</v>
      </c>
      <c r="G15" s="12">
        <v>4</v>
      </c>
      <c r="H15" s="8">
        <v>5.71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9.7899999999999991</v>
      </c>
      <c r="E16" s="12">
        <v>9</v>
      </c>
      <c r="F16" s="8">
        <v>13.04</v>
      </c>
      <c r="G16" s="12">
        <v>3</v>
      </c>
      <c r="H16" s="8">
        <v>4.29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0.7</v>
      </c>
      <c r="E17" s="12">
        <v>1</v>
      </c>
      <c r="F17" s="8">
        <v>1.45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10</v>
      </c>
      <c r="D18" s="8">
        <v>6.99</v>
      </c>
      <c r="E18" s="12">
        <v>4</v>
      </c>
      <c r="F18" s="8">
        <v>5.8</v>
      </c>
      <c r="G18" s="12">
        <v>6</v>
      </c>
      <c r="H18" s="8">
        <v>8.57</v>
      </c>
      <c r="I18" s="12">
        <v>0</v>
      </c>
    </row>
    <row r="19" spans="2:9" ht="15" customHeight="1" x14ac:dyDescent="0.2">
      <c r="B19" t="s">
        <v>204</v>
      </c>
      <c r="C19" s="12">
        <v>9</v>
      </c>
      <c r="D19" s="8">
        <v>6.29</v>
      </c>
      <c r="E19" s="12">
        <v>3</v>
      </c>
      <c r="F19" s="8">
        <v>4.3499999999999996</v>
      </c>
      <c r="G19" s="12">
        <v>5</v>
      </c>
      <c r="H19" s="8">
        <v>7.14</v>
      </c>
      <c r="I19" s="12">
        <v>1</v>
      </c>
    </row>
    <row r="20" spans="2:9" ht="15" customHeight="1" x14ac:dyDescent="0.2">
      <c r="B20" s="9" t="s">
        <v>529</v>
      </c>
      <c r="C20" s="12">
        <f>SUM(LTBL_01452[総数／事業所数])</f>
        <v>143</v>
      </c>
      <c r="E20" s="12">
        <f>SUBTOTAL(109,LTBL_01452[個人／事業所数])</f>
        <v>69</v>
      </c>
      <c r="G20" s="12">
        <f>SUBTOTAL(109,LTBL_01452[法人／事業所数])</f>
        <v>70</v>
      </c>
      <c r="I20" s="12">
        <f>SUBTOTAL(109,LTBL_01452[法人以外の団体／事業所数])</f>
        <v>1</v>
      </c>
    </row>
    <row r="21" spans="2:9" ht="15" customHeight="1" x14ac:dyDescent="0.2">
      <c r="E21" s="11">
        <f>LTBL_01452[[#Totals],[個人／事業所数]]/LTBL_01452[[#Totals],[総数／事業所数]]</f>
        <v>0.4825174825174825</v>
      </c>
      <c r="G21" s="11">
        <f>LTBL_01452[[#Totals],[法人／事業所数]]/LTBL_01452[[#Totals],[総数／事業所数]]</f>
        <v>0.48951048951048953</v>
      </c>
      <c r="I21" s="11">
        <f>LTBL_01452[[#Totals],[法人以外の団体／事業所数]]/LTBL_01452[[#Totals],[総数／事業所数]]</f>
        <v>6.993006993006993E-3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214</v>
      </c>
      <c r="C24" s="12">
        <v>14</v>
      </c>
      <c r="D24" s="8">
        <v>9.7899999999999991</v>
      </c>
      <c r="E24" s="12">
        <v>7</v>
      </c>
      <c r="F24" s="8">
        <v>10.14</v>
      </c>
      <c r="G24" s="12">
        <v>7</v>
      </c>
      <c r="H24" s="8">
        <v>10</v>
      </c>
      <c r="I24" s="12">
        <v>0</v>
      </c>
    </row>
    <row r="25" spans="2:9" ht="15" customHeight="1" x14ac:dyDescent="0.2">
      <c r="B25" t="s">
        <v>213</v>
      </c>
      <c r="C25" s="12">
        <v>13</v>
      </c>
      <c r="D25" s="8">
        <v>9.09</v>
      </c>
      <c r="E25" s="12">
        <v>2</v>
      </c>
      <c r="F25" s="8">
        <v>2.9</v>
      </c>
      <c r="G25" s="12">
        <v>11</v>
      </c>
      <c r="H25" s="8">
        <v>15.71</v>
      </c>
      <c r="I25" s="12">
        <v>0</v>
      </c>
    </row>
    <row r="26" spans="2:9" ht="15" customHeight="1" x14ac:dyDescent="0.2">
      <c r="B26" t="s">
        <v>227</v>
      </c>
      <c r="C26" s="12">
        <v>12</v>
      </c>
      <c r="D26" s="8">
        <v>8.39</v>
      </c>
      <c r="E26" s="12">
        <v>10</v>
      </c>
      <c r="F26" s="8">
        <v>14.49</v>
      </c>
      <c r="G26" s="12">
        <v>2</v>
      </c>
      <c r="H26" s="8">
        <v>2.86</v>
      </c>
      <c r="I26" s="12">
        <v>0</v>
      </c>
    </row>
    <row r="27" spans="2:9" ht="15" customHeight="1" x14ac:dyDescent="0.2">
      <c r="B27" t="s">
        <v>223</v>
      </c>
      <c r="C27" s="12">
        <v>10</v>
      </c>
      <c r="D27" s="8">
        <v>6.99</v>
      </c>
      <c r="E27" s="12">
        <v>5</v>
      </c>
      <c r="F27" s="8">
        <v>7.25</v>
      </c>
      <c r="G27" s="12">
        <v>5</v>
      </c>
      <c r="H27" s="8">
        <v>7.14</v>
      </c>
      <c r="I27" s="12">
        <v>0</v>
      </c>
    </row>
    <row r="28" spans="2:9" ht="15" customHeight="1" x14ac:dyDescent="0.2">
      <c r="B28" t="s">
        <v>228</v>
      </c>
      <c r="C28" s="12">
        <v>8</v>
      </c>
      <c r="D28" s="8">
        <v>5.59</v>
      </c>
      <c r="E28" s="12">
        <v>8</v>
      </c>
      <c r="F28" s="8">
        <v>11.59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215</v>
      </c>
      <c r="C29" s="12">
        <v>7</v>
      </c>
      <c r="D29" s="8">
        <v>4.9000000000000004</v>
      </c>
      <c r="E29" s="12">
        <v>4</v>
      </c>
      <c r="F29" s="8">
        <v>5.8</v>
      </c>
      <c r="G29" s="12">
        <v>3</v>
      </c>
      <c r="H29" s="8">
        <v>4.29</v>
      </c>
      <c r="I29" s="12">
        <v>0</v>
      </c>
    </row>
    <row r="30" spans="2:9" ht="15" customHeight="1" x14ac:dyDescent="0.2">
      <c r="B30" t="s">
        <v>221</v>
      </c>
      <c r="C30" s="12">
        <v>5</v>
      </c>
      <c r="D30" s="8">
        <v>3.5</v>
      </c>
      <c r="E30" s="12">
        <v>4</v>
      </c>
      <c r="F30" s="8">
        <v>5.8</v>
      </c>
      <c r="G30" s="12">
        <v>1</v>
      </c>
      <c r="H30" s="8">
        <v>1.43</v>
      </c>
      <c r="I30" s="12">
        <v>0</v>
      </c>
    </row>
    <row r="31" spans="2:9" ht="15" customHeight="1" x14ac:dyDescent="0.2">
      <c r="B31" t="s">
        <v>236</v>
      </c>
      <c r="C31" s="12">
        <v>5</v>
      </c>
      <c r="D31" s="8">
        <v>3.5</v>
      </c>
      <c r="E31" s="12">
        <v>3</v>
      </c>
      <c r="F31" s="8">
        <v>4.3499999999999996</v>
      </c>
      <c r="G31" s="12">
        <v>2</v>
      </c>
      <c r="H31" s="8">
        <v>2.86</v>
      </c>
      <c r="I31" s="12">
        <v>0</v>
      </c>
    </row>
    <row r="32" spans="2:9" ht="15" customHeight="1" x14ac:dyDescent="0.2">
      <c r="B32" t="s">
        <v>231</v>
      </c>
      <c r="C32" s="12">
        <v>5</v>
      </c>
      <c r="D32" s="8">
        <v>3.5</v>
      </c>
      <c r="E32" s="12">
        <v>4</v>
      </c>
      <c r="F32" s="8">
        <v>5.8</v>
      </c>
      <c r="G32" s="12">
        <v>1</v>
      </c>
      <c r="H32" s="8">
        <v>1.43</v>
      </c>
      <c r="I32" s="12">
        <v>0</v>
      </c>
    </row>
    <row r="33" spans="2:9" ht="15" customHeight="1" x14ac:dyDescent="0.2">
      <c r="B33" t="s">
        <v>232</v>
      </c>
      <c r="C33" s="12">
        <v>5</v>
      </c>
      <c r="D33" s="8">
        <v>3.5</v>
      </c>
      <c r="E33" s="12">
        <v>0</v>
      </c>
      <c r="F33" s="8">
        <v>0</v>
      </c>
      <c r="G33" s="12">
        <v>5</v>
      </c>
      <c r="H33" s="8">
        <v>7.14</v>
      </c>
      <c r="I33" s="12">
        <v>0</v>
      </c>
    </row>
    <row r="34" spans="2:9" ht="15" customHeight="1" x14ac:dyDescent="0.2">
      <c r="B34" t="s">
        <v>241</v>
      </c>
      <c r="C34" s="12">
        <v>4</v>
      </c>
      <c r="D34" s="8">
        <v>2.8</v>
      </c>
      <c r="E34" s="12">
        <v>1</v>
      </c>
      <c r="F34" s="8">
        <v>1.45</v>
      </c>
      <c r="G34" s="12">
        <v>3</v>
      </c>
      <c r="H34" s="8">
        <v>4.29</v>
      </c>
      <c r="I34" s="12">
        <v>0</v>
      </c>
    </row>
    <row r="35" spans="2:9" ht="15" customHeight="1" x14ac:dyDescent="0.2">
      <c r="B35" t="s">
        <v>229</v>
      </c>
      <c r="C35" s="12">
        <v>4</v>
      </c>
      <c r="D35" s="8">
        <v>2.8</v>
      </c>
      <c r="E35" s="12">
        <v>1</v>
      </c>
      <c r="F35" s="8">
        <v>1.45</v>
      </c>
      <c r="G35" s="12">
        <v>2</v>
      </c>
      <c r="H35" s="8">
        <v>2.86</v>
      </c>
      <c r="I35" s="12">
        <v>0</v>
      </c>
    </row>
    <row r="36" spans="2:9" ht="15" customHeight="1" x14ac:dyDescent="0.2">
      <c r="B36" t="s">
        <v>242</v>
      </c>
      <c r="C36" s="12">
        <v>4</v>
      </c>
      <c r="D36" s="8">
        <v>2.8</v>
      </c>
      <c r="E36" s="12">
        <v>2</v>
      </c>
      <c r="F36" s="8">
        <v>2.9</v>
      </c>
      <c r="G36" s="12">
        <v>2</v>
      </c>
      <c r="H36" s="8">
        <v>2.86</v>
      </c>
      <c r="I36" s="12">
        <v>0</v>
      </c>
    </row>
    <row r="37" spans="2:9" ht="15" customHeight="1" x14ac:dyDescent="0.2">
      <c r="B37" t="s">
        <v>254</v>
      </c>
      <c r="C37" s="12">
        <v>3</v>
      </c>
      <c r="D37" s="8">
        <v>2.1</v>
      </c>
      <c r="E37" s="12">
        <v>0</v>
      </c>
      <c r="F37" s="8">
        <v>0</v>
      </c>
      <c r="G37" s="12">
        <v>3</v>
      </c>
      <c r="H37" s="8">
        <v>4.29</v>
      </c>
      <c r="I37" s="12">
        <v>0</v>
      </c>
    </row>
    <row r="38" spans="2:9" ht="15" customHeight="1" x14ac:dyDescent="0.2">
      <c r="B38" t="s">
        <v>216</v>
      </c>
      <c r="C38" s="12">
        <v>3</v>
      </c>
      <c r="D38" s="8">
        <v>2.1</v>
      </c>
      <c r="E38" s="12">
        <v>1</v>
      </c>
      <c r="F38" s="8">
        <v>1.45</v>
      </c>
      <c r="G38" s="12">
        <v>2</v>
      </c>
      <c r="H38" s="8">
        <v>2.86</v>
      </c>
      <c r="I38" s="12">
        <v>0</v>
      </c>
    </row>
    <row r="39" spans="2:9" ht="15" customHeight="1" x14ac:dyDescent="0.2">
      <c r="B39" t="s">
        <v>217</v>
      </c>
      <c r="C39" s="12">
        <v>3</v>
      </c>
      <c r="D39" s="8">
        <v>2.1</v>
      </c>
      <c r="E39" s="12">
        <v>3</v>
      </c>
      <c r="F39" s="8">
        <v>4.3499999999999996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218</v>
      </c>
      <c r="C40" s="12">
        <v>3</v>
      </c>
      <c r="D40" s="8">
        <v>2.1</v>
      </c>
      <c r="E40" s="12">
        <v>0</v>
      </c>
      <c r="F40" s="8">
        <v>0</v>
      </c>
      <c r="G40" s="12">
        <v>3</v>
      </c>
      <c r="H40" s="8">
        <v>4.29</v>
      </c>
      <c r="I40" s="12">
        <v>0</v>
      </c>
    </row>
    <row r="41" spans="2:9" ht="15" customHeight="1" x14ac:dyDescent="0.2">
      <c r="B41" t="s">
        <v>222</v>
      </c>
      <c r="C41" s="12">
        <v>3</v>
      </c>
      <c r="D41" s="8">
        <v>2.1</v>
      </c>
      <c r="E41" s="12">
        <v>2</v>
      </c>
      <c r="F41" s="8">
        <v>2.9</v>
      </c>
      <c r="G41" s="12">
        <v>1</v>
      </c>
      <c r="H41" s="8">
        <v>1.43</v>
      </c>
      <c r="I41" s="12">
        <v>0</v>
      </c>
    </row>
    <row r="42" spans="2:9" ht="15" customHeight="1" x14ac:dyDescent="0.2">
      <c r="B42" t="s">
        <v>224</v>
      </c>
      <c r="C42" s="12">
        <v>3</v>
      </c>
      <c r="D42" s="8">
        <v>2.1</v>
      </c>
      <c r="E42" s="12">
        <v>1</v>
      </c>
      <c r="F42" s="8">
        <v>1.45</v>
      </c>
      <c r="G42" s="12">
        <v>2</v>
      </c>
      <c r="H42" s="8">
        <v>2.86</v>
      </c>
      <c r="I42" s="12">
        <v>0</v>
      </c>
    </row>
    <row r="43" spans="2:9" ht="15" customHeight="1" x14ac:dyDescent="0.2">
      <c r="B43" t="s">
        <v>226</v>
      </c>
      <c r="C43" s="12">
        <v>3</v>
      </c>
      <c r="D43" s="8">
        <v>2.1</v>
      </c>
      <c r="E43" s="12">
        <v>3</v>
      </c>
      <c r="F43" s="8">
        <v>4.3499999999999996</v>
      </c>
      <c r="G43" s="12">
        <v>0</v>
      </c>
      <c r="H43" s="8">
        <v>0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320</v>
      </c>
      <c r="C47" s="12">
        <v>5</v>
      </c>
      <c r="D47" s="8">
        <v>3.5</v>
      </c>
      <c r="E47" s="12">
        <v>4</v>
      </c>
      <c r="F47" s="8">
        <v>5.8</v>
      </c>
      <c r="G47" s="12">
        <v>1</v>
      </c>
      <c r="H47" s="8">
        <v>1.43</v>
      </c>
      <c r="I47" s="12">
        <v>0</v>
      </c>
    </row>
    <row r="48" spans="2:9" ht="15" customHeight="1" x14ac:dyDescent="0.2">
      <c r="B48" t="s">
        <v>344</v>
      </c>
      <c r="C48" s="12">
        <v>5</v>
      </c>
      <c r="D48" s="8">
        <v>3.5</v>
      </c>
      <c r="E48" s="12">
        <v>3</v>
      </c>
      <c r="F48" s="8">
        <v>4.3499999999999996</v>
      </c>
      <c r="G48" s="12">
        <v>2</v>
      </c>
      <c r="H48" s="8">
        <v>2.86</v>
      </c>
      <c r="I48" s="12">
        <v>0</v>
      </c>
    </row>
    <row r="49" spans="2:9" ht="15" customHeight="1" x14ac:dyDescent="0.2">
      <c r="B49" t="s">
        <v>304</v>
      </c>
      <c r="C49" s="12">
        <v>5</v>
      </c>
      <c r="D49" s="8">
        <v>3.5</v>
      </c>
      <c r="E49" s="12">
        <v>5</v>
      </c>
      <c r="F49" s="8">
        <v>7.25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288</v>
      </c>
      <c r="C50" s="12">
        <v>4</v>
      </c>
      <c r="D50" s="8">
        <v>2.8</v>
      </c>
      <c r="E50" s="12">
        <v>0</v>
      </c>
      <c r="F50" s="8">
        <v>0</v>
      </c>
      <c r="G50" s="12">
        <v>4</v>
      </c>
      <c r="H50" s="8">
        <v>5.71</v>
      </c>
      <c r="I50" s="12">
        <v>0</v>
      </c>
    </row>
    <row r="51" spans="2:9" ht="15" customHeight="1" x14ac:dyDescent="0.2">
      <c r="B51" t="s">
        <v>289</v>
      </c>
      <c r="C51" s="12">
        <v>4</v>
      </c>
      <c r="D51" s="8">
        <v>2.8</v>
      </c>
      <c r="E51" s="12">
        <v>1</v>
      </c>
      <c r="F51" s="8">
        <v>1.45</v>
      </c>
      <c r="G51" s="12">
        <v>3</v>
      </c>
      <c r="H51" s="8">
        <v>4.29</v>
      </c>
      <c r="I51" s="12">
        <v>0</v>
      </c>
    </row>
    <row r="52" spans="2:9" ht="15" customHeight="1" x14ac:dyDescent="0.2">
      <c r="B52" t="s">
        <v>290</v>
      </c>
      <c r="C52" s="12">
        <v>4</v>
      </c>
      <c r="D52" s="8">
        <v>2.8</v>
      </c>
      <c r="E52" s="12">
        <v>4</v>
      </c>
      <c r="F52" s="8">
        <v>5.8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352</v>
      </c>
      <c r="C53" s="12">
        <v>4</v>
      </c>
      <c r="D53" s="8">
        <v>2.8</v>
      </c>
      <c r="E53" s="12">
        <v>1</v>
      </c>
      <c r="F53" s="8">
        <v>1.45</v>
      </c>
      <c r="G53" s="12">
        <v>2</v>
      </c>
      <c r="H53" s="8">
        <v>2.86</v>
      </c>
      <c r="I53" s="12">
        <v>0</v>
      </c>
    </row>
    <row r="54" spans="2:9" ht="15" customHeight="1" x14ac:dyDescent="0.2">
      <c r="B54" t="s">
        <v>306</v>
      </c>
      <c r="C54" s="12">
        <v>4</v>
      </c>
      <c r="D54" s="8">
        <v>2.8</v>
      </c>
      <c r="E54" s="12">
        <v>3</v>
      </c>
      <c r="F54" s="8">
        <v>4.3499999999999996</v>
      </c>
      <c r="G54" s="12">
        <v>1</v>
      </c>
      <c r="H54" s="8">
        <v>1.43</v>
      </c>
      <c r="I54" s="12">
        <v>0</v>
      </c>
    </row>
    <row r="55" spans="2:9" ht="15" customHeight="1" x14ac:dyDescent="0.2">
      <c r="B55" t="s">
        <v>341</v>
      </c>
      <c r="C55" s="12">
        <v>4</v>
      </c>
      <c r="D55" s="8">
        <v>2.8</v>
      </c>
      <c r="E55" s="12">
        <v>0</v>
      </c>
      <c r="F55" s="8">
        <v>0</v>
      </c>
      <c r="G55" s="12">
        <v>4</v>
      </c>
      <c r="H55" s="8">
        <v>5.71</v>
      </c>
      <c r="I55" s="12">
        <v>0</v>
      </c>
    </row>
    <row r="56" spans="2:9" ht="15" customHeight="1" x14ac:dyDescent="0.2">
      <c r="B56" t="s">
        <v>291</v>
      </c>
      <c r="C56" s="12">
        <v>3</v>
      </c>
      <c r="D56" s="8">
        <v>2.1</v>
      </c>
      <c r="E56" s="12">
        <v>0</v>
      </c>
      <c r="F56" s="8">
        <v>0</v>
      </c>
      <c r="G56" s="12">
        <v>3</v>
      </c>
      <c r="H56" s="8">
        <v>4.29</v>
      </c>
      <c r="I56" s="12">
        <v>0</v>
      </c>
    </row>
    <row r="57" spans="2:9" ht="15" customHeight="1" x14ac:dyDescent="0.2">
      <c r="B57" t="s">
        <v>292</v>
      </c>
      <c r="C57" s="12">
        <v>3</v>
      </c>
      <c r="D57" s="8">
        <v>2.1</v>
      </c>
      <c r="E57" s="12">
        <v>3</v>
      </c>
      <c r="F57" s="8">
        <v>4.3499999999999996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330</v>
      </c>
      <c r="C58" s="12">
        <v>3</v>
      </c>
      <c r="D58" s="8">
        <v>2.1</v>
      </c>
      <c r="E58" s="12">
        <v>1</v>
      </c>
      <c r="F58" s="8">
        <v>1.45</v>
      </c>
      <c r="G58" s="12">
        <v>2</v>
      </c>
      <c r="H58" s="8">
        <v>2.86</v>
      </c>
      <c r="I58" s="12">
        <v>0</v>
      </c>
    </row>
    <row r="59" spans="2:9" ht="15" customHeight="1" x14ac:dyDescent="0.2">
      <c r="B59" t="s">
        <v>295</v>
      </c>
      <c r="C59" s="12">
        <v>3</v>
      </c>
      <c r="D59" s="8">
        <v>2.1</v>
      </c>
      <c r="E59" s="12">
        <v>2</v>
      </c>
      <c r="F59" s="8">
        <v>2.9</v>
      </c>
      <c r="G59" s="12">
        <v>1</v>
      </c>
      <c r="H59" s="8">
        <v>1.43</v>
      </c>
      <c r="I59" s="12">
        <v>0</v>
      </c>
    </row>
    <row r="60" spans="2:9" ht="15" customHeight="1" x14ac:dyDescent="0.2">
      <c r="B60" t="s">
        <v>299</v>
      </c>
      <c r="C60" s="12">
        <v>3</v>
      </c>
      <c r="D60" s="8">
        <v>2.1</v>
      </c>
      <c r="E60" s="12">
        <v>1</v>
      </c>
      <c r="F60" s="8">
        <v>1.45</v>
      </c>
      <c r="G60" s="12">
        <v>2</v>
      </c>
      <c r="H60" s="8">
        <v>2.86</v>
      </c>
      <c r="I60" s="12">
        <v>0</v>
      </c>
    </row>
    <row r="61" spans="2:9" ht="15" customHeight="1" x14ac:dyDescent="0.2">
      <c r="B61" t="s">
        <v>301</v>
      </c>
      <c r="C61" s="12">
        <v>3</v>
      </c>
      <c r="D61" s="8">
        <v>2.1</v>
      </c>
      <c r="E61" s="12">
        <v>3</v>
      </c>
      <c r="F61" s="8">
        <v>4.3499999999999996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303</v>
      </c>
      <c r="C62" s="12">
        <v>3</v>
      </c>
      <c r="D62" s="8">
        <v>2.1</v>
      </c>
      <c r="E62" s="12">
        <v>3</v>
      </c>
      <c r="F62" s="8">
        <v>4.3499999999999996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328</v>
      </c>
      <c r="C63" s="12">
        <v>2</v>
      </c>
      <c r="D63" s="8">
        <v>1.4</v>
      </c>
      <c r="E63" s="12">
        <v>1</v>
      </c>
      <c r="F63" s="8">
        <v>1.45</v>
      </c>
      <c r="G63" s="12">
        <v>1</v>
      </c>
      <c r="H63" s="8">
        <v>1.43</v>
      </c>
      <c r="I63" s="12">
        <v>0</v>
      </c>
    </row>
    <row r="64" spans="2:9" ht="15" customHeight="1" x14ac:dyDescent="0.2">
      <c r="B64" t="s">
        <v>319</v>
      </c>
      <c r="C64" s="12">
        <v>2</v>
      </c>
      <c r="D64" s="8">
        <v>1.4</v>
      </c>
      <c r="E64" s="12">
        <v>0</v>
      </c>
      <c r="F64" s="8">
        <v>0</v>
      </c>
      <c r="G64" s="12">
        <v>2</v>
      </c>
      <c r="H64" s="8">
        <v>2.86</v>
      </c>
      <c r="I64" s="12">
        <v>0</v>
      </c>
    </row>
    <row r="65" spans="2:9" ht="15" customHeight="1" x14ac:dyDescent="0.2">
      <c r="B65" t="s">
        <v>353</v>
      </c>
      <c r="C65" s="12">
        <v>2</v>
      </c>
      <c r="D65" s="8">
        <v>1.4</v>
      </c>
      <c r="E65" s="12">
        <v>2</v>
      </c>
      <c r="F65" s="8">
        <v>2.9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343</v>
      </c>
      <c r="C66" s="12">
        <v>2</v>
      </c>
      <c r="D66" s="8">
        <v>1.4</v>
      </c>
      <c r="E66" s="12">
        <v>1</v>
      </c>
      <c r="F66" s="8">
        <v>1.45</v>
      </c>
      <c r="G66" s="12">
        <v>1</v>
      </c>
      <c r="H66" s="8">
        <v>1.43</v>
      </c>
      <c r="I66" s="12">
        <v>0</v>
      </c>
    </row>
    <row r="67" spans="2:9" ht="15" customHeight="1" x14ac:dyDescent="0.2">
      <c r="B67" t="s">
        <v>333</v>
      </c>
      <c r="C67" s="12">
        <v>2</v>
      </c>
      <c r="D67" s="8">
        <v>1.4</v>
      </c>
      <c r="E67" s="12">
        <v>0</v>
      </c>
      <c r="F67" s="8">
        <v>0</v>
      </c>
      <c r="G67" s="12">
        <v>2</v>
      </c>
      <c r="H67" s="8">
        <v>2.86</v>
      </c>
      <c r="I67" s="12">
        <v>0</v>
      </c>
    </row>
    <row r="68" spans="2:9" ht="15" customHeight="1" x14ac:dyDescent="0.2">
      <c r="B68" t="s">
        <v>413</v>
      </c>
      <c r="C68" s="12">
        <v>2</v>
      </c>
      <c r="D68" s="8">
        <v>1.4</v>
      </c>
      <c r="E68" s="12">
        <v>0</v>
      </c>
      <c r="F68" s="8">
        <v>0</v>
      </c>
      <c r="G68" s="12">
        <v>2</v>
      </c>
      <c r="H68" s="8">
        <v>2.86</v>
      </c>
      <c r="I68" s="12">
        <v>0</v>
      </c>
    </row>
    <row r="69" spans="2:9" ht="15" customHeight="1" x14ac:dyDescent="0.2">
      <c r="B69" t="s">
        <v>432</v>
      </c>
      <c r="C69" s="12">
        <v>2</v>
      </c>
      <c r="D69" s="8">
        <v>1.4</v>
      </c>
      <c r="E69" s="12">
        <v>0</v>
      </c>
      <c r="F69" s="8">
        <v>0</v>
      </c>
      <c r="G69" s="12">
        <v>2</v>
      </c>
      <c r="H69" s="8">
        <v>2.86</v>
      </c>
      <c r="I69" s="12">
        <v>0</v>
      </c>
    </row>
    <row r="70" spans="2:9" ht="15" customHeight="1" x14ac:dyDescent="0.2">
      <c r="B70" t="s">
        <v>474</v>
      </c>
      <c r="C70" s="12">
        <v>2</v>
      </c>
      <c r="D70" s="8">
        <v>1.4</v>
      </c>
      <c r="E70" s="12">
        <v>1</v>
      </c>
      <c r="F70" s="8">
        <v>1.45</v>
      </c>
      <c r="G70" s="12">
        <v>1</v>
      </c>
      <c r="H70" s="8">
        <v>1.43</v>
      </c>
      <c r="I70" s="12">
        <v>0</v>
      </c>
    </row>
    <row r="71" spans="2:9" ht="15" customHeight="1" x14ac:dyDescent="0.2">
      <c r="B71" t="s">
        <v>346</v>
      </c>
      <c r="C71" s="12">
        <v>2</v>
      </c>
      <c r="D71" s="8">
        <v>1.4</v>
      </c>
      <c r="E71" s="12">
        <v>2</v>
      </c>
      <c r="F71" s="8">
        <v>2.9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321</v>
      </c>
      <c r="C72" s="12">
        <v>2</v>
      </c>
      <c r="D72" s="8">
        <v>1.4</v>
      </c>
      <c r="E72" s="12">
        <v>0</v>
      </c>
      <c r="F72" s="8">
        <v>0</v>
      </c>
      <c r="G72" s="12">
        <v>2</v>
      </c>
      <c r="H72" s="8">
        <v>2.86</v>
      </c>
      <c r="I72" s="12">
        <v>0</v>
      </c>
    </row>
    <row r="73" spans="2:9" ht="15" customHeight="1" x14ac:dyDescent="0.2">
      <c r="B73" t="s">
        <v>309</v>
      </c>
      <c r="C73" s="12">
        <v>2</v>
      </c>
      <c r="D73" s="8">
        <v>1.4</v>
      </c>
      <c r="E73" s="12">
        <v>1</v>
      </c>
      <c r="F73" s="8">
        <v>1.45</v>
      </c>
      <c r="G73" s="12">
        <v>1</v>
      </c>
      <c r="H73" s="8">
        <v>1.43</v>
      </c>
      <c r="I73" s="12">
        <v>0</v>
      </c>
    </row>
    <row r="74" spans="2:9" ht="15" customHeight="1" x14ac:dyDescent="0.2">
      <c r="B74" t="s">
        <v>293</v>
      </c>
      <c r="C74" s="12">
        <v>2</v>
      </c>
      <c r="D74" s="8">
        <v>1.4</v>
      </c>
      <c r="E74" s="12">
        <v>1</v>
      </c>
      <c r="F74" s="8">
        <v>1.45</v>
      </c>
      <c r="G74" s="12">
        <v>1</v>
      </c>
      <c r="H74" s="8">
        <v>1.43</v>
      </c>
      <c r="I74" s="12">
        <v>0</v>
      </c>
    </row>
    <row r="75" spans="2:9" ht="15" customHeight="1" x14ac:dyDescent="0.2">
      <c r="B75" t="s">
        <v>372</v>
      </c>
      <c r="C75" s="12">
        <v>2</v>
      </c>
      <c r="D75" s="8">
        <v>1.4</v>
      </c>
      <c r="E75" s="12">
        <v>0</v>
      </c>
      <c r="F75" s="8">
        <v>0</v>
      </c>
      <c r="G75" s="12">
        <v>2</v>
      </c>
      <c r="H75" s="8">
        <v>2.86</v>
      </c>
      <c r="I75" s="12">
        <v>0</v>
      </c>
    </row>
    <row r="76" spans="2:9" ht="15" customHeight="1" x14ac:dyDescent="0.2">
      <c r="B76" t="s">
        <v>337</v>
      </c>
      <c r="C76" s="12">
        <v>2</v>
      </c>
      <c r="D76" s="8">
        <v>1.4</v>
      </c>
      <c r="E76" s="12">
        <v>2</v>
      </c>
      <c r="F76" s="8">
        <v>2.9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311</v>
      </c>
      <c r="C77" s="12">
        <v>2</v>
      </c>
      <c r="D77" s="8">
        <v>1.4</v>
      </c>
      <c r="E77" s="12">
        <v>1</v>
      </c>
      <c r="F77" s="8">
        <v>1.45</v>
      </c>
      <c r="G77" s="12">
        <v>1</v>
      </c>
      <c r="H77" s="8">
        <v>1.43</v>
      </c>
      <c r="I77" s="12">
        <v>0</v>
      </c>
    </row>
    <row r="78" spans="2:9" ht="15" customHeight="1" x14ac:dyDescent="0.2">
      <c r="B78" t="s">
        <v>298</v>
      </c>
      <c r="C78" s="12">
        <v>2</v>
      </c>
      <c r="D78" s="8">
        <v>1.4</v>
      </c>
      <c r="E78" s="12">
        <v>2</v>
      </c>
      <c r="F78" s="8">
        <v>2.9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334</v>
      </c>
      <c r="C79" s="12">
        <v>2</v>
      </c>
      <c r="D79" s="8">
        <v>1.4</v>
      </c>
      <c r="E79" s="12">
        <v>2</v>
      </c>
      <c r="F79" s="8">
        <v>2.9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307</v>
      </c>
      <c r="C80" s="12">
        <v>2</v>
      </c>
      <c r="D80" s="8">
        <v>1.4</v>
      </c>
      <c r="E80" s="12">
        <v>0</v>
      </c>
      <c r="F80" s="8">
        <v>0</v>
      </c>
      <c r="G80" s="12">
        <v>2</v>
      </c>
      <c r="H80" s="8">
        <v>2.86</v>
      </c>
      <c r="I80" s="12">
        <v>0</v>
      </c>
    </row>
    <row r="81" spans="2:9" ht="15" customHeight="1" x14ac:dyDescent="0.2">
      <c r="B81" t="s">
        <v>371</v>
      </c>
      <c r="C81" s="12">
        <v>2</v>
      </c>
      <c r="D81" s="8">
        <v>1.4</v>
      </c>
      <c r="E81" s="12">
        <v>1</v>
      </c>
      <c r="F81" s="8">
        <v>1.45</v>
      </c>
      <c r="G81" s="12">
        <v>1</v>
      </c>
      <c r="H81" s="8">
        <v>1.43</v>
      </c>
      <c r="I81" s="12">
        <v>0</v>
      </c>
    </row>
    <row r="82" spans="2:9" ht="15" customHeight="1" x14ac:dyDescent="0.2">
      <c r="B82" t="s">
        <v>475</v>
      </c>
      <c r="C82" s="12">
        <v>2</v>
      </c>
      <c r="D82" s="8">
        <v>1.4</v>
      </c>
      <c r="E82" s="12">
        <v>1</v>
      </c>
      <c r="F82" s="8">
        <v>1.45</v>
      </c>
      <c r="G82" s="12">
        <v>1</v>
      </c>
      <c r="H82" s="8">
        <v>1.43</v>
      </c>
      <c r="I82" s="12">
        <v>0</v>
      </c>
    </row>
    <row r="84" spans="2:9" ht="15" customHeight="1" x14ac:dyDescent="0.2">
      <c r="B8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CF3BB-2F58-4529-A1AD-1C83050418E2}">
  <sheetPr>
    <pageSetUpPr fitToPage="1"/>
  </sheetPr>
  <dimension ref="B2:I8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32</v>
      </c>
      <c r="D6" s="8">
        <v>17.88</v>
      </c>
      <c r="E6" s="12">
        <v>7</v>
      </c>
      <c r="F6" s="8">
        <v>10.77</v>
      </c>
      <c r="G6" s="12">
        <v>25</v>
      </c>
      <c r="H6" s="8">
        <v>23.36</v>
      </c>
      <c r="I6" s="12">
        <v>0</v>
      </c>
    </row>
    <row r="7" spans="2:9" ht="15" customHeight="1" x14ac:dyDescent="0.2">
      <c r="B7" t="s">
        <v>192</v>
      </c>
      <c r="C7" s="12">
        <v>15</v>
      </c>
      <c r="D7" s="8">
        <v>8.3800000000000008</v>
      </c>
      <c r="E7" s="12">
        <v>4</v>
      </c>
      <c r="F7" s="8">
        <v>6.15</v>
      </c>
      <c r="G7" s="12">
        <v>11</v>
      </c>
      <c r="H7" s="8">
        <v>10.28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0.56000000000000005</v>
      </c>
      <c r="E8" s="12">
        <v>0</v>
      </c>
      <c r="F8" s="8">
        <v>0</v>
      </c>
      <c r="G8" s="12">
        <v>1</v>
      </c>
      <c r="H8" s="8">
        <v>0.93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1.1200000000000001</v>
      </c>
      <c r="E9" s="12">
        <v>1</v>
      </c>
      <c r="F9" s="8">
        <v>1.54</v>
      </c>
      <c r="G9" s="12">
        <v>1</v>
      </c>
      <c r="H9" s="8">
        <v>0.93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1.1200000000000001</v>
      </c>
      <c r="E10" s="12">
        <v>0</v>
      </c>
      <c r="F10" s="8">
        <v>0</v>
      </c>
      <c r="G10" s="12">
        <v>2</v>
      </c>
      <c r="H10" s="8">
        <v>1.87</v>
      </c>
      <c r="I10" s="12">
        <v>0</v>
      </c>
    </row>
    <row r="11" spans="2:9" ht="15" customHeight="1" x14ac:dyDescent="0.2">
      <c r="B11" t="s">
        <v>196</v>
      </c>
      <c r="C11" s="12">
        <v>32</v>
      </c>
      <c r="D11" s="8">
        <v>17.88</v>
      </c>
      <c r="E11" s="12">
        <v>8</v>
      </c>
      <c r="F11" s="8">
        <v>12.31</v>
      </c>
      <c r="G11" s="12">
        <v>24</v>
      </c>
      <c r="H11" s="8">
        <v>22.43</v>
      </c>
      <c r="I11" s="12">
        <v>0</v>
      </c>
    </row>
    <row r="12" spans="2:9" ht="15" customHeight="1" x14ac:dyDescent="0.2">
      <c r="B12" t="s">
        <v>197</v>
      </c>
      <c r="C12" s="12">
        <v>2</v>
      </c>
      <c r="D12" s="8">
        <v>1.1200000000000001</v>
      </c>
      <c r="E12" s="12">
        <v>0</v>
      </c>
      <c r="F12" s="8">
        <v>0</v>
      </c>
      <c r="G12" s="12">
        <v>2</v>
      </c>
      <c r="H12" s="8">
        <v>1.87</v>
      </c>
      <c r="I12" s="12">
        <v>0</v>
      </c>
    </row>
    <row r="13" spans="2:9" ht="15" customHeight="1" x14ac:dyDescent="0.2">
      <c r="B13" t="s">
        <v>198</v>
      </c>
      <c r="C13" s="12">
        <v>13</v>
      </c>
      <c r="D13" s="8">
        <v>7.26</v>
      </c>
      <c r="E13" s="12">
        <v>3</v>
      </c>
      <c r="F13" s="8">
        <v>4.62</v>
      </c>
      <c r="G13" s="12">
        <v>10</v>
      </c>
      <c r="H13" s="8">
        <v>9.35</v>
      </c>
      <c r="I13" s="12">
        <v>0</v>
      </c>
    </row>
    <row r="14" spans="2:9" ht="15" customHeight="1" x14ac:dyDescent="0.2">
      <c r="B14" t="s">
        <v>199</v>
      </c>
      <c r="C14" s="12">
        <v>6</v>
      </c>
      <c r="D14" s="8">
        <v>3.35</v>
      </c>
      <c r="E14" s="12">
        <v>2</v>
      </c>
      <c r="F14" s="8">
        <v>3.08</v>
      </c>
      <c r="G14" s="12">
        <v>4</v>
      </c>
      <c r="H14" s="8">
        <v>3.74</v>
      </c>
      <c r="I14" s="12">
        <v>0</v>
      </c>
    </row>
    <row r="15" spans="2:9" ht="15" customHeight="1" x14ac:dyDescent="0.2">
      <c r="B15" t="s">
        <v>200</v>
      </c>
      <c r="C15" s="12">
        <v>19</v>
      </c>
      <c r="D15" s="8">
        <v>10.61</v>
      </c>
      <c r="E15" s="12">
        <v>12</v>
      </c>
      <c r="F15" s="8">
        <v>18.46</v>
      </c>
      <c r="G15" s="12">
        <v>7</v>
      </c>
      <c r="H15" s="8">
        <v>6.54</v>
      </c>
      <c r="I15" s="12">
        <v>0</v>
      </c>
    </row>
    <row r="16" spans="2:9" ht="15" customHeight="1" x14ac:dyDescent="0.2">
      <c r="B16" t="s">
        <v>201</v>
      </c>
      <c r="C16" s="12">
        <v>24</v>
      </c>
      <c r="D16" s="8">
        <v>13.41</v>
      </c>
      <c r="E16" s="12">
        <v>16</v>
      </c>
      <c r="F16" s="8">
        <v>24.62</v>
      </c>
      <c r="G16" s="12">
        <v>7</v>
      </c>
      <c r="H16" s="8">
        <v>6.54</v>
      </c>
      <c r="I16" s="12">
        <v>0</v>
      </c>
    </row>
    <row r="17" spans="2:9" ht="15" customHeight="1" x14ac:dyDescent="0.2">
      <c r="B17" t="s">
        <v>202</v>
      </c>
      <c r="C17" s="12">
        <v>10</v>
      </c>
      <c r="D17" s="8">
        <v>5.59</v>
      </c>
      <c r="E17" s="12">
        <v>4</v>
      </c>
      <c r="F17" s="8">
        <v>6.15</v>
      </c>
      <c r="G17" s="12">
        <v>4</v>
      </c>
      <c r="H17" s="8">
        <v>3.74</v>
      </c>
      <c r="I17" s="12">
        <v>0</v>
      </c>
    </row>
    <row r="18" spans="2:9" ht="15" customHeight="1" x14ac:dyDescent="0.2">
      <c r="B18" t="s">
        <v>203</v>
      </c>
      <c r="C18" s="12">
        <v>14</v>
      </c>
      <c r="D18" s="8">
        <v>7.82</v>
      </c>
      <c r="E18" s="12">
        <v>6</v>
      </c>
      <c r="F18" s="8">
        <v>9.23</v>
      </c>
      <c r="G18" s="12">
        <v>6</v>
      </c>
      <c r="H18" s="8">
        <v>5.61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3.91</v>
      </c>
      <c r="E19" s="12">
        <v>2</v>
      </c>
      <c r="F19" s="8">
        <v>3.08</v>
      </c>
      <c r="G19" s="12">
        <v>3</v>
      </c>
      <c r="H19" s="8">
        <v>2.8</v>
      </c>
      <c r="I19" s="12">
        <v>0</v>
      </c>
    </row>
    <row r="20" spans="2:9" ht="15" customHeight="1" x14ac:dyDescent="0.2">
      <c r="B20" s="9" t="s">
        <v>529</v>
      </c>
      <c r="C20" s="12">
        <f>SUM(LTBL_01453[総数／事業所数])</f>
        <v>179</v>
      </c>
      <c r="E20" s="12">
        <f>SUBTOTAL(109,LTBL_01453[個人／事業所数])</f>
        <v>65</v>
      </c>
      <c r="G20" s="12">
        <f>SUBTOTAL(109,LTBL_01453[法人／事業所数])</f>
        <v>107</v>
      </c>
      <c r="I20" s="12">
        <f>SUBTOTAL(109,LTBL_01453[法人以外の団体／事業所数])</f>
        <v>0</v>
      </c>
    </row>
    <row r="21" spans="2:9" ht="15" customHeight="1" x14ac:dyDescent="0.2">
      <c r="E21" s="11">
        <f>LTBL_01453[[#Totals],[個人／事業所数]]/LTBL_01453[[#Totals],[総数／事業所数]]</f>
        <v>0.36312849162011174</v>
      </c>
      <c r="G21" s="11">
        <f>LTBL_01453[[#Totals],[法人／事業所数]]/LTBL_01453[[#Totals],[総数／事業所数]]</f>
        <v>0.5977653631284916</v>
      </c>
      <c r="I21" s="11">
        <f>LTBL_01453[[#Totals],[法人以外の団体／事業所数]]/LTBL_01453[[#Totals],[総数／事業所数]]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19</v>
      </c>
      <c r="D24" s="8">
        <v>10.61</v>
      </c>
      <c r="E24" s="12">
        <v>12</v>
      </c>
      <c r="F24" s="8">
        <v>18.46</v>
      </c>
      <c r="G24" s="12">
        <v>7</v>
      </c>
      <c r="H24" s="8">
        <v>6.54</v>
      </c>
      <c r="I24" s="12">
        <v>0</v>
      </c>
    </row>
    <row r="25" spans="2:9" ht="15" customHeight="1" x14ac:dyDescent="0.2">
      <c r="B25" t="s">
        <v>228</v>
      </c>
      <c r="C25" s="12">
        <v>19</v>
      </c>
      <c r="D25" s="8">
        <v>10.61</v>
      </c>
      <c r="E25" s="12">
        <v>14</v>
      </c>
      <c r="F25" s="8">
        <v>21.54</v>
      </c>
      <c r="G25" s="12">
        <v>5</v>
      </c>
      <c r="H25" s="8">
        <v>4.67</v>
      </c>
      <c r="I25" s="12">
        <v>0</v>
      </c>
    </row>
    <row r="26" spans="2:9" ht="15" customHeight="1" x14ac:dyDescent="0.2">
      <c r="B26" t="s">
        <v>214</v>
      </c>
      <c r="C26" s="12">
        <v>14</v>
      </c>
      <c r="D26" s="8">
        <v>7.82</v>
      </c>
      <c r="E26" s="12">
        <v>4</v>
      </c>
      <c r="F26" s="8">
        <v>6.15</v>
      </c>
      <c r="G26" s="12">
        <v>10</v>
      </c>
      <c r="H26" s="8">
        <v>9.35</v>
      </c>
      <c r="I26" s="12">
        <v>0</v>
      </c>
    </row>
    <row r="27" spans="2:9" ht="15" customHeight="1" x14ac:dyDescent="0.2">
      <c r="B27" t="s">
        <v>223</v>
      </c>
      <c r="C27" s="12">
        <v>13</v>
      </c>
      <c r="D27" s="8">
        <v>7.26</v>
      </c>
      <c r="E27" s="12">
        <v>5</v>
      </c>
      <c r="F27" s="8">
        <v>7.69</v>
      </c>
      <c r="G27" s="12">
        <v>8</v>
      </c>
      <c r="H27" s="8">
        <v>7.48</v>
      </c>
      <c r="I27" s="12">
        <v>0</v>
      </c>
    </row>
    <row r="28" spans="2:9" ht="15" customHeight="1" x14ac:dyDescent="0.2">
      <c r="B28" t="s">
        <v>213</v>
      </c>
      <c r="C28" s="12">
        <v>11</v>
      </c>
      <c r="D28" s="8">
        <v>6.15</v>
      </c>
      <c r="E28" s="12">
        <v>1</v>
      </c>
      <c r="F28" s="8">
        <v>1.54</v>
      </c>
      <c r="G28" s="12">
        <v>10</v>
      </c>
      <c r="H28" s="8">
        <v>9.35</v>
      </c>
      <c r="I28" s="12">
        <v>0</v>
      </c>
    </row>
    <row r="29" spans="2:9" ht="15" customHeight="1" x14ac:dyDescent="0.2">
      <c r="B29" t="s">
        <v>230</v>
      </c>
      <c r="C29" s="12">
        <v>10</v>
      </c>
      <c r="D29" s="8">
        <v>5.59</v>
      </c>
      <c r="E29" s="12">
        <v>4</v>
      </c>
      <c r="F29" s="8">
        <v>6.15</v>
      </c>
      <c r="G29" s="12">
        <v>4</v>
      </c>
      <c r="H29" s="8">
        <v>3.74</v>
      </c>
      <c r="I29" s="12">
        <v>0</v>
      </c>
    </row>
    <row r="30" spans="2:9" ht="15" customHeight="1" x14ac:dyDescent="0.2">
      <c r="B30" t="s">
        <v>221</v>
      </c>
      <c r="C30" s="12">
        <v>8</v>
      </c>
      <c r="D30" s="8">
        <v>4.47</v>
      </c>
      <c r="E30" s="12">
        <v>2</v>
      </c>
      <c r="F30" s="8">
        <v>3.08</v>
      </c>
      <c r="G30" s="12">
        <v>6</v>
      </c>
      <c r="H30" s="8">
        <v>5.61</v>
      </c>
      <c r="I30" s="12">
        <v>0</v>
      </c>
    </row>
    <row r="31" spans="2:9" ht="15" customHeight="1" x14ac:dyDescent="0.2">
      <c r="B31" t="s">
        <v>232</v>
      </c>
      <c r="C31" s="12">
        <v>8</v>
      </c>
      <c r="D31" s="8">
        <v>4.47</v>
      </c>
      <c r="E31" s="12">
        <v>1</v>
      </c>
      <c r="F31" s="8">
        <v>1.54</v>
      </c>
      <c r="G31" s="12">
        <v>5</v>
      </c>
      <c r="H31" s="8">
        <v>4.67</v>
      </c>
      <c r="I31" s="12">
        <v>0</v>
      </c>
    </row>
    <row r="32" spans="2:9" ht="15" customHeight="1" x14ac:dyDescent="0.2">
      <c r="B32" t="s">
        <v>215</v>
      </c>
      <c r="C32" s="12">
        <v>7</v>
      </c>
      <c r="D32" s="8">
        <v>3.91</v>
      </c>
      <c r="E32" s="12">
        <v>2</v>
      </c>
      <c r="F32" s="8">
        <v>3.08</v>
      </c>
      <c r="G32" s="12">
        <v>5</v>
      </c>
      <c r="H32" s="8">
        <v>4.67</v>
      </c>
      <c r="I32" s="12">
        <v>0</v>
      </c>
    </row>
    <row r="33" spans="2:9" ht="15" customHeight="1" x14ac:dyDescent="0.2">
      <c r="B33" t="s">
        <v>258</v>
      </c>
      <c r="C33" s="12">
        <v>7</v>
      </c>
      <c r="D33" s="8">
        <v>3.91</v>
      </c>
      <c r="E33" s="12">
        <v>2</v>
      </c>
      <c r="F33" s="8">
        <v>3.08</v>
      </c>
      <c r="G33" s="12">
        <v>5</v>
      </c>
      <c r="H33" s="8">
        <v>4.67</v>
      </c>
      <c r="I33" s="12">
        <v>0</v>
      </c>
    </row>
    <row r="34" spans="2:9" ht="15" customHeight="1" x14ac:dyDescent="0.2">
      <c r="B34" t="s">
        <v>231</v>
      </c>
      <c r="C34" s="12">
        <v>6</v>
      </c>
      <c r="D34" s="8">
        <v>3.35</v>
      </c>
      <c r="E34" s="12">
        <v>5</v>
      </c>
      <c r="F34" s="8">
        <v>7.69</v>
      </c>
      <c r="G34" s="12">
        <v>1</v>
      </c>
      <c r="H34" s="8">
        <v>0.93</v>
      </c>
      <c r="I34" s="12">
        <v>0</v>
      </c>
    </row>
    <row r="35" spans="2:9" ht="15" customHeight="1" x14ac:dyDescent="0.2">
      <c r="B35" t="s">
        <v>224</v>
      </c>
      <c r="C35" s="12">
        <v>5</v>
      </c>
      <c r="D35" s="8">
        <v>2.79</v>
      </c>
      <c r="E35" s="12">
        <v>2</v>
      </c>
      <c r="F35" s="8">
        <v>3.08</v>
      </c>
      <c r="G35" s="12">
        <v>3</v>
      </c>
      <c r="H35" s="8">
        <v>2.8</v>
      </c>
      <c r="I35" s="12">
        <v>0</v>
      </c>
    </row>
    <row r="36" spans="2:9" ht="15" customHeight="1" x14ac:dyDescent="0.2">
      <c r="B36" t="s">
        <v>246</v>
      </c>
      <c r="C36" s="12">
        <v>5</v>
      </c>
      <c r="D36" s="8">
        <v>2.79</v>
      </c>
      <c r="E36" s="12">
        <v>1</v>
      </c>
      <c r="F36" s="8">
        <v>1.54</v>
      </c>
      <c r="G36" s="12">
        <v>4</v>
      </c>
      <c r="H36" s="8">
        <v>3.74</v>
      </c>
      <c r="I36" s="12">
        <v>0</v>
      </c>
    </row>
    <row r="37" spans="2:9" ht="15" customHeight="1" x14ac:dyDescent="0.2">
      <c r="B37" t="s">
        <v>229</v>
      </c>
      <c r="C37" s="12">
        <v>5</v>
      </c>
      <c r="D37" s="8">
        <v>2.79</v>
      </c>
      <c r="E37" s="12">
        <v>2</v>
      </c>
      <c r="F37" s="8">
        <v>3.08</v>
      </c>
      <c r="G37" s="12">
        <v>2</v>
      </c>
      <c r="H37" s="8">
        <v>1.87</v>
      </c>
      <c r="I37" s="12">
        <v>0</v>
      </c>
    </row>
    <row r="38" spans="2:9" ht="15" customHeight="1" x14ac:dyDescent="0.2">
      <c r="B38" t="s">
        <v>220</v>
      </c>
      <c r="C38" s="12">
        <v>4</v>
      </c>
      <c r="D38" s="8">
        <v>2.23</v>
      </c>
      <c r="E38" s="12">
        <v>0</v>
      </c>
      <c r="F38" s="8">
        <v>0</v>
      </c>
      <c r="G38" s="12">
        <v>4</v>
      </c>
      <c r="H38" s="8">
        <v>3.74</v>
      </c>
      <c r="I38" s="12">
        <v>0</v>
      </c>
    </row>
    <row r="39" spans="2:9" ht="15" customHeight="1" x14ac:dyDescent="0.2">
      <c r="B39" t="s">
        <v>253</v>
      </c>
      <c r="C39" s="12">
        <v>3</v>
      </c>
      <c r="D39" s="8">
        <v>1.68</v>
      </c>
      <c r="E39" s="12">
        <v>0</v>
      </c>
      <c r="F39" s="8">
        <v>0</v>
      </c>
      <c r="G39" s="12">
        <v>3</v>
      </c>
      <c r="H39" s="8">
        <v>2.8</v>
      </c>
      <c r="I39" s="12">
        <v>0</v>
      </c>
    </row>
    <row r="40" spans="2:9" ht="15" customHeight="1" x14ac:dyDescent="0.2">
      <c r="B40" t="s">
        <v>233</v>
      </c>
      <c r="C40" s="12">
        <v>3</v>
      </c>
      <c r="D40" s="8">
        <v>1.68</v>
      </c>
      <c r="E40" s="12">
        <v>0</v>
      </c>
      <c r="F40" s="8">
        <v>0</v>
      </c>
      <c r="G40" s="12">
        <v>3</v>
      </c>
      <c r="H40" s="8">
        <v>2.8</v>
      </c>
      <c r="I40" s="12">
        <v>0</v>
      </c>
    </row>
    <row r="41" spans="2:9" ht="15" customHeight="1" x14ac:dyDescent="0.2">
      <c r="B41" t="s">
        <v>226</v>
      </c>
      <c r="C41" s="12">
        <v>3</v>
      </c>
      <c r="D41" s="8">
        <v>1.68</v>
      </c>
      <c r="E41" s="12">
        <v>1</v>
      </c>
      <c r="F41" s="8">
        <v>1.54</v>
      </c>
      <c r="G41" s="12">
        <v>2</v>
      </c>
      <c r="H41" s="8">
        <v>1.87</v>
      </c>
      <c r="I41" s="12">
        <v>0</v>
      </c>
    </row>
    <row r="42" spans="2:9" ht="15" customHeight="1" x14ac:dyDescent="0.2">
      <c r="B42" t="s">
        <v>240</v>
      </c>
      <c r="C42" s="12">
        <v>3</v>
      </c>
      <c r="D42" s="8">
        <v>1.68</v>
      </c>
      <c r="E42" s="12">
        <v>1</v>
      </c>
      <c r="F42" s="8">
        <v>1.54</v>
      </c>
      <c r="G42" s="12">
        <v>2</v>
      </c>
      <c r="H42" s="8">
        <v>1.87</v>
      </c>
      <c r="I42" s="12">
        <v>0</v>
      </c>
    </row>
    <row r="43" spans="2:9" ht="15" customHeight="1" x14ac:dyDescent="0.2">
      <c r="B43" t="s">
        <v>241</v>
      </c>
      <c r="C43" s="12">
        <v>2</v>
      </c>
      <c r="D43" s="8">
        <v>1.1200000000000001</v>
      </c>
      <c r="E43" s="12">
        <v>1</v>
      </c>
      <c r="F43" s="8">
        <v>1.54</v>
      </c>
      <c r="G43" s="12">
        <v>1</v>
      </c>
      <c r="H43" s="8">
        <v>0.93</v>
      </c>
      <c r="I43" s="12">
        <v>0</v>
      </c>
    </row>
    <row r="44" spans="2:9" ht="15" customHeight="1" x14ac:dyDescent="0.2">
      <c r="B44" t="s">
        <v>235</v>
      </c>
      <c r="C44" s="12">
        <v>2</v>
      </c>
      <c r="D44" s="8">
        <v>1.1200000000000001</v>
      </c>
      <c r="E44" s="12">
        <v>1</v>
      </c>
      <c r="F44" s="8">
        <v>1.54</v>
      </c>
      <c r="G44" s="12">
        <v>1</v>
      </c>
      <c r="H44" s="8">
        <v>0.93</v>
      </c>
      <c r="I44" s="12">
        <v>0</v>
      </c>
    </row>
    <row r="45" spans="2:9" ht="15" customHeight="1" x14ac:dyDescent="0.2">
      <c r="B45" t="s">
        <v>218</v>
      </c>
      <c r="C45" s="12">
        <v>2</v>
      </c>
      <c r="D45" s="8">
        <v>1.1200000000000001</v>
      </c>
      <c r="E45" s="12">
        <v>0</v>
      </c>
      <c r="F45" s="8">
        <v>0</v>
      </c>
      <c r="G45" s="12">
        <v>2</v>
      </c>
      <c r="H45" s="8">
        <v>1.87</v>
      </c>
      <c r="I45" s="12">
        <v>0</v>
      </c>
    </row>
    <row r="46" spans="2:9" ht="15" customHeight="1" x14ac:dyDescent="0.2">
      <c r="B46" t="s">
        <v>222</v>
      </c>
      <c r="C46" s="12">
        <v>2</v>
      </c>
      <c r="D46" s="8">
        <v>1.1200000000000001</v>
      </c>
      <c r="E46" s="12">
        <v>1</v>
      </c>
      <c r="F46" s="8">
        <v>1.54</v>
      </c>
      <c r="G46" s="12">
        <v>1</v>
      </c>
      <c r="H46" s="8">
        <v>0.93</v>
      </c>
      <c r="I46" s="12">
        <v>0</v>
      </c>
    </row>
    <row r="47" spans="2:9" ht="15" customHeight="1" x14ac:dyDescent="0.2">
      <c r="B47" t="s">
        <v>236</v>
      </c>
      <c r="C47" s="12">
        <v>2</v>
      </c>
      <c r="D47" s="8">
        <v>1.1200000000000001</v>
      </c>
      <c r="E47" s="12">
        <v>0</v>
      </c>
      <c r="F47" s="8">
        <v>0</v>
      </c>
      <c r="G47" s="12">
        <v>2</v>
      </c>
      <c r="H47" s="8">
        <v>1.87</v>
      </c>
      <c r="I47" s="12">
        <v>0</v>
      </c>
    </row>
    <row r="48" spans="2:9" ht="15" customHeight="1" x14ac:dyDescent="0.2">
      <c r="B48" t="s">
        <v>237</v>
      </c>
      <c r="C48" s="12">
        <v>2</v>
      </c>
      <c r="D48" s="8">
        <v>1.1200000000000001</v>
      </c>
      <c r="E48" s="12">
        <v>0</v>
      </c>
      <c r="F48" s="8">
        <v>0</v>
      </c>
      <c r="G48" s="12">
        <v>2</v>
      </c>
      <c r="H48" s="8">
        <v>1.87</v>
      </c>
      <c r="I48" s="12">
        <v>0</v>
      </c>
    </row>
    <row r="49" spans="2:9" ht="15" customHeight="1" x14ac:dyDescent="0.2">
      <c r="B49" t="s">
        <v>225</v>
      </c>
      <c r="C49" s="12">
        <v>2</v>
      </c>
      <c r="D49" s="8">
        <v>1.1200000000000001</v>
      </c>
      <c r="E49" s="12">
        <v>1</v>
      </c>
      <c r="F49" s="8">
        <v>1.54</v>
      </c>
      <c r="G49" s="12">
        <v>1</v>
      </c>
      <c r="H49" s="8">
        <v>0.93</v>
      </c>
      <c r="I49" s="12">
        <v>0</v>
      </c>
    </row>
    <row r="50" spans="2:9" ht="15" customHeight="1" x14ac:dyDescent="0.2">
      <c r="B50" t="s">
        <v>242</v>
      </c>
      <c r="C50" s="12">
        <v>2</v>
      </c>
      <c r="D50" s="8">
        <v>1.1200000000000001</v>
      </c>
      <c r="E50" s="12">
        <v>1</v>
      </c>
      <c r="F50" s="8">
        <v>1.54</v>
      </c>
      <c r="G50" s="12">
        <v>1</v>
      </c>
      <c r="H50" s="8">
        <v>0.93</v>
      </c>
      <c r="I50" s="12">
        <v>0</v>
      </c>
    </row>
    <row r="51" spans="2:9" ht="15" customHeight="1" x14ac:dyDescent="0.2">
      <c r="B51" t="s">
        <v>250</v>
      </c>
      <c r="C51" s="12">
        <v>2</v>
      </c>
      <c r="D51" s="8">
        <v>1.1200000000000001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304</v>
      </c>
      <c r="C55" s="12">
        <v>9</v>
      </c>
      <c r="D55" s="8">
        <v>5.03</v>
      </c>
      <c r="E55" s="12">
        <v>8</v>
      </c>
      <c r="F55" s="8">
        <v>12.31</v>
      </c>
      <c r="G55" s="12">
        <v>1</v>
      </c>
      <c r="H55" s="8">
        <v>0.93</v>
      </c>
      <c r="I55" s="12">
        <v>0</v>
      </c>
    </row>
    <row r="56" spans="2:9" ht="15" customHeight="1" x14ac:dyDescent="0.2">
      <c r="B56" t="s">
        <v>359</v>
      </c>
      <c r="C56" s="12">
        <v>6</v>
      </c>
      <c r="D56" s="8">
        <v>3.35</v>
      </c>
      <c r="E56" s="12">
        <v>1</v>
      </c>
      <c r="F56" s="8">
        <v>1.54</v>
      </c>
      <c r="G56" s="12">
        <v>5</v>
      </c>
      <c r="H56" s="8">
        <v>4.67</v>
      </c>
      <c r="I56" s="12">
        <v>0</v>
      </c>
    </row>
    <row r="57" spans="2:9" ht="15" customHeight="1" x14ac:dyDescent="0.2">
      <c r="B57" t="s">
        <v>303</v>
      </c>
      <c r="C57" s="12">
        <v>6</v>
      </c>
      <c r="D57" s="8">
        <v>3.35</v>
      </c>
      <c r="E57" s="12">
        <v>6</v>
      </c>
      <c r="F57" s="8">
        <v>9.23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327</v>
      </c>
      <c r="C58" s="12">
        <v>6</v>
      </c>
      <c r="D58" s="8">
        <v>3.35</v>
      </c>
      <c r="E58" s="12">
        <v>4</v>
      </c>
      <c r="F58" s="8">
        <v>6.15</v>
      </c>
      <c r="G58" s="12">
        <v>2</v>
      </c>
      <c r="H58" s="8">
        <v>1.87</v>
      </c>
      <c r="I58" s="12">
        <v>0</v>
      </c>
    </row>
    <row r="59" spans="2:9" ht="15" customHeight="1" x14ac:dyDescent="0.2">
      <c r="B59" t="s">
        <v>328</v>
      </c>
      <c r="C59" s="12">
        <v>5</v>
      </c>
      <c r="D59" s="8">
        <v>2.79</v>
      </c>
      <c r="E59" s="12">
        <v>0</v>
      </c>
      <c r="F59" s="8">
        <v>0</v>
      </c>
      <c r="G59" s="12">
        <v>5</v>
      </c>
      <c r="H59" s="8">
        <v>4.67</v>
      </c>
      <c r="I59" s="12">
        <v>0</v>
      </c>
    </row>
    <row r="60" spans="2:9" ht="15" customHeight="1" x14ac:dyDescent="0.2">
      <c r="B60" t="s">
        <v>329</v>
      </c>
      <c r="C60" s="12">
        <v>5</v>
      </c>
      <c r="D60" s="8">
        <v>2.79</v>
      </c>
      <c r="E60" s="12">
        <v>1</v>
      </c>
      <c r="F60" s="8">
        <v>1.54</v>
      </c>
      <c r="G60" s="12">
        <v>4</v>
      </c>
      <c r="H60" s="8">
        <v>3.74</v>
      </c>
      <c r="I60" s="12">
        <v>0</v>
      </c>
    </row>
    <row r="61" spans="2:9" ht="15" customHeight="1" x14ac:dyDescent="0.2">
      <c r="B61" t="s">
        <v>295</v>
      </c>
      <c r="C61" s="12">
        <v>5</v>
      </c>
      <c r="D61" s="8">
        <v>2.79</v>
      </c>
      <c r="E61" s="12">
        <v>2</v>
      </c>
      <c r="F61" s="8">
        <v>3.08</v>
      </c>
      <c r="G61" s="12">
        <v>3</v>
      </c>
      <c r="H61" s="8">
        <v>2.8</v>
      </c>
      <c r="I61" s="12">
        <v>0</v>
      </c>
    </row>
    <row r="62" spans="2:9" ht="15" customHeight="1" x14ac:dyDescent="0.2">
      <c r="B62" t="s">
        <v>299</v>
      </c>
      <c r="C62" s="12">
        <v>5</v>
      </c>
      <c r="D62" s="8">
        <v>2.79</v>
      </c>
      <c r="E62" s="12">
        <v>2</v>
      </c>
      <c r="F62" s="8">
        <v>3.08</v>
      </c>
      <c r="G62" s="12">
        <v>3</v>
      </c>
      <c r="H62" s="8">
        <v>2.8</v>
      </c>
      <c r="I62" s="12">
        <v>0</v>
      </c>
    </row>
    <row r="63" spans="2:9" ht="15" customHeight="1" x14ac:dyDescent="0.2">
      <c r="B63" t="s">
        <v>306</v>
      </c>
      <c r="C63" s="12">
        <v>5</v>
      </c>
      <c r="D63" s="8">
        <v>2.79</v>
      </c>
      <c r="E63" s="12">
        <v>4</v>
      </c>
      <c r="F63" s="8">
        <v>6.15</v>
      </c>
      <c r="G63" s="12">
        <v>1</v>
      </c>
      <c r="H63" s="8">
        <v>0.93</v>
      </c>
      <c r="I63" s="12">
        <v>0</v>
      </c>
    </row>
    <row r="64" spans="2:9" ht="15" customHeight="1" x14ac:dyDescent="0.2">
      <c r="B64" t="s">
        <v>353</v>
      </c>
      <c r="C64" s="12">
        <v>4</v>
      </c>
      <c r="D64" s="8">
        <v>2.23</v>
      </c>
      <c r="E64" s="12">
        <v>1</v>
      </c>
      <c r="F64" s="8">
        <v>1.54</v>
      </c>
      <c r="G64" s="12">
        <v>3</v>
      </c>
      <c r="H64" s="8">
        <v>2.8</v>
      </c>
      <c r="I64" s="12">
        <v>0</v>
      </c>
    </row>
    <row r="65" spans="2:9" ht="15" customHeight="1" x14ac:dyDescent="0.2">
      <c r="B65" t="s">
        <v>333</v>
      </c>
      <c r="C65" s="12">
        <v>4</v>
      </c>
      <c r="D65" s="8">
        <v>2.23</v>
      </c>
      <c r="E65" s="12">
        <v>1</v>
      </c>
      <c r="F65" s="8">
        <v>1.54</v>
      </c>
      <c r="G65" s="12">
        <v>3</v>
      </c>
      <c r="H65" s="8">
        <v>2.8</v>
      </c>
      <c r="I65" s="12">
        <v>0</v>
      </c>
    </row>
    <row r="66" spans="2:9" ht="15" customHeight="1" x14ac:dyDescent="0.2">
      <c r="B66" t="s">
        <v>297</v>
      </c>
      <c r="C66" s="12">
        <v>4</v>
      </c>
      <c r="D66" s="8">
        <v>2.23</v>
      </c>
      <c r="E66" s="12">
        <v>2</v>
      </c>
      <c r="F66" s="8">
        <v>3.08</v>
      </c>
      <c r="G66" s="12">
        <v>2</v>
      </c>
      <c r="H66" s="8">
        <v>1.87</v>
      </c>
      <c r="I66" s="12">
        <v>0</v>
      </c>
    </row>
    <row r="67" spans="2:9" ht="15" customHeight="1" x14ac:dyDescent="0.2">
      <c r="B67" t="s">
        <v>419</v>
      </c>
      <c r="C67" s="12">
        <v>4</v>
      </c>
      <c r="D67" s="8">
        <v>2.23</v>
      </c>
      <c r="E67" s="12">
        <v>4</v>
      </c>
      <c r="F67" s="8">
        <v>6.15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300</v>
      </c>
      <c r="C68" s="12">
        <v>4</v>
      </c>
      <c r="D68" s="8">
        <v>2.23</v>
      </c>
      <c r="E68" s="12">
        <v>4</v>
      </c>
      <c r="F68" s="8">
        <v>6.15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323</v>
      </c>
      <c r="C69" s="12">
        <v>4</v>
      </c>
      <c r="D69" s="8">
        <v>2.23</v>
      </c>
      <c r="E69" s="12">
        <v>0</v>
      </c>
      <c r="F69" s="8">
        <v>0</v>
      </c>
      <c r="G69" s="12">
        <v>4</v>
      </c>
      <c r="H69" s="8">
        <v>3.74</v>
      </c>
      <c r="I69" s="12">
        <v>0</v>
      </c>
    </row>
    <row r="70" spans="2:9" ht="15" customHeight="1" x14ac:dyDescent="0.2">
      <c r="B70" t="s">
        <v>319</v>
      </c>
      <c r="C70" s="12">
        <v>3</v>
      </c>
      <c r="D70" s="8">
        <v>1.68</v>
      </c>
      <c r="E70" s="12">
        <v>1</v>
      </c>
      <c r="F70" s="8">
        <v>1.54</v>
      </c>
      <c r="G70" s="12">
        <v>2</v>
      </c>
      <c r="H70" s="8">
        <v>1.87</v>
      </c>
      <c r="I70" s="12">
        <v>0</v>
      </c>
    </row>
    <row r="71" spans="2:9" ht="15" customHeight="1" x14ac:dyDescent="0.2">
      <c r="B71" t="s">
        <v>308</v>
      </c>
      <c r="C71" s="12">
        <v>3</v>
      </c>
      <c r="D71" s="8">
        <v>1.68</v>
      </c>
      <c r="E71" s="12">
        <v>1</v>
      </c>
      <c r="F71" s="8">
        <v>1.54</v>
      </c>
      <c r="G71" s="12">
        <v>2</v>
      </c>
      <c r="H71" s="8">
        <v>1.87</v>
      </c>
      <c r="I71" s="12">
        <v>0</v>
      </c>
    </row>
    <row r="72" spans="2:9" ht="15" customHeight="1" x14ac:dyDescent="0.2">
      <c r="B72" t="s">
        <v>290</v>
      </c>
      <c r="C72" s="12">
        <v>3</v>
      </c>
      <c r="D72" s="8">
        <v>1.68</v>
      </c>
      <c r="E72" s="12">
        <v>1</v>
      </c>
      <c r="F72" s="8">
        <v>1.54</v>
      </c>
      <c r="G72" s="12">
        <v>2</v>
      </c>
      <c r="H72" s="8">
        <v>1.87</v>
      </c>
      <c r="I72" s="12">
        <v>0</v>
      </c>
    </row>
    <row r="73" spans="2:9" ht="15" customHeight="1" x14ac:dyDescent="0.2">
      <c r="B73" t="s">
        <v>291</v>
      </c>
      <c r="C73" s="12">
        <v>3</v>
      </c>
      <c r="D73" s="8">
        <v>1.68</v>
      </c>
      <c r="E73" s="12">
        <v>1</v>
      </c>
      <c r="F73" s="8">
        <v>1.54</v>
      </c>
      <c r="G73" s="12">
        <v>2</v>
      </c>
      <c r="H73" s="8">
        <v>1.87</v>
      </c>
      <c r="I73" s="12">
        <v>0</v>
      </c>
    </row>
    <row r="74" spans="2:9" ht="15" customHeight="1" x14ac:dyDescent="0.2">
      <c r="B74" t="s">
        <v>294</v>
      </c>
      <c r="C74" s="12">
        <v>3</v>
      </c>
      <c r="D74" s="8">
        <v>1.68</v>
      </c>
      <c r="E74" s="12">
        <v>1</v>
      </c>
      <c r="F74" s="8">
        <v>1.54</v>
      </c>
      <c r="G74" s="12">
        <v>2</v>
      </c>
      <c r="H74" s="8">
        <v>1.87</v>
      </c>
      <c r="I74" s="12">
        <v>0</v>
      </c>
    </row>
    <row r="75" spans="2:9" ht="15" customHeight="1" x14ac:dyDescent="0.2">
      <c r="B75" t="s">
        <v>396</v>
      </c>
      <c r="C75" s="12">
        <v>3</v>
      </c>
      <c r="D75" s="8">
        <v>1.68</v>
      </c>
      <c r="E75" s="12">
        <v>0</v>
      </c>
      <c r="F75" s="8">
        <v>0</v>
      </c>
      <c r="G75" s="12">
        <v>3</v>
      </c>
      <c r="H75" s="8">
        <v>2.8</v>
      </c>
      <c r="I75" s="12">
        <v>0</v>
      </c>
    </row>
    <row r="76" spans="2:9" ht="15" customHeight="1" x14ac:dyDescent="0.2">
      <c r="B76" t="s">
        <v>302</v>
      </c>
      <c r="C76" s="12">
        <v>3</v>
      </c>
      <c r="D76" s="8">
        <v>1.68</v>
      </c>
      <c r="E76" s="12">
        <v>1</v>
      </c>
      <c r="F76" s="8">
        <v>1.54</v>
      </c>
      <c r="G76" s="12">
        <v>2</v>
      </c>
      <c r="H76" s="8">
        <v>1.87</v>
      </c>
      <c r="I76" s="12">
        <v>0</v>
      </c>
    </row>
    <row r="77" spans="2:9" ht="15" customHeight="1" x14ac:dyDescent="0.2">
      <c r="B77" t="s">
        <v>352</v>
      </c>
      <c r="C77" s="12">
        <v>3</v>
      </c>
      <c r="D77" s="8">
        <v>1.68</v>
      </c>
      <c r="E77" s="12">
        <v>2</v>
      </c>
      <c r="F77" s="8">
        <v>3.08</v>
      </c>
      <c r="G77" s="12">
        <v>1</v>
      </c>
      <c r="H77" s="8">
        <v>0.93</v>
      </c>
      <c r="I77" s="12">
        <v>0</v>
      </c>
    </row>
    <row r="78" spans="2:9" ht="15" customHeight="1" x14ac:dyDescent="0.2">
      <c r="B78" t="s">
        <v>341</v>
      </c>
      <c r="C78" s="12">
        <v>3</v>
      </c>
      <c r="D78" s="8">
        <v>1.68</v>
      </c>
      <c r="E78" s="12">
        <v>1</v>
      </c>
      <c r="F78" s="8">
        <v>1.54</v>
      </c>
      <c r="G78" s="12">
        <v>1</v>
      </c>
      <c r="H78" s="8">
        <v>0.93</v>
      </c>
      <c r="I78" s="12">
        <v>0</v>
      </c>
    </row>
    <row r="79" spans="2:9" ht="15" customHeight="1" x14ac:dyDescent="0.2">
      <c r="B79" t="s">
        <v>331</v>
      </c>
      <c r="C79" s="12">
        <v>3</v>
      </c>
      <c r="D79" s="8">
        <v>1.68</v>
      </c>
      <c r="E79" s="12">
        <v>0</v>
      </c>
      <c r="F79" s="8">
        <v>0</v>
      </c>
      <c r="G79" s="12">
        <v>2</v>
      </c>
      <c r="H79" s="8">
        <v>1.87</v>
      </c>
      <c r="I79" s="12">
        <v>0</v>
      </c>
    </row>
    <row r="80" spans="2:9" ht="15" customHeight="1" x14ac:dyDescent="0.2">
      <c r="B80" t="s">
        <v>307</v>
      </c>
      <c r="C80" s="12">
        <v>3</v>
      </c>
      <c r="D80" s="8">
        <v>1.68</v>
      </c>
      <c r="E80" s="12">
        <v>1</v>
      </c>
      <c r="F80" s="8">
        <v>1.54</v>
      </c>
      <c r="G80" s="12">
        <v>2</v>
      </c>
      <c r="H80" s="8">
        <v>1.87</v>
      </c>
      <c r="I80" s="12">
        <v>0</v>
      </c>
    </row>
    <row r="82" spans="2:2" ht="15" customHeight="1" x14ac:dyDescent="0.2">
      <c r="B8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87FA-15D1-477E-8395-65D9B0443018}">
  <sheetPr>
    <pageSetUpPr fitToPage="1"/>
  </sheetPr>
  <dimension ref="B2:I8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20</v>
      </c>
      <c r="D6" s="8">
        <v>13.16</v>
      </c>
      <c r="E6" s="12">
        <v>5</v>
      </c>
      <c r="F6" s="8">
        <v>6.85</v>
      </c>
      <c r="G6" s="12">
        <v>15</v>
      </c>
      <c r="H6" s="8">
        <v>21.43</v>
      </c>
      <c r="I6" s="12">
        <v>0</v>
      </c>
    </row>
    <row r="7" spans="2:9" ht="15" customHeight="1" x14ac:dyDescent="0.2">
      <c r="B7" t="s">
        <v>192</v>
      </c>
      <c r="C7" s="12">
        <v>16</v>
      </c>
      <c r="D7" s="8">
        <v>10.53</v>
      </c>
      <c r="E7" s="12">
        <v>3</v>
      </c>
      <c r="F7" s="8">
        <v>4.1100000000000003</v>
      </c>
      <c r="G7" s="12">
        <v>13</v>
      </c>
      <c r="H7" s="8">
        <v>18.57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0.66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45</v>
      </c>
      <c r="D11" s="8">
        <v>29.61</v>
      </c>
      <c r="E11" s="12">
        <v>24</v>
      </c>
      <c r="F11" s="8">
        <v>32.880000000000003</v>
      </c>
      <c r="G11" s="12">
        <v>21</v>
      </c>
      <c r="H11" s="8">
        <v>30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16</v>
      </c>
      <c r="D13" s="8">
        <v>10.53</v>
      </c>
      <c r="E13" s="12">
        <v>10</v>
      </c>
      <c r="F13" s="8">
        <v>13.7</v>
      </c>
      <c r="G13" s="12">
        <v>6</v>
      </c>
      <c r="H13" s="8">
        <v>8.57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3.29</v>
      </c>
      <c r="E14" s="12">
        <v>4</v>
      </c>
      <c r="F14" s="8">
        <v>5.48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16</v>
      </c>
      <c r="D15" s="8">
        <v>10.53</v>
      </c>
      <c r="E15" s="12">
        <v>13</v>
      </c>
      <c r="F15" s="8">
        <v>17.809999999999999</v>
      </c>
      <c r="G15" s="12">
        <v>3</v>
      </c>
      <c r="H15" s="8">
        <v>4.29</v>
      </c>
      <c r="I15" s="12">
        <v>0</v>
      </c>
    </row>
    <row r="16" spans="2:9" ht="15" customHeight="1" x14ac:dyDescent="0.2">
      <c r="B16" t="s">
        <v>201</v>
      </c>
      <c r="C16" s="12">
        <v>16</v>
      </c>
      <c r="D16" s="8">
        <v>10.53</v>
      </c>
      <c r="E16" s="12">
        <v>9</v>
      </c>
      <c r="F16" s="8">
        <v>12.33</v>
      </c>
      <c r="G16" s="12">
        <v>5</v>
      </c>
      <c r="H16" s="8">
        <v>7.14</v>
      </c>
      <c r="I16" s="12">
        <v>0</v>
      </c>
    </row>
    <row r="17" spans="2:9" ht="15" customHeight="1" x14ac:dyDescent="0.2">
      <c r="B17" t="s">
        <v>202</v>
      </c>
      <c r="C17" s="12">
        <v>6</v>
      </c>
      <c r="D17" s="8">
        <v>3.95</v>
      </c>
      <c r="E17" s="12">
        <v>2</v>
      </c>
      <c r="F17" s="8">
        <v>2.74</v>
      </c>
      <c r="G17" s="12">
        <v>3</v>
      </c>
      <c r="H17" s="8">
        <v>4.29</v>
      </c>
      <c r="I17" s="12">
        <v>0</v>
      </c>
    </row>
    <row r="18" spans="2:9" ht="15" customHeight="1" x14ac:dyDescent="0.2">
      <c r="B18" t="s">
        <v>203</v>
      </c>
      <c r="C18" s="12">
        <v>9</v>
      </c>
      <c r="D18" s="8">
        <v>5.92</v>
      </c>
      <c r="E18" s="12">
        <v>3</v>
      </c>
      <c r="F18" s="8">
        <v>4.1100000000000003</v>
      </c>
      <c r="G18" s="12">
        <v>3</v>
      </c>
      <c r="H18" s="8">
        <v>4.29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1.32</v>
      </c>
      <c r="E19" s="12">
        <v>0</v>
      </c>
      <c r="F19" s="8">
        <v>0</v>
      </c>
      <c r="G19" s="12">
        <v>1</v>
      </c>
      <c r="H19" s="8">
        <v>1.43</v>
      </c>
      <c r="I19" s="12">
        <v>1</v>
      </c>
    </row>
    <row r="20" spans="2:9" ht="15" customHeight="1" x14ac:dyDescent="0.2">
      <c r="B20" s="9" t="s">
        <v>529</v>
      </c>
      <c r="C20" s="12">
        <f>SUM(LTBL_01454[総数／事業所数])</f>
        <v>152</v>
      </c>
      <c r="E20" s="12">
        <f>SUBTOTAL(109,LTBL_01454[個人／事業所数])</f>
        <v>73</v>
      </c>
      <c r="G20" s="12">
        <f>SUBTOTAL(109,LTBL_01454[法人／事業所数])</f>
        <v>70</v>
      </c>
      <c r="I20" s="12">
        <f>SUBTOTAL(109,LTBL_01454[法人以外の団体／事業所数])</f>
        <v>1</v>
      </c>
    </row>
    <row r="21" spans="2:9" ht="15" customHeight="1" x14ac:dyDescent="0.2">
      <c r="E21" s="11">
        <f>LTBL_01454[[#Totals],[個人／事業所数]]/LTBL_01454[[#Totals],[総数／事業所数]]</f>
        <v>0.48026315789473684</v>
      </c>
      <c r="G21" s="11">
        <f>LTBL_01454[[#Totals],[法人／事業所数]]/LTBL_01454[[#Totals],[総数／事業所数]]</f>
        <v>0.46052631578947367</v>
      </c>
      <c r="I21" s="11">
        <f>LTBL_01454[[#Totals],[法人以外の団体／事業所数]]/LTBL_01454[[#Totals],[総数／事業所数]]</f>
        <v>6.5789473684210523E-3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14</v>
      </c>
      <c r="D24" s="8">
        <v>9.2100000000000009</v>
      </c>
      <c r="E24" s="12">
        <v>9</v>
      </c>
      <c r="F24" s="8">
        <v>12.33</v>
      </c>
      <c r="G24" s="12">
        <v>5</v>
      </c>
      <c r="H24" s="8">
        <v>7.14</v>
      </c>
      <c r="I24" s="12">
        <v>0</v>
      </c>
    </row>
    <row r="25" spans="2:9" ht="15" customHeight="1" x14ac:dyDescent="0.2">
      <c r="B25" t="s">
        <v>221</v>
      </c>
      <c r="C25" s="12">
        <v>11</v>
      </c>
      <c r="D25" s="8">
        <v>7.24</v>
      </c>
      <c r="E25" s="12">
        <v>6</v>
      </c>
      <c r="F25" s="8">
        <v>8.2200000000000006</v>
      </c>
      <c r="G25" s="12">
        <v>5</v>
      </c>
      <c r="H25" s="8">
        <v>7.14</v>
      </c>
      <c r="I25" s="12">
        <v>0</v>
      </c>
    </row>
    <row r="26" spans="2:9" ht="15" customHeight="1" x14ac:dyDescent="0.2">
      <c r="B26" t="s">
        <v>224</v>
      </c>
      <c r="C26" s="12">
        <v>11</v>
      </c>
      <c r="D26" s="8">
        <v>7.24</v>
      </c>
      <c r="E26" s="12">
        <v>10</v>
      </c>
      <c r="F26" s="8">
        <v>13.7</v>
      </c>
      <c r="G26" s="12">
        <v>1</v>
      </c>
      <c r="H26" s="8">
        <v>1.43</v>
      </c>
      <c r="I26" s="12">
        <v>0</v>
      </c>
    </row>
    <row r="27" spans="2:9" ht="15" customHeight="1" x14ac:dyDescent="0.2">
      <c r="B27" t="s">
        <v>227</v>
      </c>
      <c r="C27" s="12">
        <v>11</v>
      </c>
      <c r="D27" s="8">
        <v>7.24</v>
      </c>
      <c r="E27" s="12">
        <v>10</v>
      </c>
      <c r="F27" s="8">
        <v>13.7</v>
      </c>
      <c r="G27" s="12">
        <v>1</v>
      </c>
      <c r="H27" s="8">
        <v>1.43</v>
      </c>
      <c r="I27" s="12">
        <v>0</v>
      </c>
    </row>
    <row r="28" spans="2:9" ht="15" customHeight="1" x14ac:dyDescent="0.2">
      <c r="B28" t="s">
        <v>228</v>
      </c>
      <c r="C28" s="12">
        <v>10</v>
      </c>
      <c r="D28" s="8">
        <v>6.58</v>
      </c>
      <c r="E28" s="12">
        <v>9</v>
      </c>
      <c r="F28" s="8">
        <v>12.33</v>
      </c>
      <c r="G28" s="12">
        <v>1</v>
      </c>
      <c r="H28" s="8">
        <v>1.43</v>
      </c>
      <c r="I28" s="12">
        <v>0</v>
      </c>
    </row>
    <row r="29" spans="2:9" ht="15" customHeight="1" x14ac:dyDescent="0.2">
      <c r="B29" t="s">
        <v>213</v>
      </c>
      <c r="C29" s="12">
        <v>9</v>
      </c>
      <c r="D29" s="8">
        <v>5.92</v>
      </c>
      <c r="E29" s="12">
        <v>1</v>
      </c>
      <c r="F29" s="8">
        <v>1.37</v>
      </c>
      <c r="G29" s="12">
        <v>8</v>
      </c>
      <c r="H29" s="8">
        <v>11.43</v>
      </c>
      <c r="I29" s="12">
        <v>0</v>
      </c>
    </row>
    <row r="30" spans="2:9" ht="15" customHeight="1" x14ac:dyDescent="0.2">
      <c r="B30" t="s">
        <v>214</v>
      </c>
      <c r="C30" s="12">
        <v>8</v>
      </c>
      <c r="D30" s="8">
        <v>5.26</v>
      </c>
      <c r="E30" s="12">
        <v>3</v>
      </c>
      <c r="F30" s="8">
        <v>4.1100000000000003</v>
      </c>
      <c r="G30" s="12">
        <v>5</v>
      </c>
      <c r="H30" s="8">
        <v>7.14</v>
      </c>
      <c r="I30" s="12">
        <v>0</v>
      </c>
    </row>
    <row r="31" spans="2:9" ht="15" customHeight="1" x14ac:dyDescent="0.2">
      <c r="B31" t="s">
        <v>236</v>
      </c>
      <c r="C31" s="12">
        <v>6</v>
      </c>
      <c r="D31" s="8">
        <v>3.95</v>
      </c>
      <c r="E31" s="12">
        <v>3</v>
      </c>
      <c r="F31" s="8">
        <v>4.1100000000000003</v>
      </c>
      <c r="G31" s="12">
        <v>3</v>
      </c>
      <c r="H31" s="8">
        <v>4.29</v>
      </c>
      <c r="I31" s="12">
        <v>0</v>
      </c>
    </row>
    <row r="32" spans="2:9" ht="15" customHeight="1" x14ac:dyDescent="0.2">
      <c r="B32" t="s">
        <v>230</v>
      </c>
      <c r="C32" s="12">
        <v>6</v>
      </c>
      <c r="D32" s="8">
        <v>3.95</v>
      </c>
      <c r="E32" s="12">
        <v>2</v>
      </c>
      <c r="F32" s="8">
        <v>2.74</v>
      </c>
      <c r="G32" s="12">
        <v>3</v>
      </c>
      <c r="H32" s="8">
        <v>4.29</v>
      </c>
      <c r="I32" s="12">
        <v>0</v>
      </c>
    </row>
    <row r="33" spans="2:9" ht="15" customHeight="1" x14ac:dyDescent="0.2">
      <c r="B33" t="s">
        <v>232</v>
      </c>
      <c r="C33" s="12">
        <v>6</v>
      </c>
      <c r="D33" s="8">
        <v>3.95</v>
      </c>
      <c r="E33" s="12">
        <v>0</v>
      </c>
      <c r="F33" s="8">
        <v>0</v>
      </c>
      <c r="G33" s="12">
        <v>3</v>
      </c>
      <c r="H33" s="8">
        <v>4.29</v>
      </c>
      <c r="I33" s="12">
        <v>0</v>
      </c>
    </row>
    <row r="34" spans="2:9" ht="15" customHeight="1" x14ac:dyDescent="0.2">
      <c r="B34" t="s">
        <v>217</v>
      </c>
      <c r="C34" s="12">
        <v>5</v>
      </c>
      <c r="D34" s="8">
        <v>3.29</v>
      </c>
      <c r="E34" s="12">
        <v>2</v>
      </c>
      <c r="F34" s="8">
        <v>2.74</v>
      </c>
      <c r="G34" s="12">
        <v>3</v>
      </c>
      <c r="H34" s="8">
        <v>4.29</v>
      </c>
      <c r="I34" s="12">
        <v>0</v>
      </c>
    </row>
    <row r="35" spans="2:9" ht="15" customHeight="1" x14ac:dyDescent="0.2">
      <c r="B35" t="s">
        <v>226</v>
      </c>
      <c r="C35" s="12">
        <v>5</v>
      </c>
      <c r="D35" s="8">
        <v>3.29</v>
      </c>
      <c r="E35" s="12">
        <v>4</v>
      </c>
      <c r="F35" s="8">
        <v>5.48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247</v>
      </c>
      <c r="C36" s="12">
        <v>5</v>
      </c>
      <c r="D36" s="8">
        <v>3.29</v>
      </c>
      <c r="E36" s="12">
        <v>0</v>
      </c>
      <c r="F36" s="8">
        <v>0</v>
      </c>
      <c r="G36" s="12">
        <v>3</v>
      </c>
      <c r="H36" s="8">
        <v>4.29</v>
      </c>
      <c r="I36" s="12">
        <v>0</v>
      </c>
    </row>
    <row r="37" spans="2:9" ht="15" customHeight="1" x14ac:dyDescent="0.2">
      <c r="B37" t="s">
        <v>264</v>
      </c>
      <c r="C37" s="12">
        <v>4</v>
      </c>
      <c r="D37" s="8">
        <v>2.63</v>
      </c>
      <c r="E37" s="12">
        <v>0</v>
      </c>
      <c r="F37" s="8">
        <v>0</v>
      </c>
      <c r="G37" s="12">
        <v>4</v>
      </c>
      <c r="H37" s="8">
        <v>5.71</v>
      </c>
      <c r="I37" s="12">
        <v>0</v>
      </c>
    </row>
    <row r="38" spans="2:9" ht="15" customHeight="1" x14ac:dyDescent="0.2">
      <c r="B38" t="s">
        <v>254</v>
      </c>
      <c r="C38" s="12">
        <v>4</v>
      </c>
      <c r="D38" s="8">
        <v>2.63</v>
      </c>
      <c r="E38" s="12">
        <v>0</v>
      </c>
      <c r="F38" s="8">
        <v>0</v>
      </c>
      <c r="G38" s="12">
        <v>4</v>
      </c>
      <c r="H38" s="8">
        <v>5.71</v>
      </c>
      <c r="I38" s="12">
        <v>0</v>
      </c>
    </row>
    <row r="39" spans="2:9" ht="15" customHeight="1" x14ac:dyDescent="0.2">
      <c r="B39" t="s">
        <v>222</v>
      </c>
      <c r="C39" s="12">
        <v>4</v>
      </c>
      <c r="D39" s="8">
        <v>2.63</v>
      </c>
      <c r="E39" s="12">
        <v>3</v>
      </c>
      <c r="F39" s="8">
        <v>4.1100000000000003</v>
      </c>
      <c r="G39" s="12">
        <v>1</v>
      </c>
      <c r="H39" s="8">
        <v>1.43</v>
      </c>
      <c r="I39" s="12">
        <v>0</v>
      </c>
    </row>
    <row r="40" spans="2:9" ht="15" customHeight="1" x14ac:dyDescent="0.2">
      <c r="B40" t="s">
        <v>246</v>
      </c>
      <c r="C40" s="12">
        <v>4</v>
      </c>
      <c r="D40" s="8">
        <v>2.63</v>
      </c>
      <c r="E40" s="12">
        <v>0</v>
      </c>
      <c r="F40" s="8">
        <v>0</v>
      </c>
      <c r="G40" s="12">
        <v>4</v>
      </c>
      <c r="H40" s="8">
        <v>5.71</v>
      </c>
      <c r="I40" s="12">
        <v>0</v>
      </c>
    </row>
    <row r="41" spans="2:9" ht="15" customHeight="1" x14ac:dyDescent="0.2">
      <c r="B41" t="s">
        <v>243</v>
      </c>
      <c r="C41" s="12">
        <v>4</v>
      </c>
      <c r="D41" s="8">
        <v>2.63</v>
      </c>
      <c r="E41" s="12">
        <v>3</v>
      </c>
      <c r="F41" s="8">
        <v>4.1100000000000003</v>
      </c>
      <c r="G41" s="12">
        <v>1</v>
      </c>
      <c r="H41" s="8">
        <v>1.43</v>
      </c>
      <c r="I41" s="12">
        <v>0</v>
      </c>
    </row>
    <row r="42" spans="2:9" ht="15" customHeight="1" x14ac:dyDescent="0.2">
      <c r="B42" t="s">
        <v>215</v>
      </c>
      <c r="C42" s="12">
        <v>3</v>
      </c>
      <c r="D42" s="8">
        <v>1.97</v>
      </c>
      <c r="E42" s="12">
        <v>1</v>
      </c>
      <c r="F42" s="8">
        <v>1.37</v>
      </c>
      <c r="G42" s="12">
        <v>2</v>
      </c>
      <c r="H42" s="8">
        <v>2.86</v>
      </c>
      <c r="I42" s="12">
        <v>0</v>
      </c>
    </row>
    <row r="43" spans="2:9" ht="15" customHeight="1" x14ac:dyDescent="0.2">
      <c r="B43" t="s">
        <v>231</v>
      </c>
      <c r="C43" s="12">
        <v>3</v>
      </c>
      <c r="D43" s="8">
        <v>1.97</v>
      </c>
      <c r="E43" s="12">
        <v>3</v>
      </c>
      <c r="F43" s="8">
        <v>4.1100000000000003</v>
      </c>
      <c r="G43" s="12">
        <v>0</v>
      </c>
      <c r="H43" s="8">
        <v>0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9</v>
      </c>
      <c r="D47" s="8">
        <v>5.92</v>
      </c>
      <c r="E47" s="12">
        <v>9</v>
      </c>
      <c r="F47" s="8">
        <v>12.33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329</v>
      </c>
      <c r="C48" s="12">
        <v>5</v>
      </c>
      <c r="D48" s="8">
        <v>3.29</v>
      </c>
      <c r="E48" s="12">
        <v>3</v>
      </c>
      <c r="F48" s="8">
        <v>4.1100000000000003</v>
      </c>
      <c r="G48" s="12">
        <v>2</v>
      </c>
      <c r="H48" s="8">
        <v>2.86</v>
      </c>
      <c r="I48" s="12">
        <v>0</v>
      </c>
    </row>
    <row r="49" spans="2:9" ht="15" customHeight="1" x14ac:dyDescent="0.2">
      <c r="B49" t="s">
        <v>292</v>
      </c>
      <c r="C49" s="12">
        <v>5</v>
      </c>
      <c r="D49" s="8">
        <v>3.29</v>
      </c>
      <c r="E49" s="12">
        <v>3</v>
      </c>
      <c r="F49" s="8">
        <v>4.1100000000000003</v>
      </c>
      <c r="G49" s="12">
        <v>2</v>
      </c>
      <c r="H49" s="8">
        <v>2.86</v>
      </c>
      <c r="I49" s="12">
        <v>0</v>
      </c>
    </row>
    <row r="50" spans="2:9" ht="15" customHeight="1" x14ac:dyDescent="0.2">
      <c r="B50" t="s">
        <v>344</v>
      </c>
      <c r="C50" s="12">
        <v>5</v>
      </c>
      <c r="D50" s="8">
        <v>3.29</v>
      </c>
      <c r="E50" s="12">
        <v>3</v>
      </c>
      <c r="F50" s="8">
        <v>4.1100000000000003</v>
      </c>
      <c r="G50" s="12">
        <v>2</v>
      </c>
      <c r="H50" s="8">
        <v>2.86</v>
      </c>
      <c r="I50" s="12">
        <v>0</v>
      </c>
    </row>
    <row r="51" spans="2:9" ht="15" customHeight="1" x14ac:dyDescent="0.2">
      <c r="B51" t="s">
        <v>304</v>
      </c>
      <c r="C51" s="12">
        <v>5</v>
      </c>
      <c r="D51" s="8">
        <v>3.29</v>
      </c>
      <c r="E51" s="12">
        <v>5</v>
      </c>
      <c r="F51" s="8">
        <v>6.85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288</v>
      </c>
      <c r="C52" s="12">
        <v>4</v>
      </c>
      <c r="D52" s="8">
        <v>2.63</v>
      </c>
      <c r="E52" s="12">
        <v>0</v>
      </c>
      <c r="F52" s="8">
        <v>0</v>
      </c>
      <c r="G52" s="12">
        <v>4</v>
      </c>
      <c r="H52" s="8">
        <v>5.71</v>
      </c>
      <c r="I52" s="12">
        <v>0</v>
      </c>
    </row>
    <row r="53" spans="2:9" ht="15" customHeight="1" x14ac:dyDescent="0.2">
      <c r="B53" t="s">
        <v>434</v>
      </c>
      <c r="C53" s="12">
        <v>4</v>
      </c>
      <c r="D53" s="8">
        <v>2.63</v>
      </c>
      <c r="E53" s="12">
        <v>0</v>
      </c>
      <c r="F53" s="8">
        <v>0</v>
      </c>
      <c r="G53" s="12">
        <v>4</v>
      </c>
      <c r="H53" s="8">
        <v>5.71</v>
      </c>
      <c r="I53" s="12">
        <v>0</v>
      </c>
    </row>
    <row r="54" spans="2:9" ht="15" customHeight="1" x14ac:dyDescent="0.2">
      <c r="B54" t="s">
        <v>339</v>
      </c>
      <c r="C54" s="12">
        <v>4</v>
      </c>
      <c r="D54" s="8">
        <v>2.63</v>
      </c>
      <c r="E54" s="12">
        <v>3</v>
      </c>
      <c r="F54" s="8">
        <v>4.1100000000000003</v>
      </c>
      <c r="G54" s="12">
        <v>1</v>
      </c>
      <c r="H54" s="8">
        <v>1.43</v>
      </c>
      <c r="I54" s="12">
        <v>0</v>
      </c>
    </row>
    <row r="55" spans="2:9" ht="15" customHeight="1" x14ac:dyDescent="0.2">
      <c r="B55" t="s">
        <v>301</v>
      </c>
      <c r="C55" s="12">
        <v>4</v>
      </c>
      <c r="D55" s="8">
        <v>2.63</v>
      </c>
      <c r="E55" s="12">
        <v>4</v>
      </c>
      <c r="F55" s="8">
        <v>5.48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303</v>
      </c>
      <c r="C56" s="12">
        <v>4</v>
      </c>
      <c r="D56" s="8">
        <v>2.63</v>
      </c>
      <c r="E56" s="12">
        <v>4</v>
      </c>
      <c r="F56" s="8">
        <v>5.48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446</v>
      </c>
      <c r="C57" s="12">
        <v>3</v>
      </c>
      <c r="D57" s="8">
        <v>1.97</v>
      </c>
      <c r="E57" s="12">
        <v>1</v>
      </c>
      <c r="F57" s="8">
        <v>1.37</v>
      </c>
      <c r="G57" s="12">
        <v>2</v>
      </c>
      <c r="H57" s="8">
        <v>2.86</v>
      </c>
      <c r="I57" s="12">
        <v>0</v>
      </c>
    </row>
    <row r="58" spans="2:9" ht="15" customHeight="1" x14ac:dyDescent="0.2">
      <c r="B58" t="s">
        <v>401</v>
      </c>
      <c r="C58" s="12">
        <v>3</v>
      </c>
      <c r="D58" s="8">
        <v>1.97</v>
      </c>
      <c r="E58" s="12">
        <v>2</v>
      </c>
      <c r="F58" s="8">
        <v>2.74</v>
      </c>
      <c r="G58" s="12">
        <v>1</v>
      </c>
      <c r="H58" s="8">
        <v>1.43</v>
      </c>
      <c r="I58" s="12">
        <v>0</v>
      </c>
    </row>
    <row r="59" spans="2:9" ht="15" customHeight="1" x14ac:dyDescent="0.2">
      <c r="B59" t="s">
        <v>300</v>
      </c>
      <c r="C59" s="12">
        <v>3</v>
      </c>
      <c r="D59" s="8">
        <v>1.97</v>
      </c>
      <c r="E59" s="12">
        <v>3</v>
      </c>
      <c r="F59" s="8">
        <v>4.1100000000000003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340</v>
      </c>
      <c r="C60" s="12">
        <v>3</v>
      </c>
      <c r="D60" s="8">
        <v>1.97</v>
      </c>
      <c r="E60" s="12">
        <v>0</v>
      </c>
      <c r="F60" s="8">
        <v>0</v>
      </c>
      <c r="G60" s="12">
        <v>2</v>
      </c>
      <c r="H60" s="8">
        <v>2.86</v>
      </c>
      <c r="I60" s="12">
        <v>0</v>
      </c>
    </row>
    <row r="61" spans="2:9" ht="15" customHeight="1" x14ac:dyDescent="0.2">
      <c r="B61" t="s">
        <v>331</v>
      </c>
      <c r="C61" s="12">
        <v>3</v>
      </c>
      <c r="D61" s="8">
        <v>1.97</v>
      </c>
      <c r="E61" s="12">
        <v>0</v>
      </c>
      <c r="F61" s="8">
        <v>0</v>
      </c>
      <c r="G61" s="12">
        <v>2</v>
      </c>
      <c r="H61" s="8">
        <v>2.86</v>
      </c>
      <c r="I61" s="12">
        <v>0</v>
      </c>
    </row>
    <row r="62" spans="2:9" ht="15" customHeight="1" x14ac:dyDescent="0.2">
      <c r="B62" t="s">
        <v>289</v>
      </c>
      <c r="C62" s="12">
        <v>2</v>
      </c>
      <c r="D62" s="8">
        <v>1.32</v>
      </c>
      <c r="E62" s="12">
        <v>1</v>
      </c>
      <c r="F62" s="8">
        <v>1.37</v>
      </c>
      <c r="G62" s="12">
        <v>1</v>
      </c>
      <c r="H62" s="8">
        <v>1.43</v>
      </c>
      <c r="I62" s="12">
        <v>0</v>
      </c>
    </row>
    <row r="63" spans="2:9" ht="15" customHeight="1" x14ac:dyDescent="0.2">
      <c r="B63" t="s">
        <v>343</v>
      </c>
      <c r="C63" s="12">
        <v>2</v>
      </c>
      <c r="D63" s="8">
        <v>1.32</v>
      </c>
      <c r="E63" s="12">
        <v>0</v>
      </c>
      <c r="F63" s="8">
        <v>0</v>
      </c>
      <c r="G63" s="12">
        <v>2</v>
      </c>
      <c r="H63" s="8">
        <v>2.86</v>
      </c>
      <c r="I63" s="12">
        <v>0</v>
      </c>
    </row>
    <row r="64" spans="2:9" ht="15" customHeight="1" x14ac:dyDescent="0.2">
      <c r="B64" t="s">
        <v>320</v>
      </c>
      <c r="C64" s="12">
        <v>2</v>
      </c>
      <c r="D64" s="8">
        <v>1.32</v>
      </c>
      <c r="E64" s="12">
        <v>1</v>
      </c>
      <c r="F64" s="8">
        <v>1.37</v>
      </c>
      <c r="G64" s="12">
        <v>1</v>
      </c>
      <c r="H64" s="8">
        <v>1.43</v>
      </c>
      <c r="I64" s="12">
        <v>0</v>
      </c>
    </row>
    <row r="65" spans="2:9" ht="15" customHeight="1" x14ac:dyDescent="0.2">
      <c r="B65" t="s">
        <v>290</v>
      </c>
      <c r="C65" s="12">
        <v>2</v>
      </c>
      <c r="D65" s="8">
        <v>1.32</v>
      </c>
      <c r="E65" s="12">
        <v>0</v>
      </c>
      <c r="F65" s="8">
        <v>0</v>
      </c>
      <c r="G65" s="12">
        <v>2</v>
      </c>
      <c r="H65" s="8">
        <v>2.86</v>
      </c>
      <c r="I65" s="12">
        <v>0</v>
      </c>
    </row>
    <row r="66" spans="2:9" ht="15" customHeight="1" x14ac:dyDescent="0.2">
      <c r="B66" t="s">
        <v>359</v>
      </c>
      <c r="C66" s="12">
        <v>2</v>
      </c>
      <c r="D66" s="8">
        <v>1.32</v>
      </c>
      <c r="E66" s="12">
        <v>1</v>
      </c>
      <c r="F66" s="8">
        <v>1.37</v>
      </c>
      <c r="G66" s="12">
        <v>1</v>
      </c>
      <c r="H66" s="8">
        <v>1.43</v>
      </c>
      <c r="I66" s="12">
        <v>0</v>
      </c>
    </row>
    <row r="67" spans="2:9" ht="15" customHeight="1" x14ac:dyDescent="0.2">
      <c r="B67" t="s">
        <v>385</v>
      </c>
      <c r="C67" s="12">
        <v>2</v>
      </c>
      <c r="D67" s="8">
        <v>1.32</v>
      </c>
      <c r="E67" s="12">
        <v>0</v>
      </c>
      <c r="F67" s="8">
        <v>0</v>
      </c>
      <c r="G67" s="12">
        <v>2</v>
      </c>
      <c r="H67" s="8">
        <v>2.86</v>
      </c>
      <c r="I67" s="12">
        <v>0</v>
      </c>
    </row>
    <row r="68" spans="2:9" ht="15" customHeight="1" x14ac:dyDescent="0.2">
      <c r="B68" t="s">
        <v>432</v>
      </c>
      <c r="C68" s="12">
        <v>2</v>
      </c>
      <c r="D68" s="8">
        <v>1.32</v>
      </c>
      <c r="E68" s="12">
        <v>0</v>
      </c>
      <c r="F68" s="8">
        <v>0</v>
      </c>
      <c r="G68" s="12">
        <v>2</v>
      </c>
      <c r="H68" s="8">
        <v>2.86</v>
      </c>
      <c r="I68" s="12">
        <v>0</v>
      </c>
    </row>
    <row r="69" spans="2:9" ht="15" customHeight="1" x14ac:dyDescent="0.2">
      <c r="B69" t="s">
        <v>324</v>
      </c>
      <c r="C69" s="12">
        <v>2</v>
      </c>
      <c r="D69" s="8">
        <v>1.32</v>
      </c>
      <c r="E69" s="12">
        <v>0</v>
      </c>
      <c r="F69" s="8">
        <v>0</v>
      </c>
      <c r="G69" s="12">
        <v>2</v>
      </c>
      <c r="H69" s="8">
        <v>2.86</v>
      </c>
      <c r="I69" s="12">
        <v>0</v>
      </c>
    </row>
    <row r="70" spans="2:9" ht="15" customHeight="1" x14ac:dyDescent="0.2">
      <c r="B70" t="s">
        <v>346</v>
      </c>
      <c r="C70" s="12">
        <v>2</v>
      </c>
      <c r="D70" s="8">
        <v>1.32</v>
      </c>
      <c r="E70" s="12">
        <v>1</v>
      </c>
      <c r="F70" s="8">
        <v>1.37</v>
      </c>
      <c r="G70" s="12">
        <v>1</v>
      </c>
      <c r="H70" s="8">
        <v>1.43</v>
      </c>
      <c r="I70" s="12">
        <v>0</v>
      </c>
    </row>
    <row r="71" spans="2:9" ht="15" customHeight="1" x14ac:dyDescent="0.2">
      <c r="B71" t="s">
        <v>293</v>
      </c>
      <c r="C71" s="12">
        <v>2</v>
      </c>
      <c r="D71" s="8">
        <v>1.32</v>
      </c>
      <c r="E71" s="12">
        <v>2</v>
      </c>
      <c r="F71" s="8">
        <v>2.74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335</v>
      </c>
      <c r="C72" s="12">
        <v>2</v>
      </c>
      <c r="D72" s="8">
        <v>1.32</v>
      </c>
      <c r="E72" s="12">
        <v>1</v>
      </c>
      <c r="F72" s="8">
        <v>1.37</v>
      </c>
      <c r="G72" s="12">
        <v>1</v>
      </c>
      <c r="H72" s="8">
        <v>1.43</v>
      </c>
      <c r="I72" s="12">
        <v>0</v>
      </c>
    </row>
    <row r="73" spans="2:9" ht="15" customHeight="1" x14ac:dyDescent="0.2">
      <c r="B73" t="s">
        <v>294</v>
      </c>
      <c r="C73" s="12">
        <v>2</v>
      </c>
      <c r="D73" s="8">
        <v>1.32</v>
      </c>
      <c r="E73" s="12">
        <v>1</v>
      </c>
      <c r="F73" s="8">
        <v>1.37</v>
      </c>
      <c r="G73" s="12">
        <v>1</v>
      </c>
      <c r="H73" s="8">
        <v>1.43</v>
      </c>
      <c r="I73" s="12">
        <v>0</v>
      </c>
    </row>
    <row r="74" spans="2:9" ht="15" customHeight="1" x14ac:dyDescent="0.2">
      <c r="B74" t="s">
        <v>337</v>
      </c>
      <c r="C74" s="12">
        <v>2</v>
      </c>
      <c r="D74" s="8">
        <v>1.32</v>
      </c>
      <c r="E74" s="12">
        <v>1</v>
      </c>
      <c r="F74" s="8">
        <v>1.37</v>
      </c>
      <c r="G74" s="12">
        <v>1</v>
      </c>
      <c r="H74" s="8">
        <v>1.43</v>
      </c>
      <c r="I74" s="12">
        <v>0</v>
      </c>
    </row>
    <row r="75" spans="2:9" ht="15" customHeight="1" x14ac:dyDescent="0.2">
      <c r="B75" t="s">
        <v>373</v>
      </c>
      <c r="C75" s="12">
        <v>2</v>
      </c>
      <c r="D75" s="8">
        <v>1.32</v>
      </c>
      <c r="E75" s="12">
        <v>2</v>
      </c>
      <c r="F75" s="8">
        <v>2.74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338</v>
      </c>
      <c r="C76" s="12">
        <v>2</v>
      </c>
      <c r="D76" s="8">
        <v>1.32</v>
      </c>
      <c r="E76" s="12">
        <v>2</v>
      </c>
      <c r="F76" s="8">
        <v>2.74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311</v>
      </c>
      <c r="C77" s="12">
        <v>2</v>
      </c>
      <c r="D77" s="8">
        <v>1.32</v>
      </c>
      <c r="E77" s="12">
        <v>1</v>
      </c>
      <c r="F77" s="8">
        <v>1.37</v>
      </c>
      <c r="G77" s="12">
        <v>1</v>
      </c>
      <c r="H77" s="8">
        <v>1.43</v>
      </c>
      <c r="I77" s="12">
        <v>0</v>
      </c>
    </row>
    <row r="78" spans="2:9" ht="15" customHeight="1" x14ac:dyDescent="0.2">
      <c r="B78" t="s">
        <v>476</v>
      </c>
      <c r="C78" s="12">
        <v>2</v>
      </c>
      <c r="D78" s="8">
        <v>1.32</v>
      </c>
      <c r="E78" s="12">
        <v>0</v>
      </c>
      <c r="F78" s="8">
        <v>0</v>
      </c>
      <c r="G78" s="12">
        <v>2</v>
      </c>
      <c r="H78" s="8">
        <v>2.86</v>
      </c>
      <c r="I78" s="12">
        <v>0</v>
      </c>
    </row>
    <row r="79" spans="2:9" ht="15" customHeight="1" x14ac:dyDescent="0.2">
      <c r="B79" t="s">
        <v>415</v>
      </c>
      <c r="C79" s="12">
        <v>2</v>
      </c>
      <c r="D79" s="8">
        <v>1.32</v>
      </c>
      <c r="E79" s="12">
        <v>0</v>
      </c>
      <c r="F79" s="8">
        <v>0</v>
      </c>
      <c r="G79" s="12">
        <v>2</v>
      </c>
      <c r="H79" s="8">
        <v>2.86</v>
      </c>
      <c r="I79" s="12">
        <v>0</v>
      </c>
    </row>
    <row r="80" spans="2:9" ht="15" customHeight="1" x14ac:dyDescent="0.2">
      <c r="B80" t="s">
        <v>298</v>
      </c>
      <c r="C80" s="12">
        <v>2</v>
      </c>
      <c r="D80" s="8">
        <v>1.32</v>
      </c>
      <c r="E80" s="12">
        <v>2</v>
      </c>
      <c r="F80" s="8">
        <v>2.74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368</v>
      </c>
      <c r="C81" s="12">
        <v>2</v>
      </c>
      <c r="D81" s="8">
        <v>1.32</v>
      </c>
      <c r="E81" s="12">
        <v>0</v>
      </c>
      <c r="F81" s="8">
        <v>0</v>
      </c>
      <c r="G81" s="12">
        <v>1</v>
      </c>
      <c r="H81" s="8">
        <v>1.43</v>
      </c>
      <c r="I81" s="12">
        <v>0</v>
      </c>
    </row>
    <row r="82" spans="2:9" ht="15" customHeight="1" x14ac:dyDescent="0.2">
      <c r="B82" t="s">
        <v>305</v>
      </c>
      <c r="C82" s="12">
        <v>2</v>
      </c>
      <c r="D82" s="8">
        <v>1.32</v>
      </c>
      <c r="E82" s="12">
        <v>2</v>
      </c>
      <c r="F82" s="8">
        <v>2.74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306</v>
      </c>
      <c r="C83" s="12">
        <v>2</v>
      </c>
      <c r="D83" s="8">
        <v>1.32</v>
      </c>
      <c r="E83" s="12">
        <v>2</v>
      </c>
      <c r="F83" s="8">
        <v>2.74</v>
      </c>
      <c r="G83" s="12">
        <v>0</v>
      </c>
      <c r="H83" s="8">
        <v>0</v>
      </c>
      <c r="I83" s="12">
        <v>0</v>
      </c>
    </row>
    <row r="85" spans="2:9" ht="15" customHeight="1" x14ac:dyDescent="0.2">
      <c r="B8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26996-8123-4240-805F-D57BCF94ABB5}">
  <sheetPr>
    <pageSetUpPr fitToPage="1"/>
  </sheetPr>
  <dimension ref="B2:I12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22</v>
      </c>
      <c r="D6" s="8">
        <v>23.66</v>
      </c>
      <c r="E6" s="12">
        <v>8</v>
      </c>
      <c r="F6" s="8">
        <v>20</v>
      </c>
      <c r="G6" s="12">
        <v>14</v>
      </c>
      <c r="H6" s="8">
        <v>30.43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8.6</v>
      </c>
      <c r="E7" s="12">
        <v>1</v>
      </c>
      <c r="F7" s="8">
        <v>2.5</v>
      </c>
      <c r="G7" s="12">
        <v>7</v>
      </c>
      <c r="H7" s="8">
        <v>15.22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1.08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1.08</v>
      </c>
      <c r="E9" s="12">
        <v>1</v>
      </c>
      <c r="F9" s="8">
        <v>2.5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1.08</v>
      </c>
      <c r="E10" s="12">
        <v>1</v>
      </c>
      <c r="F10" s="8">
        <v>2.5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27</v>
      </c>
      <c r="D11" s="8">
        <v>29.03</v>
      </c>
      <c r="E11" s="12">
        <v>9</v>
      </c>
      <c r="F11" s="8">
        <v>22.5</v>
      </c>
      <c r="G11" s="12">
        <v>18</v>
      </c>
      <c r="H11" s="8">
        <v>39.130000000000003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3.23</v>
      </c>
      <c r="E13" s="12">
        <v>1</v>
      </c>
      <c r="F13" s="8">
        <v>2.5</v>
      </c>
      <c r="G13" s="12">
        <v>1</v>
      </c>
      <c r="H13" s="8">
        <v>2.17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3.23</v>
      </c>
      <c r="E14" s="12">
        <v>2</v>
      </c>
      <c r="F14" s="8">
        <v>5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6</v>
      </c>
      <c r="D15" s="8">
        <v>6.45</v>
      </c>
      <c r="E15" s="12">
        <v>2</v>
      </c>
      <c r="F15" s="8">
        <v>5</v>
      </c>
      <c r="G15" s="12">
        <v>4</v>
      </c>
      <c r="H15" s="8">
        <v>8.6999999999999993</v>
      </c>
      <c r="I15" s="12">
        <v>0</v>
      </c>
    </row>
    <row r="16" spans="2:9" ht="15" customHeight="1" x14ac:dyDescent="0.2">
      <c r="B16" t="s">
        <v>201</v>
      </c>
      <c r="C16" s="12">
        <v>11</v>
      </c>
      <c r="D16" s="8">
        <v>11.83</v>
      </c>
      <c r="E16" s="12">
        <v>9</v>
      </c>
      <c r="F16" s="8">
        <v>22.5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2.15</v>
      </c>
      <c r="E17" s="12">
        <v>1</v>
      </c>
      <c r="F17" s="8">
        <v>2.5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6.45</v>
      </c>
      <c r="E18" s="12">
        <v>5</v>
      </c>
      <c r="F18" s="8">
        <v>12.5</v>
      </c>
      <c r="G18" s="12">
        <v>1</v>
      </c>
      <c r="H18" s="8">
        <v>2.17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2.15</v>
      </c>
      <c r="E19" s="12">
        <v>0</v>
      </c>
      <c r="F19" s="8">
        <v>0</v>
      </c>
      <c r="G19" s="12">
        <v>1</v>
      </c>
      <c r="H19" s="8">
        <v>2.17</v>
      </c>
      <c r="I19" s="12">
        <v>1</v>
      </c>
    </row>
    <row r="20" spans="2:9" ht="15" customHeight="1" x14ac:dyDescent="0.2">
      <c r="B20" s="9" t="s">
        <v>529</v>
      </c>
      <c r="C20" s="12">
        <f>SUM(LTBL_01455[総数／事業所数])</f>
        <v>93</v>
      </c>
      <c r="E20" s="12">
        <f>SUBTOTAL(109,LTBL_01455[個人／事業所数])</f>
        <v>40</v>
      </c>
      <c r="G20" s="12">
        <f>SUBTOTAL(109,LTBL_01455[法人／事業所数])</f>
        <v>46</v>
      </c>
      <c r="I20" s="12">
        <f>SUBTOTAL(109,LTBL_01455[法人以外の団体／事業所数])</f>
        <v>1</v>
      </c>
    </row>
    <row r="21" spans="2:9" ht="15" customHeight="1" x14ac:dyDescent="0.2">
      <c r="E21" s="11">
        <f>LTBL_01455[[#Totals],[個人／事業所数]]/LTBL_01455[[#Totals],[総数／事業所数]]</f>
        <v>0.43010752688172044</v>
      </c>
      <c r="G21" s="11">
        <f>LTBL_01455[[#Totals],[法人／事業所数]]/LTBL_01455[[#Totals],[総数／事業所数]]</f>
        <v>0.4946236559139785</v>
      </c>
      <c r="I21" s="11">
        <f>LTBL_01455[[#Totals],[法人以外の団体／事業所数]]/LTBL_01455[[#Totals],[総数／事業所数]]</f>
        <v>1.0752688172043012E-2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10</v>
      </c>
      <c r="D24" s="8">
        <v>10.75</v>
      </c>
      <c r="E24" s="12">
        <v>4</v>
      </c>
      <c r="F24" s="8">
        <v>10</v>
      </c>
      <c r="G24" s="12">
        <v>6</v>
      </c>
      <c r="H24" s="8">
        <v>13.04</v>
      </c>
      <c r="I24" s="12">
        <v>0</v>
      </c>
    </row>
    <row r="25" spans="2:9" ht="15" customHeight="1" x14ac:dyDescent="0.2">
      <c r="B25" t="s">
        <v>213</v>
      </c>
      <c r="C25" s="12">
        <v>9</v>
      </c>
      <c r="D25" s="8">
        <v>9.68</v>
      </c>
      <c r="E25" s="12">
        <v>1</v>
      </c>
      <c r="F25" s="8">
        <v>2.5</v>
      </c>
      <c r="G25" s="12">
        <v>8</v>
      </c>
      <c r="H25" s="8">
        <v>17.39</v>
      </c>
      <c r="I25" s="12">
        <v>0</v>
      </c>
    </row>
    <row r="26" spans="2:9" ht="15" customHeight="1" x14ac:dyDescent="0.2">
      <c r="B26" t="s">
        <v>214</v>
      </c>
      <c r="C26" s="12">
        <v>8</v>
      </c>
      <c r="D26" s="8">
        <v>8.6</v>
      </c>
      <c r="E26" s="12">
        <v>4</v>
      </c>
      <c r="F26" s="8">
        <v>10</v>
      </c>
      <c r="G26" s="12">
        <v>4</v>
      </c>
      <c r="H26" s="8">
        <v>8.6999999999999993</v>
      </c>
      <c r="I26" s="12">
        <v>0</v>
      </c>
    </row>
    <row r="27" spans="2:9" ht="15" customHeight="1" x14ac:dyDescent="0.2">
      <c r="B27" t="s">
        <v>228</v>
      </c>
      <c r="C27" s="12">
        <v>7</v>
      </c>
      <c r="D27" s="8">
        <v>7.53</v>
      </c>
      <c r="E27" s="12">
        <v>7</v>
      </c>
      <c r="F27" s="8">
        <v>17.5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215</v>
      </c>
      <c r="C28" s="12">
        <v>5</v>
      </c>
      <c r="D28" s="8">
        <v>5.38</v>
      </c>
      <c r="E28" s="12">
        <v>3</v>
      </c>
      <c r="F28" s="8">
        <v>7.5</v>
      </c>
      <c r="G28" s="12">
        <v>2</v>
      </c>
      <c r="H28" s="8">
        <v>4.3499999999999996</v>
      </c>
      <c r="I28" s="12">
        <v>0</v>
      </c>
    </row>
    <row r="29" spans="2:9" ht="15" customHeight="1" x14ac:dyDescent="0.2">
      <c r="B29" t="s">
        <v>227</v>
      </c>
      <c r="C29" s="12">
        <v>5</v>
      </c>
      <c r="D29" s="8">
        <v>5.38</v>
      </c>
      <c r="E29" s="12">
        <v>2</v>
      </c>
      <c r="F29" s="8">
        <v>5</v>
      </c>
      <c r="G29" s="12">
        <v>3</v>
      </c>
      <c r="H29" s="8">
        <v>6.52</v>
      </c>
      <c r="I29" s="12">
        <v>0</v>
      </c>
    </row>
    <row r="30" spans="2:9" ht="15" customHeight="1" x14ac:dyDescent="0.2">
      <c r="B30" t="s">
        <v>231</v>
      </c>
      <c r="C30" s="12">
        <v>5</v>
      </c>
      <c r="D30" s="8">
        <v>5.38</v>
      </c>
      <c r="E30" s="12">
        <v>5</v>
      </c>
      <c r="F30" s="8">
        <v>12.5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221</v>
      </c>
      <c r="C31" s="12">
        <v>4</v>
      </c>
      <c r="D31" s="8">
        <v>4.3</v>
      </c>
      <c r="E31" s="12">
        <v>2</v>
      </c>
      <c r="F31" s="8">
        <v>5</v>
      </c>
      <c r="G31" s="12">
        <v>2</v>
      </c>
      <c r="H31" s="8">
        <v>4.3499999999999996</v>
      </c>
      <c r="I31" s="12">
        <v>0</v>
      </c>
    </row>
    <row r="32" spans="2:9" ht="15" customHeight="1" x14ac:dyDescent="0.2">
      <c r="B32" t="s">
        <v>236</v>
      </c>
      <c r="C32" s="12">
        <v>4</v>
      </c>
      <c r="D32" s="8">
        <v>4.3</v>
      </c>
      <c r="E32" s="12">
        <v>1</v>
      </c>
      <c r="F32" s="8">
        <v>2.5</v>
      </c>
      <c r="G32" s="12">
        <v>3</v>
      </c>
      <c r="H32" s="8">
        <v>6.52</v>
      </c>
      <c r="I32" s="12">
        <v>0</v>
      </c>
    </row>
    <row r="33" spans="2:9" ht="15" customHeight="1" x14ac:dyDescent="0.2">
      <c r="B33" t="s">
        <v>222</v>
      </c>
      <c r="C33" s="12">
        <v>3</v>
      </c>
      <c r="D33" s="8">
        <v>3.23</v>
      </c>
      <c r="E33" s="12">
        <v>1</v>
      </c>
      <c r="F33" s="8">
        <v>2.5</v>
      </c>
      <c r="G33" s="12">
        <v>2</v>
      </c>
      <c r="H33" s="8">
        <v>4.3499999999999996</v>
      </c>
      <c r="I33" s="12">
        <v>0</v>
      </c>
    </row>
    <row r="34" spans="2:9" ht="15" customHeight="1" x14ac:dyDescent="0.2">
      <c r="B34" t="s">
        <v>244</v>
      </c>
      <c r="C34" s="12">
        <v>2</v>
      </c>
      <c r="D34" s="8">
        <v>2.15</v>
      </c>
      <c r="E34" s="12">
        <v>0</v>
      </c>
      <c r="F34" s="8">
        <v>0</v>
      </c>
      <c r="G34" s="12">
        <v>2</v>
      </c>
      <c r="H34" s="8">
        <v>4.3499999999999996</v>
      </c>
      <c r="I34" s="12">
        <v>0</v>
      </c>
    </row>
    <row r="35" spans="2:9" ht="15" customHeight="1" x14ac:dyDescent="0.2">
      <c r="B35" t="s">
        <v>254</v>
      </c>
      <c r="C35" s="12">
        <v>2</v>
      </c>
      <c r="D35" s="8">
        <v>2.15</v>
      </c>
      <c r="E35" s="12">
        <v>0</v>
      </c>
      <c r="F35" s="8">
        <v>0</v>
      </c>
      <c r="G35" s="12">
        <v>2</v>
      </c>
      <c r="H35" s="8">
        <v>4.3499999999999996</v>
      </c>
      <c r="I35" s="12">
        <v>0</v>
      </c>
    </row>
    <row r="36" spans="2:9" ht="15" customHeight="1" x14ac:dyDescent="0.2">
      <c r="B36" t="s">
        <v>217</v>
      </c>
      <c r="C36" s="12">
        <v>2</v>
      </c>
      <c r="D36" s="8">
        <v>2.15</v>
      </c>
      <c r="E36" s="12">
        <v>0</v>
      </c>
      <c r="F36" s="8">
        <v>0</v>
      </c>
      <c r="G36" s="12">
        <v>2</v>
      </c>
      <c r="H36" s="8">
        <v>4.3499999999999996</v>
      </c>
      <c r="I36" s="12">
        <v>0</v>
      </c>
    </row>
    <row r="37" spans="2:9" ht="15" customHeight="1" x14ac:dyDescent="0.2">
      <c r="B37" t="s">
        <v>224</v>
      </c>
      <c r="C37" s="12">
        <v>2</v>
      </c>
      <c r="D37" s="8">
        <v>2.15</v>
      </c>
      <c r="E37" s="12">
        <v>0</v>
      </c>
      <c r="F37" s="8">
        <v>0</v>
      </c>
      <c r="G37" s="12">
        <v>1</v>
      </c>
      <c r="H37" s="8">
        <v>2.17</v>
      </c>
      <c r="I37" s="12">
        <v>0</v>
      </c>
    </row>
    <row r="38" spans="2:9" ht="15" customHeight="1" x14ac:dyDescent="0.2">
      <c r="B38" t="s">
        <v>226</v>
      </c>
      <c r="C38" s="12">
        <v>2</v>
      </c>
      <c r="D38" s="8">
        <v>2.15</v>
      </c>
      <c r="E38" s="12">
        <v>1</v>
      </c>
      <c r="F38" s="8">
        <v>2.5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229</v>
      </c>
      <c r="C39" s="12">
        <v>2</v>
      </c>
      <c r="D39" s="8">
        <v>2.15</v>
      </c>
      <c r="E39" s="12">
        <v>2</v>
      </c>
      <c r="F39" s="8">
        <v>5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247</v>
      </c>
      <c r="C40" s="12">
        <v>2</v>
      </c>
      <c r="D40" s="8">
        <v>2.15</v>
      </c>
      <c r="E40" s="12">
        <v>0</v>
      </c>
      <c r="F40" s="8">
        <v>0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230</v>
      </c>
      <c r="C41" s="12">
        <v>2</v>
      </c>
      <c r="D41" s="8">
        <v>2.15</v>
      </c>
      <c r="E41" s="12">
        <v>1</v>
      </c>
      <c r="F41" s="8">
        <v>2.5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241</v>
      </c>
      <c r="C42" s="12">
        <v>1</v>
      </c>
      <c r="D42" s="8">
        <v>1.08</v>
      </c>
      <c r="E42" s="12">
        <v>0</v>
      </c>
      <c r="F42" s="8">
        <v>0</v>
      </c>
      <c r="G42" s="12">
        <v>1</v>
      </c>
      <c r="H42" s="8">
        <v>2.17</v>
      </c>
      <c r="I42" s="12">
        <v>0</v>
      </c>
    </row>
    <row r="43" spans="2:9" ht="15" customHeight="1" x14ac:dyDescent="0.2">
      <c r="B43" t="s">
        <v>258</v>
      </c>
      <c r="C43" s="12">
        <v>1</v>
      </c>
      <c r="D43" s="8">
        <v>1.08</v>
      </c>
      <c r="E43" s="12">
        <v>1</v>
      </c>
      <c r="F43" s="8">
        <v>2.5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272</v>
      </c>
      <c r="C44" s="12">
        <v>1</v>
      </c>
      <c r="D44" s="8">
        <v>1.08</v>
      </c>
      <c r="E44" s="12">
        <v>0</v>
      </c>
      <c r="F44" s="8">
        <v>0</v>
      </c>
      <c r="G44" s="12">
        <v>1</v>
      </c>
      <c r="H44" s="8">
        <v>2.17</v>
      </c>
      <c r="I44" s="12">
        <v>0</v>
      </c>
    </row>
    <row r="45" spans="2:9" ht="15" customHeight="1" x14ac:dyDescent="0.2">
      <c r="B45" t="s">
        <v>253</v>
      </c>
      <c r="C45" s="12">
        <v>1</v>
      </c>
      <c r="D45" s="8">
        <v>1.08</v>
      </c>
      <c r="E45" s="12">
        <v>0</v>
      </c>
      <c r="F45" s="8">
        <v>0</v>
      </c>
      <c r="G45" s="12">
        <v>1</v>
      </c>
      <c r="H45" s="8">
        <v>2.17</v>
      </c>
      <c r="I45" s="12">
        <v>0</v>
      </c>
    </row>
    <row r="46" spans="2:9" ht="15" customHeight="1" x14ac:dyDescent="0.2">
      <c r="B46" t="s">
        <v>255</v>
      </c>
      <c r="C46" s="12">
        <v>1</v>
      </c>
      <c r="D46" s="8">
        <v>1.08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277</v>
      </c>
      <c r="C47" s="12">
        <v>1</v>
      </c>
      <c r="D47" s="8">
        <v>1.08</v>
      </c>
      <c r="E47" s="12">
        <v>1</v>
      </c>
      <c r="F47" s="8">
        <v>2.5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248</v>
      </c>
      <c r="C48" s="12">
        <v>1</v>
      </c>
      <c r="D48" s="8">
        <v>1.08</v>
      </c>
      <c r="E48" s="12">
        <v>1</v>
      </c>
      <c r="F48" s="8">
        <v>2.5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216</v>
      </c>
      <c r="C49" s="12">
        <v>1</v>
      </c>
      <c r="D49" s="8">
        <v>1.08</v>
      </c>
      <c r="E49" s="12">
        <v>0</v>
      </c>
      <c r="F49" s="8">
        <v>0</v>
      </c>
      <c r="G49" s="12">
        <v>1</v>
      </c>
      <c r="H49" s="8">
        <v>2.17</v>
      </c>
      <c r="I49" s="12">
        <v>0</v>
      </c>
    </row>
    <row r="50" spans="2:9" ht="15" customHeight="1" x14ac:dyDescent="0.2">
      <c r="B50" t="s">
        <v>218</v>
      </c>
      <c r="C50" s="12">
        <v>1</v>
      </c>
      <c r="D50" s="8">
        <v>1.08</v>
      </c>
      <c r="E50" s="12">
        <v>0</v>
      </c>
      <c r="F50" s="8">
        <v>0</v>
      </c>
      <c r="G50" s="12">
        <v>1</v>
      </c>
      <c r="H50" s="8">
        <v>2.17</v>
      </c>
      <c r="I50" s="12">
        <v>0</v>
      </c>
    </row>
    <row r="51" spans="2:9" ht="15" customHeight="1" x14ac:dyDescent="0.2">
      <c r="B51" t="s">
        <v>219</v>
      </c>
      <c r="C51" s="12">
        <v>1</v>
      </c>
      <c r="D51" s="8">
        <v>1.08</v>
      </c>
      <c r="E51" s="12">
        <v>0</v>
      </c>
      <c r="F51" s="8">
        <v>0</v>
      </c>
      <c r="G51" s="12">
        <v>1</v>
      </c>
      <c r="H51" s="8">
        <v>2.17</v>
      </c>
      <c r="I51" s="12">
        <v>0</v>
      </c>
    </row>
    <row r="52" spans="2:9" ht="15" customHeight="1" x14ac:dyDescent="0.2">
      <c r="B52" t="s">
        <v>220</v>
      </c>
      <c r="C52" s="12">
        <v>1</v>
      </c>
      <c r="D52" s="8">
        <v>1.08</v>
      </c>
      <c r="E52" s="12">
        <v>1</v>
      </c>
      <c r="F52" s="8">
        <v>2.5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246</v>
      </c>
      <c r="C53" s="12">
        <v>1</v>
      </c>
      <c r="D53" s="8">
        <v>1.08</v>
      </c>
      <c r="E53" s="12">
        <v>1</v>
      </c>
      <c r="F53" s="8">
        <v>2.5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225</v>
      </c>
      <c r="C54" s="12">
        <v>1</v>
      </c>
      <c r="D54" s="8">
        <v>1.08</v>
      </c>
      <c r="E54" s="12">
        <v>1</v>
      </c>
      <c r="F54" s="8">
        <v>2.5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239</v>
      </c>
      <c r="C55" s="12">
        <v>1</v>
      </c>
      <c r="D55" s="8">
        <v>1.08</v>
      </c>
      <c r="E55" s="12">
        <v>0</v>
      </c>
      <c r="F55" s="8">
        <v>0</v>
      </c>
      <c r="G55" s="12">
        <v>1</v>
      </c>
      <c r="H55" s="8">
        <v>2.17</v>
      </c>
      <c r="I55" s="12">
        <v>0</v>
      </c>
    </row>
    <row r="56" spans="2:9" ht="15" customHeight="1" x14ac:dyDescent="0.2">
      <c r="B56" t="s">
        <v>232</v>
      </c>
      <c r="C56" s="12">
        <v>1</v>
      </c>
      <c r="D56" s="8">
        <v>1.08</v>
      </c>
      <c r="E56" s="12">
        <v>0</v>
      </c>
      <c r="F56" s="8">
        <v>0</v>
      </c>
      <c r="G56" s="12">
        <v>1</v>
      </c>
      <c r="H56" s="8">
        <v>2.17</v>
      </c>
      <c r="I56" s="12">
        <v>0</v>
      </c>
    </row>
    <row r="57" spans="2:9" ht="15" customHeight="1" x14ac:dyDescent="0.2">
      <c r="B57" t="s">
        <v>240</v>
      </c>
      <c r="C57" s="12">
        <v>1</v>
      </c>
      <c r="D57" s="8">
        <v>1.08</v>
      </c>
      <c r="E57" s="12">
        <v>0</v>
      </c>
      <c r="F57" s="8">
        <v>0</v>
      </c>
      <c r="G57" s="12">
        <v>1</v>
      </c>
      <c r="H57" s="8">
        <v>2.17</v>
      </c>
      <c r="I57" s="12">
        <v>0</v>
      </c>
    </row>
    <row r="58" spans="2:9" ht="15" customHeight="1" x14ac:dyDescent="0.2">
      <c r="B58" t="s">
        <v>270</v>
      </c>
      <c r="C58" s="12">
        <v>1</v>
      </c>
      <c r="D58" s="8">
        <v>1.08</v>
      </c>
      <c r="E58" s="12">
        <v>0</v>
      </c>
      <c r="F58" s="8">
        <v>0</v>
      </c>
      <c r="G58" s="12">
        <v>0</v>
      </c>
      <c r="H58" s="8">
        <v>0</v>
      </c>
      <c r="I58" s="12">
        <v>1</v>
      </c>
    </row>
    <row r="61" spans="2:9" ht="33" customHeight="1" x14ac:dyDescent="0.2">
      <c r="B61" t="s">
        <v>531</v>
      </c>
      <c r="C61" s="10" t="s">
        <v>206</v>
      </c>
      <c r="D61" s="10" t="s">
        <v>207</v>
      </c>
      <c r="E61" s="10" t="s">
        <v>208</v>
      </c>
      <c r="F61" s="10" t="s">
        <v>209</v>
      </c>
      <c r="G61" s="10" t="s">
        <v>210</v>
      </c>
      <c r="H61" s="10" t="s">
        <v>211</v>
      </c>
      <c r="I61" s="10" t="s">
        <v>212</v>
      </c>
    </row>
    <row r="62" spans="2:9" ht="15" customHeight="1" x14ac:dyDescent="0.2">
      <c r="B62" t="s">
        <v>288</v>
      </c>
      <c r="C62" s="12">
        <v>4</v>
      </c>
      <c r="D62" s="8">
        <v>4.3</v>
      </c>
      <c r="E62" s="12">
        <v>1</v>
      </c>
      <c r="F62" s="8">
        <v>2.5</v>
      </c>
      <c r="G62" s="12">
        <v>3</v>
      </c>
      <c r="H62" s="8">
        <v>6.52</v>
      </c>
      <c r="I62" s="12">
        <v>0</v>
      </c>
    </row>
    <row r="63" spans="2:9" ht="15" customHeight="1" x14ac:dyDescent="0.2">
      <c r="B63" t="s">
        <v>289</v>
      </c>
      <c r="C63" s="12">
        <v>4</v>
      </c>
      <c r="D63" s="8">
        <v>4.3</v>
      </c>
      <c r="E63" s="12">
        <v>0</v>
      </c>
      <c r="F63" s="8">
        <v>0</v>
      </c>
      <c r="G63" s="12">
        <v>4</v>
      </c>
      <c r="H63" s="8">
        <v>8.6999999999999993</v>
      </c>
      <c r="I63" s="12">
        <v>0</v>
      </c>
    </row>
    <row r="64" spans="2:9" ht="15" customHeight="1" x14ac:dyDescent="0.2">
      <c r="B64" t="s">
        <v>330</v>
      </c>
      <c r="C64" s="12">
        <v>4</v>
      </c>
      <c r="D64" s="8">
        <v>4.3</v>
      </c>
      <c r="E64" s="12">
        <v>1</v>
      </c>
      <c r="F64" s="8">
        <v>2.5</v>
      </c>
      <c r="G64" s="12">
        <v>3</v>
      </c>
      <c r="H64" s="8">
        <v>6.52</v>
      </c>
      <c r="I64" s="12">
        <v>0</v>
      </c>
    </row>
    <row r="65" spans="2:9" ht="15" customHeight="1" x14ac:dyDescent="0.2">
      <c r="B65" t="s">
        <v>344</v>
      </c>
      <c r="C65" s="12">
        <v>4</v>
      </c>
      <c r="D65" s="8">
        <v>4.3</v>
      </c>
      <c r="E65" s="12">
        <v>1</v>
      </c>
      <c r="F65" s="8">
        <v>2.5</v>
      </c>
      <c r="G65" s="12">
        <v>3</v>
      </c>
      <c r="H65" s="8">
        <v>6.52</v>
      </c>
      <c r="I65" s="12">
        <v>0</v>
      </c>
    </row>
    <row r="66" spans="2:9" ht="15" customHeight="1" x14ac:dyDescent="0.2">
      <c r="B66" t="s">
        <v>306</v>
      </c>
      <c r="C66" s="12">
        <v>4</v>
      </c>
      <c r="D66" s="8">
        <v>4.3</v>
      </c>
      <c r="E66" s="12">
        <v>4</v>
      </c>
      <c r="F66" s="8">
        <v>10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291</v>
      </c>
      <c r="C67" s="12">
        <v>3</v>
      </c>
      <c r="D67" s="8">
        <v>3.23</v>
      </c>
      <c r="E67" s="12">
        <v>3</v>
      </c>
      <c r="F67" s="8">
        <v>7.5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302</v>
      </c>
      <c r="C68" s="12">
        <v>3</v>
      </c>
      <c r="D68" s="8">
        <v>3.23</v>
      </c>
      <c r="E68" s="12">
        <v>2</v>
      </c>
      <c r="F68" s="8">
        <v>5</v>
      </c>
      <c r="G68" s="12">
        <v>1</v>
      </c>
      <c r="H68" s="8">
        <v>2.17</v>
      </c>
      <c r="I68" s="12">
        <v>0</v>
      </c>
    </row>
    <row r="69" spans="2:9" ht="15" customHeight="1" x14ac:dyDescent="0.2">
      <c r="B69" t="s">
        <v>303</v>
      </c>
      <c r="C69" s="12">
        <v>3</v>
      </c>
      <c r="D69" s="8">
        <v>3.23</v>
      </c>
      <c r="E69" s="12">
        <v>3</v>
      </c>
      <c r="F69" s="8">
        <v>7.5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450</v>
      </c>
      <c r="C70" s="12">
        <v>2</v>
      </c>
      <c r="D70" s="8">
        <v>2.15</v>
      </c>
      <c r="E70" s="12">
        <v>1</v>
      </c>
      <c r="F70" s="8">
        <v>2.5</v>
      </c>
      <c r="G70" s="12">
        <v>1</v>
      </c>
      <c r="H70" s="8">
        <v>2.17</v>
      </c>
      <c r="I70" s="12">
        <v>0</v>
      </c>
    </row>
    <row r="71" spans="2:9" ht="15" customHeight="1" x14ac:dyDescent="0.2">
      <c r="B71" t="s">
        <v>333</v>
      </c>
      <c r="C71" s="12">
        <v>2</v>
      </c>
      <c r="D71" s="8">
        <v>2.15</v>
      </c>
      <c r="E71" s="12">
        <v>1</v>
      </c>
      <c r="F71" s="8">
        <v>2.5</v>
      </c>
      <c r="G71" s="12">
        <v>1</v>
      </c>
      <c r="H71" s="8">
        <v>2.17</v>
      </c>
      <c r="I71" s="12">
        <v>0</v>
      </c>
    </row>
    <row r="72" spans="2:9" ht="15" customHeight="1" x14ac:dyDescent="0.2">
      <c r="B72" t="s">
        <v>290</v>
      </c>
      <c r="C72" s="12">
        <v>2</v>
      </c>
      <c r="D72" s="8">
        <v>2.15</v>
      </c>
      <c r="E72" s="12">
        <v>0</v>
      </c>
      <c r="F72" s="8">
        <v>0</v>
      </c>
      <c r="G72" s="12">
        <v>2</v>
      </c>
      <c r="H72" s="8">
        <v>4.3499999999999996</v>
      </c>
      <c r="I72" s="12">
        <v>0</v>
      </c>
    </row>
    <row r="73" spans="2:9" ht="15" customHeight="1" x14ac:dyDescent="0.2">
      <c r="B73" t="s">
        <v>384</v>
      </c>
      <c r="C73" s="12">
        <v>2</v>
      </c>
      <c r="D73" s="8">
        <v>2.15</v>
      </c>
      <c r="E73" s="12">
        <v>0</v>
      </c>
      <c r="F73" s="8">
        <v>0</v>
      </c>
      <c r="G73" s="12">
        <v>2</v>
      </c>
      <c r="H73" s="8">
        <v>4.3499999999999996</v>
      </c>
      <c r="I73" s="12">
        <v>0</v>
      </c>
    </row>
    <row r="74" spans="2:9" ht="15" customHeight="1" x14ac:dyDescent="0.2">
      <c r="B74" t="s">
        <v>329</v>
      </c>
      <c r="C74" s="12">
        <v>2</v>
      </c>
      <c r="D74" s="8">
        <v>2.15</v>
      </c>
      <c r="E74" s="12">
        <v>1</v>
      </c>
      <c r="F74" s="8">
        <v>2.5</v>
      </c>
      <c r="G74" s="12">
        <v>1</v>
      </c>
      <c r="H74" s="8">
        <v>2.17</v>
      </c>
      <c r="I74" s="12">
        <v>0</v>
      </c>
    </row>
    <row r="75" spans="2:9" ht="15" customHeight="1" x14ac:dyDescent="0.2">
      <c r="B75" t="s">
        <v>293</v>
      </c>
      <c r="C75" s="12">
        <v>2</v>
      </c>
      <c r="D75" s="8">
        <v>2.15</v>
      </c>
      <c r="E75" s="12">
        <v>0</v>
      </c>
      <c r="F75" s="8">
        <v>0</v>
      </c>
      <c r="G75" s="12">
        <v>2</v>
      </c>
      <c r="H75" s="8">
        <v>4.3499999999999996</v>
      </c>
      <c r="I75" s="12">
        <v>0</v>
      </c>
    </row>
    <row r="76" spans="2:9" ht="15" customHeight="1" x14ac:dyDescent="0.2">
      <c r="B76" t="s">
        <v>372</v>
      </c>
      <c r="C76" s="12">
        <v>2</v>
      </c>
      <c r="D76" s="8">
        <v>2.15</v>
      </c>
      <c r="E76" s="12">
        <v>0</v>
      </c>
      <c r="F76" s="8">
        <v>0</v>
      </c>
      <c r="G76" s="12">
        <v>2</v>
      </c>
      <c r="H76" s="8">
        <v>4.3499999999999996</v>
      </c>
      <c r="I76" s="12">
        <v>0</v>
      </c>
    </row>
    <row r="77" spans="2:9" ht="15" customHeight="1" x14ac:dyDescent="0.2">
      <c r="B77" t="s">
        <v>337</v>
      </c>
      <c r="C77" s="12">
        <v>2</v>
      </c>
      <c r="D77" s="8">
        <v>2.15</v>
      </c>
      <c r="E77" s="12">
        <v>2</v>
      </c>
      <c r="F77" s="8">
        <v>5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304</v>
      </c>
      <c r="C78" s="12">
        <v>2</v>
      </c>
      <c r="D78" s="8">
        <v>2.15</v>
      </c>
      <c r="E78" s="12">
        <v>2</v>
      </c>
      <c r="F78" s="8">
        <v>5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352</v>
      </c>
      <c r="C79" s="12">
        <v>2</v>
      </c>
      <c r="D79" s="8">
        <v>2.15</v>
      </c>
      <c r="E79" s="12">
        <v>2</v>
      </c>
      <c r="F79" s="8">
        <v>5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368</v>
      </c>
      <c r="C80" s="12">
        <v>2</v>
      </c>
      <c r="D80" s="8">
        <v>2.15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398</v>
      </c>
      <c r="C81" s="12">
        <v>1</v>
      </c>
      <c r="D81" s="8">
        <v>1.08</v>
      </c>
      <c r="E81" s="12">
        <v>0</v>
      </c>
      <c r="F81" s="8">
        <v>0</v>
      </c>
      <c r="G81" s="12">
        <v>1</v>
      </c>
      <c r="H81" s="8">
        <v>2.17</v>
      </c>
      <c r="I81" s="12">
        <v>0</v>
      </c>
    </row>
    <row r="82" spans="2:9" ht="15" customHeight="1" x14ac:dyDescent="0.2">
      <c r="B82" t="s">
        <v>353</v>
      </c>
      <c r="C82" s="12">
        <v>1</v>
      </c>
      <c r="D82" s="8">
        <v>1.08</v>
      </c>
      <c r="E82" s="12">
        <v>0</v>
      </c>
      <c r="F82" s="8">
        <v>0</v>
      </c>
      <c r="G82" s="12">
        <v>1</v>
      </c>
      <c r="H82" s="8">
        <v>2.17</v>
      </c>
      <c r="I82" s="12">
        <v>0</v>
      </c>
    </row>
    <row r="83" spans="2:9" ht="15" customHeight="1" x14ac:dyDescent="0.2">
      <c r="B83" t="s">
        <v>393</v>
      </c>
      <c r="C83" s="12">
        <v>1</v>
      </c>
      <c r="D83" s="8">
        <v>1.08</v>
      </c>
      <c r="E83" s="12">
        <v>1</v>
      </c>
      <c r="F83" s="8">
        <v>2.5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308</v>
      </c>
      <c r="C84" s="12">
        <v>1</v>
      </c>
      <c r="D84" s="8">
        <v>1.08</v>
      </c>
      <c r="E84" s="12">
        <v>1</v>
      </c>
      <c r="F84" s="8">
        <v>2.5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320</v>
      </c>
      <c r="C85" s="12">
        <v>1</v>
      </c>
      <c r="D85" s="8">
        <v>1.08</v>
      </c>
      <c r="E85" s="12">
        <v>0</v>
      </c>
      <c r="F85" s="8">
        <v>0</v>
      </c>
      <c r="G85" s="12">
        <v>1</v>
      </c>
      <c r="H85" s="8">
        <v>2.17</v>
      </c>
      <c r="I85" s="12">
        <v>0</v>
      </c>
    </row>
    <row r="86" spans="2:9" ht="15" customHeight="1" x14ac:dyDescent="0.2">
      <c r="B86" t="s">
        <v>394</v>
      </c>
      <c r="C86" s="12">
        <v>1</v>
      </c>
      <c r="D86" s="8">
        <v>1.08</v>
      </c>
      <c r="E86" s="12">
        <v>0</v>
      </c>
      <c r="F86" s="8">
        <v>0</v>
      </c>
      <c r="G86" s="12">
        <v>1</v>
      </c>
      <c r="H86" s="8">
        <v>2.17</v>
      </c>
      <c r="I86" s="12">
        <v>0</v>
      </c>
    </row>
    <row r="87" spans="2:9" ht="15" customHeight="1" x14ac:dyDescent="0.2">
      <c r="B87" t="s">
        <v>381</v>
      </c>
      <c r="C87" s="12">
        <v>1</v>
      </c>
      <c r="D87" s="8">
        <v>1.08</v>
      </c>
      <c r="E87" s="12">
        <v>1</v>
      </c>
      <c r="F87" s="8">
        <v>2.5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385</v>
      </c>
      <c r="C88" s="12">
        <v>1</v>
      </c>
      <c r="D88" s="8">
        <v>1.08</v>
      </c>
      <c r="E88" s="12">
        <v>0</v>
      </c>
      <c r="F88" s="8">
        <v>0</v>
      </c>
      <c r="G88" s="12">
        <v>1</v>
      </c>
      <c r="H88" s="8">
        <v>2.17</v>
      </c>
      <c r="I88" s="12">
        <v>0</v>
      </c>
    </row>
    <row r="89" spans="2:9" ht="15" customHeight="1" x14ac:dyDescent="0.2">
      <c r="B89" t="s">
        <v>432</v>
      </c>
      <c r="C89" s="12">
        <v>1</v>
      </c>
      <c r="D89" s="8">
        <v>1.08</v>
      </c>
      <c r="E89" s="12">
        <v>0</v>
      </c>
      <c r="F89" s="8">
        <v>0</v>
      </c>
      <c r="G89" s="12">
        <v>1</v>
      </c>
      <c r="H89" s="8">
        <v>2.17</v>
      </c>
      <c r="I89" s="12">
        <v>0</v>
      </c>
    </row>
    <row r="90" spans="2:9" ht="15" customHeight="1" x14ac:dyDescent="0.2">
      <c r="B90" t="s">
        <v>406</v>
      </c>
      <c r="C90" s="12">
        <v>1</v>
      </c>
      <c r="D90" s="8">
        <v>1.08</v>
      </c>
      <c r="E90" s="12">
        <v>0</v>
      </c>
      <c r="F90" s="8">
        <v>0</v>
      </c>
      <c r="G90" s="12">
        <v>1</v>
      </c>
      <c r="H90" s="8">
        <v>2.17</v>
      </c>
      <c r="I90" s="12">
        <v>0</v>
      </c>
    </row>
    <row r="91" spans="2:9" ht="15" customHeight="1" x14ac:dyDescent="0.2">
      <c r="B91" t="s">
        <v>374</v>
      </c>
      <c r="C91" s="12">
        <v>1</v>
      </c>
      <c r="D91" s="8">
        <v>1.08</v>
      </c>
      <c r="E91" s="12">
        <v>0</v>
      </c>
      <c r="F91" s="8">
        <v>0</v>
      </c>
      <c r="G91" s="12">
        <v>1</v>
      </c>
      <c r="H91" s="8">
        <v>2.17</v>
      </c>
      <c r="I91" s="12">
        <v>0</v>
      </c>
    </row>
    <row r="92" spans="2:9" ht="15" customHeight="1" x14ac:dyDescent="0.2">
      <c r="B92" t="s">
        <v>362</v>
      </c>
      <c r="C92" s="12">
        <v>1</v>
      </c>
      <c r="D92" s="8">
        <v>1.08</v>
      </c>
      <c r="E92" s="12">
        <v>0</v>
      </c>
      <c r="F92" s="8">
        <v>0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477</v>
      </c>
      <c r="C93" s="12">
        <v>1</v>
      </c>
      <c r="D93" s="8">
        <v>1.08</v>
      </c>
      <c r="E93" s="12">
        <v>1</v>
      </c>
      <c r="F93" s="8">
        <v>2.5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478</v>
      </c>
      <c r="C94" s="12">
        <v>1</v>
      </c>
      <c r="D94" s="8">
        <v>1.08</v>
      </c>
      <c r="E94" s="12">
        <v>1</v>
      </c>
      <c r="F94" s="8">
        <v>2.5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324</v>
      </c>
      <c r="C95" s="12">
        <v>1</v>
      </c>
      <c r="D95" s="8">
        <v>1.08</v>
      </c>
      <c r="E95" s="12">
        <v>0</v>
      </c>
      <c r="F95" s="8">
        <v>0</v>
      </c>
      <c r="G95" s="12">
        <v>1</v>
      </c>
      <c r="H95" s="8">
        <v>2.17</v>
      </c>
      <c r="I95" s="12">
        <v>0</v>
      </c>
    </row>
    <row r="96" spans="2:9" ht="15" customHeight="1" x14ac:dyDescent="0.2">
      <c r="B96" t="s">
        <v>346</v>
      </c>
      <c r="C96" s="12">
        <v>1</v>
      </c>
      <c r="D96" s="8">
        <v>1.08</v>
      </c>
      <c r="E96" s="12">
        <v>0</v>
      </c>
      <c r="F96" s="8">
        <v>0</v>
      </c>
      <c r="G96" s="12">
        <v>1</v>
      </c>
      <c r="H96" s="8">
        <v>2.17</v>
      </c>
      <c r="I96" s="12">
        <v>0</v>
      </c>
    </row>
    <row r="97" spans="2:9" ht="15" customHeight="1" x14ac:dyDescent="0.2">
      <c r="B97" t="s">
        <v>379</v>
      </c>
      <c r="C97" s="12">
        <v>1</v>
      </c>
      <c r="D97" s="8">
        <v>1.08</v>
      </c>
      <c r="E97" s="12">
        <v>0</v>
      </c>
      <c r="F97" s="8">
        <v>0</v>
      </c>
      <c r="G97" s="12">
        <v>1</v>
      </c>
      <c r="H97" s="8">
        <v>2.17</v>
      </c>
      <c r="I97" s="12">
        <v>0</v>
      </c>
    </row>
    <row r="98" spans="2:9" ht="15" customHeight="1" x14ac:dyDescent="0.2">
      <c r="B98" t="s">
        <v>421</v>
      </c>
      <c r="C98" s="12">
        <v>1</v>
      </c>
      <c r="D98" s="8">
        <v>1.08</v>
      </c>
      <c r="E98" s="12">
        <v>0</v>
      </c>
      <c r="F98" s="8">
        <v>0</v>
      </c>
      <c r="G98" s="12">
        <v>1</v>
      </c>
      <c r="H98" s="8">
        <v>2.17</v>
      </c>
      <c r="I98" s="12">
        <v>0</v>
      </c>
    </row>
    <row r="99" spans="2:9" ht="15" customHeight="1" x14ac:dyDescent="0.2">
      <c r="B99" t="s">
        <v>479</v>
      </c>
      <c r="C99" s="12">
        <v>1</v>
      </c>
      <c r="D99" s="8">
        <v>1.08</v>
      </c>
      <c r="E99" s="12">
        <v>0</v>
      </c>
      <c r="F99" s="8">
        <v>0</v>
      </c>
      <c r="G99" s="12">
        <v>1</v>
      </c>
      <c r="H99" s="8">
        <v>2.17</v>
      </c>
      <c r="I99" s="12">
        <v>0</v>
      </c>
    </row>
    <row r="100" spans="2:9" ht="15" customHeight="1" x14ac:dyDescent="0.2">
      <c r="B100" t="s">
        <v>314</v>
      </c>
      <c r="C100" s="12">
        <v>1</v>
      </c>
      <c r="D100" s="8">
        <v>1.08</v>
      </c>
      <c r="E100" s="12">
        <v>1</v>
      </c>
      <c r="F100" s="8">
        <v>2.5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332</v>
      </c>
      <c r="C101" s="12">
        <v>1</v>
      </c>
      <c r="D101" s="8">
        <v>1.08</v>
      </c>
      <c r="E101" s="12">
        <v>1</v>
      </c>
      <c r="F101" s="8">
        <v>2.5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292</v>
      </c>
      <c r="C102" s="12">
        <v>1</v>
      </c>
      <c r="D102" s="8">
        <v>1.08</v>
      </c>
      <c r="E102" s="12">
        <v>0</v>
      </c>
      <c r="F102" s="8">
        <v>0</v>
      </c>
      <c r="G102" s="12">
        <v>1</v>
      </c>
      <c r="H102" s="8">
        <v>2.17</v>
      </c>
      <c r="I102" s="12">
        <v>0</v>
      </c>
    </row>
    <row r="103" spans="2:9" ht="15" customHeight="1" x14ac:dyDescent="0.2">
      <c r="B103" t="s">
        <v>335</v>
      </c>
      <c r="C103" s="12">
        <v>1</v>
      </c>
      <c r="D103" s="8">
        <v>1.08</v>
      </c>
      <c r="E103" s="12">
        <v>1</v>
      </c>
      <c r="F103" s="8">
        <v>2.5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402</v>
      </c>
      <c r="C104" s="12">
        <v>1</v>
      </c>
      <c r="D104" s="8">
        <v>1.08</v>
      </c>
      <c r="E104" s="12">
        <v>1</v>
      </c>
      <c r="F104" s="8">
        <v>2.5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294</v>
      </c>
      <c r="C105" s="12">
        <v>1</v>
      </c>
      <c r="D105" s="8">
        <v>1.08</v>
      </c>
      <c r="E105" s="12">
        <v>0</v>
      </c>
      <c r="F105" s="8">
        <v>0</v>
      </c>
      <c r="G105" s="12">
        <v>1</v>
      </c>
      <c r="H105" s="8">
        <v>2.17</v>
      </c>
      <c r="I105" s="12">
        <v>0</v>
      </c>
    </row>
    <row r="106" spans="2:9" ht="15" customHeight="1" x14ac:dyDescent="0.2">
      <c r="B106" t="s">
        <v>296</v>
      </c>
      <c r="C106" s="12">
        <v>1</v>
      </c>
      <c r="D106" s="8">
        <v>1.08</v>
      </c>
      <c r="E106" s="12">
        <v>0</v>
      </c>
      <c r="F106" s="8">
        <v>0</v>
      </c>
      <c r="G106" s="12">
        <v>1</v>
      </c>
      <c r="H106" s="8">
        <v>2.17</v>
      </c>
      <c r="I106" s="12">
        <v>0</v>
      </c>
    </row>
    <row r="107" spans="2:9" ht="15" customHeight="1" x14ac:dyDescent="0.2">
      <c r="B107" t="s">
        <v>297</v>
      </c>
      <c r="C107" s="12">
        <v>1</v>
      </c>
      <c r="D107" s="8">
        <v>1.08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2">
      <c r="B108" t="s">
        <v>396</v>
      </c>
      <c r="C108" s="12">
        <v>1</v>
      </c>
      <c r="D108" s="8">
        <v>1.08</v>
      </c>
      <c r="E108" s="12">
        <v>1</v>
      </c>
      <c r="F108" s="8">
        <v>2.5</v>
      </c>
      <c r="G108" s="12">
        <v>0</v>
      </c>
      <c r="H108" s="8">
        <v>0</v>
      </c>
      <c r="I108" s="12">
        <v>0</v>
      </c>
    </row>
    <row r="109" spans="2:9" ht="15" customHeight="1" x14ac:dyDescent="0.2">
      <c r="B109" t="s">
        <v>417</v>
      </c>
      <c r="C109" s="12">
        <v>1</v>
      </c>
      <c r="D109" s="8">
        <v>1.08</v>
      </c>
      <c r="E109" s="12">
        <v>1</v>
      </c>
      <c r="F109" s="8">
        <v>2.5</v>
      </c>
      <c r="G109" s="12">
        <v>0</v>
      </c>
      <c r="H109" s="8">
        <v>0</v>
      </c>
      <c r="I109" s="12">
        <v>0</v>
      </c>
    </row>
    <row r="110" spans="2:9" ht="15" customHeight="1" x14ac:dyDescent="0.2">
      <c r="B110" t="s">
        <v>298</v>
      </c>
      <c r="C110" s="12">
        <v>1</v>
      </c>
      <c r="D110" s="8">
        <v>1.08</v>
      </c>
      <c r="E110" s="12">
        <v>1</v>
      </c>
      <c r="F110" s="8">
        <v>2.5</v>
      </c>
      <c r="G110" s="12">
        <v>0</v>
      </c>
      <c r="H110" s="8">
        <v>0</v>
      </c>
      <c r="I110" s="12">
        <v>0</v>
      </c>
    </row>
    <row r="111" spans="2:9" ht="15" customHeight="1" x14ac:dyDescent="0.2">
      <c r="B111" t="s">
        <v>418</v>
      </c>
      <c r="C111" s="12">
        <v>1</v>
      </c>
      <c r="D111" s="8">
        <v>1.08</v>
      </c>
      <c r="E111" s="12">
        <v>0</v>
      </c>
      <c r="F111" s="8">
        <v>0</v>
      </c>
      <c r="G111" s="12">
        <v>0</v>
      </c>
      <c r="H111" s="8">
        <v>0</v>
      </c>
      <c r="I111" s="12">
        <v>0</v>
      </c>
    </row>
    <row r="112" spans="2:9" ht="15" customHeight="1" x14ac:dyDescent="0.2">
      <c r="B112" t="s">
        <v>334</v>
      </c>
      <c r="C112" s="12">
        <v>1</v>
      </c>
      <c r="D112" s="8">
        <v>1.08</v>
      </c>
      <c r="E112" s="12">
        <v>0</v>
      </c>
      <c r="F112" s="8">
        <v>0</v>
      </c>
      <c r="G112" s="12">
        <v>1</v>
      </c>
      <c r="H112" s="8">
        <v>2.17</v>
      </c>
      <c r="I112" s="12">
        <v>0</v>
      </c>
    </row>
    <row r="113" spans="2:9" ht="15" customHeight="1" x14ac:dyDescent="0.2">
      <c r="B113" t="s">
        <v>300</v>
      </c>
      <c r="C113" s="12">
        <v>1</v>
      </c>
      <c r="D113" s="8">
        <v>1.08</v>
      </c>
      <c r="E113" s="12">
        <v>0</v>
      </c>
      <c r="F113" s="8">
        <v>0</v>
      </c>
      <c r="G113" s="12">
        <v>1</v>
      </c>
      <c r="H113" s="8">
        <v>2.17</v>
      </c>
      <c r="I113" s="12">
        <v>0</v>
      </c>
    </row>
    <row r="114" spans="2:9" ht="15" customHeight="1" x14ac:dyDescent="0.2">
      <c r="B114" t="s">
        <v>325</v>
      </c>
      <c r="C114" s="12">
        <v>1</v>
      </c>
      <c r="D114" s="8">
        <v>1.08</v>
      </c>
      <c r="E114" s="12">
        <v>0</v>
      </c>
      <c r="F114" s="8">
        <v>0</v>
      </c>
      <c r="G114" s="12">
        <v>1</v>
      </c>
      <c r="H114" s="8">
        <v>2.17</v>
      </c>
      <c r="I114" s="12">
        <v>0</v>
      </c>
    </row>
    <row r="115" spans="2:9" ht="15" customHeight="1" x14ac:dyDescent="0.2">
      <c r="B115" t="s">
        <v>323</v>
      </c>
      <c r="C115" s="12">
        <v>1</v>
      </c>
      <c r="D115" s="8">
        <v>1.08</v>
      </c>
      <c r="E115" s="12">
        <v>1</v>
      </c>
      <c r="F115" s="8">
        <v>2.5</v>
      </c>
      <c r="G115" s="12">
        <v>0</v>
      </c>
      <c r="H115" s="8">
        <v>0</v>
      </c>
      <c r="I115" s="12">
        <v>0</v>
      </c>
    </row>
    <row r="116" spans="2:9" ht="15" customHeight="1" x14ac:dyDescent="0.2">
      <c r="B116" t="s">
        <v>317</v>
      </c>
      <c r="C116" s="12">
        <v>1</v>
      </c>
      <c r="D116" s="8">
        <v>1.08</v>
      </c>
      <c r="E116" s="12">
        <v>1</v>
      </c>
      <c r="F116" s="8">
        <v>2.5</v>
      </c>
      <c r="G116" s="12">
        <v>0</v>
      </c>
      <c r="H116" s="8">
        <v>0</v>
      </c>
      <c r="I116" s="12">
        <v>0</v>
      </c>
    </row>
    <row r="117" spans="2:9" ht="15" customHeight="1" x14ac:dyDescent="0.2">
      <c r="B117" t="s">
        <v>340</v>
      </c>
      <c r="C117" s="12">
        <v>1</v>
      </c>
      <c r="D117" s="8">
        <v>1.08</v>
      </c>
      <c r="E117" s="12">
        <v>0</v>
      </c>
      <c r="F117" s="8">
        <v>0</v>
      </c>
      <c r="G117" s="12">
        <v>0</v>
      </c>
      <c r="H117" s="8">
        <v>0</v>
      </c>
      <c r="I117" s="12">
        <v>0</v>
      </c>
    </row>
    <row r="118" spans="2:9" ht="15" customHeight="1" x14ac:dyDescent="0.2">
      <c r="B118" t="s">
        <v>305</v>
      </c>
      <c r="C118" s="12">
        <v>1</v>
      </c>
      <c r="D118" s="8">
        <v>1.08</v>
      </c>
      <c r="E118" s="12">
        <v>1</v>
      </c>
      <c r="F118" s="8">
        <v>2.5</v>
      </c>
      <c r="G118" s="12">
        <v>0</v>
      </c>
      <c r="H118" s="8">
        <v>0</v>
      </c>
      <c r="I118" s="12">
        <v>0</v>
      </c>
    </row>
    <row r="119" spans="2:9" ht="15" customHeight="1" x14ac:dyDescent="0.2">
      <c r="B119" t="s">
        <v>469</v>
      </c>
      <c r="C119" s="12">
        <v>1</v>
      </c>
      <c r="D119" s="8">
        <v>1.08</v>
      </c>
      <c r="E119" s="12">
        <v>1</v>
      </c>
      <c r="F119" s="8">
        <v>2.5</v>
      </c>
      <c r="G119" s="12">
        <v>0</v>
      </c>
      <c r="H119" s="8">
        <v>0</v>
      </c>
      <c r="I119" s="12">
        <v>0</v>
      </c>
    </row>
    <row r="120" spans="2:9" ht="15" customHeight="1" x14ac:dyDescent="0.2">
      <c r="B120" t="s">
        <v>347</v>
      </c>
      <c r="C120" s="12">
        <v>1</v>
      </c>
      <c r="D120" s="8">
        <v>1.08</v>
      </c>
      <c r="E120" s="12">
        <v>0</v>
      </c>
      <c r="F120" s="8">
        <v>0</v>
      </c>
      <c r="G120" s="12">
        <v>1</v>
      </c>
      <c r="H120" s="8">
        <v>2.17</v>
      </c>
      <c r="I120" s="12">
        <v>0</v>
      </c>
    </row>
    <row r="121" spans="2:9" ht="15" customHeight="1" x14ac:dyDescent="0.2">
      <c r="B121" t="s">
        <v>307</v>
      </c>
      <c r="C121" s="12">
        <v>1</v>
      </c>
      <c r="D121" s="8">
        <v>1.08</v>
      </c>
      <c r="E121" s="12">
        <v>0</v>
      </c>
      <c r="F121" s="8">
        <v>0</v>
      </c>
      <c r="G121" s="12">
        <v>1</v>
      </c>
      <c r="H121" s="8">
        <v>2.17</v>
      </c>
      <c r="I121" s="12">
        <v>0</v>
      </c>
    </row>
    <row r="122" spans="2:9" ht="15" customHeight="1" x14ac:dyDescent="0.2">
      <c r="B122" t="s">
        <v>460</v>
      </c>
      <c r="C122" s="12">
        <v>1</v>
      </c>
      <c r="D122" s="8">
        <v>1.08</v>
      </c>
      <c r="E122" s="12">
        <v>0</v>
      </c>
      <c r="F122" s="8">
        <v>0</v>
      </c>
      <c r="G122" s="12">
        <v>0</v>
      </c>
      <c r="H122" s="8">
        <v>0</v>
      </c>
      <c r="I122" s="12">
        <v>1</v>
      </c>
    </row>
    <row r="124" spans="2:9" ht="15" customHeight="1" x14ac:dyDescent="0.2">
      <c r="B12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6126B-7A46-4952-8A11-8FFC1A01A0B2}">
  <sheetPr>
    <pageSetUpPr fitToPage="1"/>
  </sheetPr>
  <dimension ref="B2:I11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12</v>
      </c>
      <c r="D6" s="8">
        <v>16.670000000000002</v>
      </c>
      <c r="E6" s="12">
        <v>3</v>
      </c>
      <c r="F6" s="8">
        <v>8.57</v>
      </c>
      <c r="G6" s="12">
        <v>9</v>
      </c>
      <c r="H6" s="8">
        <v>26.47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11.11</v>
      </c>
      <c r="E7" s="12">
        <v>3</v>
      </c>
      <c r="F7" s="8">
        <v>8.57</v>
      </c>
      <c r="G7" s="12">
        <v>5</v>
      </c>
      <c r="H7" s="8">
        <v>14.71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2.78</v>
      </c>
      <c r="E8" s="12">
        <v>0</v>
      </c>
      <c r="F8" s="8">
        <v>0</v>
      </c>
      <c r="G8" s="12">
        <v>1</v>
      </c>
      <c r="H8" s="8">
        <v>2.94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2.78</v>
      </c>
      <c r="E10" s="12">
        <v>0</v>
      </c>
      <c r="F10" s="8">
        <v>0</v>
      </c>
      <c r="G10" s="12">
        <v>2</v>
      </c>
      <c r="H10" s="8">
        <v>5.88</v>
      </c>
      <c r="I10" s="12">
        <v>0</v>
      </c>
    </row>
    <row r="11" spans="2:9" ht="15" customHeight="1" x14ac:dyDescent="0.2">
      <c r="B11" t="s">
        <v>196</v>
      </c>
      <c r="C11" s="12">
        <v>17</v>
      </c>
      <c r="D11" s="8">
        <v>23.61</v>
      </c>
      <c r="E11" s="12">
        <v>9</v>
      </c>
      <c r="F11" s="8">
        <v>25.71</v>
      </c>
      <c r="G11" s="12">
        <v>8</v>
      </c>
      <c r="H11" s="8">
        <v>23.53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4.17</v>
      </c>
      <c r="E14" s="12">
        <v>2</v>
      </c>
      <c r="F14" s="8">
        <v>5.71</v>
      </c>
      <c r="G14" s="12">
        <v>1</v>
      </c>
      <c r="H14" s="8">
        <v>2.94</v>
      </c>
      <c r="I14" s="12">
        <v>0</v>
      </c>
    </row>
    <row r="15" spans="2:9" ht="15" customHeight="1" x14ac:dyDescent="0.2">
      <c r="B15" t="s">
        <v>200</v>
      </c>
      <c r="C15" s="12">
        <v>9</v>
      </c>
      <c r="D15" s="8">
        <v>12.5</v>
      </c>
      <c r="E15" s="12">
        <v>8</v>
      </c>
      <c r="F15" s="8">
        <v>22.86</v>
      </c>
      <c r="G15" s="12">
        <v>1</v>
      </c>
      <c r="H15" s="8">
        <v>2.94</v>
      </c>
      <c r="I15" s="12">
        <v>0</v>
      </c>
    </row>
    <row r="16" spans="2:9" ht="15" customHeight="1" x14ac:dyDescent="0.2">
      <c r="B16" t="s">
        <v>201</v>
      </c>
      <c r="C16" s="12">
        <v>9</v>
      </c>
      <c r="D16" s="8">
        <v>12.5</v>
      </c>
      <c r="E16" s="12">
        <v>6</v>
      </c>
      <c r="F16" s="8">
        <v>17.14</v>
      </c>
      <c r="G16" s="12">
        <v>2</v>
      </c>
      <c r="H16" s="8">
        <v>5.88</v>
      </c>
      <c r="I16" s="12">
        <v>1</v>
      </c>
    </row>
    <row r="17" spans="2:9" ht="15" customHeight="1" x14ac:dyDescent="0.2">
      <c r="B17" t="s">
        <v>202</v>
      </c>
      <c r="C17" s="12">
        <v>1</v>
      </c>
      <c r="D17" s="8">
        <v>1.39</v>
      </c>
      <c r="E17" s="12">
        <v>1</v>
      </c>
      <c r="F17" s="8">
        <v>2.86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5.56</v>
      </c>
      <c r="E18" s="12">
        <v>3</v>
      </c>
      <c r="F18" s="8">
        <v>8.57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6.94</v>
      </c>
      <c r="E19" s="12">
        <v>0</v>
      </c>
      <c r="F19" s="8">
        <v>0</v>
      </c>
      <c r="G19" s="12">
        <v>5</v>
      </c>
      <c r="H19" s="8">
        <v>14.71</v>
      </c>
      <c r="I19" s="12">
        <v>0</v>
      </c>
    </row>
    <row r="20" spans="2:9" ht="15" customHeight="1" x14ac:dyDescent="0.2">
      <c r="B20" s="9" t="s">
        <v>529</v>
      </c>
      <c r="C20" s="12">
        <f>SUM(LTBL_01456[総数／事業所数])</f>
        <v>72</v>
      </c>
      <c r="E20" s="12">
        <f>SUBTOTAL(109,LTBL_01456[個人／事業所数])</f>
        <v>35</v>
      </c>
      <c r="G20" s="12">
        <f>SUBTOTAL(109,LTBL_01456[法人／事業所数])</f>
        <v>34</v>
      </c>
      <c r="I20" s="12">
        <f>SUBTOTAL(109,LTBL_01456[法人以外の団体／事業所数])</f>
        <v>1</v>
      </c>
    </row>
    <row r="21" spans="2:9" ht="15" customHeight="1" x14ac:dyDescent="0.2">
      <c r="E21" s="11">
        <f>LTBL_01456[[#Totals],[個人／事業所数]]/LTBL_01456[[#Totals],[総数／事業所数]]</f>
        <v>0.4861111111111111</v>
      </c>
      <c r="G21" s="11">
        <f>LTBL_01456[[#Totals],[法人／事業所数]]/LTBL_01456[[#Totals],[総数／事業所数]]</f>
        <v>0.47222222222222221</v>
      </c>
      <c r="I21" s="11">
        <f>LTBL_01456[[#Totals],[法人以外の団体／事業所数]]/LTBL_01456[[#Totals],[総数／事業所数]]</f>
        <v>1.3888888888888888E-2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9</v>
      </c>
      <c r="D24" s="8">
        <v>12.5</v>
      </c>
      <c r="E24" s="12">
        <v>8</v>
      </c>
      <c r="F24" s="8">
        <v>22.86</v>
      </c>
      <c r="G24" s="12">
        <v>1</v>
      </c>
      <c r="H24" s="8">
        <v>2.94</v>
      </c>
      <c r="I24" s="12">
        <v>0</v>
      </c>
    </row>
    <row r="25" spans="2:9" ht="15" customHeight="1" x14ac:dyDescent="0.2">
      <c r="B25" t="s">
        <v>228</v>
      </c>
      <c r="C25" s="12">
        <v>6</v>
      </c>
      <c r="D25" s="8">
        <v>8.33</v>
      </c>
      <c r="E25" s="12">
        <v>6</v>
      </c>
      <c r="F25" s="8">
        <v>17.14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213</v>
      </c>
      <c r="C26" s="12">
        <v>5</v>
      </c>
      <c r="D26" s="8">
        <v>6.94</v>
      </c>
      <c r="E26" s="12">
        <v>0</v>
      </c>
      <c r="F26" s="8">
        <v>0</v>
      </c>
      <c r="G26" s="12">
        <v>5</v>
      </c>
      <c r="H26" s="8">
        <v>14.71</v>
      </c>
      <c r="I26" s="12">
        <v>0</v>
      </c>
    </row>
    <row r="27" spans="2:9" ht="15" customHeight="1" x14ac:dyDescent="0.2">
      <c r="B27" t="s">
        <v>214</v>
      </c>
      <c r="C27" s="12">
        <v>5</v>
      </c>
      <c r="D27" s="8">
        <v>6.94</v>
      </c>
      <c r="E27" s="12">
        <v>2</v>
      </c>
      <c r="F27" s="8">
        <v>5.71</v>
      </c>
      <c r="G27" s="12">
        <v>3</v>
      </c>
      <c r="H27" s="8">
        <v>8.82</v>
      </c>
      <c r="I27" s="12">
        <v>0</v>
      </c>
    </row>
    <row r="28" spans="2:9" ht="15" customHeight="1" x14ac:dyDescent="0.2">
      <c r="B28" t="s">
        <v>223</v>
      </c>
      <c r="C28" s="12">
        <v>5</v>
      </c>
      <c r="D28" s="8">
        <v>6.94</v>
      </c>
      <c r="E28" s="12">
        <v>0</v>
      </c>
      <c r="F28" s="8">
        <v>0</v>
      </c>
      <c r="G28" s="12">
        <v>5</v>
      </c>
      <c r="H28" s="8">
        <v>14.71</v>
      </c>
      <c r="I28" s="12">
        <v>0</v>
      </c>
    </row>
    <row r="29" spans="2:9" ht="15" customHeight="1" x14ac:dyDescent="0.2">
      <c r="B29" t="s">
        <v>221</v>
      </c>
      <c r="C29" s="12">
        <v>3</v>
      </c>
      <c r="D29" s="8">
        <v>4.17</v>
      </c>
      <c r="E29" s="12">
        <v>2</v>
      </c>
      <c r="F29" s="8">
        <v>5.71</v>
      </c>
      <c r="G29" s="12">
        <v>1</v>
      </c>
      <c r="H29" s="8">
        <v>2.94</v>
      </c>
      <c r="I29" s="12">
        <v>0</v>
      </c>
    </row>
    <row r="30" spans="2:9" ht="15" customHeight="1" x14ac:dyDescent="0.2">
      <c r="B30" t="s">
        <v>236</v>
      </c>
      <c r="C30" s="12">
        <v>3</v>
      </c>
      <c r="D30" s="8">
        <v>4.17</v>
      </c>
      <c r="E30" s="12">
        <v>3</v>
      </c>
      <c r="F30" s="8">
        <v>8.57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231</v>
      </c>
      <c r="C31" s="12">
        <v>3</v>
      </c>
      <c r="D31" s="8">
        <v>4.17</v>
      </c>
      <c r="E31" s="12">
        <v>3</v>
      </c>
      <c r="F31" s="8">
        <v>8.57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215</v>
      </c>
      <c r="C32" s="12">
        <v>2</v>
      </c>
      <c r="D32" s="8">
        <v>2.78</v>
      </c>
      <c r="E32" s="12">
        <v>1</v>
      </c>
      <c r="F32" s="8">
        <v>2.86</v>
      </c>
      <c r="G32" s="12">
        <v>1</v>
      </c>
      <c r="H32" s="8">
        <v>2.94</v>
      </c>
      <c r="I32" s="12">
        <v>0</v>
      </c>
    </row>
    <row r="33" spans="2:9" ht="15" customHeight="1" x14ac:dyDescent="0.2">
      <c r="B33" t="s">
        <v>241</v>
      </c>
      <c r="C33" s="12">
        <v>2</v>
      </c>
      <c r="D33" s="8">
        <v>2.78</v>
      </c>
      <c r="E33" s="12">
        <v>2</v>
      </c>
      <c r="F33" s="8">
        <v>5.71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254</v>
      </c>
      <c r="C34" s="12">
        <v>2</v>
      </c>
      <c r="D34" s="8">
        <v>2.78</v>
      </c>
      <c r="E34" s="12">
        <v>0</v>
      </c>
      <c r="F34" s="8">
        <v>0</v>
      </c>
      <c r="G34" s="12">
        <v>2</v>
      </c>
      <c r="H34" s="8">
        <v>5.88</v>
      </c>
      <c r="I34" s="12">
        <v>0</v>
      </c>
    </row>
    <row r="35" spans="2:9" ht="15" customHeight="1" x14ac:dyDescent="0.2">
      <c r="B35" t="s">
        <v>268</v>
      </c>
      <c r="C35" s="12">
        <v>2</v>
      </c>
      <c r="D35" s="8">
        <v>2.78</v>
      </c>
      <c r="E35" s="12">
        <v>0</v>
      </c>
      <c r="F35" s="8">
        <v>0</v>
      </c>
      <c r="G35" s="12">
        <v>2</v>
      </c>
      <c r="H35" s="8">
        <v>5.88</v>
      </c>
      <c r="I35" s="12">
        <v>0</v>
      </c>
    </row>
    <row r="36" spans="2:9" ht="15" customHeight="1" x14ac:dyDescent="0.2">
      <c r="B36" t="s">
        <v>255</v>
      </c>
      <c r="C36" s="12">
        <v>2</v>
      </c>
      <c r="D36" s="8">
        <v>2.78</v>
      </c>
      <c r="E36" s="12">
        <v>0</v>
      </c>
      <c r="F36" s="8">
        <v>0</v>
      </c>
      <c r="G36" s="12">
        <v>1</v>
      </c>
      <c r="H36" s="8">
        <v>2.94</v>
      </c>
      <c r="I36" s="12">
        <v>0</v>
      </c>
    </row>
    <row r="37" spans="2:9" ht="15" customHeight="1" x14ac:dyDescent="0.2">
      <c r="B37" t="s">
        <v>217</v>
      </c>
      <c r="C37" s="12">
        <v>2</v>
      </c>
      <c r="D37" s="8">
        <v>2.78</v>
      </c>
      <c r="E37" s="12">
        <v>1</v>
      </c>
      <c r="F37" s="8">
        <v>2.86</v>
      </c>
      <c r="G37" s="12">
        <v>1</v>
      </c>
      <c r="H37" s="8">
        <v>2.94</v>
      </c>
      <c r="I37" s="12">
        <v>0</v>
      </c>
    </row>
    <row r="38" spans="2:9" ht="15" customHeight="1" x14ac:dyDescent="0.2">
      <c r="B38" t="s">
        <v>220</v>
      </c>
      <c r="C38" s="12">
        <v>2</v>
      </c>
      <c r="D38" s="8">
        <v>2.78</v>
      </c>
      <c r="E38" s="12">
        <v>2</v>
      </c>
      <c r="F38" s="8">
        <v>5.71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226</v>
      </c>
      <c r="C39" s="12">
        <v>2</v>
      </c>
      <c r="D39" s="8">
        <v>2.78</v>
      </c>
      <c r="E39" s="12">
        <v>1</v>
      </c>
      <c r="F39" s="8">
        <v>2.86</v>
      </c>
      <c r="G39" s="12">
        <v>1</v>
      </c>
      <c r="H39" s="8">
        <v>2.94</v>
      </c>
      <c r="I39" s="12">
        <v>0</v>
      </c>
    </row>
    <row r="40" spans="2:9" ht="15" customHeight="1" x14ac:dyDescent="0.2">
      <c r="B40" t="s">
        <v>229</v>
      </c>
      <c r="C40" s="12">
        <v>2</v>
      </c>
      <c r="D40" s="8">
        <v>2.78</v>
      </c>
      <c r="E40" s="12">
        <v>0</v>
      </c>
      <c r="F40" s="8">
        <v>0</v>
      </c>
      <c r="G40" s="12">
        <v>2</v>
      </c>
      <c r="H40" s="8">
        <v>5.88</v>
      </c>
      <c r="I40" s="12">
        <v>0</v>
      </c>
    </row>
    <row r="41" spans="2:9" ht="15" customHeight="1" x14ac:dyDescent="0.2">
      <c r="B41" t="s">
        <v>240</v>
      </c>
      <c r="C41" s="12">
        <v>2</v>
      </c>
      <c r="D41" s="8">
        <v>2.78</v>
      </c>
      <c r="E41" s="12">
        <v>0</v>
      </c>
      <c r="F41" s="8">
        <v>0</v>
      </c>
      <c r="G41" s="12">
        <v>2</v>
      </c>
      <c r="H41" s="8">
        <v>5.88</v>
      </c>
      <c r="I41" s="12">
        <v>0</v>
      </c>
    </row>
    <row r="42" spans="2:9" ht="15" customHeight="1" x14ac:dyDescent="0.2">
      <c r="B42" t="s">
        <v>244</v>
      </c>
      <c r="C42" s="12">
        <v>1</v>
      </c>
      <c r="D42" s="8">
        <v>1.39</v>
      </c>
      <c r="E42" s="12">
        <v>0</v>
      </c>
      <c r="F42" s="8">
        <v>0</v>
      </c>
      <c r="G42" s="12">
        <v>1</v>
      </c>
      <c r="H42" s="8">
        <v>2.94</v>
      </c>
      <c r="I42" s="12">
        <v>0</v>
      </c>
    </row>
    <row r="43" spans="2:9" ht="15" customHeight="1" x14ac:dyDescent="0.2">
      <c r="B43" t="s">
        <v>272</v>
      </c>
      <c r="C43" s="12">
        <v>1</v>
      </c>
      <c r="D43" s="8">
        <v>1.39</v>
      </c>
      <c r="E43" s="12">
        <v>1</v>
      </c>
      <c r="F43" s="8">
        <v>2.86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238</v>
      </c>
      <c r="C44" s="12">
        <v>1</v>
      </c>
      <c r="D44" s="8">
        <v>1.39</v>
      </c>
      <c r="E44" s="12">
        <v>0</v>
      </c>
      <c r="F44" s="8">
        <v>0</v>
      </c>
      <c r="G44" s="12">
        <v>1</v>
      </c>
      <c r="H44" s="8">
        <v>2.94</v>
      </c>
      <c r="I44" s="12">
        <v>0</v>
      </c>
    </row>
    <row r="45" spans="2:9" ht="15" customHeight="1" x14ac:dyDescent="0.2">
      <c r="B45" t="s">
        <v>248</v>
      </c>
      <c r="C45" s="12">
        <v>1</v>
      </c>
      <c r="D45" s="8">
        <v>1.39</v>
      </c>
      <c r="E45" s="12">
        <v>0</v>
      </c>
      <c r="F45" s="8">
        <v>0</v>
      </c>
      <c r="G45" s="12">
        <v>1</v>
      </c>
      <c r="H45" s="8">
        <v>2.94</v>
      </c>
      <c r="I45" s="12">
        <v>0</v>
      </c>
    </row>
    <row r="46" spans="2:9" ht="15" customHeight="1" x14ac:dyDescent="0.2">
      <c r="B46" t="s">
        <v>216</v>
      </c>
      <c r="C46" s="12">
        <v>1</v>
      </c>
      <c r="D46" s="8">
        <v>1.39</v>
      </c>
      <c r="E46" s="12">
        <v>0</v>
      </c>
      <c r="F46" s="8">
        <v>0</v>
      </c>
      <c r="G46" s="12">
        <v>1</v>
      </c>
      <c r="H46" s="8">
        <v>2.94</v>
      </c>
      <c r="I46" s="12">
        <v>0</v>
      </c>
    </row>
    <row r="47" spans="2:9" ht="15" customHeight="1" x14ac:dyDescent="0.2">
      <c r="B47" t="s">
        <v>222</v>
      </c>
      <c r="C47" s="12">
        <v>1</v>
      </c>
      <c r="D47" s="8">
        <v>1.39</v>
      </c>
      <c r="E47" s="12">
        <v>1</v>
      </c>
      <c r="F47" s="8">
        <v>2.86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225</v>
      </c>
      <c r="C48" s="12">
        <v>1</v>
      </c>
      <c r="D48" s="8">
        <v>1.39</v>
      </c>
      <c r="E48" s="12">
        <v>1</v>
      </c>
      <c r="F48" s="8">
        <v>2.86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247</v>
      </c>
      <c r="C49" s="12">
        <v>1</v>
      </c>
      <c r="D49" s="8">
        <v>1.39</v>
      </c>
      <c r="E49" s="12">
        <v>0</v>
      </c>
      <c r="F49" s="8">
        <v>0</v>
      </c>
      <c r="G49" s="12">
        <v>0</v>
      </c>
      <c r="H49" s="8">
        <v>0</v>
      </c>
      <c r="I49" s="12">
        <v>1</v>
      </c>
    </row>
    <row r="50" spans="2:9" ht="15" customHeight="1" x14ac:dyDescent="0.2">
      <c r="B50" t="s">
        <v>230</v>
      </c>
      <c r="C50" s="12">
        <v>1</v>
      </c>
      <c r="D50" s="8">
        <v>1.39</v>
      </c>
      <c r="E50" s="12">
        <v>1</v>
      </c>
      <c r="F50" s="8">
        <v>2.86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232</v>
      </c>
      <c r="C51" s="12">
        <v>1</v>
      </c>
      <c r="D51" s="8">
        <v>1.39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249</v>
      </c>
      <c r="C52" s="12">
        <v>1</v>
      </c>
      <c r="D52" s="8">
        <v>1.39</v>
      </c>
      <c r="E52" s="12">
        <v>0</v>
      </c>
      <c r="F52" s="8">
        <v>0</v>
      </c>
      <c r="G52" s="12">
        <v>1</v>
      </c>
      <c r="H52" s="8">
        <v>2.94</v>
      </c>
      <c r="I52" s="12">
        <v>0</v>
      </c>
    </row>
    <row r="53" spans="2:9" ht="15" customHeight="1" x14ac:dyDescent="0.2">
      <c r="B53" t="s">
        <v>242</v>
      </c>
      <c r="C53" s="12">
        <v>1</v>
      </c>
      <c r="D53" s="8">
        <v>1.39</v>
      </c>
      <c r="E53" s="12">
        <v>0</v>
      </c>
      <c r="F53" s="8">
        <v>0</v>
      </c>
      <c r="G53" s="12">
        <v>1</v>
      </c>
      <c r="H53" s="8">
        <v>2.94</v>
      </c>
      <c r="I53" s="12">
        <v>0</v>
      </c>
    </row>
    <row r="54" spans="2:9" ht="15" customHeight="1" x14ac:dyDescent="0.2">
      <c r="B54" t="s">
        <v>234</v>
      </c>
      <c r="C54" s="12">
        <v>1</v>
      </c>
      <c r="D54" s="8">
        <v>1.39</v>
      </c>
      <c r="E54" s="12">
        <v>0</v>
      </c>
      <c r="F54" s="8">
        <v>0</v>
      </c>
      <c r="G54" s="12">
        <v>1</v>
      </c>
      <c r="H54" s="8">
        <v>2.94</v>
      </c>
      <c r="I54" s="12">
        <v>0</v>
      </c>
    </row>
    <row r="57" spans="2:9" ht="33" customHeight="1" x14ac:dyDescent="0.2">
      <c r="B57" t="s">
        <v>531</v>
      </c>
      <c r="C57" s="10" t="s">
        <v>206</v>
      </c>
      <c r="D57" s="10" t="s">
        <v>207</v>
      </c>
      <c r="E57" s="10" t="s">
        <v>208</v>
      </c>
      <c r="F57" s="10" t="s">
        <v>209</v>
      </c>
      <c r="G57" s="10" t="s">
        <v>210</v>
      </c>
      <c r="H57" s="10" t="s">
        <v>211</v>
      </c>
      <c r="I57" s="10" t="s">
        <v>212</v>
      </c>
    </row>
    <row r="58" spans="2:9" ht="15" customHeight="1" x14ac:dyDescent="0.2">
      <c r="B58" t="s">
        <v>288</v>
      </c>
      <c r="C58" s="12">
        <v>3</v>
      </c>
      <c r="D58" s="8">
        <v>4.17</v>
      </c>
      <c r="E58" s="12">
        <v>0</v>
      </c>
      <c r="F58" s="8">
        <v>0</v>
      </c>
      <c r="G58" s="12">
        <v>3</v>
      </c>
      <c r="H58" s="8">
        <v>8.82</v>
      </c>
      <c r="I58" s="12">
        <v>0</v>
      </c>
    </row>
    <row r="59" spans="2:9" ht="15" customHeight="1" x14ac:dyDescent="0.2">
      <c r="B59" t="s">
        <v>330</v>
      </c>
      <c r="C59" s="12">
        <v>3</v>
      </c>
      <c r="D59" s="8">
        <v>4.17</v>
      </c>
      <c r="E59" s="12">
        <v>0</v>
      </c>
      <c r="F59" s="8">
        <v>0</v>
      </c>
      <c r="G59" s="12">
        <v>3</v>
      </c>
      <c r="H59" s="8">
        <v>8.82</v>
      </c>
      <c r="I59" s="12">
        <v>0</v>
      </c>
    </row>
    <row r="60" spans="2:9" ht="15" customHeight="1" x14ac:dyDescent="0.2">
      <c r="B60" t="s">
        <v>334</v>
      </c>
      <c r="C60" s="12">
        <v>3</v>
      </c>
      <c r="D60" s="8">
        <v>4.17</v>
      </c>
      <c r="E60" s="12">
        <v>2</v>
      </c>
      <c r="F60" s="8">
        <v>5.71</v>
      </c>
      <c r="G60" s="12">
        <v>1</v>
      </c>
      <c r="H60" s="8">
        <v>2.94</v>
      </c>
      <c r="I60" s="12">
        <v>0</v>
      </c>
    </row>
    <row r="61" spans="2:9" ht="15" customHeight="1" x14ac:dyDescent="0.2">
      <c r="B61" t="s">
        <v>303</v>
      </c>
      <c r="C61" s="12">
        <v>3</v>
      </c>
      <c r="D61" s="8">
        <v>4.17</v>
      </c>
      <c r="E61" s="12">
        <v>3</v>
      </c>
      <c r="F61" s="8">
        <v>8.57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304</v>
      </c>
      <c r="C62" s="12">
        <v>3</v>
      </c>
      <c r="D62" s="8">
        <v>4.17</v>
      </c>
      <c r="E62" s="12">
        <v>3</v>
      </c>
      <c r="F62" s="8">
        <v>8.57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320</v>
      </c>
      <c r="C63" s="12">
        <v>2</v>
      </c>
      <c r="D63" s="8">
        <v>2.78</v>
      </c>
      <c r="E63" s="12">
        <v>0</v>
      </c>
      <c r="F63" s="8">
        <v>0</v>
      </c>
      <c r="G63" s="12">
        <v>2</v>
      </c>
      <c r="H63" s="8">
        <v>5.88</v>
      </c>
      <c r="I63" s="12">
        <v>0</v>
      </c>
    </row>
    <row r="64" spans="2:9" ht="15" customHeight="1" x14ac:dyDescent="0.2">
      <c r="B64" t="s">
        <v>481</v>
      </c>
      <c r="C64" s="12">
        <v>2</v>
      </c>
      <c r="D64" s="8">
        <v>2.78</v>
      </c>
      <c r="E64" s="12">
        <v>0</v>
      </c>
      <c r="F64" s="8">
        <v>0</v>
      </c>
      <c r="G64" s="12">
        <v>2</v>
      </c>
      <c r="H64" s="8">
        <v>5.88</v>
      </c>
      <c r="I64" s="12">
        <v>0</v>
      </c>
    </row>
    <row r="65" spans="2:9" ht="15" customHeight="1" x14ac:dyDescent="0.2">
      <c r="B65" t="s">
        <v>292</v>
      </c>
      <c r="C65" s="12">
        <v>2</v>
      </c>
      <c r="D65" s="8">
        <v>2.78</v>
      </c>
      <c r="E65" s="12">
        <v>1</v>
      </c>
      <c r="F65" s="8">
        <v>2.86</v>
      </c>
      <c r="G65" s="12">
        <v>1</v>
      </c>
      <c r="H65" s="8">
        <v>2.94</v>
      </c>
      <c r="I65" s="12">
        <v>0</v>
      </c>
    </row>
    <row r="66" spans="2:9" ht="15" customHeight="1" x14ac:dyDescent="0.2">
      <c r="B66" t="s">
        <v>344</v>
      </c>
      <c r="C66" s="12">
        <v>2</v>
      </c>
      <c r="D66" s="8">
        <v>2.78</v>
      </c>
      <c r="E66" s="12">
        <v>2</v>
      </c>
      <c r="F66" s="8">
        <v>5.71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301</v>
      </c>
      <c r="C67" s="12">
        <v>2</v>
      </c>
      <c r="D67" s="8">
        <v>2.78</v>
      </c>
      <c r="E67" s="12">
        <v>2</v>
      </c>
      <c r="F67" s="8">
        <v>5.71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302</v>
      </c>
      <c r="C68" s="12">
        <v>2</v>
      </c>
      <c r="D68" s="8">
        <v>2.78</v>
      </c>
      <c r="E68" s="12">
        <v>2</v>
      </c>
      <c r="F68" s="8">
        <v>5.71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306</v>
      </c>
      <c r="C69" s="12">
        <v>2</v>
      </c>
      <c r="D69" s="8">
        <v>2.78</v>
      </c>
      <c r="E69" s="12">
        <v>2</v>
      </c>
      <c r="F69" s="8">
        <v>5.71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307</v>
      </c>
      <c r="C70" s="12">
        <v>2</v>
      </c>
      <c r="D70" s="8">
        <v>2.78</v>
      </c>
      <c r="E70" s="12">
        <v>0</v>
      </c>
      <c r="F70" s="8">
        <v>0</v>
      </c>
      <c r="G70" s="12">
        <v>2</v>
      </c>
      <c r="H70" s="8">
        <v>5.88</v>
      </c>
      <c r="I70" s="12">
        <v>0</v>
      </c>
    </row>
    <row r="71" spans="2:9" ht="15" customHeight="1" x14ac:dyDescent="0.2">
      <c r="B71" t="s">
        <v>398</v>
      </c>
      <c r="C71" s="12">
        <v>1</v>
      </c>
      <c r="D71" s="8">
        <v>1.39</v>
      </c>
      <c r="E71" s="12">
        <v>0</v>
      </c>
      <c r="F71" s="8">
        <v>0</v>
      </c>
      <c r="G71" s="12">
        <v>1</v>
      </c>
      <c r="H71" s="8">
        <v>2.94</v>
      </c>
      <c r="I71" s="12">
        <v>0</v>
      </c>
    </row>
    <row r="72" spans="2:9" ht="15" customHeight="1" x14ac:dyDescent="0.2">
      <c r="B72" t="s">
        <v>289</v>
      </c>
      <c r="C72" s="12">
        <v>1</v>
      </c>
      <c r="D72" s="8">
        <v>1.39</v>
      </c>
      <c r="E72" s="12">
        <v>0</v>
      </c>
      <c r="F72" s="8">
        <v>0</v>
      </c>
      <c r="G72" s="12">
        <v>1</v>
      </c>
      <c r="H72" s="8">
        <v>2.94</v>
      </c>
      <c r="I72" s="12">
        <v>0</v>
      </c>
    </row>
    <row r="73" spans="2:9" ht="15" customHeight="1" x14ac:dyDescent="0.2">
      <c r="B73" t="s">
        <v>375</v>
      </c>
      <c r="C73" s="12">
        <v>1</v>
      </c>
      <c r="D73" s="8">
        <v>1.39</v>
      </c>
      <c r="E73" s="12">
        <v>0</v>
      </c>
      <c r="F73" s="8">
        <v>0</v>
      </c>
      <c r="G73" s="12">
        <v>1</v>
      </c>
      <c r="H73" s="8">
        <v>2.94</v>
      </c>
      <c r="I73" s="12">
        <v>0</v>
      </c>
    </row>
    <row r="74" spans="2:9" ht="15" customHeight="1" x14ac:dyDescent="0.2">
      <c r="B74" t="s">
        <v>450</v>
      </c>
      <c r="C74" s="12">
        <v>1</v>
      </c>
      <c r="D74" s="8">
        <v>1.39</v>
      </c>
      <c r="E74" s="12">
        <v>1</v>
      </c>
      <c r="F74" s="8">
        <v>2.86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333</v>
      </c>
      <c r="C75" s="12">
        <v>1</v>
      </c>
      <c r="D75" s="8">
        <v>1.39</v>
      </c>
      <c r="E75" s="12">
        <v>1</v>
      </c>
      <c r="F75" s="8">
        <v>2.86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290</v>
      </c>
      <c r="C76" s="12">
        <v>1</v>
      </c>
      <c r="D76" s="8">
        <v>1.39</v>
      </c>
      <c r="E76" s="12">
        <v>0</v>
      </c>
      <c r="F76" s="8">
        <v>0</v>
      </c>
      <c r="G76" s="12">
        <v>1</v>
      </c>
      <c r="H76" s="8">
        <v>2.94</v>
      </c>
      <c r="I76" s="12">
        <v>0</v>
      </c>
    </row>
    <row r="77" spans="2:9" ht="15" customHeight="1" x14ac:dyDescent="0.2">
      <c r="B77" t="s">
        <v>291</v>
      </c>
      <c r="C77" s="12">
        <v>1</v>
      </c>
      <c r="D77" s="8">
        <v>1.39</v>
      </c>
      <c r="E77" s="12">
        <v>1</v>
      </c>
      <c r="F77" s="8">
        <v>2.86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376</v>
      </c>
      <c r="C78" s="12">
        <v>1</v>
      </c>
      <c r="D78" s="8">
        <v>1.39</v>
      </c>
      <c r="E78" s="12">
        <v>1</v>
      </c>
      <c r="F78" s="8">
        <v>2.86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351</v>
      </c>
      <c r="C79" s="12">
        <v>1</v>
      </c>
      <c r="D79" s="8">
        <v>1.39</v>
      </c>
      <c r="E79" s="12">
        <v>1</v>
      </c>
      <c r="F79" s="8">
        <v>2.86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480</v>
      </c>
      <c r="C80" s="12">
        <v>1</v>
      </c>
      <c r="D80" s="8">
        <v>1.39</v>
      </c>
      <c r="E80" s="12">
        <v>0</v>
      </c>
      <c r="F80" s="8">
        <v>0</v>
      </c>
      <c r="G80" s="12">
        <v>1</v>
      </c>
      <c r="H80" s="8">
        <v>2.94</v>
      </c>
      <c r="I80" s="12">
        <v>0</v>
      </c>
    </row>
    <row r="81" spans="2:9" ht="15" customHeight="1" x14ac:dyDescent="0.2">
      <c r="B81" t="s">
        <v>385</v>
      </c>
      <c r="C81" s="12">
        <v>1</v>
      </c>
      <c r="D81" s="8">
        <v>1.39</v>
      </c>
      <c r="E81" s="12">
        <v>0</v>
      </c>
      <c r="F81" s="8">
        <v>0</v>
      </c>
      <c r="G81" s="12">
        <v>1</v>
      </c>
      <c r="H81" s="8">
        <v>2.94</v>
      </c>
      <c r="I81" s="12">
        <v>0</v>
      </c>
    </row>
    <row r="82" spans="2:9" ht="15" customHeight="1" x14ac:dyDescent="0.2">
      <c r="B82" t="s">
        <v>432</v>
      </c>
      <c r="C82" s="12">
        <v>1</v>
      </c>
      <c r="D82" s="8">
        <v>1.39</v>
      </c>
      <c r="E82" s="12">
        <v>0</v>
      </c>
      <c r="F82" s="8">
        <v>0</v>
      </c>
      <c r="G82" s="12">
        <v>1</v>
      </c>
      <c r="H82" s="8">
        <v>2.94</v>
      </c>
      <c r="I82" s="12">
        <v>0</v>
      </c>
    </row>
    <row r="83" spans="2:9" ht="15" customHeight="1" x14ac:dyDescent="0.2">
      <c r="B83" t="s">
        <v>465</v>
      </c>
      <c r="C83" s="12">
        <v>1</v>
      </c>
      <c r="D83" s="8">
        <v>1.39</v>
      </c>
      <c r="E83" s="12">
        <v>1</v>
      </c>
      <c r="F83" s="8">
        <v>2.86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361</v>
      </c>
      <c r="C84" s="12">
        <v>1</v>
      </c>
      <c r="D84" s="8">
        <v>1.39</v>
      </c>
      <c r="E84" s="12">
        <v>0</v>
      </c>
      <c r="F84" s="8">
        <v>0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407</v>
      </c>
      <c r="C85" s="12">
        <v>1</v>
      </c>
      <c r="D85" s="8">
        <v>1.39</v>
      </c>
      <c r="E85" s="12">
        <v>0</v>
      </c>
      <c r="F85" s="8">
        <v>0</v>
      </c>
      <c r="G85" s="12">
        <v>1</v>
      </c>
      <c r="H85" s="8">
        <v>2.94</v>
      </c>
      <c r="I85" s="12">
        <v>0</v>
      </c>
    </row>
    <row r="86" spans="2:9" ht="15" customHeight="1" x14ac:dyDescent="0.2">
      <c r="B86" t="s">
        <v>466</v>
      </c>
      <c r="C86" s="12">
        <v>1</v>
      </c>
      <c r="D86" s="8">
        <v>1.39</v>
      </c>
      <c r="E86" s="12">
        <v>0</v>
      </c>
      <c r="F86" s="8">
        <v>0</v>
      </c>
      <c r="G86" s="12">
        <v>1</v>
      </c>
      <c r="H86" s="8">
        <v>2.94</v>
      </c>
      <c r="I86" s="12">
        <v>0</v>
      </c>
    </row>
    <row r="87" spans="2:9" ht="15" customHeight="1" x14ac:dyDescent="0.2">
      <c r="B87" t="s">
        <v>350</v>
      </c>
      <c r="C87" s="12">
        <v>1</v>
      </c>
      <c r="D87" s="8">
        <v>1.39</v>
      </c>
      <c r="E87" s="12">
        <v>0</v>
      </c>
      <c r="F87" s="8">
        <v>0</v>
      </c>
      <c r="G87" s="12">
        <v>1</v>
      </c>
      <c r="H87" s="8">
        <v>2.94</v>
      </c>
      <c r="I87" s="12">
        <v>0</v>
      </c>
    </row>
    <row r="88" spans="2:9" ht="15" customHeight="1" x14ac:dyDescent="0.2">
      <c r="B88" t="s">
        <v>324</v>
      </c>
      <c r="C88" s="12">
        <v>1</v>
      </c>
      <c r="D88" s="8">
        <v>1.39</v>
      </c>
      <c r="E88" s="12">
        <v>0</v>
      </c>
      <c r="F88" s="8">
        <v>0</v>
      </c>
      <c r="G88" s="12">
        <v>1</v>
      </c>
      <c r="H88" s="8">
        <v>2.94</v>
      </c>
      <c r="I88" s="12">
        <v>0</v>
      </c>
    </row>
    <row r="89" spans="2:9" ht="15" customHeight="1" x14ac:dyDescent="0.2">
      <c r="B89" t="s">
        <v>346</v>
      </c>
      <c r="C89" s="12">
        <v>1</v>
      </c>
      <c r="D89" s="8">
        <v>1.39</v>
      </c>
      <c r="E89" s="12">
        <v>0</v>
      </c>
      <c r="F89" s="8">
        <v>0</v>
      </c>
      <c r="G89" s="12">
        <v>1</v>
      </c>
      <c r="H89" s="8">
        <v>2.94</v>
      </c>
      <c r="I89" s="12">
        <v>0</v>
      </c>
    </row>
    <row r="90" spans="2:9" ht="15" customHeight="1" x14ac:dyDescent="0.2">
      <c r="B90" t="s">
        <v>446</v>
      </c>
      <c r="C90" s="12">
        <v>1</v>
      </c>
      <c r="D90" s="8">
        <v>1.39</v>
      </c>
      <c r="E90" s="12">
        <v>1</v>
      </c>
      <c r="F90" s="8">
        <v>2.86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400</v>
      </c>
      <c r="C91" s="12">
        <v>1</v>
      </c>
      <c r="D91" s="8">
        <v>1.39</v>
      </c>
      <c r="E91" s="12">
        <v>1</v>
      </c>
      <c r="F91" s="8">
        <v>2.86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314</v>
      </c>
      <c r="C92" s="12">
        <v>1</v>
      </c>
      <c r="D92" s="8">
        <v>1.39</v>
      </c>
      <c r="E92" s="12">
        <v>1</v>
      </c>
      <c r="F92" s="8">
        <v>2.86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332</v>
      </c>
      <c r="C93" s="12">
        <v>1</v>
      </c>
      <c r="D93" s="8">
        <v>1.39</v>
      </c>
      <c r="E93" s="12">
        <v>1</v>
      </c>
      <c r="F93" s="8">
        <v>2.86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335</v>
      </c>
      <c r="C94" s="12">
        <v>1</v>
      </c>
      <c r="D94" s="8">
        <v>1.39</v>
      </c>
      <c r="E94" s="12">
        <v>1</v>
      </c>
      <c r="F94" s="8">
        <v>2.86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294</v>
      </c>
      <c r="C95" s="12">
        <v>1</v>
      </c>
      <c r="D95" s="8">
        <v>1.39</v>
      </c>
      <c r="E95" s="12">
        <v>0</v>
      </c>
      <c r="F95" s="8">
        <v>0</v>
      </c>
      <c r="G95" s="12">
        <v>1</v>
      </c>
      <c r="H95" s="8">
        <v>2.94</v>
      </c>
      <c r="I95" s="12">
        <v>0</v>
      </c>
    </row>
    <row r="96" spans="2:9" ht="15" customHeight="1" x14ac:dyDescent="0.2">
      <c r="B96" t="s">
        <v>295</v>
      </c>
      <c r="C96" s="12">
        <v>1</v>
      </c>
      <c r="D96" s="8">
        <v>1.39</v>
      </c>
      <c r="E96" s="12">
        <v>0</v>
      </c>
      <c r="F96" s="8">
        <v>0</v>
      </c>
      <c r="G96" s="12">
        <v>1</v>
      </c>
      <c r="H96" s="8">
        <v>2.94</v>
      </c>
      <c r="I96" s="12">
        <v>0</v>
      </c>
    </row>
    <row r="97" spans="2:9" ht="15" customHeight="1" x14ac:dyDescent="0.2">
      <c r="B97" t="s">
        <v>449</v>
      </c>
      <c r="C97" s="12">
        <v>1</v>
      </c>
      <c r="D97" s="8">
        <v>1.39</v>
      </c>
      <c r="E97" s="12">
        <v>1</v>
      </c>
      <c r="F97" s="8">
        <v>2.86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417</v>
      </c>
      <c r="C98" s="12">
        <v>1</v>
      </c>
      <c r="D98" s="8">
        <v>1.39</v>
      </c>
      <c r="E98" s="12">
        <v>1</v>
      </c>
      <c r="F98" s="8">
        <v>2.86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482</v>
      </c>
      <c r="C99" s="12">
        <v>1</v>
      </c>
      <c r="D99" s="8">
        <v>1.39</v>
      </c>
      <c r="E99" s="12">
        <v>1</v>
      </c>
      <c r="F99" s="8">
        <v>2.86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418</v>
      </c>
      <c r="C100" s="12">
        <v>1</v>
      </c>
      <c r="D100" s="8">
        <v>1.39</v>
      </c>
      <c r="E100" s="12">
        <v>0</v>
      </c>
      <c r="F100" s="8">
        <v>0</v>
      </c>
      <c r="G100" s="12">
        <v>1</v>
      </c>
      <c r="H100" s="8">
        <v>2.94</v>
      </c>
      <c r="I100" s="12">
        <v>0</v>
      </c>
    </row>
    <row r="101" spans="2:9" ht="15" customHeight="1" x14ac:dyDescent="0.2">
      <c r="B101" t="s">
        <v>299</v>
      </c>
      <c r="C101" s="12">
        <v>1</v>
      </c>
      <c r="D101" s="8">
        <v>1.39</v>
      </c>
      <c r="E101" s="12">
        <v>1</v>
      </c>
      <c r="F101" s="8">
        <v>2.86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300</v>
      </c>
      <c r="C102" s="12">
        <v>1</v>
      </c>
      <c r="D102" s="8">
        <v>1.39</v>
      </c>
      <c r="E102" s="12">
        <v>1</v>
      </c>
      <c r="F102" s="8">
        <v>2.86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391</v>
      </c>
      <c r="C103" s="12">
        <v>1</v>
      </c>
      <c r="D103" s="8">
        <v>1.39</v>
      </c>
      <c r="E103" s="12">
        <v>0</v>
      </c>
      <c r="F103" s="8">
        <v>0</v>
      </c>
      <c r="G103" s="12">
        <v>1</v>
      </c>
      <c r="H103" s="8">
        <v>2.94</v>
      </c>
      <c r="I103" s="12">
        <v>0</v>
      </c>
    </row>
    <row r="104" spans="2:9" ht="15" customHeight="1" x14ac:dyDescent="0.2">
      <c r="B104" t="s">
        <v>352</v>
      </c>
      <c r="C104" s="12">
        <v>1</v>
      </c>
      <c r="D104" s="8">
        <v>1.39</v>
      </c>
      <c r="E104" s="12">
        <v>0</v>
      </c>
      <c r="F104" s="8">
        <v>0</v>
      </c>
      <c r="G104" s="12">
        <v>1</v>
      </c>
      <c r="H104" s="8">
        <v>2.94</v>
      </c>
      <c r="I104" s="12">
        <v>0</v>
      </c>
    </row>
    <row r="105" spans="2:9" ht="15" customHeight="1" x14ac:dyDescent="0.2">
      <c r="B105" t="s">
        <v>368</v>
      </c>
      <c r="C105" s="12">
        <v>1</v>
      </c>
      <c r="D105" s="8">
        <v>1.39</v>
      </c>
      <c r="E105" s="12">
        <v>0</v>
      </c>
      <c r="F105" s="8">
        <v>0</v>
      </c>
      <c r="G105" s="12">
        <v>0</v>
      </c>
      <c r="H105" s="8">
        <v>0</v>
      </c>
      <c r="I105" s="12">
        <v>1</v>
      </c>
    </row>
    <row r="106" spans="2:9" ht="15" customHeight="1" x14ac:dyDescent="0.2">
      <c r="B106" t="s">
        <v>305</v>
      </c>
      <c r="C106" s="12">
        <v>1</v>
      </c>
      <c r="D106" s="8">
        <v>1.39</v>
      </c>
      <c r="E106" s="12">
        <v>1</v>
      </c>
      <c r="F106" s="8">
        <v>2.86</v>
      </c>
      <c r="G106" s="12">
        <v>0</v>
      </c>
      <c r="H106" s="8">
        <v>0</v>
      </c>
      <c r="I106" s="12">
        <v>0</v>
      </c>
    </row>
    <row r="107" spans="2:9" ht="15" customHeight="1" x14ac:dyDescent="0.2">
      <c r="B107" t="s">
        <v>312</v>
      </c>
      <c r="C107" s="12">
        <v>1</v>
      </c>
      <c r="D107" s="8">
        <v>1.39</v>
      </c>
      <c r="E107" s="12">
        <v>1</v>
      </c>
      <c r="F107" s="8">
        <v>2.86</v>
      </c>
      <c r="G107" s="12">
        <v>0</v>
      </c>
      <c r="H107" s="8">
        <v>0</v>
      </c>
      <c r="I107" s="12">
        <v>0</v>
      </c>
    </row>
    <row r="108" spans="2:9" ht="15" customHeight="1" x14ac:dyDescent="0.2">
      <c r="B108" t="s">
        <v>331</v>
      </c>
      <c r="C108" s="12">
        <v>1</v>
      </c>
      <c r="D108" s="8">
        <v>1.39</v>
      </c>
      <c r="E108" s="12">
        <v>0</v>
      </c>
      <c r="F108" s="8">
        <v>0</v>
      </c>
      <c r="G108" s="12">
        <v>0</v>
      </c>
      <c r="H108" s="8">
        <v>0</v>
      </c>
      <c r="I108" s="12">
        <v>0</v>
      </c>
    </row>
    <row r="109" spans="2:9" ht="15" customHeight="1" x14ac:dyDescent="0.2">
      <c r="B109" t="s">
        <v>370</v>
      </c>
      <c r="C109" s="12">
        <v>1</v>
      </c>
      <c r="D109" s="8">
        <v>1.39</v>
      </c>
      <c r="E109" s="12">
        <v>0</v>
      </c>
      <c r="F109" s="8">
        <v>0</v>
      </c>
      <c r="G109" s="12">
        <v>1</v>
      </c>
      <c r="H109" s="8">
        <v>2.94</v>
      </c>
      <c r="I109" s="12">
        <v>0</v>
      </c>
    </row>
    <row r="110" spans="2:9" ht="15" customHeight="1" x14ac:dyDescent="0.2">
      <c r="B110" t="s">
        <v>371</v>
      </c>
      <c r="C110" s="12">
        <v>1</v>
      </c>
      <c r="D110" s="8">
        <v>1.39</v>
      </c>
      <c r="E110" s="12">
        <v>0</v>
      </c>
      <c r="F110" s="8">
        <v>0</v>
      </c>
      <c r="G110" s="12">
        <v>1</v>
      </c>
      <c r="H110" s="8">
        <v>2.94</v>
      </c>
      <c r="I110" s="12">
        <v>0</v>
      </c>
    </row>
    <row r="111" spans="2:9" ht="15" customHeight="1" x14ac:dyDescent="0.2">
      <c r="B111" t="s">
        <v>348</v>
      </c>
      <c r="C111" s="12">
        <v>1</v>
      </c>
      <c r="D111" s="8">
        <v>1.39</v>
      </c>
      <c r="E111" s="12">
        <v>0</v>
      </c>
      <c r="F111" s="8">
        <v>0</v>
      </c>
      <c r="G111" s="12">
        <v>1</v>
      </c>
      <c r="H111" s="8">
        <v>2.94</v>
      </c>
      <c r="I111" s="12">
        <v>0</v>
      </c>
    </row>
    <row r="113" spans="2:2" ht="15" customHeight="1" x14ac:dyDescent="0.2">
      <c r="B11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B3FC1-FD7F-4DC0-819D-5DF06500852A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10</v>
      </c>
      <c r="D6" s="8">
        <v>7.81</v>
      </c>
      <c r="E6" s="12">
        <v>4</v>
      </c>
      <c r="F6" s="8">
        <v>5.48</v>
      </c>
      <c r="G6" s="12">
        <v>6</v>
      </c>
      <c r="H6" s="8">
        <v>12.24</v>
      </c>
      <c r="I6" s="12">
        <v>0</v>
      </c>
    </row>
    <row r="7" spans="2:9" ht="15" customHeight="1" x14ac:dyDescent="0.2">
      <c r="B7" t="s">
        <v>192</v>
      </c>
      <c r="C7" s="12">
        <v>14</v>
      </c>
      <c r="D7" s="8">
        <v>10.94</v>
      </c>
      <c r="E7" s="12">
        <v>3</v>
      </c>
      <c r="F7" s="8">
        <v>4.1100000000000003</v>
      </c>
      <c r="G7" s="12">
        <v>11</v>
      </c>
      <c r="H7" s="8">
        <v>22.45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1.56</v>
      </c>
      <c r="E10" s="12">
        <v>0</v>
      </c>
      <c r="F10" s="8">
        <v>0</v>
      </c>
      <c r="G10" s="12">
        <v>2</v>
      </c>
      <c r="H10" s="8">
        <v>4.08</v>
      </c>
      <c r="I10" s="12">
        <v>0</v>
      </c>
    </row>
    <row r="11" spans="2:9" ht="15" customHeight="1" x14ac:dyDescent="0.2">
      <c r="B11" t="s">
        <v>196</v>
      </c>
      <c r="C11" s="12">
        <v>32</v>
      </c>
      <c r="D11" s="8">
        <v>25</v>
      </c>
      <c r="E11" s="12">
        <v>20</v>
      </c>
      <c r="F11" s="8">
        <v>27.4</v>
      </c>
      <c r="G11" s="12">
        <v>11</v>
      </c>
      <c r="H11" s="8">
        <v>22.45</v>
      </c>
      <c r="I11" s="12">
        <v>1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4</v>
      </c>
      <c r="D13" s="8">
        <v>3.13</v>
      </c>
      <c r="E13" s="12">
        <v>3</v>
      </c>
      <c r="F13" s="8">
        <v>4.1100000000000003</v>
      </c>
      <c r="G13" s="12">
        <v>1</v>
      </c>
      <c r="H13" s="8">
        <v>2.04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3.13</v>
      </c>
      <c r="E14" s="12">
        <v>2</v>
      </c>
      <c r="F14" s="8">
        <v>2.74</v>
      </c>
      <c r="G14" s="12">
        <v>1</v>
      </c>
      <c r="H14" s="8">
        <v>2.04</v>
      </c>
      <c r="I14" s="12">
        <v>1</v>
      </c>
    </row>
    <row r="15" spans="2:9" ht="15" customHeight="1" x14ac:dyDescent="0.2">
      <c r="B15" t="s">
        <v>200</v>
      </c>
      <c r="C15" s="12">
        <v>28</v>
      </c>
      <c r="D15" s="8">
        <v>21.88</v>
      </c>
      <c r="E15" s="12">
        <v>22</v>
      </c>
      <c r="F15" s="8">
        <v>30.14</v>
      </c>
      <c r="G15" s="12">
        <v>6</v>
      </c>
      <c r="H15" s="8">
        <v>12.24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10.94</v>
      </c>
      <c r="E16" s="12">
        <v>11</v>
      </c>
      <c r="F16" s="8">
        <v>15.07</v>
      </c>
      <c r="G16" s="12">
        <v>2</v>
      </c>
      <c r="H16" s="8">
        <v>4.08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3.13</v>
      </c>
      <c r="E17" s="12">
        <v>2</v>
      </c>
      <c r="F17" s="8">
        <v>2.74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9</v>
      </c>
      <c r="D18" s="8">
        <v>7.03</v>
      </c>
      <c r="E18" s="12">
        <v>4</v>
      </c>
      <c r="F18" s="8">
        <v>5.48</v>
      </c>
      <c r="G18" s="12">
        <v>4</v>
      </c>
      <c r="H18" s="8">
        <v>8.16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5.47</v>
      </c>
      <c r="E19" s="12">
        <v>2</v>
      </c>
      <c r="F19" s="8">
        <v>2.74</v>
      </c>
      <c r="G19" s="12">
        <v>5</v>
      </c>
      <c r="H19" s="8">
        <v>10.199999999999999</v>
      </c>
      <c r="I19" s="12">
        <v>0</v>
      </c>
    </row>
    <row r="20" spans="2:9" ht="15" customHeight="1" x14ac:dyDescent="0.2">
      <c r="B20" s="9" t="s">
        <v>529</v>
      </c>
      <c r="C20" s="12">
        <f>SUM(LTBL_01457[総数／事業所数])</f>
        <v>128</v>
      </c>
      <c r="E20" s="12">
        <f>SUBTOTAL(109,LTBL_01457[個人／事業所数])</f>
        <v>73</v>
      </c>
      <c r="G20" s="12">
        <f>SUBTOTAL(109,LTBL_01457[法人／事業所数])</f>
        <v>49</v>
      </c>
      <c r="I20" s="12">
        <f>SUBTOTAL(109,LTBL_01457[法人以外の団体／事業所数])</f>
        <v>2</v>
      </c>
    </row>
    <row r="21" spans="2:9" ht="15" customHeight="1" x14ac:dyDescent="0.2">
      <c r="E21" s="11">
        <f>LTBL_01457[[#Totals],[個人／事業所数]]/LTBL_01457[[#Totals],[総数／事業所数]]</f>
        <v>0.5703125</v>
      </c>
      <c r="G21" s="11">
        <f>LTBL_01457[[#Totals],[法人／事業所数]]/LTBL_01457[[#Totals],[総数／事業所数]]</f>
        <v>0.3828125</v>
      </c>
      <c r="I21" s="11">
        <f>LTBL_01457[[#Totals],[法人以外の団体／事業所数]]/LTBL_01457[[#Totals],[総数／事業所数]]</f>
        <v>1.5625E-2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19</v>
      </c>
      <c r="D24" s="8">
        <v>14.84</v>
      </c>
      <c r="E24" s="12">
        <v>16</v>
      </c>
      <c r="F24" s="8">
        <v>21.92</v>
      </c>
      <c r="G24" s="12">
        <v>3</v>
      </c>
      <c r="H24" s="8">
        <v>6.12</v>
      </c>
      <c r="I24" s="12">
        <v>0</v>
      </c>
    </row>
    <row r="25" spans="2:9" ht="15" customHeight="1" x14ac:dyDescent="0.2">
      <c r="B25" t="s">
        <v>223</v>
      </c>
      <c r="C25" s="12">
        <v>13</v>
      </c>
      <c r="D25" s="8">
        <v>10.16</v>
      </c>
      <c r="E25" s="12">
        <v>6</v>
      </c>
      <c r="F25" s="8">
        <v>8.2200000000000006</v>
      </c>
      <c r="G25" s="12">
        <v>7</v>
      </c>
      <c r="H25" s="8">
        <v>14.29</v>
      </c>
      <c r="I25" s="12">
        <v>0</v>
      </c>
    </row>
    <row r="26" spans="2:9" ht="15" customHeight="1" x14ac:dyDescent="0.2">
      <c r="B26" t="s">
        <v>228</v>
      </c>
      <c r="C26" s="12">
        <v>12</v>
      </c>
      <c r="D26" s="8">
        <v>9.3800000000000008</v>
      </c>
      <c r="E26" s="12">
        <v>11</v>
      </c>
      <c r="F26" s="8">
        <v>15.07</v>
      </c>
      <c r="G26" s="12">
        <v>1</v>
      </c>
      <c r="H26" s="8">
        <v>2.04</v>
      </c>
      <c r="I26" s="12">
        <v>0</v>
      </c>
    </row>
    <row r="27" spans="2:9" ht="15" customHeight="1" x14ac:dyDescent="0.2">
      <c r="B27" t="s">
        <v>221</v>
      </c>
      <c r="C27" s="12">
        <v>9</v>
      </c>
      <c r="D27" s="8">
        <v>7.03</v>
      </c>
      <c r="E27" s="12">
        <v>7</v>
      </c>
      <c r="F27" s="8">
        <v>9.59</v>
      </c>
      <c r="G27" s="12">
        <v>1</v>
      </c>
      <c r="H27" s="8">
        <v>2.04</v>
      </c>
      <c r="I27" s="12">
        <v>1</v>
      </c>
    </row>
    <row r="28" spans="2:9" ht="15" customHeight="1" x14ac:dyDescent="0.2">
      <c r="B28" t="s">
        <v>243</v>
      </c>
      <c r="C28" s="12">
        <v>9</v>
      </c>
      <c r="D28" s="8">
        <v>7.03</v>
      </c>
      <c r="E28" s="12">
        <v>6</v>
      </c>
      <c r="F28" s="8">
        <v>8.2200000000000006</v>
      </c>
      <c r="G28" s="12">
        <v>3</v>
      </c>
      <c r="H28" s="8">
        <v>6.12</v>
      </c>
      <c r="I28" s="12">
        <v>0</v>
      </c>
    </row>
    <row r="29" spans="2:9" ht="15" customHeight="1" x14ac:dyDescent="0.2">
      <c r="B29" t="s">
        <v>232</v>
      </c>
      <c r="C29" s="12">
        <v>5</v>
      </c>
      <c r="D29" s="8">
        <v>3.91</v>
      </c>
      <c r="E29" s="12">
        <v>0</v>
      </c>
      <c r="F29" s="8">
        <v>0</v>
      </c>
      <c r="G29" s="12">
        <v>4</v>
      </c>
      <c r="H29" s="8">
        <v>8.16</v>
      </c>
      <c r="I29" s="12">
        <v>0</v>
      </c>
    </row>
    <row r="30" spans="2:9" ht="15" customHeight="1" x14ac:dyDescent="0.2">
      <c r="B30" t="s">
        <v>213</v>
      </c>
      <c r="C30" s="12">
        <v>4</v>
      </c>
      <c r="D30" s="8">
        <v>3.13</v>
      </c>
      <c r="E30" s="12">
        <v>0</v>
      </c>
      <c r="F30" s="8">
        <v>0</v>
      </c>
      <c r="G30" s="12">
        <v>4</v>
      </c>
      <c r="H30" s="8">
        <v>8.16</v>
      </c>
      <c r="I30" s="12">
        <v>0</v>
      </c>
    </row>
    <row r="31" spans="2:9" ht="15" customHeight="1" x14ac:dyDescent="0.2">
      <c r="B31" t="s">
        <v>214</v>
      </c>
      <c r="C31" s="12">
        <v>4</v>
      </c>
      <c r="D31" s="8">
        <v>3.13</v>
      </c>
      <c r="E31" s="12">
        <v>3</v>
      </c>
      <c r="F31" s="8">
        <v>4.1100000000000003</v>
      </c>
      <c r="G31" s="12">
        <v>1</v>
      </c>
      <c r="H31" s="8">
        <v>2.04</v>
      </c>
      <c r="I31" s="12">
        <v>0</v>
      </c>
    </row>
    <row r="32" spans="2:9" ht="15" customHeight="1" x14ac:dyDescent="0.2">
      <c r="B32" t="s">
        <v>241</v>
      </c>
      <c r="C32" s="12">
        <v>4</v>
      </c>
      <c r="D32" s="8">
        <v>3.13</v>
      </c>
      <c r="E32" s="12">
        <v>1</v>
      </c>
      <c r="F32" s="8">
        <v>1.37</v>
      </c>
      <c r="G32" s="12">
        <v>3</v>
      </c>
      <c r="H32" s="8">
        <v>6.12</v>
      </c>
      <c r="I32" s="12">
        <v>0</v>
      </c>
    </row>
    <row r="33" spans="2:9" ht="15" customHeight="1" x14ac:dyDescent="0.2">
      <c r="B33" t="s">
        <v>222</v>
      </c>
      <c r="C33" s="12">
        <v>4</v>
      </c>
      <c r="D33" s="8">
        <v>3.13</v>
      </c>
      <c r="E33" s="12">
        <v>2</v>
      </c>
      <c r="F33" s="8">
        <v>2.74</v>
      </c>
      <c r="G33" s="12">
        <v>2</v>
      </c>
      <c r="H33" s="8">
        <v>4.08</v>
      </c>
      <c r="I33" s="12">
        <v>0</v>
      </c>
    </row>
    <row r="34" spans="2:9" ht="15" customHeight="1" x14ac:dyDescent="0.2">
      <c r="B34" t="s">
        <v>230</v>
      </c>
      <c r="C34" s="12">
        <v>4</v>
      </c>
      <c r="D34" s="8">
        <v>3.13</v>
      </c>
      <c r="E34" s="12">
        <v>2</v>
      </c>
      <c r="F34" s="8">
        <v>2.74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231</v>
      </c>
      <c r="C35" s="12">
        <v>4</v>
      </c>
      <c r="D35" s="8">
        <v>3.13</v>
      </c>
      <c r="E35" s="12">
        <v>4</v>
      </c>
      <c r="F35" s="8">
        <v>5.48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254</v>
      </c>
      <c r="C36" s="12">
        <v>3</v>
      </c>
      <c r="D36" s="8">
        <v>2.34</v>
      </c>
      <c r="E36" s="12">
        <v>0</v>
      </c>
      <c r="F36" s="8">
        <v>0</v>
      </c>
      <c r="G36" s="12">
        <v>3</v>
      </c>
      <c r="H36" s="8">
        <v>6.12</v>
      </c>
      <c r="I36" s="12">
        <v>0</v>
      </c>
    </row>
    <row r="37" spans="2:9" ht="15" customHeight="1" x14ac:dyDescent="0.2">
      <c r="B37" t="s">
        <v>234</v>
      </c>
      <c r="C37" s="12">
        <v>3</v>
      </c>
      <c r="D37" s="8">
        <v>2.34</v>
      </c>
      <c r="E37" s="12">
        <v>0</v>
      </c>
      <c r="F37" s="8">
        <v>0</v>
      </c>
      <c r="G37" s="12">
        <v>3</v>
      </c>
      <c r="H37" s="8">
        <v>6.12</v>
      </c>
      <c r="I37" s="12">
        <v>0</v>
      </c>
    </row>
    <row r="38" spans="2:9" ht="15" customHeight="1" x14ac:dyDescent="0.2">
      <c r="B38" t="s">
        <v>215</v>
      </c>
      <c r="C38" s="12">
        <v>2</v>
      </c>
      <c r="D38" s="8">
        <v>1.56</v>
      </c>
      <c r="E38" s="12">
        <v>1</v>
      </c>
      <c r="F38" s="8">
        <v>1.37</v>
      </c>
      <c r="G38" s="12">
        <v>1</v>
      </c>
      <c r="H38" s="8">
        <v>2.04</v>
      </c>
      <c r="I38" s="12">
        <v>0</v>
      </c>
    </row>
    <row r="39" spans="2:9" ht="15" customHeight="1" x14ac:dyDescent="0.2">
      <c r="B39" t="s">
        <v>262</v>
      </c>
      <c r="C39" s="12">
        <v>2</v>
      </c>
      <c r="D39" s="8">
        <v>1.56</v>
      </c>
      <c r="E39" s="12">
        <v>0</v>
      </c>
      <c r="F39" s="8">
        <v>0</v>
      </c>
      <c r="G39" s="12">
        <v>2</v>
      </c>
      <c r="H39" s="8">
        <v>4.08</v>
      </c>
      <c r="I39" s="12">
        <v>0</v>
      </c>
    </row>
    <row r="40" spans="2:9" ht="15" customHeight="1" x14ac:dyDescent="0.2">
      <c r="B40" t="s">
        <v>244</v>
      </c>
      <c r="C40" s="12">
        <v>2</v>
      </c>
      <c r="D40" s="8">
        <v>1.56</v>
      </c>
      <c r="E40" s="12">
        <v>0</v>
      </c>
      <c r="F40" s="8">
        <v>0</v>
      </c>
      <c r="G40" s="12">
        <v>2</v>
      </c>
      <c r="H40" s="8">
        <v>4.08</v>
      </c>
      <c r="I40" s="12">
        <v>0</v>
      </c>
    </row>
    <row r="41" spans="2:9" ht="15" customHeight="1" x14ac:dyDescent="0.2">
      <c r="B41" t="s">
        <v>258</v>
      </c>
      <c r="C41" s="12">
        <v>2</v>
      </c>
      <c r="D41" s="8">
        <v>1.56</v>
      </c>
      <c r="E41" s="12">
        <v>2</v>
      </c>
      <c r="F41" s="8">
        <v>2.74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219</v>
      </c>
      <c r="C42" s="12">
        <v>2</v>
      </c>
      <c r="D42" s="8">
        <v>1.56</v>
      </c>
      <c r="E42" s="12">
        <v>1</v>
      </c>
      <c r="F42" s="8">
        <v>1.37</v>
      </c>
      <c r="G42" s="12">
        <v>1</v>
      </c>
      <c r="H42" s="8">
        <v>2.04</v>
      </c>
      <c r="I42" s="12">
        <v>0</v>
      </c>
    </row>
    <row r="43" spans="2:9" ht="15" customHeight="1" x14ac:dyDescent="0.2">
      <c r="B43" t="s">
        <v>220</v>
      </c>
      <c r="C43" s="12">
        <v>2</v>
      </c>
      <c r="D43" s="8">
        <v>1.56</v>
      </c>
      <c r="E43" s="12">
        <v>2</v>
      </c>
      <c r="F43" s="8">
        <v>2.74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224</v>
      </c>
      <c r="C44" s="12">
        <v>2</v>
      </c>
      <c r="D44" s="8">
        <v>1.56</v>
      </c>
      <c r="E44" s="12">
        <v>2</v>
      </c>
      <c r="F44" s="8">
        <v>2.74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246</v>
      </c>
      <c r="C45" s="12">
        <v>2</v>
      </c>
      <c r="D45" s="8">
        <v>1.56</v>
      </c>
      <c r="E45" s="12">
        <v>1</v>
      </c>
      <c r="F45" s="8">
        <v>1.37</v>
      </c>
      <c r="G45" s="12">
        <v>1</v>
      </c>
      <c r="H45" s="8">
        <v>2.04</v>
      </c>
      <c r="I45" s="12">
        <v>0</v>
      </c>
    </row>
    <row r="46" spans="2:9" ht="15" customHeight="1" x14ac:dyDescent="0.2">
      <c r="B46" t="s">
        <v>225</v>
      </c>
      <c r="C46" s="12">
        <v>2</v>
      </c>
      <c r="D46" s="8">
        <v>1.56</v>
      </c>
      <c r="E46" s="12">
        <v>1</v>
      </c>
      <c r="F46" s="8">
        <v>1.37</v>
      </c>
      <c r="G46" s="12">
        <v>0</v>
      </c>
      <c r="H46" s="8">
        <v>0</v>
      </c>
      <c r="I46" s="12">
        <v>1</v>
      </c>
    </row>
    <row r="47" spans="2:9" ht="15" customHeight="1" x14ac:dyDescent="0.2">
      <c r="B47" t="s">
        <v>226</v>
      </c>
      <c r="C47" s="12">
        <v>2</v>
      </c>
      <c r="D47" s="8">
        <v>1.56</v>
      </c>
      <c r="E47" s="12">
        <v>1</v>
      </c>
      <c r="F47" s="8">
        <v>1.37</v>
      </c>
      <c r="G47" s="12">
        <v>1</v>
      </c>
      <c r="H47" s="8">
        <v>2.04</v>
      </c>
      <c r="I47" s="12">
        <v>0</v>
      </c>
    </row>
    <row r="48" spans="2:9" ht="15" customHeight="1" x14ac:dyDescent="0.2">
      <c r="B48" t="s">
        <v>249</v>
      </c>
      <c r="C48" s="12">
        <v>2</v>
      </c>
      <c r="D48" s="8">
        <v>1.56</v>
      </c>
      <c r="E48" s="12">
        <v>0</v>
      </c>
      <c r="F48" s="8">
        <v>0</v>
      </c>
      <c r="G48" s="12">
        <v>2</v>
      </c>
      <c r="H48" s="8">
        <v>4.08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339</v>
      </c>
      <c r="C52" s="12">
        <v>8</v>
      </c>
      <c r="D52" s="8">
        <v>6.25</v>
      </c>
      <c r="E52" s="12">
        <v>5</v>
      </c>
      <c r="F52" s="8">
        <v>6.85</v>
      </c>
      <c r="G52" s="12">
        <v>3</v>
      </c>
      <c r="H52" s="8">
        <v>6.12</v>
      </c>
      <c r="I52" s="12">
        <v>0</v>
      </c>
    </row>
    <row r="53" spans="2:9" ht="15" customHeight="1" x14ac:dyDescent="0.2">
      <c r="B53" t="s">
        <v>299</v>
      </c>
      <c r="C53" s="12">
        <v>6</v>
      </c>
      <c r="D53" s="8">
        <v>4.6900000000000004</v>
      </c>
      <c r="E53" s="12">
        <v>4</v>
      </c>
      <c r="F53" s="8">
        <v>5.48</v>
      </c>
      <c r="G53" s="12">
        <v>2</v>
      </c>
      <c r="H53" s="8">
        <v>4.08</v>
      </c>
      <c r="I53" s="12">
        <v>0</v>
      </c>
    </row>
    <row r="54" spans="2:9" ht="15" customHeight="1" x14ac:dyDescent="0.2">
      <c r="B54" t="s">
        <v>304</v>
      </c>
      <c r="C54" s="12">
        <v>6</v>
      </c>
      <c r="D54" s="8">
        <v>4.6900000000000004</v>
      </c>
      <c r="E54" s="12">
        <v>6</v>
      </c>
      <c r="F54" s="8">
        <v>8.2200000000000006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295</v>
      </c>
      <c r="C55" s="12">
        <v>5</v>
      </c>
      <c r="D55" s="8">
        <v>3.91</v>
      </c>
      <c r="E55" s="12">
        <v>4</v>
      </c>
      <c r="F55" s="8">
        <v>5.48</v>
      </c>
      <c r="G55" s="12">
        <v>1</v>
      </c>
      <c r="H55" s="8">
        <v>2.04</v>
      </c>
      <c r="I55" s="12">
        <v>0</v>
      </c>
    </row>
    <row r="56" spans="2:9" ht="15" customHeight="1" x14ac:dyDescent="0.2">
      <c r="B56" t="s">
        <v>301</v>
      </c>
      <c r="C56" s="12">
        <v>5</v>
      </c>
      <c r="D56" s="8">
        <v>3.91</v>
      </c>
      <c r="E56" s="12">
        <v>5</v>
      </c>
      <c r="F56" s="8">
        <v>6.85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303</v>
      </c>
      <c r="C57" s="12">
        <v>4</v>
      </c>
      <c r="D57" s="8">
        <v>3.13</v>
      </c>
      <c r="E57" s="12">
        <v>4</v>
      </c>
      <c r="F57" s="8">
        <v>5.48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331</v>
      </c>
      <c r="C58" s="12">
        <v>4</v>
      </c>
      <c r="D58" s="8">
        <v>3.13</v>
      </c>
      <c r="E58" s="12">
        <v>0</v>
      </c>
      <c r="F58" s="8">
        <v>0</v>
      </c>
      <c r="G58" s="12">
        <v>4</v>
      </c>
      <c r="H58" s="8">
        <v>8.16</v>
      </c>
      <c r="I58" s="12">
        <v>0</v>
      </c>
    </row>
    <row r="59" spans="2:9" ht="15" customHeight="1" x14ac:dyDescent="0.2">
      <c r="B59" t="s">
        <v>351</v>
      </c>
      <c r="C59" s="12">
        <v>3</v>
      </c>
      <c r="D59" s="8">
        <v>2.34</v>
      </c>
      <c r="E59" s="12">
        <v>0</v>
      </c>
      <c r="F59" s="8">
        <v>0</v>
      </c>
      <c r="G59" s="12">
        <v>3</v>
      </c>
      <c r="H59" s="8">
        <v>6.12</v>
      </c>
      <c r="I59" s="12">
        <v>0</v>
      </c>
    </row>
    <row r="60" spans="2:9" ht="15" customHeight="1" x14ac:dyDescent="0.2">
      <c r="B60" t="s">
        <v>329</v>
      </c>
      <c r="C60" s="12">
        <v>3</v>
      </c>
      <c r="D60" s="8">
        <v>2.34</v>
      </c>
      <c r="E60" s="12">
        <v>3</v>
      </c>
      <c r="F60" s="8">
        <v>4.1100000000000003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292</v>
      </c>
      <c r="C61" s="12">
        <v>3</v>
      </c>
      <c r="D61" s="8">
        <v>2.34</v>
      </c>
      <c r="E61" s="12">
        <v>2</v>
      </c>
      <c r="F61" s="8">
        <v>2.74</v>
      </c>
      <c r="G61" s="12">
        <v>1</v>
      </c>
      <c r="H61" s="8">
        <v>2.04</v>
      </c>
      <c r="I61" s="12">
        <v>0</v>
      </c>
    </row>
    <row r="62" spans="2:9" ht="15" customHeight="1" x14ac:dyDescent="0.2">
      <c r="B62" t="s">
        <v>335</v>
      </c>
      <c r="C62" s="12">
        <v>3</v>
      </c>
      <c r="D62" s="8">
        <v>2.34</v>
      </c>
      <c r="E62" s="12">
        <v>1</v>
      </c>
      <c r="F62" s="8">
        <v>1.37</v>
      </c>
      <c r="G62" s="12">
        <v>2</v>
      </c>
      <c r="H62" s="8">
        <v>4.08</v>
      </c>
      <c r="I62" s="12">
        <v>0</v>
      </c>
    </row>
    <row r="63" spans="2:9" ht="15" customHeight="1" x14ac:dyDescent="0.2">
      <c r="B63" t="s">
        <v>330</v>
      </c>
      <c r="C63" s="12">
        <v>3</v>
      </c>
      <c r="D63" s="8">
        <v>2.34</v>
      </c>
      <c r="E63" s="12">
        <v>0</v>
      </c>
      <c r="F63" s="8">
        <v>0</v>
      </c>
      <c r="G63" s="12">
        <v>3</v>
      </c>
      <c r="H63" s="8">
        <v>6.12</v>
      </c>
      <c r="I63" s="12">
        <v>0</v>
      </c>
    </row>
    <row r="64" spans="2:9" ht="15" customHeight="1" x14ac:dyDescent="0.2">
      <c r="B64" t="s">
        <v>334</v>
      </c>
      <c r="C64" s="12">
        <v>3</v>
      </c>
      <c r="D64" s="8">
        <v>2.34</v>
      </c>
      <c r="E64" s="12">
        <v>3</v>
      </c>
      <c r="F64" s="8">
        <v>4.1100000000000003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302</v>
      </c>
      <c r="C65" s="12">
        <v>3</v>
      </c>
      <c r="D65" s="8">
        <v>2.34</v>
      </c>
      <c r="E65" s="12">
        <v>3</v>
      </c>
      <c r="F65" s="8">
        <v>4.1100000000000003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290</v>
      </c>
      <c r="C66" s="12">
        <v>2</v>
      </c>
      <c r="D66" s="8">
        <v>1.56</v>
      </c>
      <c r="E66" s="12">
        <v>1</v>
      </c>
      <c r="F66" s="8">
        <v>1.37</v>
      </c>
      <c r="G66" s="12">
        <v>1</v>
      </c>
      <c r="H66" s="8">
        <v>2.04</v>
      </c>
      <c r="I66" s="12">
        <v>0</v>
      </c>
    </row>
    <row r="67" spans="2:9" ht="15" customHeight="1" x14ac:dyDescent="0.2">
      <c r="B67" t="s">
        <v>384</v>
      </c>
      <c r="C67" s="12">
        <v>2</v>
      </c>
      <c r="D67" s="8">
        <v>1.56</v>
      </c>
      <c r="E67" s="12">
        <v>0</v>
      </c>
      <c r="F67" s="8">
        <v>0</v>
      </c>
      <c r="G67" s="12">
        <v>2</v>
      </c>
      <c r="H67" s="8">
        <v>4.08</v>
      </c>
      <c r="I67" s="12">
        <v>0</v>
      </c>
    </row>
    <row r="68" spans="2:9" ht="15" customHeight="1" x14ac:dyDescent="0.2">
      <c r="B68" t="s">
        <v>381</v>
      </c>
      <c r="C68" s="12">
        <v>2</v>
      </c>
      <c r="D68" s="8">
        <v>1.56</v>
      </c>
      <c r="E68" s="12">
        <v>2</v>
      </c>
      <c r="F68" s="8">
        <v>2.74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385</v>
      </c>
      <c r="C69" s="12">
        <v>2</v>
      </c>
      <c r="D69" s="8">
        <v>1.56</v>
      </c>
      <c r="E69" s="12">
        <v>0</v>
      </c>
      <c r="F69" s="8">
        <v>0</v>
      </c>
      <c r="G69" s="12">
        <v>2</v>
      </c>
      <c r="H69" s="8">
        <v>4.08</v>
      </c>
      <c r="I69" s="12">
        <v>0</v>
      </c>
    </row>
    <row r="70" spans="2:9" ht="15" customHeight="1" x14ac:dyDescent="0.2">
      <c r="B70" t="s">
        <v>337</v>
      </c>
      <c r="C70" s="12">
        <v>2</v>
      </c>
      <c r="D70" s="8">
        <v>1.56</v>
      </c>
      <c r="E70" s="12">
        <v>1</v>
      </c>
      <c r="F70" s="8">
        <v>1.37</v>
      </c>
      <c r="G70" s="12">
        <v>1</v>
      </c>
      <c r="H70" s="8">
        <v>2.04</v>
      </c>
      <c r="I70" s="12">
        <v>0</v>
      </c>
    </row>
    <row r="71" spans="2:9" ht="15" customHeight="1" x14ac:dyDescent="0.2">
      <c r="B71" t="s">
        <v>297</v>
      </c>
      <c r="C71" s="12">
        <v>2</v>
      </c>
      <c r="D71" s="8">
        <v>1.56</v>
      </c>
      <c r="E71" s="12">
        <v>2</v>
      </c>
      <c r="F71" s="8">
        <v>2.74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396</v>
      </c>
      <c r="C72" s="12">
        <v>2</v>
      </c>
      <c r="D72" s="8">
        <v>1.56</v>
      </c>
      <c r="E72" s="12">
        <v>1</v>
      </c>
      <c r="F72" s="8">
        <v>1.37</v>
      </c>
      <c r="G72" s="12">
        <v>1</v>
      </c>
      <c r="H72" s="8">
        <v>2.04</v>
      </c>
      <c r="I72" s="12">
        <v>0</v>
      </c>
    </row>
    <row r="73" spans="2:9" ht="15" customHeight="1" x14ac:dyDescent="0.2">
      <c r="B73" t="s">
        <v>409</v>
      </c>
      <c r="C73" s="12">
        <v>2</v>
      </c>
      <c r="D73" s="8">
        <v>1.56</v>
      </c>
      <c r="E73" s="12">
        <v>1</v>
      </c>
      <c r="F73" s="8">
        <v>1.37</v>
      </c>
      <c r="G73" s="12">
        <v>1</v>
      </c>
      <c r="H73" s="8">
        <v>2.04</v>
      </c>
      <c r="I73" s="12">
        <v>0</v>
      </c>
    </row>
    <row r="74" spans="2:9" ht="15" customHeight="1" x14ac:dyDescent="0.2">
      <c r="B74" t="s">
        <v>340</v>
      </c>
      <c r="C74" s="12">
        <v>2</v>
      </c>
      <c r="D74" s="8">
        <v>1.56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312</v>
      </c>
      <c r="C75" s="12">
        <v>2</v>
      </c>
      <c r="D75" s="8">
        <v>1.56</v>
      </c>
      <c r="E75" s="12">
        <v>2</v>
      </c>
      <c r="F75" s="8">
        <v>2.74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306</v>
      </c>
      <c r="C76" s="12">
        <v>2</v>
      </c>
      <c r="D76" s="8">
        <v>1.56</v>
      </c>
      <c r="E76" s="12">
        <v>2</v>
      </c>
      <c r="F76" s="8">
        <v>2.74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318</v>
      </c>
      <c r="C77" s="12">
        <v>2</v>
      </c>
      <c r="D77" s="8">
        <v>1.56</v>
      </c>
      <c r="E77" s="12">
        <v>0</v>
      </c>
      <c r="F77" s="8">
        <v>0</v>
      </c>
      <c r="G77" s="12">
        <v>2</v>
      </c>
      <c r="H77" s="8">
        <v>4.08</v>
      </c>
      <c r="I77" s="12">
        <v>0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A74E7-4E22-4A22-9350-BCE011A76E55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15</v>
      </c>
      <c r="D6" s="8">
        <v>9.68</v>
      </c>
      <c r="E6" s="12">
        <v>1</v>
      </c>
      <c r="F6" s="8">
        <v>1.22</v>
      </c>
      <c r="G6" s="12">
        <v>14</v>
      </c>
      <c r="H6" s="8">
        <v>20.59</v>
      </c>
      <c r="I6" s="12">
        <v>0</v>
      </c>
    </row>
    <row r="7" spans="2:9" ht="15" customHeight="1" x14ac:dyDescent="0.2">
      <c r="B7" t="s">
        <v>192</v>
      </c>
      <c r="C7" s="12">
        <v>36</v>
      </c>
      <c r="D7" s="8">
        <v>23.23</v>
      </c>
      <c r="E7" s="12">
        <v>19</v>
      </c>
      <c r="F7" s="8">
        <v>23.17</v>
      </c>
      <c r="G7" s="12">
        <v>17</v>
      </c>
      <c r="H7" s="8">
        <v>25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1.29</v>
      </c>
      <c r="E9" s="12">
        <v>0</v>
      </c>
      <c r="F9" s="8">
        <v>0</v>
      </c>
      <c r="G9" s="12">
        <v>2</v>
      </c>
      <c r="H9" s="8">
        <v>2.94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44</v>
      </c>
      <c r="D11" s="8">
        <v>28.39</v>
      </c>
      <c r="E11" s="12">
        <v>25</v>
      </c>
      <c r="F11" s="8">
        <v>30.49</v>
      </c>
      <c r="G11" s="12">
        <v>19</v>
      </c>
      <c r="H11" s="8">
        <v>27.94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1.94</v>
      </c>
      <c r="E13" s="12">
        <v>1</v>
      </c>
      <c r="F13" s="8">
        <v>1.22</v>
      </c>
      <c r="G13" s="12">
        <v>2</v>
      </c>
      <c r="H13" s="8">
        <v>2.94</v>
      </c>
      <c r="I13" s="12">
        <v>0</v>
      </c>
    </row>
    <row r="14" spans="2:9" ht="15" customHeight="1" x14ac:dyDescent="0.2">
      <c r="B14" t="s">
        <v>199</v>
      </c>
      <c r="C14" s="12">
        <v>6</v>
      </c>
      <c r="D14" s="8">
        <v>3.87</v>
      </c>
      <c r="E14" s="12">
        <v>4</v>
      </c>
      <c r="F14" s="8">
        <v>4.88</v>
      </c>
      <c r="G14" s="12">
        <v>2</v>
      </c>
      <c r="H14" s="8">
        <v>2.94</v>
      </c>
      <c r="I14" s="12">
        <v>0</v>
      </c>
    </row>
    <row r="15" spans="2:9" ht="15" customHeight="1" x14ac:dyDescent="0.2">
      <c r="B15" t="s">
        <v>200</v>
      </c>
      <c r="C15" s="12">
        <v>20</v>
      </c>
      <c r="D15" s="8">
        <v>12.9</v>
      </c>
      <c r="E15" s="12">
        <v>13</v>
      </c>
      <c r="F15" s="8">
        <v>15.85</v>
      </c>
      <c r="G15" s="12">
        <v>7</v>
      </c>
      <c r="H15" s="8">
        <v>10.29</v>
      </c>
      <c r="I15" s="12">
        <v>0</v>
      </c>
    </row>
    <row r="16" spans="2:9" ht="15" customHeight="1" x14ac:dyDescent="0.2">
      <c r="B16" t="s">
        <v>201</v>
      </c>
      <c r="C16" s="12">
        <v>13</v>
      </c>
      <c r="D16" s="8">
        <v>8.39</v>
      </c>
      <c r="E16" s="12">
        <v>11</v>
      </c>
      <c r="F16" s="8">
        <v>13.41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1.94</v>
      </c>
      <c r="E17" s="12">
        <v>3</v>
      </c>
      <c r="F17" s="8">
        <v>3.66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3.87</v>
      </c>
      <c r="E18" s="12">
        <v>3</v>
      </c>
      <c r="F18" s="8">
        <v>3.66</v>
      </c>
      <c r="G18" s="12">
        <v>3</v>
      </c>
      <c r="H18" s="8">
        <v>4.41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4.5199999999999996</v>
      </c>
      <c r="E19" s="12">
        <v>2</v>
      </c>
      <c r="F19" s="8">
        <v>2.44</v>
      </c>
      <c r="G19" s="12">
        <v>2</v>
      </c>
      <c r="H19" s="8">
        <v>2.94</v>
      </c>
      <c r="I19" s="12">
        <v>1</v>
      </c>
    </row>
    <row r="20" spans="2:9" ht="15" customHeight="1" x14ac:dyDescent="0.2">
      <c r="B20" s="9" t="s">
        <v>529</v>
      </c>
      <c r="C20" s="12">
        <f>SUM(LTBL_01458[総数／事業所数])</f>
        <v>155</v>
      </c>
      <c r="E20" s="12">
        <f>SUBTOTAL(109,LTBL_01458[個人／事業所数])</f>
        <v>82</v>
      </c>
      <c r="G20" s="12">
        <f>SUBTOTAL(109,LTBL_01458[法人／事業所数])</f>
        <v>68</v>
      </c>
      <c r="I20" s="12">
        <f>SUBTOTAL(109,LTBL_01458[法人以外の団体／事業所数])</f>
        <v>1</v>
      </c>
    </row>
    <row r="21" spans="2:9" ht="15" customHeight="1" x14ac:dyDescent="0.2">
      <c r="E21" s="11">
        <f>LTBL_01458[[#Totals],[個人／事業所数]]/LTBL_01458[[#Totals],[総数／事業所数]]</f>
        <v>0.52903225806451615</v>
      </c>
      <c r="G21" s="11">
        <f>LTBL_01458[[#Totals],[法人／事業所数]]/LTBL_01458[[#Totals],[総数／事業所数]]</f>
        <v>0.43870967741935485</v>
      </c>
      <c r="I21" s="11">
        <f>LTBL_01458[[#Totals],[法人以外の団体／事業所数]]/LTBL_01458[[#Totals],[総数／事業所数]]</f>
        <v>6.4516129032258064E-3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258</v>
      </c>
      <c r="C24" s="12">
        <v>16</v>
      </c>
      <c r="D24" s="8">
        <v>10.32</v>
      </c>
      <c r="E24" s="12">
        <v>8</v>
      </c>
      <c r="F24" s="8">
        <v>9.76</v>
      </c>
      <c r="G24" s="12">
        <v>8</v>
      </c>
      <c r="H24" s="8">
        <v>11.76</v>
      </c>
      <c r="I24" s="12">
        <v>0</v>
      </c>
    </row>
    <row r="25" spans="2:9" ht="15" customHeight="1" x14ac:dyDescent="0.2">
      <c r="B25" t="s">
        <v>227</v>
      </c>
      <c r="C25" s="12">
        <v>14</v>
      </c>
      <c r="D25" s="8">
        <v>9.0299999999999994</v>
      </c>
      <c r="E25" s="12">
        <v>11</v>
      </c>
      <c r="F25" s="8">
        <v>13.41</v>
      </c>
      <c r="G25" s="12">
        <v>3</v>
      </c>
      <c r="H25" s="8">
        <v>4.41</v>
      </c>
      <c r="I25" s="12">
        <v>0</v>
      </c>
    </row>
    <row r="26" spans="2:9" ht="15" customHeight="1" x14ac:dyDescent="0.2">
      <c r="B26" t="s">
        <v>221</v>
      </c>
      <c r="C26" s="12">
        <v>11</v>
      </c>
      <c r="D26" s="8">
        <v>7.1</v>
      </c>
      <c r="E26" s="12">
        <v>8</v>
      </c>
      <c r="F26" s="8">
        <v>9.76</v>
      </c>
      <c r="G26" s="12">
        <v>3</v>
      </c>
      <c r="H26" s="8">
        <v>4.41</v>
      </c>
      <c r="I26" s="12">
        <v>0</v>
      </c>
    </row>
    <row r="27" spans="2:9" ht="15" customHeight="1" x14ac:dyDescent="0.2">
      <c r="B27" t="s">
        <v>223</v>
      </c>
      <c r="C27" s="12">
        <v>11</v>
      </c>
      <c r="D27" s="8">
        <v>7.1</v>
      </c>
      <c r="E27" s="12">
        <v>9</v>
      </c>
      <c r="F27" s="8">
        <v>10.98</v>
      </c>
      <c r="G27" s="12">
        <v>2</v>
      </c>
      <c r="H27" s="8">
        <v>2.94</v>
      </c>
      <c r="I27" s="12">
        <v>0</v>
      </c>
    </row>
    <row r="28" spans="2:9" ht="15" customHeight="1" x14ac:dyDescent="0.2">
      <c r="B28" t="s">
        <v>228</v>
      </c>
      <c r="C28" s="12">
        <v>9</v>
      </c>
      <c r="D28" s="8">
        <v>5.81</v>
      </c>
      <c r="E28" s="12">
        <v>9</v>
      </c>
      <c r="F28" s="8">
        <v>10.98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213</v>
      </c>
      <c r="C29" s="12">
        <v>8</v>
      </c>
      <c r="D29" s="8">
        <v>5.16</v>
      </c>
      <c r="E29" s="12">
        <v>0</v>
      </c>
      <c r="F29" s="8">
        <v>0</v>
      </c>
      <c r="G29" s="12">
        <v>8</v>
      </c>
      <c r="H29" s="8">
        <v>11.76</v>
      </c>
      <c r="I29" s="12">
        <v>0</v>
      </c>
    </row>
    <row r="30" spans="2:9" ht="15" customHeight="1" x14ac:dyDescent="0.2">
      <c r="B30" t="s">
        <v>220</v>
      </c>
      <c r="C30" s="12">
        <v>6</v>
      </c>
      <c r="D30" s="8">
        <v>3.87</v>
      </c>
      <c r="E30" s="12">
        <v>5</v>
      </c>
      <c r="F30" s="8">
        <v>6.1</v>
      </c>
      <c r="G30" s="12">
        <v>1</v>
      </c>
      <c r="H30" s="8">
        <v>1.47</v>
      </c>
      <c r="I30" s="12">
        <v>0</v>
      </c>
    </row>
    <row r="31" spans="2:9" ht="15" customHeight="1" x14ac:dyDescent="0.2">
      <c r="B31" t="s">
        <v>244</v>
      </c>
      <c r="C31" s="12">
        <v>5</v>
      </c>
      <c r="D31" s="8">
        <v>3.23</v>
      </c>
      <c r="E31" s="12">
        <v>2</v>
      </c>
      <c r="F31" s="8">
        <v>2.44</v>
      </c>
      <c r="G31" s="12">
        <v>3</v>
      </c>
      <c r="H31" s="8">
        <v>4.41</v>
      </c>
      <c r="I31" s="12">
        <v>0</v>
      </c>
    </row>
    <row r="32" spans="2:9" ht="15" customHeight="1" x14ac:dyDescent="0.2">
      <c r="B32" t="s">
        <v>236</v>
      </c>
      <c r="C32" s="12">
        <v>5</v>
      </c>
      <c r="D32" s="8">
        <v>3.23</v>
      </c>
      <c r="E32" s="12">
        <v>2</v>
      </c>
      <c r="F32" s="8">
        <v>2.44</v>
      </c>
      <c r="G32" s="12">
        <v>3</v>
      </c>
      <c r="H32" s="8">
        <v>4.41</v>
      </c>
      <c r="I32" s="12">
        <v>0</v>
      </c>
    </row>
    <row r="33" spans="2:9" ht="15" customHeight="1" x14ac:dyDescent="0.2">
      <c r="B33" t="s">
        <v>215</v>
      </c>
      <c r="C33" s="12">
        <v>4</v>
      </c>
      <c r="D33" s="8">
        <v>2.58</v>
      </c>
      <c r="E33" s="12">
        <v>0</v>
      </c>
      <c r="F33" s="8">
        <v>0</v>
      </c>
      <c r="G33" s="12">
        <v>4</v>
      </c>
      <c r="H33" s="8">
        <v>5.88</v>
      </c>
      <c r="I33" s="12">
        <v>0</v>
      </c>
    </row>
    <row r="34" spans="2:9" ht="15" customHeight="1" x14ac:dyDescent="0.2">
      <c r="B34" t="s">
        <v>241</v>
      </c>
      <c r="C34" s="12">
        <v>4</v>
      </c>
      <c r="D34" s="8">
        <v>2.58</v>
      </c>
      <c r="E34" s="12">
        <v>4</v>
      </c>
      <c r="F34" s="8">
        <v>4.88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253</v>
      </c>
      <c r="C35" s="12">
        <v>4</v>
      </c>
      <c r="D35" s="8">
        <v>2.58</v>
      </c>
      <c r="E35" s="12">
        <v>2</v>
      </c>
      <c r="F35" s="8">
        <v>2.44</v>
      </c>
      <c r="G35" s="12">
        <v>2</v>
      </c>
      <c r="H35" s="8">
        <v>2.94</v>
      </c>
      <c r="I35" s="12">
        <v>0</v>
      </c>
    </row>
    <row r="36" spans="2:9" ht="15" customHeight="1" x14ac:dyDescent="0.2">
      <c r="B36" t="s">
        <v>225</v>
      </c>
      <c r="C36" s="12">
        <v>4</v>
      </c>
      <c r="D36" s="8">
        <v>2.58</v>
      </c>
      <c r="E36" s="12">
        <v>3</v>
      </c>
      <c r="F36" s="8">
        <v>3.66</v>
      </c>
      <c r="G36" s="12">
        <v>1</v>
      </c>
      <c r="H36" s="8">
        <v>1.47</v>
      </c>
      <c r="I36" s="12">
        <v>0</v>
      </c>
    </row>
    <row r="37" spans="2:9" ht="15" customHeight="1" x14ac:dyDescent="0.2">
      <c r="B37" t="s">
        <v>243</v>
      </c>
      <c r="C37" s="12">
        <v>4</v>
      </c>
      <c r="D37" s="8">
        <v>2.58</v>
      </c>
      <c r="E37" s="12">
        <v>2</v>
      </c>
      <c r="F37" s="8">
        <v>2.44</v>
      </c>
      <c r="G37" s="12">
        <v>2</v>
      </c>
      <c r="H37" s="8">
        <v>2.94</v>
      </c>
      <c r="I37" s="12">
        <v>0</v>
      </c>
    </row>
    <row r="38" spans="2:9" ht="15" customHeight="1" x14ac:dyDescent="0.2">
      <c r="B38" t="s">
        <v>214</v>
      </c>
      <c r="C38" s="12">
        <v>3</v>
      </c>
      <c r="D38" s="8">
        <v>1.94</v>
      </c>
      <c r="E38" s="12">
        <v>1</v>
      </c>
      <c r="F38" s="8">
        <v>1.22</v>
      </c>
      <c r="G38" s="12">
        <v>2</v>
      </c>
      <c r="H38" s="8">
        <v>2.94</v>
      </c>
      <c r="I38" s="12">
        <v>0</v>
      </c>
    </row>
    <row r="39" spans="2:9" ht="15" customHeight="1" x14ac:dyDescent="0.2">
      <c r="B39" t="s">
        <v>218</v>
      </c>
      <c r="C39" s="12">
        <v>3</v>
      </c>
      <c r="D39" s="8">
        <v>1.94</v>
      </c>
      <c r="E39" s="12">
        <v>0</v>
      </c>
      <c r="F39" s="8">
        <v>0</v>
      </c>
      <c r="G39" s="12">
        <v>3</v>
      </c>
      <c r="H39" s="8">
        <v>4.41</v>
      </c>
      <c r="I39" s="12">
        <v>0</v>
      </c>
    </row>
    <row r="40" spans="2:9" ht="15" customHeight="1" x14ac:dyDescent="0.2">
      <c r="B40" t="s">
        <v>219</v>
      </c>
      <c r="C40" s="12">
        <v>3</v>
      </c>
      <c r="D40" s="8">
        <v>1.94</v>
      </c>
      <c r="E40" s="12">
        <v>0</v>
      </c>
      <c r="F40" s="8">
        <v>0</v>
      </c>
      <c r="G40" s="12">
        <v>3</v>
      </c>
      <c r="H40" s="8">
        <v>4.41</v>
      </c>
      <c r="I40" s="12">
        <v>0</v>
      </c>
    </row>
    <row r="41" spans="2:9" ht="15" customHeight="1" x14ac:dyDescent="0.2">
      <c r="B41" t="s">
        <v>222</v>
      </c>
      <c r="C41" s="12">
        <v>3</v>
      </c>
      <c r="D41" s="8">
        <v>1.94</v>
      </c>
      <c r="E41" s="12">
        <v>1</v>
      </c>
      <c r="F41" s="8">
        <v>1.22</v>
      </c>
      <c r="G41" s="12">
        <v>2</v>
      </c>
      <c r="H41" s="8">
        <v>2.94</v>
      </c>
      <c r="I41" s="12">
        <v>0</v>
      </c>
    </row>
    <row r="42" spans="2:9" ht="15" customHeight="1" x14ac:dyDescent="0.2">
      <c r="B42" t="s">
        <v>230</v>
      </c>
      <c r="C42" s="12">
        <v>3</v>
      </c>
      <c r="D42" s="8">
        <v>1.94</v>
      </c>
      <c r="E42" s="12">
        <v>3</v>
      </c>
      <c r="F42" s="8">
        <v>3.66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231</v>
      </c>
      <c r="C43" s="12">
        <v>3</v>
      </c>
      <c r="D43" s="8">
        <v>1.94</v>
      </c>
      <c r="E43" s="12">
        <v>3</v>
      </c>
      <c r="F43" s="8">
        <v>3.66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232</v>
      </c>
      <c r="C44" s="12">
        <v>3</v>
      </c>
      <c r="D44" s="8">
        <v>1.94</v>
      </c>
      <c r="E44" s="12">
        <v>0</v>
      </c>
      <c r="F44" s="8">
        <v>0</v>
      </c>
      <c r="G44" s="12">
        <v>3</v>
      </c>
      <c r="H44" s="8">
        <v>4.41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359</v>
      </c>
      <c r="C48" s="12">
        <v>12</v>
      </c>
      <c r="D48" s="8">
        <v>7.74</v>
      </c>
      <c r="E48" s="12">
        <v>8</v>
      </c>
      <c r="F48" s="8">
        <v>9.76</v>
      </c>
      <c r="G48" s="12">
        <v>4</v>
      </c>
      <c r="H48" s="8">
        <v>5.88</v>
      </c>
      <c r="I48" s="12">
        <v>0</v>
      </c>
    </row>
    <row r="49" spans="2:9" ht="15" customHeight="1" x14ac:dyDescent="0.2">
      <c r="B49" t="s">
        <v>299</v>
      </c>
      <c r="C49" s="12">
        <v>7</v>
      </c>
      <c r="D49" s="8">
        <v>4.5199999999999996</v>
      </c>
      <c r="E49" s="12">
        <v>7</v>
      </c>
      <c r="F49" s="8">
        <v>8.5399999999999991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329</v>
      </c>
      <c r="C50" s="12">
        <v>6</v>
      </c>
      <c r="D50" s="8">
        <v>3.87</v>
      </c>
      <c r="E50" s="12">
        <v>5</v>
      </c>
      <c r="F50" s="8">
        <v>6.1</v>
      </c>
      <c r="G50" s="12">
        <v>1</v>
      </c>
      <c r="H50" s="8">
        <v>1.47</v>
      </c>
      <c r="I50" s="12">
        <v>0</v>
      </c>
    </row>
    <row r="51" spans="2:9" ht="15" customHeight="1" x14ac:dyDescent="0.2">
      <c r="B51" t="s">
        <v>304</v>
      </c>
      <c r="C51" s="12">
        <v>6</v>
      </c>
      <c r="D51" s="8">
        <v>3.87</v>
      </c>
      <c r="E51" s="12">
        <v>6</v>
      </c>
      <c r="F51" s="8">
        <v>7.32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344</v>
      </c>
      <c r="C52" s="12">
        <v>5</v>
      </c>
      <c r="D52" s="8">
        <v>3.23</v>
      </c>
      <c r="E52" s="12">
        <v>2</v>
      </c>
      <c r="F52" s="8">
        <v>2.44</v>
      </c>
      <c r="G52" s="12">
        <v>3</v>
      </c>
      <c r="H52" s="8">
        <v>4.41</v>
      </c>
      <c r="I52" s="12">
        <v>0</v>
      </c>
    </row>
    <row r="53" spans="2:9" ht="15" customHeight="1" x14ac:dyDescent="0.2">
      <c r="B53" t="s">
        <v>288</v>
      </c>
      <c r="C53" s="12">
        <v>4</v>
      </c>
      <c r="D53" s="8">
        <v>2.58</v>
      </c>
      <c r="E53" s="12">
        <v>0</v>
      </c>
      <c r="F53" s="8">
        <v>0</v>
      </c>
      <c r="G53" s="12">
        <v>4</v>
      </c>
      <c r="H53" s="8">
        <v>5.88</v>
      </c>
      <c r="I53" s="12">
        <v>0</v>
      </c>
    </row>
    <row r="54" spans="2:9" ht="15" customHeight="1" x14ac:dyDescent="0.2">
      <c r="B54" t="s">
        <v>483</v>
      </c>
      <c r="C54" s="12">
        <v>4</v>
      </c>
      <c r="D54" s="8">
        <v>2.58</v>
      </c>
      <c r="E54" s="12">
        <v>0</v>
      </c>
      <c r="F54" s="8">
        <v>0</v>
      </c>
      <c r="G54" s="12">
        <v>4</v>
      </c>
      <c r="H54" s="8">
        <v>5.88</v>
      </c>
      <c r="I54" s="12">
        <v>0</v>
      </c>
    </row>
    <row r="55" spans="2:9" ht="15" customHeight="1" x14ac:dyDescent="0.2">
      <c r="B55" t="s">
        <v>314</v>
      </c>
      <c r="C55" s="12">
        <v>4</v>
      </c>
      <c r="D55" s="8">
        <v>2.58</v>
      </c>
      <c r="E55" s="12">
        <v>3</v>
      </c>
      <c r="F55" s="8">
        <v>3.66</v>
      </c>
      <c r="G55" s="12">
        <v>1</v>
      </c>
      <c r="H55" s="8">
        <v>1.47</v>
      </c>
      <c r="I55" s="12">
        <v>0</v>
      </c>
    </row>
    <row r="56" spans="2:9" ht="15" customHeight="1" x14ac:dyDescent="0.2">
      <c r="B56" t="s">
        <v>339</v>
      </c>
      <c r="C56" s="12">
        <v>4</v>
      </c>
      <c r="D56" s="8">
        <v>2.58</v>
      </c>
      <c r="E56" s="12">
        <v>2</v>
      </c>
      <c r="F56" s="8">
        <v>2.44</v>
      </c>
      <c r="G56" s="12">
        <v>2</v>
      </c>
      <c r="H56" s="8">
        <v>2.94</v>
      </c>
      <c r="I56" s="12">
        <v>0</v>
      </c>
    </row>
    <row r="57" spans="2:9" ht="15" customHeight="1" x14ac:dyDescent="0.2">
      <c r="B57" t="s">
        <v>290</v>
      </c>
      <c r="C57" s="12">
        <v>3</v>
      </c>
      <c r="D57" s="8">
        <v>1.94</v>
      </c>
      <c r="E57" s="12">
        <v>0</v>
      </c>
      <c r="F57" s="8">
        <v>0</v>
      </c>
      <c r="G57" s="12">
        <v>3</v>
      </c>
      <c r="H57" s="8">
        <v>4.41</v>
      </c>
      <c r="I57" s="12">
        <v>0</v>
      </c>
    </row>
    <row r="58" spans="2:9" ht="15" customHeight="1" x14ac:dyDescent="0.2">
      <c r="B58" t="s">
        <v>401</v>
      </c>
      <c r="C58" s="12">
        <v>3</v>
      </c>
      <c r="D58" s="8">
        <v>1.94</v>
      </c>
      <c r="E58" s="12">
        <v>3</v>
      </c>
      <c r="F58" s="8">
        <v>3.66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295</v>
      </c>
      <c r="C59" s="12">
        <v>3</v>
      </c>
      <c r="D59" s="8">
        <v>1.94</v>
      </c>
      <c r="E59" s="12">
        <v>3</v>
      </c>
      <c r="F59" s="8">
        <v>3.66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302</v>
      </c>
      <c r="C60" s="12">
        <v>3</v>
      </c>
      <c r="D60" s="8">
        <v>1.94</v>
      </c>
      <c r="E60" s="12">
        <v>3</v>
      </c>
      <c r="F60" s="8">
        <v>3.66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303</v>
      </c>
      <c r="C61" s="12">
        <v>3</v>
      </c>
      <c r="D61" s="8">
        <v>1.94</v>
      </c>
      <c r="E61" s="12">
        <v>3</v>
      </c>
      <c r="F61" s="8">
        <v>3.66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305</v>
      </c>
      <c r="C62" s="12">
        <v>3</v>
      </c>
      <c r="D62" s="8">
        <v>1.94</v>
      </c>
      <c r="E62" s="12">
        <v>3</v>
      </c>
      <c r="F62" s="8">
        <v>3.66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328</v>
      </c>
      <c r="C63" s="12">
        <v>2</v>
      </c>
      <c r="D63" s="8">
        <v>1.29</v>
      </c>
      <c r="E63" s="12">
        <v>0</v>
      </c>
      <c r="F63" s="8">
        <v>0</v>
      </c>
      <c r="G63" s="12">
        <v>2</v>
      </c>
      <c r="H63" s="8">
        <v>2.94</v>
      </c>
      <c r="I63" s="12">
        <v>0</v>
      </c>
    </row>
    <row r="64" spans="2:9" ht="15" customHeight="1" x14ac:dyDescent="0.2">
      <c r="B64" t="s">
        <v>351</v>
      </c>
      <c r="C64" s="12">
        <v>2</v>
      </c>
      <c r="D64" s="8">
        <v>1.29</v>
      </c>
      <c r="E64" s="12">
        <v>2</v>
      </c>
      <c r="F64" s="8">
        <v>2.44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480</v>
      </c>
      <c r="C65" s="12">
        <v>2</v>
      </c>
      <c r="D65" s="8">
        <v>1.29</v>
      </c>
      <c r="E65" s="12">
        <v>0</v>
      </c>
      <c r="F65" s="8">
        <v>0</v>
      </c>
      <c r="G65" s="12">
        <v>2</v>
      </c>
      <c r="H65" s="8">
        <v>2.94</v>
      </c>
      <c r="I65" s="12">
        <v>0</v>
      </c>
    </row>
    <row r="66" spans="2:9" ht="15" customHeight="1" x14ac:dyDescent="0.2">
      <c r="B66" t="s">
        <v>461</v>
      </c>
      <c r="C66" s="12">
        <v>2</v>
      </c>
      <c r="D66" s="8">
        <v>1.29</v>
      </c>
      <c r="E66" s="12">
        <v>2</v>
      </c>
      <c r="F66" s="8">
        <v>2.44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374</v>
      </c>
      <c r="C67" s="12">
        <v>2</v>
      </c>
      <c r="D67" s="8">
        <v>1.29</v>
      </c>
      <c r="E67" s="12">
        <v>1</v>
      </c>
      <c r="F67" s="8">
        <v>1.22</v>
      </c>
      <c r="G67" s="12">
        <v>1</v>
      </c>
      <c r="H67" s="8">
        <v>1.47</v>
      </c>
      <c r="I67" s="12">
        <v>0</v>
      </c>
    </row>
    <row r="68" spans="2:9" ht="15" customHeight="1" x14ac:dyDescent="0.2">
      <c r="B68" t="s">
        <v>414</v>
      </c>
      <c r="C68" s="12">
        <v>2</v>
      </c>
      <c r="D68" s="8">
        <v>1.29</v>
      </c>
      <c r="E68" s="12">
        <v>2</v>
      </c>
      <c r="F68" s="8">
        <v>2.44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309</v>
      </c>
      <c r="C69" s="12">
        <v>2</v>
      </c>
      <c r="D69" s="8">
        <v>1.29</v>
      </c>
      <c r="E69" s="12">
        <v>0</v>
      </c>
      <c r="F69" s="8">
        <v>0</v>
      </c>
      <c r="G69" s="12">
        <v>2</v>
      </c>
      <c r="H69" s="8">
        <v>2.94</v>
      </c>
      <c r="I69" s="12">
        <v>0</v>
      </c>
    </row>
    <row r="70" spans="2:9" ht="15" customHeight="1" x14ac:dyDescent="0.2">
      <c r="B70" t="s">
        <v>292</v>
      </c>
      <c r="C70" s="12">
        <v>2</v>
      </c>
      <c r="D70" s="8">
        <v>1.29</v>
      </c>
      <c r="E70" s="12">
        <v>2</v>
      </c>
      <c r="F70" s="8">
        <v>2.44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293</v>
      </c>
      <c r="C71" s="12">
        <v>2</v>
      </c>
      <c r="D71" s="8">
        <v>1.29</v>
      </c>
      <c r="E71" s="12">
        <v>0</v>
      </c>
      <c r="F71" s="8">
        <v>0</v>
      </c>
      <c r="G71" s="12">
        <v>2</v>
      </c>
      <c r="H71" s="8">
        <v>2.94</v>
      </c>
      <c r="I71" s="12">
        <v>0</v>
      </c>
    </row>
    <row r="72" spans="2:9" ht="15" customHeight="1" x14ac:dyDescent="0.2">
      <c r="B72" t="s">
        <v>297</v>
      </c>
      <c r="C72" s="12">
        <v>2</v>
      </c>
      <c r="D72" s="8">
        <v>1.29</v>
      </c>
      <c r="E72" s="12">
        <v>0</v>
      </c>
      <c r="F72" s="8">
        <v>0</v>
      </c>
      <c r="G72" s="12">
        <v>2</v>
      </c>
      <c r="H72" s="8">
        <v>2.94</v>
      </c>
      <c r="I72" s="12">
        <v>0</v>
      </c>
    </row>
    <row r="73" spans="2:9" ht="15" customHeight="1" x14ac:dyDescent="0.2">
      <c r="B73" t="s">
        <v>409</v>
      </c>
      <c r="C73" s="12">
        <v>2</v>
      </c>
      <c r="D73" s="8">
        <v>1.29</v>
      </c>
      <c r="E73" s="12">
        <v>1</v>
      </c>
      <c r="F73" s="8">
        <v>1.22</v>
      </c>
      <c r="G73" s="12">
        <v>1</v>
      </c>
      <c r="H73" s="8">
        <v>1.47</v>
      </c>
      <c r="I73" s="12">
        <v>0</v>
      </c>
    </row>
    <row r="74" spans="2:9" ht="15" customHeight="1" x14ac:dyDescent="0.2">
      <c r="B74" t="s">
        <v>325</v>
      </c>
      <c r="C74" s="12">
        <v>2</v>
      </c>
      <c r="D74" s="8">
        <v>1.29</v>
      </c>
      <c r="E74" s="12">
        <v>0</v>
      </c>
      <c r="F74" s="8">
        <v>0</v>
      </c>
      <c r="G74" s="12">
        <v>2</v>
      </c>
      <c r="H74" s="8">
        <v>2.94</v>
      </c>
      <c r="I74" s="12">
        <v>0</v>
      </c>
    </row>
    <row r="75" spans="2:9" ht="15" customHeight="1" x14ac:dyDescent="0.2">
      <c r="B75" t="s">
        <v>306</v>
      </c>
      <c r="C75" s="12">
        <v>2</v>
      </c>
      <c r="D75" s="8">
        <v>1.29</v>
      </c>
      <c r="E75" s="12">
        <v>2</v>
      </c>
      <c r="F75" s="8">
        <v>2.44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307</v>
      </c>
      <c r="C76" s="12">
        <v>2</v>
      </c>
      <c r="D76" s="8">
        <v>1.29</v>
      </c>
      <c r="E76" s="12">
        <v>1</v>
      </c>
      <c r="F76" s="8">
        <v>1.22</v>
      </c>
      <c r="G76" s="12">
        <v>1</v>
      </c>
      <c r="H76" s="8">
        <v>1.47</v>
      </c>
      <c r="I76" s="12">
        <v>0</v>
      </c>
    </row>
    <row r="77" spans="2:9" ht="15" customHeight="1" x14ac:dyDescent="0.2">
      <c r="B77" t="s">
        <v>345</v>
      </c>
      <c r="C77" s="12">
        <v>2</v>
      </c>
      <c r="D77" s="8">
        <v>1.29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9F87F-78F9-4746-B610-EE3FBF7E3369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21</v>
      </c>
      <c r="D6" s="8">
        <v>8.33</v>
      </c>
      <c r="E6" s="12">
        <v>5</v>
      </c>
      <c r="F6" s="8">
        <v>3.11</v>
      </c>
      <c r="G6" s="12">
        <v>16</v>
      </c>
      <c r="H6" s="8">
        <v>19.05</v>
      </c>
      <c r="I6" s="12">
        <v>0</v>
      </c>
    </row>
    <row r="7" spans="2:9" ht="15" customHeight="1" x14ac:dyDescent="0.2">
      <c r="B7" t="s">
        <v>192</v>
      </c>
      <c r="C7" s="12">
        <v>17</v>
      </c>
      <c r="D7" s="8">
        <v>6.75</v>
      </c>
      <c r="E7" s="12">
        <v>3</v>
      </c>
      <c r="F7" s="8">
        <v>1.86</v>
      </c>
      <c r="G7" s="12">
        <v>14</v>
      </c>
      <c r="H7" s="8">
        <v>16.670000000000002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1.59</v>
      </c>
      <c r="E10" s="12">
        <v>1</v>
      </c>
      <c r="F10" s="8">
        <v>0.62</v>
      </c>
      <c r="G10" s="12">
        <v>2</v>
      </c>
      <c r="H10" s="8">
        <v>2.38</v>
      </c>
      <c r="I10" s="12">
        <v>1</v>
      </c>
    </row>
    <row r="11" spans="2:9" ht="15" customHeight="1" x14ac:dyDescent="0.2">
      <c r="B11" t="s">
        <v>196</v>
      </c>
      <c r="C11" s="12">
        <v>63</v>
      </c>
      <c r="D11" s="8">
        <v>25</v>
      </c>
      <c r="E11" s="12">
        <v>38</v>
      </c>
      <c r="F11" s="8">
        <v>23.6</v>
      </c>
      <c r="G11" s="12">
        <v>25</v>
      </c>
      <c r="H11" s="8">
        <v>29.76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10</v>
      </c>
      <c r="D13" s="8">
        <v>3.97</v>
      </c>
      <c r="E13" s="12">
        <v>6</v>
      </c>
      <c r="F13" s="8">
        <v>3.73</v>
      </c>
      <c r="G13" s="12">
        <v>4</v>
      </c>
      <c r="H13" s="8">
        <v>4.76</v>
      </c>
      <c r="I13" s="12">
        <v>0</v>
      </c>
    </row>
    <row r="14" spans="2:9" ht="15" customHeight="1" x14ac:dyDescent="0.2">
      <c r="B14" t="s">
        <v>199</v>
      </c>
      <c r="C14" s="12">
        <v>8</v>
      </c>
      <c r="D14" s="8">
        <v>3.17</v>
      </c>
      <c r="E14" s="12">
        <v>6</v>
      </c>
      <c r="F14" s="8">
        <v>3.73</v>
      </c>
      <c r="G14" s="12">
        <v>2</v>
      </c>
      <c r="H14" s="8">
        <v>2.38</v>
      </c>
      <c r="I14" s="12">
        <v>0</v>
      </c>
    </row>
    <row r="15" spans="2:9" ht="15" customHeight="1" x14ac:dyDescent="0.2">
      <c r="B15" t="s">
        <v>200</v>
      </c>
      <c r="C15" s="12">
        <v>74</v>
      </c>
      <c r="D15" s="8">
        <v>29.37</v>
      </c>
      <c r="E15" s="12">
        <v>63</v>
      </c>
      <c r="F15" s="8">
        <v>39.130000000000003</v>
      </c>
      <c r="G15" s="12">
        <v>11</v>
      </c>
      <c r="H15" s="8">
        <v>13.1</v>
      </c>
      <c r="I15" s="12">
        <v>0</v>
      </c>
    </row>
    <row r="16" spans="2:9" ht="15" customHeight="1" x14ac:dyDescent="0.2">
      <c r="B16" t="s">
        <v>201</v>
      </c>
      <c r="C16" s="12">
        <v>30</v>
      </c>
      <c r="D16" s="8">
        <v>11.9</v>
      </c>
      <c r="E16" s="12">
        <v>26</v>
      </c>
      <c r="F16" s="8">
        <v>16.149999999999999</v>
      </c>
      <c r="G16" s="12">
        <v>3</v>
      </c>
      <c r="H16" s="8">
        <v>3.57</v>
      </c>
      <c r="I16" s="12">
        <v>0</v>
      </c>
    </row>
    <row r="17" spans="2:9" ht="15" customHeight="1" x14ac:dyDescent="0.2">
      <c r="B17" t="s">
        <v>202</v>
      </c>
      <c r="C17" s="12">
        <v>9</v>
      </c>
      <c r="D17" s="8">
        <v>3.57</v>
      </c>
      <c r="E17" s="12">
        <v>6</v>
      </c>
      <c r="F17" s="8">
        <v>3.73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9</v>
      </c>
      <c r="D18" s="8">
        <v>3.57</v>
      </c>
      <c r="E18" s="12">
        <v>5</v>
      </c>
      <c r="F18" s="8">
        <v>3.11</v>
      </c>
      <c r="G18" s="12">
        <v>4</v>
      </c>
      <c r="H18" s="8">
        <v>4.76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2.78</v>
      </c>
      <c r="E19" s="12">
        <v>2</v>
      </c>
      <c r="F19" s="8">
        <v>1.24</v>
      </c>
      <c r="G19" s="12">
        <v>3</v>
      </c>
      <c r="H19" s="8">
        <v>3.57</v>
      </c>
      <c r="I19" s="12">
        <v>1</v>
      </c>
    </row>
    <row r="20" spans="2:9" ht="15" customHeight="1" x14ac:dyDescent="0.2">
      <c r="B20" s="9" t="s">
        <v>529</v>
      </c>
      <c r="C20" s="12">
        <f>SUM(LTBL_01459[総数／事業所数])</f>
        <v>252</v>
      </c>
      <c r="E20" s="12">
        <f>SUBTOTAL(109,LTBL_01459[個人／事業所数])</f>
        <v>161</v>
      </c>
      <c r="G20" s="12">
        <f>SUBTOTAL(109,LTBL_01459[法人／事業所数])</f>
        <v>84</v>
      </c>
      <c r="I20" s="12">
        <f>SUBTOTAL(109,LTBL_01459[法人以外の団体／事業所数])</f>
        <v>2</v>
      </c>
    </row>
    <row r="21" spans="2:9" ht="15" customHeight="1" x14ac:dyDescent="0.2">
      <c r="E21" s="11">
        <f>LTBL_01459[[#Totals],[個人／事業所数]]/LTBL_01459[[#Totals],[総数／事業所数]]</f>
        <v>0.63888888888888884</v>
      </c>
      <c r="G21" s="11">
        <f>LTBL_01459[[#Totals],[法人／事業所数]]/LTBL_01459[[#Totals],[総数／事業所数]]</f>
        <v>0.33333333333333331</v>
      </c>
      <c r="I21" s="11">
        <f>LTBL_01459[[#Totals],[法人以外の団体／事業所数]]/LTBL_01459[[#Totals],[総数／事業所数]]</f>
        <v>7.9365079365079361E-3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243</v>
      </c>
      <c r="C24" s="12">
        <v>36</v>
      </c>
      <c r="D24" s="8">
        <v>14.29</v>
      </c>
      <c r="E24" s="12">
        <v>30</v>
      </c>
      <c r="F24" s="8">
        <v>18.63</v>
      </c>
      <c r="G24" s="12">
        <v>6</v>
      </c>
      <c r="H24" s="8">
        <v>7.14</v>
      </c>
      <c r="I24" s="12">
        <v>0</v>
      </c>
    </row>
    <row r="25" spans="2:9" ht="15" customHeight="1" x14ac:dyDescent="0.2">
      <c r="B25" t="s">
        <v>227</v>
      </c>
      <c r="C25" s="12">
        <v>36</v>
      </c>
      <c r="D25" s="8">
        <v>14.29</v>
      </c>
      <c r="E25" s="12">
        <v>32</v>
      </c>
      <c r="F25" s="8">
        <v>19.88</v>
      </c>
      <c r="G25" s="12">
        <v>4</v>
      </c>
      <c r="H25" s="8">
        <v>4.76</v>
      </c>
      <c r="I25" s="12">
        <v>0</v>
      </c>
    </row>
    <row r="26" spans="2:9" ht="15" customHeight="1" x14ac:dyDescent="0.2">
      <c r="B26" t="s">
        <v>228</v>
      </c>
      <c r="C26" s="12">
        <v>23</v>
      </c>
      <c r="D26" s="8">
        <v>9.1300000000000008</v>
      </c>
      <c r="E26" s="12">
        <v>19</v>
      </c>
      <c r="F26" s="8">
        <v>11.8</v>
      </c>
      <c r="G26" s="12">
        <v>3</v>
      </c>
      <c r="H26" s="8">
        <v>3.57</v>
      </c>
      <c r="I26" s="12">
        <v>0</v>
      </c>
    </row>
    <row r="27" spans="2:9" ht="15" customHeight="1" x14ac:dyDescent="0.2">
      <c r="B27" t="s">
        <v>221</v>
      </c>
      <c r="C27" s="12">
        <v>21</v>
      </c>
      <c r="D27" s="8">
        <v>8.33</v>
      </c>
      <c r="E27" s="12">
        <v>17</v>
      </c>
      <c r="F27" s="8">
        <v>10.56</v>
      </c>
      <c r="G27" s="12">
        <v>4</v>
      </c>
      <c r="H27" s="8">
        <v>4.76</v>
      </c>
      <c r="I27" s="12">
        <v>0</v>
      </c>
    </row>
    <row r="28" spans="2:9" ht="15" customHeight="1" x14ac:dyDescent="0.2">
      <c r="B28" t="s">
        <v>223</v>
      </c>
      <c r="C28" s="12">
        <v>19</v>
      </c>
      <c r="D28" s="8">
        <v>7.54</v>
      </c>
      <c r="E28" s="12">
        <v>14</v>
      </c>
      <c r="F28" s="8">
        <v>8.6999999999999993</v>
      </c>
      <c r="G28" s="12">
        <v>5</v>
      </c>
      <c r="H28" s="8">
        <v>5.95</v>
      </c>
      <c r="I28" s="12">
        <v>0</v>
      </c>
    </row>
    <row r="29" spans="2:9" ht="15" customHeight="1" x14ac:dyDescent="0.2">
      <c r="B29" t="s">
        <v>230</v>
      </c>
      <c r="C29" s="12">
        <v>9</v>
      </c>
      <c r="D29" s="8">
        <v>3.57</v>
      </c>
      <c r="E29" s="12">
        <v>6</v>
      </c>
      <c r="F29" s="8">
        <v>3.73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213</v>
      </c>
      <c r="C30" s="12">
        <v>8</v>
      </c>
      <c r="D30" s="8">
        <v>3.17</v>
      </c>
      <c r="E30" s="12">
        <v>1</v>
      </c>
      <c r="F30" s="8">
        <v>0.62</v>
      </c>
      <c r="G30" s="12">
        <v>7</v>
      </c>
      <c r="H30" s="8">
        <v>8.33</v>
      </c>
      <c r="I30" s="12">
        <v>0</v>
      </c>
    </row>
    <row r="31" spans="2:9" ht="15" customHeight="1" x14ac:dyDescent="0.2">
      <c r="B31" t="s">
        <v>222</v>
      </c>
      <c r="C31" s="12">
        <v>8</v>
      </c>
      <c r="D31" s="8">
        <v>3.17</v>
      </c>
      <c r="E31" s="12">
        <v>4</v>
      </c>
      <c r="F31" s="8">
        <v>2.48</v>
      </c>
      <c r="G31" s="12">
        <v>4</v>
      </c>
      <c r="H31" s="8">
        <v>4.76</v>
      </c>
      <c r="I31" s="12">
        <v>0</v>
      </c>
    </row>
    <row r="32" spans="2:9" ht="15" customHeight="1" x14ac:dyDescent="0.2">
      <c r="B32" t="s">
        <v>215</v>
      </c>
      <c r="C32" s="12">
        <v>7</v>
      </c>
      <c r="D32" s="8">
        <v>2.78</v>
      </c>
      <c r="E32" s="12">
        <v>1</v>
      </c>
      <c r="F32" s="8">
        <v>0.62</v>
      </c>
      <c r="G32" s="12">
        <v>6</v>
      </c>
      <c r="H32" s="8">
        <v>7.14</v>
      </c>
      <c r="I32" s="12">
        <v>0</v>
      </c>
    </row>
    <row r="33" spans="2:9" ht="15" customHeight="1" x14ac:dyDescent="0.2">
      <c r="B33" t="s">
        <v>224</v>
      </c>
      <c r="C33" s="12">
        <v>7</v>
      </c>
      <c r="D33" s="8">
        <v>2.78</v>
      </c>
      <c r="E33" s="12">
        <v>5</v>
      </c>
      <c r="F33" s="8">
        <v>3.11</v>
      </c>
      <c r="G33" s="12">
        <v>2</v>
      </c>
      <c r="H33" s="8">
        <v>2.38</v>
      </c>
      <c r="I33" s="12">
        <v>0</v>
      </c>
    </row>
    <row r="34" spans="2:9" ht="15" customHeight="1" x14ac:dyDescent="0.2">
      <c r="B34" t="s">
        <v>214</v>
      </c>
      <c r="C34" s="12">
        <v>6</v>
      </c>
      <c r="D34" s="8">
        <v>2.38</v>
      </c>
      <c r="E34" s="12">
        <v>3</v>
      </c>
      <c r="F34" s="8">
        <v>1.86</v>
      </c>
      <c r="G34" s="12">
        <v>3</v>
      </c>
      <c r="H34" s="8">
        <v>3.57</v>
      </c>
      <c r="I34" s="12">
        <v>0</v>
      </c>
    </row>
    <row r="35" spans="2:9" ht="15" customHeight="1" x14ac:dyDescent="0.2">
      <c r="B35" t="s">
        <v>226</v>
      </c>
      <c r="C35" s="12">
        <v>6</v>
      </c>
      <c r="D35" s="8">
        <v>2.38</v>
      </c>
      <c r="E35" s="12">
        <v>4</v>
      </c>
      <c r="F35" s="8">
        <v>2.48</v>
      </c>
      <c r="G35" s="12">
        <v>2</v>
      </c>
      <c r="H35" s="8">
        <v>2.38</v>
      </c>
      <c r="I35" s="12">
        <v>0</v>
      </c>
    </row>
    <row r="36" spans="2:9" ht="15" customHeight="1" x14ac:dyDescent="0.2">
      <c r="B36" t="s">
        <v>218</v>
      </c>
      <c r="C36" s="12">
        <v>5</v>
      </c>
      <c r="D36" s="8">
        <v>1.98</v>
      </c>
      <c r="E36" s="12">
        <v>0</v>
      </c>
      <c r="F36" s="8">
        <v>0</v>
      </c>
      <c r="G36" s="12">
        <v>5</v>
      </c>
      <c r="H36" s="8">
        <v>5.95</v>
      </c>
      <c r="I36" s="12">
        <v>0</v>
      </c>
    </row>
    <row r="37" spans="2:9" ht="15" customHeight="1" x14ac:dyDescent="0.2">
      <c r="B37" t="s">
        <v>229</v>
      </c>
      <c r="C37" s="12">
        <v>5</v>
      </c>
      <c r="D37" s="8">
        <v>1.98</v>
      </c>
      <c r="E37" s="12">
        <v>5</v>
      </c>
      <c r="F37" s="8">
        <v>3.11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231</v>
      </c>
      <c r="C38" s="12">
        <v>5</v>
      </c>
      <c r="D38" s="8">
        <v>1.98</v>
      </c>
      <c r="E38" s="12">
        <v>5</v>
      </c>
      <c r="F38" s="8">
        <v>3.11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232</v>
      </c>
      <c r="C39" s="12">
        <v>4</v>
      </c>
      <c r="D39" s="8">
        <v>1.59</v>
      </c>
      <c r="E39" s="12">
        <v>0</v>
      </c>
      <c r="F39" s="8">
        <v>0</v>
      </c>
      <c r="G39" s="12">
        <v>4</v>
      </c>
      <c r="H39" s="8">
        <v>4.76</v>
      </c>
      <c r="I39" s="12">
        <v>0</v>
      </c>
    </row>
    <row r="40" spans="2:9" ht="15" customHeight="1" x14ac:dyDescent="0.2">
      <c r="B40" t="s">
        <v>240</v>
      </c>
      <c r="C40" s="12">
        <v>4</v>
      </c>
      <c r="D40" s="8">
        <v>1.59</v>
      </c>
      <c r="E40" s="12">
        <v>1</v>
      </c>
      <c r="F40" s="8">
        <v>0.62</v>
      </c>
      <c r="G40" s="12">
        <v>3</v>
      </c>
      <c r="H40" s="8">
        <v>3.57</v>
      </c>
      <c r="I40" s="12">
        <v>0</v>
      </c>
    </row>
    <row r="41" spans="2:9" ht="15" customHeight="1" x14ac:dyDescent="0.2">
      <c r="B41" t="s">
        <v>258</v>
      </c>
      <c r="C41" s="12">
        <v>3</v>
      </c>
      <c r="D41" s="8">
        <v>1.19</v>
      </c>
      <c r="E41" s="12">
        <v>2</v>
      </c>
      <c r="F41" s="8">
        <v>1.24</v>
      </c>
      <c r="G41" s="12">
        <v>1</v>
      </c>
      <c r="H41" s="8">
        <v>1.19</v>
      </c>
      <c r="I41" s="12">
        <v>0</v>
      </c>
    </row>
    <row r="42" spans="2:9" ht="15" customHeight="1" x14ac:dyDescent="0.2">
      <c r="B42" t="s">
        <v>245</v>
      </c>
      <c r="C42" s="12">
        <v>3</v>
      </c>
      <c r="D42" s="8">
        <v>1.19</v>
      </c>
      <c r="E42" s="12">
        <v>0</v>
      </c>
      <c r="F42" s="8">
        <v>0</v>
      </c>
      <c r="G42" s="12">
        <v>3</v>
      </c>
      <c r="H42" s="8">
        <v>3.57</v>
      </c>
      <c r="I42" s="12">
        <v>0</v>
      </c>
    </row>
    <row r="43" spans="2:9" ht="15" customHeight="1" x14ac:dyDescent="0.2">
      <c r="B43" t="s">
        <v>219</v>
      </c>
      <c r="C43" s="12">
        <v>3</v>
      </c>
      <c r="D43" s="8">
        <v>1.19</v>
      </c>
      <c r="E43" s="12">
        <v>0</v>
      </c>
      <c r="F43" s="8">
        <v>0</v>
      </c>
      <c r="G43" s="12">
        <v>3</v>
      </c>
      <c r="H43" s="8">
        <v>3.57</v>
      </c>
      <c r="I43" s="12">
        <v>0</v>
      </c>
    </row>
    <row r="44" spans="2:9" ht="15" customHeight="1" x14ac:dyDescent="0.2">
      <c r="B44" t="s">
        <v>236</v>
      </c>
      <c r="C44" s="12">
        <v>3</v>
      </c>
      <c r="D44" s="8">
        <v>1.19</v>
      </c>
      <c r="E44" s="12">
        <v>0</v>
      </c>
      <c r="F44" s="8">
        <v>0</v>
      </c>
      <c r="G44" s="12">
        <v>3</v>
      </c>
      <c r="H44" s="8">
        <v>3.57</v>
      </c>
      <c r="I44" s="12">
        <v>0</v>
      </c>
    </row>
    <row r="45" spans="2:9" ht="15" customHeight="1" x14ac:dyDescent="0.2">
      <c r="B45" t="s">
        <v>246</v>
      </c>
      <c r="C45" s="12">
        <v>3</v>
      </c>
      <c r="D45" s="8">
        <v>1.19</v>
      </c>
      <c r="E45" s="12">
        <v>1</v>
      </c>
      <c r="F45" s="8">
        <v>0.62</v>
      </c>
      <c r="G45" s="12">
        <v>2</v>
      </c>
      <c r="H45" s="8">
        <v>2.38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339</v>
      </c>
      <c r="C49" s="12">
        <v>27</v>
      </c>
      <c r="D49" s="8">
        <v>10.71</v>
      </c>
      <c r="E49" s="12">
        <v>23</v>
      </c>
      <c r="F49" s="8">
        <v>14.29</v>
      </c>
      <c r="G49" s="12">
        <v>4</v>
      </c>
      <c r="H49" s="8">
        <v>4.76</v>
      </c>
      <c r="I49" s="12">
        <v>0</v>
      </c>
    </row>
    <row r="50" spans="2:9" ht="15" customHeight="1" x14ac:dyDescent="0.2">
      <c r="B50" t="s">
        <v>304</v>
      </c>
      <c r="C50" s="12">
        <v>11</v>
      </c>
      <c r="D50" s="8">
        <v>4.37</v>
      </c>
      <c r="E50" s="12">
        <v>10</v>
      </c>
      <c r="F50" s="8">
        <v>6.21</v>
      </c>
      <c r="G50" s="12">
        <v>1</v>
      </c>
      <c r="H50" s="8">
        <v>1.19</v>
      </c>
      <c r="I50" s="12">
        <v>0</v>
      </c>
    </row>
    <row r="51" spans="2:9" ht="15" customHeight="1" x14ac:dyDescent="0.2">
      <c r="B51" t="s">
        <v>299</v>
      </c>
      <c r="C51" s="12">
        <v>9</v>
      </c>
      <c r="D51" s="8">
        <v>3.57</v>
      </c>
      <c r="E51" s="12">
        <v>8</v>
      </c>
      <c r="F51" s="8">
        <v>4.97</v>
      </c>
      <c r="G51" s="12">
        <v>1</v>
      </c>
      <c r="H51" s="8">
        <v>1.19</v>
      </c>
      <c r="I51" s="12">
        <v>0</v>
      </c>
    </row>
    <row r="52" spans="2:9" ht="15" customHeight="1" x14ac:dyDescent="0.2">
      <c r="B52" t="s">
        <v>302</v>
      </c>
      <c r="C52" s="12">
        <v>9</v>
      </c>
      <c r="D52" s="8">
        <v>3.57</v>
      </c>
      <c r="E52" s="12">
        <v>8</v>
      </c>
      <c r="F52" s="8">
        <v>4.97</v>
      </c>
      <c r="G52" s="12">
        <v>1</v>
      </c>
      <c r="H52" s="8">
        <v>1.19</v>
      </c>
      <c r="I52" s="12">
        <v>0</v>
      </c>
    </row>
    <row r="53" spans="2:9" ht="15" customHeight="1" x14ac:dyDescent="0.2">
      <c r="B53" t="s">
        <v>329</v>
      </c>
      <c r="C53" s="12">
        <v>8</v>
      </c>
      <c r="D53" s="8">
        <v>3.17</v>
      </c>
      <c r="E53" s="12">
        <v>7</v>
      </c>
      <c r="F53" s="8">
        <v>4.3499999999999996</v>
      </c>
      <c r="G53" s="12">
        <v>1</v>
      </c>
      <c r="H53" s="8">
        <v>1.19</v>
      </c>
      <c r="I53" s="12">
        <v>0</v>
      </c>
    </row>
    <row r="54" spans="2:9" ht="15" customHeight="1" x14ac:dyDescent="0.2">
      <c r="B54" t="s">
        <v>295</v>
      </c>
      <c r="C54" s="12">
        <v>8</v>
      </c>
      <c r="D54" s="8">
        <v>3.17</v>
      </c>
      <c r="E54" s="12">
        <v>7</v>
      </c>
      <c r="F54" s="8">
        <v>4.3499999999999996</v>
      </c>
      <c r="G54" s="12">
        <v>1</v>
      </c>
      <c r="H54" s="8">
        <v>1.19</v>
      </c>
      <c r="I54" s="12">
        <v>0</v>
      </c>
    </row>
    <row r="55" spans="2:9" ht="15" customHeight="1" x14ac:dyDescent="0.2">
      <c r="B55" t="s">
        <v>300</v>
      </c>
      <c r="C55" s="12">
        <v>8</v>
      </c>
      <c r="D55" s="8">
        <v>3.17</v>
      </c>
      <c r="E55" s="12">
        <v>7</v>
      </c>
      <c r="F55" s="8">
        <v>4.3499999999999996</v>
      </c>
      <c r="G55" s="12">
        <v>1</v>
      </c>
      <c r="H55" s="8">
        <v>1.19</v>
      </c>
      <c r="I55" s="12">
        <v>0</v>
      </c>
    </row>
    <row r="56" spans="2:9" ht="15" customHeight="1" x14ac:dyDescent="0.2">
      <c r="B56" t="s">
        <v>292</v>
      </c>
      <c r="C56" s="12">
        <v>7</v>
      </c>
      <c r="D56" s="8">
        <v>2.78</v>
      </c>
      <c r="E56" s="12">
        <v>6</v>
      </c>
      <c r="F56" s="8">
        <v>3.73</v>
      </c>
      <c r="G56" s="12">
        <v>1</v>
      </c>
      <c r="H56" s="8">
        <v>1.19</v>
      </c>
      <c r="I56" s="12">
        <v>0</v>
      </c>
    </row>
    <row r="57" spans="2:9" ht="15" customHeight="1" x14ac:dyDescent="0.2">
      <c r="B57" t="s">
        <v>293</v>
      </c>
      <c r="C57" s="12">
        <v>7</v>
      </c>
      <c r="D57" s="8">
        <v>2.78</v>
      </c>
      <c r="E57" s="12">
        <v>3</v>
      </c>
      <c r="F57" s="8">
        <v>1.86</v>
      </c>
      <c r="G57" s="12">
        <v>4</v>
      </c>
      <c r="H57" s="8">
        <v>4.76</v>
      </c>
      <c r="I57" s="12">
        <v>0</v>
      </c>
    </row>
    <row r="58" spans="2:9" ht="15" customHeight="1" x14ac:dyDescent="0.2">
      <c r="B58" t="s">
        <v>422</v>
      </c>
      <c r="C58" s="12">
        <v>7</v>
      </c>
      <c r="D58" s="8">
        <v>2.78</v>
      </c>
      <c r="E58" s="12">
        <v>6</v>
      </c>
      <c r="F58" s="8">
        <v>3.73</v>
      </c>
      <c r="G58" s="12">
        <v>1</v>
      </c>
      <c r="H58" s="8">
        <v>1.19</v>
      </c>
      <c r="I58" s="12">
        <v>0</v>
      </c>
    </row>
    <row r="59" spans="2:9" ht="15" customHeight="1" x14ac:dyDescent="0.2">
      <c r="B59" t="s">
        <v>303</v>
      </c>
      <c r="C59" s="12">
        <v>7</v>
      </c>
      <c r="D59" s="8">
        <v>2.78</v>
      </c>
      <c r="E59" s="12">
        <v>7</v>
      </c>
      <c r="F59" s="8">
        <v>4.3499999999999996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290</v>
      </c>
      <c r="C60" s="12">
        <v>6</v>
      </c>
      <c r="D60" s="8">
        <v>2.38</v>
      </c>
      <c r="E60" s="12">
        <v>1</v>
      </c>
      <c r="F60" s="8">
        <v>0.62</v>
      </c>
      <c r="G60" s="12">
        <v>5</v>
      </c>
      <c r="H60" s="8">
        <v>5.95</v>
      </c>
      <c r="I60" s="12">
        <v>0</v>
      </c>
    </row>
    <row r="61" spans="2:9" ht="15" customHeight="1" x14ac:dyDescent="0.2">
      <c r="B61" t="s">
        <v>288</v>
      </c>
      <c r="C61" s="12">
        <v>5</v>
      </c>
      <c r="D61" s="8">
        <v>1.98</v>
      </c>
      <c r="E61" s="12">
        <v>0</v>
      </c>
      <c r="F61" s="8">
        <v>0</v>
      </c>
      <c r="G61" s="12">
        <v>5</v>
      </c>
      <c r="H61" s="8">
        <v>5.95</v>
      </c>
      <c r="I61" s="12">
        <v>0</v>
      </c>
    </row>
    <row r="62" spans="2:9" ht="15" customHeight="1" x14ac:dyDescent="0.2">
      <c r="B62" t="s">
        <v>321</v>
      </c>
      <c r="C62" s="12">
        <v>5</v>
      </c>
      <c r="D62" s="8">
        <v>1.98</v>
      </c>
      <c r="E62" s="12">
        <v>0</v>
      </c>
      <c r="F62" s="8">
        <v>0</v>
      </c>
      <c r="G62" s="12">
        <v>5</v>
      </c>
      <c r="H62" s="8">
        <v>5.95</v>
      </c>
      <c r="I62" s="12">
        <v>0</v>
      </c>
    </row>
    <row r="63" spans="2:9" ht="15" customHeight="1" x14ac:dyDescent="0.2">
      <c r="B63" t="s">
        <v>297</v>
      </c>
      <c r="C63" s="12">
        <v>5</v>
      </c>
      <c r="D63" s="8">
        <v>1.98</v>
      </c>
      <c r="E63" s="12">
        <v>4</v>
      </c>
      <c r="F63" s="8">
        <v>2.48</v>
      </c>
      <c r="G63" s="12">
        <v>1</v>
      </c>
      <c r="H63" s="8">
        <v>1.19</v>
      </c>
      <c r="I63" s="12">
        <v>0</v>
      </c>
    </row>
    <row r="64" spans="2:9" ht="15" customHeight="1" x14ac:dyDescent="0.2">
      <c r="B64" t="s">
        <v>334</v>
      </c>
      <c r="C64" s="12">
        <v>4</v>
      </c>
      <c r="D64" s="8">
        <v>1.59</v>
      </c>
      <c r="E64" s="12">
        <v>3</v>
      </c>
      <c r="F64" s="8">
        <v>1.86</v>
      </c>
      <c r="G64" s="12">
        <v>1</v>
      </c>
      <c r="H64" s="8">
        <v>1.19</v>
      </c>
      <c r="I64" s="12">
        <v>0</v>
      </c>
    </row>
    <row r="65" spans="2:9" ht="15" customHeight="1" x14ac:dyDescent="0.2">
      <c r="B65" t="s">
        <v>301</v>
      </c>
      <c r="C65" s="12">
        <v>4</v>
      </c>
      <c r="D65" s="8">
        <v>1.59</v>
      </c>
      <c r="E65" s="12">
        <v>4</v>
      </c>
      <c r="F65" s="8">
        <v>2.48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340</v>
      </c>
      <c r="C66" s="12">
        <v>4</v>
      </c>
      <c r="D66" s="8">
        <v>1.59</v>
      </c>
      <c r="E66" s="12">
        <v>1</v>
      </c>
      <c r="F66" s="8">
        <v>0.62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341</v>
      </c>
      <c r="C67" s="12">
        <v>4</v>
      </c>
      <c r="D67" s="8">
        <v>1.59</v>
      </c>
      <c r="E67" s="12">
        <v>0</v>
      </c>
      <c r="F67" s="8">
        <v>0</v>
      </c>
      <c r="G67" s="12">
        <v>4</v>
      </c>
      <c r="H67" s="8">
        <v>4.76</v>
      </c>
      <c r="I67" s="12">
        <v>0</v>
      </c>
    </row>
    <row r="68" spans="2:9" ht="15" customHeight="1" x14ac:dyDescent="0.2">
      <c r="B68" t="s">
        <v>307</v>
      </c>
      <c r="C68" s="12">
        <v>4</v>
      </c>
      <c r="D68" s="8">
        <v>1.59</v>
      </c>
      <c r="E68" s="12">
        <v>1</v>
      </c>
      <c r="F68" s="8">
        <v>0.62</v>
      </c>
      <c r="G68" s="12">
        <v>3</v>
      </c>
      <c r="H68" s="8">
        <v>3.57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00224-7C61-403A-BFD5-66D8D9E2E469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538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411</v>
      </c>
      <c r="D6" s="8">
        <v>11.99</v>
      </c>
      <c r="E6" s="12">
        <v>20</v>
      </c>
      <c r="F6" s="8">
        <v>1.48</v>
      </c>
      <c r="G6" s="12">
        <v>391</v>
      </c>
      <c r="H6" s="8">
        <v>18.93</v>
      </c>
      <c r="I6" s="12">
        <v>0</v>
      </c>
    </row>
    <row r="7" spans="2:9" ht="15" customHeight="1" x14ac:dyDescent="0.2">
      <c r="B7" t="s">
        <v>192</v>
      </c>
      <c r="C7" s="12">
        <v>90</v>
      </c>
      <c r="D7" s="8">
        <v>2.63</v>
      </c>
      <c r="E7" s="12">
        <v>14</v>
      </c>
      <c r="F7" s="8">
        <v>1.04</v>
      </c>
      <c r="G7" s="12">
        <v>76</v>
      </c>
      <c r="H7" s="8">
        <v>3.68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42</v>
      </c>
      <c r="D9" s="8">
        <v>1.23</v>
      </c>
      <c r="E9" s="12">
        <v>3</v>
      </c>
      <c r="F9" s="8">
        <v>0.22</v>
      </c>
      <c r="G9" s="12">
        <v>39</v>
      </c>
      <c r="H9" s="8">
        <v>1.89</v>
      </c>
      <c r="I9" s="12">
        <v>0</v>
      </c>
    </row>
    <row r="10" spans="2:9" ht="15" customHeight="1" x14ac:dyDescent="0.2">
      <c r="B10" t="s">
        <v>195</v>
      </c>
      <c r="C10" s="12">
        <v>38</v>
      </c>
      <c r="D10" s="8">
        <v>1.1100000000000001</v>
      </c>
      <c r="E10" s="12">
        <v>25</v>
      </c>
      <c r="F10" s="8">
        <v>1.85</v>
      </c>
      <c r="G10" s="12">
        <v>13</v>
      </c>
      <c r="H10" s="8">
        <v>0.63</v>
      </c>
      <c r="I10" s="12">
        <v>0</v>
      </c>
    </row>
    <row r="11" spans="2:9" ht="15" customHeight="1" x14ac:dyDescent="0.2">
      <c r="B11" t="s">
        <v>196</v>
      </c>
      <c r="C11" s="12">
        <v>588</v>
      </c>
      <c r="D11" s="8">
        <v>17.16</v>
      </c>
      <c r="E11" s="12">
        <v>108</v>
      </c>
      <c r="F11" s="8">
        <v>7.99</v>
      </c>
      <c r="G11" s="12">
        <v>480</v>
      </c>
      <c r="H11" s="8">
        <v>23.23</v>
      </c>
      <c r="I11" s="12">
        <v>0</v>
      </c>
    </row>
    <row r="12" spans="2:9" ht="15" customHeight="1" x14ac:dyDescent="0.2">
      <c r="B12" t="s">
        <v>197</v>
      </c>
      <c r="C12" s="12">
        <v>47</v>
      </c>
      <c r="D12" s="8">
        <v>1.37</v>
      </c>
      <c r="E12" s="12">
        <v>2</v>
      </c>
      <c r="F12" s="8">
        <v>0.15</v>
      </c>
      <c r="G12" s="12">
        <v>45</v>
      </c>
      <c r="H12" s="8">
        <v>2.1800000000000002</v>
      </c>
      <c r="I12" s="12">
        <v>0</v>
      </c>
    </row>
    <row r="13" spans="2:9" ht="15" customHeight="1" x14ac:dyDescent="0.2">
      <c r="B13" t="s">
        <v>198</v>
      </c>
      <c r="C13" s="12">
        <v>798</v>
      </c>
      <c r="D13" s="8">
        <v>23.29</v>
      </c>
      <c r="E13" s="12">
        <v>381</v>
      </c>
      <c r="F13" s="8">
        <v>28.18</v>
      </c>
      <c r="G13" s="12">
        <v>415</v>
      </c>
      <c r="H13" s="8">
        <v>20.09</v>
      </c>
      <c r="I13" s="12">
        <v>2</v>
      </c>
    </row>
    <row r="14" spans="2:9" ht="15" customHeight="1" x14ac:dyDescent="0.2">
      <c r="B14" t="s">
        <v>199</v>
      </c>
      <c r="C14" s="12">
        <v>204</v>
      </c>
      <c r="D14" s="8">
        <v>5.95</v>
      </c>
      <c r="E14" s="12">
        <v>63</v>
      </c>
      <c r="F14" s="8">
        <v>4.66</v>
      </c>
      <c r="G14" s="12">
        <v>141</v>
      </c>
      <c r="H14" s="8">
        <v>6.82</v>
      </c>
      <c r="I14" s="12">
        <v>0</v>
      </c>
    </row>
    <row r="15" spans="2:9" ht="15" customHeight="1" x14ac:dyDescent="0.2">
      <c r="B15" t="s">
        <v>200</v>
      </c>
      <c r="C15" s="12">
        <v>307</v>
      </c>
      <c r="D15" s="8">
        <v>8.9600000000000009</v>
      </c>
      <c r="E15" s="12">
        <v>219</v>
      </c>
      <c r="F15" s="8">
        <v>16.2</v>
      </c>
      <c r="G15" s="12">
        <v>88</v>
      </c>
      <c r="H15" s="8">
        <v>4.26</v>
      </c>
      <c r="I15" s="12">
        <v>0</v>
      </c>
    </row>
    <row r="16" spans="2:9" ht="15" customHeight="1" x14ac:dyDescent="0.2">
      <c r="B16" t="s">
        <v>201</v>
      </c>
      <c r="C16" s="12">
        <v>446</v>
      </c>
      <c r="D16" s="8">
        <v>13.01</v>
      </c>
      <c r="E16" s="12">
        <v>298</v>
      </c>
      <c r="F16" s="8">
        <v>22.04</v>
      </c>
      <c r="G16" s="12">
        <v>148</v>
      </c>
      <c r="H16" s="8">
        <v>7.16</v>
      </c>
      <c r="I16" s="12">
        <v>0</v>
      </c>
    </row>
    <row r="17" spans="2:9" ht="15" customHeight="1" x14ac:dyDescent="0.2">
      <c r="B17" t="s">
        <v>202</v>
      </c>
      <c r="C17" s="12">
        <v>101</v>
      </c>
      <c r="D17" s="8">
        <v>2.95</v>
      </c>
      <c r="E17" s="12">
        <v>69</v>
      </c>
      <c r="F17" s="8">
        <v>5.0999999999999996</v>
      </c>
      <c r="G17" s="12">
        <v>31</v>
      </c>
      <c r="H17" s="8">
        <v>1.5</v>
      </c>
      <c r="I17" s="12">
        <v>0</v>
      </c>
    </row>
    <row r="18" spans="2:9" ht="15" customHeight="1" x14ac:dyDescent="0.2">
      <c r="B18" t="s">
        <v>203</v>
      </c>
      <c r="C18" s="12">
        <v>248</v>
      </c>
      <c r="D18" s="8">
        <v>7.24</v>
      </c>
      <c r="E18" s="12">
        <v>131</v>
      </c>
      <c r="F18" s="8">
        <v>9.69</v>
      </c>
      <c r="G18" s="12">
        <v>116</v>
      </c>
      <c r="H18" s="8">
        <v>5.61</v>
      </c>
      <c r="I18" s="12">
        <v>1</v>
      </c>
    </row>
    <row r="19" spans="2:9" ht="15" customHeight="1" x14ac:dyDescent="0.2">
      <c r="B19" t="s">
        <v>204</v>
      </c>
      <c r="C19" s="12">
        <v>107</v>
      </c>
      <c r="D19" s="8">
        <v>3.12</v>
      </c>
      <c r="E19" s="12">
        <v>19</v>
      </c>
      <c r="F19" s="8">
        <v>1.41</v>
      </c>
      <c r="G19" s="12">
        <v>83</v>
      </c>
      <c r="H19" s="8">
        <v>4.0199999999999996</v>
      </c>
      <c r="I19" s="12">
        <v>5</v>
      </c>
    </row>
    <row r="20" spans="2:9" ht="15" customHeight="1" x14ac:dyDescent="0.2">
      <c r="B20" s="9" t="s">
        <v>529</v>
      </c>
      <c r="C20" s="12">
        <f>SUM(LTBL_01105[総数／事業所数])</f>
        <v>3427</v>
      </c>
      <c r="E20" s="12">
        <f>SUBTOTAL(109,LTBL_01105[個人／事業所数])</f>
        <v>1352</v>
      </c>
      <c r="G20" s="12">
        <f>SUBTOTAL(109,LTBL_01105[法人／事業所数])</f>
        <v>2066</v>
      </c>
      <c r="I20" s="12">
        <f>SUBTOTAL(109,LTBL_01105[法人以外の団体／事業所数])</f>
        <v>8</v>
      </c>
    </row>
    <row r="21" spans="2:9" ht="15" customHeight="1" x14ac:dyDescent="0.2">
      <c r="E21" s="11">
        <f>LTBL_01105[[#Totals],[個人／事業所数]]/LTBL_01105[[#Totals],[総数／事業所数]]</f>
        <v>0.39451415231981324</v>
      </c>
      <c r="G21" s="11">
        <f>LTBL_01105[[#Totals],[法人／事業所数]]/LTBL_01105[[#Totals],[総数／事業所数]]</f>
        <v>0.60285964400350156</v>
      </c>
      <c r="I21" s="11">
        <f>LTBL_01105[[#Totals],[法人以外の団体／事業所数]]/LTBL_01105[[#Totals],[総数／事業所数]]</f>
        <v>2.3344032681645753E-3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685</v>
      </c>
      <c r="D24" s="8">
        <v>19.989999999999998</v>
      </c>
      <c r="E24" s="12">
        <v>379</v>
      </c>
      <c r="F24" s="8">
        <v>28.03</v>
      </c>
      <c r="G24" s="12">
        <v>304</v>
      </c>
      <c r="H24" s="8">
        <v>14.71</v>
      </c>
      <c r="I24" s="12">
        <v>2</v>
      </c>
    </row>
    <row r="25" spans="2:9" ht="15" customHeight="1" x14ac:dyDescent="0.2">
      <c r="B25" t="s">
        <v>228</v>
      </c>
      <c r="C25" s="12">
        <v>379</v>
      </c>
      <c r="D25" s="8">
        <v>11.06</v>
      </c>
      <c r="E25" s="12">
        <v>278</v>
      </c>
      <c r="F25" s="8">
        <v>20.56</v>
      </c>
      <c r="G25" s="12">
        <v>101</v>
      </c>
      <c r="H25" s="8">
        <v>4.8899999999999997</v>
      </c>
      <c r="I25" s="12">
        <v>0</v>
      </c>
    </row>
    <row r="26" spans="2:9" ht="15" customHeight="1" x14ac:dyDescent="0.2">
      <c r="B26" t="s">
        <v>227</v>
      </c>
      <c r="C26" s="12">
        <v>274</v>
      </c>
      <c r="D26" s="8">
        <v>8</v>
      </c>
      <c r="E26" s="12">
        <v>212</v>
      </c>
      <c r="F26" s="8">
        <v>15.68</v>
      </c>
      <c r="G26" s="12">
        <v>62</v>
      </c>
      <c r="H26" s="8">
        <v>3</v>
      </c>
      <c r="I26" s="12">
        <v>0</v>
      </c>
    </row>
    <row r="27" spans="2:9" ht="15" customHeight="1" x14ac:dyDescent="0.2">
      <c r="B27" t="s">
        <v>231</v>
      </c>
      <c r="C27" s="12">
        <v>167</v>
      </c>
      <c r="D27" s="8">
        <v>4.87</v>
      </c>
      <c r="E27" s="12">
        <v>130</v>
      </c>
      <c r="F27" s="8">
        <v>9.6199999999999992</v>
      </c>
      <c r="G27" s="12">
        <v>37</v>
      </c>
      <c r="H27" s="8">
        <v>1.79</v>
      </c>
      <c r="I27" s="12">
        <v>0</v>
      </c>
    </row>
    <row r="28" spans="2:9" ht="15" customHeight="1" x14ac:dyDescent="0.2">
      <c r="B28" t="s">
        <v>213</v>
      </c>
      <c r="C28" s="12">
        <v>154</v>
      </c>
      <c r="D28" s="8">
        <v>4.49</v>
      </c>
      <c r="E28" s="12">
        <v>5</v>
      </c>
      <c r="F28" s="8">
        <v>0.37</v>
      </c>
      <c r="G28" s="12">
        <v>149</v>
      </c>
      <c r="H28" s="8">
        <v>7.21</v>
      </c>
      <c r="I28" s="12">
        <v>0</v>
      </c>
    </row>
    <row r="29" spans="2:9" ht="15" customHeight="1" x14ac:dyDescent="0.2">
      <c r="B29" t="s">
        <v>214</v>
      </c>
      <c r="C29" s="12">
        <v>152</v>
      </c>
      <c r="D29" s="8">
        <v>4.4400000000000004</v>
      </c>
      <c r="E29" s="12">
        <v>10</v>
      </c>
      <c r="F29" s="8">
        <v>0.74</v>
      </c>
      <c r="G29" s="12">
        <v>142</v>
      </c>
      <c r="H29" s="8">
        <v>6.87</v>
      </c>
      <c r="I29" s="12">
        <v>0</v>
      </c>
    </row>
    <row r="30" spans="2:9" ht="15" customHeight="1" x14ac:dyDescent="0.2">
      <c r="B30" t="s">
        <v>223</v>
      </c>
      <c r="C30" s="12">
        <v>146</v>
      </c>
      <c r="D30" s="8">
        <v>4.26</v>
      </c>
      <c r="E30" s="12">
        <v>37</v>
      </c>
      <c r="F30" s="8">
        <v>2.74</v>
      </c>
      <c r="G30" s="12">
        <v>109</v>
      </c>
      <c r="H30" s="8">
        <v>5.28</v>
      </c>
      <c r="I30" s="12">
        <v>0</v>
      </c>
    </row>
    <row r="31" spans="2:9" ht="15" customHeight="1" x14ac:dyDescent="0.2">
      <c r="B31" t="s">
        <v>215</v>
      </c>
      <c r="C31" s="12">
        <v>105</v>
      </c>
      <c r="D31" s="8">
        <v>3.06</v>
      </c>
      <c r="E31" s="12">
        <v>5</v>
      </c>
      <c r="F31" s="8">
        <v>0.37</v>
      </c>
      <c r="G31" s="12">
        <v>100</v>
      </c>
      <c r="H31" s="8">
        <v>4.84</v>
      </c>
      <c r="I31" s="12">
        <v>0</v>
      </c>
    </row>
    <row r="32" spans="2:9" ht="15" customHeight="1" x14ac:dyDescent="0.2">
      <c r="B32" t="s">
        <v>233</v>
      </c>
      <c r="C32" s="12">
        <v>103</v>
      </c>
      <c r="D32" s="8">
        <v>3.01</v>
      </c>
      <c r="E32" s="12">
        <v>2</v>
      </c>
      <c r="F32" s="8">
        <v>0.15</v>
      </c>
      <c r="G32" s="12">
        <v>101</v>
      </c>
      <c r="H32" s="8">
        <v>4.8899999999999997</v>
      </c>
      <c r="I32" s="12">
        <v>0</v>
      </c>
    </row>
    <row r="33" spans="2:9" ht="15" customHeight="1" x14ac:dyDescent="0.2">
      <c r="B33" t="s">
        <v>230</v>
      </c>
      <c r="C33" s="12">
        <v>101</v>
      </c>
      <c r="D33" s="8">
        <v>2.95</v>
      </c>
      <c r="E33" s="12">
        <v>69</v>
      </c>
      <c r="F33" s="8">
        <v>5.0999999999999996</v>
      </c>
      <c r="G33" s="12">
        <v>31</v>
      </c>
      <c r="H33" s="8">
        <v>1.5</v>
      </c>
      <c r="I33" s="12">
        <v>0</v>
      </c>
    </row>
    <row r="34" spans="2:9" ht="15" customHeight="1" x14ac:dyDescent="0.2">
      <c r="B34" t="s">
        <v>226</v>
      </c>
      <c r="C34" s="12">
        <v>97</v>
      </c>
      <c r="D34" s="8">
        <v>2.83</v>
      </c>
      <c r="E34" s="12">
        <v>17</v>
      </c>
      <c r="F34" s="8">
        <v>1.26</v>
      </c>
      <c r="G34" s="12">
        <v>80</v>
      </c>
      <c r="H34" s="8">
        <v>3.87</v>
      </c>
      <c r="I34" s="12">
        <v>0</v>
      </c>
    </row>
    <row r="35" spans="2:9" ht="15" customHeight="1" x14ac:dyDescent="0.2">
      <c r="B35" t="s">
        <v>225</v>
      </c>
      <c r="C35" s="12">
        <v>95</v>
      </c>
      <c r="D35" s="8">
        <v>2.77</v>
      </c>
      <c r="E35" s="12">
        <v>45</v>
      </c>
      <c r="F35" s="8">
        <v>3.33</v>
      </c>
      <c r="G35" s="12">
        <v>50</v>
      </c>
      <c r="H35" s="8">
        <v>2.42</v>
      </c>
      <c r="I35" s="12">
        <v>0</v>
      </c>
    </row>
    <row r="36" spans="2:9" ht="15" customHeight="1" x14ac:dyDescent="0.2">
      <c r="B36" t="s">
        <v>221</v>
      </c>
      <c r="C36" s="12">
        <v>85</v>
      </c>
      <c r="D36" s="8">
        <v>2.48</v>
      </c>
      <c r="E36" s="12">
        <v>39</v>
      </c>
      <c r="F36" s="8">
        <v>2.88</v>
      </c>
      <c r="G36" s="12">
        <v>46</v>
      </c>
      <c r="H36" s="8">
        <v>2.23</v>
      </c>
      <c r="I36" s="12">
        <v>0</v>
      </c>
    </row>
    <row r="37" spans="2:9" ht="15" customHeight="1" x14ac:dyDescent="0.2">
      <c r="B37" t="s">
        <v>219</v>
      </c>
      <c r="C37" s="12">
        <v>84</v>
      </c>
      <c r="D37" s="8">
        <v>2.4500000000000002</v>
      </c>
      <c r="E37" s="12">
        <v>3</v>
      </c>
      <c r="F37" s="8">
        <v>0.22</v>
      </c>
      <c r="G37" s="12">
        <v>81</v>
      </c>
      <c r="H37" s="8">
        <v>3.92</v>
      </c>
      <c r="I37" s="12">
        <v>0</v>
      </c>
    </row>
    <row r="38" spans="2:9" ht="15" customHeight="1" x14ac:dyDescent="0.2">
      <c r="B38" t="s">
        <v>232</v>
      </c>
      <c r="C38" s="12">
        <v>81</v>
      </c>
      <c r="D38" s="8">
        <v>2.36</v>
      </c>
      <c r="E38" s="12">
        <v>1</v>
      </c>
      <c r="F38" s="8">
        <v>7.0000000000000007E-2</v>
      </c>
      <c r="G38" s="12">
        <v>79</v>
      </c>
      <c r="H38" s="8">
        <v>3.82</v>
      </c>
      <c r="I38" s="12">
        <v>1</v>
      </c>
    </row>
    <row r="39" spans="2:9" ht="15" customHeight="1" x14ac:dyDescent="0.2">
      <c r="B39" t="s">
        <v>218</v>
      </c>
      <c r="C39" s="12">
        <v>62</v>
      </c>
      <c r="D39" s="8">
        <v>1.81</v>
      </c>
      <c r="E39" s="12">
        <v>1</v>
      </c>
      <c r="F39" s="8">
        <v>7.0000000000000007E-2</v>
      </c>
      <c r="G39" s="12">
        <v>61</v>
      </c>
      <c r="H39" s="8">
        <v>2.95</v>
      </c>
      <c r="I39" s="12">
        <v>0</v>
      </c>
    </row>
    <row r="40" spans="2:9" ht="15" customHeight="1" x14ac:dyDescent="0.2">
      <c r="B40" t="s">
        <v>234</v>
      </c>
      <c r="C40" s="12">
        <v>58</v>
      </c>
      <c r="D40" s="8">
        <v>1.69</v>
      </c>
      <c r="E40" s="12">
        <v>5</v>
      </c>
      <c r="F40" s="8">
        <v>0.37</v>
      </c>
      <c r="G40" s="12">
        <v>52</v>
      </c>
      <c r="H40" s="8">
        <v>2.52</v>
      </c>
      <c r="I40" s="12">
        <v>1</v>
      </c>
    </row>
    <row r="41" spans="2:9" ht="15" customHeight="1" x14ac:dyDescent="0.2">
      <c r="B41" t="s">
        <v>222</v>
      </c>
      <c r="C41" s="12">
        <v>47</v>
      </c>
      <c r="D41" s="8">
        <v>1.37</v>
      </c>
      <c r="E41" s="12">
        <v>10</v>
      </c>
      <c r="F41" s="8">
        <v>0.74</v>
      </c>
      <c r="G41" s="12">
        <v>37</v>
      </c>
      <c r="H41" s="8">
        <v>1.79</v>
      </c>
      <c r="I41" s="12">
        <v>0</v>
      </c>
    </row>
    <row r="42" spans="2:9" ht="15" customHeight="1" x14ac:dyDescent="0.2">
      <c r="B42" t="s">
        <v>237</v>
      </c>
      <c r="C42" s="12">
        <v>47</v>
      </c>
      <c r="D42" s="8">
        <v>1.37</v>
      </c>
      <c r="E42" s="12">
        <v>2</v>
      </c>
      <c r="F42" s="8">
        <v>0.15</v>
      </c>
      <c r="G42" s="12">
        <v>45</v>
      </c>
      <c r="H42" s="8">
        <v>2.1800000000000002</v>
      </c>
      <c r="I42" s="12">
        <v>0</v>
      </c>
    </row>
    <row r="43" spans="2:9" ht="15" customHeight="1" x14ac:dyDescent="0.2">
      <c r="B43" t="s">
        <v>229</v>
      </c>
      <c r="C43" s="12">
        <v>47</v>
      </c>
      <c r="D43" s="8">
        <v>1.37</v>
      </c>
      <c r="E43" s="12">
        <v>15</v>
      </c>
      <c r="F43" s="8">
        <v>1.1100000000000001</v>
      </c>
      <c r="G43" s="12">
        <v>32</v>
      </c>
      <c r="H43" s="8">
        <v>1.55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527</v>
      </c>
      <c r="D47" s="8">
        <v>15.38</v>
      </c>
      <c r="E47" s="12">
        <v>357</v>
      </c>
      <c r="F47" s="8">
        <v>26.41</v>
      </c>
      <c r="G47" s="12">
        <v>170</v>
      </c>
      <c r="H47" s="8">
        <v>8.23</v>
      </c>
      <c r="I47" s="12">
        <v>0</v>
      </c>
    </row>
    <row r="48" spans="2:9" ht="15" customHeight="1" x14ac:dyDescent="0.2">
      <c r="B48" t="s">
        <v>304</v>
      </c>
      <c r="C48" s="12">
        <v>176</v>
      </c>
      <c r="D48" s="8">
        <v>5.14</v>
      </c>
      <c r="E48" s="12">
        <v>138</v>
      </c>
      <c r="F48" s="8">
        <v>10.210000000000001</v>
      </c>
      <c r="G48" s="12">
        <v>38</v>
      </c>
      <c r="H48" s="8">
        <v>1.84</v>
      </c>
      <c r="I48" s="12">
        <v>0</v>
      </c>
    </row>
    <row r="49" spans="2:9" ht="15" customHeight="1" x14ac:dyDescent="0.2">
      <c r="B49" t="s">
        <v>303</v>
      </c>
      <c r="C49" s="12">
        <v>127</v>
      </c>
      <c r="D49" s="8">
        <v>3.71</v>
      </c>
      <c r="E49" s="12">
        <v>113</v>
      </c>
      <c r="F49" s="8">
        <v>8.36</v>
      </c>
      <c r="G49" s="12">
        <v>14</v>
      </c>
      <c r="H49" s="8">
        <v>0.68</v>
      </c>
      <c r="I49" s="12">
        <v>0</v>
      </c>
    </row>
    <row r="50" spans="2:9" ht="15" customHeight="1" x14ac:dyDescent="0.2">
      <c r="B50" t="s">
        <v>306</v>
      </c>
      <c r="C50" s="12">
        <v>98</v>
      </c>
      <c r="D50" s="8">
        <v>2.86</v>
      </c>
      <c r="E50" s="12">
        <v>76</v>
      </c>
      <c r="F50" s="8">
        <v>5.62</v>
      </c>
      <c r="G50" s="12">
        <v>22</v>
      </c>
      <c r="H50" s="8">
        <v>1.06</v>
      </c>
      <c r="I50" s="12">
        <v>0</v>
      </c>
    </row>
    <row r="51" spans="2:9" ht="15" customHeight="1" x14ac:dyDescent="0.2">
      <c r="B51" t="s">
        <v>296</v>
      </c>
      <c r="C51" s="12">
        <v>80</v>
      </c>
      <c r="D51" s="8">
        <v>2.33</v>
      </c>
      <c r="E51" s="12">
        <v>11</v>
      </c>
      <c r="F51" s="8">
        <v>0.81</v>
      </c>
      <c r="G51" s="12">
        <v>68</v>
      </c>
      <c r="H51" s="8">
        <v>3.29</v>
      </c>
      <c r="I51" s="12">
        <v>1</v>
      </c>
    </row>
    <row r="52" spans="2:9" ht="15" customHeight="1" x14ac:dyDescent="0.2">
      <c r="B52" t="s">
        <v>299</v>
      </c>
      <c r="C52" s="12">
        <v>77</v>
      </c>
      <c r="D52" s="8">
        <v>2.25</v>
      </c>
      <c r="E52" s="12">
        <v>58</v>
      </c>
      <c r="F52" s="8">
        <v>4.29</v>
      </c>
      <c r="G52" s="12">
        <v>19</v>
      </c>
      <c r="H52" s="8">
        <v>0.92</v>
      </c>
      <c r="I52" s="12">
        <v>0</v>
      </c>
    </row>
    <row r="53" spans="2:9" ht="15" customHeight="1" x14ac:dyDescent="0.2">
      <c r="B53" t="s">
        <v>305</v>
      </c>
      <c r="C53" s="12">
        <v>72</v>
      </c>
      <c r="D53" s="8">
        <v>2.1</v>
      </c>
      <c r="E53" s="12">
        <v>55</v>
      </c>
      <c r="F53" s="8">
        <v>4.07</v>
      </c>
      <c r="G53" s="12">
        <v>17</v>
      </c>
      <c r="H53" s="8">
        <v>0.82</v>
      </c>
      <c r="I53" s="12">
        <v>0</v>
      </c>
    </row>
    <row r="54" spans="2:9" ht="15" customHeight="1" x14ac:dyDescent="0.2">
      <c r="B54" t="s">
        <v>298</v>
      </c>
      <c r="C54" s="12">
        <v>70</v>
      </c>
      <c r="D54" s="8">
        <v>2.04</v>
      </c>
      <c r="E54" s="12">
        <v>9</v>
      </c>
      <c r="F54" s="8">
        <v>0.67</v>
      </c>
      <c r="G54" s="12">
        <v>61</v>
      </c>
      <c r="H54" s="8">
        <v>2.95</v>
      </c>
      <c r="I54" s="12">
        <v>0</v>
      </c>
    </row>
    <row r="55" spans="2:9" ht="15" customHeight="1" x14ac:dyDescent="0.2">
      <c r="B55" t="s">
        <v>310</v>
      </c>
      <c r="C55" s="12">
        <v>67</v>
      </c>
      <c r="D55" s="8">
        <v>1.96</v>
      </c>
      <c r="E55" s="12">
        <v>2</v>
      </c>
      <c r="F55" s="8">
        <v>0.15</v>
      </c>
      <c r="G55" s="12">
        <v>65</v>
      </c>
      <c r="H55" s="8">
        <v>3.15</v>
      </c>
      <c r="I55" s="12">
        <v>0</v>
      </c>
    </row>
    <row r="56" spans="2:9" ht="15" customHeight="1" x14ac:dyDescent="0.2">
      <c r="B56" t="s">
        <v>300</v>
      </c>
      <c r="C56" s="12">
        <v>66</v>
      </c>
      <c r="D56" s="8">
        <v>1.93</v>
      </c>
      <c r="E56" s="12">
        <v>60</v>
      </c>
      <c r="F56" s="8">
        <v>4.4400000000000004</v>
      </c>
      <c r="G56" s="12">
        <v>6</v>
      </c>
      <c r="H56" s="8">
        <v>0.28999999999999998</v>
      </c>
      <c r="I56" s="12">
        <v>0</v>
      </c>
    </row>
    <row r="57" spans="2:9" ht="15" customHeight="1" x14ac:dyDescent="0.2">
      <c r="B57" t="s">
        <v>311</v>
      </c>
      <c r="C57" s="12">
        <v>65</v>
      </c>
      <c r="D57" s="8">
        <v>1.9</v>
      </c>
      <c r="E57" s="12">
        <v>3</v>
      </c>
      <c r="F57" s="8">
        <v>0.22</v>
      </c>
      <c r="G57" s="12">
        <v>61</v>
      </c>
      <c r="H57" s="8">
        <v>2.95</v>
      </c>
      <c r="I57" s="12">
        <v>1</v>
      </c>
    </row>
    <row r="58" spans="2:9" ht="15" customHeight="1" x14ac:dyDescent="0.2">
      <c r="B58" t="s">
        <v>308</v>
      </c>
      <c r="C58" s="12">
        <v>53</v>
      </c>
      <c r="D58" s="8">
        <v>1.55</v>
      </c>
      <c r="E58" s="12">
        <v>3</v>
      </c>
      <c r="F58" s="8">
        <v>0.22</v>
      </c>
      <c r="G58" s="12">
        <v>50</v>
      </c>
      <c r="H58" s="8">
        <v>2.42</v>
      </c>
      <c r="I58" s="12">
        <v>0</v>
      </c>
    </row>
    <row r="59" spans="2:9" ht="15" customHeight="1" x14ac:dyDescent="0.2">
      <c r="B59" t="s">
        <v>312</v>
      </c>
      <c r="C59" s="12">
        <v>53</v>
      </c>
      <c r="D59" s="8">
        <v>1.55</v>
      </c>
      <c r="E59" s="12">
        <v>46</v>
      </c>
      <c r="F59" s="8">
        <v>3.4</v>
      </c>
      <c r="G59" s="12">
        <v>7</v>
      </c>
      <c r="H59" s="8">
        <v>0.34</v>
      </c>
      <c r="I59" s="12">
        <v>0</v>
      </c>
    </row>
    <row r="60" spans="2:9" ht="15" customHeight="1" x14ac:dyDescent="0.2">
      <c r="B60" t="s">
        <v>295</v>
      </c>
      <c r="C60" s="12">
        <v>51</v>
      </c>
      <c r="D60" s="8">
        <v>1.49</v>
      </c>
      <c r="E60" s="12">
        <v>16</v>
      </c>
      <c r="F60" s="8">
        <v>1.18</v>
      </c>
      <c r="G60" s="12">
        <v>35</v>
      </c>
      <c r="H60" s="8">
        <v>1.69</v>
      </c>
      <c r="I60" s="12">
        <v>0</v>
      </c>
    </row>
    <row r="61" spans="2:9" ht="15" customHeight="1" x14ac:dyDescent="0.2">
      <c r="B61" t="s">
        <v>309</v>
      </c>
      <c r="C61" s="12">
        <v>50</v>
      </c>
      <c r="D61" s="8">
        <v>1.46</v>
      </c>
      <c r="E61" s="12">
        <v>2</v>
      </c>
      <c r="F61" s="8">
        <v>0.15</v>
      </c>
      <c r="G61" s="12">
        <v>48</v>
      </c>
      <c r="H61" s="8">
        <v>2.3199999999999998</v>
      </c>
      <c r="I61" s="12">
        <v>0</v>
      </c>
    </row>
    <row r="62" spans="2:9" ht="15" customHeight="1" x14ac:dyDescent="0.2">
      <c r="B62" t="s">
        <v>323</v>
      </c>
      <c r="C62" s="12">
        <v>49</v>
      </c>
      <c r="D62" s="8">
        <v>1.43</v>
      </c>
      <c r="E62" s="12">
        <v>12</v>
      </c>
      <c r="F62" s="8">
        <v>0.89</v>
      </c>
      <c r="G62" s="12">
        <v>37</v>
      </c>
      <c r="H62" s="8">
        <v>1.79</v>
      </c>
      <c r="I62" s="12">
        <v>0</v>
      </c>
    </row>
    <row r="63" spans="2:9" ht="15" customHeight="1" x14ac:dyDescent="0.2">
      <c r="B63" t="s">
        <v>291</v>
      </c>
      <c r="C63" s="12">
        <v>47</v>
      </c>
      <c r="D63" s="8">
        <v>1.37</v>
      </c>
      <c r="E63" s="12">
        <v>4</v>
      </c>
      <c r="F63" s="8">
        <v>0.3</v>
      </c>
      <c r="G63" s="12">
        <v>43</v>
      </c>
      <c r="H63" s="8">
        <v>2.08</v>
      </c>
      <c r="I63" s="12">
        <v>0</v>
      </c>
    </row>
    <row r="64" spans="2:9" ht="15" customHeight="1" x14ac:dyDescent="0.2">
      <c r="B64" t="s">
        <v>319</v>
      </c>
      <c r="C64" s="12">
        <v>46</v>
      </c>
      <c r="D64" s="8">
        <v>1.34</v>
      </c>
      <c r="E64" s="12">
        <v>2</v>
      </c>
      <c r="F64" s="8">
        <v>0.15</v>
      </c>
      <c r="G64" s="12">
        <v>44</v>
      </c>
      <c r="H64" s="8">
        <v>2.13</v>
      </c>
      <c r="I64" s="12">
        <v>0</v>
      </c>
    </row>
    <row r="65" spans="2:9" ht="15" customHeight="1" x14ac:dyDescent="0.2">
      <c r="B65" t="s">
        <v>322</v>
      </c>
      <c r="C65" s="12">
        <v>44</v>
      </c>
      <c r="D65" s="8">
        <v>1.28</v>
      </c>
      <c r="E65" s="12">
        <v>2</v>
      </c>
      <c r="F65" s="8">
        <v>0.15</v>
      </c>
      <c r="G65" s="12">
        <v>42</v>
      </c>
      <c r="H65" s="8">
        <v>2.0299999999999998</v>
      </c>
      <c r="I65" s="12">
        <v>0</v>
      </c>
    </row>
    <row r="66" spans="2:9" ht="15" customHeight="1" x14ac:dyDescent="0.2">
      <c r="B66" t="s">
        <v>294</v>
      </c>
      <c r="C66" s="12">
        <v>43</v>
      </c>
      <c r="D66" s="8">
        <v>1.25</v>
      </c>
      <c r="E66" s="12">
        <v>7</v>
      </c>
      <c r="F66" s="8">
        <v>0.52</v>
      </c>
      <c r="G66" s="12">
        <v>36</v>
      </c>
      <c r="H66" s="8">
        <v>1.74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E3792-D86A-4517-AA4C-E471D00CB010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16</v>
      </c>
      <c r="D6" s="8">
        <v>5.69</v>
      </c>
      <c r="E6" s="12">
        <v>4</v>
      </c>
      <c r="F6" s="8">
        <v>2.0499999999999998</v>
      </c>
      <c r="G6" s="12">
        <v>12</v>
      </c>
      <c r="H6" s="8">
        <v>14.81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2.85</v>
      </c>
      <c r="E7" s="12">
        <v>3</v>
      </c>
      <c r="F7" s="8">
        <v>1.54</v>
      </c>
      <c r="G7" s="12">
        <v>5</v>
      </c>
      <c r="H7" s="8">
        <v>6.17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0.71</v>
      </c>
      <c r="E8" s="12">
        <v>0</v>
      </c>
      <c r="F8" s="8">
        <v>0</v>
      </c>
      <c r="G8" s="12">
        <v>1</v>
      </c>
      <c r="H8" s="8">
        <v>1.23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0.36</v>
      </c>
      <c r="E9" s="12">
        <v>0</v>
      </c>
      <c r="F9" s="8">
        <v>0</v>
      </c>
      <c r="G9" s="12">
        <v>1</v>
      </c>
      <c r="H9" s="8">
        <v>1.23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1.78</v>
      </c>
      <c r="E10" s="12">
        <v>2</v>
      </c>
      <c r="F10" s="8">
        <v>1.03</v>
      </c>
      <c r="G10" s="12">
        <v>3</v>
      </c>
      <c r="H10" s="8">
        <v>3.7</v>
      </c>
      <c r="I10" s="12">
        <v>0</v>
      </c>
    </row>
    <row r="11" spans="2:9" ht="15" customHeight="1" x14ac:dyDescent="0.2">
      <c r="B11" t="s">
        <v>196</v>
      </c>
      <c r="C11" s="12">
        <v>65</v>
      </c>
      <c r="D11" s="8">
        <v>23.13</v>
      </c>
      <c r="E11" s="12">
        <v>34</v>
      </c>
      <c r="F11" s="8">
        <v>17.440000000000001</v>
      </c>
      <c r="G11" s="12">
        <v>31</v>
      </c>
      <c r="H11" s="8">
        <v>38.270000000000003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42</v>
      </c>
      <c r="D13" s="8">
        <v>14.95</v>
      </c>
      <c r="E13" s="12">
        <v>37</v>
      </c>
      <c r="F13" s="8">
        <v>18.97</v>
      </c>
      <c r="G13" s="12">
        <v>5</v>
      </c>
      <c r="H13" s="8">
        <v>6.17</v>
      </c>
      <c r="I13" s="12">
        <v>0</v>
      </c>
    </row>
    <row r="14" spans="2:9" ht="15" customHeight="1" x14ac:dyDescent="0.2">
      <c r="B14" t="s">
        <v>199</v>
      </c>
      <c r="C14" s="12">
        <v>8</v>
      </c>
      <c r="D14" s="8">
        <v>2.85</v>
      </c>
      <c r="E14" s="12">
        <v>6</v>
      </c>
      <c r="F14" s="8">
        <v>3.08</v>
      </c>
      <c r="G14" s="12">
        <v>2</v>
      </c>
      <c r="H14" s="8">
        <v>2.4700000000000002</v>
      </c>
      <c r="I14" s="12">
        <v>0</v>
      </c>
    </row>
    <row r="15" spans="2:9" ht="15" customHeight="1" x14ac:dyDescent="0.2">
      <c r="B15" t="s">
        <v>200</v>
      </c>
      <c r="C15" s="12">
        <v>74</v>
      </c>
      <c r="D15" s="8">
        <v>26.33</v>
      </c>
      <c r="E15" s="12">
        <v>65</v>
      </c>
      <c r="F15" s="8">
        <v>33.33</v>
      </c>
      <c r="G15" s="12">
        <v>9</v>
      </c>
      <c r="H15" s="8">
        <v>11.11</v>
      </c>
      <c r="I15" s="12">
        <v>0</v>
      </c>
    </row>
    <row r="16" spans="2:9" ht="15" customHeight="1" x14ac:dyDescent="0.2">
      <c r="B16" t="s">
        <v>201</v>
      </c>
      <c r="C16" s="12">
        <v>31</v>
      </c>
      <c r="D16" s="8">
        <v>11.03</v>
      </c>
      <c r="E16" s="12">
        <v>27</v>
      </c>
      <c r="F16" s="8">
        <v>13.85</v>
      </c>
      <c r="G16" s="12">
        <v>4</v>
      </c>
      <c r="H16" s="8">
        <v>4.9400000000000004</v>
      </c>
      <c r="I16" s="12">
        <v>0</v>
      </c>
    </row>
    <row r="17" spans="2:9" ht="15" customHeight="1" x14ac:dyDescent="0.2">
      <c r="B17" t="s">
        <v>202</v>
      </c>
      <c r="C17" s="12">
        <v>6</v>
      </c>
      <c r="D17" s="8">
        <v>2.14</v>
      </c>
      <c r="E17" s="12">
        <v>3</v>
      </c>
      <c r="F17" s="8">
        <v>1.54</v>
      </c>
      <c r="G17" s="12">
        <v>1</v>
      </c>
      <c r="H17" s="8">
        <v>1.23</v>
      </c>
      <c r="I17" s="12">
        <v>0</v>
      </c>
    </row>
    <row r="18" spans="2:9" ht="15" customHeight="1" x14ac:dyDescent="0.2">
      <c r="B18" t="s">
        <v>203</v>
      </c>
      <c r="C18" s="12">
        <v>15</v>
      </c>
      <c r="D18" s="8">
        <v>5.34</v>
      </c>
      <c r="E18" s="12">
        <v>9</v>
      </c>
      <c r="F18" s="8">
        <v>4.62</v>
      </c>
      <c r="G18" s="12">
        <v>4</v>
      </c>
      <c r="H18" s="8">
        <v>4.9400000000000004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2.85</v>
      </c>
      <c r="E19" s="12">
        <v>5</v>
      </c>
      <c r="F19" s="8">
        <v>2.56</v>
      </c>
      <c r="G19" s="12">
        <v>3</v>
      </c>
      <c r="H19" s="8">
        <v>3.7</v>
      </c>
      <c r="I19" s="12">
        <v>0</v>
      </c>
    </row>
    <row r="20" spans="2:9" ht="15" customHeight="1" x14ac:dyDescent="0.2">
      <c r="B20" s="9" t="s">
        <v>529</v>
      </c>
      <c r="C20" s="12">
        <f>SUM(LTBL_01460[総数／事業所数])</f>
        <v>281</v>
      </c>
      <c r="E20" s="12">
        <f>SUBTOTAL(109,LTBL_01460[個人／事業所数])</f>
        <v>195</v>
      </c>
      <c r="G20" s="12">
        <f>SUBTOTAL(109,LTBL_01460[法人／事業所数])</f>
        <v>81</v>
      </c>
      <c r="I20" s="12">
        <f>SUBTOTAL(109,LTBL_01460[法人以外の団体／事業所数])</f>
        <v>0</v>
      </c>
    </row>
    <row r="21" spans="2:9" ht="15" customHeight="1" x14ac:dyDescent="0.2">
      <c r="E21" s="11">
        <f>LTBL_01460[[#Totals],[個人／事業所数]]/LTBL_01460[[#Totals],[総数／事業所数]]</f>
        <v>0.69395017793594305</v>
      </c>
      <c r="G21" s="11">
        <f>LTBL_01460[[#Totals],[法人／事業所数]]/LTBL_01460[[#Totals],[総数／事業所数]]</f>
        <v>0.28825622775800713</v>
      </c>
      <c r="I21" s="11">
        <f>LTBL_01460[[#Totals],[法人以外の団体／事業所数]]/LTBL_01460[[#Totals],[総数／事業所数]]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57</v>
      </c>
      <c r="D24" s="8">
        <v>20.28</v>
      </c>
      <c r="E24" s="12">
        <v>52</v>
      </c>
      <c r="F24" s="8">
        <v>26.67</v>
      </c>
      <c r="G24" s="12">
        <v>5</v>
      </c>
      <c r="H24" s="8">
        <v>6.17</v>
      </c>
      <c r="I24" s="12">
        <v>0</v>
      </c>
    </row>
    <row r="25" spans="2:9" ht="15" customHeight="1" x14ac:dyDescent="0.2">
      <c r="B25" t="s">
        <v>224</v>
      </c>
      <c r="C25" s="12">
        <v>38</v>
      </c>
      <c r="D25" s="8">
        <v>13.52</v>
      </c>
      <c r="E25" s="12">
        <v>36</v>
      </c>
      <c r="F25" s="8">
        <v>18.46</v>
      </c>
      <c r="G25" s="12">
        <v>2</v>
      </c>
      <c r="H25" s="8">
        <v>2.4700000000000002</v>
      </c>
      <c r="I25" s="12">
        <v>0</v>
      </c>
    </row>
    <row r="26" spans="2:9" ht="15" customHeight="1" x14ac:dyDescent="0.2">
      <c r="B26" t="s">
        <v>228</v>
      </c>
      <c r="C26" s="12">
        <v>28</v>
      </c>
      <c r="D26" s="8">
        <v>9.9600000000000009</v>
      </c>
      <c r="E26" s="12">
        <v>26</v>
      </c>
      <c r="F26" s="8">
        <v>13.33</v>
      </c>
      <c r="G26" s="12">
        <v>2</v>
      </c>
      <c r="H26" s="8">
        <v>2.4700000000000002</v>
      </c>
      <c r="I26" s="12">
        <v>0</v>
      </c>
    </row>
    <row r="27" spans="2:9" ht="15" customHeight="1" x14ac:dyDescent="0.2">
      <c r="B27" t="s">
        <v>223</v>
      </c>
      <c r="C27" s="12">
        <v>22</v>
      </c>
      <c r="D27" s="8">
        <v>7.83</v>
      </c>
      <c r="E27" s="12">
        <v>11</v>
      </c>
      <c r="F27" s="8">
        <v>5.64</v>
      </c>
      <c r="G27" s="12">
        <v>11</v>
      </c>
      <c r="H27" s="8">
        <v>13.58</v>
      </c>
      <c r="I27" s="12">
        <v>0</v>
      </c>
    </row>
    <row r="28" spans="2:9" ht="15" customHeight="1" x14ac:dyDescent="0.2">
      <c r="B28" t="s">
        <v>243</v>
      </c>
      <c r="C28" s="12">
        <v>15</v>
      </c>
      <c r="D28" s="8">
        <v>5.34</v>
      </c>
      <c r="E28" s="12">
        <v>12</v>
      </c>
      <c r="F28" s="8">
        <v>6.15</v>
      </c>
      <c r="G28" s="12">
        <v>3</v>
      </c>
      <c r="H28" s="8">
        <v>3.7</v>
      </c>
      <c r="I28" s="12">
        <v>0</v>
      </c>
    </row>
    <row r="29" spans="2:9" ht="15" customHeight="1" x14ac:dyDescent="0.2">
      <c r="B29" t="s">
        <v>221</v>
      </c>
      <c r="C29" s="12">
        <v>11</v>
      </c>
      <c r="D29" s="8">
        <v>3.91</v>
      </c>
      <c r="E29" s="12">
        <v>7</v>
      </c>
      <c r="F29" s="8">
        <v>3.59</v>
      </c>
      <c r="G29" s="12">
        <v>4</v>
      </c>
      <c r="H29" s="8">
        <v>4.9400000000000004</v>
      </c>
      <c r="I29" s="12">
        <v>0</v>
      </c>
    </row>
    <row r="30" spans="2:9" ht="15" customHeight="1" x14ac:dyDescent="0.2">
      <c r="B30" t="s">
        <v>222</v>
      </c>
      <c r="C30" s="12">
        <v>11</v>
      </c>
      <c r="D30" s="8">
        <v>3.91</v>
      </c>
      <c r="E30" s="12">
        <v>5</v>
      </c>
      <c r="F30" s="8">
        <v>2.56</v>
      </c>
      <c r="G30" s="12">
        <v>6</v>
      </c>
      <c r="H30" s="8">
        <v>7.41</v>
      </c>
      <c r="I30" s="12">
        <v>0</v>
      </c>
    </row>
    <row r="31" spans="2:9" ht="15" customHeight="1" x14ac:dyDescent="0.2">
      <c r="B31" t="s">
        <v>231</v>
      </c>
      <c r="C31" s="12">
        <v>10</v>
      </c>
      <c r="D31" s="8">
        <v>3.56</v>
      </c>
      <c r="E31" s="12">
        <v>9</v>
      </c>
      <c r="F31" s="8">
        <v>4.62</v>
      </c>
      <c r="G31" s="12">
        <v>1</v>
      </c>
      <c r="H31" s="8">
        <v>1.23</v>
      </c>
      <c r="I31" s="12">
        <v>0</v>
      </c>
    </row>
    <row r="32" spans="2:9" ht="15" customHeight="1" x14ac:dyDescent="0.2">
      <c r="B32" t="s">
        <v>220</v>
      </c>
      <c r="C32" s="12">
        <v>9</v>
      </c>
      <c r="D32" s="8">
        <v>3.2</v>
      </c>
      <c r="E32" s="12">
        <v>5</v>
      </c>
      <c r="F32" s="8">
        <v>2.56</v>
      </c>
      <c r="G32" s="12">
        <v>4</v>
      </c>
      <c r="H32" s="8">
        <v>4.9400000000000004</v>
      </c>
      <c r="I32" s="12">
        <v>0</v>
      </c>
    </row>
    <row r="33" spans="2:9" ht="15" customHeight="1" x14ac:dyDescent="0.2">
      <c r="B33" t="s">
        <v>213</v>
      </c>
      <c r="C33" s="12">
        <v>8</v>
      </c>
      <c r="D33" s="8">
        <v>2.85</v>
      </c>
      <c r="E33" s="12">
        <v>1</v>
      </c>
      <c r="F33" s="8">
        <v>0.51</v>
      </c>
      <c r="G33" s="12">
        <v>7</v>
      </c>
      <c r="H33" s="8">
        <v>8.64</v>
      </c>
      <c r="I33" s="12">
        <v>0</v>
      </c>
    </row>
    <row r="34" spans="2:9" ht="15" customHeight="1" x14ac:dyDescent="0.2">
      <c r="B34" t="s">
        <v>236</v>
      </c>
      <c r="C34" s="12">
        <v>7</v>
      </c>
      <c r="D34" s="8">
        <v>2.4900000000000002</v>
      </c>
      <c r="E34" s="12">
        <v>4</v>
      </c>
      <c r="F34" s="8">
        <v>2.0499999999999998</v>
      </c>
      <c r="G34" s="12">
        <v>3</v>
      </c>
      <c r="H34" s="8">
        <v>3.7</v>
      </c>
      <c r="I34" s="12">
        <v>0</v>
      </c>
    </row>
    <row r="35" spans="2:9" ht="15" customHeight="1" x14ac:dyDescent="0.2">
      <c r="B35" t="s">
        <v>230</v>
      </c>
      <c r="C35" s="12">
        <v>6</v>
      </c>
      <c r="D35" s="8">
        <v>2.14</v>
      </c>
      <c r="E35" s="12">
        <v>3</v>
      </c>
      <c r="F35" s="8">
        <v>1.54</v>
      </c>
      <c r="G35" s="12">
        <v>1</v>
      </c>
      <c r="H35" s="8">
        <v>1.23</v>
      </c>
      <c r="I35" s="12">
        <v>0</v>
      </c>
    </row>
    <row r="36" spans="2:9" ht="15" customHeight="1" x14ac:dyDescent="0.2">
      <c r="B36" t="s">
        <v>214</v>
      </c>
      <c r="C36" s="12">
        <v>5</v>
      </c>
      <c r="D36" s="8">
        <v>1.78</v>
      </c>
      <c r="E36" s="12">
        <v>3</v>
      </c>
      <c r="F36" s="8">
        <v>1.54</v>
      </c>
      <c r="G36" s="12">
        <v>2</v>
      </c>
      <c r="H36" s="8">
        <v>2.4700000000000002</v>
      </c>
      <c r="I36" s="12">
        <v>0</v>
      </c>
    </row>
    <row r="37" spans="2:9" ht="15" customHeight="1" x14ac:dyDescent="0.2">
      <c r="B37" t="s">
        <v>232</v>
      </c>
      <c r="C37" s="12">
        <v>5</v>
      </c>
      <c r="D37" s="8">
        <v>1.78</v>
      </c>
      <c r="E37" s="12">
        <v>0</v>
      </c>
      <c r="F37" s="8">
        <v>0</v>
      </c>
      <c r="G37" s="12">
        <v>3</v>
      </c>
      <c r="H37" s="8">
        <v>3.7</v>
      </c>
      <c r="I37" s="12">
        <v>0</v>
      </c>
    </row>
    <row r="38" spans="2:9" ht="15" customHeight="1" x14ac:dyDescent="0.2">
      <c r="B38" t="s">
        <v>225</v>
      </c>
      <c r="C38" s="12">
        <v>4</v>
      </c>
      <c r="D38" s="8">
        <v>1.42</v>
      </c>
      <c r="E38" s="12">
        <v>3</v>
      </c>
      <c r="F38" s="8">
        <v>1.54</v>
      </c>
      <c r="G38" s="12">
        <v>1</v>
      </c>
      <c r="H38" s="8">
        <v>1.23</v>
      </c>
      <c r="I38" s="12">
        <v>0</v>
      </c>
    </row>
    <row r="39" spans="2:9" ht="15" customHeight="1" x14ac:dyDescent="0.2">
      <c r="B39" t="s">
        <v>226</v>
      </c>
      <c r="C39" s="12">
        <v>4</v>
      </c>
      <c r="D39" s="8">
        <v>1.42</v>
      </c>
      <c r="E39" s="12">
        <v>3</v>
      </c>
      <c r="F39" s="8">
        <v>1.54</v>
      </c>
      <c r="G39" s="12">
        <v>1</v>
      </c>
      <c r="H39" s="8">
        <v>1.23</v>
      </c>
      <c r="I39" s="12">
        <v>0</v>
      </c>
    </row>
    <row r="40" spans="2:9" ht="15" customHeight="1" x14ac:dyDescent="0.2">
      <c r="B40" t="s">
        <v>215</v>
      </c>
      <c r="C40" s="12">
        <v>3</v>
      </c>
      <c r="D40" s="8">
        <v>1.07</v>
      </c>
      <c r="E40" s="12">
        <v>0</v>
      </c>
      <c r="F40" s="8">
        <v>0</v>
      </c>
      <c r="G40" s="12">
        <v>3</v>
      </c>
      <c r="H40" s="8">
        <v>3.7</v>
      </c>
      <c r="I40" s="12">
        <v>0</v>
      </c>
    </row>
    <row r="41" spans="2:9" ht="15" customHeight="1" x14ac:dyDescent="0.2">
      <c r="B41" t="s">
        <v>241</v>
      </c>
      <c r="C41" s="12">
        <v>3</v>
      </c>
      <c r="D41" s="8">
        <v>1.07</v>
      </c>
      <c r="E41" s="12">
        <v>1</v>
      </c>
      <c r="F41" s="8">
        <v>0.51</v>
      </c>
      <c r="G41" s="12">
        <v>2</v>
      </c>
      <c r="H41" s="8">
        <v>2.4700000000000002</v>
      </c>
      <c r="I41" s="12">
        <v>0</v>
      </c>
    </row>
    <row r="42" spans="2:9" ht="15" customHeight="1" x14ac:dyDescent="0.2">
      <c r="B42" t="s">
        <v>248</v>
      </c>
      <c r="C42" s="12">
        <v>3</v>
      </c>
      <c r="D42" s="8">
        <v>1.07</v>
      </c>
      <c r="E42" s="12">
        <v>2</v>
      </c>
      <c r="F42" s="8">
        <v>1.03</v>
      </c>
      <c r="G42" s="12">
        <v>1</v>
      </c>
      <c r="H42" s="8">
        <v>1.23</v>
      </c>
      <c r="I42" s="12">
        <v>0</v>
      </c>
    </row>
    <row r="43" spans="2:9" ht="15" customHeight="1" x14ac:dyDescent="0.2">
      <c r="B43" t="s">
        <v>216</v>
      </c>
      <c r="C43" s="12">
        <v>3</v>
      </c>
      <c r="D43" s="8">
        <v>1.07</v>
      </c>
      <c r="E43" s="12">
        <v>1</v>
      </c>
      <c r="F43" s="8">
        <v>0.51</v>
      </c>
      <c r="G43" s="12">
        <v>2</v>
      </c>
      <c r="H43" s="8">
        <v>2.4700000000000002</v>
      </c>
      <c r="I43" s="12">
        <v>0</v>
      </c>
    </row>
    <row r="44" spans="2:9" ht="15" customHeight="1" x14ac:dyDescent="0.2">
      <c r="B44" t="s">
        <v>242</v>
      </c>
      <c r="C44" s="12">
        <v>3</v>
      </c>
      <c r="D44" s="8">
        <v>1.07</v>
      </c>
      <c r="E44" s="12">
        <v>2</v>
      </c>
      <c r="F44" s="8">
        <v>1.03</v>
      </c>
      <c r="G44" s="12">
        <v>1</v>
      </c>
      <c r="H44" s="8">
        <v>1.23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297</v>
      </c>
      <c r="C48" s="12">
        <v>38</v>
      </c>
      <c r="D48" s="8">
        <v>13.52</v>
      </c>
      <c r="E48" s="12">
        <v>36</v>
      </c>
      <c r="F48" s="8">
        <v>18.46</v>
      </c>
      <c r="G48" s="12">
        <v>2</v>
      </c>
      <c r="H48" s="8">
        <v>2.4700000000000002</v>
      </c>
      <c r="I48" s="12">
        <v>0</v>
      </c>
    </row>
    <row r="49" spans="2:9" ht="15" customHeight="1" x14ac:dyDescent="0.2">
      <c r="B49" t="s">
        <v>301</v>
      </c>
      <c r="C49" s="12">
        <v>22</v>
      </c>
      <c r="D49" s="8">
        <v>7.83</v>
      </c>
      <c r="E49" s="12">
        <v>22</v>
      </c>
      <c r="F49" s="8">
        <v>11.28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299</v>
      </c>
      <c r="C50" s="12">
        <v>14</v>
      </c>
      <c r="D50" s="8">
        <v>4.9800000000000004</v>
      </c>
      <c r="E50" s="12">
        <v>12</v>
      </c>
      <c r="F50" s="8">
        <v>6.15</v>
      </c>
      <c r="G50" s="12">
        <v>2</v>
      </c>
      <c r="H50" s="8">
        <v>2.4700000000000002</v>
      </c>
      <c r="I50" s="12">
        <v>0</v>
      </c>
    </row>
    <row r="51" spans="2:9" ht="15" customHeight="1" x14ac:dyDescent="0.2">
      <c r="B51" t="s">
        <v>304</v>
      </c>
      <c r="C51" s="12">
        <v>13</v>
      </c>
      <c r="D51" s="8">
        <v>4.63</v>
      </c>
      <c r="E51" s="12">
        <v>13</v>
      </c>
      <c r="F51" s="8">
        <v>6.67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303</v>
      </c>
      <c r="C52" s="12">
        <v>12</v>
      </c>
      <c r="D52" s="8">
        <v>4.2699999999999996</v>
      </c>
      <c r="E52" s="12">
        <v>12</v>
      </c>
      <c r="F52" s="8">
        <v>6.15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339</v>
      </c>
      <c r="C53" s="12">
        <v>10</v>
      </c>
      <c r="D53" s="8">
        <v>3.56</v>
      </c>
      <c r="E53" s="12">
        <v>8</v>
      </c>
      <c r="F53" s="8">
        <v>4.0999999999999996</v>
      </c>
      <c r="G53" s="12">
        <v>2</v>
      </c>
      <c r="H53" s="8">
        <v>2.4700000000000002</v>
      </c>
      <c r="I53" s="12">
        <v>0</v>
      </c>
    </row>
    <row r="54" spans="2:9" ht="15" customHeight="1" x14ac:dyDescent="0.2">
      <c r="B54" t="s">
        <v>328</v>
      </c>
      <c r="C54" s="12">
        <v>6</v>
      </c>
      <c r="D54" s="8">
        <v>2.14</v>
      </c>
      <c r="E54" s="12">
        <v>0</v>
      </c>
      <c r="F54" s="8">
        <v>0</v>
      </c>
      <c r="G54" s="12">
        <v>6</v>
      </c>
      <c r="H54" s="8">
        <v>7.41</v>
      </c>
      <c r="I54" s="12">
        <v>0</v>
      </c>
    </row>
    <row r="55" spans="2:9" ht="15" customHeight="1" x14ac:dyDescent="0.2">
      <c r="B55" t="s">
        <v>314</v>
      </c>
      <c r="C55" s="12">
        <v>6</v>
      </c>
      <c r="D55" s="8">
        <v>2.14</v>
      </c>
      <c r="E55" s="12">
        <v>3</v>
      </c>
      <c r="F55" s="8">
        <v>1.54</v>
      </c>
      <c r="G55" s="12">
        <v>3</v>
      </c>
      <c r="H55" s="8">
        <v>3.7</v>
      </c>
      <c r="I55" s="12">
        <v>0</v>
      </c>
    </row>
    <row r="56" spans="2:9" ht="15" customHeight="1" x14ac:dyDescent="0.2">
      <c r="B56" t="s">
        <v>295</v>
      </c>
      <c r="C56" s="12">
        <v>6</v>
      </c>
      <c r="D56" s="8">
        <v>2.14</v>
      </c>
      <c r="E56" s="12">
        <v>3</v>
      </c>
      <c r="F56" s="8">
        <v>1.54</v>
      </c>
      <c r="G56" s="12">
        <v>3</v>
      </c>
      <c r="H56" s="8">
        <v>3.7</v>
      </c>
      <c r="I56" s="12">
        <v>0</v>
      </c>
    </row>
    <row r="57" spans="2:9" ht="15" customHeight="1" x14ac:dyDescent="0.2">
      <c r="B57" t="s">
        <v>300</v>
      </c>
      <c r="C57" s="12">
        <v>6</v>
      </c>
      <c r="D57" s="8">
        <v>2.14</v>
      </c>
      <c r="E57" s="12">
        <v>5</v>
      </c>
      <c r="F57" s="8">
        <v>2.56</v>
      </c>
      <c r="G57" s="12">
        <v>1</v>
      </c>
      <c r="H57" s="8">
        <v>1.23</v>
      </c>
      <c r="I57" s="12">
        <v>0</v>
      </c>
    </row>
    <row r="58" spans="2:9" ht="15" customHeight="1" x14ac:dyDescent="0.2">
      <c r="B58" t="s">
        <v>302</v>
      </c>
      <c r="C58" s="12">
        <v>6</v>
      </c>
      <c r="D58" s="8">
        <v>2.14</v>
      </c>
      <c r="E58" s="12">
        <v>5</v>
      </c>
      <c r="F58" s="8">
        <v>2.56</v>
      </c>
      <c r="G58" s="12">
        <v>1</v>
      </c>
      <c r="H58" s="8">
        <v>1.23</v>
      </c>
      <c r="I58" s="12">
        <v>0</v>
      </c>
    </row>
    <row r="59" spans="2:9" ht="15" customHeight="1" x14ac:dyDescent="0.2">
      <c r="B59" t="s">
        <v>306</v>
      </c>
      <c r="C59" s="12">
        <v>6</v>
      </c>
      <c r="D59" s="8">
        <v>2.14</v>
      </c>
      <c r="E59" s="12">
        <v>6</v>
      </c>
      <c r="F59" s="8">
        <v>3.08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335</v>
      </c>
      <c r="C60" s="12">
        <v>5</v>
      </c>
      <c r="D60" s="8">
        <v>1.78</v>
      </c>
      <c r="E60" s="12">
        <v>2</v>
      </c>
      <c r="F60" s="8">
        <v>1.03</v>
      </c>
      <c r="G60" s="12">
        <v>3</v>
      </c>
      <c r="H60" s="8">
        <v>3.7</v>
      </c>
      <c r="I60" s="12">
        <v>0</v>
      </c>
    </row>
    <row r="61" spans="2:9" ht="15" customHeight="1" x14ac:dyDescent="0.2">
      <c r="B61" t="s">
        <v>344</v>
      </c>
      <c r="C61" s="12">
        <v>5</v>
      </c>
      <c r="D61" s="8">
        <v>1.78</v>
      </c>
      <c r="E61" s="12">
        <v>4</v>
      </c>
      <c r="F61" s="8">
        <v>2.0499999999999998</v>
      </c>
      <c r="G61" s="12">
        <v>1</v>
      </c>
      <c r="H61" s="8">
        <v>1.23</v>
      </c>
      <c r="I61" s="12">
        <v>0</v>
      </c>
    </row>
    <row r="62" spans="2:9" ht="15" customHeight="1" x14ac:dyDescent="0.2">
      <c r="B62" t="s">
        <v>422</v>
      </c>
      <c r="C62" s="12">
        <v>5</v>
      </c>
      <c r="D62" s="8">
        <v>1.78</v>
      </c>
      <c r="E62" s="12">
        <v>4</v>
      </c>
      <c r="F62" s="8">
        <v>2.0499999999999998</v>
      </c>
      <c r="G62" s="12">
        <v>1</v>
      </c>
      <c r="H62" s="8">
        <v>1.23</v>
      </c>
      <c r="I62" s="12">
        <v>0</v>
      </c>
    </row>
    <row r="63" spans="2:9" ht="15" customHeight="1" x14ac:dyDescent="0.2">
      <c r="B63" t="s">
        <v>332</v>
      </c>
      <c r="C63" s="12">
        <v>4</v>
      </c>
      <c r="D63" s="8">
        <v>1.42</v>
      </c>
      <c r="E63" s="12">
        <v>2</v>
      </c>
      <c r="F63" s="8">
        <v>1.03</v>
      </c>
      <c r="G63" s="12">
        <v>2</v>
      </c>
      <c r="H63" s="8">
        <v>2.4700000000000002</v>
      </c>
      <c r="I63" s="12">
        <v>0</v>
      </c>
    </row>
    <row r="64" spans="2:9" ht="15" customHeight="1" x14ac:dyDescent="0.2">
      <c r="B64" t="s">
        <v>293</v>
      </c>
      <c r="C64" s="12">
        <v>4</v>
      </c>
      <c r="D64" s="8">
        <v>1.42</v>
      </c>
      <c r="E64" s="12">
        <v>2</v>
      </c>
      <c r="F64" s="8">
        <v>1.03</v>
      </c>
      <c r="G64" s="12">
        <v>2</v>
      </c>
      <c r="H64" s="8">
        <v>2.4700000000000002</v>
      </c>
      <c r="I64" s="12">
        <v>0</v>
      </c>
    </row>
    <row r="65" spans="2:9" ht="15" customHeight="1" x14ac:dyDescent="0.2">
      <c r="B65" t="s">
        <v>294</v>
      </c>
      <c r="C65" s="12">
        <v>4</v>
      </c>
      <c r="D65" s="8">
        <v>1.42</v>
      </c>
      <c r="E65" s="12">
        <v>2</v>
      </c>
      <c r="F65" s="8">
        <v>1.03</v>
      </c>
      <c r="G65" s="12">
        <v>2</v>
      </c>
      <c r="H65" s="8">
        <v>2.4700000000000002</v>
      </c>
      <c r="I65" s="12">
        <v>0</v>
      </c>
    </row>
    <row r="66" spans="2:9" ht="15" customHeight="1" x14ac:dyDescent="0.2">
      <c r="B66" t="s">
        <v>330</v>
      </c>
      <c r="C66" s="12">
        <v>4</v>
      </c>
      <c r="D66" s="8">
        <v>1.42</v>
      </c>
      <c r="E66" s="12">
        <v>0</v>
      </c>
      <c r="F66" s="8">
        <v>0</v>
      </c>
      <c r="G66" s="12">
        <v>4</v>
      </c>
      <c r="H66" s="8">
        <v>4.9400000000000004</v>
      </c>
      <c r="I66" s="12">
        <v>0</v>
      </c>
    </row>
    <row r="67" spans="2:9" ht="15" customHeight="1" x14ac:dyDescent="0.2">
      <c r="B67" t="s">
        <v>334</v>
      </c>
      <c r="C67" s="12">
        <v>4</v>
      </c>
      <c r="D67" s="8">
        <v>1.42</v>
      </c>
      <c r="E67" s="12">
        <v>4</v>
      </c>
      <c r="F67" s="8">
        <v>2.0499999999999998</v>
      </c>
      <c r="G67" s="12">
        <v>0</v>
      </c>
      <c r="H67" s="8">
        <v>0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513BF-E567-4442-8329-E75ED34BDDC9}">
  <sheetPr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9</v>
      </c>
      <c r="D6" s="8">
        <v>8.49</v>
      </c>
      <c r="E6" s="12">
        <v>3</v>
      </c>
      <c r="F6" s="8">
        <v>4.1100000000000003</v>
      </c>
      <c r="G6" s="12">
        <v>6</v>
      </c>
      <c r="H6" s="8">
        <v>20</v>
      </c>
      <c r="I6" s="12">
        <v>0</v>
      </c>
    </row>
    <row r="7" spans="2:9" ht="15" customHeight="1" x14ac:dyDescent="0.2">
      <c r="B7" t="s">
        <v>192</v>
      </c>
      <c r="C7" s="12">
        <v>4</v>
      </c>
      <c r="D7" s="8">
        <v>3.77</v>
      </c>
      <c r="E7" s="12">
        <v>2</v>
      </c>
      <c r="F7" s="8">
        <v>2.74</v>
      </c>
      <c r="G7" s="12">
        <v>2</v>
      </c>
      <c r="H7" s="8">
        <v>6.67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0.94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0.94</v>
      </c>
      <c r="E9" s="12">
        <v>0</v>
      </c>
      <c r="F9" s="8">
        <v>0</v>
      </c>
      <c r="G9" s="12">
        <v>1</v>
      </c>
      <c r="H9" s="8">
        <v>3.33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24</v>
      </c>
      <c r="D11" s="8">
        <v>22.64</v>
      </c>
      <c r="E11" s="12">
        <v>16</v>
      </c>
      <c r="F11" s="8">
        <v>21.92</v>
      </c>
      <c r="G11" s="12">
        <v>8</v>
      </c>
      <c r="H11" s="8">
        <v>26.67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4</v>
      </c>
      <c r="D13" s="8">
        <v>3.77</v>
      </c>
      <c r="E13" s="12">
        <v>2</v>
      </c>
      <c r="F13" s="8">
        <v>2.74</v>
      </c>
      <c r="G13" s="12">
        <v>2</v>
      </c>
      <c r="H13" s="8">
        <v>6.67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42</v>
      </c>
      <c r="D15" s="8">
        <v>39.619999999999997</v>
      </c>
      <c r="E15" s="12">
        <v>34</v>
      </c>
      <c r="F15" s="8">
        <v>46.58</v>
      </c>
      <c r="G15" s="12">
        <v>8</v>
      </c>
      <c r="H15" s="8">
        <v>26.67</v>
      </c>
      <c r="I15" s="12">
        <v>0</v>
      </c>
    </row>
    <row r="16" spans="2:9" ht="15" customHeight="1" x14ac:dyDescent="0.2">
      <c r="B16" t="s">
        <v>201</v>
      </c>
      <c r="C16" s="12">
        <v>10</v>
      </c>
      <c r="D16" s="8">
        <v>9.43</v>
      </c>
      <c r="E16" s="12">
        <v>9</v>
      </c>
      <c r="F16" s="8">
        <v>12.33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4.72</v>
      </c>
      <c r="E17" s="12">
        <v>3</v>
      </c>
      <c r="F17" s="8">
        <v>4.1100000000000003</v>
      </c>
      <c r="G17" s="12">
        <v>1</v>
      </c>
      <c r="H17" s="8">
        <v>3.33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1.89</v>
      </c>
      <c r="E18" s="12">
        <v>2</v>
      </c>
      <c r="F18" s="8">
        <v>2.74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3.77</v>
      </c>
      <c r="E19" s="12">
        <v>2</v>
      </c>
      <c r="F19" s="8">
        <v>2.74</v>
      </c>
      <c r="G19" s="12">
        <v>2</v>
      </c>
      <c r="H19" s="8">
        <v>6.67</v>
      </c>
      <c r="I19" s="12">
        <v>0</v>
      </c>
    </row>
    <row r="20" spans="2:9" ht="15" customHeight="1" x14ac:dyDescent="0.2">
      <c r="B20" s="9" t="s">
        <v>529</v>
      </c>
      <c r="C20" s="12">
        <f>SUM(LTBL_01461[総数／事業所数])</f>
        <v>106</v>
      </c>
      <c r="E20" s="12">
        <f>SUBTOTAL(109,LTBL_01461[個人／事業所数])</f>
        <v>73</v>
      </c>
      <c r="G20" s="12">
        <f>SUBTOTAL(109,LTBL_01461[法人／事業所数])</f>
        <v>30</v>
      </c>
      <c r="I20" s="12">
        <f>SUBTOTAL(109,LTBL_01461[法人以外の団体／事業所数])</f>
        <v>0</v>
      </c>
    </row>
    <row r="21" spans="2:9" ht="15" customHeight="1" x14ac:dyDescent="0.2">
      <c r="E21" s="11">
        <f>LTBL_01461[[#Totals],[個人／事業所数]]/LTBL_01461[[#Totals],[総数／事業所数]]</f>
        <v>0.68867924528301883</v>
      </c>
      <c r="G21" s="11">
        <f>LTBL_01461[[#Totals],[法人／事業所数]]/LTBL_01461[[#Totals],[総数／事業所数]]</f>
        <v>0.28301886792452829</v>
      </c>
      <c r="I21" s="11">
        <f>LTBL_01461[[#Totals],[法人以外の団体／事業所数]]/LTBL_01461[[#Totals],[総数／事業所数]]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20</v>
      </c>
      <c r="D24" s="8">
        <v>18.87</v>
      </c>
      <c r="E24" s="12">
        <v>18</v>
      </c>
      <c r="F24" s="8">
        <v>24.66</v>
      </c>
      <c r="G24" s="12">
        <v>2</v>
      </c>
      <c r="H24" s="8">
        <v>6.67</v>
      </c>
      <c r="I24" s="12">
        <v>0</v>
      </c>
    </row>
    <row r="25" spans="2:9" ht="15" customHeight="1" x14ac:dyDescent="0.2">
      <c r="B25" t="s">
        <v>243</v>
      </c>
      <c r="C25" s="12">
        <v>19</v>
      </c>
      <c r="D25" s="8">
        <v>17.920000000000002</v>
      </c>
      <c r="E25" s="12">
        <v>16</v>
      </c>
      <c r="F25" s="8">
        <v>21.92</v>
      </c>
      <c r="G25" s="12">
        <v>3</v>
      </c>
      <c r="H25" s="8">
        <v>10</v>
      </c>
      <c r="I25" s="12">
        <v>0</v>
      </c>
    </row>
    <row r="26" spans="2:9" ht="15" customHeight="1" x14ac:dyDescent="0.2">
      <c r="B26" t="s">
        <v>221</v>
      </c>
      <c r="C26" s="12">
        <v>9</v>
      </c>
      <c r="D26" s="8">
        <v>8.49</v>
      </c>
      <c r="E26" s="12">
        <v>8</v>
      </c>
      <c r="F26" s="8">
        <v>10.96</v>
      </c>
      <c r="G26" s="12">
        <v>1</v>
      </c>
      <c r="H26" s="8">
        <v>3.33</v>
      </c>
      <c r="I26" s="12">
        <v>0</v>
      </c>
    </row>
    <row r="27" spans="2:9" ht="15" customHeight="1" x14ac:dyDescent="0.2">
      <c r="B27" t="s">
        <v>228</v>
      </c>
      <c r="C27" s="12">
        <v>9</v>
      </c>
      <c r="D27" s="8">
        <v>8.49</v>
      </c>
      <c r="E27" s="12">
        <v>9</v>
      </c>
      <c r="F27" s="8">
        <v>12.33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223</v>
      </c>
      <c r="C28" s="12">
        <v>6</v>
      </c>
      <c r="D28" s="8">
        <v>5.66</v>
      </c>
      <c r="E28" s="12">
        <v>5</v>
      </c>
      <c r="F28" s="8">
        <v>6.85</v>
      </c>
      <c r="G28" s="12">
        <v>1</v>
      </c>
      <c r="H28" s="8">
        <v>3.33</v>
      </c>
      <c r="I28" s="12">
        <v>0</v>
      </c>
    </row>
    <row r="29" spans="2:9" ht="15" customHeight="1" x14ac:dyDescent="0.2">
      <c r="B29" t="s">
        <v>230</v>
      </c>
      <c r="C29" s="12">
        <v>5</v>
      </c>
      <c r="D29" s="8">
        <v>4.72</v>
      </c>
      <c r="E29" s="12">
        <v>3</v>
      </c>
      <c r="F29" s="8">
        <v>4.1100000000000003</v>
      </c>
      <c r="G29" s="12">
        <v>1</v>
      </c>
      <c r="H29" s="8">
        <v>3.33</v>
      </c>
      <c r="I29" s="12">
        <v>0</v>
      </c>
    </row>
    <row r="30" spans="2:9" ht="15" customHeight="1" x14ac:dyDescent="0.2">
      <c r="B30" t="s">
        <v>219</v>
      </c>
      <c r="C30" s="12">
        <v>4</v>
      </c>
      <c r="D30" s="8">
        <v>3.77</v>
      </c>
      <c r="E30" s="12">
        <v>0</v>
      </c>
      <c r="F30" s="8">
        <v>0</v>
      </c>
      <c r="G30" s="12">
        <v>4</v>
      </c>
      <c r="H30" s="8">
        <v>13.33</v>
      </c>
      <c r="I30" s="12">
        <v>0</v>
      </c>
    </row>
    <row r="31" spans="2:9" ht="15" customHeight="1" x14ac:dyDescent="0.2">
      <c r="B31" t="s">
        <v>213</v>
      </c>
      <c r="C31" s="12">
        <v>3</v>
      </c>
      <c r="D31" s="8">
        <v>2.83</v>
      </c>
      <c r="E31" s="12">
        <v>1</v>
      </c>
      <c r="F31" s="8">
        <v>1.37</v>
      </c>
      <c r="G31" s="12">
        <v>2</v>
      </c>
      <c r="H31" s="8">
        <v>6.67</v>
      </c>
      <c r="I31" s="12">
        <v>0</v>
      </c>
    </row>
    <row r="32" spans="2:9" ht="15" customHeight="1" x14ac:dyDescent="0.2">
      <c r="B32" t="s">
        <v>214</v>
      </c>
      <c r="C32" s="12">
        <v>3</v>
      </c>
      <c r="D32" s="8">
        <v>2.83</v>
      </c>
      <c r="E32" s="12">
        <v>2</v>
      </c>
      <c r="F32" s="8">
        <v>2.74</v>
      </c>
      <c r="G32" s="12">
        <v>1</v>
      </c>
      <c r="H32" s="8">
        <v>3.33</v>
      </c>
      <c r="I32" s="12">
        <v>0</v>
      </c>
    </row>
    <row r="33" spans="2:9" ht="15" customHeight="1" x14ac:dyDescent="0.2">
      <c r="B33" t="s">
        <v>215</v>
      </c>
      <c r="C33" s="12">
        <v>3</v>
      </c>
      <c r="D33" s="8">
        <v>2.83</v>
      </c>
      <c r="E33" s="12">
        <v>0</v>
      </c>
      <c r="F33" s="8">
        <v>0</v>
      </c>
      <c r="G33" s="12">
        <v>3</v>
      </c>
      <c r="H33" s="8">
        <v>10</v>
      </c>
      <c r="I33" s="12">
        <v>0</v>
      </c>
    </row>
    <row r="34" spans="2:9" ht="15" customHeight="1" x14ac:dyDescent="0.2">
      <c r="B34" t="s">
        <v>239</v>
      </c>
      <c r="C34" s="12">
        <v>3</v>
      </c>
      <c r="D34" s="8">
        <v>2.83</v>
      </c>
      <c r="E34" s="12">
        <v>0</v>
      </c>
      <c r="F34" s="8">
        <v>0</v>
      </c>
      <c r="G34" s="12">
        <v>3</v>
      </c>
      <c r="H34" s="8">
        <v>10</v>
      </c>
      <c r="I34" s="12">
        <v>0</v>
      </c>
    </row>
    <row r="35" spans="2:9" ht="15" customHeight="1" x14ac:dyDescent="0.2">
      <c r="B35" t="s">
        <v>240</v>
      </c>
      <c r="C35" s="12">
        <v>3</v>
      </c>
      <c r="D35" s="8">
        <v>2.83</v>
      </c>
      <c r="E35" s="12">
        <v>2</v>
      </c>
      <c r="F35" s="8">
        <v>2.74</v>
      </c>
      <c r="G35" s="12">
        <v>1</v>
      </c>
      <c r="H35" s="8">
        <v>3.33</v>
      </c>
      <c r="I35" s="12">
        <v>0</v>
      </c>
    </row>
    <row r="36" spans="2:9" ht="15" customHeight="1" x14ac:dyDescent="0.2">
      <c r="B36" t="s">
        <v>222</v>
      </c>
      <c r="C36" s="12">
        <v>2</v>
      </c>
      <c r="D36" s="8">
        <v>1.89</v>
      </c>
      <c r="E36" s="12">
        <v>2</v>
      </c>
      <c r="F36" s="8">
        <v>2.74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233</v>
      </c>
      <c r="C37" s="12">
        <v>2</v>
      </c>
      <c r="D37" s="8">
        <v>1.89</v>
      </c>
      <c r="E37" s="12">
        <v>0</v>
      </c>
      <c r="F37" s="8">
        <v>0</v>
      </c>
      <c r="G37" s="12">
        <v>2</v>
      </c>
      <c r="H37" s="8">
        <v>6.67</v>
      </c>
      <c r="I37" s="12">
        <v>0</v>
      </c>
    </row>
    <row r="38" spans="2:9" ht="15" customHeight="1" x14ac:dyDescent="0.2">
      <c r="B38" t="s">
        <v>224</v>
      </c>
      <c r="C38" s="12">
        <v>2</v>
      </c>
      <c r="D38" s="8">
        <v>1.89</v>
      </c>
      <c r="E38" s="12">
        <v>2</v>
      </c>
      <c r="F38" s="8">
        <v>2.74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231</v>
      </c>
      <c r="C39" s="12">
        <v>2</v>
      </c>
      <c r="D39" s="8">
        <v>1.89</v>
      </c>
      <c r="E39" s="12">
        <v>2</v>
      </c>
      <c r="F39" s="8">
        <v>2.74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241</v>
      </c>
      <c r="C40" s="12">
        <v>1</v>
      </c>
      <c r="D40" s="8">
        <v>0.94</v>
      </c>
      <c r="E40" s="12">
        <v>1</v>
      </c>
      <c r="F40" s="8">
        <v>1.37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262</v>
      </c>
      <c r="C41" s="12">
        <v>1</v>
      </c>
      <c r="D41" s="8">
        <v>0.94</v>
      </c>
      <c r="E41" s="12">
        <v>0</v>
      </c>
      <c r="F41" s="8">
        <v>0</v>
      </c>
      <c r="G41" s="12">
        <v>1</v>
      </c>
      <c r="H41" s="8">
        <v>3.33</v>
      </c>
      <c r="I41" s="12">
        <v>0</v>
      </c>
    </row>
    <row r="42" spans="2:9" ht="15" customHeight="1" x14ac:dyDescent="0.2">
      <c r="B42" t="s">
        <v>244</v>
      </c>
      <c r="C42" s="12">
        <v>1</v>
      </c>
      <c r="D42" s="8">
        <v>0.94</v>
      </c>
      <c r="E42" s="12">
        <v>0</v>
      </c>
      <c r="F42" s="8">
        <v>0</v>
      </c>
      <c r="G42" s="12">
        <v>1</v>
      </c>
      <c r="H42" s="8">
        <v>3.33</v>
      </c>
      <c r="I42" s="12">
        <v>0</v>
      </c>
    </row>
    <row r="43" spans="2:9" ht="15" customHeight="1" x14ac:dyDescent="0.2">
      <c r="B43" t="s">
        <v>268</v>
      </c>
      <c r="C43" s="12">
        <v>1</v>
      </c>
      <c r="D43" s="8">
        <v>0.94</v>
      </c>
      <c r="E43" s="12">
        <v>1</v>
      </c>
      <c r="F43" s="8">
        <v>1.37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255</v>
      </c>
      <c r="C44" s="12">
        <v>1</v>
      </c>
      <c r="D44" s="8">
        <v>0.94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235</v>
      </c>
      <c r="C45" s="12">
        <v>1</v>
      </c>
      <c r="D45" s="8">
        <v>0.94</v>
      </c>
      <c r="E45" s="12">
        <v>0</v>
      </c>
      <c r="F45" s="8">
        <v>0</v>
      </c>
      <c r="G45" s="12">
        <v>1</v>
      </c>
      <c r="H45" s="8">
        <v>3.33</v>
      </c>
      <c r="I45" s="12">
        <v>0</v>
      </c>
    </row>
    <row r="46" spans="2:9" ht="15" customHeight="1" x14ac:dyDescent="0.2">
      <c r="B46" t="s">
        <v>217</v>
      </c>
      <c r="C46" s="12">
        <v>1</v>
      </c>
      <c r="D46" s="8">
        <v>0.94</v>
      </c>
      <c r="E46" s="12">
        <v>0</v>
      </c>
      <c r="F46" s="8">
        <v>0</v>
      </c>
      <c r="G46" s="12">
        <v>1</v>
      </c>
      <c r="H46" s="8">
        <v>3.33</v>
      </c>
      <c r="I46" s="12">
        <v>0</v>
      </c>
    </row>
    <row r="47" spans="2:9" ht="15" customHeight="1" x14ac:dyDescent="0.2">
      <c r="B47" t="s">
        <v>220</v>
      </c>
      <c r="C47" s="12">
        <v>1</v>
      </c>
      <c r="D47" s="8">
        <v>0.94</v>
      </c>
      <c r="E47" s="12">
        <v>1</v>
      </c>
      <c r="F47" s="8">
        <v>1.37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236</v>
      </c>
      <c r="C48" s="12">
        <v>1</v>
      </c>
      <c r="D48" s="8">
        <v>0.94</v>
      </c>
      <c r="E48" s="12">
        <v>0</v>
      </c>
      <c r="F48" s="8">
        <v>0</v>
      </c>
      <c r="G48" s="12">
        <v>1</v>
      </c>
      <c r="H48" s="8">
        <v>3.33</v>
      </c>
      <c r="I48" s="12">
        <v>0</v>
      </c>
    </row>
    <row r="49" spans="2:9" ht="15" customHeight="1" x14ac:dyDescent="0.2">
      <c r="B49" t="s">
        <v>247</v>
      </c>
      <c r="C49" s="12">
        <v>1</v>
      </c>
      <c r="D49" s="8">
        <v>0.94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242</v>
      </c>
      <c r="C50" s="12">
        <v>1</v>
      </c>
      <c r="D50" s="8">
        <v>0.94</v>
      </c>
      <c r="E50" s="12">
        <v>0</v>
      </c>
      <c r="F50" s="8">
        <v>0</v>
      </c>
      <c r="G50" s="12">
        <v>1</v>
      </c>
      <c r="H50" s="8">
        <v>3.33</v>
      </c>
      <c r="I50" s="12">
        <v>0</v>
      </c>
    </row>
    <row r="53" spans="2:9" ht="33" customHeight="1" x14ac:dyDescent="0.2">
      <c r="B53" t="s">
        <v>531</v>
      </c>
      <c r="C53" s="10" t="s">
        <v>206</v>
      </c>
      <c r="D53" s="10" t="s">
        <v>207</v>
      </c>
      <c r="E53" s="10" t="s">
        <v>208</v>
      </c>
      <c r="F53" s="10" t="s">
        <v>209</v>
      </c>
      <c r="G53" s="10" t="s">
        <v>210</v>
      </c>
      <c r="H53" s="10" t="s">
        <v>211</v>
      </c>
      <c r="I53" s="10" t="s">
        <v>212</v>
      </c>
    </row>
    <row r="54" spans="2:9" ht="15" customHeight="1" x14ac:dyDescent="0.2">
      <c r="B54" t="s">
        <v>339</v>
      </c>
      <c r="C54" s="12">
        <v>13</v>
      </c>
      <c r="D54" s="8">
        <v>12.26</v>
      </c>
      <c r="E54" s="12">
        <v>12</v>
      </c>
      <c r="F54" s="8">
        <v>16.440000000000001</v>
      </c>
      <c r="G54" s="12">
        <v>1</v>
      </c>
      <c r="H54" s="8">
        <v>3.33</v>
      </c>
      <c r="I54" s="12">
        <v>0</v>
      </c>
    </row>
    <row r="55" spans="2:9" ht="15" customHeight="1" x14ac:dyDescent="0.2">
      <c r="B55" t="s">
        <v>302</v>
      </c>
      <c r="C55" s="12">
        <v>9</v>
      </c>
      <c r="D55" s="8">
        <v>8.49</v>
      </c>
      <c r="E55" s="12">
        <v>9</v>
      </c>
      <c r="F55" s="8">
        <v>12.33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422</v>
      </c>
      <c r="C56" s="12">
        <v>6</v>
      </c>
      <c r="D56" s="8">
        <v>5.66</v>
      </c>
      <c r="E56" s="12">
        <v>4</v>
      </c>
      <c r="F56" s="8">
        <v>5.48</v>
      </c>
      <c r="G56" s="12">
        <v>2</v>
      </c>
      <c r="H56" s="8">
        <v>6.67</v>
      </c>
      <c r="I56" s="12">
        <v>0</v>
      </c>
    </row>
    <row r="57" spans="2:9" ht="15" customHeight="1" x14ac:dyDescent="0.2">
      <c r="B57" t="s">
        <v>299</v>
      </c>
      <c r="C57" s="12">
        <v>5</v>
      </c>
      <c r="D57" s="8">
        <v>4.72</v>
      </c>
      <c r="E57" s="12">
        <v>4</v>
      </c>
      <c r="F57" s="8">
        <v>5.48</v>
      </c>
      <c r="G57" s="12">
        <v>1</v>
      </c>
      <c r="H57" s="8">
        <v>3.33</v>
      </c>
      <c r="I57" s="12">
        <v>0</v>
      </c>
    </row>
    <row r="58" spans="2:9" ht="15" customHeight="1" x14ac:dyDescent="0.2">
      <c r="B58" t="s">
        <v>309</v>
      </c>
      <c r="C58" s="12">
        <v>4</v>
      </c>
      <c r="D58" s="8">
        <v>3.77</v>
      </c>
      <c r="E58" s="12">
        <v>0</v>
      </c>
      <c r="F58" s="8">
        <v>0</v>
      </c>
      <c r="G58" s="12">
        <v>4</v>
      </c>
      <c r="H58" s="8">
        <v>13.33</v>
      </c>
      <c r="I58" s="12">
        <v>0</v>
      </c>
    </row>
    <row r="59" spans="2:9" ht="15" customHeight="1" x14ac:dyDescent="0.2">
      <c r="B59" t="s">
        <v>329</v>
      </c>
      <c r="C59" s="12">
        <v>4</v>
      </c>
      <c r="D59" s="8">
        <v>3.77</v>
      </c>
      <c r="E59" s="12">
        <v>4</v>
      </c>
      <c r="F59" s="8">
        <v>5.48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295</v>
      </c>
      <c r="C60" s="12">
        <v>4</v>
      </c>
      <c r="D60" s="8">
        <v>3.77</v>
      </c>
      <c r="E60" s="12">
        <v>4</v>
      </c>
      <c r="F60" s="8">
        <v>5.48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303</v>
      </c>
      <c r="C61" s="12">
        <v>4</v>
      </c>
      <c r="D61" s="8">
        <v>3.77</v>
      </c>
      <c r="E61" s="12">
        <v>4</v>
      </c>
      <c r="F61" s="8">
        <v>5.48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304</v>
      </c>
      <c r="C62" s="12">
        <v>4</v>
      </c>
      <c r="D62" s="8">
        <v>3.77</v>
      </c>
      <c r="E62" s="12">
        <v>4</v>
      </c>
      <c r="F62" s="8">
        <v>5.48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332</v>
      </c>
      <c r="C63" s="12">
        <v>3</v>
      </c>
      <c r="D63" s="8">
        <v>2.83</v>
      </c>
      <c r="E63" s="12">
        <v>3</v>
      </c>
      <c r="F63" s="8">
        <v>4.1100000000000003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307</v>
      </c>
      <c r="C64" s="12">
        <v>3</v>
      </c>
      <c r="D64" s="8">
        <v>2.83</v>
      </c>
      <c r="E64" s="12">
        <v>2</v>
      </c>
      <c r="F64" s="8">
        <v>2.74</v>
      </c>
      <c r="G64" s="12">
        <v>1</v>
      </c>
      <c r="H64" s="8">
        <v>3.33</v>
      </c>
      <c r="I64" s="12">
        <v>0</v>
      </c>
    </row>
    <row r="65" spans="2:9" ht="15" customHeight="1" x14ac:dyDescent="0.2">
      <c r="B65" t="s">
        <v>288</v>
      </c>
      <c r="C65" s="12">
        <v>2</v>
      </c>
      <c r="D65" s="8">
        <v>1.89</v>
      </c>
      <c r="E65" s="12">
        <v>0</v>
      </c>
      <c r="F65" s="8">
        <v>0</v>
      </c>
      <c r="G65" s="12">
        <v>2</v>
      </c>
      <c r="H65" s="8">
        <v>6.67</v>
      </c>
      <c r="I65" s="12">
        <v>0</v>
      </c>
    </row>
    <row r="66" spans="2:9" ht="15" customHeight="1" x14ac:dyDescent="0.2">
      <c r="B66" t="s">
        <v>333</v>
      </c>
      <c r="C66" s="12">
        <v>2</v>
      </c>
      <c r="D66" s="8">
        <v>1.89</v>
      </c>
      <c r="E66" s="12">
        <v>1</v>
      </c>
      <c r="F66" s="8">
        <v>1.37</v>
      </c>
      <c r="G66" s="12">
        <v>1</v>
      </c>
      <c r="H66" s="8">
        <v>3.33</v>
      </c>
      <c r="I66" s="12">
        <v>0</v>
      </c>
    </row>
    <row r="67" spans="2:9" ht="15" customHeight="1" x14ac:dyDescent="0.2">
      <c r="B67" t="s">
        <v>291</v>
      </c>
      <c r="C67" s="12">
        <v>2</v>
      </c>
      <c r="D67" s="8">
        <v>1.89</v>
      </c>
      <c r="E67" s="12">
        <v>0</v>
      </c>
      <c r="F67" s="8">
        <v>0</v>
      </c>
      <c r="G67" s="12">
        <v>2</v>
      </c>
      <c r="H67" s="8">
        <v>6.67</v>
      </c>
      <c r="I67" s="12">
        <v>0</v>
      </c>
    </row>
    <row r="68" spans="2:9" ht="15" customHeight="1" x14ac:dyDescent="0.2">
      <c r="B68" t="s">
        <v>389</v>
      </c>
      <c r="C68" s="12">
        <v>2</v>
      </c>
      <c r="D68" s="8">
        <v>1.89</v>
      </c>
      <c r="E68" s="12">
        <v>2</v>
      </c>
      <c r="F68" s="8">
        <v>2.74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310</v>
      </c>
      <c r="C69" s="12">
        <v>2</v>
      </c>
      <c r="D69" s="8">
        <v>1.89</v>
      </c>
      <c r="E69" s="12">
        <v>0</v>
      </c>
      <c r="F69" s="8">
        <v>0</v>
      </c>
      <c r="G69" s="12">
        <v>2</v>
      </c>
      <c r="H69" s="8">
        <v>6.67</v>
      </c>
      <c r="I69" s="12">
        <v>0</v>
      </c>
    </row>
    <row r="70" spans="2:9" ht="15" customHeight="1" x14ac:dyDescent="0.2">
      <c r="B70" t="s">
        <v>297</v>
      </c>
      <c r="C70" s="12">
        <v>2</v>
      </c>
      <c r="D70" s="8">
        <v>1.89</v>
      </c>
      <c r="E70" s="12">
        <v>2</v>
      </c>
      <c r="F70" s="8">
        <v>2.74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334</v>
      </c>
      <c r="C71" s="12">
        <v>2</v>
      </c>
      <c r="D71" s="8">
        <v>1.89</v>
      </c>
      <c r="E71" s="12">
        <v>2</v>
      </c>
      <c r="F71" s="8">
        <v>2.74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300</v>
      </c>
      <c r="C72" s="12">
        <v>2</v>
      </c>
      <c r="D72" s="8">
        <v>1.89</v>
      </c>
      <c r="E72" s="12">
        <v>1</v>
      </c>
      <c r="F72" s="8">
        <v>1.37</v>
      </c>
      <c r="G72" s="12">
        <v>1</v>
      </c>
      <c r="H72" s="8">
        <v>3.33</v>
      </c>
      <c r="I72" s="12">
        <v>0</v>
      </c>
    </row>
    <row r="73" spans="2:9" ht="15" customHeight="1" x14ac:dyDescent="0.2">
      <c r="B73" t="s">
        <v>423</v>
      </c>
      <c r="C73" s="12">
        <v>2</v>
      </c>
      <c r="D73" s="8">
        <v>1.89</v>
      </c>
      <c r="E73" s="12">
        <v>0</v>
      </c>
      <c r="F73" s="8">
        <v>0</v>
      </c>
      <c r="G73" s="12">
        <v>2</v>
      </c>
      <c r="H73" s="8">
        <v>6.67</v>
      </c>
      <c r="I73" s="12">
        <v>0</v>
      </c>
    </row>
    <row r="74" spans="2:9" ht="15" customHeight="1" x14ac:dyDescent="0.2">
      <c r="B74" t="s">
        <v>340</v>
      </c>
      <c r="C74" s="12">
        <v>2</v>
      </c>
      <c r="D74" s="8">
        <v>1.89</v>
      </c>
      <c r="E74" s="12">
        <v>1</v>
      </c>
      <c r="F74" s="8">
        <v>1.37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305</v>
      </c>
      <c r="C75" s="12">
        <v>2</v>
      </c>
      <c r="D75" s="8">
        <v>1.89</v>
      </c>
      <c r="E75" s="12">
        <v>1</v>
      </c>
      <c r="F75" s="8">
        <v>1.37</v>
      </c>
      <c r="G75" s="12">
        <v>1</v>
      </c>
      <c r="H75" s="8">
        <v>3.33</v>
      </c>
      <c r="I75" s="12">
        <v>0</v>
      </c>
    </row>
    <row r="77" spans="2:9" ht="15" customHeight="1" x14ac:dyDescent="0.2">
      <c r="B7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89353-12D7-41E8-BCD7-1BF958958C4E}">
  <sheetPr>
    <pageSetUpPr fitToPage="1"/>
  </sheetPr>
  <dimension ref="B2:I11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639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1.37</v>
      </c>
      <c r="E5" s="12">
        <v>0</v>
      </c>
      <c r="F5" s="8">
        <v>0</v>
      </c>
      <c r="G5" s="12">
        <v>1</v>
      </c>
      <c r="H5" s="8">
        <v>3.33</v>
      </c>
      <c r="I5" s="12">
        <v>0</v>
      </c>
    </row>
    <row r="6" spans="2:9" ht="15" customHeight="1" x14ac:dyDescent="0.2">
      <c r="B6" t="s">
        <v>191</v>
      </c>
      <c r="C6" s="12">
        <v>9</v>
      </c>
      <c r="D6" s="8">
        <v>12.33</v>
      </c>
      <c r="E6" s="12">
        <v>2</v>
      </c>
      <c r="F6" s="8">
        <v>5.41</v>
      </c>
      <c r="G6" s="12">
        <v>7</v>
      </c>
      <c r="H6" s="8">
        <v>23.33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8.2200000000000006</v>
      </c>
      <c r="E7" s="12">
        <v>3</v>
      </c>
      <c r="F7" s="8">
        <v>8.11</v>
      </c>
      <c r="G7" s="12">
        <v>3</v>
      </c>
      <c r="H7" s="8">
        <v>10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4.1100000000000003</v>
      </c>
      <c r="E8" s="12">
        <v>0</v>
      </c>
      <c r="F8" s="8">
        <v>0</v>
      </c>
      <c r="G8" s="12">
        <v>1</v>
      </c>
      <c r="H8" s="8">
        <v>3.33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5.48</v>
      </c>
      <c r="E10" s="12">
        <v>2</v>
      </c>
      <c r="F10" s="8">
        <v>5.41</v>
      </c>
      <c r="G10" s="12">
        <v>2</v>
      </c>
      <c r="H10" s="8">
        <v>6.67</v>
      </c>
      <c r="I10" s="12">
        <v>0</v>
      </c>
    </row>
    <row r="11" spans="2:9" ht="15" customHeight="1" x14ac:dyDescent="0.2">
      <c r="B11" t="s">
        <v>196</v>
      </c>
      <c r="C11" s="12">
        <v>11</v>
      </c>
      <c r="D11" s="8">
        <v>15.07</v>
      </c>
      <c r="E11" s="12">
        <v>5</v>
      </c>
      <c r="F11" s="8">
        <v>13.51</v>
      </c>
      <c r="G11" s="12">
        <v>6</v>
      </c>
      <c r="H11" s="8">
        <v>20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2.74</v>
      </c>
      <c r="E13" s="12">
        <v>0</v>
      </c>
      <c r="F13" s="8">
        <v>0</v>
      </c>
      <c r="G13" s="12">
        <v>2</v>
      </c>
      <c r="H13" s="8">
        <v>6.67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1.37</v>
      </c>
      <c r="E14" s="12">
        <v>1</v>
      </c>
      <c r="F14" s="8">
        <v>2.7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20</v>
      </c>
      <c r="D15" s="8">
        <v>27.4</v>
      </c>
      <c r="E15" s="12">
        <v>16</v>
      </c>
      <c r="F15" s="8">
        <v>43.24</v>
      </c>
      <c r="G15" s="12">
        <v>3</v>
      </c>
      <c r="H15" s="8">
        <v>10</v>
      </c>
      <c r="I15" s="12">
        <v>1</v>
      </c>
    </row>
    <row r="16" spans="2:9" ht="15" customHeight="1" x14ac:dyDescent="0.2">
      <c r="B16" t="s">
        <v>201</v>
      </c>
      <c r="C16" s="12">
        <v>9</v>
      </c>
      <c r="D16" s="8">
        <v>12.33</v>
      </c>
      <c r="E16" s="12">
        <v>6</v>
      </c>
      <c r="F16" s="8">
        <v>16.22</v>
      </c>
      <c r="G16" s="12">
        <v>1</v>
      </c>
      <c r="H16" s="8">
        <v>3.33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4.1100000000000003</v>
      </c>
      <c r="E18" s="12">
        <v>2</v>
      </c>
      <c r="F18" s="8">
        <v>5.41</v>
      </c>
      <c r="G18" s="12">
        <v>1</v>
      </c>
      <c r="H18" s="8">
        <v>3.33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5.48</v>
      </c>
      <c r="E19" s="12">
        <v>0</v>
      </c>
      <c r="F19" s="8">
        <v>0</v>
      </c>
      <c r="G19" s="12">
        <v>3</v>
      </c>
      <c r="H19" s="8">
        <v>10</v>
      </c>
      <c r="I19" s="12">
        <v>1</v>
      </c>
    </row>
    <row r="20" spans="2:9" ht="15" customHeight="1" x14ac:dyDescent="0.2">
      <c r="B20" s="9" t="s">
        <v>529</v>
      </c>
      <c r="C20" s="12">
        <f>SUM(LTBL_01462[総数／事業所数])</f>
        <v>73</v>
      </c>
      <c r="E20" s="12">
        <f>SUBTOTAL(109,LTBL_01462[個人／事業所数])</f>
        <v>37</v>
      </c>
      <c r="G20" s="12">
        <f>SUBTOTAL(109,LTBL_01462[法人／事業所数])</f>
        <v>30</v>
      </c>
      <c r="I20" s="12">
        <f>SUBTOTAL(109,LTBL_01462[法人以外の団体／事業所数])</f>
        <v>2</v>
      </c>
    </row>
    <row r="21" spans="2:9" ht="15" customHeight="1" x14ac:dyDescent="0.2">
      <c r="E21" s="11">
        <f>LTBL_01462[[#Totals],[個人／事業所数]]/LTBL_01462[[#Totals],[総数／事業所数]]</f>
        <v>0.50684931506849318</v>
      </c>
      <c r="G21" s="11">
        <f>LTBL_01462[[#Totals],[法人／事業所数]]/LTBL_01462[[#Totals],[総数／事業所数]]</f>
        <v>0.41095890410958902</v>
      </c>
      <c r="I21" s="11">
        <f>LTBL_01462[[#Totals],[法人以外の団体／事業所数]]/LTBL_01462[[#Totals],[総数／事業所数]]</f>
        <v>2.7397260273972601E-2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18</v>
      </c>
      <c r="D24" s="8">
        <v>24.66</v>
      </c>
      <c r="E24" s="12">
        <v>16</v>
      </c>
      <c r="F24" s="8">
        <v>43.24</v>
      </c>
      <c r="G24" s="12">
        <v>1</v>
      </c>
      <c r="H24" s="8">
        <v>3.33</v>
      </c>
      <c r="I24" s="12">
        <v>1</v>
      </c>
    </row>
    <row r="25" spans="2:9" ht="15" customHeight="1" x14ac:dyDescent="0.2">
      <c r="B25" t="s">
        <v>223</v>
      </c>
      <c r="C25" s="12">
        <v>6</v>
      </c>
      <c r="D25" s="8">
        <v>8.2200000000000006</v>
      </c>
      <c r="E25" s="12">
        <v>3</v>
      </c>
      <c r="F25" s="8">
        <v>8.11</v>
      </c>
      <c r="G25" s="12">
        <v>3</v>
      </c>
      <c r="H25" s="8">
        <v>10</v>
      </c>
      <c r="I25" s="12">
        <v>0</v>
      </c>
    </row>
    <row r="26" spans="2:9" ht="15" customHeight="1" x14ac:dyDescent="0.2">
      <c r="B26" t="s">
        <v>228</v>
      </c>
      <c r="C26" s="12">
        <v>5</v>
      </c>
      <c r="D26" s="8">
        <v>6.85</v>
      </c>
      <c r="E26" s="12">
        <v>5</v>
      </c>
      <c r="F26" s="8">
        <v>13.51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213</v>
      </c>
      <c r="C27" s="12">
        <v>4</v>
      </c>
      <c r="D27" s="8">
        <v>5.48</v>
      </c>
      <c r="E27" s="12">
        <v>0</v>
      </c>
      <c r="F27" s="8">
        <v>0</v>
      </c>
      <c r="G27" s="12">
        <v>4</v>
      </c>
      <c r="H27" s="8">
        <v>13.33</v>
      </c>
      <c r="I27" s="12">
        <v>0</v>
      </c>
    </row>
    <row r="28" spans="2:9" ht="15" customHeight="1" x14ac:dyDescent="0.2">
      <c r="B28" t="s">
        <v>221</v>
      </c>
      <c r="C28" s="12">
        <v>4</v>
      </c>
      <c r="D28" s="8">
        <v>5.48</v>
      </c>
      <c r="E28" s="12">
        <v>2</v>
      </c>
      <c r="F28" s="8">
        <v>5.41</v>
      </c>
      <c r="G28" s="12">
        <v>2</v>
      </c>
      <c r="H28" s="8">
        <v>6.67</v>
      </c>
      <c r="I28" s="12">
        <v>0</v>
      </c>
    </row>
    <row r="29" spans="2:9" ht="15" customHeight="1" x14ac:dyDescent="0.2">
      <c r="B29" t="s">
        <v>214</v>
      </c>
      <c r="C29" s="12">
        <v>3</v>
      </c>
      <c r="D29" s="8">
        <v>4.1100000000000003</v>
      </c>
      <c r="E29" s="12">
        <v>2</v>
      </c>
      <c r="F29" s="8">
        <v>5.41</v>
      </c>
      <c r="G29" s="12">
        <v>1</v>
      </c>
      <c r="H29" s="8">
        <v>3.33</v>
      </c>
      <c r="I29" s="12">
        <v>0</v>
      </c>
    </row>
    <row r="30" spans="2:9" ht="15" customHeight="1" x14ac:dyDescent="0.2">
      <c r="B30" t="s">
        <v>241</v>
      </c>
      <c r="C30" s="12">
        <v>3</v>
      </c>
      <c r="D30" s="8">
        <v>4.1100000000000003</v>
      </c>
      <c r="E30" s="12">
        <v>1</v>
      </c>
      <c r="F30" s="8">
        <v>2.7</v>
      </c>
      <c r="G30" s="12">
        <v>2</v>
      </c>
      <c r="H30" s="8">
        <v>6.67</v>
      </c>
      <c r="I30" s="12">
        <v>0</v>
      </c>
    </row>
    <row r="31" spans="2:9" ht="15" customHeight="1" x14ac:dyDescent="0.2">
      <c r="B31" t="s">
        <v>255</v>
      </c>
      <c r="C31" s="12">
        <v>3</v>
      </c>
      <c r="D31" s="8">
        <v>4.1100000000000003</v>
      </c>
      <c r="E31" s="12">
        <v>0</v>
      </c>
      <c r="F31" s="8">
        <v>0</v>
      </c>
      <c r="G31" s="12">
        <v>1</v>
      </c>
      <c r="H31" s="8">
        <v>3.33</v>
      </c>
      <c r="I31" s="12">
        <v>0</v>
      </c>
    </row>
    <row r="32" spans="2:9" ht="15" customHeight="1" x14ac:dyDescent="0.2">
      <c r="B32" t="s">
        <v>215</v>
      </c>
      <c r="C32" s="12">
        <v>2</v>
      </c>
      <c r="D32" s="8">
        <v>2.74</v>
      </c>
      <c r="E32" s="12">
        <v>0</v>
      </c>
      <c r="F32" s="8">
        <v>0</v>
      </c>
      <c r="G32" s="12">
        <v>2</v>
      </c>
      <c r="H32" s="8">
        <v>6.67</v>
      </c>
      <c r="I32" s="12">
        <v>0</v>
      </c>
    </row>
    <row r="33" spans="2:9" ht="15" customHeight="1" x14ac:dyDescent="0.2">
      <c r="B33" t="s">
        <v>261</v>
      </c>
      <c r="C33" s="12">
        <v>2</v>
      </c>
      <c r="D33" s="8">
        <v>2.74</v>
      </c>
      <c r="E33" s="12">
        <v>0</v>
      </c>
      <c r="F33" s="8">
        <v>0</v>
      </c>
      <c r="G33" s="12">
        <v>2</v>
      </c>
      <c r="H33" s="8">
        <v>6.67</v>
      </c>
      <c r="I33" s="12">
        <v>0</v>
      </c>
    </row>
    <row r="34" spans="2:9" ht="15" customHeight="1" x14ac:dyDescent="0.2">
      <c r="B34" t="s">
        <v>233</v>
      </c>
      <c r="C34" s="12">
        <v>2</v>
      </c>
      <c r="D34" s="8">
        <v>2.74</v>
      </c>
      <c r="E34" s="12">
        <v>0</v>
      </c>
      <c r="F34" s="8">
        <v>0</v>
      </c>
      <c r="G34" s="12">
        <v>2</v>
      </c>
      <c r="H34" s="8">
        <v>6.67</v>
      </c>
      <c r="I34" s="12">
        <v>0</v>
      </c>
    </row>
    <row r="35" spans="2:9" ht="15" customHeight="1" x14ac:dyDescent="0.2">
      <c r="B35" t="s">
        <v>239</v>
      </c>
      <c r="C35" s="12">
        <v>2</v>
      </c>
      <c r="D35" s="8">
        <v>2.74</v>
      </c>
      <c r="E35" s="12">
        <v>0</v>
      </c>
      <c r="F35" s="8">
        <v>0</v>
      </c>
      <c r="G35" s="12">
        <v>2</v>
      </c>
      <c r="H35" s="8">
        <v>6.67</v>
      </c>
      <c r="I35" s="12">
        <v>0</v>
      </c>
    </row>
    <row r="36" spans="2:9" ht="15" customHeight="1" x14ac:dyDescent="0.2">
      <c r="B36" t="s">
        <v>229</v>
      </c>
      <c r="C36" s="12">
        <v>2</v>
      </c>
      <c r="D36" s="8">
        <v>2.74</v>
      </c>
      <c r="E36" s="12">
        <v>0</v>
      </c>
      <c r="F36" s="8">
        <v>0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247</v>
      </c>
      <c r="C37" s="12">
        <v>2</v>
      </c>
      <c r="D37" s="8">
        <v>2.74</v>
      </c>
      <c r="E37" s="12">
        <v>1</v>
      </c>
      <c r="F37" s="8">
        <v>2.7</v>
      </c>
      <c r="G37" s="12">
        <v>1</v>
      </c>
      <c r="H37" s="8">
        <v>3.33</v>
      </c>
      <c r="I37" s="12">
        <v>0</v>
      </c>
    </row>
    <row r="38" spans="2:9" ht="15" customHeight="1" x14ac:dyDescent="0.2">
      <c r="B38" t="s">
        <v>231</v>
      </c>
      <c r="C38" s="12">
        <v>2</v>
      </c>
      <c r="D38" s="8">
        <v>2.74</v>
      </c>
      <c r="E38" s="12">
        <v>2</v>
      </c>
      <c r="F38" s="8">
        <v>5.41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234</v>
      </c>
      <c r="C39" s="12">
        <v>2</v>
      </c>
      <c r="D39" s="8">
        <v>2.74</v>
      </c>
      <c r="E39" s="12">
        <v>0</v>
      </c>
      <c r="F39" s="8">
        <v>0</v>
      </c>
      <c r="G39" s="12">
        <v>2</v>
      </c>
      <c r="H39" s="8">
        <v>6.67</v>
      </c>
      <c r="I39" s="12">
        <v>0</v>
      </c>
    </row>
    <row r="40" spans="2:9" ht="15" customHeight="1" x14ac:dyDescent="0.2">
      <c r="B40" t="s">
        <v>273</v>
      </c>
      <c r="C40" s="12">
        <v>1</v>
      </c>
      <c r="D40" s="8">
        <v>1.37</v>
      </c>
      <c r="E40" s="12">
        <v>0</v>
      </c>
      <c r="F40" s="8">
        <v>0</v>
      </c>
      <c r="G40" s="12">
        <v>1</v>
      </c>
      <c r="H40" s="8">
        <v>3.33</v>
      </c>
      <c r="I40" s="12">
        <v>0</v>
      </c>
    </row>
    <row r="41" spans="2:9" ht="15" customHeight="1" x14ac:dyDescent="0.2">
      <c r="B41" t="s">
        <v>279</v>
      </c>
      <c r="C41" s="12">
        <v>1</v>
      </c>
      <c r="D41" s="8">
        <v>1.37</v>
      </c>
      <c r="E41" s="12">
        <v>1</v>
      </c>
      <c r="F41" s="8">
        <v>2.7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254</v>
      </c>
      <c r="C42" s="12">
        <v>1</v>
      </c>
      <c r="D42" s="8">
        <v>1.37</v>
      </c>
      <c r="E42" s="12">
        <v>0</v>
      </c>
      <c r="F42" s="8">
        <v>0</v>
      </c>
      <c r="G42" s="12">
        <v>1</v>
      </c>
      <c r="H42" s="8">
        <v>3.33</v>
      </c>
      <c r="I42" s="12">
        <v>0</v>
      </c>
    </row>
    <row r="43" spans="2:9" ht="15" customHeight="1" x14ac:dyDescent="0.2">
      <c r="B43" t="s">
        <v>268</v>
      </c>
      <c r="C43" s="12">
        <v>1</v>
      </c>
      <c r="D43" s="8">
        <v>1.37</v>
      </c>
      <c r="E43" s="12">
        <v>1</v>
      </c>
      <c r="F43" s="8">
        <v>2.7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248</v>
      </c>
      <c r="C44" s="12">
        <v>1</v>
      </c>
      <c r="D44" s="8">
        <v>1.37</v>
      </c>
      <c r="E44" s="12">
        <v>1</v>
      </c>
      <c r="F44" s="8">
        <v>2.7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274</v>
      </c>
      <c r="C45" s="12">
        <v>1</v>
      </c>
      <c r="D45" s="8">
        <v>1.37</v>
      </c>
      <c r="E45" s="12">
        <v>1</v>
      </c>
      <c r="F45" s="8">
        <v>2.7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219</v>
      </c>
      <c r="C46" s="12">
        <v>1</v>
      </c>
      <c r="D46" s="8">
        <v>1.37</v>
      </c>
      <c r="E46" s="12">
        <v>0</v>
      </c>
      <c r="F46" s="8">
        <v>0</v>
      </c>
      <c r="G46" s="12">
        <v>1</v>
      </c>
      <c r="H46" s="8">
        <v>3.33</v>
      </c>
      <c r="I46" s="12">
        <v>0</v>
      </c>
    </row>
    <row r="47" spans="2:9" ht="15" customHeight="1" x14ac:dyDescent="0.2">
      <c r="B47" t="s">
        <v>226</v>
      </c>
      <c r="C47" s="12">
        <v>1</v>
      </c>
      <c r="D47" s="8">
        <v>1.37</v>
      </c>
      <c r="E47" s="12">
        <v>1</v>
      </c>
      <c r="F47" s="8">
        <v>2.7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232</v>
      </c>
      <c r="C48" s="12">
        <v>1</v>
      </c>
      <c r="D48" s="8">
        <v>1.37</v>
      </c>
      <c r="E48" s="12">
        <v>0</v>
      </c>
      <c r="F48" s="8">
        <v>0</v>
      </c>
      <c r="G48" s="12">
        <v>1</v>
      </c>
      <c r="H48" s="8">
        <v>3.33</v>
      </c>
      <c r="I48" s="12">
        <v>0</v>
      </c>
    </row>
    <row r="49" spans="2:9" ht="15" customHeight="1" x14ac:dyDescent="0.2">
      <c r="B49" t="s">
        <v>242</v>
      </c>
      <c r="C49" s="12">
        <v>1</v>
      </c>
      <c r="D49" s="8">
        <v>1.37</v>
      </c>
      <c r="E49" s="12">
        <v>0</v>
      </c>
      <c r="F49" s="8">
        <v>0</v>
      </c>
      <c r="G49" s="12">
        <v>1</v>
      </c>
      <c r="H49" s="8">
        <v>3.33</v>
      </c>
      <c r="I49" s="12">
        <v>0</v>
      </c>
    </row>
    <row r="50" spans="2:9" ht="15" customHeight="1" x14ac:dyDescent="0.2">
      <c r="B50" t="s">
        <v>270</v>
      </c>
      <c r="C50" s="12">
        <v>1</v>
      </c>
      <c r="D50" s="8">
        <v>1.37</v>
      </c>
      <c r="E50" s="12">
        <v>0</v>
      </c>
      <c r="F50" s="8">
        <v>0</v>
      </c>
      <c r="G50" s="12">
        <v>0</v>
      </c>
      <c r="H50" s="8">
        <v>0</v>
      </c>
      <c r="I50" s="12">
        <v>1</v>
      </c>
    </row>
    <row r="53" spans="2:9" ht="33" customHeight="1" x14ac:dyDescent="0.2">
      <c r="B53" t="s">
        <v>531</v>
      </c>
      <c r="C53" s="10" t="s">
        <v>206</v>
      </c>
      <c r="D53" s="10" t="s">
        <v>207</v>
      </c>
      <c r="E53" s="10" t="s">
        <v>208</v>
      </c>
      <c r="F53" s="10" t="s">
        <v>209</v>
      </c>
      <c r="G53" s="10" t="s">
        <v>210</v>
      </c>
      <c r="H53" s="10" t="s">
        <v>211</v>
      </c>
      <c r="I53" s="10" t="s">
        <v>212</v>
      </c>
    </row>
    <row r="54" spans="2:9" ht="15" customHeight="1" x14ac:dyDescent="0.2">
      <c r="B54" t="s">
        <v>302</v>
      </c>
      <c r="C54" s="12">
        <v>4</v>
      </c>
      <c r="D54" s="8">
        <v>5.48</v>
      </c>
      <c r="E54" s="12">
        <v>2</v>
      </c>
      <c r="F54" s="8">
        <v>5.41</v>
      </c>
      <c r="G54" s="12">
        <v>1</v>
      </c>
      <c r="H54" s="8">
        <v>3.33</v>
      </c>
      <c r="I54" s="12">
        <v>1</v>
      </c>
    </row>
    <row r="55" spans="2:9" ht="15" customHeight="1" x14ac:dyDescent="0.2">
      <c r="B55" t="s">
        <v>334</v>
      </c>
      <c r="C55" s="12">
        <v>3</v>
      </c>
      <c r="D55" s="8">
        <v>4.1100000000000003</v>
      </c>
      <c r="E55" s="12">
        <v>3</v>
      </c>
      <c r="F55" s="8">
        <v>8.11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301</v>
      </c>
      <c r="C56" s="12">
        <v>3</v>
      </c>
      <c r="D56" s="8">
        <v>4.1100000000000003</v>
      </c>
      <c r="E56" s="12">
        <v>3</v>
      </c>
      <c r="F56" s="8">
        <v>8.11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407</v>
      </c>
      <c r="C57" s="12">
        <v>2</v>
      </c>
      <c r="D57" s="8">
        <v>2.74</v>
      </c>
      <c r="E57" s="12">
        <v>0</v>
      </c>
      <c r="F57" s="8">
        <v>0</v>
      </c>
      <c r="G57" s="12">
        <v>1</v>
      </c>
      <c r="H57" s="8">
        <v>3.33</v>
      </c>
      <c r="I57" s="12">
        <v>0</v>
      </c>
    </row>
    <row r="58" spans="2:9" ht="15" customHeight="1" x14ac:dyDescent="0.2">
      <c r="B58" t="s">
        <v>364</v>
      </c>
      <c r="C58" s="12">
        <v>2</v>
      </c>
      <c r="D58" s="8">
        <v>2.74</v>
      </c>
      <c r="E58" s="12">
        <v>0</v>
      </c>
      <c r="F58" s="8">
        <v>0</v>
      </c>
      <c r="G58" s="12">
        <v>2</v>
      </c>
      <c r="H58" s="8">
        <v>6.67</v>
      </c>
      <c r="I58" s="12">
        <v>0</v>
      </c>
    </row>
    <row r="59" spans="2:9" ht="15" customHeight="1" x14ac:dyDescent="0.2">
      <c r="B59" t="s">
        <v>292</v>
      </c>
      <c r="C59" s="12">
        <v>2</v>
      </c>
      <c r="D59" s="8">
        <v>2.74</v>
      </c>
      <c r="E59" s="12">
        <v>1</v>
      </c>
      <c r="F59" s="8">
        <v>2.7</v>
      </c>
      <c r="G59" s="12">
        <v>1</v>
      </c>
      <c r="H59" s="8">
        <v>3.33</v>
      </c>
      <c r="I59" s="12">
        <v>0</v>
      </c>
    </row>
    <row r="60" spans="2:9" ht="15" customHeight="1" x14ac:dyDescent="0.2">
      <c r="B60" t="s">
        <v>337</v>
      </c>
      <c r="C60" s="12">
        <v>2</v>
      </c>
      <c r="D60" s="8">
        <v>2.74</v>
      </c>
      <c r="E60" s="12">
        <v>1</v>
      </c>
      <c r="F60" s="8">
        <v>2.7</v>
      </c>
      <c r="G60" s="12">
        <v>1</v>
      </c>
      <c r="H60" s="8">
        <v>3.33</v>
      </c>
      <c r="I60" s="12">
        <v>0</v>
      </c>
    </row>
    <row r="61" spans="2:9" ht="15" customHeight="1" x14ac:dyDescent="0.2">
      <c r="B61" t="s">
        <v>299</v>
      </c>
      <c r="C61" s="12">
        <v>2</v>
      </c>
      <c r="D61" s="8">
        <v>2.74</v>
      </c>
      <c r="E61" s="12">
        <v>2</v>
      </c>
      <c r="F61" s="8">
        <v>5.41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419</v>
      </c>
      <c r="C62" s="12">
        <v>2</v>
      </c>
      <c r="D62" s="8">
        <v>2.74</v>
      </c>
      <c r="E62" s="12">
        <v>2</v>
      </c>
      <c r="F62" s="8">
        <v>5.41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300</v>
      </c>
      <c r="C63" s="12">
        <v>2</v>
      </c>
      <c r="D63" s="8">
        <v>2.74</v>
      </c>
      <c r="E63" s="12">
        <v>2</v>
      </c>
      <c r="F63" s="8">
        <v>5.41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390</v>
      </c>
      <c r="C64" s="12">
        <v>2</v>
      </c>
      <c r="D64" s="8">
        <v>2.74</v>
      </c>
      <c r="E64" s="12">
        <v>2</v>
      </c>
      <c r="F64" s="8">
        <v>5.41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304</v>
      </c>
      <c r="C65" s="12">
        <v>2</v>
      </c>
      <c r="D65" s="8">
        <v>2.74</v>
      </c>
      <c r="E65" s="12">
        <v>2</v>
      </c>
      <c r="F65" s="8">
        <v>5.41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352</v>
      </c>
      <c r="C66" s="12">
        <v>2</v>
      </c>
      <c r="D66" s="8">
        <v>2.74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411</v>
      </c>
      <c r="C67" s="12">
        <v>2</v>
      </c>
      <c r="D67" s="8">
        <v>2.74</v>
      </c>
      <c r="E67" s="12">
        <v>1</v>
      </c>
      <c r="F67" s="8">
        <v>2.7</v>
      </c>
      <c r="G67" s="12">
        <v>1</v>
      </c>
      <c r="H67" s="8">
        <v>3.33</v>
      </c>
      <c r="I67" s="12">
        <v>0</v>
      </c>
    </row>
    <row r="68" spans="2:9" ht="15" customHeight="1" x14ac:dyDescent="0.2">
      <c r="B68" t="s">
        <v>484</v>
      </c>
      <c r="C68" s="12">
        <v>1</v>
      </c>
      <c r="D68" s="8">
        <v>1.37</v>
      </c>
      <c r="E68" s="12">
        <v>0</v>
      </c>
      <c r="F68" s="8">
        <v>0</v>
      </c>
      <c r="G68" s="12">
        <v>1</v>
      </c>
      <c r="H68" s="8">
        <v>3.33</v>
      </c>
      <c r="I68" s="12">
        <v>0</v>
      </c>
    </row>
    <row r="69" spans="2:9" ht="15" customHeight="1" x14ac:dyDescent="0.2">
      <c r="B69" t="s">
        <v>288</v>
      </c>
      <c r="C69" s="12">
        <v>1</v>
      </c>
      <c r="D69" s="8">
        <v>1.37</v>
      </c>
      <c r="E69" s="12">
        <v>0</v>
      </c>
      <c r="F69" s="8">
        <v>0</v>
      </c>
      <c r="G69" s="12">
        <v>1</v>
      </c>
      <c r="H69" s="8">
        <v>3.33</v>
      </c>
      <c r="I69" s="12">
        <v>0</v>
      </c>
    </row>
    <row r="70" spans="2:9" ht="15" customHeight="1" x14ac:dyDescent="0.2">
      <c r="B70" t="s">
        <v>289</v>
      </c>
      <c r="C70" s="12">
        <v>1</v>
      </c>
      <c r="D70" s="8">
        <v>1.37</v>
      </c>
      <c r="E70" s="12">
        <v>0</v>
      </c>
      <c r="F70" s="8">
        <v>0</v>
      </c>
      <c r="G70" s="12">
        <v>1</v>
      </c>
      <c r="H70" s="8">
        <v>3.33</v>
      </c>
      <c r="I70" s="12">
        <v>0</v>
      </c>
    </row>
    <row r="71" spans="2:9" ht="15" customHeight="1" x14ac:dyDescent="0.2">
      <c r="B71" t="s">
        <v>328</v>
      </c>
      <c r="C71" s="12">
        <v>1</v>
      </c>
      <c r="D71" s="8">
        <v>1.37</v>
      </c>
      <c r="E71" s="12">
        <v>0</v>
      </c>
      <c r="F71" s="8">
        <v>0</v>
      </c>
      <c r="G71" s="12">
        <v>1</v>
      </c>
      <c r="H71" s="8">
        <v>3.33</v>
      </c>
      <c r="I71" s="12">
        <v>0</v>
      </c>
    </row>
    <row r="72" spans="2:9" ht="15" customHeight="1" x14ac:dyDescent="0.2">
      <c r="B72" t="s">
        <v>319</v>
      </c>
      <c r="C72" s="12">
        <v>1</v>
      </c>
      <c r="D72" s="8">
        <v>1.37</v>
      </c>
      <c r="E72" s="12">
        <v>0</v>
      </c>
      <c r="F72" s="8">
        <v>0</v>
      </c>
      <c r="G72" s="12">
        <v>1</v>
      </c>
      <c r="H72" s="8">
        <v>3.33</v>
      </c>
      <c r="I72" s="12">
        <v>0</v>
      </c>
    </row>
    <row r="73" spans="2:9" ht="15" customHeight="1" x14ac:dyDescent="0.2">
      <c r="B73" t="s">
        <v>353</v>
      </c>
      <c r="C73" s="12">
        <v>1</v>
      </c>
      <c r="D73" s="8">
        <v>1.37</v>
      </c>
      <c r="E73" s="12">
        <v>0</v>
      </c>
      <c r="F73" s="8">
        <v>0</v>
      </c>
      <c r="G73" s="12">
        <v>1</v>
      </c>
      <c r="H73" s="8">
        <v>3.33</v>
      </c>
      <c r="I73" s="12">
        <v>0</v>
      </c>
    </row>
    <row r="74" spans="2:9" ht="15" customHeight="1" x14ac:dyDescent="0.2">
      <c r="B74" t="s">
        <v>343</v>
      </c>
      <c r="C74" s="12">
        <v>1</v>
      </c>
      <c r="D74" s="8">
        <v>1.37</v>
      </c>
      <c r="E74" s="12">
        <v>1</v>
      </c>
      <c r="F74" s="8">
        <v>2.7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333</v>
      </c>
      <c r="C75" s="12">
        <v>1</v>
      </c>
      <c r="D75" s="8">
        <v>1.37</v>
      </c>
      <c r="E75" s="12">
        <v>1</v>
      </c>
      <c r="F75" s="8">
        <v>2.7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290</v>
      </c>
      <c r="C76" s="12">
        <v>1</v>
      </c>
      <c r="D76" s="8">
        <v>1.37</v>
      </c>
      <c r="E76" s="12">
        <v>0</v>
      </c>
      <c r="F76" s="8">
        <v>0</v>
      </c>
      <c r="G76" s="12">
        <v>1</v>
      </c>
      <c r="H76" s="8">
        <v>3.33</v>
      </c>
      <c r="I76" s="12">
        <v>0</v>
      </c>
    </row>
    <row r="77" spans="2:9" ht="15" customHeight="1" x14ac:dyDescent="0.2">
      <c r="B77" t="s">
        <v>291</v>
      </c>
      <c r="C77" s="12">
        <v>1</v>
      </c>
      <c r="D77" s="8">
        <v>1.37</v>
      </c>
      <c r="E77" s="12">
        <v>0</v>
      </c>
      <c r="F77" s="8">
        <v>0</v>
      </c>
      <c r="G77" s="12">
        <v>1</v>
      </c>
      <c r="H77" s="8">
        <v>3.33</v>
      </c>
      <c r="I77" s="12">
        <v>0</v>
      </c>
    </row>
    <row r="78" spans="2:9" ht="15" customHeight="1" x14ac:dyDescent="0.2">
      <c r="B78" t="s">
        <v>413</v>
      </c>
      <c r="C78" s="12">
        <v>1</v>
      </c>
      <c r="D78" s="8">
        <v>1.37</v>
      </c>
      <c r="E78" s="12">
        <v>0</v>
      </c>
      <c r="F78" s="8">
        <v>0</v>
      </c>
      <c r="G78" s="12">
        <v>1</v>
      </c>
      <c r="H78" s="8">
        <v>3.33</v>
      </c>
      <c r="I78" s="12">
        <v>0</v>
      </c>
    </row>
    <row r="79" spans="2:9" ht="15" customHeight="1" x14ac:dyDescent="0.2">
      <c r="B79" t="s">
        <v>377</v>
      </c>
      <c r="C79" s="12">
        <v>1</v>
      </c>
      <c r="D79" s="8">
        <v>1.37</v>
      </c>
      <c r="E79" s="12">
        <v>1</v>
      </c>
      <c r="F79" s="8">
        <v>2.7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394</v>
      </c>
      <c r="C80" s="12">
        <v>1</v>
      </c>
      <c r="D80" s="8">
        <v>1.37</v>
      </c>
      <c r="E80" s="12">
        <v>0</v>
      </c>
      <c r="F80" s="8">
        <v>0</v>
      </c>
      <c r="G80" s="12">
        <v>1</v>
      </c>
      <c r="H80" s="8">
        <v>3.33</v>
      </c>
      <c r="I80" s="12">
        <v>0</v>
      </c>
    </row>
    <row r="81" spans="2:9" ht="15" customHeight="1" x14ac:dyDescent="0.2">
      <c r="B81" t="s">
        <v>485</v>
      </c>
      <c r="C81" s="12">
        <v>1</v>
      </c>
      <c r="D81" s="8">
        <v>1.37</v>
      </c>
      <c r="E81" s="12">
        <v>1</v>
      </c>
      <c r="F81" s="8">
        <v>2.7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486</v>
      </c>
      <c r="C82" s="12">
        <v>1</v>
      </c>
      <c r="D82" s="8">
        <v>1.37</v>
      </c>
      <c r="E82" s="12">
        <v>0</v>
      </c>
      <c r="F82" s="8">
        <v>0</v>
      </c>
      <c r="G82" s="12">
        <v>1</v>
      </c>
      <c r="H82" s="8">
        <v>3.33</v>
      </c>
      <c r="I82" s="12">
        <v>0</v>
      </c>
    </row>
    <row r="83" spans="2:9" ht="15" customHeight="1" x14ac:dyDescent="0.2">
      <c r="B83" t="s">
        <v>414</v>
      </c>
      <c r="C83" s="12">
        <v>1</v>
      </c>
      <c r="D83" s="8">
        <v>1.37</v>
      </c>
      <c r="E83" s="12">
        <v>1</v>
      </c>
      <c r="F83" s="8">
        <v>2.7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362</v>
      </c>
      <c r="C84" s="12">
        <v>1</v>
      </c>
      <c r="D84" s="8">
        <v>1.37</v>
      </c>
      <c r="E84" s="12">
        <v>0</v>
      </c>
      <c r="F84" s="8">
        <v>0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350</v>
      </c>
      <c r="C85" s="12">
        <v>1</v>
      </c>
      <c r="D85" s="8">
        <v>1.37</v>
      </c>
      <c r="E85" s="12">
        <v>1</v>
      </c>
      <c r="F85" s="8">
        <v>2.7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487</v>
      </c>
      <c r="C86" s="12">
        <v>1</v>
      </c>
      <c r="D86" s="8">
        <v>1.37</v>
      </c>
      <c r="E86" s="12">
        <v>1</v>
      </c>
      <c r="F86" s="8">
        <v>2.7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309</v>
      </c>
      <c r="C87" s="12">
        <v>1</v>
      </c>
      <c r="D87" s="8">
        <v>1.37</v>
      </c>
      <c r="E87" s="12">
        <v>0</v>
      </c>
      <c r="F87" s="8">
        <v>0</v>
      </c>
      <c r="G87" s="12">
        <v>1</v>
      </c>
      <c r="H87" s="8">
        <v>3.33</v>
      </c>
      <c r="I87" s="12">
        <v>0</v>
      </c>
    </row>
    <row r="88" spans="2:9" ht="15" customHeight="1" x14ac:dyDescent="0.2">
      <c r="B88" t="s">
        <v>354</v>
      </c>
      <c r="C88" s="12">
        <v>1</v>
      </c>
      <c r="D88" s="8">
        <v>1.37</v>
      </c>
      <c r="E88" s="12">
        <v>0</v>
      </c>
      <c r="F88" s="8">
        <v>0</v>
      </c>
      <c r="G88" s="12">
        <v>1</v>
      </c>
      <c r="H88" s="8">
        <v>3.33</v>
      </c>
      <c r="I88" s="12">
        <v>0</v>
      </c>
    </row>
    <row r="89" spans="2:9" ht="15" customHeight="1" x14ac:dyDescent="0.2">
      <c r="B89" t="s">
        <v>329</v>
      </c>
      <c r="C89" s="12">
        <v>1</v>
      </c>
      <c r="D89" s="8">
        <v>1.37</v>
      </c>
      <c r="E89" s="12">
        <v>1</v>
      </c>
      <c r="F89" s="8">
        <v>2.7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402</v>
      </c>
      <c r="C90" s="12">
        <v>1</v>
      </c>
      <c r="D90" s="8">
        <v>1.37</v>
      </c>
      <c r="E90" s="12">
        <v>1</v>
      </c>
      <c r="F90" s="8">
        <v>2.7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372</v>
      </c>
      <c r="C91" s="12">
        <v>1</v>
      </c>
      <c r="D91" s="8">
        <v>1.37</v>
      </c>
      <c r="E91" s="12">
        <v>0</v>
      </c>
      <c r="F91" s="8">
        <v>0</v>
      </c>
      <c r="G91" s="12">
        <v>1</v>
      </c>
      <c r="H91" s="8">
        <v>3.33</v>
      </c>
      <c r="I91" s="12">
        <v>0</v>
      </c>
    </row>
    <row r="92" spans="2:9" ht="15" customHeight="1" x14ac:dyDescent="0.2">
      <c r="B92" t="s">
        <v>330</v>
      </c>
      <c r="C92" s="12">
        <v>1</v>
      </c>
      <c r="D92" s="8">
        <v>1.37</v>
      </c>
      <c r="E92" s="12">
        <v>0</v>
      </c>
      <c r="F92" s="8">
        <v>0</v>
      </c>
      <c r="G92" s="12">
        <v>1</v>
      </c>
      <c r="H92" s="8">
        <v>3.33</v>
      </c>
      <c r="I92" s="12">
        <v>0</v>
      </c>
    </row>
    <row r="93" spans="2:9" ht="15" customHeight="1" x14ac:dyDescent="0.2">
      <c r="B93" t="s">
        <v>295</v>
      </c>
      <c r="C93" s="12">
        <v>1</v>
      </c>
      <c r="D93" s="8">
        <v>1.37</v>
      </c>
      <c r="E93" s="12">
        <v>1</v>
      </c>
      <c r="F93" s="8">
        <v>2.7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426</v>
      </c>
      <c r="C94" s="12">
        <v>1</v>
      </c>
      <c r="D94" s="8">
        <v>1.37</v>
      </c>
      <c r="E94" s="12">
        <v>0</v>
      </c>
      <c r="F94" s="8">
        <v>0</v>
      </c>
      <c r="G94" s="12">
        <v>1</v>
      </c>
      <c r="H94" s="8">
        <v>3.33</v>
      </c>
      <c r="I94" s="12">
        <v>0</v>
      </c>
    </row>
    <row r="95" spans="2:9" ht="15" customHeight="1" x14ac:dyDescent="0.2">
      <c r="B95" t="s">
        <v>310</v>
      </c>
      <c r="C95" s="12">
        <v>1</v>
      </c>
      <c r="D95" s="8">
        <v>1.37</v>
      </c>
      <c r="E95" s="12">
        <v>0</v>
      </c>
      <c r="F95" s="8">
        <v>0</v>
      </c>
      <c r="G95" s="12">
        <v>1</v>
      </c>
      <c r="H95" s="8">
        <v>3.33</v>
      </c>
      <c r="I95" s="12">
        <v>0</v>
      </c>
    </row>
    <row r="96" spans="2:9" ht="15" customHeight="1" x14ac:dyDescent="0.2">
      <c r="B96" t="s">
        <v>409</v>
      </c>
      <c r="C96" s="12">
        <v>1</v>
      </c>
      <c r="D96" s="8">
        <v>1.37</v>
      </c>
      <c r="E96" s="12">
        <v>1</v>
      </c>
      <c r="F96" s="8">
        <v>2.7</v>
      </c>
      <c r="G96" s="12">
        <v>0</v>
      </c>
      <c r="H96" s="8">
        <v>0</v>
      </c>
      <c r="I96" s="12">
        <v>0</v>
      </c>
    </row>
    <row r="97" spans="2:9" ht="15" customHeight="1" x14ac:dyDescent="0.2">
      <c r="B97" t="s">
        <v>423</v>
      </c>
      <c r="C97" s="12">
        <v>1</v>
      </c>
      <c r="D97" s="8">
        <v>1.37</v>
      </c>
      <c r="E97" s="12">
        <v>0</v>
      </c>
      <c r="F97" s="8">
        <v>0</v>
      </c>
      <c r="G97" s="12">
        <v>1</v>
      </c>
      <c r="H97" s="8">
        <v>3.33</v>
      </c>
      <c r="I97" s="12">
        <v>0</v>
      </c>
    </row>
    <row r="98" spans="2:9" ht="15" customHeight="1" x14ac:dyDescent="0.2">
      <c r="B98" t="s">
        <v>325</v>
      </c>
      <c r="C98" s="12">
        <v>1</v>
      </c>
      <c r="D98" s="8">
        <v>1.37</v>
      </c>
      <c r="E98" s="12">
        <v>0</v>
      </c>
      <c r="F98" s="8">
        <v>0</v>
      </c>
      <c r="G98" s="12">
        <v>1</v>
      </c>
      <c r="H98" s="8">
        <v>3.33</v>
      </c>
      <c r="I98" s="12">
        <v>0</v>
      </c>
    </row>
    <row r="99" spans="2:9" ht="15" customHeight="1" x14ac:dyDescent="0.2">
      <c r="B99" t="s">
        <v>323</v>
      </c>
      <c r="C99" s="12">
        <v>1</v>
      </c>
      <c r="D99" s="8">
        <v>1.37</v>
      </c>
      <c r="E99" s="12">
        <v>1</v>
      </c>
      <c r="F99" s="8">
        <v>2.7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303</v>
      </c>
      <c r="C100" s="12">
        <v>1</v>
      </c>
      <c r="D100" s="8">
        <v>1.37</v>
      </c>
      <c r="E100" s="12">
        <v>1</v>
      </c>
      <c r="F100" s="8">
        <v>2.7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317</v>
      </c>
      <c r="C101" s="12">
        <v>1</v>
      </c>
      <c r="D101" s="8">
        <v>1.37</v>
      </c>
      <c r="E101" s="12">
        <v>1</v>
      </c>
      <c r="F101" s="8">
        <v>2.7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312</v>
      </c>
      <c r="C102" s="12">
        <v>1</v>
      </c>
      <c r="D102" s="8">
        <v>1.37</v>
      </c>
      <c r="E102" s="12">
        <v>1</v>
      </c>
      <c r="F102" s="8">
        <v>2.7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306</v>
      </c>
      <c r="C103" s="12">
        <v>1</v>
      </c>
      <c r="D103" s="8">
        <v>1.37</v>
      </c>
      <c r="E103" s="12">
        <v>1</v>
      </c>
      <c r="F103" s="8">
        <v>2.7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347</v>
      </c>
      <c r="C104" s="12">
        <v>1</v>
      </c>
      <c r="D104" s="8">
        <v>1.37</v>
      </c>
      <c r="E104" s="12">
        <v>0</v>
      </c>
      <c r="F104" s="8">
        <v>0</v>
      </c>
      <c r="G104" s="12">
        <v>1</v>
      </c>
      <c r="H104" s="8">
        <v>3.33</v>
      </c>
      <c r="I104" s="12">
        <v>0</v>
      </c>
    </row>
    <row r="105" spans="2:9" ht="15" customHeight="1" x14ac:dyDescent="0.2">
      <c r="B105" t="s">
        <v>371</v>
      </c>
      <c r="C105" s="12">
        <v>1</v>
      </c>
      <c r="D105" s="8">
        <v>1.37</v>
      </c>
      <c r="E105" s="12">
        <v>0</v>
      </c>
      <c r="F105" s="8">
        <v>0</v>
      </c>
      <c r="G105" s="12">
        <v>1</v>
      </c>
      <c r="H105" s="8">
        <v>3.33</v>
      </c>
      <c r="I105" s="12">
        <v>0</v>
      </c>
    </row>
    <row r="106" spans="2:9" ht="15" customHeight="1" x14ac:dyDescent="0.2">
      <c r="B106" t="s">
        <v>460</v>
      </c>
      <c r="C106" s="12">
        <v>1</v>
      </c>
      <c r="D106" s="8">
        <v>1.37</v>
      </c>
      <c r="E106" s="12">
        <v>0</v>
      </c>
      <c r="F106" s="8">
        <v>0</v>
      </c>
      <c r="G106" s="12">
        <v>0</v>
      </c>
      <c r="H106" s="8">
        <v>0</v>
      </c>
      <c r="I106" s="12">
        <v>1</v>
      </c>
    </row>
    <row r="107" spans="2:9" ht="15" customHeight="1" x14ac:dyDescent="0.2">
      <c r="B107" t="s">
        <v>348</v>
      </c>
      <c r="C107" s="12">
        <v>1</v>
      </c>
      <c r="D107" s="8">
        <v>1.37</v>
      </c>
      <c r="E107" s="12">
        <v>0</v>
      </c>
      <c r="F107" s="8">
        <v>0</v>
      </c>
      <c r="G107" s="12">
        <v>1</v>
      </c>
      <c r="H107" s="8">
        <v>3.33</v>
      </c>
      <c r="I107" s="12">
        <v>0</v>
      </c>
    </row>
    <row r="108" spans="2:9" ht="15" customHeight="1" x14ac:dyDescent="0.2">
      <c r="B108" t="s">
        <v>318</v>
      </c>
      <c r="C108" s="12">
        <v>1</v>
      </c>
      <c r="D108" s="8">
        <v>1.37</v>
      </c>
      <c r="E108" s="12">
        <v>0</v>
      </c>
      <c r="F108" s="8">
        <v>0</v>
      </c>
      <c r="G108" s="12">
        <v>1</v>
      </c>
      <c r="H108" s="8">
        <v>3.33</v>
      </c>
      <c r="I108" s="12">
        <v>0</v>
      </c>
    </row>
    <row r="110" spans="2:9" ht="15" customHeight="1" x14ac:dyDescent="0.2">
      <c r="B11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3C595-E318-447E-9BCE-9536C0466BE4}">
  <sheetPr>
    <pageSetUpPr fitToPage="1"/>
  </sheetPr>
  <dimension ref="B2:I9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</v>
      </c>
      <c r="D6" s="8">
        <v>3.64</v>
      </c>
      <c r="E6" s="12">
        <v>1</v>
      </c>
      <c r="F6" s="8">
        <v>4.3499999999999996</v>
      </c>
      <c r="G6" s="12">
        <v>1</v>
      </c>
      <c r="H6" s="8">
        <v>4.55</v>
      </c>
      <c r="I6" s="12">
        <v>0</v>
      </c>
    </row>
    <row r="7" spans="2:9" ht="15" customHeight="1" x14ac:dyDescent="0.2">
      <c r="B7" t="s">
        <v>192</v>
      </c>
      <c r="C7" s="12">
        <v>4</v>
      </c>
      <c r="D7" s="8">
        <v>7.27</v>
      </c>
      <c r="E7" s="12">
        <v>1</v>
      </c>
      <c r="F7" s="8">
        <v>4.3499999999999996</v>
      </c>
      <c r="G7" s="12">
        <v>3</v>
      </c>
      <c r="H7" s="8">
        <v>13.64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3.64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1.82</v>
      </c>
      <c r="E10" s="12">
        <v>1</v>
      </c>
      <c r="F10" s="8">
        <v>4.3499999999999996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8</v>
      </c>
      <c r="D11" s="8">
        <v>14.55</v>
      </c>
      <c r="E11" s="12">
        <v>4</v>
      </c>
      <c r="F11" s="8">
        <v>17.39</v>
      </c>
      <c r="G11" s="12">
        <v>4</v>
      </c>
      <c r="H11" s="8">
        <v>18.18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1.82</v>
      </c>
      <c r="E12" s="12">
        <v>0</v>
      </c>
      <c r="F12" s="8">
        <v>0</v>
      </c>
      <c r="G12" s="12">
        <v>1</v>
      </c>
      <c r="H12" s="8">
        <v>4.55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3.64</v>
      </c>
      <c r="E13" s="12">
        <v>0</v>
      </c>
      <c r="F13" s="8">
        <v>0</v>
      </c>
      <c r="G13" s="12">
        <v>1</v>
      </c>
      <c r="H13" s="8">
        <v>4.55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3.64</v>
      </c>
      <c r="E14" s="12">
        <v>1</v>
      </c>
      <c r="F14" s="8">
        <v>4.3499999999999996</v>
      </c>
      <c r="G14" s="12">
        <v>1</v>
      </c>
      <c r="H14" s="8">
        <v>4.55</v>
      </c>
      <c r="I14" s="12">
        <v>0</v>
      </c>
    </row>
    <row r="15" spans="2:9" ht="15" customHeight="1" x14ac:dyDescent="0.2">
      <c r="B15" t="s">
        <v>200</v>
      </c>
      <c r="C15" s="12">
        <v>16</v>
      </c>
      <c r="D15" s="8">
        <v>29.09</v>
      </c>
      <c r="E15" s="12">
        <v>7</v>
      </c>
      <c r="F15" s="8">
        <v>30.43</v>
      </c>
      <c r="G15" s="12">
        <v>9</v>
      </c>
      <c r="H15" s="8">
        <v>40.909999999999997</v>
      </c>
      <c r="I15" s="12">
        <v>0</v>
      </c>
    </row>
    <row r="16" spans="2:9" ht="15" customHeight="1" x14ac:dyDescent="0.2">
      <c r="B16" t="s">
        <v>201</v>
      </c>
      <c r="C16" s="12">
        <v>5</v>
      </c>
      <c r="D16" s="8">
        <v>9.09</v>
      </c>
      <c r="E16" s="12">
        <v>5</v>
      </c>
      <c r="F16" s="8">
        <v>21.74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3.64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10.91</v>
      </c>
      <c r="E18" s="12">
        <v>1</v>
      </c>
      <c r="F18" s="8">
        <v>4.3499999999999996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7.27</v>
      </c>
      <c r="E19" s="12">
        <v>2</v>
      </c>
      <c r="F19" s="8">
        <v>8.6999999999999993</v>
      </c>
      <c r="G19" s="12">
        <v>2</v>
      </c>
      <c r="H19" s="8">
        <v>9.09</v>
      </c>
      <c r="I19" s="12">
        <v>0</v>
      </c>
    </row>
    <row r="20" spans="2:9" ht="15" customHeight="1" x14ac:dyDescent="0.2">
      <c r="B20" s="9" t="s">
        <v>529</v>
      </c>
      <c r="C20" s="12">
        <f>SUM(LTBL_01463[総数／事業所数])</f>
        <v>55</v>
      </c>
      <c r="E20" s="12">
        <f>SUBTOTAL(109,LTBL_01463[個人／事業所数])</f>
        <v>23</v>
      </c>
      <c r="G20" s="12">
        <f>SUBTOTAL(109,LTBL_01463[法人／事業所数])</f>
        <v>22</v>
      </c>
      <c r="I20" s="12">
        <f>SUBTOTAL(109,LTBL_01463[法人以外の団体／事業所数])</f>
        <v>0</v>
      </c>
    </row>
    <row r="21" spans="2:9" ht="15" customHeight="1" x14ac:dyDescent="0.2">
      <c r="E21" s="11">
        <f>LTBL_01463[[#Totals],[個人／事業所数]]/LTBL_01463[[#Totals],[総数／事業所数]]</f>
        <v>0.41818181818181815</v>
      </c>
      <c r="G21" s="11">
        <f>LTBL_01463[[#Totals],[法人／事業所数]]/LTBL_01463[[#Totals],[総数／事業所数]]</f>
        <v>0.4</v>
      </c>
      <c r="I21" s="11">
        <f>LTBL_01463[[#Totals],[法人以外の団体／事業所数]]/LTBL_01463[[#Totals],[総数／事業所数]]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10</v>
      </c>
      <c r="D24" s="8">
        <v>18.18</v>
      </c>
      <c r="E24" s="12">
        <v>5</v>
      </c>
      <c r="F24" s="8">
        <v>21.74</v>
      </c>
      <c r="G24" s="12">
        <v>5</v>
      </c>
      <c r="H24" s="8">
        <v>22.73</v>
      </c>
      <c r="I24" s="12">
        <v>0</v>
      </c>
    </row>
    <row r="25" spans="2:9" ht="15" customHeight="1" x14ac:dyDescent="0.2">
      <c r="B25" t="s">
        <v>243</v>
      </c>
      <c r="C25" s="12">
        <v>5</v>
      </c>
      <c r="D25" s="8">
        <v>9.09</v>
      </c>
      <c r="E25" s="12">
        <v>1</v>
      </c>
      <c r="F25" s="8">
        <v>4.3499999999999996</v>
      </c>
      <c r="G25" s="12">
        <v>4</v>
      </c>
      <c r="H25" s="8">
        <v>18.18</v>
      </c>
      <c r="I25" s="12">
        <v>0</v>
      </c>
    </row>
    <row r="26" spans="2:9" ht="15" customHeight="1" x14ac:dyDescent="0.2">
      <c r="B26" t="s">
        <v>223</v>
      </c>
      <c r="C26" s="12">
        <v>4</v>
      </c>
      <c r="D26" s="8">
        <v>7.27</v>
      </c>
      <c r="E26" s="12">
        <v>2</v>
      </c>
      <c r="F26" s="8">
        <v>8.6999999999999993</v>
      </c>
      <c r="G26" s="12">
        <v>2</v>
      </c>
      <c r="H26" s="8">
        <v>9.09</v>
      </c>
      <c r="I26" s="12">
        <v>0</v>
      </c>
    </row>
    <row r="27" spans="2:9" ht="15" customHeight="1" x14ac:dyDescent="0.2">
      <c r="B27" t="s">
        <v>228</v>
      </c>
      <c r="C27" s="12">
        <v>4</v>
      </c>
      <c r="D27" s="8">
        <v>7.27</v>
      </c>
      <c r="E27" s="12">
        <v>4</v>
      </c>
      <c r="F27" s="8">
        <v>17.39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232</v>
      </c>
      <c r="C28" s="12">
        <v>4</v>
      </c>
      <c r="D28" s="8">
        <v>7.27</v>
      </c>
      <c r="E28" s="12">
        <v>0</v>
      </c>
      <c r="F28" s="8">
        <v>0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240</v>
      </c>
      <c r="C29" s="12">
        <v>3</v>
      </c>
      <c r="D29" s="8">
        <v>5.45</v>
      </c>
      <c r="E29" s="12">
        <v>2</v>
      </c>
      <c r="F29" s="8">
        <v>8.6999999999999993</v>
      </c>
      <c r="G29" s="12">
        <v>1</v>
      </c>
      <c r="H29" s="8">
        <v>4.55</v>
      </c>
      <c r="I29" s="12">
        <v>0</v>
      </c>
    </row>
    <row r="30" spans="2:9" ht="15" customHeight="1" x14ac:dyDescent="0.2">
      <c r="B30" t="s">
        <v>255</v>
      </c>
      <c r="C30" s="12">
        <v>2</v>
      </c>
      <c r="D30" s="8">
        <v>3.64</v>
      </c>
      <c r="E30" s="12">
        <v>0</v>
      </c>
      <c r="F30" s="8">
        <v>0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216</v>
      </c>
      <c r="C31" s="12">
        <v>2</v>
      </c>
      <c r="D31" s="8">
        <v>3.64</v>
      </c>
      <c r="E31" s="12">
        <v>1</v>
      </c>
      <c r="F31" s="8">
        <v>4.3499999999999996</v>
      </c>
      <c r="G31" s="12">
        <v>1</v>
      </c>
      <c r="H31" s="8">
        <v>4.55</v>
      </c>
      <c r="I31" s="12">
        <v>0</v>
      </c>
    </row>
    <row r="32" spans="2:9" ht="15" customHeight="1" x14ac:dyDescent="0.2">
      <c r="B32" t="s">
        <v>221</v>
      </c>
      <c r="C32" s="12">
        <v>2</v>
      </c>
      <c r="D32" s="8">
        <v>3.64</v>
      </c>
      <c r="E32" s="12">
        <v>1</v>
      </c>
      <c r="F32" s="8">
        <v>4.3499999999999996</v>
      </c>
      <c r="G32" s="12">
        <v>1</v>
      </c>
      <c r="H32" s="8">
        <v>4.55</v>
      </c>
      <c r="I32" s="12">
        <v>0</v>
      </c>
    </row>
    <row r="33" spans="2:9" ht="15" customHeight="1" x14ac:dyDescent="0.2">
      <c r="B33" t="s">
        <v>225</v>
      </c>
      <c r="C33" s="12">
        <v>2</v>
      </c>
      <c r="D33" s="8">
        <v>3.64</v>
      </c>
      <c r="E33" s="12">
        <v>1</v>
      </c>
      <c r="F33" s="8">
        <v>4.3499999999999996</v>
      </c>
      <c r="G33" s="12">
        <v>1</v>
      </c>
      <c r="H33" s="8">
        <v>4.55</v>
      </c>
      <c r="I33" s="12">
        <v>0</v>
      </c>
    </row>
    <row r="34" spans="2:9" ht="15" customHeight="1" x14ac:dyDescent="0.2">
      <c r="B34" t="s">
        <v>230</v>
      </c>
      <c r="C34" s="12">
        <v>2</v>
      </c>
      <c r="D34" s="8">
        <v>3.64</v>
      </c>
      <c r="E34" s="12">
        <v>0</v>
      </c>
      <c r="F34" s="8">
        <v>0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231</v>
      </c>
      <c r="C35" s="12">
        <v>2</v>
      </c>
      <c r="D35" s="8">
        <v>3.64</v>
      </c>
      <c r="E35" s="12">
        <v>1</v>
      </c>
      <c r="F35" s="8">
        <v>4.3499999999999996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214</v>
      </c>
      <c r="C36" s="12">
        <v>1</v>
      </c>
      <c r="D36" s="8">
        <v>1.82</v>
      </c>
      <c r="E36" s="12">
        <v>0</v>
      </c>
      <c r="F36" s="8">
        <v>0</v>
      </c>
      <c r="G36" s="12">
        <v>1</v>
      </c>
      <c r="H36" s="8">
        <v>4.55</v>
      </c>
      <c r="I36" s="12">
        <v>0</v>
      </c>
    </row>
    <row r="37" spans="2:9" ht="15" customHeight="1" x14ac:dyDescent="0.2">
      <c r="B37" t="s">
        <v>215</v>
      </c>
      <c r="C37" s="12">
        <v>1</v>
      </c>
      <c r="D37" s="8">
        <v>1.82</v>
      </c>
      <c r="E37" s="12">
        <v>1</v>
      </c>
      <c r="F37" s="8">
        <v>4.3499999999999996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241</v>
      </c>
      <c r="C38" s="12">
        <v>1</v>
      </c>
      <c r="D38" s="8">
        <v>1.82</v>
      </c>
      <c r="E38" s="12">
        <v>0</v>
      </c>
      <c r="F38" s="8">
        <v>0</v>
      </c>
      <c r="G38" s="12">
        <v>1</v>
      </c>
      <c r="H38" s="8">
        <v>4.55</v>
      </c>
      <c r="I38" s="12">
        <v>0</v>
      </c>
    </row>
    <row r="39" spans="2:9" ht="15" customHeight="1" x14ac:dyDescent="0.2">
      <c r="B39" t="s">
        <v>244</v>
      </c>
      <c r="C39" s="12">
        <v>1</v>
      </c>
      <c r="D39" s="8">
        <v>1.82</v>
      </c>
      <c r="E39" s="12">
        <v>0</v>
      </c>
      <c r="F39" s="8">
        <v>0</v>
      </c>
      <c r="G39" s="12">
        <v>1</v>
      </c>
      <c r="H39" s="8">
        <v>4.55</v>
      </c>
      <c r="I39" s="12">
        <v>0</v>
      </c>
    </row>
    <row r="40" spans="2:9" ht="15" customHeight="1" x14ac:dyDescent="0.2">
      <c r="B40" t="s">
        <v>252</v>
      </c>
      <c r="C40" s="12">
        <v>1</v>
      </c>
      <c r="D40" s="8">
        <v>1.82</v>
      </c>
      <c r="E40" s="12">
        <v>0</v>
      </c>
      <c r="F40" s="8">
        <v>0</v>
      </c>
      <c r="G40" s="12">
        <v>1</v>
      </c>
      <c r="H40" s="8">
        <v>4.55</v>
      </c>
      <c r="I40" s="12">
        <v>0</v>
      </c>
    </row>
    <row r="41" spans="2:9" ht="15" customHeight="1" x14ac:dyDescent="0.2">
      <c r="B41" t="s">
        <v>268</v>
      </c>
      <c r="C41" s="12">
        <v>1</v>
      </c>
      <c r="D41" s="8">
        <v>1.82</v>
      </c>
      <c r="E41" s="12">
        <v>1</v>
      </c>
      <c r="F41" s="8">
        <v>4.3499999999999996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274</v>
      </c>
      <c r="C42" s="12">
        <v>1</v>
      </c>
      <c r="D42" s="8">
        <v>1.82</v>
      </c>
      <c r="E42" s="12">
        <v>1</v>
      </c>
      <c r="F42" s="8">
        <v>4.3499999999999996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237</v>
      </c>
      <c r="C43" s="12">
        <v>1</v>
      </c>
      <c r="D43" s="8">
        <v>1.82</v>
      </c>
      <c r="E43" s="12">
        <v>0</v>
      </c>
      <c r="F43" s="8">
        <v>0</v>
      </c>
      <c r="G43" s="12">
        <v>1</v>
      </c>
      <c r="H43" s="8">
        <v>4.55</v>
      </c>
      <c r="I43" s="12">
        <v>0</v>
      </c>
    </row>
    <row r="44" spans="2:9" ht="15" customHeight="1" x14ac:dyDescent="0.2">
      <c r="B44" t="s">
        <v>224</v>
      </c>
      <c r="C44" s="12">
        <v>1</v>
      </c>
      <c r="D44" s="8">
        <v>1.82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246</v>
      </c>
      <c r="C45" s="12">
        <v>1</v>
      </c>
      <c r="D45" s="8">
        <v>1.82</v>
      </c>
      <c r="E45" s="12">
        <v>0</v>
      </c>
      <c r="F45" s="8">
        <v>0</v>
      </c>
      <c r="G45" s="12">
        <v>1</v>
      </c>
      <c r="H45" s="8">
        <v>4.55</v>
      </c>
      <c r="I45" s="12">
        <v>0</v>
      </c>
    </row>
    <row r="46" spans="2:9" ht="15" customHeight="1" x14ac:dyDescent="0.2">
      <c r="B46" t="s">
        <v>239</v>
      </c>
      <c r="C46" s="12">
        <v>1</v>
      </c>
      <c r="D46" s="8">
        <v>1.82</v>
      </c>
      <c r="E46" s="12">
        <v>1</v>
      </c>
      <c r="F46" s="8">
        <v>4.3499999999999996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247</v>
      </c>
      <c r="C47" s="12">
        <v>1</v>
      </c>
      <c r="D47" s="8">
        <v>1.82</v>
      </c>
      <c r="E47" s="12">
        <v>1</v>
      </c>
      <c r="F47" s="8">
        <v>4.3499999999999996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249</v>
      </c>
      <c r="C48" s="12">
        <v>1</v>
      </c>
      <c r="D48" s="8">
        <v>1.82</v>
      </c>
      <c r="E48" s="12">
        <v>0</v>
      </c>
      <c r="F48" s="8">
        <v>0</v>
      </c>
      <c r="G48" s="12">
        <v>1</v>
      </c>
      <c r="H48" s="8">
        <v>4.55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339</v>
      </c>
      <c r="C52" s="12">
        <v>4</v>
      </c>
      <c r="D52" s="8">
        <v>7.27</v>
      </c>
      <c r="E52" s="12">
        <v>1</v>
      </c>
      <c r="F52" s="8">
        <v>4.3499999999999996</v>
      </c>
      <c r="G52" s="12">
        <v>3</v>
      </c>
      <c r="H52" s="8">
        <v>13.64</v>
      </c>
      <c r="I52" s="12">
        <v>0</v>
      </c>
    </row>
    <row r="53" spans="2:9" ht="15" customHeight="1" x14ac:dyDescent="0.2">
      <c r="B53" t="s">
        <v>334</v>
      </c>
      <c r="C53" s="12">
        <v>4</v>
      </c>
      <c r="D53" s="8">
        <v>7.27</v>
      </c>
      <c r="E53" s="12">
        <v>2</v>
      </c>
      <c r="F53" s="8">
        <v>8.6999999999999993</v>
      </c>
      <c r="G53" s="12">
        <v>2</v>
      </c>
      <c r="H53" s="8">
        <v>9.09</v>
      </c>
      <c r="I53" s="12">
        <v>0</v>
      </c>
    </row>
    <row r="54" spans="2:9" ht="15" customHeight="1" x14ac:dyDescent="0.2">
      <c r="B54" t="s">
        <v>303</v>
      </c>
      <c r="C54" s="12">
        <v>3</v>
      </c>
      <c r="D54" s="8">
        <v>5.45</v>
      </c>
      <c r="E54" s="12">
        <v>3</v>
      </c>
      <c r="F54" s="8">
        <v>13.04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341</v>
      </c>
      <c r="C55" s="12">
        <v>3</v>
      </c>
      <c r="D55" s="8">
        <v>5.45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307</v>
      </c>
      <c r="C56" s="12">
        <v>3</v>
      </c>
      <c r="D56" s="8">
        <v>5.45</v>
      </c>
      <c r="E56" s="12">
        <v>2</v>
      </c>
      <c r="F56" s="8">
        <v>8.6999999999999993</v>
      </c>
      <c r="G56" s="12">
        <v>1</v>
      </c>
      <c r="H56" s="8">
        <v>4.55</v>
      </c>
      <c r="I56" s="12">
        <v>0</v>
      </c>
    </row>
    <row r="57" spans="2:9" ht="15" customHeight="1" x14ac:dyDescent="0.2">
      <c r="B57" t="s">
        <v>358</v>
      </c>
      <c r="C57" s="12">
        <v>2</v>
      </c>
      <c r="D57" s="8">
        <v>3.64</v>
      </c>
      <c r="E57" s="12">
        <v>1</v>
      </c>
      <c r="F57" s="8">
        <v>4.3499999999999996</v>
      </c>
      <c r="G57" s="12">
        <v>1</v>
      </c>
      <c r="H57" s="8">
        <v>4.55</v>
      </c>
      <c r="I57" s="12">
        <v>0</v>
      </c>
    </row>
    <row r="58" spans="2:9" ht="15" customHeight="1" x14ac:dyDescent="0.2">
      <c r="B58" t="s">
        <v>330</v>
      </c>
      <c r="C58" s="12">
        <v>2</v>
      </c>
      <c r="D58" s="8">
        <v>3.64</v>
      </c>
      <c r="E58" s="12">
        <v>0</v>
      </c>
      <c r="F58" s="8">
        <v>0</v>
      </c>
      <c r="G58" s="12">
        <v>2</v>
      </c>
      <c r="H58" s="8">
        <v>9.09</v>
      </c>
      <c r="I58" s="12">
        <v>0</v>
      </c>
    </row>
    <row r="59" spans="2:9" ht="15" customHeight="1" x14ac:dyDescent="0.2">
      <c r="B59" t="s">
        <v>299</v>
      </c>
      <c r="C59" s="12">
        <v>2</v>
      </c>
      <c r="D59" s="8">
        <v>3.64</v>
      </c>
      <c r="E59" s="12">
        <v>0</v>
      </c>
      <c r="F59" s="8">
        <v>0</v>
      </c>
      <c r="G59" s="12">
        <v>2</v>
      </c>
      <c r="H59" s="8">
        <v>9.09</v>
      </c>
      <c r="I59" s="12">
        <v>0</v>
      </c>
    </row>
    <row r="60" spans="2:9" ht="15" customHeight="1" x14ac:dyDescent="0.2">
      <c r="B60" t="s">
        <v>340</v>
      </c>
      <c r="C60" s="12">
        <v>2</v>
      </c>
      <c r="D60" s="8">
        <v>3.64</v>
      </c>
      <c r="E60" s="12">
        <v>0</v>
      </c>
      <c r="F60" s="8">
        <v>0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312</v>
      </c>
      <c r="C61" s="12">
        <v>2</v>
      </c>
      <c r="D61" s="8">
        <v>3.64</v>
      </c>
      <c r="E61" s="12">
        <v>1</v>
      </c>
      <c r="F61" s="8">
        <v>4.3499999999999996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375</v>
      </c>
      <c r="C62" s="12">
        <v>1</v>
      </c>
      <c r="D62" s="8">
        <v>1.82</v>
      </c>
      <c r="E62" s="12">
        <v>0</v>
      </c>
      <c r="F62" s="8">
        <v>0</v>
      </c>
      <c r="G62" s="12">
        <v>1</v>
      </c>
      <c r="H62" s="8">
        <v>4.55</v>
      </c>
      <c r="I62" s="12">
        <v>0</v>
      </c>
    </row>
    <row r="63" spans="2:9" ht="15" customHeight="1" x14ac:dyDescent="0.2">
      <c r="B63" t="s">
        <v>290</v>
      </c>
      <c r="C63" s="12">
        <v>1</v>
      </c>
      <c r="D63" s="8">
        <v>1.82</v>
      </c>
      <c r="E63" s="12">
        <v>1</v>
      </c>
      <c r="F63" s="8">
        <v>4.3499999999999996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413</v>
      </c>
      <c r="C64" s="12">
        <v>1</v>
      </c>
      <c r="D64" s="8">
        <v>1.82</v>
      </c>
      <c r="E64" s="12">
        <v>0</v>
      </c>
      <c r="F64" s="8">
        <v>0</v>
      </c>
      <c r="G64" s="12">
        <v>1</v>
      </c>
      <c r="H64" s="8">
        <v>4.55</v>
      </c>
      <c r="I64" s="12">
        <v>0</v>
      </c>
    </row>
    <row r="65" spans="2:9" ht="15" customHeight="1" x14ac:dyDescent="0.2">
      <c r="B65" t="s">
        <v>461</v>
      </c>
      <c r="C65" s="12">
        <v>1</v>
      </c>
      <c r="D65" s="8">
        <v>1.82</v>
      </c>
      <c r="E65" s="12">
        <v>0</v>
      </c>
      <c r="F65" s="8">
        <v>0</v>
      </c>
      <c r="G65" s="12">
        <v>1</v>
      </c>
      <c r="H65" s="8">
        <v>4.55</v>
      </c>
      <c r="I65" s="12">
        <v>0</v>
      </c>
    </row>
    <row r="66" spans="2:9" ht="15" customHeight="1" x14ac:dyDescent="0.2">
      <c r="B66" t="s">
        <v>399</v>
      </c>
      <c r="C66" s="12">
        <v>1</v>
      </c>
      <c r="D66" s="8">
        <v>1.82</v>
      </c>
      <c r="E66" s="12">
        <v>0</v>
      </c>
      <c r="F66" s="8">
        <v>0</v>
      </c>
      <c r="G66" s="12">
        <v>1</v>
      </c>
      <c r="H66" s="8">
        <v>4.55</v>
      </c>
      <c r="I66" s="12">
        <v>0</v>
      </c>
    </row>
    <row r="67" spans="2:9" ht="15" customHeight="1" x14ac:dyDescent="0.2">
      <c r="B67" t="s">
        <v>414</v>
      </c>
      <c r="C67" s="12">
        <v>1</v>
      </c>
      <c r="D67" s="8">
        <v>1.82</v>
      </c>
      <c r="E67" s="12">
        <v>1</v>
      </c>
      <c r="F67" s="8">
        <v>4.3499999999999996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361</v>
      </c>
      <c r="C68" s="12">
        <v>1</v>
      </c>
      <c r="D68" s="8">
        <v>1.82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407</v>
      </c>
      <c r="C69" s="12">
        <v>1</v>
      </c>
      <c r="D69" s="8">
        <v>1.82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487</v>
      </c>
      <c r="C70" s="12">
        <v>1</v>
      </c>
      <c r="D70" s="8">
        <v>1.82</v>
      </c>
      <c r="E70" s="12">
        <v>1</v>
      </c>
      <c r="F70" s="8">
        <v>4.3499999999999996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336</v>
      </c>
      <c r="C71" s="12">
        <v>1</v>
      </c>
      <c r="D71" s="8">
        <v>1.82</v>
      </c>
      <c r="E71" s="12">
        <v>0</v>
      </c>
      <c r="F71" s="8">
        <v>0</v>
      </c>
      <c r="G71" s="12">
        <v>1</v>
      </c>
      <c r="H71" s="8">
        <v>4.55</v>
      </c>
      <c r="I71" s="12">
        <v>0</v>
      </c>
    </row>
    <row r="72" spans="2:9" ht="15" customHeight="1" x14ac:dyDescent="0.2">
      <c r="B72" t="s">
        <v>329</v>
      </c>
      <c r="C72" s="12">
        <v>1</v>
      </c>
      <c r="D72" s="8">
        <v>1.82</v>
      </c>
      <c r="E72" s="12">
        <v>1</v>
      </c>
      <c r="F72" s="8">
        <v>4.3499999999999996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337</v>
      </c>
      <c r="C73" s="12">
        <v>1</v>
      </c>
      <c r="D73" s="8">
        <v>1.82</v>
      </c>
      <c r="E73" s="12">
        <v>1</v>
      </c>
      <c r="F73" s="8">
        <v>4.3499999999999996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295</v>
      </c>
      <c r="C74" s="12">
        <v>1</v>
      </c>
      <c r="D74" s="8">
        <v>1.82</v>
      </c>
      <c r="E74" s="12">
        <v>1</v>
      </c>
      <c r="F74" s="8">
        <v>4.3499999999999996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488</v>
      </c>
      <c r="C75" s="12">
        <v>1</v>
      </c>
      <c r="D75" s="8">
        <v>1.82</v>
      </c>
      <c r="E75" s="12">
        <v>0</v>
      </c>
      <c r="F75" s="8">
        <v>0</v>
      </c>
      <c r="G75" s="12">
        <v>1</v>
      </c>
      <c r="H75" s="8">
        <v>4.55</v>
      </c>
      <c r="I75" s="12">
        <v>0</v>
      </c>
    </row>
    <row r="76" spans="2:9" ht="15" customHeight="1" x14ac:dyDescent="0.2">
      <c r="B76" t="s">
        <v>297</v>
      </c>
      <c r="C76" s="12">
        <v>1</v>
      </c>
      <c r="D76" s="8">
        <v>1.82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396</v>
      </c>
      <c r="C77" s="12">
        <v>1</v>
      </c>
      <c r="D77" s="8">
        <v>1.82</v>
      </c>
      <c r="E77" s="12">
        <v>0</v>
      </c>
      <c r="F77" s="8">
        <v>0</v>
      </c>
      <c r="G77" s="12">
        <v>1</v>
      </c>
      <c r="H77" s="8">
        <v>4.55</v>
      </c>
      <c r="I77" s="12">
        <v>0</v>
      </c>
    </row>
    <row r="78" spans="2:9" ht="15" customHeight="1" x14ac:dyDescent="0.2">
      <c r="B78" t="s">
        <v>315</v>
      </c>
      <c r="C78" s="12">
        <v>1</v>
      </c>
      <c r="D78" s="8">
        <v>1.82</v>
      </c>
      <c r="E78" s="12">
        <v>1</v>
      </c>
      <c r="F78" s="8">
        <v>4.3499999999999996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429</v>
      </c>
      <c r="C79" s="12">
        <v>1</v>
      </c>
      <c r="D79" s="8">
        <v>1.82</v>
      </c>
      <c r="E79" s="12">
        <v>0</v>
      </c>
      <c r="F79" s="8">
        <v>0</v>
      </c>
      <c r="G79" s="12">
        <v>1</v>
      </c>
      <c r="H79" s="8">
        <v>4.55</v>
      </c>
      <c r="I79" s="12">
        <v>0</v>
      </c>
    </row>
    <row r="80" spans="2:9" ht="15" customHeight="1" x14ac:dyDescent="0.2">
      <c r="B80" t="s">
        <v>422</v>
      </c>
      <c r="C80" s="12">
        <v>1</v>
      </c>
      <c r="D80" s="8">
        <v>1.82</v>
      </c>
      <c r="E80" s="12">
        <v>0</v>
      </c>
      <c r="F80" s="8">
        <v>0</v>
      </c>
      <c r="G80" s="12">
        <v>1</v>
      </c>
      <c r="H80" s="8">
        <v>4.55</v>
      </c>
      <c r="I80" s="12">
        <v>0</v>
      </c>
    </row>
    <row r="81" spans="2:9" ht="15" customHeight="1" x14ac:dyDescent="0.2">
      <c r="B81" t="s">
        <v>419</v>
      </c>
      <c r="C81" s="12">
        <v>1</v>
      </c>
      <c r="D81" s="8">
        <v>1.82</v>
      </c>
      <c r="E81" s="12">
        <v>1</v>
      </c>
      <c r="F81" s="8">
        <v>4.3499999999999996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349</v>
      </c>
      <c r="C82" s="12">
        <v>1</v>
      </c>
      <c r="D82" s="8">
        <v>1.82</v>
      </c>
      <c r="E82" s="12">
        <v>0</v>
      </c>
      <c r="F82" s="8">
        <v>0</v>
      </c>
      <c r="G82" s="12">
        <v>1</v>
      </c>
      <c r="H82" s="8">
        <v>4.55</v>
      </c>
      <c r="I82" s="12">
        <v>0</v>
      </c>
    </row>
    <row r="83" spans="2:9" ht="15" customHeight="1" x14ac:dyDescent="0.2">
      <c r="B83" t="s">
        <v>302</v>
      </c>
      <c r="C83" s="12">
        <v>1</v>
      </c>
      <c r="D83" s="8">
        <v>1.82</v>
      </c>
      <c r="E83" s="12">
        <v>1</v>
      </c>
      <c r="F83" s="8">
        <v>4.3499999999999996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390</v>
      </c>
      <c r="C84" s="12">
        <v>1</v>
      </c>
      <c r="D84" s="8">
        <v>1.82</v>
      </c>
      <c r="E84" s="12">
        <v>1</v>
      </c>
      <c r="F84" s="8">
        <v>4.3499999999999996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423</v>
      </c>
      <c r="C85" s="12">
        <v>1</v>
      </c>
      <c r="D85" s="8">
        <v>1.82</v>
      </c>
      <c r="E85" s="12">
        <v>1</v>
      </c>
      <c r="F85" s="8">
        <v>4.3499999999999996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317</v>
      </c>
      <c r="C86" s="12">
        <v>1</v>
      </c>
      <c r="D86" s="8">
        <v>1.82</v>
      </c>
      <c r="E86" s="12">
        <v>1</v>
      </c>
      <c r="F86" s="8">
        <v>4.3499999999999996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459</v>
      </c>
      <c r="C87" s="12">
        <v>1</v>
      </c>
      <c r="D87" s="8">
        <v>1.82</v>
      </c>
      <c r="E87" s="12">
        <v>1</v>
      </c>
      <c r="F87" s="8">
        <v>4.3499999999999996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331</v>
      </c>
      <c r="C88" s="12">
        <v>1</v>
      </c>
      <c r="D88" s="8">
        <v>1.82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370</v>
      </c>
      <c r="C89" s="12">
        <v>1</v>
      </c>
      <c r="D89" s="8">
        <v>1.82</v>
      </c>
      <c r="E89" s="12">
        <v>0</v>
      </c>
      <c r="F89" s="8">
        <v>0</v>
      </c>
      <c r="G89" s="12">
        <v>1</v>
      </c>
      <c r="H89" s="8">
        <v>4.55</v>
      </c>
      <c r="I89" s="12">
        <v>0</v>
      </c>
    </row>
    <row r="91" spans="2:9" ht="15" customHeight="1" x14ac:dyDescent="0.2">
      <c r="B9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3CF98-2DD6-4683-BE26-6C77488FAB80}">
  <sheetPr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</v>
      </c>
      <c r="D6" s="8">
        <v>5.15</v>
      </c>
      <c r="E6" s="12">
        <v>2</v>
      </c>
      <c r="F6" s="8">
        <v>3.45</v>
      </c>
      <c r="G6" s="12">
        <v>3</v>
      </c>
      <c r="H6" s="8">
        <v>9.09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6.19</v>
      </c>
      <c r="E7" s="12">
        <v>2</v>
      </c>
      <c r="F7" s="8">
        <v>3.45</v>
      </c>
      <c r="G7" s="12">
        <v>4</v>
      </c>
      <c r="H7" s="8">
        <v>12.12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1.03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2.06</v>
      </c>
      <c r="E9" s="12">
        <v>1</v>
      </c>
      <c r="F9" s="8">
        <v>1.72</v>
      </c>
      <c r="G9" s="12">
        <v>1</v>
      </c>
      <c r="H9" s="8">
        <v>3.03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3.09</v>
      </c>
      <c r="E10" s="12">
        <v>1</v>
      </c>
      <c r="F10" s="8">
        <v>1.72</v>
      </c>
      <c r="G10" s="12">
        <v>1</v>
      </c>
      <c r="H10" s="8">
        <v>3.03</v>
      </c>
      <c r="I10" s="12">
        <v>0</v>
      </c>
    </row>
    <row r="11" spans="2:9" ht="15" customHeight="1" x14ac:dyDescent="0.2">
      <c r="B11" t="s">
        <v>196</v>
      </c>
      <c r="C11" s="12">
        <v>33</v>
      </c>
      <c r="D11" s="8">
        <v>34.020000000000003</v>
      </c>
      <c r="E11" s="12">
        <v>19</v>
      </c>
      <c r="F11" s="8">
        <v>32.76</v>
      </c>
      <c r="G11" s="12">
        <v>14</v>
      </c>
      <c r="H11" s="8">
        <v>42.42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4.12</v>
      </c>
      <c r="E14" s="12">
        <v>2</v>
      </c>
      <c r="F14" s="8">
        <v>3.45</v>
      </c>
      <c r="G14" s="12">
        <v>1</v>
      </c>
      <c r="H14" s="8">
        <v>3.03</v>
      </c>
      <c r="I14" s="12">
        <v>0</v>
      </c>
    </row>
    <row r="15" spans="2:9" ht="15" customHeight="1" x14ac:dyDescent="0.2">
      <c r="B15" t="s">
        <v>200</v>
      </c>
      <c r="C15" s="12">
        <v>15</v>
      </c>
      <c r="D15" s="8">
        <v>15.46</v>
      </c>
      <c r="E15" s="12">
        <v>11</v>
      </c>
      <c r="F15" s="8">
        <v>18.97</v>
      </c>
      <c r="G15" s="12">
        <v>4</v>
      </c>
      <c r="H15" s="8">
        <v>12.12</v>
      </c>
      <c r="I15" s="12">
        <v>0</v>
      </c>
    </row>
    <row r="16" spans="2:9" ht="15" customHeight="1" x14ac:dyDescent="0.2">
      <c r="B16" t="s">
        <v>201</v>
      </c>
      <c r="C16" s="12">
        <v>13</v>
      </c>
      <c r="D16" s="8">
        <v>13.4</v>
      </c>
      <c r="E16" s="12">
        <v>12</v>
      </c>
      <c r="F16" s="8">
        <v>20.69</v>
      </c>
      <c r="G16" s="12">
        <v>1</v>
      </c>
      <c r="H16" s="8">
        <v>3.03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4.12</v>
      </c>
      <c r="E17" s="12">
        <v>2</v>
      </c>
      <c r="F17" s="8">
        <v>3.45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5.15</v>
      </c>
      <c r="E18" s="12">
        <v>4</v>
      </c>
      <c r="F18" s="8">
        <v>6.9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6.19</v>
      </c>
      <c r="E19" s="12">
        <v>2</v>
      </c>
      <c r="F19" s="8">
        <v>3.45</v>
      </c>
      <c r="G19" s="12">
        <v>4</v>
      </c>
      <c r="H19" s="8">
        <v>12.12</v>
      </c>
      <c r="I19" s="12">
        <v>0</v>
      </c>
    </row>
    <row r="20" spans="2:9" ht="15" customHeight="1" x14ac:dyDescent="0.2">
      <c r="B20" s="9" t="s">
        <v>529</v>
      </c>
      <c r="C20" s="12">
        <f>SUM(LTBL_01464[総数／事業所数])</f>
        <v>97</v>
      </c>
      <c r="E20" s="12">
        <f>SUBTOTAL(109,LTBL_01464[個人／事業所数])</f>
        <v>58</v>
      </c>
      <c r="G20" s="12">
        <f>SUBTOTAL(109,LTBL_01464[法人／事業所数])</f>
        <v>33</v>
      </c>
      <c r="I20" s="12">
        <f>SUBTOTAL(109,LTBL_01464[法人以外の団体／事業所数])</f>
        <v>0</v>
      </c>
    </row>
    <row r="21" spans="2:9" ht="15" customHeight="1" x14ac:dyDescent="0.2">
      <c r="E21" s="11">
        <f>LTBL_01464[[#Totals],[個人／事業所数]]/LTBL_01464[[#Totals],[総数／事業所数]]</f>
        <v>0.59793814432989689</v>
      </c>
      <c r="G21" s="11">
        <f>LTBL_01464[[#Totals],[法人／事業所数]]/LTBL_01464[[#Totals],[総数／事業所数]]</f>
        <v>0.34020618556701032</v>
      </c>
      <c r="I21" s="11">
        <f>LTBL_01464[[#Totals],[法人以外の団体／事業所数]]/LTBL_01464[[#Totals],[総数／事業所数]]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14</v>
      </c>
      <c r="D24" s="8">
        <v>14.43</v>
      </c>
      <c r="E24" s="12">
        <v>10</v>
      </c>
      <c r="F24" s="8">
        <v>17.239999999999998</v>
      </c>
      <c r="G24" s="12">
        <v>4</v>
      </c>
      <c r="H24" s="8">
        <v>12.12</v>
      </c>
      <c r="I24" s="12">
        <v>0</v>
      </c>
    </row>
    <row r="25" spans="2:9" ht="15" customHeight="1" x14ac:dyDescent="0.2">
      <c r="B25" t="s">
        <v>221</v>
      </c>
      <c r="C25" s="12">
        <v>12</v>
      </c>
      <c r="D25" s="8">
        <v>12.37</v>
      </c>
      <c r="E25" s="12">
        <v>7</v>
      </c>
      <c r="F25" s="8">
        <v>12.07</v>
      </c>
      <c r="G25" s="12">
        <v>5</v>
      </c>
      <c r="H25" s="8">
        <v>15.15</v>
      </c>
      <c r="I25" s="12">
        <v>0</v>
      </c>
    </row>
    <row r="26" spans="2:9" ht="15" customHeight="1" x14ac:dyDescent="0.2">
      <c r="B26" t="s">
        <v>228</v>
      </c>
      <c r="C26" s="12">
        <v>11</v>
      </c>
      <c r="D26" s="8">
        <v>11.34</v>
      </c>
      <c r="E26" s="12">
        <v>11</v>
      </c>
      <c r="F26" s="8">
        <v>18.97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223</v>
      </c>
      <c r="C27" s="12">
        <v>10</v>
      </c>
      <c r="D27" s="8">
        <v>10.31</v>
      </c>
      <c r="E27" s="12">
        <v>6</v>
      </c>
      <c r="F27" s="8">
        <v>10.34</v>
      </c>
      <c r="G27" s="12">
        <v>4</v>
      </c>
      <c r="H27" s="8">
        <v>12.12</v>
      </c>
      <c r="I27" s="12">
        <v>0</v>
      </c>
    </row>
    <row r="28" spans="2:9" ht="15" customHeight="1" x14ac:dyDescent="0.2">
      <c r="B28" t="s">
        <v>222</v>
      </c>
      <c r="C28" s="12">
        <v>6</v>
      </c>
      <c r="D28" s="8">
        <v>6.19</v>
      </c>
      <c r="E28" s="12">
        <v>5</v>
      </c>
      <c r="F28" s="8">
        <v>8.6199999999999992</v>
      </c>
      <c r="G28" s="12">
        <v>1</v>
      </c>
      <c r="H28" s="8">
        <v>3.03</v>
      </c>
      <c r="I28" s="12">
        <v>0</v>
      </c>
    </row>
    <row r="29" spans="2:9" ht="15" customHeight="1" x14ac:dyDescent="0.2">
      <c r="B29" t="s">
        <v>230</v>
      </c>
      <c r="C29" s="12">
        <v>4</v>
      </c>
      <c r="D29" s="8">
        <v>4.12</v>
      </c>
      <c r="E29" s="12">
        <v>2</v>
      </c>
      <c r="F29" s="8">
        <v>3.45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231</v>
      </c>
      <c r="C30" s="12">
        <v>4</v>
      </c>
      <c r="D30" s="8">
        <v>4.12</v>
      </c>
      <c r="E30" s="12">
        <v>4</v>
      </c>
      <c r="F30" s="8">
        <v>6.9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220</v>
      </c>
      <c r="C31" s="12">
        <v>3</v>
      </c>
      <c r="D31" s="8">
        <v>3.09</v>
      </c>
      <c r="E31" s="12">
        <v>1</v>
      </c>
      <c r="F31" s="8">
        <v>1.72</v>
      </c>
      <c r="G31" s="12">
        <v>2</v>
      </c>
      <c r="H31" s="8">
        <v>6.06</v>
      </c>
      <c r="I31" s="12">
        <v>0</v>
      </c>
    </row>
    <row r="32" spans="2:9" ht="15" customHeight="1" x14ac:dyDescent="0.2">
      <c r="B32" t="s">
        <v>234</v>
      </c>
      <c r="C32" s="12">
        <v>3</v>
      </c>
      <c r="D32" s="8">
        <v>3.09</v>
      </c>
      <c r="E32" s="12">
        <v>1</v>
      </c>
      <c r="F32" s="8">
        <v>1.72</v>
      </c>
      <c r="G32" s="12">
        <v>2</v>
      </c>
      <c r="H32" s="8">
        <v>6.06</v>
      </c>
      <c r="I32" s="12">
        <v>0</v>
      </c>
    </row>
    <row r="33" spans="2:9" ht="15" customHeight="1" x14ac:dyDescent="0.2">
      <c r="B33" t="s">
        <v>213</v>
      </c>
      <c r="C33" s="12">
        <v>2</v>
      </c>
      <c r="D33" s="8">
        <v>2.06</v>
      </c>
      <c r="E33" s="12">
        <v>1</v>
      </c>
      <c r="F33" s="8">
        <v>1.72</v>
      </c>
      <c r="G33" s="12">
        <v>1</v>
      </c>
      <c r="H33" s="8">
        <v>3.03</v>
      </c>
      <c r="I33" s="12">
        <v>0</v>
      </c>
    </row>
    <row r="34" spans="2:9" ht="15" customHeight="1" x14ac:dyDescent="0.2">
      <c r="B34" t="s">
        <v>214</v>
      </c>
      <c r="C34" s="12">
        <v>2</v>
      </c>
      <c r="D34" s="8">
        <v>2.06</v>
      </c>
      <c r="E34" s="12">
        <v>1</v>
      </c>
      <c r="F34" s="8">
        <v>1.72</v>
      </c>
      <c r="G34" s="12">
        <v>1</v>
      </c>
      <c r="H34" s="8">
        <v>3.03</v>
      </c>
      <c r="I34" s="12">
        <v>0</v>
      </c>
    </row>
    <row r="35" spans="2:9" ht="15" customHeight="1" x14ac:dyDescent="0.2">
      <c r="B35" t="s">
        <v>244</v>
      </c>
      <c r="C35" s="12">
        <v>2</v>
      </c>
      <c r="D35" s="8">
        <v>2.06</v>
      </c>
      <c r="E35" s="12">
        <v>0</v>
      </c>
      <c r="F35" s="8">
        <v>0</v>
      </c>
      <c r="G35" s="12">
        <v>2</v>
      </c>
      <c r="H35" s="8">
        <v>6.06</v>
      </c>
      <c r="I35" s="12">
        <v>0</v>
      </c>
    </row>
    <row r="36" spans="2:9" ht="15" customHeight="1" x14ac:dyDescent="0.2">
      <c r="B36" t="s">
        <v>277</v>
      </c>
      <c r="C36" s="12">
        <v>2</v>
      </c>
      <c r="D36" s="8">
        <v>2.06</v>
      </c>
      <c r="E36" s="12">
        <v>1</v>
      </c>
      <c r="F36" s="8">
        <v>1.72</v>
      </c>
      <c r="G36" s="12">
        <v>1</v>
      </c>
      <c r="H36" s="8">
        <v>3.03</v>
      </c>
      <c r="I36" s="12">
        <v>0</v>
      </c>
    </row>
    <row r="37" spans="2:9" ht="15" customHeight="1" x14ac:dyDescent="0.2">
      <c r="B37" t="s">
        <v>248</v>
      </c>
      <c r="C37" s="12">
        <v>2</v>
      </c>
      <c r="D37" s="8">
        <v>2.06</v>
      </c>
      <c r="E37" s="12">
        <v>1</v>
      </c>
      <c r="F37" s="8">
        <v>1.72</v>
      </c>
      <c r="G37" s="12">
        <v>1</v>
      </c>
      <c r="H37" s="8">
        <v>3.03</v>
      </c>
      <c r="I37" s="12">
        <v>0</v>
      </c>
    </row>
    <row r="38" spans="2:9" ht="15" customHeight="1" x14ac:dyDescent="0.2">
      <c r="B38" t="s">
        <v>256</v>
      </c>
      <c r="C38" s="12">
        <v>2</v>
      </c>
      <c r="D38" s="8">
        <v>2.06</v>
      </c>
      <c r="E38" s="12">
        <v>0</v>
      </c>
      <c r="F38" s="8">
        <v>0</v>
      </c>
      <c r="G38" s="12">
        <v>1</v>
      </c>
      <c r="H38" s="8">
        <v>3.03</v>
      </c>
      <c r="I38" s="12">
        <v>0</v>
      </c>
    </row>
    <row r="39" spans="2:9" ht="15" customHeight="1" x14ac:dyDescent="0.2">
      <c r="B39" t="s">
        <v>226</v>
      </c>
      <c r="C39" s="12">
        <v>2</v>
      </c>
      <c r="D39" s="8">
        <v>2.06</v>
      </c>
      <c r="E39" s="12">
        <v>2</v>
      </c>
      <c r="F39" s="8">
        <v>3.45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229</v>
      </c>
      <c r="C40" s="12">
        <v>2</v>
      </c>
      <c r="D40" s="8">
        <v>2.06</v>
      </c>
      <c r="E40" s="12">
        <v>1</v>
      </c>
      <c r="F40" s="8">
        <v>1.72</v>
      </c>
      <c r="G40" s="12">
        <v>1</v>
      </c>
      <c r="H40" s="8">
        <v>3.03</v>
      </c>
      <c r="I40" s="12">
        <v>0</v>
      </c>
    </row>
    <row r="41" spans="2:9" ht="15" customHeight="1" x14ac:dyDescent="0.2">
      <c r="B41" t="s">
        <v>215</v>
      </c>
      <c r="C41" s="12">
        <v>1</v>
      </c>
      <c r="D41" s="8">
        <v>1.03</v>
      </c>
      <c r="E41" s="12">
        <v>0</v>
      </c>
      <c r="F41" s="8">
        <v>0</v>
      </c>
      <c r="G41" s="12">
        <v>1</v>
      </c>
      <c r="H41" s="8">
        <v>3.03</v>
      </c>
      <c r="I41" s="12">
        <v>0</v>
      </c>
    </row>
    <row r="42" spans="2:9" ht="15" customHeight="1" x14ac:dyDescent="0.2">
      <c r="B42" t="s">
        <v>241</v>
      </c>
      <c r="C42" s="12">
        <v>1</v>
      </c>
      <c r="D42" s="8">
        <v>1.03</v>
      </c>
      <c r="E42" s="12">
        <v>0</v>
      </c>
      <c r="F42" s="8">
        <v>0</v>
      </c>
      <c r="G42" s="12">
        <v>1</v>
      </c>
      <c r="H42" s="8">
        <v>3.03</v>
      </c>
      <c r="I42" s="12">
        <v>0</v>
      </c>
    </row>
    <row r="43" spans="2:9" ht="15" customHeight="1" x14ac:dyDescent="0.2">
      <c r="B43" t="s">
        <v>258</v>
      </c>
      <c r="C43" s="12">
        <v>1</v>
      </c>
      <c r="D43" s="8">
        <v>1.03</v>
      </c>
      <c r="E43" s="12">
        <v>1</v>
      </c>
      <c r="F43" s="8">
        <v>1.72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253</v>
      </c>
      <c r="C44" s="12">
        <v>1</v>
      </c>
      <c r="D44" s="8">
        <v>1.03</v>
      </c>
      <c r="E44" s="12">
        <v>0</v>
      </c>
      <c r="F44" s="8">
        <v>0</v>
      </c>
      <c r="G44" s="12">
        <v>1</v>
      </c>
      <c r="H44" s="8">
        <v>3.03</v>
      </c>
      <c r="I44" s="12">
        <v>0</v>
      </c>
    </row>
    <row r="45" spans="2:9" ht="15" customHeight="1" x14ac:dyDescent="0.2">
      <c r="B45" t="s">
        <v>268</v>
      </c>
      <c r="C45" s="12">
        <v>1</v>
      </c>
      <c r="D45" s="8">
        <v>1.03</v>
      </c>
      <c r="E45" s="12">
        <v>1</v>
      </c>
      <c r="F45" s="8">
        <v>1.72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255</v>
      </c>
      <c r="C46" s="12">
        <v>1</v>
      </c>
      <c r="D46" s="8">
        <v>1.03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238</v>
      </c>
      <c r="C47" s="12">
        <v>1</v>
      </c>
      <c r="D47" s="8">
        <v>1.03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217</v>
      </c>
      <c r="C48" s="12">
        <v>1</v>
      </c>
      <c r="D48" s="8">
        <v>1.03</v>
      </c>
      <c r="E48" s="12">
        <v>0</v>
      </c>
      <c r="F48" s="8">
        <v>0</v>
      </c>
      <c r="G48" s="12">
        <v>1</v>
      </c>
      <c r="H48" s="8">
        <v>3.03</v>
      </c>
      <c r="I48" s="12">
        <v>0</v>
      </c>
    </row>
    <row r="49" spans="2:9" ht="15" customHeight="1" x14ac:dyDescent="0.2">
      <c r="B49" t="s">
        <v>218</v>
      </c>
      <c r="C49" s="12">
        <v>1</v>
      </c>
      <c r="D49" s="8">
        <v>1.03</v>
      </c>
      <c r="E49" s="12">
        <v>0</v>
      </c>
      <c r="F49" s="8">
        <v>0</v>
      </c>
      <c r="G49" s="12">
        <v>1</v>
      </c>
      <c r="H49" s="8">
        <v>3.03</v>
      </c>
      <c r="I49" s="12">
        <v>0</v>
      </c>
    </row>
    <row r="50" spans="2:9" ht="15" customHeight="1" x14ac:dyDescent="0.2">
      <c r="B50" t="s">
        <v>243</v>
      </c>
      <c r="C50" s="12">
        <v>1</v>
      </c>
      <c r="D50" s="8">
        <v>1.03</v>
      </c>
      <c r="E50" s="12">
        <v>1</v>
      </c>
      <c r="F50" s="8">
        <v>1.72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232</v>
      </c>
      <c r="C51" s="12">
        <v>1</v>
      </c>
      <c r="D51" s="8">
        <v>1.03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249</v>
      </c>
      <c r="C52" s="12">
        <v>1</v>
      </c>
      <c r="D52" s="8">
        <v>1.03</v>
      </c>
      <c r="E52" s="12">
        <v>0</v>
      </c>
      <c r="F52" s="8">
        <v>0</v>
      </c>
      <c r="G52" s="12">
        <v>1</v>
      </c>
      <c r="H52" s="8">
        <v>3.03</v>
      </c>
      <c r="I52" s="12">
        <v>0</v>
      </c>
    </row>
    <row r="53" spans="2:9" ht="15" customHeight="1" x14ac:dyDescent="0.2">
      <c r="B53" t="s">
        <v>240</v>
      </c>
      <c r="C53" s="12">
        <v>1</v>
      </c>
      <c r="D53" s="8">
        <v>1.03</v>
      </c>
      <c r="E53" s="12">
        <v>0</v>
      </c>
      <c r="F53" s="8">
        <v>0</v>
      </c>
      <c r="G53" s="12">
        <v>1</v>
      </c>
      <c r="H53" s="8">
        <v>3.03</v>
      </c>
      <c r="I53" s="12">
        <v>0</v>
      </c>
    </row>
    <row r="54" spans="2:9" ht="15" customHeight="1" x14ac:dyDescent="0.2">
      <c r="B54" t="s">
        <v>242</v>
      </c>
      <c r="C54" s="12">
        <v>1</v>
      </c>
      <c r="D54" s="8">
        <v>1.03</v>
      </c>
      <c r="E54" s="12">
        <v>1</v>
      </c>
      <c r="F54" s="8">
        <v>1.72</v>
      </c>
      <c r="G54" s="12">
        <v>0</v>
      </c>
      <c r="H54" s="8">
        <v>0</v>
      </c>
      <c r="I54" s="12">
        <v>0</v>
      </c>
    </row>
    <row r="57" spans="2:9" ht="33" customHeight="1" x14ac:dyDescent="0.2">
      <c r="B57" t="s">
        <v>531</v>
      </c>
      <c r="C57" s="10" t="s">
        <v>206</v>
      </c>
      <c r="D57" s="10" t="s">
        <v>207</v>
      </c>
      <c r="E57" s="10" t="s">
        <v>208</v>
      </c>
      <c r="F57" s="10" t="s">
        <v>209</v>
      </c>
      <c r="G57" s="10" t="s">
        <v>210</v>
      </c>
      <c r="H57" s="10" t="s">
        <v>211</v>
      </c>
      <c r="I57" s="10" t="s">
        <v>212</v>
      </c>
    </row>
    <row r="58" spans="2:9" ht="15" customHeight="1" x14ac:dyDescent="0.2">
      <c r="B58" t="s">
        <v>304</v>
      </c>
      <c r="C58" s="12">
        <v>6</v>
      </c>
      <c r="D58" s="8">
        <v>6.19</v>
      </c>
      <c r="E58" s="12">
        <v>6</v>
      </c>
      <c r="F58" s="8">
        <v>10.34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303</v>
      </c>
      <c r="C59" s="12">
        <v>4</v>
      </c>
      <c r="D59" s="8">
        <v>4.12</v>
      </c>
      <c r="E59" s="12">
        <v>4</v>
      </c>
      <c r="F59" s="8">
        <v>6.9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306</v>
      </c>
      <c r="C60" s="12">
        <v>4</v>
      </c>
      <c r="D60" s="8">
        <v>4.12</v>
      </c>
      <c r="E60" s="12">
        <v>4</v>
      </c>
      <c r="F60" s="8">
        <v>6.9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336</v>
      </c>
      <c r="C61" s="12">
        <v>3</v>
      </c>
      <c r="D61" s="8">
        <v>3.09</v>
      </c>
      <c r="E61" s="12">
        <v>3</v>
      </c>
      <c r="F61" s="8">
        <v>5.17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335</v>
      </c>
      <c r="C62" s="12">
        <v>3</v>
      </c>
      <c r="D62" s="8">
        <v>3.09</v>
      </c>
      <c r="E62" s="12">
        <v>2</v>
      </c>
      <c r="F62" s="8">
        <v>3.45</v>
      </c>
      <c r="G62" s="12">
        <v>1</v>
      </c>
      <c r="H62" s="8">
        <v>3.03</v>
      </c>
      <c r="I62" s="12">
        <v>0</v>
      </c>
    </row>
    <row r="63" spans="2:9" ht="15" customHeight="1" x14ac:dyDescent="0.2">
      <c r="B63" t="s">
        <v>295</v>
      </c>
      <c r="C63" s="12">
        <v>3</v>
      </c>
      <c r="D63" s="8">
        <v>3.09</v>
      </c>
      <c r="E63" s="12">
        <v>3</v>
      </c>
      <c r="F63" s="8">
        <v>5.17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334</v>
      </c>
      <c r="C64" s="12">
        <v>3</v>
      </c>
      <c r="D64" s="8">
        <v>3.09</v>
      </c>
      <c r="E64" s="12">
        <v>3</v>
      </c>
      <c r="F64" s="8">
        <v>5.17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299</v>
      </c>
      <c r="C65" s="12">
        <v>3</v>
      </c>
      <c r="D65" s="8">
        <v>3.09</v>
      </c>
      <c r="E65" s="12">
        <v>2</v>
      </c>
      <c r="F65" s="8">
        <v>3.45</v>
      </c>
      <c r="G65" s="12">
        <v>1</v>
      </c>
      <c r="H65" s="8">
        <v>3.03</v>
      </c>
      <c r="I65" s="12">
        <v>0</v>
      </c>
    </row>
    <row r="66" spans="2:9" ht="15" customHeight="1" x14ac:dyDescent="0.2">
      <c r="B66" t="s">
        <v>301</v>
      </c>
      <c r="C66" s="12">
        <v>3</v>
      </c>
      <c r="D66" s="8">
        <v>3.09</v>
      </c>
      <c r="E66" s="12">
        <v>3</v>
      </c>
      <c r="F66" s="8">
        <v>5.17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318</v>
      </c>
      <c r="C67" s="12">
        <v>3</v>
      </c>
      <c r="D67" s="8">
        <v>3.09</v>
      </c>
      <c r="E67" s="12">
        <v>1</v>
      </c>
      <c r="F67" s="8">
        <v>1.72</v>
      </c>
      <c r="G67" s="12">
        <v>2</v>
      </c>
      <c r="H67" s="8">
        <v>6.06</v>
      </c>
      <c r="I67" s="12">
        <v>0</v>
      </c>
    </row>
    <row r="68" spans="2:9" ht="15" customHeight="1" x14ac:dyDescent="0.2">
      <c r="B68" t="s">
        <v>384</v>
      </c>
      <c r="C68" s="12">
        <v>2</v>
      </c>
      <c r="D68" s="8">
        <v>2.06</v>
      </c>
      <c r="E68" s="12">
        <v>0</v>
      </c>
      <c r="F68" s="8">
        <v>0</v>
      </c>
      <c r="G68" s="12">
        <v>2</v>
      </c>
      <c r="H68" s="8">
        <v>6.06</v>
      </c>
      <c r="I68" s="12">
        <v>0</v>
      </c>
    </row>
    <row r="69" spans="2:9" ht="15" customHeight="1" x14ac:dyDescent="0.2">
      <c r="B69" t="s">
        <v>332</v>
      </c>
      <c r="C69" s="12">
        <v>2</v>
      </c>
      <c r="D69" s="8">
        <v>2.06</v>
      </c>
      <c r="E69" s="12">
        <v>0</v>
      </c>
      <c r="F69" s="8">
        <v>0</v>
      </c>
      <c r="G69" s="12">
        <v>2</v>
      </c>
      <c r="H69" s="8">
        <v>6.06</v>
      </c>
      <c r="I69" s="12">
        <v>0</v>
      </c>
    </row>
    <row r="70" spans="2:9" ht="15" customHeight="1" x14ac:dyDescent="0.2">
      <c r="B70" t="s">
        <v>329</v>
      </c>
      <c r="C70" s="12">
        <v>2</v>
      </c>
      <c r="D70" s="8">
        <v>2.06</v>
      </c>
      <c r="E70" s="12">
        <v>0</v>
      </c>
      <c r="F70" s="8">
        <v>0</v>
      </c>
      <c r="G70" s="12">
        <v>2</v>
      </c>
      <c r="H70" s="8">
        <v>6.06</v>
      </c>
      <c r="I70" s="12">
        <v>0</v>
      </c>
    </row>
    <row r="71" spans="2:9" ht="15" customHeight="1" x14ac:dyDescent="0.2">
      <c r="B71" t="s">
        <v>292</v>
      </c>
      <c r="C71" s="12">
        <v>2</v>
      </c>
      <c r="D71" s="8">
        <v>2.06</v>
      </c>
      <c r="E71" s="12">
        <v>2</v>
      </c>
      <c r="F71" s="8">
        <v>3.45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293</v>
      </c>
      <c r="C72" s="12">
        <v>2</v>
      </c>
      <c r="D72" s="8">
        <v>2.06</v>
      </c>
      <c r="E72" s="12">
        <v>2</v>
      </c>
      <c r="F72" s="8">
        <v>3.45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372</v>
      </c>
      <c r="C73" s="12">
        <v>2</v>
      </c>
      <c r="D73" s="8">
        <v>2.06</v>
      </c>
      <c r="E73" s="12">
        <v>1</v>
      </c>
      <c r="F73" s="8">
        <v>1.72</v>
      </c>
      <c r="G73" s="12">
        <v>1</v>
      </c>
      <c r="H73" s="8">
        <v>3.03</v>
      </c>
      <c r="I73" s="12">
        <v>0</v>
      </c>
    </row>
    <row r="74" spans="2:9" ht="15" customHeight="1" x14ac:dyDescent="0.2">
      <c r="B74" t="s">
        <v>330</v>
      </c>
      <c r="C74" s="12">
        <v>2</v>
      </c>
      <c r="D74" s="8">
        <v>2.06</v>
      </c>
      <c r="E74" s="12">
        <v>0</v>
      </c>
      <c r="F74" s="8">
        <v>0</v>
      </c>
      <c r="G74" s="12">
        <v>2</v>
      </c>
      <c r="H74" s="8">
        <v>6.06</v>
      </c>
      <c r="I74" s="12">
        <v>0</v>
      </c>
    </row>
    <row r="75" spans="2:9" ht="15" customHeight="1" x14ac:dyDescent="0.2">
      <c r="B75" t="s">
        <v>403</v>
      </c>
      <c r="C75" s="12">
        <v>2</v>
      </c>
      <c r="D75" s="8">
        <v>2.06</v>
      </c>
      <c r="E75" s="12">
        <v>0</v>
      </c>
      <c r="F75" s="8">
        <v>0</v>
      </c>
      <c r="G75" s="12">
        <v>1</v>
      </c>
      <c r="H75" s="8">
        <v>3.03</v>
      </c>
      <c r="I75" s="12">
        <v>0</v>
      </c>
    </row>
    <row r="76" spans="2:9" ht="15" customHeight="1" x14ac:dyDescent="0.2">
      <c r="B76" t="s">
        <v>409</v>
      </c>
      <c r="C76" s="12">
        <v>2</v>
      </c>
      <c r="D76" s="8">
        <v>2.06</v>
      </c>
      <c r="E76" s="12">
        <v>2</v>
      </c>
      <c r="F76" s="8">
        <v>3.45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300</v>
      </c>
      <c r="C77" s="12">
        <v>2</v>
      </c>
      <c r="D77" s="8">
        <v>2.06</v>
      </c>
      <c r="E77" s="12">
        <v>1</v>
      </c>
      <c r="F77" s="8">
        <v>1.72</v>
      </c>
      <c r="G77" s="12">
        <v>1</v>
      </c>
      <c r="H77" s="8">
        <v>3.03</v>
      </c>
      <c r="I77" s="12">
        <v>0</v>
      </c>
    </row>
    <row r="78" spans="2:9" ht="15" customHeight="1" x14ac:dyDescent="0.2">
      <c r="B78" t="s">
        <v>302</v>
      </c>
      <c r="C78" s="12">
        <v>2</v>
      </c>
      <c r="D78" s="8">
        <v>2.06</v>
      </c>
      <c r="E78" s="12">
        <v>1</v>
      </c>
      <c r="F78" s="8">
        <v>1.72</v>
      </c>
      <c r="G78" s="12">
        <v>1</v>
      </c>
      <c r="H78" s="8">
        <v>3.03</v>
      </c>
      <c r="I78" s="12">
        <v>0</v>
      </c>
    </row>
    <row r="79" spans="2:9" ht="15" customHeight="1" x14ac:dyDescent="0.2">
      <c r="B79" t="s">
        <v>340</v>
      </c>
      <c r="C79" s="12">
        <v>2</v>
      </c>
      <c r="D79" s="8">
        <v>2.06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1" spans="2:2" ht="15" customHeight="1" x14ac:dyDescent="0.2">
      <c r="B8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D2587-07B8-4B7A-BC83-A146A9ADE610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10</v>
      </c>
      <c r="D6" s="8">
        <v>12.66</v>
      </c>
      <c r="E6" s="12">
        <v>4</v>
      </c>
      <c r="F6" s="8">
        <v>8.51</v>
      </c>
      <c r="G6" s="12">
        <v>6</v>
      </c>
      <c r="H6" s="8">
        <v>27.27</v>
      </c>
      <c r="I6" s="12">
        <v>0</v>
      </c>
    </row>
    <row r="7" spans="2:9" ht="15" customHeight="1" x14ac:dyDescent="0.2">
      <c r="B7" t="s">
        <v>192</v>
      </c>
      <c r="C7" s="12">
        <v>5</v>
      </c>
      <c r="D7" s="8">
        <v>6.33</v>
      </c>
      <c r="E7" s="12">
        <v>3</v>
      </c>
      <c r="F7" s="8">
        <v>6.38</v>
      </c>
      <c r="G7" s="12">
        <v>1</v>
      </c>
      <c r="H7" s="8">
        <v>4.55</v>
      </c>
      <c r="I7" s="12">
        <v>1</v>
      </c>
    </row>
    <row r="8" spans="2:9" ht="15" customHeight="1" x14ac:dyDescent="0.2">
      <c r="B8" t="s">
        <v>193</v>
      </c>
      <c r="C8" s="12">
        <v>3</v>
      </c>
      <c r="D8" s="8">
        <v>3.8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1.27</v>
      </c>
      <c r="E9" s="12">
        <v>1</v>
      </c>
      <c r="F9" s="8">
        <v>2.13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2.5299999999999998</v>
      </c>
      <c r="E10" s="12">
        <v>0</v>
      </c>
      <c r="F10" s="8">
        <v>0</v>
      </c>
      <c r="G10" s="12">
        <v>1</v>
      </c>
      <c r="H10" s="8">
        <v>4.55</v>
      </c>
      <c r="I10" s="12">
        <v>1</v>
      </c>
    </row>
    <row r="11" spans="2:9" ht="15" customHeight="1" x14ac:dyDescent="0.2">
      <c r="B11" t="s">
        <v>196</v>
      </c>
      <c r="C11" s="12">
        <v>26</v>
      </c>
      <c r="D11" s="8">
        <v>32.909999999999997</v>
      </c>
      <c r="E11" s="12">
        <v>15</v>
      </c>
      <c r="F11" s="8">
        <v>31.91</v>
      </c>
      <c r="G11" s="12">
        <v>11</v>
      </c>
      <c r="H11" s="8">
        <v>50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2.5299999999999998</v>
      </c>
      <c r="E13" s="12">
        <v>2</v>
      </c>
      <c r="F13" s="8">
        <v>4.26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2.5299999999999998</v>
      </c>
      <c r="E14" s="12">
        <v>1</v>
      </c>
      <c r="F14" s="8">
        <v>2.13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12</v>
      </c>
      <c r="D15" s="8">
        <v>15.19</v>
      </c>
      <c r="E15" s="12">
        <v>10</v>
      </c>
      <c r="F15" s="8">
        <v>21.28</v>
      </c>
      <c r="G15" s="12">
        <v>1</v>
      </c>
      <c r="H15" s="8">
        <v>4.55</v>
      </c>
      <c r="I15" s="12">
        <v>0</v>
      </c>
    </row>
    <row r="16" spans="2:9" ht="15" customHeight="1" x14ac:dyDescent="0.2">
      <c r="B16" t="s">
        <v>201</v>
      </c>
      <c r="C16" s="12">
        <v>5</v>
      </c>
      <c r="D16" s="8">
        <v>6.33</v>
      </c>
      <c r="E16" s="12">
        <v>4</v>
      </c>
      <c r="F16" s="8">
        <v>8.51</v>
      </c>
      <c r="G16" s="12">
        <v>1</v>
      </c>
      <c r="H16" s="8">
        <v>4.55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3.8</v>
      </c>
      <c r="E17" s="12">
        <v>3</v>
      </c>
      <c r="F17" s="8">
        <v>6.38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6.33</v>
      </c>
      <c r="E18" s="12">
        <v>3</v>
      </c>
      <c r="F18" s="8">
        <v>6.38</v>
      </c>
      <c r="G18" s="12">
        <v>1</v>
      </c>
      <c r="H18" s="8">
        <v>4.55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3.8</v>
      </c>
      <c r="E19" s="12">
        <v>1</v>
      </c>
      <c r="F19" s="8">
        <v>2.13</v>
      </c>
      <c r="G19" s="12">
        <v>0</v>
      </c>
      <c r="H19" s="8">
        <v>0</v>
      </c>
      <c r="I19" s="12">
        <v>1</v>
      </c>
    </row>
    <row r="20" spans="2:9" ht="15" customHeight="1" x14ac:dyDescent="0.2">
      <c r="B20" s="9" t="s">
        <v>529</v>
      </c>
      <c r="C20" s="12">
        <f>SUM(LTBL_01465[総数／事業所数])</f>
        <v>79</v>
      </c>
      <c r="E20" s="12">
        <f>SUBTOTAL(109,LTBL_01465[個人／事業所数])</f>
        <v>47</v>
      </c>
      <c r="G20" s="12">
        <f>SUBTOTAL(109,LTBL_01465[法人／事業所数])</f>
        <v>22</v>
      </c>
      <c r="I20" s="12">
        <f>SUBTOTAL(109,LTBL_01465[法人以外の団体／事業所数])</f>
        <v>3</v>
      </c>
    </row>
    <row r="21" spans="2:9" ht="15" customHeight="1" x14ac:dyDescent="0.2">
      <c r="E21" s="11">
        <f>LTBL_01465[[#Totals],[個人／事業所数]]/LTBL_01465[[#Totals],[総数／事業所数]]</f>
        <v>0.59493670886075944</v>
      </c>
      <c r="G21" s="11">
        <f>LTBL_01465[[#Totals],[法人／事業所数]]/LTBL_01465[[#Totals],[総数／事業所数]]</f>
        <v>0.27848101265822783</v>
      </c>
      <c r="I21" s="11">
        <f>LTBL_01465[[#Totals],[法人以外の団体／事業所数]]/LTBL_01465[[#Totals],[総数／事業所数]]</f>
        <v>3.7974683544303799E-2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11</v>
      </c>
      <c r="D24" s="8">
        <v>13.92</v>
      </c>
      <c r="E24" s="12">
        <v>5</v>
      </c>
      <c r="F24" s="8">
        <v>10.64</v>
      </c>
      <c r="G24" s="12">
        <v>6</v>
      </c>
      <c r="H24" s="8">
        <v>27.27</v>
      </c>
      <c r="I24" s="12">
        <v>0</v>
      </c>
    </row>
    <row r="25" spans="2:9" ht="15" customHeight="1" x14ac:dyDescent="0.2">
      <c r="B25" t="s">
        <v>227</v>
      </c>
      <c r="C25" s="12">
        <v>11</v>
      </c>
      <c r="D25" s="8">
        <v>13.92</v>
      </c>
      <c r="E25" s="12">
        <v>10</v>
      </c>
      <c r="F25" s="8">
        <v>21.28</v>
      </c>
      <c r="G25" s="12">
        <v>1</v>
      </c>
      <c r="H25" s="8">
        <v>4.55</v>
      </c>
      <c r="I25" s="12">
        <v>0</v>
      </c>
    </row>
    <row r="26" spans="2:9" ht="15" customHeight="1" x14ac:dyDescent="0.2">
      <c r="B26" t="s">
        <v>213</v>
      </c>
      <c r="C26" s="12">
        <v>6</v>
      </c>
      <c r="D26" s="8">
        <v>7.59</v>
      </c>
      <c r="E26" s="12">
        <v>3</v>
      </c>
      <c r="F26" s="8">
        <v>6.38</v>
      </c>
      <c r="G26" s="12">
        <v>3</v>
      </c>
      <c r="H26" s="8">
        <v>13.64</v>
      </c>
      <c r="I26" s="12">
        <v>0</v>
      </c>
    </row>
    <row r="27" spans="2:9" ht="15" customHeight="1" x14ac:dyDescent="0.2">
      <c r="B27" t="s">
        <v>221</v>
      </c>
      <c r="C27" s="12">
        <v>6</v>
      </c>
      <c r="D27" s="8">
        <v>7.59</v>
      </c>
      <c r="E27" s="12">
        <v>6</v>
      </c>
      <c r="F27" s="8">
        <v>12.77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222</v>
      </c>
      <c r="C28" s="12">
        <v>4</v>
      </c>
      <c r="D28" s="8">
        <v>5.0599999999999996</v>
      </c>
      <c r="E28" s="12">
        <v>2</v>
      </c>
      <c r="F28" s="8">
        <v>4.26</v>
      </c>
      <c r="G28" s="12">
        <v>2</v>
      </c>
      <c r="H28" s="8">
        <v>9.09</v>
      </c>
      <c r="I28" s="12">
        <v>0</v>
      </c>
    </row>
    <row r="29" spans="2:9" ht="15" customHeight="1" x14ac:dyDescent="0.2">
      <c r="B29" t="s">
        <v>228</v>
      </c>
      <c r="C29" s="12">
        <v>4</v>
      </c>
      <c r="D29" s="8">
        <v>5.0599999999999996</v>
      </c>
      <c r="E29" s="12">
        <v>4</v>
      </c>
      <c r="F29" s="8">
        <v>8.51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231</v>
      </c>
      <c r="C30" s="12">
        <v>4</v>
      </c>
      <c r="D30" s="8">
        <v>5.0599999999999996</v>
      </c>
      <c r="E30" s="12">
        <v>3</v>
      </c>
      <c r="F30" s="8">
        <v>6.38</v>
      </c>
      <c r="G30" s="12">
        <v>1</v>
      </c>
      <c r="H30" s="8">
        <v>4.55</v>
      </c>
      <c r="I30" s="12">
        <v>0</v>
      </c>
    </row>
    <row r="31" spans="2:9" ht="15" customHeight="1" x14ac:dyDescent="0.2">
      <c r="B31" t="s">
        <v>255</v>
      </c>
      <c r="C31" s="12">
        <v>3</v>
      </c>
      <c r="D31" s="8">
        <v>3.8</v>
      </c>
      <c r="E31" s="12">
        <v>0</v>
      </c>
      <c r="F31" s="8">
        <v>0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230</v>
      </c>
      <c r="C32" s="12">
        <v>3</v>
      </c>
      <c r="D32" s="8">
        <v>3.8</v>
      </c>
      <c r="E32" s="12">
        <v>3</v>
      </c>
      <c r="F32" s="8">
        <v>6.38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214</v>
      </c>
      <c r="C33" s="12">
        <v>2</v>
      </c>
      <c r="D33" s="8">
        <v>2.5299999999999998</v>
      </c>
      <c r="E33" s="12">
        <v>1</v>
      </c>
      <c r="F33" s="8">
        <v>2.13</v>
      </c>
      <c r="G33" s="12">
        <v>1</v>
      </c>
      <c r="H33" s="8">
        <v>4.55</v>
      </c>
      <c r="I33" s="12">
        <v>0</v>
      </c>
    </row>
    <row r="34" spans="2:9" ht="15" customHeight="1" x14ac:dyDescent="0.2">
      <c r="B34" t="s">
        <v>215</v>
      </c>
      <c r="C34" s="12">
        <v>2</v>
      </c>
      <c r="D34" s="8">
        <v>2.5299999999999998</v>
      </c>
      <c r="E34" s="12">
        <v>0</v>
      </c>
      <c r="F34" s="8">
        <v>0</v>
      </c>
      <c r="G34" s="12">
        <v>2</v>
      </c>
      <c r="H34" s="8">
        <v>9.09</v>
      </c>
      <c r="I34" s="12">
        <v>0</v>
      </c>
    </row>
    <row r="35" spans="2:9" ht="15" customHeight="1" x14ac:dyDescent="0.2">
      <c r="B35" t="s">
        <v>261</v>
      </c>
      <c r="C35" s="12">
        <v>2</v>
      </c>
      <c r="D35" s="8">
        <v>2.5299999999999998</v>
      </c>
      <c r="E35" s="12">
        <v>0</v>
      </c>
      <c r="F35" s="8">
        <v>0</v>
      </c>
      <c r="G35" s="12">
        <v>1</v>
      </c>
      <c r="H35" s="8">
        <v>4.55</v>
      </c>
      <c r="I35" s="12">
        <v>1</v>
      </c>
    </row>
    <row r="36" spans="2:9" ht="15" customHeight="1" x14ac:dyDescent="0.2">
      <c r="B36" t="s">
        <v>220</v>
      </c>
      <c r="C36" s="12">
        <v>2</v>
      </c>
      <c r="D36" s="8">
        <v>2.5299999999999998</v>
      </c>
      <c r="E36" s="12">
        <v>1</v>
      </c>
      <c r="F36" s="8">
        <v>2.13</v>
      </c>
      <c r="G36" s="12">
        <v>1</v>
      </c>
      <c r="H36" s="8">
        <v>4.55</v>
      </c>
      <c r="I36" s="12">
        <v>0</v>
      </c>
    </row>
    <row r="37" spans="2:9" ht="15" customHeight="1" x14ac:dyDescent="0.2">
      <c r="B37" t="s">
        <v>226</v>
      </c>
      <c r="C37" s="12">
        <v>2</v>
      </c>
      <c r="D37" s="8">
        <v>2.5299999999999998</v>
      </c>
      <c r="E37" s="12">
        <v>1</v>
      </c>
      <c r="F37" s="8">
        <v>2.13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241</v>
      </c>
      <c r="C38" s="12">
        <v>1</v>
      </c>
      <c r="D38" s="8">
        <v>1.27</v>
      </c>
      <c r="E38" s="12">
        <v>1</v>
      </c>
      <c r="F38" s="8">
        <v>2.13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262</v>
      </c>
      <c r="C39" s="12">
        <v>1</v>
      </c>
      <c r="D39" s="8">
        <v>1.27</v>
      </c>
      <c r="E39" s="12">
        <v>0</v>
      </c>
      <c r="F39" s="8">
        <v>0</v>
      </c>
      <c r="G39" s="12">
        <v>0</v>
      </c>
      <c r="H39" s="8">
        <v>0</v>
      </c>
      <c r="I39" s="12">
        <v>1</v>
      </c>
    </row>
    <row r="40" spans="2:9" ht="15" customHeight="1" x14ac:dyDescent="0.2">
      <c r="B40" t="s">
        <v>251</v>
      </c>
      <c r="C40" s="12">
        <v>1</v>
      </c>
      <c r="D40" s="8">
        <v>1.27</v>
      </c>
      <c r="E40" s="12">
        <v>0</v>
      </c>
      <c r="F40" s="8">
        <v>0</v>
      </c>
      <c r="G40" s="12">
        <v>1</v>
      </c>
      <c r="H40" s="8">
        <v>4.55</v>
      </c>
      <c r="I40" s="12">
        <v>0</v>
      </c>
    </row>
    <row r="41" spans="2:9" ht="15" customHeight="1" x14ac:dyDescent="0.2">
      <c r="B41" t="s">
        <v>258</v>
      </c>
      <c r="C41" s="12">
        <v>1</v>
      </c>
      <c r="D41" s="8">
        <v>1.27</v>
      </c>
      <c r="E41" s="12">
        <v>1</v>
      </c>
      <c r="F41" s="8">
        <v>2.13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253</v>
      </c>
      <c r="C42" s="12">
        <v>1</v>
      </c>
      <c r="D42" s="8">
        <v>1.27</v>
      </c>
      <c r="E42" s="12">
        <v>1</v>
      </c>
      <c r="F42" s="8">
        <v>2.13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235</v>
      </c>
      <c r="C43" s="12">
        <v>1</v>
      </c>
      <c r="D43" s="8">
        <v>1.27</v>
      </c>
      <c r="E43" s="12">
        <v>1</v>
      </c>
      <c r="F43" s="8">
        <v>2.13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216</v>
      </c>
      <c r="C44" s="12">
        <v>1</v>
      </c>
      <c r="D44" s="8">
        <v>1.27</v>
      </c>
      <c r="E44" s="12">
        <v>0</v>
      </c>
      <c r="F44" s="8">
        <v>0</v>
      </c>
      <c r="G44" s="12">
        <v>1</v>
      </c>
      <c r="H44" s="8">
        <v>4.55</v>
      </c>
      <c r="I44" s="12">
        <v>0</v>
      </c>
    </row>
    <row r="45" spans="2:9" ht="15" customHeight="1" x14ac:dyDescent="0.2">
      <c r="B45" t="s">
        <v>219</v>
      </c>
      <c r="C45" s="12">
        <v>1</v>
      </c>
      <c r="D45" s="8">
        <v>1.27</v>
      </c>
      <c r="E45" s="12">
        <v>0</v>
      </c>
      <c r="F45" s="8">
        <v>0</v>
      </c>
      <c r="G45" s="12">
        <v>1</v>
      </c>
      <c r="H45" s="8">
        <v>4.55</v>
      </c>
      <c r="I45" s="12">
        <v>0</v>
      </c>
    </row>
    <row r="46" spans="2:9" ht="15" customHeight="1" x14ac:dyDescent="0.2">
      <c r="B46" t="s">
        <v>236</v>
      </c>
      <c r="C46" s="12">
        <v>1</v>
      </c>
      <c r="D46" s="8">
        <v>1.27</v>
      </c>
      <c r="E46" s="12">
        <v>1</v>
      </c>
      <c r="F46" s="8">
        <v>2.13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224</v>
      </c>
      <c r="C47" s="12">
        <v>1</v>
      </c>
      <c r="D47" s="8">
        <v>1.27</v>
      </c>
      <c r="E47" s="12">
        <v>1</v>
      </c>
      <c r="F47" s="8">
        <v>2.13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246</v>
      </c>
      <c r="C48" s="12">
        <v>1</v>
      </c>
      <c r="D48" s="8">
        <v>1.27</v>
      </c>
      <c r="E48" s="12">
        <v>1</v>
      </c>
      <c r="F48" s="8">
        <v>2.13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243</v>
      </c>
      <c r="C49" s="12">
        <v>1</v>
      </c>
      <c r="D49" s="8">
        <v>1.27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247</v>
      </c>
      <c r="C50" s="12">
        <v>1</v>
      </c>
      <c r="D50" s="8">
        <v>1.27</v>
      </c>
      <c r="E50" s="12">
        <v>0</v>
      </c>
      <c r="F50" s="8">
        <v>0</v>
      </c>
      <c r="G50" s="12">
        <v>1</v>
      </c>
      <c r="H50" s="8">
        <v>4.55</v>
      </c>
      <c r="I50" s="12">
        <v>0</v>
      </c>
    </row>
    <row r="51" spans="2:9" ht="15" customHeight="1" x14ac:dyDescent="0.2">
      <c r="B51" t="s">
        <v>232</v>
      </c>
      <c r="C51" s="12">
        <v>1</v>
      </c>
      <c r="D51" s="8">
        <v>1.27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249</v>
      </c>
      <c r="C52" s="12">
        <v>1</v>
      </c>
      <c r="D52" s="8">
        <v>1.27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240</v>
      </c>
      <c r="C53" s="12">
        <v>1</v>
      </c>
      <c r="D53" s="8">
        <v>1.27</v>
      </c>
      <c r="E53" s="12">
        <v>1</v>
      </c>
      <c r="F53" s="8">
        <v>2.13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270</v>
      </c>
      <c r="C54" s="12">
        <v>1</v>
      </c>
      <c r="D54" s="8">
        <v>1.27</v>
      </c>
      <c r="E54" s="12">
        <v>0</v>
      </c>
      <c r="F54" s="8">
        <v>0</v>
      </c>
      <c r="G54" s="12">
        <v>0</v>
      </c>
      <c r="H54" s="8">
        <v>0</v>
      </c>
      <c r="I54" s="12">
        <v>1</v>
      </c>
    </row>
    <row r="57" spans="2:9" ht="33" customHeight="1" x14ac:dyDescent="0.2">
      <c r="B57" t="s">
        <v>531</v>
      </c>
      <c r="C57" s="10" t="s">
        <v>206</v>
      </c>
      <c r="D57" s="10" t="s">
        <v>207</v>
      </c>
      <c r="E57" s="10" t="s">
        <v>208</v>
      </c>
      <c r="F57" s="10" t="s">
        <v>209</v>
      </c>
      <c r="G57" s="10" t="s">
        <v>210</v>
      </c>
      <c r="H57" s="10" t="s">
        <v>211</v>
      </c>
      <c r="I57" s="10" t="s">
        <v>212</v>
      </c>
    </row>
    <row r="58" spans="2:9" ht="15" customHeight="1" x14ac:dyDescent="0.2">
      <c r="B58" t="s">
        <v>330</v>
      </c>
      <c r="C58" s="12">
        <v>4</v>
      </c>
      <c r="D58" s="8">
        <v>5.0599999999999996</v>
      </c>
      <c r="E58" s="12">
        <v>1</v>
      </c>
      <c r="F58" s="8">
        <v>2.13</v>
      </c>
      <c r="G58" s="12">
        <v>3</v>
      </c>
      <c r="H58" s="8">
        <v>13.64</v>
      </c>
      <c r="I58" s="12">
        <v>0</v>
      </c>
    </row>
    <row r="59" spans="2:9" ht="15" customHeight="1" x14ac:dyDescent="0.2">
      <c r="B59" t="s">
        <v>337</v>
      </c>
      <c r="C59" s="12">
        <v>3</v>
      </c>
      <c r="D59" s="8">
        <v>3.8</v>
      </c>
      <c r="E59" s="12">
        <v>2</v>
      </c>
      <c r="F59" s="8">
        <v>4.26</v>
      </c>
      <c r="G59" s="12">
        <v>1</v>
      </c>
      <c r="H59" s="8">
        <v>4.55</v>
      </c>
      <c r="I59" s="12">
        <v>0</v>
      </c>
    </row>
    <row r="60" spans="2:9" ht="15" customHeight="1" x14ac:dyDescent="0.2">
      <c r="B60" t="s">
        <v>301</v>
      </c>
      <c r="C60" s="12">
        <v>3</v>
      </c>
      <c r="D60" s="8">
        <v>3.8</v>
      </c>
      <c r="E60" s="12">
        <v>3</v>
      </c>
      <c r="F60" s="8">
        <v>6.38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288</v>
      </c>
      <c r="C61" s="12">
        <v>2</v>
      </c>
      <c r="D61" s="8">
        <v>2.5299999999999998</v>
      </c>
      <c r="E61" s="12">
        <v>1</v>
      </c>
      <c r="F61" s="8">
        <v>2.13</v>
      </c>
      <c r="G61" s="12">
        <v>1</v>
      </c>
      <c r="H61" s="8">
        <v>4.55</v>
      </c>
      <c r="I61" s="12">
        <v>0</v>
      </c>
    </row>
    <row r="62" spans="2:9" ht="15" customHeight="1" x14ac:dyDescent="0.2">
      <c r="B62" t="s">
        <v>289</v>
      </c>
      <c r="C62" s="12">
        <v>2</v>
      </c>
      <c r="D62" s="8">
        <v>2.5299999999999998</v>
      </c>
      <c r="E62" s="12">
        <v>0</v>
      </c>
      <c r="F62" s="8">
        <v>0</v>
      </c>
      <c r="G62" s="12">
        <v>2</v>
      </c>
      <c r="H62" s="8">
        <v>9.09</v>
      </c>
      <c r="I62" s="12">
        <v>0</v>
      </c>
    </row>
    <row r="63" spans="2:9" ht="15" customHeight="1" x14ac:dyDescent="0.2">
      <c r="B63" t="s">
        <v>328</v>
      </c>
      <c r="C63" s="12">
        <v>2</v>
      </c>
      <c r="D63" s="8">
        <v>2.5299999999999998</v>
      </c>
      <c r="E63" s="12">
        <v>2</v>
      </c>
      <c r="F63" s="8">
        <v>4.26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407</v>
      </c>
      <c r="C64" s="12">
        <v>2</v>
      </c>
      <c r="D64" s="8">
        <v>2.5299999999999998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314</v>
      </c>
      <c r="C65" s="12">
        <v>2</v>
      </c>
      <c r="D65" s="8">
        <v>2.5299999999999998</v>
      </c>
      <c r="E65" s="12">
        <v>1</v>
      </c>
      <c r="F65" s="8">
        <v>2.13</v>
      </c>
      <c r="G65" s="12">
        <v>1</v>
      </c>
      <c r="H65" s="8">
        <v>4.55</v>
      </c>
      <c r="I65" s="12">
        <v>0</v>
      </c>
    </row>
    <row r="66" spans="2:9" ht="15" customHeight="1" x14ac:dyDescent="0.2">
      <c r="B66" t="s">
        <v>354</v>
      </c>
      <c r="C66" s="12">
        <v>2</v>
      </c>
      <c r="D66" s="8">
        <v>2.5299999999999998</v>
      </c>
      <c r="E66" s="12">
        <v>2</v>
      </c>
      <c r="F66" s="8">
        <v>4.26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292</v>
      </c>
      <c r="C67" s="12">
        <v>2</v>
      </c>
      <c r="D67" s="8">
        <v>2.5299999999999998</v>
      </c>
      <c r="E67" s="12">
        <v>2</v>
      </c>
      <c r="F67" s="8">
        <v>4.26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293</v>
      </c>
      <c r="C68" s="12">
        <v>2</v>
      </c>
      <c r="D68" s="8">
        <v>2.5299999999999998</v>
      </c>
      <c r="E68" s="12">
        <v>1</v>
      </c>
      <c r="F68" s="8">
        <v>2.13</v>
      </c>
      <c r="G68" s="12">
        <v>1</v>
      </c>
      <c r="H68" s="8">
        <v>4.55</v>
      </c>
      <c r="I68" s="12">
        <v>0</v>
      </c>
    </row>
    <row r="69" spans="2:9" ht="15" customHeight="1" x14ac:dyDescent="0.2">
      <c r="B69" t="s">
        <v>294</v>
      </c>
      <c r="C69" s="12">
        <v>2</v>
      </c>
      <c r="D69" s="8">
        <v>2.5299999999999998</v>
      </c>
      <c r="E69" s="12">
        <v>1</v>
      </c>
      <c r="F69" s="8">
        <v>2.13</v>
      </c>
      <c r="G69" s="12">
        <v>1</v>
      </c>
      <c r="H69" s="8">
        <v>4.55</v>
      </c>
      <c r="I69" s="12">
        <v>0</v>
      </c>
    </row>
    <row r="70" spans="2:9" ht="15" customHeight="1" x14ac:dyDescent="0.2">
      <c r="B70" t="s">
        <v>334</v>
      </c>
      <c r="C70" s="12">
        <v>2</v>
      </c>
      <c r="D70" s="8">
        <v>2.5299999999999998</v>
      </c>
      <c r="E70" s="12">
        <v>2</v>
      </c>
      <c r="F70" s="8">
        <v>4.26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299</v>
      </c>
      <c r="C71" s="12">
        <v>2</v>
      </c>
      <c r="D71" s="8">
        <v>2.5299999999999998</v>
      </c>
      <c r="E71" s="12">
        <v>2</v>
      </c>
      <c r="F71" s="8">
        <v>4.26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300</v>
      </c>
      <c r="C72" s="12">
        <v>2</v>
      </c>
      <c r="D72" s="8">
        <v>2.5299999999999998</v>
      </c>
      <c r="E72" s="12">
        <v>2</v>
      </c>
      <c r="F72" s="8">
        <v>4.26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302</v>
      </c>
      <c r="C73" s="12">
        <v>2</v>
      </c>
      <c r="D73" s="8">
        <v>2.5299999999999998</v>
      </c>
      <c r="E73" s="12">
        <v>1</v>
      </c>
      <c r="F73" s="8">
        <v>2.13</v>
      </c>
      <c r="G73" s="12">
        <v>1</v>
      </c>
      <c r="H73" s="8">
        <v>4.55</v>
      </c>
      <c r="I73" s="12">
        <v>0</v>
      </c>
    </row>
    <row r="74" spans="2:9" ht="15" customHeight="1" x14ac:dyDescent="0.2">
      <c r="B74" t="s">
        <v>304</v>
      </c>
      <c r="C74" s="12">
        <v>2</v>
      </c>
      <c r="D74" s="8">
        <v>2.5299999999999998</v>
      </c>
      <c r="E74" s="12">
        <v>2</v>
      </c>
      <c r="F74" s="8">
        <v>4.26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305</v>
      </c>
      <c r="C75" s="12">
        <v>2</v>
      </c>
      <c r="D75" s="8">
        <v>2.5299999999999998</v>
      </c>
      <c r="E75" s="12">
        <v>2</v>
      </c>
      <c r="F75" s="8">
        <v>4.26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312</v>
      </c>
      <c r="C76" s="12">
        <v>2</v>
      </c>
      <c r="D76" s="8">
        <v>2.5299999999999998</v>
      </c>
      <c r="E76" s="12">
        <v>1</v>
      </c>
      <c r="F76" s="8">
        <v>2.13</v>
      </c>
      <c r="G76" s="12">
        <v>1</v>
      </c>
      <c r="H76" s="8">
        <v>4.55</v>
      </c>
      <c r="I76" s="12">
        <v>0</v>
      </c>
    </row>
    <row r="77" spans="2:9" ht="15" customHeight="1" x14ac:dyDescent="0.2">
      <c r="B77" t="s">
        <v>306</v>
      </c>
      <c r="C77" s="12">
        <v>2</v>
      </c>
      <c r="D77" s="8">
        <v>2.5299999999999998</v>
      </c>
      <c r="E77" s="12">
        <v>2</v>
      </c>
      <c r="F77" s="8">
        <v>4.26</v>
      </c>
      <c r="G77" s="12">
        <v>0</v>
      </c>
      <c r="H77" s="8">
        <v>0</v>
      </c>
      <c r="I77" s="12">
        <v>0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94FB2-832C-4134-BC67-C8B23B592476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15</v>
      </c>
      <c r="D6" s="8">
        <v>11.63</v>
      </c>
      <c r="E6" s="12">
        <v>2</v>
      </c>
      <c r="F6" s="8">
        <v>3.08</v>
      </c>
      <c r="G6" s="12">
        <v>13</v>
      </c>
      <c r="H6" s="8">
        <v>22.81</v>
      </c>
      <c r="I6" s="12">
        <v>0</v>
      </c>
    </row>
    <row r="7" spans="2:9" ht="15" customHeight="1" x14ac:dyDescent="0.2">
      <c r="B7" t="s">
        <v>192</v>
      </c>
      <c r="C7" s="12">
        <v>20</v>
      </c>
      <c r="D7" s="8">
        <v>15.5</v>
      </c>
      <c r="E7" s="12">
        <v>8</v>
      </c>
      <c r="F7" s="8">
        <v>12.31</v>
      </c>
      <c r="G7" s="12">
        <v>12</v>
      </c>
      <c r="H7" s="8">
        <v>21.05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2.33</v>
      </c>
      <c r="E8" s="12">
        <v>0</v>
      </c>
      <c r="F8" s="8">
        <v>0</v>
      </c>
      <c r="G8" s="12">
        <v>3</v>
      </c>
      <c r="H8" s="8">
        <v>5.26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1.55</v>
      </c>
      <c r="E9" s="12">
        <v>1</v>
      </c>
      <c r="F9" s="8">
        <v>1.54</v>
      </c>
      <c r="G9" s="12">
        <v>1</v>
      </c>
      <c r="H9" s="8">
        <v>1.75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1.55</v>
      </c>
      <c r="E10" s="12">
        <v>0</v>
      </c>
      <c r="F10" s="8">
        <v>0</v>
      </c>
      <c r="G10" s="12">
        <v>2</v>
      </c>
      <c r="H10" s="8">
        <v>3.51</v>
      </c>
      <c r="I10" s="12">
        <v>0</v>
      </c>
    </row>
    <row r="11" spans="2:9" ht="15" customHeight="1" x14ac:dyDescent="0.2">
      <c r="B11" t="s">
        <v>196</v>
      </c>
      <c r="C11" s="12">
        <v>24</v>
      </c>
      <c r="D11" s="8">
        <v>18.600000000000001</v>
      </c>
      <c r="E11" s="12">
        <v>13</v>
      </c>
      <c r="F11" s="8">
        <v>20</v>
      </c>
      <c r="G11" s="12">
        <v>11</v>
      </c>
      <c r="H11" s="8">
        <v>19.3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4</v>
      </c>
      <c r="D13" s="8">
        <v>3.1</v>
      </c>
      <c r="E13" s="12">
        <v>2</v>
      </c>
      <c r="F13" s="8">
        <v>3.08</v>
      </c>
      <c r="G13" s="12">
        <v>2</v>
      </c>
      <c r="H13" s="8">
        <v>3.51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3.1</v>
      </c>
      <c r="E14" s="12">
        <v>1</v>
      </c>
      <c r="F14" s="8">
        <v>1.54</v>
      </c>
      <c r="G14" s="12">
        <v>2</v>
      </c>
      <c r="H14" s="8">
        <v>3.51</v>
      </c>
      <c r="I14" s="12">
        <v>0</v>
      </c>
    </row>
    <row r="15" spans="2:9" ht="15" customHeight="1" x14ac:dyDescent="0.2">
      <c r="B15" t="s">
        <v>200</v>
      </c>
      <c r="C15" s="12">
        <v>20</v>
      </c>
      <c r="D15" s="8">
        <v>15.5</v>
      </c>
      <c r="E15" s="12">
        <v>18</v>
      </c>
      <c r="F15" s="8">
        <v>27.69</v>
      </c>
      <c r="G15" s="12">
        <v>2</v>
      </c>
      <c r="H15" s="8">
        <v>3.51</v>
      </c>
      <c r="I15" s="12">
        <v>0</v>
      </c>
    </row>
    <row r="16" spans="2:9" ht="15" customHeight="1" x14ac:dyDescent="0.2">
      <c r="B16" t="s">
        <v>201</v>
      </c>
      <c r="C16" s="12">
        <v>19</v>
      </c>
      <c r="D16" s="8">
        <v>14.73</v>
      </c>
      <c r="E16" s="12">
        <v>11</v>
      </c>
      <c r="F16" s="8">
        <v>16.920000000000002</v>
      </c>
      <c r="G16" s="12">
        <v>8</v>
      </c>
      <c r="H16" s="8">
        <v>14.04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3.88</v>
      </c>
      <c r="E17" s="12">
        <v>3</v>
      </c>
      <c r="F17" s="8">
        <v>4.62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4.6500000000000004</v>
      </c>
      <c r="E18" s="12">
        <v>3</v>
      </c>
      <c r="F18" s="8">
        <v>4.62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3.88</v>
      </c>
      <c r="E19" s="12">
        <v>3</v>
      </c>
      <c r="F19" s="8">
        <v>4.62</v>
      </c>
      <c r="G19" s="12">
        <v>1</v>
      </c>
      <c r="H19" s="8">
        <v>1.75</v>
      </c>
      <c r="I19" s="12">
        <v>0</v>
      </c>
    </row>
    <row r="20" spans="2:9" ht="15" customHeight="1" x14ac:dyDescent="0.2">
      <c r="B20" s="9" t="s">
        <v>529</v>
      </c>
      <c r="C20" s="12">
        <f>SUM(LTBL_01468[総数／事業所数])</f>
        <v>129</v>
      </c>
      <c r="E20" s="12">
        <f>SUBTOTAL(109,LTBL_01468[個人／事業所数])</f>
        <v>65</v>
      </c>
      <c r="G20" s="12">
        <f>SUBTOTAL(109,LTBL_01468[法人／事業所数])</f>
        <v>57</v>
      </c>
      <c r="I20" s="12">
        <f>SUBTOTAL(109,LTBL_01468[法人以外の団体／事業所数])</f>
        <v>0</v>
      </c>
    </row>
    <row r="21" spans="2:9" ht="15" customHeight="1" x14ac:dyDescent="0.2">
      <c r="E21" s="11">
        <f>LTBL_01468[[#Totals],[個人／事業所数]]/LTBL_01468[[#Totals],[総数／事業所数]]</f>
        <v>0.50387596899224807</v>
      </c>
      <c r="G21" s="11">
        <f>LTBL_01468[[#Totals],[法人／事業所数]]/LTBL_01468[[#Totals],[総数／事業所数]]</f>
        <v>0.44186046511627908</v>
      </c>
      <c r="I21" s="11">
        <f>LTBL_01468[[#Totals],[法人以外の団体／事業所数]]/LTBL_01468[[#Totals],[総数／事業所数]]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18</v>
      </c>
      <c r="D24" s="8">
        <v>13.95</v>
      </c>
      <c r="E24" s="12">
        <v>18</v>
      </c>
      <c r="F24" s="8">
        <v>27.69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213</v>
      </c>
      <c r="C25" s="12">
        <v>12</v>
      </c>
      <c r="D25" s="8">
        <v>9.3000000000000007</v>
      </c>
      <c r="E25" s="12">
        <v>2</v>
      </c>
      <c r="F25" s="8">
        <v>3.08</v>
      </c>
      <c r="G25" s="12">
        <v>10</v>
      </c>
      <c r="H25" s="8">
        <v>17.54</v>
      </c>
      <c r="I25" s="12">
        <v>0</v>
      </c>
    </row>
    <row r="26" spans="2:9" ht="15" customHeight="1" x14ac:dyDescent="0.2">
      <c r="B26" t="s">
        <v>228</v>
      </c>
      <c r="C26" s="12">
        <v>11</v>
      </c>
      <c r="D26" s="8">
        <v>8.5299999999999994</v>
      </c>
      <c r="E26" s="12">
        <v>10</v>
      </c>
      <c r="F26" s="8">
        <v>15.38</v>
      </c>
      <c r="G26" s="12">
        <v>1</v>
      </c>
      <c r="H26" s="8">
        <v>1.75</v>
      </c>
      <c r="I26" s="12">
        <v>0</v>
      </c>
    </row>
    <row r="27" spans="2:9" ht="15" customHeight="1" x14ac:dyDescent="0.2">
      <c r="B27" t="s">
        <v>223</v>
      </c>
      <c r="C27" s="12">
        <v>10</v>
      </c>
      <c r="D27" s="8">
        <v>7.75</v>
      </c>
      <c r="E27" s="12">
        <v>6</v>
      </c>
      <c r="F27" s="8">
        <v>9.23</v>
      </c>
      <c r="G27" s="12">
        <v>4</v>
      </c>
      <c r="H27" s="8">
        <v>7.02</v>
      </c>
      <c r="I27" s="12">
        <v>0</v>
      </c>
    </row>
    <row r="28" spans="2:9" ht="15" customHeight="1" x14ac:dyDescent="0.2">
      <c r="B28" t="s">
        <v>241</v>
      </c>
      <c r="C28" s="12">
        <v>6</v>
      </c>
      <c r="D28" s="8">
        <v>4.6500000000000004</v>
      </c>
      <c r="E28" s="12">
        <v>5</v>
      </c>
      <c r="F28" s="8">
        <v>7.69</v>
      </c>
      <c r="G28" s="12">
        <v>1</v>
      </c>
      <c r="H28" s="8">
        <v>1.75</v>
      </c>
      <c r="I28" s="12">
        <v>0</v>
      </c>
    </row>
    <row r="29" spans="2:9" ht="15" customHeight="1" x14ac:dyDescent="0.2">
      <c r="B29" t="s">
        <v>221</v>
      </c>
      <c r="C29" s="12">
        <v>6</v>
      </c>
      <c r="D29" s="8">
        <v>4.6500000000000004</v>
      </c>
      <c r="E29" s="12">
        <v>5</v>
      </c>
      <c r="F29" s="8">
        <v>7.69</v>
      </c>
      <c r="G29" s="12">
        <v>1</v>
      </c>
      <c r="H29" s="8">
        <v>1.75</v>
      </c>
      <c r="I29" s="12">
        <v>0</v>
      </c>
    </row>
    <row r="30" spans="2:9" ht="15" customHeight="1" x14ac:dyDescent="0.2">
      <c r="B30" t="s">
        <v>247</v>
      </c>
      <c r="C30" s="12">
        <v>6</v>
      </c>
      <c r="D30" s="8">
        <v>4.6500000000000004</v>
      </c>
      <c r="E30" s="12">
        <v>0</v>
      </c>
      <c r="F30" s="8">
        <v>0</v>
      </c>
      <c r="G30" s="12">
        <v>6</v>
      </c>
      <c r="H30" s="8">
        <v>10.53</v>
      </c>
      <c r="I30" s="12">
        <v>0</v>
      </c>
    </row>
    <row r="31" spans="2:9" ht="15" customHeight="1" x14ac:dyDescent="0.2">
      <c r="B31" t="s">
        <v>244</v>
      </c>
      <c r="C31" s="12">
        <v>5</v>
      </c>
      <c r="D31" s="8">
        <v>3.88</v>
      </c>
      <c r="E31" s="12">
        <v>1</v>
      </c>
      <c r="F31" s="8">
        <v>1.54</v>
      </c>
      <c r="G31" s="12">
        <v>4</v>
      </c>
      <c r="H31" s="8">
        <v>7.02</v>
      </c>
      <c r="I31" s="12">
        <v>0</v>
      </c>
    </row>
    <row r="32" spans="2:9" ht="15" customHeight="1" x14ac:dyDescent="0.2">
      <c r="B32" t="s">
        <v>230</v>
      </c>
      <c r="C32" s="12">
        <v>5</v>
      </c>
      <c r="D32" s="8">
        <v>3.88</v>
      </c>
      <c r="E32" s="12">
        <v>3</v>
      </c>
      <c r="F32" s="8">
        <v>4.62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263</v>
      </c>
      <c r="C33" s="12">
        <v>3</v>
      </c>
      <c r="D33" s="8">
        <v>2.33</v>
      </c>
      <c r="E33" s="12">
        <v>0</v>
      </c>
      <c r="F33" s="8">
        <v>0</v>
      </c>
      <c r="G33" s="12">
        <v>3</v>
      </c>
      <c r="H33" s="8">
        <v>5.26</v>
      </c>
      <c r="I33" s="12">
        <v>0</v>
      </c>
    </row>
    <row r="34" spans="2:9" ht="15" customHeight="1" x14ac:dyDescent="0.2">
      <c r="B34" t="s">
        <v>216</v>
      </c>
      <c r="C34" s="12">
        <v>3</v>
      </c>
      <c r="D34" s="8">
        <v>2.33</v>
      </c>
      <c r="E34" s="12">
        <v>0</v>
      </c>
      <c r="F34" s="8">
        <v>0</v>
      </c>
      <c r="G34" s="12">
        <v>3</v>
      </c>
      <c r="H34" s="8">
        <v>5.26</v>
      </c>
      <c r="I34" s="12">
        <v>0</v>
      </c>
    </row>
    <row r="35" spans="2:9" ht="15" customHeight="1" x14ac:dyDescent="0.2">
      <c r="B35" t="s">
        <v>224</v>
      </c>
      <c r="C35" s="12">
        <v>3</v>
      </c>
      <c r="D35" s="8">
        <v>2.33</v>
      </c>
      <c r="E35" s="12">
        <v>1</v>
      </c>
      <c r="F35" s="8">
        <v>1.54</v>
      </c>
      <c r="G35" s="12">
        <v>2</v>
      </c>
      <c r="H35" s="8">
        <v>3.51</v>
      </c>
      <c r="I35" s="12">
        <v>0</v>
      </c>
    </row>
    <row r="36" spans="2:9" ht="15" customHeight="1" x14ac:dyDescent="0.2">
      <c r="B36" t="s">
        <v>231</v>
      </c>
      <c r="C36" s="12">
        <v>3</v>
      </c>
      <c r="D36" s="8">
        <v>2.33</v>
      </c>
      <c r="E36" s="12">
        <v>3</v>
      </c>
      <c r="F36" s="8">
        <v>4.62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232</v>
      </c>
      <c r="C37" s="12">
        <v>3</v>
      </c>
      <c r="D37" s="8">
        <v>2.33</v>
      </c>
      <c r="E37" s="12">
        <v>0</v>
      </c>
      <c r="F37" s="8">
        <v>0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214</v>
      </c>
      <c r="C38" s="12">
        <v>2</v>
      </c>
      <c r="D38" s="8">
        <v>1.55</v>
      </c>
      <c r="E38" s="12">
        <v>0</v>
      </c>
      <c r="F38" s="8">
        <v>0</v>
      </c>
      <c r="G38" s="12">
        <v>2</v>
      </c>
      <c r="H38" s="8">
        <v>3.51</v>
      </c>
      <c r="I38" s="12">
        <v>0</v>
      </c>
    </row>
    <row r="39" spans="2:9" ht="15" customHeight="1" x14ac:dyDescent="0.2">
      <c r="B39" t="s">
        <v>262</v>
      </c>
      <c r="C39" s="12">
        <v>2</v>
      </c>
      <c r="D39" s="8">
        <v>1.55</v>
      </c>
      <c r="E39" s="12">
        <v>0</v>
      </c>
      <c r="F39" s="8">
        <v>0</v>
      </c>
      <c r="G39" s="12">
        <v>2</v>
      </c>
      <c r="H39" s="8">
        <v>3.51</v>
      </c>
      <c r="I39" s="12">
        <v>0</v>
      </c>
    </row>
    <row r="40" spans="2:9" ht="15" customHeight="1" x14ac:dyDescent="0.2">
      <c r="B40" t="s">
        <v>255</v>
      </c>
      <c r="C40" s="12">
        <v>2</v>
      </c>
      <c r="D40" s="8">
        <v>1.55</v>
      </c>
      <c r="E40" s="12">
        <v>0</v>
      </c>
      <c r="F40" s="8">
        <v>0</v>
      </c>
      <c r="G40" s="12">
        <v>2</v>
      </c>
      <c r="H40" s="8">
        <v>3.51</v>
      </c>
      <c r="I40" s="12">
        <v>0</v>
      </c>
    </row>
    <row r="41" spans="2:9" ht="15" customHeight="1" x14ac:dyDescent="0.2">
      <c r="B41" t="s">
        <v>277</v>
      </c>
      <c r="C41" s="12">
        <v>2</v>
      </c>
      <c r="D41" s="8">
        <v>1.55</v>
      </c>
      <c r="E41" s="12">
        <v>1</v>
      </c>
      <c r="F41" s="8">
        <v>1.54</v>
      </c>
      <c r="G41" s="12">
        <v>1</v>
      </c>
      <c r="H41" s="8">
        <v>1.75</v>
      </c>
      <c r="I41" s="12">
        <v>0</v>
      </c>
    </row>
    <row r="42" spans="2:9" ht="15" customHeight="1" x14ac:dyDescent="0.2">
      <c r="B42" t="s">
        <v>261</v>
      </c>
      <c r="C42" s="12">
        <v>2</v>
      </c>
      <c r="D42" s="8">
        <v>1.55</v>
      </c>
      <c r="E42" s="12">
        <v>0</v>
      </c>
      <c r="F42" s="8">
        <v>0</v>
      </c>
      <c r="G42" s="12">
        <v>2</v>
      </c>
      <c r="H42" s="8">
        <v>3.51</v>
      </c>
      <c r="I42" s="12">
        <v>0</v>
      </c>
    </row>
    <row r="43" spans="2:9" ht="15" customHeight="1" x14ac:dyDescent="0.2">
      <c r="B43" t="s">
        <v>222</v>
      </c>
      <c r="C43" s="12">
        <v>2</v>
      </c>
      <c r="D43" s="8">
        <v>1.55</v>
      </c>
      <c r="E43" s="12">
        <v>1</v>
      </c>
      <c r="F43" s="8">
        <v>1.54</v>
      </c>
      <c r="G43" s="12">
        <v>1</v>
      </c>
      <c r="H43" s="8">
        <v>1.75</v>
      </c>
      <c r="I43" s="12">
        <v>0</v>
      </c>
    </row>
    <row r="44" spans="2:9" ht="15" customHeight="1" x14ac:dyDescent="0.2">
      <c r="B44" t="s">
        <v>256</v>
      </c>
      <c r="C44" s="12">
        <v>2</v>
      </c>
      <c r="D44" s="8">
        <v>1.55</v>
      </c>
      <c r="E44" s="12">
        <v>0</v>
      </c>
      <c r="F44" s="8">
        <v>0</v>
      </c>
      <c r="G44" s="12">
        <v>1</v>
      </c>
      <c r="H44" s="8">
        <v>1.75</v>
      </c>
      <c r="I44" s="12">
        <v>0</v>
      </c>
    </row>
    <row r="45" spans="2:9" ht="15" customHeight="1" x14ac:dyDescent="0.2">
      <c r="B45" t="s">
        <v>225</v>
      </c>
      <c r="C45" s="12">
        <v>2</v>
      </c>
      <c r="D45" s="8">
        <v>1.55</v>
      </c>
      <c r="E45" s="12">
        <v>1</v>
      </c>
      <c r="F45" s="8">
        <v>1.54</v>
      </c>
      <c r="G45" s="12">
        <v>1</v>
      </c>
      <c r="H45" s="8">
        <v>1.75</v>
      </c>
      <c r="I45" s="12">
        <v>0</v>
      </c>
    </row>
    <row r="46" spans="2:9" ht="15" customHeight="1" x14ac:dyDescent="0.2">
      <c r="B46" t="s">
        <v>243</v>
      </c>
      <c r="C46" s="12">
        <v>2</v>
      </c>
      <c r="D46" s="8">
        <v>1.55</v>
      </c>
      <c r="E46" s="12">
        <v>0</v>
      </c>
      <c r="F46" s="8">
        <v>0</v>
      </c>
      <c r="G46" s="12">
        <v>2</v>
      </c>
      <c r="H46" s="8">
        <v>3.51</v>
      </c>
      <c r="I46" s="12">
        <v>0</v>
      </c>
    </row>
    <row r="47" spans="2:9" ht="15" customHeight="1" x14ac:dyDescent="0.2">
      <c r="B47" t="s">
        <v>229</v>
      </c>
      <c r="C47" s="12">
        <v>2</v>
      </c>
      <c r="D47" s="8">
        <v>1.55</v>
      </c>
      <c r="E47" s="12">
        <v>1</v>
      </c>
      <c r="F47" s="8">
        <v>1.54</v>
      </c>
      <c r="G47" s="12">
        <v>1</v>
      </c>
      <c r="H47" s="8">
        <v>1.75</v>
      </c>
      <c r="I47" s="12">
        <v>0</v>
      </c>
    </row>
    <row r="48" spans="2:9" ht="15" customHeight="1" x14ac:dyDescent="0.2">
      <c r="B48" t="s">
        <v>242</v>
      </c>
      <c r="C48" s="12">
        <v>2</v>
      </c>
      <c r="D48" s="8">
        <v>1.55</v>
      </c>
      <c r="E48" s="12">
        <v>2</v>
      </c>
      <c r="F48" s="8">
        <v>3.08</v>
      </c>
      <c r="G48" s="12">
        <v>0</v>
      </c>
      <c r="H48" s="8">
        <v>0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304</v>
      </c>
      <c r="C52" s="12">
        <v>7</v>
      </c>
      <c r="D52" s="8">
        <v>5.43</v>
      </c>
      <c r="E52" s="12">
        <v>6</v>
      </c>
      <c r="F52" s="8">
        <v>9.23</v>
      </c>
      <c r="G52" s="12">
        <v>1</v>
      </c>
      <c r="H52" s="8">
        <v>1.75</v>
      </c>
      <c r="I52" s="12">
        <v>0</v>
      </c>
    </row>
    <row r="53" spans="2:9" ht="15" customHeight="1" x14ac:dyDescent="0.2">
      <c r="B53" t="s">
        <v>288</v>
      </c>
      <c r="C53" s="12">
        <v>6</v>
      </c>
      <c r="D53" s="8">
        <v>4.6500000000000004</v>
      </c>
      <c r="E53" s="12">
        <v>1</v>
      </c>
      <c r="F53" s="8">
        <v>1.54</v>
      </c>
      <c r="G53" s="12">
        <v>5</v>
      </c>
      <c r="H53" s="8">
        <v>8.77</v>
      </c>
      <c r="I53" s="12">
        <v>0</v>
      </c>
    </row>
    <row r="54" spans="2:9" ht="15" customHeight="1" x14ac:dyDescent="0.2">
      <c r="B54" t="s">
        <v>301</v>
      </c>
      <c r="C54" s="12">
        <v>6</v>
      </c>
      <c r="D54" s="8">
        <v>4.6500000000000004</v>
      </c>
      <c r="E54" s="12">
        <v>6</v>
      </c>
      <c r="F54" s="8">
        <v>9.23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328</v>
      </c>
      <c r="C55" s="12">
        <v>5</v>
      </c>
      <c r="D55" s="8">
        <v>3.88</v>
      </c>
      <c r="E55" s="12">
        <v>0</v>
      </c>
      <c r="F55" s="8">
        <v>0</v>
      </c>
      <c r="G55" s="12">
        <v>5</v>
      </c>
      <c r="H55" s="8">
        <v>8.77</v>
      </c>
      <c r="I55" s="12">
        <v>0</v>
      </c>
    </row>
    <row r="56" spans="2:9" ht="15" customHeight="1" x14ac:dyDescent="0.2">
      <c r="B56" t="s">
        <v>351</v>
      </c>
      <c r="C56" s="12">
        <v>5</v>
      </c>
      <c r="D56" s="8">
        <v>3.88</v>
      </c>
      <c r="E56" s="12">
        <v>4</v>
      </c>
      <c r="F56" s="8">
        <v>6.15</v>
      </c>
      <c r="G56" s="12">
        <v>1</v>
      </c>
      <c r="H56" s="8">
        <v>1.75</v>
      </c>
      <c r="I56" s="12">
        <v>0</v>
      </c>
    </row>
    <row r="57" spans="2:9" ht="15" customHeight="1" x14ac:dyDescent="0.2">
      <c r="B57" t="s">
        <v>292</v>
      </c>
      <c r="C57" s="12">
        <v>5</v>
      </c>
      <c r="D57" s="8">
        <v>3.88</v>
      </c>
      <c r="E57" s="12">
        <v>5</v>
      </c>
      <c r="F57" s="8">
        <v>7.69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384</v>
      </c>
      <c r="C58" s="12">
        <v>3</v>
      </c>
      <c r="D58" s="8">
        <v>2.33</v>
      </c>
      <c r="E58" s="12">
        <v>0</v>
      </c>
      <c r="F58" s="8">
        <v>0</v>
      </c>
      <c r="G58" s="12">
        <v>3</v>
      </c>
      <c r="H58" s="8">
        <v>5.26</v>
      </c>
      <c r="I58" s="12">
        <v>0</v>
      </c>
    </row>
    <row r="59" spans="2:9" ht="15" customHeight="1" x14ac:dyDescent="0.2">
      <c r="B59" t="s">
        <v>358</v>
      </c>
      <c r="C59" s="12">
        <v>3</v>
      </c>
      <c r="D59" s="8">
        <v>2.33</v>
      </c>
      <c r="E59" s="12">
        <v>0</v>
      </c>
      <c r="F59" s="8">
        <v>0</v>
      </c>
      <c r="G59" s="12">
        <v>3</v>
      </c>
      <c r="H59" s="8">
        <v>5.26</v>
      </c>
      <c r="I59" s="12">
        <v>0</v>
      </c>
    </row>
    <row r="60" spans="2:9" ht="15" customHeight="1" x14ac:dyDescent="0.2">
      <c r="B60" t="s">
        <v>372</v>
      </c>
      <c r="C60" s="12">
        <v>3</v>
      </c>
      <c r="D60" s="8">
        <v>2.33</v>
      </c>
      <c r="E60" s="12">
        <v>2</v>
      </c>
      <c r="F60" s="8">
        <v>3.08</v>
      </c>
      <c r="G60" s="12">
        <v>1</v>
      </c>
      <c r="H60" s="8">
        <v>1.75</v>
      </c>
      <c r="I60" s="12">
        <v>0</v>
      </c>
    </row>
    <row r="61" spans="2:9" ht="15" customHeight="1" x14ac:dyDescent="0.2">
      <c r="B61" t="s">
        <v>297</v>
      </c>
      <c r="C61" s="12">
        <v>3</v>
      </c>
      <c r="D61" s="8">
        <v>2.33</v>
      </c>
      <c r="E61" s="12">
        <v>1</v>
      </c>
      <c r="F61" s="8">
        <v>1.54</v>
      </c>
      <c r="G61" s="12">
        <v>2</v>
      </c>
      <c r="H61" s="8">
        <v>3.51</v>
      </c>
      <c r="I61" s="12">
        <v>0</v>
      </c>
    </row>
    <row r="62" spans="2:9" ht="15" customHeight="1" x14ac:dyDescent="0.2">
      <c r="B62" t="s">
        <v>299</v>
      </c>
      <c r="C62" s="12">
        <v>3</v>
      </c>
      <c r="D62" s="8">
        <v>2.33</v>
      </c>
      <c r="E62" s="12">
        <v>3</v>
      </c>
      <c r="F62" s="8">
        <v>4.62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300</v>
      </c>
      <c r="C63" s="12">
        <v>3</v>
      </c>
      <c r="D63" s="8">
        <v>2.33</v>
      </c>
      <c r="E63" s="12">
        <v>3</v>
      </c>
      <c r="F63" s="8">
        <v>4.62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303</v>
      </c>
      <c r="C64" s="12">
        <v>3</v>
      </c>
      <c r="D64" s="8">
        <v>2.33</v>
      </c>
      <c r="E64" s="12">
        <v>3</v>
      </c>
      <c r="F64" s="8">
        <v>4.62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368</v>
      </c>
      <c r="C65" s="12">
        <v>3</v>
      </c>
      <c r="D65" s="8">
        <v>2.33</v>
      </c>
      <c r="E65" s="12">
        <v>0</v>
      </c>
      <c r="F65" s="8">
        <v>0</v>
      </c>
      <c r="G65" s="12">
        <v>3</v>
      </c>
      <c r="H65" s="8">
        <v>5.26</v>
      </c>
      <c r="I65" s="12">
        <v>0</v>
      </c>
    </row>
    <row r="66" spans="2:9" ht="15" customHeight="1" x14ac:dyDescent="0.2">
      <c r="B66" t="s">
        <v>378</v>
      </c>
      <c r="C66" s="12">
        <v>2</v>
      </c>
      <c r="D66" s="8">
        <v>1.55</v>
      </c>
      <c r="E66" s="12">
        <v>0</v>
      </c>
      <c r="F66" s="8">
        <v>0</v>
      </c>
      <c r="G66" s="12">
        <v>2</v>
      </c>
      <c r="H66" s="8">
        <v>3.51</v>
      </c>
      <c r="I66" s="12">
        <v>0</v>
      </c>
    </row>
    <row r="67" spans="2:9" ht="15" customHeight="1" x14ac:dyDescent="0.2">
      <c r="B67" t="s">
        <v>489</v>
      </c>
      <c r="C67" s="12">
        <v>2</v>
      </c>
      <c r="D67" s="8">
        <v>1.55</v>
      </c>
      <c r="E67" s="12">
        <v>0</v>
      </c>
      <c r="F67" s="8">
        <v>0</v>
      </c>
      <c r="G67" s="12">
        <v>2</v>
      </c>
      <c r="H67" s="8">
        <v>3.51</v>
      </c>
      <c r="I67" s="12">
        <v>0</v>
      </c>
    </row>
    <row r="68" spans="2:9" ht="15" customHeight="1" x14ac:dyDescent="0.2">
      <c r="B68" t="s">
        <v>477</v>
      </c>
      <c r="C68" s="12">
        <v>2</v>
      </c>
      <c r="D68" s="8">
        <v>1.55</v>
      </c>
      <c r="E68" s="12">
        <v>1</v>
      </c>
      <c r="F68" s="8">
        <v>1.54</v>
      </c>
      <c r="G68" s="12">
        <v>1</v>
      </c>
      <c r="H68" s="8">
        <v>1.75</v>
      </c>
      <c r="I68" s="12">
        <v>0</v>
      </c>
    </row>
    <row r="69" spans="2:9" ht="15" customHeight="1" x14ac:dyDescent="0.2">
      <c r="B69" t="s">
        <v>335</v>
      </c>
      <c r="C69" s="12">
        <v>2</v>
      </c>
      <c r="D69" s="8">
        <v>1.55</v>
      </c>
      <c r="E69" s="12">
        <v>1</v>
      </c>
      <c r="F69" s="8">
        <v>1.54</v>
      </c>
      <c r="G69" s="12">
        <v>1</v>
      </c>
      <c r="H69" s="8">
        <v>1.75</v>
      </c>
      <c r="I69" s="12">
        <v>0</v>
      </c>
    </row>
    <row r="70" spans="2:9" ht="15" customHeight="1" x14ac:dyDescent="0.2">
      <c r="B70" t="s">
        <v>402</v>
      </c>
      <c r="C70" s="12">
        <v>2</v>
      </c>
      <c r="D70" s="8">
        <v>1.55</v>
      </c>
      <c r="E70" s="12">
        <v>1</v>
      </c>
      <c r="F70" s="8">
        <v>1.54</v>
      </c>
      <c r="G70" s="12">
        <v>1</v>
      </c>
      <c r="H70" s="8">
        <v>1.75</v>
      </c>
      <c r="I70" s="12">
        <v>0</v>
      </c>
    </row>
    <row r="71" spans="2:9" ht="15" customHeight="1" x14ac:dyDescent="0.2">
      <c r="B71" t="s">
        <v>337</v>
      </c>
      <c r="C71" s="12">
        <v>2</v>
      </c>
      <c r="D71" s="8">
        <v>1.55</v>
      </c>
      <c r="E71" s="12">
        <v>1</v>
      </c>
      <c r="F71" s="8">
        <v>1.54</v>
      </c>
      <c r="G71" s="12">
        <v>1</v>
      </c>
      <c r="H71" s="8">
        <v>1.75</v>
      </c>
      <c r="I71" s="12">
        <v>0</v>
      </c>
    </row>
    <row r="72" spans="2:9" ht="15" customHeight="1" x14ac:dyDescent="0.2">
      <c r="B72" t="s">
        <v>403</v>
      </c>
      <c r="C72" s="12">
        <v>2</v>
      </c>
      <c r="D72" s="8">
        <v>1.55</v>
      </c>
      <c r="E72" s="12">
        <v>0</v>
      </c>
      <c r="F72" s="8">
        <v>0</v>
      </c>
      <c r="G72" s="12">
        <v>1</v>
      </c>
      <c r="H72" s="8">
        <v>1.75</v>
      </c>
      <c r="I72" s="12">
        <v>0</v>
      </c>
    </row>
    <row r="73" spans="2:9" ht="15" customHeight="1" x14ac:dyDescent="0.2">
      <c r="B73" t="s">
        <v>419</v>
      </c>
      <c r="C73" s="12">
        <v>2</v>
      </c>
      <c r="D73" s="8">
        <v>1.55</v>
      </c>
      <c r="E73" s="12">
        <v>2</v>
      </c>
      <c r="F73" s="8">
        <v>3.08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340</v>
      </c>
      <c r="C74" s="12">
        <v>2</v>
      </c>
      <c r="D74" s="8">
        <v>1.55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306</v>
      </c>
      <c r="C75" s="12">
        <v>2</v>
      </c>
      <c r="D75" s="8">
        <v>1.55</v>
      </c>
      <c r="E75" s="12">
        <v>2</v>
      </c>
      <c r="F75" s="8">
        <v>3.08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331</v>
      </c>
      <c r="C76" s="12">
        <v>2</v>
      </c>
      <c r="D76" s="8">
        <v>1.55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371</v>
      </c>
      <c r="C77" s="12">
        <v>2</v>
      </c>
      <c r="D77" s="8">
        <v>1.55</v>
      </c>
      <c r="E77" s="12">
        <v>2</v>
      </c>
      <c r="F77" s="8">
        <v>3.08</v>
      </c>
      <c r="G77" s="12">
        <v>0</v>
      </c>
      <c r="H77" s="8">
        <v>0</v>
      </c>
      <c r="I77" s="12">
        <v>0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020C-66D7-4780-8293-C4CF6E575165}">
  <sheetPr>
    <pageSetUpPr fitToPage="1"/>
  </sheetPr>
  <dimension ref="B2:I8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20</v>
      </c>
      <c r="D6" s="8">
        <v>14.18</v>
      </c>
      <c r="E6" s="12">
        <v>4</v>
      </c>
      <c r="F6" s="8">
        <v>5.0599999999999996</v>
      </c>
      <c r="G6" s="12">
        <v>16</v>
      </c>
      <c r="H6" s="8">
        <v>28.07</v>
      </c>
      <c r="I6" s="12">
        <v>0</v>
      </c>
    </row>
    <row r="7" spans="2:9" ht="15" customHeight="1" x14ac:dyDescent="0.2">
      <c r="B7" t="s">
        <v>192</v>
      </c>
      <c r="C7" s="12">
        <v>19</v>
      </c>
      <c r="D7" s="8">
        <v>13.48</v>
      </c>
      <c r="E7" s="12">
        <v>7</v>
      </c>
      <c r="F7" s="8">
        <v>8.86</v>
      </c>
      <c r="G7" s="12">
        <v>12</v>
      </c>
      <c r="H7" s="8">
        <v>21.05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0.71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2.13</v>
      </c>
      <c r="E10" s="12">
        <v>1</v>
      </c>
      <c r="F10" s="8">
        <v>1.27</v>
      </c>
      <c r="G10" s="12">
        <v>2</v>
      </c>
      <c r="H10" s="8">
        <v>3.51</v>
      </c>
      <c r="I10" s="12">
        <v>0</v>
      </c>
    </row>
    <row r="11" spans="2:9" ht="15" customHeight="1" x14ac:dyDescent="0.2">
      <c r="B11" t="s">
        <v>196</v>
      </c>
      <c r="C11" s="12">
        <v>41</v>
      </c>
      <c r="D11" s="8">
        <v>29.08</v>
      </c>
      <c r="E11" s="12">
        <v>24</v>
      </c>
      <c r="F11" s="8">
        <v>30.38</v>
      </c>
      <c r="G11" s="12">
        <v>17</v>
      </c>
      <c r="H11" s="8">
        <v>29.82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0.71</v>
      </c>
      <c r="E12" s="12">
        <v>1</v>
      </c>
      <c r="F12" s="8">
        <v>1.27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1.42</v>
      </c>
      <c r="E13" s="12">
        <v>2</v>
      </c>
      <c r="F13" s="8">
        <v>2.5299999999999998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2.84</v>
      </c>
      <c r="E14" s="12">
        <v>3</v>
      </c>
      <c r="F14" s="8">
        <v>3.8</v>
      </c>
      <c r="G14" s="12">
        <v>1</v>
      </c>
      <c r="H14" s="8">
        <v>1.75</v>
      </c>
      <c r="I14" s="12">
        <v>0</v>
      </c>
    </row>
    <row r="15" spans="2:9" ht="15" customHeight="1" x14ac:dyDescent="0.2">
      <c r="B15" t="s">
        <v>200</v>
      </c>
      <c r="C15" s="12">
        <v>24</v>
      </c>
      <c r="D15" s="8">
        <v>17.02</v>
      </c>
      <c r="E15" s="12">
        <v>19</v>
      </c>
      <c r="F15" s="8">
        <v>24.05</v>
      </c>
      <c r="G15" s="12">
        <v>5</v>
      </c>
      <c r="H15" s="8">
        <v>8.77</v>
      </c>
      <c r="I15" s="12">
        <v>0</v>
      </c>
    </row>
    <row r="16" spans="2:9" ht="15" customHeight="1" x14ac:dyDescent="0.2">
      <c r="B16" t="s">
        <v>201</v>
      </c>
      <c r="C16" s="12">
        <v>15</v>
      </c>
      <c r="D16" s="8">
        <v>10.64</v>
      </c>
      <c r="E16" s="12">
        <v>14</v>
      </c>
      <c r="F16" s="8">
        <v>17.72</v>
      </c>
      <c r="G16" s="12">
        <v>1</v>
      </c>
      <c r="H16" s="8">
        <v>1.75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2.13</v>
      </c>
      <c r="E17" s="12">
        <v>2</v>
      </c>
      <c r="F17" s="8">
        <v>2.5299999999999998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2.13</v>
      </c>
      <c r="E18" s="12">
        <v>1</v>
      </c>
      <c r="F18" s="8">
        <v>1.27</v>
      </c>
      <c r="G18" s="12">
        <v>1</v>
      </c>
      <c r="H18" s="8">
        <v>1.75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3.55</v>
      </c>
      <c r="E19" s="12">
        <v>1</v>
      </c>
      <c r="F19" s="8">
        <v>1.27</v>
      </c>
      <c r="G19" s="12">
        <v>2</v>
      </c>
      <c r="H19" s="8">
        <v>3.51</v>
      </c>
      <c r="I19" s="12">
        <v>1</v>
      </c>
    </row>
    <row r="20" spans="2:9" ht="15" customHeight="1" x14ac:dyDescent="0.2">
      <c r="B20" s="9" t="s">
        <v>529</v>
      </c>
      <c r="C20" s="12">
        <f>SUM(LTBL_01469[総数／事業所数])</f>
        <v>141</v>
      </c>
      <c r="E20" s="12">
        <f>SUBTOTAL(109,LTBL_01469[個人／事業所数])</f>
        <v>79</v>
      </c>
      <c r="G20" s="12">
        <f>SUBTOTAL(109,LTBL_01469[法人／事業所数])</f>
        <v>57</v>
      </c>
      <c r="I20" s="12">
        <f>SUBTOTAL(109,LTBL_01469[法人以外の団体／事業所数])</f>
        <v>1</v>
      </c>
    </row>
    <row r="21" spans="2:9" ht="15" customHeight="1" x14ac:dyDescent="0.2">
      <c r="E21" s="11">
        <f>LTBL_01469[[#Totals],[個人／事業所数]]/LTBL_01469[[#Totals],[総数／事業所数]]</f>
        <v>0.56028368794326244</v>
      </c>
      <c r="G21" s="11">
        <f>LTBL_01469[[#Totals],[法人／事業所数]]/LTBL_01469[[#Totals],[総数／事業所数]]</f>
        <v>0.40425531914893614</v>
      </c>
      <c r="I21" s="11">
        <f>LTBL_01469[[#Totals],[法人以外の団体／事業所数]]/LTBL_01469[[#Totals],[総数／事業所数]]</f>
        <v>7.0921985815602835E-3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20</v>
      </c>
      <c r="D24" s="8">
        <v>14.18</v>
      </c>
      <c r="E24" s="12">
        <v>10</v>
      </c>
      <c r="F24" s="8">
        <v>12.66</v>
      </c>
      <c r="G24" s="12">
        <v>10</v>
      </c>
      <c r="H24" s="8">
        <v>17.54</v>
      </c>
      <c r="I24" s="12">
        <v>0</v>
      </c>
    </row>
    <row r="25" spans="2:9" ht="15" customHeight="1" x14ac:dyDescent="0.2">
      <c r="B25" t="s">
        <v>227</v>
      </c>
      <c r="C25" s="12">
        <v>17</v>
      </c>
      <c r="D25" s="8">
        <v>12.06</v>
      </c>
      <c r="E25" s="12">
        <v>16</v>
      </c>
      <c r="F25" s="8">
        <v>20.25</v>
      </c>
      <c r="G25" s="12">
        <v>1</v>
      </c>
      <c r="H25" s="8">
        <v>1.75</v>
      </c>
      <c r="I25" s="12">
        <v>0</v>
      </c>
    </row>
    <row r="26" spans="2:9" ht="15" customHeight="1" x14ac:dyDescent="0.2">
      <c r="B26" t="s">
        <v>228</v>
      </c>
      <c r="C26" s="12">
        <v>13</v>
      </c>
      <c r="D26" s="8">
        <v>9.2200000000000006</v>
      </c>
      <c r="E26" s="12">
        <v>12</v>
      </c>
      <c r="F26" s="8">
        <v>15.19</v>
      </c>
      <c r="G26" s="12">
        <v>1</v>
      </c>
      <c r="H26" s="8">
        <v>1.75</v>
      </c>
      <c r="I26" s="12">
        <v>0</v>
      </c>
    </row>
    <row r="27" spans="2:9" ht="15" customHeight="1" x14ac:dyDescent="0.2">
      <c r="B27" t="s">
        <v>213</v>
      </c>
      <c r="C27" s="12">
        <v>12</v>
      </c>
      <c r="D27" s="8">
        <v>8.51</v>
      </c>
      <c r="E27" s="12">
        <v>1</v>
      </c>
      <c r="F27" s="8">
        <v>1.27</v>
      </c>
      <c r="G27" s="12">
        <v>11</v>
      </c>
      <c r="H27" s="8">
        <v>19.3</v>
      </c>
      <c r="I27" s="12">
        <v>0</v>
      </c>
    </row>
    <row r="28" spans="2:9" ht="15" customHeight="1" x14ac:dyDescent="0.2">
      <c r="B28" t="s">
        <v>221</v>
      </c>
      <c r="C28" s="12">
        <v>10</v>
      </c>
      <c r="D28" s="8">
        <v>7.09</v>
      </c>
      <c r="E28" s="12">
        <v>7</v>
      </c>
      <c r="F28" s="8">
        <v>8.86</v>
      </c>
      <c r="G28" s="12">
        <v>3</v>
      </c>
      <c r="H28" s="8">
        <v>5.26</v>
      </c>
      <c r="I28" s="12">
        <v>0</v>
      </c>
    </row>
    <row r="29" spans="2:9" ht="15" customHeight="1" x14ac:dyDescent="0.2">
      <c r="B29" t="s">
        <v>215</v>
      </c>
      <c r="C29" s="12">
        <v>5</v>
      </c>
      <c r="D29" s="8">
        <v>3.55</v>
      </c>
      <c r="E29" s="12">
        <v>1</v>
      </c>
      <c r="F29" s="8">
        <v>1.27</v>
      </c>
      <c r="G29" s="12">
        <v>4</v>
      </c>
      <c r="H29" s="8">
        <v>7.02</v>
      </c>
      <c r="I29" s="12">
        <v>0</v>
      </c>
    </row>
    <row r="30" spans="2:9" ht="15" customHeight="1" x14ac:dyDescent="0.2">
      <c r="B30" t="s">
        <v>222</v>
      </c>
      <c r="C30" s="12">
        <v>5</v>
      </c>
      <c r="D30" s="8">
        <v>3.55</v>
      </c>
      <c r="E30" s="12">
        <v>3</v>
      </c>
      <c r="F30" s="8">
        <v>3.8</v>
      </c>
      <c r="G30" s="12">
        <v>2</v>
      </c>
      <c r="H30" s="8">
        <v>3.51</v>
      </c>
      <c r="I30" s="12">
        <v>0</v>
      </c>
    </row>
    <row r="31" spans="2:9" ht="15" customHeight="1" x14ac:dyDescent="0.2">
      <c r="B31" t="s">
        <v>243</v>
      </c>
      <c r="C31" s="12">
        <v>5</v>
      </c>
      <c r="D31" s="8">
        <v>3.55</v>
      </c>
      <c r="E31" s="12">
        <v>3</v>
      </c>
      <c r="F31" s="8">
        <v>3.8</v>
      </c>
      <c r="G31" s="12">
        <v>2</v>
      </c>
      <c r="H31" s="8">
        <v>3.51</v>
      </c>
      <c r="I31" s="12">
        <v>0</v>
      </c>
    </row>
    <row r="32" spans="2:9" ht="15" customHeight="1" x14ac:dyDescent="0.2">
      <c r="B32" t="s">
        <v>241</v>
      </c>
      <c r="C32" s="12">
        <v>4</v>
      </c>
      <c r="D32" s="8">
        <v>2.84</v>
      </c>
      <c r="E32" s="12">
        <v>1</v>
      </c>
      <c r="F32" s="8">
        <v>1.27</v>
      </c>
      <c r="G32" s="12">
        <v>3</v>
      </c>
      <c r="H32" s="8">
        <v>5.26</v>
      </c>
      <c r="I32" s="12">
        <v>0</v>
      </c>
    </row>
    <row r="33" spans="2:9" ht="15" customHeight="1" x14ac:dyDescent="0.2">
      <c r="B33" t="s">
        <v>214</v>
      </c>
      <c r="C33" s="12">
        <v>3</v>
      </c>
      <c r="D33" s="8">
        <v>2.13</v>
      </c>
      <c r="E33" s="12">
        <v>2</v>
      </c>
      <c r="F33" s="8">
        <v>2.5299999999999998</v>
      </c>
      <c r="G33" s="12">
        <v>1</v>
      </c>
      <c r="H33" s="8">
        <v>1.75</v>
      </c>
      <c r="I33" s="12">
        <v>0</v>
      </c>
    </row>
    <row r="34" spans="2:9" ht="15" customHeight="1" x14ac:dyDescent="0.2">
      <c r="B34" t="s">
        <v>262</v>
      </c>
      <c r="C34" s="12">
        <v>3</v>
      </c>
      <c r="D34" s="8">
        <v>2.13</v>
      </c>
      <c r="E34" s="12">
        <v>1</v>
      </c>
      <c r="F34" s="8">
        <v>1.27</v>
      </c>
      <c r="G34" s="12">
        <v>2</v>
      </c>
      <c r="H34" s="8">
        <v>3.51</v>
      </c>
      <c r="I34" s="12">
        <v>0</v>
      </c>
    </row>
    <row r="35" spans="2:9" ht="15" customHeight="1" x14ac:dyDescent="0.2">
      <c r="B35" t="s">
        <v>254</v>
      </c>
      <c r="C35" s="12">
        <v>3</v>
      </c>
      <c r="D35" s="8">
        <v>2.13</v>
      </c>
      <c r="E35" s="12">
        <v>0</v>
      </c>
      <c r="F35" s="8">
        <v>0</v>
      </c>
      <c r="G35" s="12">
        <v>3</v>
      </c>
      <c r="H35" s="8">
        <v>5.26</v>
      </c>
      <c r="I35" s="12">
        <v>0</v>
      </c>
    </row>
    <row r="36" spans="2:9" ht="15" customHeight="1" x14ac:dyDescent="0.2">
      <c r="B36" t="s">
        <v>220</v>
      </c>
      <c r="C36" s="12">
        <v>3</v>
      </c>
      <c r="D36" s="8">
        <v>2.13</v>
      </c>
      <c r="E36" s="12">
        <v>3</v>
      </c>
      <c r="F36" s="8">
        <v>3.8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230</v>
      </c>
      <c r="C37" s="12">
        <v>3</v>
      </c>
      <c r="D37" s="8">
        <v>2.13</v>
      </c>
      <c r="E37" s="12">
        <v>2</v>
      </c>
      <c r="F37" s="8">
        <v>2.5299999999999998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234</v>
      </c>
      <c r="C38" s="12">
        <v>3</v>
      </c>
      <c r="D38" s="8">
        <v>2.13</v>
      </c>
      <c r="E38" s="12">
        <v>0</v>
      </c>
      <c r="F38" s="8">
        <v>0</v>
      </c>
      <c r="G38" s="12">
        <v>1</v>
      </c>
      <c r="H38" s="8">
        <v>1.75</v>
      </c>
      <c r="I38" s="12">
        <v>1</v>
      </c>
    </row>
    <row r="39" spans="2:9" ht="15" customHeight="1" x14ac:dyDescent="0.2">
      <c r="B39" t="s">
        <v>244</v>
      </c>
      <c r="C39" s="12">
        <v>2</v>
      </c>
      <c r="D39" s="8">
        <v>1.42</v>
      </c>
      <c r="E39" s="12">
        <v>1</v>
      </c>
      <c r="F39" s="8">
        <v>1.27</v>
      </c>
      <c r="G39" s="12">
        <v>1</v>
      </c>
      <c r="H39" s="8">
        <v>1.75</v>
      </c>
      <c r="I39" s="12">
        <v>0</v>
      </c>
    </row>
    <row r="40" spans="2:9" ht="15" customHeight="1" x14ac:dyDescent="0.2">
      <c r="B40" t="s">
        <v>252</v>
      </c>
      <c r="C40" s="12">
        <v>2</v>
      </c>
      <c r="D40" s="8">
        <v>1.42</v>
      </c>
      <c r="E40" s="12">
        <v>1</v>
      </c>
      <c r="F40" s="8">
        <v>1.27</v>
      </c>
      <c r="G40" s="12">
        <v>1</v>
      </c>
      <c r="H40" s="8">
        <v>1.75</v>
      </c>
      <c r="I40" s="12">
        <v>0</v>
      </c>
    </row>
    <row r="41" spans="2:9" ht="15" customHeight="1" x14ac:dyDescent="0.2">
      <c r="B41" t="s">
        <v>248</v>
      </c>
      <c r="C41" s="12">
        <v>2</v>
      </c>
      <c r="D41" s="8">
        <v>1.42</v>
      </c>
      <c r="E41" s="12">
        <v>1</v>
      </c>
      <c r="F41" s="8">
        <v>1.27</v>
      </c>
      <c r="G41" s="12">
        <v>1</v>
      </c>
      <c r="H41" s="8">
        <v>1.75</v>
      </c>
      <c r="I41" s="12">
        <v>0</v>
      </c>
    </row>
    <row r="42" spans="2:9" ht="15" customHeight="1" x14ac:dyDescent="0.2">
      <c r="B42" t="s">
        <v>224</v>
      </c>
      <c r="C42" s="12">
        <v>2</v>
      </c>
      <c r="D42" s="8">
        <v>1.42</v>
      </c>
      <c r="E42" s="12">
        <v>2</v>
      </c>
      <c r="F42" s="8">
        <v>2.5299999999999998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225</v>
      </c>
      <c r="C43" s="12">
        <v>2</v>
      </c>
      <c r="D43" s="8">
        <v>1.42</v>
      </c>
      <c r="E43" s="12">
        <v>2</v>
      </c>
      <c r="F43" s="8">
        <v>2.5299999999999998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239</v>
      </c>
      <c r="C44" s="12">
        <v>2</v>
      </c>
      <c r="D44" s="8">
        <v>1.42</v>
      </c>
      <c r="E44" s="12">
        <v>0</v>
      </c>
      <c r="F44" s="8">
        <v>0</v>
      </c>
      <c r="G44" s="12">
        <v>2</v>
      </c>
      <c r="H44" s="8">
        <v>3.51</v>
      </c>
      <c r="I44" s="12">
        <v>0</v>
      </c>
    </row>
    <row r="45" spans="2:9" ht="15" customHeight="1" x14ac:dyDescent="0.2">
      <c r="B45" t="s">
        <v>229</v>
      </c>
      <c r="C45" s="12">
        <v>2</v>
      </c>
      <c r="D45" s="8">
        <v>1.42</v>
      </c>
      <c r="E45" s="12">
        <v>2</v>
      </c>
      <c r="F45" s="8">
        <v>2.5299999999999998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232</v>
      </c>
      <c r="C46" s="12">
        <v>2</v>
      </c>
      <c r="D46" s="8">
        <v>1.42</v>
      </c>
      <c r="E46" s="12">
        <v>0</v>
      </c>
      <c r="F46" s="8">
        <v>0</v>
      </c>
      <c r="G46" s="12">
        <v>1</v>
      </c>
      <c r="H46" s="8">
        <v>1.75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303</v>
      </c>
      <c r="C50" s="12">
        <v>9</v>
      </c>
      <c r="D50" s="8">
        <v>6.38</v>
      </c>
      <c r="E50" s="12">
        <v>9</v>
      </c>
      <c r="F50" s="8">
        <v>11.39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288</v>
      </c>
      <c r="C51" s="12">
        <v>8</v>
      </c>
      <c r="D51" s="8">
        <v>5.67</v>
      </c>
      <c r="E51" s="12">
        <v>0</v>
      </c>
      <c r="F51" s="8">
        <v>0</v>
      </c>
      <c r="G51" s="12">
        <v>8</v>
      </c>
      <c r="H51" s="8">
        <v>14.04</v>
      </c>
      <c r="I51" s="12">
        <v>0</v>
      </c>
    </row>
    <row r="52" spans="2:9" ht="15" customHeight="1" x14ac:dyDescent="0.2">
      <c r="B52" t="s">
        <v>330</v>
      </c>
      <c r="C52" s="12">
        <v>5</v>
      </c>
      <c r="D52" s="8">
        <v>3.55</v>
      </c>
      <c r="E52" s="12">
        <v>1</v>
      </c>
      <c r="F52" s="8">
        <v>1.27</v>
      </c>
      <c r="G52" s="12">
        <v>4</v>
      </c>
      <c r="H52" s="8">
        <v>7.02</v>
      </c>
      <c r="I52" s="12">
        <v>0</v>
      </c>
    </row>
    <row r="53" spans="2:9" ht="15" customHeight="1" x14ac:dyDescent="0.2">
      <c r="B53" t="s">
        <v>301</v>
      </c>
      <c r="C53" s="12">
        <v>5</v>
      </c>
      <c r="D53" s="8">
        <v>3.55</v>
      </c>
      <c r="E53" s="12">
        <v>5</v>
      </c>
      <c r="F53" s="8">
        <v>6.33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328</v>
      </c>
      <c r="C54" s="12">
        <v>4</v>
      </c>
      <c r="D54" s="8">
        <v>2.84</v>
      </c>
      <c r="E54" s="12">
        <v>1</v>
      </c>
      <c r="F54" s="8">
        <v>1.27</v>
      </c>
      <c r="G54" s="12">
        <v>3</v>
      </c>
      <c r="H54" s="8">
        <v>5.26</v>
      </c>
      <c r="I54" s="12">
        <v>0</v>
      </c>
    </row>
    <row r="55" spans="2:9" ht="15" customHeight="1" x14ac:dyDescent="0.2">
      <c r="B55" t="s">
        <v>339</v>
      </c>
      <c r="C55" s="12">
        <v>4</v>
      </c>
      <c r="D55" s="8">
        <v>2.84</v>
      </c>
      <c r="E55" s="12">
        <v>2</v>
      </c>
      <c r="F55" s="8">
        <v>2.5299999999999998</v>
      </c>
      <c r="G55" s="12">
        <v>2</v>
      </c>
      <c r="H55" s="8">
        <v>3.51</v>
      </c>
      <c r="I55" s="12">
        <v>0</v>
      </c>
    </row>
    <row r="56" spans="2:9" ht="15" customHeight="1" x14ac:dyDescent="0.2">
      <c r="B56" t="s">
        <v>334</v>
      </c>
      <c r="C56" s="12">
        <v>4</v>
      </c>
      <c r="D56" s="8">
        <v>2.84</v>
      </c>
      <c r="E56" s="12">
        <v>3</v>
      </c>
      <c r="F56" s="8">
        <v>3.8</v>
      </c>
      <c r="G56" s="12">
        <v>1</v>
      </c>
      <c r="H56" s="8">
        <v>1.75</v>
      </c>
      <c r="I56" s="12">
        <v>0</v>
      </c>
    </row>
    <row r="57" spans="2:9" ht="15" customHeight="1" x14ac:dyDescent="0.2">
      <c r="B57" t="s">
        <v>299</v>
      </c>
      <c r="C57" s="12">
        <v>4</v>
      </c>
      <c r="D57" s="8">
        <v>2.84</v>
      </c>
      <c r="E57" s="12">
        <v>4</v>
      </c>
      <c r="F57" s="8">
        <v>5.0599999999999996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290</v>
      </c>
      <c r="C58" s="12">
        <v>3</v>
      </c>
      <c r="D58" s="8">
        <v>2.13</v>
      </c>
      <c r="E58" s="12">
        <v>1</v>
      </c>
      <c r="F58" s="8">
        <v>1.27</v>
      </c>
      <c r="G58" s="12">
        <v>2</v>
      </c>
      <c r="H58" s="8">
        <v>3.51</v>
      </c>
      <c r="I58" s="12">
        <v>0</v>
      </c>
    </row>
    <row r="59" spans="2:9" ht="15" customHeight="1" x14ac:dyDescent="0.2">
      <c r="B59" t="s">
        <v>413</v>
      </c>
      <c r="C59" s="12">
        <v>3</v>
      </c>
      <c r="D59" s="8">
        <v>2.13</v>
      </c>
      <c r="E59" s="12">
        <v>0</v>
      </c>
      <c r="F59" s="8">
        <v>0</v>
      </c>
      <c r="G59" s="12">
        <v>3</v>
      </c>
      <c r="H59" s="8">
        <v>5.26</v>
      </c>
      <c r="I59" s="12">
        <v>0</v>
      </c>
    </row>
    <row r="60" spans="2:9" ht="15" customHeight="1" x14ac:dyDescent="0.2">
      <c r="B60" t="s">
        <v>335</v>
      </c>
      <c r="C60" s="12">
        <v>3</v>
      </c>
      <c r="D60" s="8">
        <v>2.13</v>
      </c>
      <c r="E60" s="12">
        <v>2</v>
      </c>
      <c r="F60" s="8">
        <v>2.5299999999999998</v>
      </c>
      <c r="G60" s="12">
        <v>1</v>
      </c>
      <c r="H60" s="8">
        <v>1.75</v>
      </c>
      <c r="I60" s="12">
        <v>0</v>
      </c>
    </row>
    <row r="61" spans="2:9" ht="15" customHeight="1" x14ac:dyDescent="0.2">
      <c r="B61" t="s">
        <v>372</v>
      </c>
      <c r="C61" s="12">
        <v>3</v>
      </c>
      <c r="D61" s="8">
        <v>2.13</v>
      </c>
      <c r="E61" s="12">
        <v>2</v>
      </c>
      <c r="F61" s="8">
        <v>2.5299999999999998</v>
      </c>
      <c r="G61" s="12">
        <v>1</v>
      </c>
      <c r="H61" s="8">
        <v>1.75</v>
      </c>
      <c r="I61" s="12">
        <v>0</v>
      </c>
    </row>
    <row r="62" spans="2:9" ht="15" customHeight="1" x14ac:dyDescent="0.2">
      <c r="B62" t="s">
        <v>295</v>
      </c>
      <c r="C62" s="12">
        <v>3</v>
      </c>
      <c r="D62" s="8">
        <v>2.13</v>
      </c>
      <c r="E62" s="12">
        <v>1</v>
      </c>
      <c r="F62" s="8">
        <v>1.27</v>
      </c>
      <c r="G62" s="12">
        <v>2</v>
      </c>
      <c r="H62" s="8">
        <v>3.51</v>
      </c>
      <c r="I62" s="12">
        <v>0</v>
      </c>
    </row>
    <row r="63" spans="2:9" ht="15" customHeight="1" x14ac:dyDescent="0.2">
      <c r="B63" t="s">
        <v>304</v>
      </c>
      <c r="C63" s="12">
        <v>3</v>
      </c>
      <c r="D63" s="8">
        <v>2.13</v>
      </c>
      <c r="E63" s="12">
        <v>2</v>
      </c>
      <c r="F63" s="8">
        <v>2.5299999999999998</v>
      </c>
      <c r="G63" s="12">
        <v>1</v>
      </c>
      <c r="H63" s="8">
        <v>1.75</v>
      </c>
      <c r="I63" s="12">
        <v>0</v>
      </c>
    </row>
    <row r="64" spans="2:9" ht="15" customHeight="1" x14ac:dyDescent="0.2">
      <c r="B64" t="s">
        <v>318</v>
      </c>
      <c r="C64" s="12">
        <v>3</v>
      </c>
      <c r="D64" s="8">
        <v>2.13</v>
      </c>
      <c r="E64" s="12">
        <v>0</v>
      </c>
      <c r="F64" s="8">
        <v>0</v>
      </c>
      <c r="G64" s="12">
        <v>1</v>
      </c>
      <c r="H64" s="8">
        <v>1.75</v>
      </c>
      <c r="I64" s="12">
        <v>1</v>
      </c>
    </row>
    <row r="65" spans="2:9" ht="15" customHeight="1" x14ac:dyDescent="0.2">
      <c r="B65" t="s">
        <v>333</v>
      </c>
      <c r="C65" s="12">
        <v>2</v>
      </c>
      <c r="D65" s="8">
        <v>1.42</v>
      </c>
      <c r="E65" s="12">
        <v>2</v>
      </c>
      <c r="F65" s="8">
        <v>2.5299999999999998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291</v>
      </c>
      <c r="C66" s="12">
        <v>2</v>
      </c>
      <c r="D66" s="8">
        <v>1.42</v>
      </c>
      <c r="E66" s="12">
        <v>0</v>
      </c>
      <c r="F66" s="8">
        <v>0</v>
      </c>
      <c r="G66" s="12">
        <v>2</v>
      </c>
      <c r="H66" s="8">
        <v>3.51</v>
      </c>
      <c r="I66" s="12">
        <v>0</v>
      </c>
    </row>
    <row r="67" spans="2:9" ht="15" customHeight="1" x14ac:dyDescent="0.2">
      <c r="B67" t="s">
        <v>384</v>
      </c>
      <c r="C67" s="12">
        <v>2</v>
      </c>
      <c r="D67" s="8">
        <v>1.42</v>
      </c>
      <c r="E67" s="12">
        <v>1</v>
      </c>
      <c r="F67" s="8">
        <v>1.27</v>
      </c>
      <c r="G67" s="12">
        <v>1</v>
      </c>
      <c r="H67" s="8">
        <v>1.75</v>
      </c>
      <c r="I67" s="12">
        <v>0</v>
      </c>
    </row>
    <row r="68" spans="2:9" ht="15" customHeight="1" x14ac:dyDescent="0.2">
      <c r="B68" t="s">
        <v>399</v>
      </c>
      <c r="C68" s="12">
        <v>2</v>
      </c>
      <c r="D68" s="8">
        <v>1.42</v>
      </c>
      <c r="E68" s="12">
        <v>1</v>
      </c>
      <c r="F68" s="8">
        <v>1.27</v>
      </c>
      <c r="G68" s="12">
        <v>1</v>
      </c>
      <c r="H68" s="8">
        <v>1.75</v>
      </c>
      <c r="I68" s="12">
        <v>0</v>
      </c>
    </row>
    <row r="69" spans="2:9" ht="15" customHeight="1" x14ac:dyDescent="0.2">
      <c r="B69" t="s">
        <v>432</v>
      </c>
      <c r="C69" s="12">
        <v>2</v>
      </c>
      <c r="D69" s="8">
        <v>1.42</v>
      </c>
      <c r="E69" s="12">
        <v>0</v>
      </c>
      <c r="F69" s="8">
        <v>0</v>
      </c>
      <c r="G69" s="12">
        <v>2</v>
      </c>
      <c r="H69" s="8">
        <v>3.51</v>
      </c>
      <c r="I69" s="12">
        <v>0</v>
      </c>
    </row>
    <row r="70" spans="2:9" ht="15" customHeight="1" x14ac:dyDescent="0.2">
      <c r="B70" t="s">
        <v>314</v>
      </c>
      <c r="C70" s="12">
        <v>2</v>
      </c>
      <c r="D70" s="8">
        <v>1.42</v>
      </c>
      <c r="E70" s="12">
        <v>2</v>
      </c>
      <c r="F70" s="8">
        <v>2.5299999999999998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336</v>
      </c>
      <c r="C71" s="12">
        <v>2</v>
      </c>
      <c r="D71" s="8">
        <v>1.42</v>
      </c>
      <c r="E71" s="12">
        <v>1</v>
      </c>
      <c r="F71" s="8">
        <v>1.27</v>
      </c>
      <c r="G71" s="12">
        <v>1</v>
      </c>
      <c r="H71" s="8">
        <v>1.75</v>
      </c>
      <c r="I71" s="12">
        <v>0</v>
      </c>
    </row>
    <row r="72" spans="2:9" ht="15" customHeight="1" x14ac:dyDescent="0.2">
      <c r="B72" t="s">
        <v>366</v>
      </c>
      <c r="C72" s="12">
        <v>2</v>
      </c>
      <c r="D72" s="8">
        <v>1.42</v>
      </c>
      <c r="E72" s="12">
        <v>1</v>
      </c>
      <c r="F72" s="8">
        <v>1.27</v>
      </c>
      <c r="G72" s="12">
        <v>1</v>
      </c>
      <c r="H72" s="8">
        <v>1.75</v>
      </c>
      <c r="I72" s="12">
        <v>0</v>
      </c>
    </row>
    <row r="73" spans="2:9" ht="15" customHeight="1" x14ac:dyDescent="0.2">
      <c r="B73" t="s">
        <v>332</v>
      </c>
      <c r="C73" s="12">
        <v>2</v>
      </c>
      <c r="D73" s="8">
        <v>1.42</v>
      </c>
      <c r="E73" s="12">
        <v>2</v>
      </c>
      <c r="F73" s="8">
        <v>2.5299999999999998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329</v>
      </c>
      <c r="C74" s="12">
        <v>2</v>
      </c>
      <c r="D74" s="8">
        <v>1.42</v>
      </c>
      <c r="E74" s="12">
        <v>2</v>
      </c>
      <c r="F74" s="8">
        <v>2.5299999999999998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292</v>
      </c>
      <c r="C75" s="12">
        <v>2</v>
      </c>
      <c r="D75" s="8">
        <v>1.42</v>
      </c>
      <c r="E75" s="12">
        <v>1</v>
      </c>
      <c r="F75" s="8">
        <v>1.27</v>
      </c>
      <c r="G75" s="12">
        <v>1</v>
      </c>
      <c r="H75" s="8">
        <v>1.75</v>
      </c>
      <c r="I75" s="12">
        <v>0</v>
      </c>
    </row>
    <row r="76" spans="2:9" ht="15" customHeight="1" x14ac:dyDescent="0.2">
      <c r="B76" t="s">
        <v>401</v>
      </c>
      <c r="C76" s="12">
        <v>2</v>
      </c>
      <c r="D76" s="8">
        <v>1.42</v>
      </c>
      <c r="E76" s="12">
        <v>1</v>
      </c>
      <c r="F76" s="8">
        <v>1.27</v>
      </c>
      <c r="G76" s="12">
        <v>1</v>
      </c>
      <c r="H76" s="8">
        <v>1.75</v>
      </c>
      <c r="I76" s="12">
        <v>0</v>
      </c>
    </row>
    <row r="77" spans="2:9" ht="15" customHeight="1" x14ac:dyDescent="0.2">
      <c r="B77" t="s">
        <v>402</v>
      </c>
      <c r="C77" s="12">
        <v>2</v>
      </c>
      <c r="D77" s="8">
        <v>1.42</v>
      </c>
      <c r="E77" s="12">
        <v>1</v>
      </c>
      <c r="F77" s="8">
        <v>1.27</v>
      </c>
      <c r="G77" s="12">
        <v>1</v>
      </c>
      <c r="H77" s="8">
        <v>1.75</v>
      </c>
      <c r="I77" s="12">
        <v>0</v>
      </c>
    </row>
    <row r="78" spans="2:9" ht="15" customHeight="1" x14ac:dyDescent="0.2">
      <c r="B78" t="s">
        <v>294</v>
      </c>
      <c r="C78" s="12">
        <v>2</v>
      </c>
      <c r="D78" s="8">
        <v>1.42</v>
      </c>
      <c r="E78" s="12">
        <v>1</v>
      </c>
      <c r="F78" s="8">
        <v>1.27</v>
      </c>
      <c r="G78" s="12">
        <v>1</v>
      </c>
      <c r="H78" s="8">
        <v>1.75</v>
      </c>
      <c r="I78" s="12">
        <v>0</v>
      </c>
    </row>
    <row r="79" spans="2:9" ht="15" customHeight="1" x14ac:dyDescent="0.2">
      <c r="B79" t="s">
        <v>338</v>
      </c>
      <c r="C79" s="12">
        <v>2</v>
      </c>
      <c r="D79" s="8">
        <v>1.42</v>
      </c>
      <c r="E79" s="12">
        <v>2</v>
      </c>
      <c r="F79" s="8">
        <v>2.5299999999999998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297</v>
      </c>
      <c r="C80" s="12">
        <v>2</v>
      </c>
      <c r="D80" s="8">
        <v>1.42</v>
      </c>
      <c r="E80" s="12">
        <v>2</v>
      </c>
      <c r="F80" s="8">
        <v>2.5299999999999998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300</v>
      </c>
      <c r="C81" s="12">
        <v>2</v>
      </c>
      <c r="D81" s="8">
        <v>1.42</v>
      </c>
      <c r="E81" s="12">
        <v>2</v>
      </c>
      <c r="F81" s="8">
        <v>2.5299999999999998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302</v>
      </c>
      <c r="C82" s="12">
        <v>2</v>
      </c>
      <c r="D82" s="8">
        <v>1.42</v>
      </c>
      <c r="E82" s="12">
        <v>2</v>
      </c>
      <c r="F82" s="8">
        <v>2.5299999999999998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325</v>
      </c>
      <c r="C83" s="12">
        <v>2</v>
      </c>
      <c r="D83" s="8">
        <v>1.42</v>
      </c>
      <c r="E83" s="12">
        <v>0</v>
      </c>
      <c r="F83" s="8">
        <v>0</v>
      </c>
      <c r="G83" s="12">
        <v>2</v>
      </c>
      <c r="H83" s="8">
        <v>3.51</v>
      </c>
      <c r="I83" s="12">
        <v>0</v>
      </c>
    </row>
    <row r="84" spans="2:9" ht="15" customHeight="1" x14ac:dyDescent="0.2">
      <c r="B84" t="s">
        <v>352</v>
      </c>
      <c r="C84" s="12">
        <v>2</v>
      </c>
      <c r="D84" s="8">
        <v>1.42</v>
      </c>
      <c r="E84" s="12">
        <v>2</v>
      </c>
      <c r="F84" s="8">
        <v>2.5299999999999998</v>
      </c>
      <c r="G84" s="12">
        <v>0</v>
      </c>
      <c r="H84" s="8">
        <v>0</v>
      </c>
      <c r="I84" s="12">
        <v>0</v>
      </c>
    </row>
    <row r="86" spans="2:9" ht="15" customHeight="1" x14ac:dyDescent="0.2">
      <c r="B8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64B8B-E3D5-4A9E-A564-BA6169BF6EEF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</v>
      </c>
      <c r="D6" s="8">
        <v>12.9</v>
      </c>
      <c r="E6" s="12">
        <v>0</v>
      </c>
      <c r="F6" s="8">
        <v>0</v>
      </c>
      <c r="G6" s="12">
        <v>4</v>
      </c>
      <c r="H6" s="8">
        <v>22.22</v>
      </c>
      <c r="I6" s="12">
        <v>0</v>
      </c>
    </row>
    <row r="7" spans="2:9" ht="15" customHeight="1" x14ac:dyDescent="0.2">
      <c r="B7" t="s">
        <v>192</v>
      </c>
      <c r="C7" s="12">
        <v>3</v>
      </c>
      <c r="D7" s="8">
        <v>9.68</v>
      </c>
      <c r="E7" s="12">
        <v>1</v>
      </c>
      <c r="F7" s="8">
        <v>11.11</v>
      </c>
      <c r="G7" s="12">
        <v>2</v>
      </c>
      <c r="H7" s="8">
        <v>11.11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6.45</v>
      </c>
      <c r="E8" s="12">
        <v>0</v>
      </c>
      <c r="F8" s="8">
        <v>0</v>
      </c>
      <c r="G8" s="12">
        <v>1</v>
      </c>
      <c r="H8" s="8">
        <v>5.56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9.68</v>
      </c>
      <c r="E10" s="12">
        <v>0</v>
      </c>
      <c r="F10" s="8">
        <v>0</v>
      </c>
      <c r="G10" s="12">
        <v>3</v>
      </c>
      <c r="H10" s="8">
        <v>16.670000000000002</v>
      </c>
      <c r="I10" s="12">
        <v>0</v>
      </c>
    </row>
    <row r="11" spans="2:9" ht="15" customHeight="1" x14ac:dyDescent="0.2">
      <c r="B11" t="s">
        <v>196</v>
      </c>
      <c r="C11" s="12">
        <v>8</v>
      </c>
      <c r="D11" s="8">
        <v>25.81</v>
      </c>
      <c r="E11" s="12">
        <v>3</v>
      </c>
      <c r="F11" s="8">
        <v>33.33</v>
      </c>
      <c r="G11" s="12">
        <v>5</v>
      </c>
      <c r="H11" s="8">
        <v>27.78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6</v>
      </c>
      <c r="D15" s="8">
        <v>19.350000000000001</v>
      </c>
      <c r="E15" s="12">
        <v>4</v>
      </c>
      <c r="F15" s="8">
        <v>44.44</v>
      </c>
      <c r="G15" s="12">
        <v>2</v>
      </c>
      <c r="H15" s="8">
        <v>11.11</v>
      </c>
      <c r="I15" s="12">
        <v>0</v>
      </c>
    </row>
    <row r="16" spans="2:9" ht="15" customHeight="1" x14ac:dyDescent="0.2">
      <c r="B16" t="s">
        <v>201</v>
      </c>
      <c r="C16" s="12">
        <v>2</v>
      </c>
      <c r="D16" s="8">
        <v>6.45</v>
      </c>
      <c r="E16" s="12">
        <v>1</v>
      </c>
      <c r="F16" s="8">
        <v>11.11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3.23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3.23</v>
      </c>
      <c r="E18" s="12">
        <v>0</v>
      </c>
      <c r="F18" s="8">
        <v>0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1</v>
      </c>
      <c r="D19" s="8">
        <v>3.23</v>
      </c>
      <c r="E19" s="12">
        <v>0</v>
      </c>
      <c r="F19" s="8">
        <v>0</v>
      </c>
      <c r="G19" s="12">
        <v>1</v>
      </c>
      <c r="H19" s="8">
        <v>5.56</v>
      </c>
      <c r="I19" s="12">
        <v>0</v>
      </c>
    </row>
    <row r="20" spans="2:9" ht="15" customHeight="1" x14ac:dyDescent="0.2">
      <c r="B20" s="9" t="s">
        <v>529</v>
      </c>
      <c r="C20" s="12">
        <f>SUM(LTBL_01470[総数／事業所数])</f>
        <v>31</v>
      </c>
      <c r="E20" s="12">
        <f>SUBTOTAL(109,LTBL_01470[個人／事業所数])</f>
        <v>9</v>
      </c>
      <c r="G20" s="12">
        <f>SUBTOTAL(109,LTBL_01470[法人／事業所数])</f>
        <v>18</v>
      </c>
      <c r="I20" s="12">
        <f>SUBTOTAL(109,LTBL_01470[法人以外の団体／事業所数])</f>
        <v>0</v>
      </c>
    </row>
    <row r="21" spans="2:9" ht="15" customHeight="1" x14ac:dyDescent="0.2">
      <c r="E21" s="11">
        <f>LTBL_01470[[#Totals],[個人／事業所数]]/LTBL_01470[[#Totals],[総数／事業所数]]</f>
        <v>0.29032258064516131</v>
      </c>
      <c r="G21" s="11">
        <f>LTBL_01470[[#Totals],[法人／事業所数]]/LTBL_01470[[#Totals],[総数／事業所数]]</f>
        <v>0.58064516129032262</v>
      </c>
      <c r="I21" s="11">
        <f>LTBL_01470[[#Totals],[法人以外の団体／事業所数]]/LTBL_01470[[#Totals],[総数／事業所数]]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221</v>
      </c>
      <c r="C24" s="12">
        <v>4</v>
      </c>
      <c r="D24" s="8">
        <v>12.9</v>
      </c>
      <c r="E24" s="12">
        <v>2</v>
      </c>
      <c r="F24" s="8">
        <v>22.22</v>
      </c>
      <c r="G24" s="12">
        <v>2</v>
      </c>
      <c r="H24" s="8">
        <v>11.11</v>
      </c>
      <c r="I24" s="12">
        <v>0</v>
      </c>
    </row>
    <row r="25" spans="2:9" ht="15" customHeight="1" x14ac:dyDescent="0.2">
      <c r="B25" t="s">
        <v>227</v>
      </c>
      <c r="C25" s="12">
        <v>4</v>
      </c>
      <c r="D25" s="8">
        <v>12.9</v>
      </c>
      <c r="E25" s="12">
        <v>4</v>
      </c>
      <c r="F25" s="8">
        <v>44.44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213</v>
      </c>
      <c r="C26" s="12">
        <v>3</v>
      </c>
      <c r="D26" s="8">
        <v>9.68</v>
      </c>
      <c r="E26" s="12">
        <v>0</v>
      </c>
      <c r="F26" s="8">
        <v>0</v>
      </c>
      <c r="G26" s="12">
        <v>3</v>
      </c>
      <c r="H26" s="8">
        <v>16.670000000000002</v>
      </c>
      <c r="I26" s="12">
        <v>0</v>
      </c>
    </row>
    <row r="27" spans="2:9" ht="15" customHeight="1" x14ac:dyDescent="0.2">
      <c r="B27" t="s">
        <v>223</v>
      </c>
      <c r="C27" s="12">
        <v>3</v>
      </c>
      <c r="D27" s="8">
        <v>9.68</v>
      </c>
      <c r="E27" s="12">
        <v>0</v>
      </c>
      <c r="F27" s="8">
        <v>0</v>
      </c>
      <c r="G27" s="12">
        <v>3</v>
      </c>
      <c r="H27" s="8">
        <v>16.670000000000002</v>
      </c>
      <c r="I27" s="12">
        <v>0</v>
      </c>
    </row>
    <row r="28" spans="2:9" ht="15" customHeight="1" x14ac:dyDescent="0.2">
      <c r="B28" t="s">
        <v>241</v>
      </c>
      <c r="C28" s="12">
        <v>2</v>
      </c>
      <c r="D28" s="8">
        <v>6.45</v>
      </c>
      <c r="E28" s="12">
        <v>1</v>
      </c>
      <c r="F28" s="8">
        <v>11.11</v>
      </c>
      <c r="G28" s="12">
        <v>1</v>
      </c>
      <c r="H28" s="8">
        <v>5.56</v>
      </c>
      <c r="I28" s="12">
        <v>0</v>
      </c>
    </row>
    <row r="29" spans="2:9" ht="15" customHeight="1" x14ac:dyDescent="0.2">
      <c r="B29" t="s">
        <v>255</v>
      </c>
      <c r="C29" s="12">
        <v>2</v>
      </c>
      <c r="D29" s="8">
        <v>6.45</v>
      </c>
      <c r="E29" s="12">
        <v>0</v>
      </c>
      <c r="F29" s="8">
        <v>0</v>
      </c>
      <c r="G29" s="12">
        <v>1</v>
      </c>
      <c r="H29" s="8">
        <v>5.56</v>
      </c>
      <c r="I29" s="12">
        <v>0</v>
      </c>
    </row>
    <row r="30" spans="2:9" ht="15" customHeight="1" x14ac:dyDescent="0.2">
      <c r="B30" t="s">
        <v>238</v>
      </c>
      <c r="C30" s="12">
        <v>2</v>
      </c>
      <c r="D30" s="8">
        <v>6.45</v>
      </c>
      <c r="E30" s="12">
        <v>0</v>
      </c>
      <c r="F30" s="8">
        <v>0</v>
      </c>
      <c r="G30" s="12">
        <v>2</v>
      </c>
      <c r="H30" s="8">
        <v>11.11</v>
      </c>
      <c r="I30" s="12">
        <v>0</v>
      </c>
    </row>
    <row r="31" spans="2:9" ht="15" customHeight="1" x14ac:dyDescent="0.2">
      <c r="B31" t="s">
        <v>243</v>
      </c>
      <c r="C31" s="12">
        <v>2</v>
      </c>
      <c r="D31" s="8">
        <v>6.45</v>
      </c>
      <c r="E31" s="12">
        <v>0</v>
      </c>
      <c r="F31" s="8">
        <v>0</v>
      </c>
      <c r="G31" s="12">
        <v>2</v>
      </c>
      <c r="H31" s="8">
        <v>11.11</v>
      </c>
      <c r="I31" s="12">
        <v>0</v>
      </c>
    </row>
    <row r="32" spans="2:9" ht="15" customHeight="1" x14ac:dyDescent="0.2">
      <c r="B32" t="s">
        <v>215</v>
      </c>
      <c r="C32" s="12">
        <v>1</v>
      </c>
      <c r="D32" s="8">
        <v>3.23</v>
      </c>
      <c r="E32" s="12">
        <v>0</v>
      </c>
      <c r="F32" s="8">
        <v>0</v>
      </c>
      <c r="G32" s="12">
        <v>1</v>
      </c>
      <c r="H32" s="8">
        <v>5.56</v>
      </c>
      <c r="I32" s="12">
        <v>0</v>
      </c>
    </row>
    <row r="33" spans="2:9" ht="15" customHeight="1" x14ac:dyDescent="0.2">
      <c r="B33" t="s">
        <v>244</v>
      </c>
      <c r="C33" s="12">
        <v>1</v>
      </c>
      <c r="D33" s="8">
        <v>3.23</v>
      </c>
      <c r="E33" s="12">
        <v>0</v>
      </c>
      <c r="F33" s="8">
        <v>0</v>
      </c>
      <c r="G33" s="12">
        <v>1</v>
      </c>
      <c r="H33" s="8">
        <v>5.56</v>
      </c>
      <c r="I33" s="12">
        <v>0</v>
      </c>
    </row>
    <row r="34" spans="2:9" ht="15" customHeight="1" x14ac:dyDescent="0.2">
      <c r="B34" t="s">
        <v>280</v>
      </c>
      <c r="C34" s="12">
        <v>1</v>
      </c>
      <c r="D34" s="8">
        <v>3.23</v>
      </c>
      <c r="E34" s="12">
        <v>0</v>
      </c>
      <c r="F34" s="8">
        <v>0</v>
      </c>
      <c r="G34" s="12">
        <v>1</v>
      </c>
      <c r="H34" s="8">
        <v>5.56</v>
      </c>
      <c r="I34" s="12">
        <v>0</v>
      </c>
    </row>
    <row r="35" spans="2:9" ht="15" customHeight="1" x14ac:dyDescent="0.2">
      <c r="B35" t="s">
        <v>220</v>
      </c>
      <c r="C35" s="12">
        <v>1</v>
      </c>
      <c r="D35" s="8">
        <v>3.23</v>
      </c>
      <c r="E35" s="12">
        <v>1</v>
      </c>
      <c r="F35" s="8">
        <v>11.11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228</v>
      </c>
      <c r="C36" s="12">
        <v>1</v>
      </c>
      <c r="D36" s="8">
        <v>3.23</v>
      </c>
      <c r="E36" s="12">
        <v>1</v>
      </c>
      <c r="F36" s="8">
        <v>11.11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247</v>
      </c>
      <c r="C37" s="12">
        <v>1</v>
      </c>
      <c r="D37" s="8">
        <v>3.23</v>
      </c>
      <c r="E37" s="12">
        <v>0</v>
      </c>
      <c r="F37" s="8">
        <v>0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230</v>
      </c>
      <c r="C38" s="12">
        <v>1</v>
      </c>
      <c r="D38" s="8">
        <v>3.23</v>
      </c>
      <c r="E38" s="12">
        <v>0</v>
      </c>
      <c r="F38" s="8">
        <v>0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232</v>
      </c>
      <c r="C39" s="12">
        <v>1</v>
      </c>
      <c r="D39" s="8">
        <v>3.23</v>
      </c>
      <c r="E39" s="12">
        <v>0</v>
      </c>
      <c r="F39" s="8">
        <v>0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240</v>
      </c>
      <c r="C40" s="12">
        <v>1</v>
      </c>
      <c r="D40" s="8">
        <v>3.23</v>
      </c>
      <c r="E40" s="12">
        <v>0</v>
      </c>
      <c r="F40" s="8">
        <v>0</v>
      </c>
      <c r="G40" s="12">
        <v>1</v>
      </c>
      <c r="H40" s="8">
        <v>5.56</v>
      </c>
      <c r="I40" s="12">
        <v>0</v>
      </c>
    </row>
    <row r="43" spans="2:9" ht="33" customHeight="1" x14ac:dyDescent="0.2">
      <c r="B43" t="s">
        <v>531</v>
      </c>
      <c r="C43" s="10" t="s">
        <v>206</v>
      </c>
      <c r="D43" s="10" t="s">
        <v>207</v>
      </c>
      <c r="E43" s="10" t="s">
        <v>208</v>
      </c>
      <c r="F43" s="10" t="s">
        <v>209</v>
      </c>
      <c r="G43" s="10" t="s">
        <v>210</v>
      </c>
      <c r="H43" s="10" t="s">
        <v>211</v>
      </c>
      <c r="I43" s="10" t="s">
        <v>212</v>
      </c>
    </row>
    <row r="44" spans="2:9" ht="15" customHeight="1" x14ac:dyDescent="0.2">
      <c r="B44" t="s">
        <v>351</v>
      </c>
      <c r="C44" s="12">
        <v>2</v>
      </c>
      <c r="D44" s="8">
        <v>6.45</v>
      </c>
      <c r="E44" s="12">
        <v>1</v>
      </c>
      <c r="F44" s="8">
        <v>11.11</v>
      </c>
      <c r="G44" s="12">
        <v>1</v>
      </c>
      <c r="H44" s="8">
        <v>5.56</v>
      </c>
      <c r="I44" s="12">
        <v>0</v>
      </c>
    </row>
    <row r="45" spans="2:9" ht="15" customHeight="1" x14ac:dyDescent="0.2">
      <c r="B45" t="s">
        <v>466</v>
      </c>
      <c r="C45" s="12">
        <v>2</v>
      </c>
      <c r="D45" s="8">
        <v>6.45</v>
      </c>
      <c r="E45" s="12">
        <v>0</v>
      </c>
      <c r="F45" s="8">
        <v>0</v>
      </c>
      <c r="G45" s="12">
        <v>2</v>
      </c>
      <c r="H45" s="8">
        <v>11.11</v>
      </c>
      <c r="I45" s="12">
        <v>0</v>
      </c>
    </row>
    <row r="46" spans="2:9" ht="15" customHeight="1" x14ac:dyDescent="0.2">
      <c r="B46" t="s">
        <v>292</v>
      </c>
      <c r="C46" s="12">
        <v>2</v>
      </c>
      <c r="D46" s="8">
        <v>6.45</v>
      </c>
      <c r="E46" s="12">
        <v>1</v>
      </c>
      <c r="F46" s="8">
        <v>11.11</v>
      </c>
      <c r="G46" s="12">
        <v>1</v>
      </c>
      <c r="H46" s="8">
        <v>5.56</v>
      </c>
      <c r="I46" s="12">
        <v>0</v>
      </c>
    </row>
    <row r="47" spans="2:9" ht="15" customHeight="1" x14ac:dyDescent="0.2">
      <c r="B47" t="s">
        <v>330</v>
      </c>
      <c r="C47" s="12">
        <v>2</v>
      </c>
      <c r="D47" s="8">
        <v>6.45</v>
      </c>
      <c r="E47" s="12">
        <v>0</v>
      </c>
      <c r="F47" s="8">
        <v>0</v>
      </c>
      <c r="G47" s="12">
        <v>2</v>
      </c>
      <c r="H47" s="8">
        <v>11.11</v>
      </c>
      <c r="I47" s="12">
        <v>0</v>
      </c>
    </row>
    <row r="48" spans="2:9" ht="15" customHeight="1" x14ac:dyDescent="0.2">
      <c r="B48" t="s">
        <v>288</v>
      </c>
      <c r="C48" s="12">
        <v>1</v>
      </c>
      <c r="D48" s="8">
        <v>3.23</v>
      </c>
      <c r="E48" s="12">
        <v>0</v>
      </c>
      <c r="F48" s="8">
        <v>0</v>
      </c>
      <c r="G48" s="12">
        <v>1</v>
      </c>
      <c r="H48" s="8">
        <v>5.56</v>
      </c>
      <c r="I48" s="12">
        <v>0</v>
      </c>
    </row>
    <row r="49" spans="2:9" ht="15" customHeight="1" x14ac:dyDescent="0.2">
      <c r="B49" t="s">
        <v>398</v>
      </c>
      <c r="C49" s="12">
        <v>1</v>
      </c>
      <c r="D49" s="8">
        <v>3.23</v>
      </c>
      <c r="E49" s="12">
        <v>0</v>
      </c>
      <c r="F49" s="8">
        <v>0</v>
      </c>
      <c r="G49" s="12">
        <v>1</v>
      </c>
      <c r="H49" s="8">
        <v>5.56</v>
      </c>
      <c r="I49" s="12">
        <v>0</v>
      </c>
    </row>
    <row r="50" spans="2:9" ht="15" customHeight="1" x14ac:dyDescent="0.2">
      <c r="B50" t="s">
        <v>289</v>
      </c>
      <c r="C50" s="12">
        <v>1</v>
      </c>
      <c r="D50" s="8">
        <v>3.23</v>
      </c>
      <c r="E50" s="12">
        <v>0</v>
      </c>
      <c r="F50" s="8">
        <v>0</v>
      </c>
      <c r="G50" s="12">
        <v>1</v>
      </c>
      <c r="H50" s="8">
        <v>5.56</v>
      </c>
      <c r="I50" s="12">
        <v>0</v>
      </c>
    </row>
    <row r="51" spans="2:9" ht="15" customHeight="1" x14ac:dyDescent="0.2">
      <c r="B51" t="s">
        <v>291</v>
      </c>
      <c r="C51" s="12">
        <v>1</v>
      </c>
      <c r="D51" s="8">
        <v>3.23</v>
      </c>
      <c r="E51" s="12">
        <v>0</v>
      </c>
      <c r="F51" s="8">
        <v>0</v>
      </c>
      <c r="G51" s="12">
        <v>1</v>
      </c>
      <c r="H51" s="8">
        <v>5.56</v>
      </c>
      <c r="I51" s="12">
        <v>0</v>
      </c>
    </row>
    <row r="52" spans="2:9" ht="15" customHeight="1" x14ac:dyDescent="0.2">
      <c r="B52" t="s">
        <v>384</v>
      </c>
      <c r="C52" s="12">
        <v>1</v>
      </c>
      <c r="D52" s="8">
        <v>3.23</v>
      </c>
      <c r="E52" s="12">
        <v>0</v>
      </c>
      <c r="F52" s="8">
        <v>0</v>
      </c>
      <c r="G52" s="12">
        <v>1</v>
      </c>
      <c r="H52" s="8">
        <v>5.56</v>
      </c>
      <c r="I52" s="12">
        <v>0</v>
      </c>
    </row>
    <row r="53" spans="2:9" ht="15" customHeight="1" x14ac:dyDescent="0.2">
      <c r="B53" t="s">
        <v>362</v>
      </c>
      <c r="C53" s="12">
        <v>1</v>
      </c>
      <c r="D53" s="8">
        <v>3.23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407</v>
      </c>
      <c r="C54" s="12">
        <v>1</v>
      </c>
      <c r="D54" s="8">
        <v>3.23</v>
      </c>
      <c r="E54" s="12">
        <v>0</v>
      </c>
      <c r="F54" s="8">
        <v>0</v>
      </c>
      <c r="G54" s="12">
        <v>1</v>
      </c>
      <c r="H54" s="8">
        <v>5.56</v>
      </c>
      <c r="I54" s="12">
        <v>0</v>
      </c>
    </row>
    <row r="55" spans="2:9" ht="15" customHeight="1" x14ac:dyDescent="0.2">
      <c r="B55" t="s">
        <v>490</v>
      </c>
      <c r="C55" s="12">
        <v>1</v>
      </c>
      <c r="D55" s="8">
        <v>3.23</v>
      </c>
      <c r="E55" s="12">
        <v>0</v>
      </c>
      <c r="F55" s="8">
        <v>0</v>
      </c>
      <c r="G55" s="12">
        <v>1</v>
      </c>
      <c r="H55" s="8">
        <v>5.56</v>
      </c>
      <c r="I55" s="12">
        <v>0</v>
      </c>
    </row>
    <row r="56" spans="2:9" ht="15" customHeight="1" x14ac:dyDescent="0.2">
      <c r="B56" t="s">
        <v>382</v>
      </c>
      <c r="C56" s="12">
        <v>1</v>
      </c>
      <c r="D56" s="8">
        <v>3.23</v>
      </c>
      <c r="E56" s="12">
        <v>1</v>
      </c>
      <c r="F56" s="8">
        <v>11.11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354</v>
      </c>
      <c r="C57" s="12">
        <v>1</v>
      </c>
      <c r="D57" s="8">
        <v>3.23</v>
      </c>
      <c r="E57" s="12">
        <v>0</v>
      </c>
      <c r="F57" s="8">
        <v>0</v>
      </c>
      <c r="G57" s="12">
        <v>1</v>
      </c>
      <c r="H57" s="8">
        <v>5.56</v>
      </c>
      <c r="I57" s="12">
        <v>0</v>
      </c>
    </row>
    <row r="58" spans="2:9" ht="15" customHeight="1" x14ac:dyDescent="0.2">
      <c r="B58" t="s">
        <v>329</v>
      </c>
      <c r="C58" s="12">
        <v>1</v>
      </c>
      <c r="D58" s="8">
        <v>3.23</v>
      </c>
      <c r="E58" s="12">
        <v>1</v>
      </c>
      <c r="F58" s="8">
        <v>11.11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294</v>
      </c>
      <c r="C59" s="12">
        <v>1</v>
      </c>
      <c r="D59" s="8">
        <v>3.23</v>
      </c>
      <c r="E59" s="12">
        <v>0</v>
      </c>
      <c r="F59" s="8">
        <v>0</v>
      </c>
      <c r="G59" s="12">
        <v>1</v>
      </c>
      <c r="H59" s="8">
        <v>5.56</v>
      </c>
      <c r="I59" s="12">
        <v>0</v>
      </c>
    </row>
    <row r="60" spans="2:9" ht="15" customHeight="1" x14ac:dyDescent="0.2">
      <c r="B60" t="s">
        <v>339</v>
      </c>
      <c r="C60" s="12">
        <v>1</v>
      </c>
      <c r="D60" s="8">
        <v>3.23</v>
      </c>
      <c r="E60" s="12">
        <v>0</v>
      </c>
      <c r="F60" s="8">
        <v>0</v>
      </c>
      <c r="G60" s="12">
        <v>1</v>
      </c>
      <c r="H60" s="8">
        <v>5.56</v>
      </c>
      <c r="I60" s="12">
        <v>0</v>
      </c>
    </row>
    <row r="61" spans="2:9" ht="15" customHeight="1" x14ac:dyDescent="0.2">
      <c r="B61" t="s">
        <v>422</v>
      </c>
      <c r="C61" s="12">
        <v>1</v>
      </c>
      <c r="D61" s="8">
        <v>3.23</v>
      </c>
      <c r="E61" s="12">
        <v>0</v>
      </c>
      <c r="F61" s="8">
        <v>0</v>
      </c>
      <c r="G61" s="12">
        <v>1</v>
      </c>
      <c r="H61" s="8">
        <v>5.56</v>
      </c>
      <c r="I61" s="12">
        <v>0</v>
      </c>
    </row>
    <row r="62" spans="2:9" ht="15" customHeight="1" x14ac:dyDescent="0.2">
      <c r="B62" t="s">
        <v>334</v>
      </c>
      <c r="C62" s="12">
        <v>1</v>
      </c>
      <c r="D62" s="8">
        <v>3.23</v>
      </c>
      <c r="E62" s="12">
        <v>1</v>
      </c>
      <c r="F62" s="8">
        <v>11.11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299</v>
      </c>
      <c r="C63" s="12">
        <v>1</v>
      </c>
      <c r="D63" s="8">
        <v>3.23</v>
      </c>
      <c r="E63" s="12">
        <v>1</v>
      </c>
      <c r="F63" s="8">
        <v>11.11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300</v>
      </c>
      <c r="C64" s="12">
        <v>1</v>
      </c>
      <c r="D64" s="8">
        <v>3.23</v>
      </c>
      <c r="E64" s="12">
        <v>1</v>
      </c>
      <c r="F64" s="8">
        <v>11.11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302</v>
      </c>
      <c r="C65" s="12">
        <v>1</v>
      </c>
      <c r="D65" s="8">
        <v>3.23</v>
      </c>
      <c r="E65" s="12">
        <v>1</v>
      </c>
      <c r="F65" s="8">
        <v>11.11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304</v>
      </c>
      <c r="C66" s="12">
        <v>1</v>
      </c>
      <c r="D66" s="8">
        <v>3.23</v>
      </c>
      <c r="E66" s="12">
        <v>1</v>
      </c>
      <c r="F66" s="8">
        <v>11.11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411</v>
      </c>
      <c r="C67" s="12">
        <v>1</v>
      </c>
      <c r="D67" s="8">
        <v>3.23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340</v>
      </c>
      <c r="C68" s="12">
        <v>1</v>
      </c>
      <c r="D68" s="8">
        <v>3.23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341</v>
      </c>
      <c r="C69" s="12">
        <v>1</v>
      </c>
      <c r="D69" s="8">
        <v>3.23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307</v>
      </c>
      <c r="C70" s="12">
        <v>1</v>
      </c>
      <c r="D70" s="8">
        <v>3.23</v>
      </c>
      <c r="E70" s="12">
        <v>0</v>
      </c>
      <c r="F70" s="8">
        <v>0</v>
      </c>
      <c r="G70" s="12">
        <v>1</v>
      </c>
      <c r="H70" s="8">
        <v>5.56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E9E1E-0537-49D6-A8EE-8FEEC6B5EADA}">
  <sheetPr>
    <pageSetUpPr fitToPage="1"/>
  </sheetPr>
  <dimension ref="B2:I11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</v>
      </c>
      <c r="D6" s="8">
        <v>5.97</v>
      </c>
      <c r="E6" s="12">
        <v>1</v>
      </c>
      <c r="F6" s="8">
        <v>3.03</v>
      </c>
      <c r="G6" s="12">
        <v>3</v>
      </c>
      <c r="H6" s="8">
        <v>9.3800000000000008</v>
      </c>
      <c r="I6" s="12">
        <v>0</v>
      </c>
    </row>
    <row r="7" spans="2:9" ht="15" customHeight="1" x14ac:dyDescent="0.2">
      <c r="B7" t="s">
        <v>192</v>
      </c>
      <c r="C7" s="12">
        <v>11</v>
      </c>
      <c r="D7" s="8">
        <v>16.420000000000002</v>
      </c>
      <c r="E7" s="12">
        <v>5</v>
      </c>
      <c r="F7" s="8">
        <v>15.15</v>
      </c>
      <c r="G7" s="12">
        <v>6</v>
      </c>
      <c r="H7" s="8">
        <v>18.75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1.49</v>
      </c>
      <c r="E8" s="12">
        <v>0</v>
      </c>
      <c r="F8" s="8">
        <v>0</v>
      </c>
      <c r="G8" s="12">
        <v>1</v>
      </c>
      <c r="H8" s="8">
        <v>3.13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2.99</v>
      </c>
      <c r="E10" s="12">
        <v>0</v>
      </c>
      <c r="F10" s="8">
        <v>0</v>
      </c>
      <c r="G10" s="12">
        <v>1</v>
      </c>
      <c r="H10" s="8">
        <v>3.13</v>
      </c>
      <c r="I10" s="12">
        <v>1</v>
      </c>
    </row>
    <row r="11" spans="2:9" ht="15" customHeight="1" x14ac:dyDescent="0.2">
      <c r="B11" t="s">
        <v>196</v>
      </c>
      <c r="C11" s="12">
        <v>20</v>
      </c>
      <c r="D11" s="8">
        <v>29.85</v>
      </c>
      <c r="E11" s="12">
        <v>11</v>
      </c>
      <c r="F11" s="8">
        <v>33.33</v>
      </c>
      <c r="G11" s="12">
        <v>9</v>
      </c>
      <c r="H11" s="8">
        <v>28.13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1.49</v>
      </c>
      <c r="E12" s="12">
        <v>0</v>
      </c>
      <c r="F12" s="8">
        <v>0</v>
      </c>
      <c r="G12" s="12">
        <v>1</v>
      </c>
      <c r="H12" s="8">
        <v>3.13</v>
      </c>
      <c r="I12" s="12">
        <v>0</v>
      </c>
    </row>
    <row r="13" spans="2:9" ht="15" customHeight="1" x14ac:dyDescent="0.2">
      <c r="B13" t="s">
        <v>198</v>
      </c>
      <c r="C13" s="12">
        <v>4</v>
      </c>
      <c r="D13" s="8">
        <v>5.97</v>
      </c>
      <c r="E13" s="12">
        <v>1</v>
      </c>
      <c r="F13" s="8">
        <v>3.03</v>
      </c>
      <c r="G13" s="12">
        <v>3</v>
      </c>
      <c r="H13" s="8">
        <v>9.3800000000000008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4.4800000000000004</v>
      </c>
      <c r="E14" s="12">
        <v>1</v>
      </c>
      <c r="F14" s="8">
        <v>3.03</v>
      </c>
      <c r="G14" s="12">
        <v>2</v>
      </c>
      <c r="H14" s="8">
        <v>6.25</v>
      </c>
      <c r="I14" s="12">
        <v>0</v>
      </c>
    </row>
    <row r="15" spans="2:9" ht="15" customHeight="1" x14ac:dyDescent="0.2">
      <c r="B15" t="s">
        <v>200</v>
      </c>
      <c r="C15" s="12">
        <v>9</v>
      </c>
      <c r="D15" s="8">
        <v>13.43</v>
      </c>
      <c r="E15" s="12">
        <v>7</v>
      </c>
      <c r="F15" s="8">
        <v>21.21</v>
      </c>
      <c r="G15" s="12">
        <v>2</v>
      </c>
      <c r="H15" s="8">
        <v>6.25</v>
      </c>
      <c r="I15" s="12">
        <v>0</v>
      </c>
    </row>
    <row r="16" spans="2:9" ht="15" customHeight="1" x14ac:dyDescent="0.2">
      <c r="B16" t="s">
        <v>201</v>
      </c>
      <c r="C16" s="12">
        <v>7</v>
      </c>
      <c r="D16" s="8">
        <v>10.45</v>
      </c>
      <c r="E16" s="12">
        <v>6</v>
      </c>
      <c r="F16" s="8">
        <v>18.18</v>
      </c>
      <c r="G16" s="12">
        <v>1</v>
      </c>
      <c r="H16" s="8">
        <v>3.13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2.99</v>
      </c>
      <c r="E17" s="12">
        <v>0</v>
      </c>
      <c r="F17" s="8">
        <v>0</v>
      </c>
      <c r="G17" s="12">
        <v>1</v>
      </c>
      <c r="H17" s="8">
        <v>3.13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1.49</v>
      </c>
      <c r="E18" s="12">
        <v>0</v>
      </c>
      <c r="F18" s="8">
        <v>0</v>
      </c>
      <c r="G18" s="12">
        <v>1</v>
      </c>
      <c r="H18" s="8">
        <v>3.13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2.99</v>
      </c>
      <c r="E19" s="12">
        <v>1</v>
      </c>
      <c r="F19" s="8">
        <v>3.03</v>
      </c>
      <c r="G19" s="12">
        <v>1</v>
      </c>
      <c r="H19" s="8">
        <v>3.13</v>
      </c>
      <c r="I19" s="12">
        <v>0</v>
      </c>
    </row>
    <row r="20" spans="2:9" ht="15" customHeight="1" x14ac:dyDescent="0.2">
      <c r="B20" s="9" t="s">
        <v>529</v>
      </c>
      <c r="C20" s="12">
        <f>SUM(LTBL_01471[総数／事業所数])</f>
        <v>67</v>
      </c>
      <c r="E20" s="12">
        <f>SUBTOTAL(109,LTBL_01471[個人／事業所数])</f>
        <v>33</v>
      </c>
      <c r="G20" s="12">
        <f>SUBTOTAL(109,LTBL_01471[法人／事業所数])</f>
        <v>32</v>
      </c>
      <c r="I20" s="12">
        <f>SUBTOTAL(109,LTBL_01471[法人以外の団体／事業所数])</f>
        <v>1</v>
      </c>
    </row>
    <row r="21" spans="2:9" ht="15" customHeight="1" x14ac:dyDescent="0.2">
      <c r="E21" s="11">
        <f>LTBL_01471[[#Totals],[個人／事業所数]]/LTBL_01471[[#Totals],[総数／事業所数]]</f>
        <v>0.4925373134328358</v>
      </c>
      <c r="G21" s="11">
        <f>LTBL_01471[[#Totals],[法人／事業所数]]/LTBL_01471[[#Totals],[総数／事業所数]]</f>
        <v>0.47761194029850745</v>
      </c>
      <c r="I21" s="11">
        <f>LTBL_01471[[#Totals],[法人以外の団体／事業所数]]/LTBL_01471[[#Totals],[総数／事業所数]]</f>
        <v>1.4925373134328358E-2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7</v>
      </c>
      <c r="D24" s="8">
        <v>10.45</v>
      </c>
      <c r="E24" s="12">
        <v>2</v>
      </c>
      <c r="F24" s="8">
        <v>6.06</v>
      </c>
      <c r="G24" s="12">
        <v>5</v>
      </c>
      <c r="H24" s="8">
        <v>15.63</v>
      </c>
      <c r="I24" s="12">
        <v>0</v>
      </c>
    </row>
    <row r="25" spans="2:9" ht="15" customHeight="1" x14ac:dyDescent="0.2">
      <c r="B25" t="s">
        <v>227</v>
      </c>
      <c r="C25" s="12">
        <v>7</v>
      </c>
      <c r="D25" s="8">
        <v>10.45</v>
      </c>
      <c r="E25" s="12">
        <v>7</v>
      </c>
      <c r="F25" s="8">
        <v>21.21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228</v>
      </c>
      <c r="C26" s="12">
        <v>5</v>
      </c>
      <c r="D26" s="8">
        <v>7.46</v>
      </c>
      <c r="E26" s="12">
        <v>5</v>
      </c>
      <c r="F26" s="8">
        <v>15.15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244</v>
      </c>
      <c r="C27" s="12">
        <v>4</v>
      </c>
      <c r="D27" s="8">
        <v>5.97</v>
      </c>
      <c r="E27" s="12">
        <v>4</v>
      </c>
      <c r="F27" s="8">
        <v>12.12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254</v>
      </c>
      <c r="C28" s="12">
        <v>4</v>
      </c>
      <c r="D28" s="8">
        <v>5.97</v>
      </c>
      <c r="E28" s="12">
        <v>0</v>
      </c>
      <c r="F28" s="8">
        <v>0</v>
      </c>
      <c r="G28" s="12">
        <v>4</v>
      </c>
      <c r="H28" s="8">
        <v>12.5</v>
      </c>
      <c r="I28" s="12">
        <v>0</v>
      </c>
    </row>
    <row r="29" spans="2:9" ht="15" customHeight="1" x14ac:dyDescent="0.2">
      <c r="B29" t="s">
        <v>221</v>
      </c>
      <c r="C29" s="12">
        <v>3</v>
      </c>
      <c r="D29" s="8">
        <v>4.4800000000000004</v>
      </c>
      <c r="E29" s="12">
        <v>1</v>
      </c>
      <c r="F29" s="8">
        <v>3.03</v>
      </c>
      <c r="G29" s="12">
        <v>2</v>
      </c>
      <c r="H29" s="8">
        <v>6.25</v>
      </c>
      <c r="I29" s="12">
        <v>0</v>
      </c>
    </row>
    <row r="30" spans="2:9" ht="15" customHeight="1" x14ac:dyDescent="0.2">
      <c r="B30" t="s">
        <v>222</v>
      </c>
      <c r="C30" s="12">
        <v>3</v>
      </c>
      <c r="D30" s="8">
        <v>4.4800000000000004</v>
      </c>
      <c r="E30" s="12">
        <v>1</v>
      </c>
      <c r="F30" s="8">
        <v>3.03</v>
      </c>
      <c r="G30" s="12">
        <v>2</v>
      </c>
      <c r="H30" s="8">
        <v>6.25</v>
      </c>
      <c r="I30" s="12">
        <v>0</v>
      </c>
    </row>
    <row r="31" spans="2:9" ht="15" customHeight="1" x14ac:dyDescent="0.2">
      <c r="B31" t="s">
        <v>213</v>
      </c>
      <c r="C31" s="12">
        <v>2</v>
      </c>
      <c r="D31" s="8">
        <v>2.99</v>
      </c>
      <c r="E31" s="12">
        <v>0</v>
      </c>
      <c r="F31" s="8">
        <v>0</v>
      </c>
      <c r="G31" s="12">
        <v>2</v>
      </c>
      <c r="H31" s="8">
        <v>6.25</v>
      </c>
      <c r="I31" s="12">
        <v>0</v>
      </c>
    </row>
    <row r="32" spans="2:9" ht="15" customHeight="1" x14ac:dyDescent="0.2">
      <c r="B32" t="s">
        <v>220</v>
      </c>
      <c r="C32" s="12">
        <v>2</v>
      </c>
      <c r="D32" s="8">
        <v>2.99</v>
      </c>
      <c r="E32" s="12">
        <v>2</v>
      </c>
      <c r="F32" s="8">
        <v>6.06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236</v>
      </c>
      <c r="C33" s="12">
        <v>2</v>
      </c>
      <c r="D33" s="8">
        <v>2.99</v>
      </c>
      <c r="E33" s="12">
        <v>2</v>
      </c>
      <c r="F33" s="8">
        <v>6.06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224</v>
      </c>
      <c r="C34" s="12">
        <v>2</v>
      </c>
      <c r="D34" s="8">
        <v>2.99</v>
      </c>
      <c r="E34" s="12">
        <v>0</v>
      </c>
      <c r="F34" s="8">
        <v>0</v>
      </c>
      <c r="G34" s="12">
        <v>2</v>
      </c>
      <c r="H34" s="8">
        <v>6.25</v>
      </c>
      <c r="I34" s="12">
        <v>0</v>
      </c>
    </row>
    <row r="35" spans="2:9" ht="15" customHeight="1" x14ac:dyDescent="0.2">
      <c r="B35" t="s">
        <v>246</v>
      </c>
      <c r="C35" s="12">
        <v>2</v>
      </c>
      <c r="D35" s="8">
        <v>2.99</v>
      </c>
      <c r="E35" s="12">
        <v>1</v>
      </c>
      <c r="F35" s="8">
        <v>3.03</v>
      </c>
      <c r="G35" s="12">
        <v>1</v>
      </c>
      <c r="H35" s="8">
        <v>3.13</v>
      </c>
      <c r="I35" s="12">
        <v>0</v>
      </c>
    </row>
    <row r="36" spans="2:9" ht="15" customHeight="1" x14ac:dyDescent="0.2">
      <c r="B36" t="s">
        <v>226</v>
      </c>
      <c r="C36" s="12">
        <v>2</v>
      </c>
      <c r="D36" s="8">
        <v>2.99</v>
      </c>
      <c r="E36" s="12">
        <v>1</v>
      </c>
      <c r="F36" s="8">
        <v>3.03</v>
      </c>
      <c r="G36" s="12">
        <v>1</v>
      </c>
      <c r="H36" s="8">
        <v>3.13</v>
      </c>
      <c r="I36" s="12">
        <v>0</v>
      </c>
    </row>
    <row r="37" spans="2:9" ht="15" customHeight="1" x14ac:dyDescent="0.2">
      <c r="B37" t="s">
        <v>230</v>
      </c>
      <c r="C37" s="12">
        <v>2</v>
      </c>
      <c r="D37" s="8">
        <v>2.99</v>
      </c>
      <c r="E37" s="12">
        <v>0</v>
      </c>
      <c r="F37" s="8">
        <v>0</v>
      </c>
      <c r="G37" s="12">
        <v>1</v>
      </c>
      <c r="H37" s="8">
        <v>3.13</v>
      </c>
      <c r="I37" s="12">
        <v>0</v>
      </c>
    </row>
    <row r="38" spans="2:9" ht="15" customHeight="1" x14ac:dyDescent="0.2">
      <c r="B38" t="s">
        <v>214</v>
      </c>
      <c r="C38" s="12">
        <v>1</v>
      </c>
      <c r="D38" s="8">
        <v>1.49</v>
      </c>
      <c r="E38" s="12">
        <v>1</v>
      </c>
      <c r="F38" s="8">
        <v>3.03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215</v>
      </c>
      <c r="C39" s="12">
        <v>1</v>
      </c>
      <c r="D39" s="8">
        <v>1.49</v>
      </c>
      <c r="E39" s="12">
        <v>0</v>
      </c>
      <c r="F39" s="8">
        <v>0</v>
      </c>
      <c r="G39" s="12">
        <v>1</v>
      </c>
      <c r="H39" s="8">
        <v>3.13</v>
      </c>
      <c r="I39" s="12">
        <v>0</v>
      </c>
    </row>
    <row r="40" spans="2:9" ht="15" customHeight="1" x14ac:dyDescent="0.2">
      <c r="B40" t="s">
        <v>241</v>
      </c>
      <c r="C40" s="12">
        <v>1</v>
      </c>
      <c r="D40" s="8">
        <v>1.49</v>
      </c>
      <c r="E40" s="12">
        <v>0</v>
      </c>
      <c r="F40" s="8">
        <v>0</v>
      </c>
      <c r="G40" s="12">
        <v>1</v>
      </c>
      <c r="H40" s="8">
        <v>3.13</v>
      </c>
      <c r="I40" s="12">
        <v>0</v>
      </c>
    </row>
    <row r="41" spans="2:9" ht="15" customHeight="1" x14ac:dyDescent="0.2">
      <c r="B41" t="s">
        <v>262</v>
      </c>
      <c r="C41" s="12">
        <v>1</v>
      </c>
      <c r="D41" s="8">
        <v>1.49</v>
      </c>
      <c r="E41" s="12">
        <v>0</v>
      </c>
      <c r="F41" s="8">
        <v>0</v>
      </c>
      <c r="G41" s="12">
        <v>1</v>
      </c>
      <c r="H41" s="8">
        <v>3.13</v>
      </c>
      <c r="I41" s="12">
        <v>0</v>
      </c>
    </row>
    <row r="42" spans="2:9" ht="15" customHeight="1" x14ac:dyDescent="0.2">
      <c r="B42" t="s">
        <v>253</v>
      </c>
      <c r="C42" s="12">
        <v>1</v>
      </c>
      <c r="D42" s="8">
        <v>1.49</v>
      </c>
      <c r="E42" s="12">
        <v>1</v>
      </c>
      <c r="F42" s="8">
        <v>3.03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255</v>
      </c>
      <c r="C43" s="12">
        <v>1</v>
      </c>
      <c r="D43" s="8">
        <v>1.49</v>
      </c>
      <c r="E43" s="12">
        <v>0</v>
      </c>
      <c r="F43" s="8">
        <v>0</v>
      </c>
      <c r="G43" s="12">
        <v>1</v>
      </c>
      <c r="H43" s="8">
        <v>3.13</v>
      </c>
      <c r="I43" s="12">
        <v>0</v>
      </c>
    </row>
    <row r="44" spans="2:9" ht="15" customHeight="1" x14ac:dyDescent="0.2">
      <c r="B44" t="s">
        <v>248</v>
      </c>
      <c r="C44" s="12">
        <v>1</v>
      </c>
      <c r="D44" s="8">
        <v>1.49</v>
      </c>
      <c r="E44" s="12">
        <v>0</v>
      </c>
      <c r="F44" s="8">
        <v>0</v>
      </c>
      <c r="G44" s="12">
        <v>1</v>
      </c>
      <c r="H44" s="8">
        <v>3.13</v>
      </c>
      <c r="I44" s="12">
        <v>0</v>
      </c>
    </row>
    <row r="45" spans="2:9" ht="15" customHeight="1" x14ac:dyDescent="0.2">
      <c r="B45" t="s">
        <v>261</v>
      </c>
      <c r="C45" s="12">
        <v>1</v>
      </c>
      <c r="D45" s="8">
        <v>1.49</v>
      </c>
      <c r="E45" s="12">
        <v>0</v>
      </c>
      <c r="F45" s="8">
        <v>0</v>
      </c>
      <c r="G45" s="12">
        <v>0</v>
      </c>
      <c r="H45" s="8">
        <v>0</v>
      </c>
      <c r="I45" s="12">
        <v>1</v>
      </c>
    </row>
    <row r="46" spans="2:9" ht="15" customHeight="1" x14ac:dyDescent="0.2">
      <c r="B46" t="s">
        <v>216</v>
      </c>
      <c r="C46" s="12">
        <v>1</v>
      </c>
      <c r="D46" s="8">
        <v>1.49</v>
      </c>
      <c r="E46" s="12">
        <v>1</v>
      </c>
      <c r="F46" s="8">
        <v>3.03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218</v>
      </c>
      <c r="C47" s="12">
        <v>1</v>
      </c>
      <c r="D47" s="8">
        <v>1.49</v>
      </c>
      <c r="E47" s="12">
        <v>1</v>
      </c>
      <c r="F47" s="8">
        <v>3.03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219</v>
      </c>
      <c r="C48" s="12">
        <v>1</v>
      </c>
      <c r="D48" s="8">
        <v>1.49</v>
      </c>
      <c r="E48" s="12">
        <v>1</v>
      </c>
      <c r="F48" s="8">
        <v>3.03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237</v>
      </c>
      <c r="C49" s="12">
        <v>1</v>
      </c>
      <c r="D49" s="8">
        <v>1.49</v>
      </c>
      <c r="E49" s="12">
        <v>0</v>
      </c>
      <c r="F49" s="8">
        <v>0</v>
      </c>
      <c r="G49" s="12">
        <v>1</v>
      </c>
      <c r="H49" s="8">
        <v>3.13</v>
      </c>
      <c r="I49" s="12">
        <v>0</v>
      </c>
    </row>
    <row r="50" spans="2:9" ht="15" customHeight="1" x14ac:dyDescent="0.2">
      <c r="B50" t="s">
        <v>256</v>
      </c>
      <c r="C50" s="12">
        <v>1</v>
      </c>
      <c r="D50" s="8">
        <v>1.49</v>
      </c>
      <c r="E50" s="12">
        <v>0</v>
      </c>
      <c r="F50" s="8">
        <v>0</v>
      </c>
      <c r="G50" s="12">
        <v>1</v>
      </c>
      <c r="H50" s="8">
        <v>3.13</v>
      </c>
      <c r="I50" s="12">
        <v>0</v>
      </c>
    </row>
    <row r="51" spans="2:9" ht="15" customHeight="1" x14ac:dyDescent="0.2">
      <c r="B51" t="s">
        <v>243</v>
      </c>
      <c r="C51" s="12">
        <v>1</v>
      </c>
      <c r="D51" s="8">
        <v>1.49</v>
      </c>
      <c r="E51" s="12">
        <v>0</v>
      </c>
      <c r="F51" s="8">
        <v>0</v>
      </c>
      <c r="G51" s="12">
        <v>1</v>
      </c>
      <c r="H51" s="8">
        <v>3.13</v>
      </c>
      <c r="I51" s="12">
        <v>0</v>
      </c>
    </row>
    <row r="52" spans="2:9" ht="15" customHeight="1" x14ac:dyDescent="0.2">
      <c r="B52" t="s">
        <v>239</v>
      </c>
      <c r="C52" s="12">
        <v>1</v>
      </c>
      <c r="D52" s="8">
        <v>1.49</v>
      </c>
      <c r="E52" s="12">
        <v>0</v>
      </c>
      <c r="F52" s="8">
        <v>0</v>
      </c>
      <c r="G52" s="12">
        <v>1</v>
      </c>
      <c r="H52" s="8">
        <v>3.13</v>
      </c>
      <c r="I52" s="12">
        <v>0</v>
      </c>
    </row>
    <row r="53" spans="2:9" ht="15" customHeight="1" x14ac:dyDescent="0.2">
      <c r="B53" t="s">
        <v>229</v>
      </c>
      <c r="C53" s="12">
        <v>1</v>
      </c>
      <c r="D53" s="8">
        <v>1.49</v>
      </c>
      <c r="E53" s="12">
        <v>1</v>
      </c>
      <c r="F53" s="8">
        <v>3.03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247</v>
      </c>
      <c r="C54" s="12">
        <v>1</v>
      </c>
      <c r="D54" s="8">
        <v>1.49</v>
      </c>
      <c r="E54" s="12">
        <v>0</v>
      </c>
      <c r="F54" s="8">
        <v>0</v>
      </c>
      <c r="G54" s="12">
        <v>1</v>
      </c>
      <c r="H54" s="8">
        <v>3.13</v>
      </c>
      <c r="I54" s="12">
        <v>0</v>
      </c>
    </row>
    <row r="55" spans="2:9" ht="15" customHeight="1" x14ac:dyDescent="0.2">
      <c r="B55" t="s">
        <v>231</v>
      </c>
      <c r="C55" s="12">
        <v>1</v>
      </c>
      <c r="D55" s="8">
        <v>1.49</v>
      </c>
      <c r="E55" s="12">
        <v>0</v>
      </c>
      <c r="F55" s="8">
        <v>0</v>
      </c>
      <c r="G55" s="12">
        <v>1</v>
      </c>
      <c r="H55" s="8">
        <v>3.13</v>
      </c>
      <c r="I55" s="12">
        <v>0</v>
      </c>
    </row>
    <row r="56" spans="2:9" ht="15" customHeight="1" x14ac:dyDescent="0.2">
      <c r="B56" t="s">
        <v>240</v>
      </c>
      <c r="C56" s="12">
        <v>1</v>
      </c>
      <c r="D56" s="8">
        <v>1.49</v>
      </c>
      <c r="E56" s="12">
        <v>1</v>
      </c>
      <c r="F56" s="8">
        <v>3.03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234</v>
      </c>
      <c r="C57" s="12">
        <v>1</v>
      </c>
      <c r="D57" s="8">
        <v>1.49</v>
      </c>
      <c r="E57" s="12">
        <v>0</v>
      </c>
      <c r="F57" s="8">
        <v>0</v>
      </c>
      <c r="G57" s="12">
        <v>1</v>
      </c>
      <c r="H57" s="8">
        <v>3.13</v>
      </c>
      <c r="I57" s="12">
        <v>0</v>
      </c>
    </row>
    <row r="60" spans="2:9" ht="33" customHeight="1" x14ac:dyDescent="0.2">
      <c r="B60" t="s">
        <v>531</v>
      </c>
      <c r="C60" s="10" t="s">
        <v>206</v>
      </c>
      <c r="D60" s="10" t="s">
        <v>207</v>
      </c>
      <c r="E60" s="10" t="s">
        <v>208</v>
      </c>
      <c r="F60" s="10" t="s">
        <v>209</v>
      </c>
      <c r="G60" s="10" t="s">
        <v>210</v>
      </c>
      <c r="H60" s="10" t="s">
        <v>211</v>
      </c>
      <c r="I60" s="10" t="s">
        <v>212</v>
      </c>
    </row>
    <row r="61" spans="2:9" ht="15" customHeight="1" x14ac:dyDescent="0.2">
      <c r="B61" t="s">
        <v>330</v>
      </c>
      <c r="C61" s="12">
        <v>4</v>
      </c>
      <c r="D61" s="8">
        <v>5.97</v>
      </c>
      <c r="E61" s="12">
        <v>0</v>
      </c>
      <c r="F61" s="8">
        <v>0</v>
      </c>
      <c r="G61" s="12">
        <v>4</v>
      </c>
      <c r="H61" s="8">
        <v>12.5</v>
      </c>
      <c r="I61" s="12">
        <v>0</v>
      </c>
    </row>
    <row r="62" spans="2:9" ht="15" customHeight="1" x14ac:dyDescent="0.2">
      <c r="B62" t="s">
        <v>491</v>
      </c>
      <c r="C62" s="12">
        <v>3</v>
      </c>
      <c r="D62" s="8">
        <v>4.4800000000000004</v>
      </c>
      <c r="E62" s="12">
        <v>3</v>
      </c>
      <c r="F62" s="8">
        <v>9.09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300</v>
      </c>
      <c r="C63" s="12">
        <v>3</v>
      </c>
      <c r="D63" s="8">
        <v>4.4800000000000004</v>
      </c>
      <c r="E63" s="12">
        <v>3</v>
      </c>
      <c r="F63" s="8">
        <v>9.09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304</v>
      </c>
      <c r="C64" s="12">
        <v>3</v>
      </c>
      <c r="D64" s="8">
        <v>4.4800000000000004</v>
      </c>
      <c r="E64" s="12">
        <v>3</v>
      </c>
      <c r="F64" s="8">
        <v>9.09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385</v>
      </c>
      <c r="C65" s="12">
        <v>2</v>
      </c>
      <c r="D65" s="8">
        <v>2.99</v>
      </c>
      <c r="E65" s="12">
        <v>0</v>
      </c>
      <c r="F65" s="8">
        <v>0</v>
      </c>
      <c r="G65" s="12">
        <v>2</v>
      </c>
      <c r="H65" s="8">
        <v>6.25</v>
      </c>
      <c r="I65" s="12">
        <v>0</v>
      </c>
    </row>
    <row r="66" spans="2:9" ht="15" customHeight="1" x14ac:dyDescent="0.2">
      <c r="B66" t="s">
        <v>432</v>
      </c>
      <c r="C66" s="12">
        <v>2</v>
      </c>
      <c r="D66" s="8">
        <v>2.99</v>
      </c>
      <c r="E66" s="12">
        <v>0</v>
      </c>
      <c r="F66" s="8">
        <v>0</v>
      </c>
      <c r="G66" s="12">
        <v>2</v>
      </c>
      <c r="H66" s="8">
        <v>6.25</v>
      </c>
      <c r="I66" s="12">
        <v>0</v>
      </c>
    </row>
    <row r="67" spans="2:9" ht="15" customHeight="1" x14ac:dyDescent="0.2">
      <c r="B67" t="s">
        <v>335</v>
      </c>
      <c r="C67" s="12">
        <v>2</v>
      </c>
      <c r="D67" s="8">
        <v>2.99</v>
      </c>
      <c r="E67" s="12">
        <v>1</v>
      </c>
      <c r="F67" s="8">
        <v>3.03</v>
      </c>
      <c r="G67" s="12">
        <v>1</v>
      </c>
      <c r="H67" s="8">
        <v>3.13</v>
      </c>
      <c r="I67" s="12">
        <v>0</v>
      </c>
    </row>
    <row r="68" spans="2:9" ht="15" customHeight="1" x14ac:dyDescent="0.2">
      <c r="B68" t="s">
        <v>344</v>
      </c>
      <c r="C68" s="12">
        <v>2</v>
      </c>
      <c r="D68" s="8">
        <v>2.99</v>
      </c>
      <c r="E68" s="12">
        <v>2</v>
      </c>
      <c r="F68" s="8">
        <v>6.06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297</v>
      </c>
      <c r="C69" s="12">
        <v>2</v>
      </c>
      <c r="D69" s="8">
        <v>2.99</v>
      </c>
      <c r="E69" s="12">
        <v>0</v>
      </c>
      <c r="F69" s="8">
        <v>0</v>
      </c>
      <c r="G69" s="12">
        <v>2</v>
      </c>
      <c r="H69" s="8">
        <v>6.25</v>
      </c>
      <c r="I69" s="12">
        <v>0</v>
      </c>
    </row>
    <row r="70" spans="2:9" ht="15" customHeight="1" x14ac:dyDescent="0.2">
      <c r="B70" t="s">
        <v>301</v>
      </c>
      <c r="C70" s="12">
        <v>2</v>
      </c>
      <c r="D70" s="8">
        <v>2.99</v>
      </c>
      <c r="E70" s="12">
        <v>2</v>
      </c>
      <c r="F70" s="8">
        <v>6.06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303</v>
      </c>
      <c r="C71" s="12">
        <v>2</v>
      </c>
      <c r="D71" s="8">
        <v>2.99</v>
      </c>
      <c r="E71" s="12">
        <v>2</v>
      </c>
      <c r="F71" s="8">
        <v>6.06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340</v>
      </c>
      <c r="C72" s="12">
        <v>2</v>
      </c>
      <c r="D72" s="8">
        <v>2.99</v>
      </c>
      <c r="E72" s="12">
        <v>0</v>
      </c>
      <c r="F72" s="8">
        <v>0</v>
      </c>
      <c r="G72" s="12">
        <v>1</v>
      </c>
      <c r="H72" s="8">
        <v>3.13</v>
      </c>
      <c r="I72" s="12">
        <v>0</v>
      </c>
    </row>
    <row r="73" spans="2:9" ht="15" customHeight="1" x14ac:dyDescent="0.2">
      <c r="B73" t="s">
        <v>288</v>
      </c>
      <c r="C73" s="12">
        <v>1</v>
      </c>
      <c r="D73" s="8">
        <v>1.49</v>
      </c>
      <c r="E73" s="12">
        <v>0</v>
      </c>
      <c r="F73" s="8">
        <v>0</v>
      </c>
      <c r="G73" s="12">
        <v>1</v>
      </c>
      <c r="H73" s="8">
        <v>3.13</v>
      </c>
      <c r="I73" s="12">
        <v>0</v>
      </c>
    </row>
    <row r="74" spans="2:9" ht="15" customHeight="1" x14ac:dyDescent="0.2">
      <c r="B74" t="s">
        <v>328</v>
      </c>
      <c r="C74" s="12">
        <v>1</v>
      </c>
      <c r="D74" s="8">
        <v>1.49</v>
      </c>
      <c r="E74" s="12">
        <v>0</v>
      </c>
      <c r="F74" s="8">
        <v>0</v>
      </c>
      <c r="G74" s="12">
        <v>1</v>
      </c>
      <c r="H74" s="8">
        <v>3.13</v>
      </c>
      <c r="I74" s="12">
        <v>0</v>
      </c>
    </row>
    <row r="75" spans="2:9" ht="15" customHeight="1" x14ac:dyDescent="0.2">
      <c r="B75" t="s">
        <v>333</v>
      </c>
      <c r="C75" s="12">
        <v>1</v>
      </c>
      <c r="D75" s="8">
        <v>1.49</v>
      </c>
      <c r="E75" s="12">
        <v>1</v>
      </c>
      <c r="F75" s="8">
        <v>3.03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290</v>
      </c>
      <c r="C76" s="12">
        <v>1</v>
      </c>
      <c r="D76" s="8">
        <v>1.49</v>
      </c>
      <c r="E76" s="12">
        <v>0</v>
      </c>
      <c r="F76" s="8">
        <v>0</v>
      </c>
      <c r="G76" s="12">
        <v>1</v>
      </c>
      <c r="H76" s="8">
        <v>3.13</v>
      </c>
      <c r="I76" s="12">
        <v>0</v>
      </c>
    </row>
    <row r="77" spans="2:9" ht="15" customHeight="1" x14ac:dyDescent="0.2">
      <c r="B77" t="s">
        <v>413</v>
      </c>
      <c r="C77" s="12">
        <v>1</v>
      </c>
      <c r="D77" s="8">
        <v>1.49</v>
      </c>
      <c r="E77" s="12">
        <v>0</v>
      </c>
      <c r="F77" s="8">
        <v>0</v>
      </c>
      <c r="G77" s="12">
        <v>1</v>
      </c>
      <c r="H77" s="8">
        <v>3.13</v>
      </c>
      <c r="I77" s="12">
        <v>0</v>
      </c>
    </row>
    <row r="78" spans="2:9" ht="15" customHeight="1" x14ac:dyDescent="0.2">
      <c r="B78" t="s">
        <v>378</v>
      </c>
      <c r="C78" s="12">
        <v>1</v>
      </c>
      <c r="D78" s="8">
        <v>1.49</v>
      </c>
      <c r="E78" s="12">
        <v>0</v>
      </c>
      <c r="F78" s="8">
        <v>0</v>
      </c>
      <c r="G78" s="12">
        <v>1</v>
      </c>
      <c r="H78" s="8">
        <v>3.13</v>
      </c>
      <c r="I78" s="12">
        <v>0</v>
      </c>
    </row>
    <row r="79" spans="2:9" ht="15" customHeight="1" x14ac:dyDescent="0.2">
      <c r="B79" t="s">
        <v>480</v>
      </c>
      <c r="C79" s="12">
        <v>1</v>
      </c>
      <c r="D79" s="8">
        <v>1.49</v>
      </c>
      <c r="E79" s="12">
        <v>1</v>
      </c>
      <c r="F79" s="8">
        <v>3.03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374</v>
      </c>
      <c r="C80" s="12">
        <v>1</v>
      </c>
      <c r="D80" s="8">
        <v>1.49</v>
      </c>
      <c r="E80" s="12">
        <v>1</v>
      </c>
      <c r="F80" s="8">
        <v>3.03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407</v>
      </c>
      <c r="C81" s="12">
        <v>1</v>
      </c>
      <c r="D81" s="8">
        <v>1.49</v>
      </c>
      <c r="E81" s="12">
        <v>0</v>
      </c>
      <c r="F81" s="8">
        <v>0</v>
      </c>
      <c r="G81" s="12">
        <v>1</v>
      </c>
      <c r="H81" s="8">
        <v>3.13</v>
      </c>
      <c r="I81" s="12">
        <v>0</v>
      </c>
    </row>
    <row r="82" spans="2:9" ht="15" customHeight="1" x14ac:dyDescent="0.2">
      <c r="B82" t="s">
        <v>478</v>
      </c>
      <c r="C82" s="12">
        <v>1</v>
      </c>
      <c r="D82" s="8">
        <v>1.49</v>
      </c>
      <c r="E82" s="12">
        <v>0</v>
      </c>
      <c r="F82" s="8">
        <v>0</v>
      </c>
      <c r="G82" s="12">
        <v>1</v>
      </c>
      <c r="H82" s="8">
        <v>3.13</v>
      </c>
      <c r="I82" s="12">
        <v>0</v>
      </c>
    </row>
    <row r="83" spans="2:9" ht="15" customHeight="1" x14ac:dyDescent="0.2">
      <c r="B83" t="s">
        <v>364</v>
      </c>
      <c r="C83" s="12">
        <v>1</v>
      </c>
      <c r="D83" s="8">
        <v>1.49</v>
      </c>
      <c r="E83" s="12">
        <v>0</v>
      </c>
      <c r="F83" s="8">
        <v>0</v>
      </c>
      <c r="G83" s="12">
        <v>0</v>
      </c>
      <c r="H83" s="8">
        <v>0</v>
      </c>
      <c r="I83" s="12">
        <v>1</v>
      </c>
    </row>
    <row r="84" spans="2:9" ht="15" customHeight="1" x14ac:dyDescent="0.2">
      <c r="B84" t="s">
        <v>324</v>
      </c>
      <c r="C84" s="12">
        <v>1</v>
      </c>
      <c r="D84" s="8">
        <v>1.49</v>
      </c>
      <c r="E84" s="12">
        <v>1</v>
      </c>
      <c r="F84" s="8">
        <v>3.03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321</v>
      </c>
      <c r="C85" s="12">
        <v>1</v>
      </c>
      <c r="D85" s="8">
        <v>1.49</v>
      </c>
      <c r="E85" s="12">
        <v>1</v>
      </c>
      <c r="F85" s="8">
        <v>3.03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309</v>
      </c>
      <c r="C86" s="12">
        <v>1</v>
      </c>
      <c r="D86" s="8">
        <v>1.49</v>
      </c>
      <c r="E86" s="12">
        <v>1</v>
      </c>
      <c r="F86" s="8">
        <v>3.03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400</v>
      </c>
      <c r="C87" s="12">
        <v>1</v>
      </c>
      <c r="D87" s="8">
        <v>1.49</v>
      </c>
      <c r="E87" s="12">
        <v>1</v>
      </c>
      <c r="F87" s="8">
        <v>3.03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314</v>
      </c>
      <c r="C88" s="12">
        <v>1</v>
      </c>
      <c r="D88" s="8">
        <v>1.49</v>
      </c>
      <c r="E88" s="12">
        <v>1</v>
      </c>
      <c r="F88" s="8">
        <v>3.03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354</v>
      </c>
      <c r="C89" s="12">
        <v>1</v>
      </c>
      <c r="D89" s="8">
        <v>1.49</v>
      </c>
      <c r="E89" s="12">
        <v>0</v>
      </c>
      <c r="F89" s="8">
        <v>0</v>
      </c>
      <c r="G89" s="12">
        <v>1</v>
      </c>
      <c r="H89" s="8">
        <v>3.13</v>
      </c>
      <c r="I89" s="12">
        <v>0</v>
      </c>
    </row>
    <row r="90" spans="2:9" ht="15" customHeight="1" x14ac:dyDescent="0.2">
      <c r="B90" t="s">
        <v>329</v>
      </c>
      <c r="C90" s="12">
        <v>1</v>
      </c>
      <c r="D90" s="8">
        <v>1.49</v>
      </c>
      <c r="E90" s="12">
        <v>1</v>
      </c>
      <c r="F90" s="8">
        <v>3.03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292</v>
      </c>
      <c r="C91" s="12">
        <v>1</v>
      </c>
      <c r="D91" s="8">
        <v>1.49</v>
      </c>
      <c r="E91" s="12">
        <v>0</v>
      </c>
      <c r="F91" s="8">
        <v>0</v>
      </c>
      <c r="G91" s="12">
        <v>1</v>
      </c>
      <c r="H91" s="8">
        <v>3.13</v>
      </c>
      <c r="I91" s="12">
        <v>0</v>
      </c>
    </row>
    <row r="92" spans="2:9" ht="15" customHeight="1" x14ac:dyDescent="0.2">
      <c r="B92" t="s">
        <v>293</v>
      </c>
      <c r="C92" s="12">
        <v>1</v>
      </c>
      <c r="D92" s="8">
        <v>1.49</v>
      </c>
      <c r="E92" s="12">
        <v>0</v>
      </c>
      <c r="F92" s="8">
        <v>0</v>
      </c>
      <c r="G92" s="12">
        <v>1</v>
      </c>
      <c r="H92" s="8">
        <v>3.13</v>
      </c>
      <c r="I92" s="12">
        <v>0</v>
      </c>
    </row>
    <row r="93" spans="2:9" ht="15" customHeight="1" x14ac:dyDescent="0.2">
      <c r="B93" t="s">
        <v>337</v>
      </c>
      <c r="C93" s="12">
        <v>1</v>
      </c>
      <c r="D93" s="8">
        <v>1.49</v>
      </c>
      <c r="E93" s="12">
        <v>1</v>
      </c>
      <c r="F93" s="8">
        <v>3.03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373</v>
      </c>
      <c r="C94" s="12">
        <v>1</v>
      </c>
      <c r="D94" s="8">
        <v>1.49</v>
      </c>
      <c r="E94" s="12">
        <v>1</v>
      </c>
      <c r="F94" s="8">
        <v>3.03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295</v>
      </c>
      <c r="C95" s="12">
        <v>1</v>
      </c>
      <c r="D95" s="8">
        <v>1.49</v>
      </c>
      <c r="E95" s="12">
        <v>0</v>
      </c>
      <c r="F95" s="8">
        <v>0</v>
      </c>
      <c r="G95" s="12">
        <v>1</v>
      </c>
      <c r="H95" s="8">
        <v>3.13</v>
      </c>
      <c r="I95" s="12">
        <v>0</v>
      </c>
    </row>
    <row r="96" spans="2:9" ht="15" customHeight="1" x14ac:dyDescent="0.2">
      <c r="B96" t="s">
        <v>488</v>
      </c>
      <c r="C96" s="12">
        <v>1</v>
      </c>
      <c r="D96" s="8">
        <v>1.49</v>
      </c>
      <c r="E96" s="12">
        <v>0</v>
      </c>
      <c r="F96" s="8">
        <v>0</v>
      </c>
      <c r="G96" s="12">
        <v>1</v>
      </c>
      <c r="H96" s="8">
        <v>3.13</v>
      </c>
      <c r="I96" s="12">
        <v>0</v>
      </c>
    </row>
    <row r="97" spans="2:9" ht="15" customHeight="1" x14ac:dyDescent="0.2">
      <c r="B97" t="s">
        <v>415</v>
      </c>
      <c r="C97" s="12">
        <v>1</v>
      </c>
      <c r="D97" s="8">
        <v>1.49</v>
      </c>
      <c r="E97" s="12">
        <v>0</v>
      </c>
      <c r="F97" s="8">
        <v>0</v>
      </c>
      <c r="G97" s="12">
        <v>1</v>
      </c>
      <c r="H97" s="8">
        <v>3.13</v>
      </c>
      <c r="I97" s="12">
        <v>0</v>
      </c>
    </row>
    <row r="98" spans="2:9" ht="15" customHeight="1" x14ac:dyDescent="0.2">
      <c r="B98" t="s">
        <v>396</v>
      </c>
      <c r="C98" s="12">
        <v>1</v>
      </c>
      <c r="D98" s="8">
        <v>1.49</v>
      </c>
      <c r="E98" s="12">
        <v>1</v>
      </c>
      <c r="F98" s="8">
        <v>3.03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403</v>
      </c>
      <c r="C99" s="12">
        <v>1</v>
      </c>
      <c r="D99" s="8">
        <v>1.49</v>
      </c>
      <c r="E99" s="12">
        <v>0</v>
      </c>
      <c r="F99" s="8">
        <v>0</v>
      </c>
      <c r="G99" s="12">
        <v>1</v>
      </c>
      <c r="H99" s="8">
        <v>3.13</v>
      </c>
      <c r="I99" s="12">
        <v>0</v>
      </c>
    </row>
    <row r="100" spans="2:9" ht="15" customHeight="1" x14ac:dyDescent="0.2">
      <c r="B100" t="s">
        <v>482</v>
      </c>
      <c r="C100" s="12">
        <v>1</v>
      </c>
      <c r="D100" s="8">
        <v>1.49</v>
      </c>
      <c r="E100" s="12">
        <v>1</v>
      </c>
      <c r="F100" s="8">
        <v>3.03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409</v>
      </c>
      <c r="C101" s="12">
        <v>1</v>
      </c>
      <c r="D101" s="8">
        <v>1.49</v>
      </c>
      <c r="E101" s="12">
        <v>0</v>
      </c>
      <c r="F101" s="8">
        <v>0</v>
      </c>
      <c r="G101" s="12">
        <v>1</v>
      </c>
      <c r="H101" s="8">
        <v>3.13</v>
      </c>
      <c r="I101" s="12">
        <v>0</v>
      </c>
    </row>
    <row r="102" spans="2:9" ht="15" customHeight="1" x14ac:dyDescent="0.2">
      <c r="B102" t="s">
        <v>405</v>
      </c>
      <c r="C102" s="12">
        <v>1</v>
      </c>
      <c r="D102" s="8">
        <v>1.49</v>
      </c>
      <c r="E102" s="12">
        <v>0</v>
      </c>
      <c r="F102" s="8">
        <v>0</v>
      </c>
      <c r="G102" s="12">
        <v>1</v>
      </c>
      <c r="H102" s="8">
        <v>3.13</v>
      </c>
      <c r="I102" s="12">
        <v>0</v>
      </c>
    </row>
    <row r="103" spans="2:9" ht="15" customHeight="1" x14ac:dyDescent="0.2">
      <c r="B103" t="s">
        <v>334</v>
      </c>
      <c r="C103" s="12">
        <v>1</v>
      </c>
      <c r="D103" s="8">
        <v>1.49</v>
      </c>
      <c r="E103" s="12">
        <v>1</v>
      </c>
      <c r="F103" s="8">
        <v>3.03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299</v>
      </c>
      <c r="C104" s="12">
        <v>1</v>
      </c>
      <c r="D104" s="8">
        <v>1.49</v>
      </c>
      <c r="E104" s="12">
        <v>1</v>
      </c>
      <c r="F104" s="8">
        <v>3.03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325</v>
      </c>
      <c r="C105" s="12">
        <v>1</v>
      </c>
      <c r="D105" s="8">
        <v>1.49</v>
      </c>
      <c r="E105" s="12">
        <v>0</v>
      </c>
      <c r="F105" s="8">
        <v>0</v>
      </c>
      <c r="G105" s="12">
        <v>1</v>
      </c>
      <c r="H105" s="8">
        <v>3.13</v>
      </c>
      <c r="I105" s="12">
        <v>0</v>
      </c>
    </row>
    <row r="106" spans="2:9" ht="15" customHeight="1" x14ac:dyDescent="0.2">
      <c r="B106" t="s">
        <v>468</v>
      </c>
      <c r="C106" s="12">
        <v>1</v>
      </c>
      <c r="D106" s="8">
        <v>1.49</v>
      </c>
      <c r="E106" s="12">
        <v>1</v>
      </c>
      <c r="F106" s="8">
        <v>3.03</v>
      </c>
      <c r="G106" s="12">
        <v>0</v>
      </c>
      <c r="H106" s="8">
        <v>0</v>
      </c>
      <c r="I106" s="12">
        <v>0</v>
      </c>
    </row>
    <row r="107" spans="2:9" ht="15" customHeight="1" x14ac:dyDescent="0.2">
      <c r="B107" t="s">
        <v>492</v>
      </c>
      <c r="C107" s="12">
        <v>1</v>
      </c>
      <c r="D107" s="8">
        <v>1.49</v>
      </c>
      <c r="E107" s="12">
        <v>0</v>
      </c>
      <c r="F107" s="8">
        <v>0</v>
      </c>
      <c r="G107" s="12">
        <v>1</v>
      </c>
      <c r="H107" s="8">
        <v>3.13</v>
      </c>
      <c r="I107" s="12">
        <v>0</v>
      </c>
    </row>
    <row r="108" spans="2:9" ht="15" customHeight="1" x14ac:dyDescent="0.2">
      <c r="B108" t="s">
        <v>312</v>
      </c>
      <c r="C108" s="12">
        <v>1</v>
      </c>
      <c r="D108" s="8">
        <v>1.49</v>
      </c>
      <c r="E108" s="12">
        <v>0</v>
      </c>
      <c r="F108" s="8">
        <v>0</v>
      </c>
      <c r="G108" s="12">
        <v>1</v>
      </c>
      <c r="H108" s="8">
        <v>3.13</v>
      </c>
      <c r="I108" s="12">
        <v>0</v>
      </c>
    </row>
    <row r="109" spans="2:9" ht="15" customHeight="1" x14ac:dyDescent="0.2">
      <c r="B109" t="s">
        <v>307</v>
      </c>
      <c r="C109" s="12">
        <v>1</v>
      </c>
      <c r="D109" s="8">
        <v>1.49</v>
      </c>
      <c r="E109" s="12">
        <v>1</v>
      </c>
      <c r="F109" s="8">
        <v>3.03</v>
      </c>
      <c r="G109" s="12">
        <v>0</v>
      </c>
      <c r="H109" s="8">
        <v>0</v>
      </c>
      <c r="I109" s="12">
        <v>0</v>
      </c>
    </row>
    <row r="110" spans="2:9" ht="15" customHeight="1" x14ac:dyDescent="0.2">
      <c r="B110" t="s">
        <v>493</v>
      </c>
      <c r="C110" s="12">
        <v>1</v>
      </c>
      <c r="D110" s="8">
        <v>1.49</v>
      </c>
      <c r="E110" s="12">
        <v>0</v>
      </c>
      <c r="F110" s="8">
        <v>0</v>
      </c>
      <c r="G110" s="12">
        <v>1</v>
      </c>
      <c r="H110" s="8">
        <v>3.13</v>
      </c>
      <c r="I110" s="12">
        <v>0</v>
      </c>
    </row>
    <row r="112" spans="2:9" ht="15" customHeight="1" x14ac:dyDescent="0.2">
      <c r="B11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DEC90-1342-4EFA-9372-E969D8ADD850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539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0.05</v>
      </c>
      <c r="E5" s="12">
        <v>0</v>
      </c>
      <c r="F5" s="8">
        <v>0</v>
      </c>
      <c r="G5" s="12">
        <v>1</v>
      </c>
      <c r="H5" s="8">
        <v>0.08</v>
      </c>
      <c r="I5" s="12">
        <v>0</v>
      </c>
    </row>
    <row r="6" spans="2:9" ht="15" customHeight="1" x14ac:dyDescent="0.2">
      <c r="B6" t="s">
        <v>191</v>
      </c>
      <c r="C6" s="12">
        <v>291</v>
      </c>
      <c r="D6" s="8">
        <v>14.29</v>
      </c>
      <c r="E6" s="12">
        <v>20</v>
      </c>
      <c r="F6" s="8">
        <v>2.4500000000000002</v>
      </c>
      <c r="G6" s="12">
        <v>270</v>
      </c>
      <c r="H6" s="8">
        <v>22.46</v>
      </c>
      <c r="I6" s="12">
        <v>1</v>
      </c>
    </row>
    <row r="7" spans="2:9" ht="15" customHeight="1" x14ac:dyDescent="0.2">
      <c r="B7" t="s">
        <v>192</v>
      </c>
      <c r="C7" s="12">
        <v>71</v>
      </c>
      <c r="D7" s="8">
        <v>3.49</v>
      </c>
      <c r="E7" s="12">
        <v>14</v>
      </c>
      <c r="F7" s="8">
        <v>1.71</v>
      </c>
      <c r="G7" s="12">
        <v>57</v>
      </c>
      <c r="H7" s="8">
        <v>4.74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0.05</v>
      </c>
      <c r="E8" s="12">
        <v>0</v>
      </c>
      <c r="F8" s="8">
        <v>0</v>
      </c>
      <c r="G8" s="12">
        <v>1</v>
      </c>
      <c r="H8" s="8">
        <v>0.08</v>
      </c>
      <c r="I8" s="12">
        <v>0</v>
      </c>
    </row>
    <row r="9" spans="2:9" ht="15" customHeight="1" x14ac:dyDescent="0.2">
      <c r="B9" t="s">
        <v>194</v>
      </c>
      <c r="C9" s="12">
        <v>19</v>
      </c>
      <c r="D9" s="8">
        <v>0.93</v>
      </c>
      <c r="E9" s="12">
        <v>0</v>
      </c>
      <c r="F9" s="8">
        <v>0</v>
      </c>
      <c r="G9" s="12">
        <v>18</v>
      </c>
      <c r="H9" s="8">
        <v>1.5</v>
      </c>
      <c r="I9" s="12">
        <v>1</v>
      </c>
    </row>
    <row r="10" spans="2:9" ht="15" customHeight="1" x14ac:dyDescent="0.2">
      <c r="B10" t="s">
        <v>195</v>
      </c>
      <c r="C10" s="12">
        <v>51</v>
      </c>
      <c r="D10" s="8">
        <v>2.5</v>
      </c>
      <c r="E10" s="12">
        <v>30</v>
      </c>
      <c r="F10" s="8">
        <v>3.67</v>
      </c>
      <c r="G10" s="12">
        <v>21</v>
      </c>
      <c r="H10" s="8">
        <v>1.75</v>
      </c>
      <c r="I10" s="12">
        <v>0</v>
      </c>
    </row>
    <row r="11" spans="2:9" ht="15" customHeight="1" x14ac:dyDescent="0.2">
      <c r="B11" t="s">
        <v>196</v>
      </c>
      <c r="C11" s="12">
        <v>346</v>
      </c>
      <c r="D11" s="8">
        <v>16.989999999999998</v>
      </c>
      <c r="E11" s="12">
        <v>99</v>
      </c>
      <c r="F11" s="8">
        <v>12.12</v>
      </c>
      <c r="G11" s="12">
        <v>247</v>
      </c>
      <c r="H11" s="8">
        <v>20.55</v>
      </c>
      <c r="I11" s="12">
        <v>0</v>
      </c>
    </row>
    <row r="12" spans="2:9" ht="15" customHeight="1" x14ac:dyDescent="0.2">
      <c r="B12" t="s">
        <v>197</v>
      </c>
      <c r="C12" s="12">
        <v>11</v>
      </c>
      <c r="D12" s="8">
        <v>0.54</v>
      </c>
      <c r="E12" s="12">
        <v>0</v>
      </c>
      <c r="F12" s="8">
        <v>0</v>
      </c>
      <c r="G12" s="12">
        <v>11</v>
      </c>
      <c r="H12" s="8">
        <v>0.92</v>
      </c>
      <c r="I12" s="12">
        <v>0</v>
      </c>
    </row>
    <row r="13" spans="2:9" ht="15" customHeight="1" x14ac:dyDescent="0.2">
      <c r="B13" t="s">
        <v>198</v>
      </c>
      <c r="C13" s="12">
        <v>319</v>
      </c>
      <c r="D13" s="8">
        <v>15.66</v>
      </c>
      <c r="E13" s="12">
        <v>140</v>
      </c>
      <c r="F13" s="8">
        <v>17.14</v>
      </c>
      <c r="G13" s="12">
        <v>175</v>
      </c>
      <c r="H13" s="8">
        <v>14.56</v>
      </c>
      <c r="I13" s="12">
        <v>2</v>
      </c>
    </row>
    <row r="14" spans="2:9" ht="15" customHeight="1" x14ac:dyDescent="0.2">
      <c r="B14" t="s">
        <v>199</v>
      </c>
      <c r="C14" s="12">
        <v>124</v>
      </c>
      <c r="D14" s="8">
        <v>6.09</v>
      </c>
      <c r="E14" s="12">
        <v>40</v>
      </c>
      <c r="F14" s="8">
        <v>4.9000000000000004</v>
      </c>
      <c r="G14" s="12">
        <v>84</v>
      </c>
      <c r="H14" s="8">
        <v>6.99</v>
      </c>
      <c r="I14" s="12">
        <v>0</v>
      </c>
    </row>
    <row r="15" spans="2:9" ht="15" customHeight="1" x14ac:dyDescent="0.2">
      <c r="B15" t="s">
        <v>200</v>
      </c>
      <c r="C15" s="12">
        <v>253</v>
      </c>
      <c r="D15" s="8">
        <v>12.42</v>
      </c>
      <c r="E15" s="12">
        <v>167</v>
      </c>
      <c r="F15" s="8">
        <v>20.440000000000001</v>
      </c>
      <c r="G15" s="12">
        <v>86</v>
      </c>
      <c r="H15" s="8">
        <v>7.15</v>
      </c>
      <c r="I15" s="12">
        <v>0</v>
      </c>
    </row>
    <row r="16" spans="2:9" ht="15" customHeight="1" x14ac:dyDescent="0.2">
      <c r="B16" t="s">
        <v>201</v>
      </c>
      <c r="C16" s="12">
        <v>273</v>
      </c>
      <c r="D16" s="8">
        <v>13.4</v>
      </c>
      <c r="E16" s="12">
        <v>184</v>
      </c>
      <c r="F16" s="8">
        <v>22.52</v>
      </c>
      <c r="G16" s="12">
        <v>89</v>
      </c>
      <c r="H16" s="8">
        <v>7.4</v>
      </c>
      <c r="I16" s="12">
        <v>0</v>
      </c>
    </row>
    <row r="17" spans="2:9" ht="15" customHeight="1" x14ac:dyDescent="0.2">
      <c r="B17" t="s">
        <v>202</v>
      </c>
      <c r="C17" s="12">
        <v>65</v>
      </c>
      <c r="D17" s="8">
        <v>3.19</v>
      </c>
      <c r="E17" s="12">
        <v>43</v>
      </c>
      <c r="F17" s="8">
        <v>5.26</v>
      </c>
      <c r="G17" s="12">
        <v>21</v>
      </c>
      <c r="H17" s="8">
        <v>1.75</v>
      </c>
      <c r="I17" s="12">
        <v>0</v>
      </c>
    </row>
    <row r="18" spans="2:9" ht="15" customHeight="1" x14ac:dyDescent="0.2">
      <c r="B18" t="s">
        <v>203</v>
      </c>
      <c r="C18" s="12">
        <v>130</v>
      </c>
      <c r="D18" s="8">
        <v>6.38</v>
      </c>
      <c r="E18" s="12">
        <v>70</v>
      </c>
      <c r="F18" s="8">
        <v>8.57</v>
      </c>
      <c r="G18" s="12">
        <v>60</v>
      </c>
      <c r="H18" s="8">
        <v>4.99</v>
      </c>
      <c r="I18" s="12">
        <v>0</v>
      </c>
    </row>
    <row r="19" spans="2:9" ht="15" customHeight="1" x14ac:dyDescent="0.2">
      <c r="B19" t="s">
        <v>204</v>
      </c>
      <c r="C19" s="12">
        <v>82</v>
      </c>
      <c r="D19" s="8">
        <v>4.03</v>
      </c>
      <c r="E19" s="12">
        <v>10</v>
      </c>
      <c r="F19" s="8">
        <v>1.22</v>
      </c>
      <c r="G19" s="12">
        <v>61</v>
      </c>
      <c r="H19" s="8">
        <v>5.07</v>
      </c>
      <c r="I19" s="12">
        <v>10</v>
      </c>
    </row>
    <row r="20" spans="2:9" ht="15" customHeight="1" x14ac:dyDescent="0.2">
      <c r="B20" s="9" t="s">
        <v>529</v>
      </c>
      <c r="C20" s="12">
        <f>SUM(LTBL_01106[総数／事業所数])</f>
        <v>2037</v>
      </c>
      <c r="E20" s="12">
        <f>SUBTOTAL(109,LTBL_01106[個人／事業所数])</f>
        <v>817</v>
      </c>
      <c r="G20" s="12">
        <f>SUBTOTAL(109,LTBL_01106[法人／事業所数])</f>
        <v>1202</v>
      </c>
      <c r="I20" s="12">
        <f>SUBTOTAL(109,LTBL_01106[法人以外の団体／事業所数])</f>
        <v>14</v>
      </c>
    </row>
    <row r="21" spans="2:9" ht="15" customHeight="1" x14ac:dyDescent="0.2">
      <c r="E21" s="11">
        <f>LTBL_01106[[#Totals],[個人／事業所数]]/LTBL_01106[[#Totals],[総数／事業所数]]</f>
        <v>0.40108001963672069</v>
      </c>
      <c r="G21" s="11">
        <f>LTBL_01106[[#Totals],[法人／事業所数]]/LTBL_01106[[#Totals],[総数／事業所数]]</f>
        <v>0.59008345606283752</v>
      </c>
      <c r="I21" s="11">
        <f>LTBL_01106[[#Totals],[法人以外の団体／事業所数]]/LTBL_01106[[#Totals],[総数／事業所数]]</f>
        <v>6.8728522336769758E-3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284</v>
      </c>
      <c r="D24" s="8">
        <v>13.94</v>
      </c>
      <c r="E24" s="12">
        <v>137</v>
      </c>
      <c r="F24" s="8">
        <v>16.77</v>
      </c>
      <c r="G24" s="12">
        <v>143</v>
      </c>
      <c r="H24" s="8">
        <v>11.9</v>
      </c>
      <c r="I24" s="12">
        <v>2</v>
      </c>
    </row>
    <row r="25" spans="2:9" ht="15" customHeight="1" x14ac:dyDescent="0.2">
      <c r="B25" t="s">
        <v>228</v>
      </c>
      <c r="C25" s="12">
        <v>227</v>
      </c>
      <c r="D25" s="8">
        <v>11.14</v>
      </c>
      <c r="E25" s="12">
        <v>168</v>
      </c>
      <c r="F25" s="8">
        <v>20.56</v>
      </c>
      <c r="G25" s="12">
        <v>59</v>
      </c>
      <c r="H25" s="8">
        <v>4.91</v>
      </c>
      <c r="I25" s="12">
        <v>0</v>
      </c>
    </row>
    <row r="26" spans="2:9" ht="15" customHeight="1" x14ac:dyDescent="0.2">
      <c r="B26" t="s">
        <v>227</v>
      </c>
      <c r="C26" s="12">
        <v>219</v>
      </c>
      <c r="D26" s="8">
        <v>10.75</v>
      </c>
      <c r="E26" s="12">
        <v>161</v>
      </c>
      <c r="F26" s="8">
        <v>19.71</v>
      </c>
      <c r="G26" s="12">
        <v>58</v>
      </c>
      <c r="H26" s="8">
        <v>4.83</v>
      </c>
      <c r="I26" s="12">
        <v>0</v>
      </c>
    </row>
    <row r="27" spans="2:9" ht="15" customHeight="1" x14ac:dyDescent="0.2">
      <c r="B27" t="s">
        <v>213</v>
      </c>
      <c r="C27" s="12">
        <v>123</v>
      </c>
      <c r="D27" s="8">
        <v>6.04</v>
      </c>
      <c r="E27" s="12">
        <v>6</v>
      </c>
      <c r="F27" s="8">
        <v>0.73</v>
      </c>
      <c r="G27" s="12">
        <v>116</v>
      </c>
      <c r="H27" s="8">
        <v>9.65</v>
      </c>
      <c r="I27" s="12">
        <v>1</v>
      </c>
    </row>
    <row r="28" spans="2:9" ht="15" customHeight="1" x14ac:dyDescent="0.2">
      <c r="B28" t="s">
        <v>223</v>
      </c>
      <c r="C28" s="12">
        <v>111</v>
      </c>
      <c r="D28" s="8">
        <v>5.45</v>
      </c>
      <c r="E28" s="12">
        <v>29</v>
      </c>
      <c r="F28" s="8">
        <v>3.55</v>
      </c>
      <c r="G28" s="12">
        <v>82</v>
      </c>
      <c r="H28" s="8">
        <v>6.82</v>
      </c>
      <c r="I28" s="12">
        <v>0</v>
      </c>
    </row>
    <row r="29" spans="2:9" ht="15" customHeight="1" x14ac:dyDescent="0.2">
      <c r="B29" t="s">
        <v>214</v>
      </c>
      <c r="C29" s="12">
        <v>103</v>
      </c>
      <c r="D29" s="8">
        <v>5.0599999999999996</v>
      </c>
      <c r="E29" s="12">
        <v>9</v>
      </c>
      <c r="F29" s="8">
        <v>1.1000000000000001</v>
      </c>
      <c r="G29" s="12">
        <v>94</v>
      </c>
      <c r="H29" s="8">
        <v>7.82</v>
      </c>
      <c r="I29" s="12">
        <v>0</v>
      </c>
    </row>
    <row r="30" spans="2:9" ht="15" customHeight="1" x14ac:dyDescent="0.2">
      <c r="B30" t="s">
        <v>231</v>
      </c>
      <c r="C30" s="12">
        <v>88</v>
      </c>
      <c r="D30" s="8">
        <v>4.32</v>
      </c>
      <c r="E30" s="12">
        <v>69</v>
      </c>
      <c r="F30" s="8">
        <v>8.4499999999999993</v>
      </c>
      <c r="G30" s="12">
        <v>19</v>
      </c>
      <c r="H30" s="8">
        <v>1.58</v>
      </c>
      <c r="I30" s="12">
        <v>0</v>
      </c>
    </row>
    <row r="31" spans="2:9" ht="15" customHeight="1" x14ac:dyDescent="0.2">
      <c r="B31" t="s">
        <v>226</v>
      </c>
      <c r="C31" s="12">
        <v>70</v>
      </c>
      <c r="D31" s="8">
        <v>3.44</v>
      </c>
      <c r="E31" s="12">
        <v>15</v>
      </c>
      <c r="F31" s="8">
        <v>1.84</v>
      </c>
      <c r="G31" s="12">
        <v>55</v>
      </c>
      <c r="H31" s="8">
        <v>4.58</v>
      </c>
      <c r="I31" s="12">
        <v>0</v>
      </c>
    </row>
    <row r="32" spans="2:9" ht="15" customHeight="1" x14ac:dyDescent="0.2">
      <c r="B32" t="s">
        <v>215</v>
      </c>
      <c r="C32" s="12">
        <v>65</v>
      </c>
      <c r="D32" s="8">
        <v>3.19</v>
      </c>
      <c r="E32" s="12">
        <v>5</v>
      </c>
      <c r="F32" s="8">
        <v>0.61</v>
      </c>
      <c r="G32" s="12">
        <v>60</v>
      </c>
      <c r="H32" s="8">
        <v>4.99</v>
      </c>
      <c r="I32" s="12">
        <v>0</v>
      </c>
    </row>
    <row r="33" spans="2:9" ht="15" customHeight="1" x14ac:dyDescent="0.2">
      <c r="B33" t="s">
        <v>230</v>
      </c>
      <c r="C33" s="12">
        <v>65</v>
      </c>
      <c r="D33" s="8">
        <v>3.19</v>
      </c>
      <c r="E33" s="12">
        <v>43</v>
      </c>
      <c r="F33" s="8">
        <v>5.26</v>
      </c>
      <c r="G33" s="12">
        <v>21</v>
      </c>
      <c r="H33" s="8">
        <v>1.75</v>
      </c>
      <c r="I33" s="12">
        <v>0</v>
      </c>
    </row>
    <row r="34" spans="2:9" ht="15" customHeight="1" x14ac:dyDescent="0.2">
      <c r="B34" t="s">
        <v>221</v>
      </c>
      <c r="C34" s="12">
        <v>63</v>
      </c>
      <c r="D34" s="8">
        <v>3.09</v>
      </c>
      <c r="E34" s="12">
        <v>30</v>
      </c>
      <c r="F34" s="8">
        <v>3.67</v>
      </c>
      <c r="G34" s="12">
        <v>33</v>
      </c>
      <c r="H34" s="8">
        <v>2.75</v>
      </c>
      <c r="I34" s="12">
        <v>0</v>
      </c>
    </row>
    <row r="35" spans="2:9" ht="15" customHeight="1" x14ac:dyDescent="0.2">
      <c r="B35" t="s">
        <v>225</v>
      </c>
      <c r="C35" s="12">
        <v>44</v>
      </c>
      <c r="D35" s="8">
        <v>2.16</v>
      </c>
      <c r="E35" s="12">
        <v>25</v>
      </c>
      <c r="F35" s="8">
        <v>3.06</v>
      </c>
      <c r="G35" s="12">
        <v>19</v>
      </c>
      <c r="H35" s="8">
        <v>1.58</v>
      </c>
      <c r="I35" s="12">
        <v>0</v>
      </c>
    </row>
    <row r="36" spans="2:9" ht="15" customHeight="1" x14ac:dyDescent="0.2">
      <c r="B36" t="s">
        <v>232</v>
      </c>
      <c r="C36" s="12">
        <v>42</v>
      </c>
      <c r="D36" s="8">
        <v>2.06</v>
      </c>
      <c r="E36" s="12">
        <v>1</v>
      </c>
      <c r="F36" s="8">
        <v>0.12</v>
      </c>
      <c r="G36" s="12">
        <v>41</v>
      </c>
      <c r="H36" s="8">
        <v>3.41</v>
      </c>
      <c r="I36" s="12">
        <v>0</v>
      </c>
    </row>
    <row r="37" spans="2:9" ht="15" customHeight="1" x14ac:dyDescent="0.2">
      <c r="B37" t="s">
        <v>222</v>
      </c>
      <c r="C37" s="12">
        <v>35</v>
      </c>
      <c r="D37" s="8">
        <v>1.72</v>
      </c>
      <c r="E37" s="12">
        <v>13</v>
      </c>
      <c r="F37" s="8">
        <v>1.59</v>
      </c>
      <c r="G37" s="12">
        <v>22</v>
      </c>
      <c r="H37" s="8">
        <v>1.83</v>
      </c>
      <c r="I37" s="12">
        <v>0</v>
      </c>
    </row>
    <row r="38" spans="2:9" ht="15" customHeight="1" x14ac:dyDescent="0.2">
      <c r="B38" t="s">
        <v>238</v>
      </c>
      <c r="C38" s="12">
        <v>32</v>
      </c>
      <c r="D38" s="8">
        <v>1.57</v>
      </c>
      <c r="E38" s="12">
        <v>28</v>
      </c>
      <c r="F38" s="8">
        <v>3.43</v>
      </c>
      <c r="G38" s="12">
        <v>4</v>
      </c>
      <c r="H38" s="8">
        <v>0.33</v>
      </c>
      <c r="I38" s="12">
        <v>0</v>
      </c>
    </row>
    <row r="39" spans="2:9" ht="15" customHeight="1" x14ac:dyDescent="0.2">
      <c r="B39" t="s">
        <v>219</v>
      </c>
      <c r="C39" s="12">
        <v>30</v>
      </c>
      <c r="D39" s="8">
        <v>1.47</v>
      </c>
      <c r="E39" s="12">
        <v>3</v>
      </c>
      <c r="F39" s="8">
        <v>0.37</v>
      </c>
      <c r="G39" s="12">
        <v>27</v>
      </c>
      <c r="H39" s="8">
        <v>2.25</v>
      </c>
      <c r="I39" s="12">
        <v>0</v>
      </c>
    </row>
    <row r="40" spans="2:9" ht="15" customHeight="1" x14ac:dyDescent="0.2">
      <c r="B40" t="s">
        <v>234</v>
      </c>
      <c r="C40" s="12">
        <v>30</v>
      </c>
      <c r="D40" s="8">
        <v>1.47</v>
      </c>
      <c r="E40" s="12">
        <v>0</v>
      </c>
      <c r="F40" s="8">
        <v>0</v>
      </c>
      <c r="G40" s="12">
        <v>27</v>
      </c>
      <c r="H40" s="8">
        <v>2.25</v>
      </c>
      <c r="I40" s="12">
        <v>3</v>
      </c>
    </row>
    <row r="41" spans="2:9" ht="15" customHeight="1" x14ac:dyDescent="0.2">
      <c r="B41" t="s">
        <v>229</v>
      </c>
      <c r="C41" s="12">
        <v>28</v>
      </c>
      <c r="D41" s="8">
        <v>1.37</v>
      </c>
      <c r="E41" s="12">
        <v>13</v>
      </c>
      <c r="F41" s="8">
        <v>1.59</v>
      </c>
      <c r="G41" s="12">
        <v>15</v>
      </c>
      <c r="H41" s="8">
        <v>1.25</v>
      </c>
      <c r="I41" s="12">
        <v>0</v>
      </c>
    </row>
    <row r="42" spans="2:9" ht="15" customHeight="1" x14ac:dyDescent="0.2">
      <c r="B42" t="s">
        <v>220</v>
      </c>
      <c r="C42" s="12">
        <v>27</v>
      </c>
      <c r="D42" s="8">
        <v>1.33</v>
      </c>
      <c r="E42" s="12">
        <v>10</v>
      </c>
      <c r="F42" s="8">
        <v>1.22</v>
      </c>
      <c r="G42" s="12">
        <v>17</v>
      </c>
      <c r="H42" s="8">
        <v>1.41</v>
      </c>
      <c r="I42" s="12">
        <v>0</v>
      </c>
    </row>
    <row r="43" spans="2:9" ht="15" customHeight="1" x14ac:dyDescent="0.2">
      <c r="B43" t="s">
        <v>233</v>
      </c>
      <c r="C43" s="12">
        <v>26</v>
      </c>
      <c r="D43" s="8">
        <v>1.28</v>
      </c>
      <c r="E43" s="12">
        <v>0</v>
      </c>
      <c r="F43" s="8">
        <v>0</v>
      </c>
      <c r="G43" s="12">
        <v>26</v>
      </c>
      <c r="H43" s="8">
        <v>2.16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199</v>
      </c>
      <c r="D47" s="8">
        <v>9.77</v>
      </c>
      <c r="E47" s="12">
        <v>124</v>
      </c>
      <c r="F47" s="8">
        <v>15.18</v>
      </c>
      <c r="G47" s="12">
        <v>75</v>
      </c>
      <c r="H47" s="8">
        <v>6.24</v>
      </c>
      <c r="I47" s="12">
        <v>0</v>
      </c>
    </row>
    <row r="48" spans="2:9" ht="15" customHeight="1" x14ac:dyDescent="0.2">
      <c r="B48" t="s">
        <v>304</v>
      </c>
      <c r="C48" s="12">
        <v>110</v>
      </c>
      <c r="D48" s="8">
        <v>5.4</v>
      </c>
      <c r="E48" s="12">
        <v>91</v>
      </c>
      <c r="F48" s="8">
        <v>11.14</v>
      </c>
      <c r="G48" s="12">
        <v>19</v>
      </c>
      <c r="H48" s="8">
        <v>1.58</v>
      </c>
      <c r="I48" s="12">
        <v>0</v>
      </c>
    </row>
    <row r="49" spans="2:9" ht="15" customHeight="1" x14ac:dyDescent="0.2">
      <c r="B49" t="s">
        <v>303</v>
      </c>
      <c r="C49" s="12">
        <v>79</v>
      </c>
      <c r="D49" s="8">
        <v>3.88</v>
      </c>
      <c r="E49" s="12">
        <v>68</v>
      </c>
      <c r="F49" s="8">
        <v>8.32</v>
      </c>
      <c r="G49" s="12">
        <v>11</v>
      </c>
      <c r="H49" s="8">
        <v>0.92</v>
      </c>
      <c r="I49" s="12">
        <v>0</v>
      </c>
    </row>
    <row r="50" spans="2:9" ht="15" customHeight="1" x14ac:dyDescent="0.2">
      <c r="B50" t="s">
        <v>299</v>
      </c>
      <c r="C50" s="12">
        <v>61</v>
      </c>
      <c r="D50" s="8">
        <v>2.99</v>
      </c>
      <c r="E50" s="12">
        <v>34</v>
      </c>
      <c r="F50" s="8">
        <v>4.16</v>
      </c>
      <c r="G50" s="12">
        <v>27</v>
      </c>
      <c r="H50" s="8">
        <v>2.25</v>
      </c>
      <c r="I50" s="12">
        <v>0</v>
      </c>
    </row>
    <row r="51" spans="2:9" ht="15" customHeight="1" x14ac:dyDescent="0.2">
      <c r="B51" t="s">
        <v>306</v>
      </c>
      <c r="C51" s="12">
        <v>51</v>
      </c>
      <c r="D51" s="8">
        <v>2.5</v>
      </c>
      <c r="E51" s="12">
        <v>41</v>
      </c>
      <c r="F51" s="8">
        <v>5.0199999999999996</v>
      </c>
      <c r="G51" s="12">
        <v>10</v>
      </c>
      <c r="H51" s="8">
        <v>0.83</v>
      </c>
      <c r="I51" s="12">
        <v>0</v>
      </c>
    </row>
    <row r="52" spans="2:9" ht="15" customHeight="1" x14ac:dyDescent="0.2">
      <c r="B52" t="s">
        <v>296</v>
      </c>
      <c r="C52" s="12">
        <v>49</v>
      </c>
      <c r="D52" s="8">
        <v>2.41</v>
      </c>
      <c r="E52" s="12">
        <v>9</v>
      </c>
      <c r="F52" s="8">
        <v>1.1000000000000001</v>
      </c>
      <c r="G52" s="12">
        <v>39</v>
      </c>
      <c r="H52" s="8">
        <v>3.24</v>
      </c>
      <c r="I52" s="12">
        <v>1</v>
      </c>
    </row>
    <row r="53" spans="2:9" ht="15" customHeight="1" x14ac:dyDescent="0.2">
      <c r="B53" t="s">
        <v>298</v>
      </c>
      <c r="C53" s="12">
        <v>47</v>
      </c>
      <c r="D53" s="8">
        <v>2.31</v>
      </c>
      <c r="E53" s="12">
        <v>8</v>
      </c>
      <c r="F53" s="8">
        <v>0.98</v>
      </c>
      <c r="G53" s="12">
        <v>39</v>
      </c>
      <c r="H53" s="8">
        <v>3.24</v>
      </c>
      <c r="I53" s="12">
        <v>0</v>
      </c>
    </row>
    <row r="54" spans="2:9" ht="15" customHeight="1" x14ac:dyDescent="0.2">
      <c r="B54" t="s">
        <v>301</v>
      </c>
      <c r="C54" s="12">
        <v>44</v>
      </c>
      <c r="D54" s="8">
        <v>2.16</v>
      </c>
      <c r="E54" s="12">
        <v>41</v>
      </c>
      <c r="F54" s="8">
        <v>5.0199999999999996</v>
      </c>
      <c r="G54" s="12">
        <v>3</v>
      </c>
      <c r="H54" s="8">
        <v>0.25</v>
      </c>
      <c r="I54" s="12">
        <v>0</v>
      </c>
    </row>
    <row r="55" spans="2:9" ht="15" customHeight="1" x14ac:dyDescent="0.2">
      <c r="B55" t="s">
        <v>305</v>
      </c>
      <c r="C55" s="12">
        <v>40</v>
      </c>
      <c r="D55" s="8">
        <v>1.96</v>
      </c>
      <c r="E55" s="12">
        <v>32</v>
      </c>
      <c r="F55" s="8">
        <v>3.92</v>
      </c>
      <c r="G55" s="12">
        <v>8</v>
      </c>
      <c r="H55" s="8">
        <v>0.67</v>
      </c>
      <c r="I55" s="12">
        <v>0</v>
      </c>
    </row>
    <row r="56" spans="2:9" ht="15" customHeight="1" x14ac:dyDescent="0.2">
      <c r="B56" t="s">
        <v>300</v>
      </c>
      <c r="C56" s="12">
        <v>39</v>
      </c>
      <c r="D56" s="8">
        <v>1.91</v>
      </c>
      <c r="E56" s="12">
        <v>35</v>
      </c>
      <c r="F56" s="8">
        <v>4.28</v>
      </c>
      <c r="G56" s="12">
        <v>4</v>
      </c>
      <c r="H56" s="8">
        <v>0.33</v>
      </c>
      <c r="I56" s="12">
        <v>0</v>
      </c>
    </row>
    <row r="57" spans="2:9" ht="15" customHeight="1" x14ac:dyDescent="0.2">
      <c r="B57" t="s">
        <v>288</v>
      </c>
      <c r="C57" s="12">
        <v>38</v>
      </c>
      <c r="D57" s="8">
        <v>1.87</v>
      </c>
      <c r="E57" s="12">
        <v>2</v>
      </c>
      <c r="F57" s="8">
        <v>0.24</v>
      </c>
      <c r="G57" s="12">
        <v>36</v>
      </c>
      <c r="H57" s="8">
        <v>3</v>
      </c>
      <c r="I57" s="12">
        <v>0</v>
      </c>
    </row>
    <row r="58" spans="2:9" ht="15" customHeight="1" x14ac:dyDescent="0.2">
      <c r="B58" t="s">
        <v>295</v>
      </c>
      <c r="C58" s="12">
        <v>37</v>
      </c>
      <c r="D58" s="8">
        <v>1.82</v>
      </c>
      <c r="E58" s="12">
        <v>14</v>
      </c>
      <c r="F58" s="8">
        <v>1.71</v>
      </c>
      <c r="G58" s="12">
        <v>23</v>
      </c>
      <c r="H58" s="8">
        <v>1.91</v>
      </c>
      <c r="I58" s="12">
        <v>0</v>
      </c>
    </row>
    <row r="59" spans="2:9" ht="15" customHeight="1" x14ac:dyDescent="0.2">
      <c r="B59" t="s">
        <v>302</v>
      </c>
      <c r="C59" s="12">
        <v>34</v>
      </c>
      <c r="D59" s="8">
        <v>1.67</v>
      </c>
      <c r="E59" s="12">
        <v>27</v>
      </c>
      <c r="F59" s="8">
        <v>3.3</v>
      </c>
      <c r="G59" s="12">
        <v>7</v>
      </c>
      <c r="H59" s="8">
        <v>0.57999999999999996</v>
      </c>
      <c r="I59" s="12">
        <v>0</v>
      </c>
    </row>
    <row r="60" spans="2:9" ht="15" customHeight="1" x14ac:dyDescent="0.2">
      <c r="B60" t="s">
        <v>291</v>
      </c>
      <c r="C60" s="12">
        <v>32</v>
      </c>
      <c r="D60" s="8">
        <v>1.57</v>
      </c>
      <c r="E60" s="12">
        <v>3</v>
      </c>
      <c r="F60" s="8">
        <v>0.37</v>
      </c>
      <c r="G60" s="12">
        <v>29</v>
      </c>
      <c r="H60" s="8">
        <v>2.41</v>
      </c>
      <c r="I60" s="12">
        <v>0</v>
      </c>
    </row>
    <row r="61" spans="2:9" ht="15" customHeight="1" x14ac:dyDescent="0.2">
      <c r="B61" t="s">
        <v>323</v>
      </c>
      <c r="C61" s="12">
        <v>32</v>
      </c>
      <c r="D61" s="8">
        <v>1.57</v>
      </c>
      <c r="E61" s="12">
        <v>5</v>
      </c>
      <c r="F61" s="8">
        <v>0.61</v>
      </c>
      <c r="G61" s="12">
        <v>27</v>
      </c>
      <c r="H61" s="8">
        <v>2.25</v>
      </c>
      <c r="I61" s="12">
        <v>0</v>
      </c>
    </row>
    <row r="62" spans="2:9" ht="15" customHeight="1" x14ac:dyDescent="0.2">
      <c r="B62" t="s">
        <v>319</v>
      </c>
      <c r="C62" s="12">
        <v>31</v>
      </c>
      <c r="D62" s="8">
        <v>1.52</v>
      </c>
      <c r="E62" s="12">
        <v>2</v>
      </c>
      <c r="F62" s="8">
        <v>0.24</v>
      </c>
      <c r="G62" s="12">
        <v>28</v>
      </c>
      <c r="H62" s="8">
        <v>2.33</v>
      </c>
      <c r="I62" s="12">
        <v>1</v>
      </c>
    </row>
    <row r="63" spans="2:9" ht="15" customHeight="1" x14ac:dyDescent="0.2">
      <c r="B63" t="s">
        <v>308</v>
      </c>
      <c r="C63" s="12">
        <v>30</v>
      </c>
      <c r="D63" s="8">
        <v>1.47</v>
      </c>
      <c r="E63" s="12">
        <v>2</v>
      </c>
      <c r="F63" s="8">
        <v>0.24</v>
      </c>
      <c r="G63" s="12">
        <v>28</v>
      </c>
      <c r="H63" s="8">
        <v>2.33</v>
      </c>
      <c r="I63" s="12">
        <v>0</v>
      </c>
    </row>
    <row r="64" spans="2:9" ht="15" customHeight="1" x14ac:dyDescent="0.2">
      <c r="B64" t="s">
        <v>294</v>
      </c>
      <c r="C64" s="12">
        <v>30</v>
      </c>
      <c r="D64" s="8">
        <v>1.47</v>
      </c>
      <c r="E64" s="12">
        <v>4</v>
      </c>
      <c r="F64" s="8">
        <v>0.49</v>
      </c>
      <c r="G64" s="12">
        <v>26</v>
      </c>
      <c r="H64" s="8">
        <v>2.16</v>
      </c>
      <c r="I64" s="12">
        <v>0</v>
      </c>
    </row>
    <row r="65" spans="2:9" ht="15" customHeight="1" x14ac:dyDescent="0.2">
      <c r="B65" t="s">
        <v>311</v>
      </c>
      <c r="C65" s="12">
        <v>30</v>
      </c>
      <c r="D65" s="8">
        <v>1.47</v>
      </c>
      <c r="E65" s="12">
        <v>0</v>
      </c>
      <c r="F65" s="8">
        <v>0</v>
      </c>
      <c r="G65" s="12">
        <v>27</v>
      </c>
      <c r="H65" s="8">
        <v>2.25</v>
      </c>
      <c r="I65" s="12">
        <v>1</v>
      </c>
    </row>
    <row r="66" spans="2:9" ht="15" customHeight="1" x14ac:dyDescent="0.2">
      <c r="B66" t="s">
        <v>312</v>
      </c>
      <c r="C66" s="12">
        <v>30</v>
      </c>
      <c r="D66" s="8">
        <v>1.47</v>
      </c>
      <c r="E66" s="12">
        <v>26</v>
      </c>
      <c r="F66" s="8">
        <v>3.18</v>
      </c>
      <c r="G66" s="12">
        <v>4</v>
      </c>
      <c r="H66" s="8">
        <v>0.33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84387-F382-46EB-AD16-D47382B84D25}">
  <sheetPr>
    <pageSetUpPr fitToPage="1"/>
  </sheetPr>
  <dimension ref="B2:I8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</v>
      </c>
      <c r="D6" s="8">
        <v>10.64</v>
      </c>
      <c r="E6" s="12">
        <v>2</v>
      </c>
      <c r="F6" s="8">
        <v>9.09</v>
      </c>
      <c r="G6" s="12">
        <v>3</v>
      </c>
      <c r="H6" s="8">
        <v>15</v>
      </c>
      <c r="I6" s="12">
        <v>0</v>
      </c>
    </row>
    <row r="7" spans="2:9" ht="15" customHeight="1" x14ac:dyDescent="0.2">
      <c r="B7" t="s">
        <v>192</v>
      </c>
      <c r="C7" s="12">
        <v>10</v>
      </c>
      <c r="D7" s="8">
        <v>21.28</v>
      </c>
      <c r="E7" s="12">
        <v>4</v>
      </c>
      <c r="F7" s="8">
        <v>18.18</v>
      </c>
      <c r="G7" s="12">
        <v>6</v>
      </c>
      <c r="H7" s="8">
        <v>30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4.26</v>
      </c>
      <c r="E8" s="12">
        <v>0</v>
      </c>
      <c r="F8" s="8">
        <v>0</v>
      </c>
      <c r="G8" s="12">
        <v>1</v>
      </c>
      <c r="H8" s="8">
        <v>5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6.38</v>
      </c>
      <c r="E10" s="12">
        <v>1</v>
      </c>
      <c r="F10" s="8">
        <v>4.55</v>
      </c>
      <c r="G10" s="12">
        <v>1</v>
      </c>
      <c r="H10" s="8">
        <v>5</v>
      </c>
      <c r="I10" s="12">
        <v>1</v>
      </c>
    </row>
    <row r="11" spans="2:9" ht="15" customHeight="1" x14ac:dyDescent="0.2">
      <c r="B11" t="s">
        <v>196</v>
      </c>
      <c r="C11" s="12">
        <v>11</v>
      </c>
      <c r="D11" s="8">
        <v>23.4</v>
      </c>
      <c r="E11" s="12">
        <v>8</v>
      </c>
      <c r="F11" s="8">
        <v>36.36</v>
      </c>
      <c r="G11" s="12">
        <v>3</v>
      </c>
      <c r="H11" s="8">
        <v>15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4.26</v>
      </c>
      <c r="E13" s="12">
        <v>0</v>
      </c>
      <c r="F13" s="8">
        <v>0</v>
      </c>
      <c r="G13" s="12">
        <v>1</v>
      </c>
      <c r="H13" s="8">
        <v>5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2.13</v>
      </c>
      <c r="E14" s="12">
        <v>1</v>
      </c>
      <c r="F14" s="8">
        <v>4.55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7</v>
      </c>
      <c r="D15" s="8">
        <v>14.89</v>
      </c>
      <c r="E15" s="12">
        <v>4</v>
      </c>
      <c r="F15" s="8">
        <v>18.18</v>
      </c>
      <c r="G15" s="12">
        <v>2</v>
      </c>
      <c r="H15" s="8">
        <v>10</v>
      </c>
      <c r="I15" s="12">
        <v>1</v>
      </c>
    </row>
    <row r="16" spans="2:9" ht="15" customHeight="1" x14ac:dyDescent="0.2">
      <c r="B16" t="s">
        <v>201</v>
      </c>
      <c r="C16" s="12">
        <v>3</v>
      </c>
      <c r="D16" s="8">
        <v>6.38</v>
      </c>
      <c r="E16" s="12">
        <v>2</v>
      </c>
      <c r="F16" s="8">
        <v>9.09</v>
      </c>
      <c r="G16" s="12">
        <v>1</v>
      </c>
      <c r="H16" s="8">
        <v>5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2.13</v>
      </c>
      <c r="E18" s="12">
        <v>0</v>
      </c>
      <c r="F18" s="8">
        <v>0</v>
      </c>
      <c r="G18" s="12">
        <v>0</v>
      </c>
      <c r="H18" s="8">
        <v>0</v>
      </c>
      <c r="I18" s="12">
        <v>1</v>
      </c>
    </row>
    <row r="19" spans="2:9" ht="15" customHeight="1" x14ac:dyDescent="0.2">
      <c r="B19" t="s">
        <v>204</v>
      </c>
      <c r="C19" s="12">
        <v>2</v>
      </c>
      <c r="D19" s="8">
        <v>4.26</v>
      </c>
      <c r="E19" s="12">
        <v>0</v>
      </c>
      <c r="F19" s="8">
        <v>0</v>
      </c>
      <c r="G19" s="12">
        <v>2</v>
      </c>
      <c r="H19" s="8">
        <v>10</v>
      </c>
      <c r="I19" s="12">
        <v>0</v>
      </c>
    </row>
    <row r="20" spans="2:9" ht="15" customHeight="1" x14ac:dyDescent="0.2">
      <c r="B20" s="9" t="s">
        <v>529</v>
      </c>
      <c r="C20" s="12">
        <f>SUM(LTBL_01472[総数／事業所数])</f>
        <v>47</v>
      </c>
      <c r="E20" s="12">
        <f>SUBTOTAL(109,LTBL_01472[個人／事業所数])</f>
        <v>22</v>
      </c>
      <c r="G20" s="12">
        <f>SUBTOTAL(109,LTBL_01472[法人／事業所数])</f>
        <v>20</v>
      </c>
      <c r="I20" s="12">
        <f>SUBTOTAL(109,LTBL_01472[法人以外の団体／事業所数])</f>
        <v>3</v>
      </c>
    </row>
    <row r="21" spans="2:9" ht="15" customHeight="1" x14ac:dyDescent="0.2">
      <c r="E21" s="11">
        <f>LTBL_01472[[#Totals],[個人／事業所数]]/LTBL_01472[[#Totals],[総数／事業所数]]</f>
        <v>0.46808510638297873</v>
      </c>
      <c r="G21" s="11">
        <f>LTBL_01472[[#Totals],[法人／事業所数]]/LTBL_01472[[#Totals],[総数／事業所数]]</f>
        <v>0.42553191489361702</v>
      </c>
      <c r="I21" s="11">
        <f>LTBL_01472[[#Totals],[法人以外の団体／事業所数]]/LTBL_01472[[#Totals],[総数／事業所数]]</f>
        <v>6.3829787234042548E-2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241</v>
      </c>
      <c r="C24" s="12">
        <v>7</v>
      </c>
      <c r="D24" s="8">
        <v>14.89</v>
      </c>
      <c r="E24" s="12">
        <v>3</v>
      </c>
      <c r="F24" s="8">
        <v>13.64</v>
      </c>
      <c r="G24" s="12">
        <v>4</v>
      </c>
      <c r="H24" s="8">
        <v>20</v>
      </c>
      <c r="I24" s="12">
        <v>0</v>
      </c>
    </row>
    <row r="25" spans="2:9" ht="15" customHeight="1" x14ac:dyDescent="0.2">
      <c r="B25" t="s">
        <v>223</v>
      </c>
      <c r="C25" s="12">
        <v>7</v>
      </c>
      <c r="D25" s="8">
        <v>14.89</v>
      </c>
      <c r="E25" s="12">
        <v>5</v>
      </c>
      <c r="F25" s="8">
        <v>22.73</v>
      </c>
      <c r="G25" s="12">
        <v>2</v>
      </c>
      <c r="H25" s="8">
        <v>10</v>
      </c>
      <c r="I25" s="12">
        <v>0</v>
      </c>
    </row>
    <row r="26" spans="2:9" ht="15" customHeight="1" x14ac:dyDescent="0.2">
      <c r="B26" t="s">
        <v>227</v>
      </c>
      <c r="C26" s="12">
        <v>4</v>
      </c>
      <c r="D26" s="8">
        <v>8.51</v>
      </c>
      <c r="E26" s="12">
        <v>3</v>
      </c>
      <c r="F26" s="8">
        <v>13.64</v>
      </c>
      <c r="G26" s="12">
        <v>0</v>
      </c>
      <c r="H26" s="8">
        <v>0</v>
      </c>
      <c r="I26" s="12">
        <v>1</v>
      </c>
    </row>
    <row r="27" spans="2:9" ht="15" customHeight="1" x14ac:dyDescent="0.2">
      <c r="B27" t="s">
        <v>213</v>
      </c>
      <c r="C27" s="12">
        <v>2</v>
      </c>
      <c r="D27" s="8">
        <v>4.26</v>
      </c>
      <c r="E27" s="12">
        <v>0</v>
      </c>
      <c r="F27" s="8">
        <v>0</v>
      </c>
      <c r="G27" s="12">
        <v>2</v>
      </c>
      <c r="H27" s="8">
        <v>10</v>
      </c>
      <c r="I27" s="12">
        <v>0</v>
      </c>
    </row>
    <row r="28" spans="2:9" ht="15" customHeight="1" x14ac:dyDescent="0.2">
      <c r="B28" t="s">
        <v>214</v>
      </c>
      <c r="C28" s="12">
        <v>2</v>
      </c>
      <c r="D28" s="8">
        <v>4.26</v>
      </c>
      <c r="E28" s="12">
        <v>1</v>
      </c>
      <c r="F28" s="8">
        <v>4.55</v>
      </c>
      <c r="G28" s="12">
        <v>1</v>
      </c>
      <c r="H28" s="8">
        <v>5</v>
      </c>
      <c r="I28" s="12">
        <v>0</v>
      </c>
    </row>
    <row r="29" spans="2:9" ht="15" customHeight="1" x14ac:dyDescent="0.2">
      <c r="B29" t="s">
        <v>255</v>
      </c>
      <c r="C29" s="12">
        <v>2</v>
      </c>
      <c r="D29" s="8">
        <v>4.26</v>
      </c>
      <c r="E29" s="12">
        <v>0</v>
      </c>
      <c r="F29" s="8">
        <v>0</v>
      </c>
      <c r="G29" s="12">
        <v>1</v>
      </c>
      <c r="H29" s="8">
        <v>5</v>
      </c>
      <c r="I29" s="12">
        <v>0</v>
      </c>
    </row>
    <row r="30" spans="2:9" ht="15" customHeight="1" x14ac:dyDescent="0.2">
      <c r="B30" t="s">
        <v>221</v>
      </c>
      <c r="C30" s="12">
        <v>2</v>
      </c>
      <c r="D30" s="8">
        <v>4.26</v>
      </c>
      <c r="E30" s="12">
        <v>1</v>
      </c>
      <c r="F30" s="8">
        <v>4.55</v>
      </c>
      <c r="G30" s="12">
        <v>1</v>
      </c>
      <c r="H30" s="8">
        <v>5</v>
      </c>
      <c r="I30" s="12">
        <v>0</v>
      </c>
    </row>
    <row r="31" spans="2:9" ht="15" customHeight="1" x14ac:dyDescent="0.2">
      <c r="B31" t="s">
        <v>243</v>
      </c>
      <c r="C31" s="12">
        <v>2</v>
      </c>
      <c r="D31" s="8">
        <v>4.26</v>
      </c>
      <c r="E31" s="12">
        <v>1</v>
      </c>
      <c r="F31" s="8">
        <v>4.55</v>
      </c>
      <c r="G31" s="12">
        <v>1</v>
      </c>
      <c r="H31" s="8">
        <v>5</v>
      </c>
      <c r="I31" s="12">
        <v>0</v>
      </c>
    </row>
    <row r="32" spans="2:9" ht="15" customHeight="1" x14ac:dyDescent="0.2">
      <c r="B32" t="s">
        <v>228</v>
      </c>
      <c r="C32" s="12">
        <v>2</v>
      </c>
      <c r="D32" s="8">
        <v>4.26</v>
      </c>
      <c r="E32" s="12">
        <v>2</v>
      </c>
      <c r="F32" s="8">
        <v>9.09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240</v>
      </c>
      <c r="C33" s="12">
        <v>2</v>
      </c>
      <c r="D33" s="8">
        <v>4.26</v>
      </c>
      <c r="E33" s="12">
        <v>0</v>
      </c>
      <c r="F33" s="8">
        <v>0</v>
      </c>
      <c r="G33" s="12">
        <v>2</v>
      </c>
      <c r="H33" s="8">
        <v>10</v>
      </c>
      <c r="I33" s="12">
        <v>0</v>
      </c>
    </row>
    <row r="34" spans="2:9" ht="15" customHeight="1" x14ac:dyDescent="0.2">
      <c r="B34" t="s">
        <v>215</v>
      </c>
      <c r="C34" s="12">
        <v>1</v>
      </c>
      <c r="D34" s="8">
        <v>2.13</v>
      </c>
      <c r="E34" s="12">
        <v>1</v>
      </c>
      <c r="F34" s="8">
        <v>4.55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262</v>
      </c>
      <c r="C35" s="12">
        <v>1</v>
      </c>
      <c r="D35" s="8">
        <v>2.13</v>
      </c>
      <c r="E35" s="12">
        <v>0</v>
      </c>
      <c r="F35" s="8">
        <v>0</v>
      </c>
      <c r="G35" s="12">
        <v>1</v>
      </c>
      <c r="H35" s="8">
        <v>5</v>
      </c>
      <c r="I35" s="12">
        <v>0</v>
      </c>
    </row>
    <row r="36" spans="2:9" ht="15" customHeight="1" x14ac:dyDescent="0.2">
      <c r="B36" t="s">
        <v>244</v>
      </c>
      <c r="C36" s="12">
        <v>1</v>
      </c>
      <c r="D36" s="8">
        <v>2.13</v>
      </c>
      <c r="E36" s="12">
        <v>0</v>
      </c>
      <c r="F36" s="8">
        <v>0</v>
      </c>
      <c r="G36" s="12">
        <v>1</v>
      </c>
      <c r="H36" s="8">
        <v>5</v>
      </c>
      <c r="I36" s="12">
        <v>0</v>
      </c>
    </row>
    <row r="37" spans="2:9" ht="15" customHeight="1" x14ac:dyDescent="0.2">
      <c r="B37" t="s">
        <v>245</v>
      </c>
      <c r="C37" s="12">
        <v>1</v>
      </c>
      <c r="D37" s="8">
        <v>2.13</v>
      </c>
      <c r="E37" s="12">
        <v>1</v>
      </c>
      <c r="F37" s="8">
        <v>4.55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248</v>
      </c>
      <c r="C38" s="12">
        <v>1</v>
      </c>
      <c r="D38" s="8">
        <v>2.13</v>
      </c>
      <c r="E38" s="12">
        <v>1</v>
      </c>
      <c r="F38" s="8">
        <v>4.55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274</v>
      </c>
      <c r="C39" s="12">
        <v>1</v>
      </c>
      <c r="D39" s="8">
        <v>2.13</v>
      </c>
      <c r="E39" s="12">
        <v>0</v>
      </c>
      <c r="F39" s="8">
        <v>0</v>
      </c>
      <c r="G39" s="12">
        <v>1</v>
      </c>
      <c r="H39" s="8">
        <v>5</v>
      </c>
      <c r="I39" s="12">
        <v>0</v>
      </c>
    </row>
    <row r="40" spans="2:9" ht="15" customHeight="1" x14ac:dyDescent="0.2">
      <c r="B40" t="s">
        <v>261</v>
      </c>
      <c r="C40" s="12">
        <v>1</v>
      </c>
      <c r="D40" s="8">
        <v>2.13</v>
      </c>
      <c r="E40" s="12">
        <v>0</v>
      </c>
      <c r="F40" s="8">
        <v>0</v>
      </c>
      <c r="G40" s="12">
        <v>0</v>
      </c>
      <c r="H40" s="8">
        <v>0</v>
      </c>
      <c r="I40" s="12">
        <v>1</v>
      </c>
    </row>
    <row r="41" spans="2:9" ht="15" customHeight="1" x14ac:dyDescent="0.2">
      <c r="B41" t="s">
        <v>220</v>
      </c>
      <c r="C41" s="12">
        <v>1</v>
      </c>
      <c r="D41" s="8">
        <v>2.13</v>
      </c>
      <c r="E41" s="12">
        <v>1</v>
      </c>
      <c r="F41" s="8">
        <v>4.55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222</v>
      </c>
      <c r="C42" s="12">
        <v>1</v>
      </c>
      <c r="D42" s="8">
        <v>2.13</v>
      </c>
      <c r="E42" s="12">
        <v>1</v>
      </c>
      <c r="F42" s="8">
        <v>4.55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224</v>
      </c>
      <c r="C43" s="12">
        <v>1</v>
      </c>
      <c r="D43" s="8">
        <v>2.13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246</v>
      </c>
      <c r="C44" s="12">
        <v>1</v>
      </c>
      <c r="D44" s="8">
        <v>2.13</v>
      </c>
      <c r="E44" s="12">
        <v>0</v>
      </c>
      <c r="F44" s="8">
        <v>0</v>
      </c>
      <c r="G44" s="12">
        <v>1</v>
      </c>
      <c r="H44" s="8">
        <v>5</v>
      </c>
      <c r="I44" s="12">
        <v>0</v>
      </c>
    </row>
    <row r="45" spans="2:9" ht="15" customHeight="1" x14ac:dyDescent="0.2">
      <c r="B45" t="s">
        <v>225</v>
      </c>
      <c r="C45" s="12">
        <v>1</v>
      </c>
      <c r="D45" s="8">
        <v>2.13</v>
      </c>
      <c r="E45" s="12">
        <v>1</v>
      </c>
      <c r="F45" s="8">
        <v>4.55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239</v>
      </c>
      <c r="C46" s="12">
        <v>1</v>
      </c>
      <c r="D46" s="8">
        <v>2.13</v>
      </c>
      <c r="E46" s="12">
        <v>0</v>
      </c>
      <c r="F46" s="8">
        <v>0</v>
      </c>
      <c r="G46" s="12">
        <v>1</v>
      </c>
      <c r="H46" s="8">
        <v>5</v>
      </c>
      <c r="I46" s="12">
        <v>0</v>
      </c>
    </row>
    <row r="47" spans="2:9" ht="15" customHeight="1" x14ac:dyDescent="0.2">
      <c r="B47" t="s">
        <v>247</v>
      </c>
      <c r="C47" s="12">
        <v>1</v>
      </c>
      <c r="D47" s="8">
        <v>2.13</v>
      </c>
      <c r="E47" s="12">
        <v>0</v>
      </c>
      <c r="F47" s="8">
        <v>0</v>
      </c>
      <c r="G47" s="12">
        <v>1</v>
      </c>
      <c r="H47" s="8">
        <v>5</v>
      </c>
      <c r="I47" s="12">
        <v>0</v>
      </c>
    </row>
    <row r="48" spans="2:9" ht="15" customHeight="1" x14ac:dyDescent="0.2">
      <c r="B48" t="s">
        <v>231</v>
      </c>
      <c r="C48" s="12">
        <v>1</v>
      </c>
      <c r="D48" s="8">
        <v>2.13</v>
      </c>
      <c r="E48" s="12">
        <v>0</v>
      </c>
      <c r="F48" s="8">
        <v>0</v>
      </c>
      <c r="G48" s="12">
        <v>0</v>
      </c>
      <c r="H48" s="8">
        <v>0</v>
      </c>
      <c r="I48" s="12">
        <v>1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494</v>
      </c>
      <c r="C52" s="12">
        <v>6</v>
      </c>
      <c r="D52" s="8">
        <v>12.77</v>
      </c>
      <c r="E52" s="12">
        <v>2</v>
      </c>
      <c r="F52" s="8">
        <v>9.09</v>
      </c>
      <c r="G52" s="12">
        <v>4</v>
      </c>
      <c r="H52" s="8">
        <v>20</v>
      </c>
      <c r="I52" s="12">
        <v>0</v>
      </c>
    </row>
    <row r="53" spans="2:9" ht="15" customHeight="1" x14ac:dyDescent="0.2">
      <c r="B53" t="s">
        <v>288</v>
      </c>
      <c r="C53" s="12">
        <v>2</v>
      </c>
      <c r="D53" s="8">
        <v>4.26</v>
      </c>
      <c r="E53" s="12">
        <v>0</v>
      </c>
      <c r="F53" s="8">
        <v>0</v>
      </c>
      <c r="G53" s="12">
        <v>2</v>
      </c>
      <c r="H53" s="8">
        <v>10</v>
      </c>
      <c r="I53" s="12">
        <v>0</v>
      </c>
    </row>
    <row r="54" spans="2:9" ht="15" customHeight="1" x14ac:dyDescent="0.2">
      <c r="B54" t="s">
        <v>330</v>
      </c>
      <c r="C54" s="12">
        <v>2</v>
      </c>
      <c r="D54" s="8">
        <v>4.26</v>
      </c>
      <c r="E54" s="12">
        <v>0</v>
      </c>
      <c r="F54" s="8">
        <v>0</v>
      </c>
      <c r="G54" s="12">
        <v>2</v>
      </c>
      <c r="H54" s="8">
        <v>10</v>
      </c>
      <c r="I54" s="12">
        <v>0</v>
      </c>
    </row>
    <row r="55" spans="2:9" ht="15" customHeight="1" x14ac:dyDescent="0.2">
      <c r="B55" t="s">
        <v>337</v>
      </c>
      <c r="C55" s="12">
        <v>2</v>
      </c>
      <c r="D55" s="8">
        <v>4.26</v>
      </c>
      <c r="E55" s="12">
        <v>2</v>
      </c>
      <c r="F55" s="8">
        <v>9.09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339</v>
      </c>
      <c r="C56" s="12">
        <v>2</v>
      </c>
      <c r="D56" s="8">
        <v>4.26</v>
      </c>
      <c r="E56" s="12">
        <v>1</v>
      </c>
      <c r="F56" s="8">
        <v>4.55</v>
      </c>
      <c r="G56" s="12">
        <v>1</v>
      </c>
      <c r="H56" s="8">
        <v>5</v>
      </c>
      <c r="I56" s="12">
        <v>0</v>
      </c>
    </row>
    <row r="57" spans="2:9" ht="15" customHeight="1" x14ac:dyDescent="0.2">
      <c r="B57" t="s">
        <v>419</v>
      </c>
      <c r="C57" s="12">
        <v>2</v>
      </c>
      <c r="D57" s="8">
        <v>4.26</v>
      </c>
      <c r="E57" s="12">
        <v>2</v>
      </c>
      <c r="F57" s="8">
        <v>9.09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307</v>
      </c>
      <c r="C58" s="12">
        <v>2</v>
      </c>
      <c r="D58" s="8">
        <v>4.26</v>
      </c>
      <c r="E58" s="12">
        <v>0</v>
      </c>
      <c r="F58" s="8">
        <v>0</v>
      </c>
      <c r="G58" s="12">
        <v>2</v>
      </c>
      <c r="H58" s="8">
        <v>10</v>
      </c>
      <c r="I58" s="12">
        <v>0</v>
      </c>
    </row>
    <row r="59" spans="2:9" ht="15" customHeight="1" x14ac:dyDescent="0.2">
      <c r="B59" t="s">
        <v>375</v>
      </c>
      <c r="C59" s="12">
        <v>1</v>
      </c>
      <c r="D59" s="8">
        <v>2.13</v>
      </c>
      <c r="E59" s="12">
        <v>0</v>
      </c>
      <c r="F59" s="8">
        <v>0</v>
      </c>
      <c r="G59" s="12">
        <v>1</v>
      </c>
      <c r="H59" s="8">
        <v>5</v>
      </c>
      <c r="I59" s="12">
        <v>0</v>
      </c>
    </row>
    <row r="60" spans="2:9" ht="15" customHeight="1" x14ac:dyDescent="0.2">
      <c r="B60" t="s">
        <v>320</v>
      </c>
      <c r="C60" s="12">
        <v>1</v>
      </c>
      <c r="D60" s="8">
        <v>2.13</v>
      </c>
      <c r="E60" s="12">
        <v>1</v>
      </c>
      <c r="F60" s="8">
        <v>4.55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290</v>
      </c>
      <c r="C61" s="12">
        <v>1</v>
      </c>
      <c r="D61" s="8">
        <v>2.13</v>
      </c>
      <c r="E61" s="12">
        <v>1</v>
      </c>
      <c r="F61" s="8">
        <v>4.55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394</v>
      </c>
      <c r="C62" s="12">
        <v>1</v>
      </c>
      <c r="D62" s="8">
        <v>2.13</v>
      </c>
      <c r="E62" s="12">
        <v>1</v>
      </c>
      <c r="F62" s="8">
        <v>4.55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443</v>
      </c>
      <c r="C63" s="12">
        <v>1</v>
      </c>
      <c r="D63" s="8">
        <v>2.13</v>
      </c>
      <c r="E63" s="12">
        <v>0</v>
      </c>
      <c r="F63" s="8">
        <v>0</v>
      </c>
      <c r="G63" s="12">
        <v>1</v>
      </c>
      <c r="H63" s="8">
        <v>5</v>
      </c>
      <c r="I63" s="12">
        <v>0</v>
      </c>
    </row>
    <row r="64" spans="2:9" ht="15" customHeight="1" x14ac:dyDescent="0.2">
      <c r="B64" t="s">
        <v>384</v>
      </c>
      <c r="C64" s="12">
        <v>1</v>
      </c>
      <c r="D64" s="8">
        <v>2.13</v>
      </c>
      <c r="E64" s="12">
        <v>0</v>
      </c>
      <c r="F64" s="8">
        <v>0</v>
      </c>
      <c r="G64" s="12">
        <v>1</v>
      </c>
      <c r="H64" s="8">
        <v>5</v>
      </c>
      <c r="I64" s="12">
        <v>0</v>
      </c>
    </row>
    <row r="65" spans="2:9" ht="15" customHeight="1" x14ac:dyDescent="0.2">
      <c r="B65" t="s">
        <v>425</v>
      </c>
      <c r="C65" s="12">
        <v>1</v>
      </c>
      <c r="D65" s="8">
        <v>2.13</v>
      </c>
      <c r="E65" s="12">
        <v>1</v>
      </c>
      <c r="F65" s="8">
        <v>4.55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362</v>
      </c>
      <c r="C66" s="12">
        <v>1</v>
      </c>
      <c r="D66" s="8">
        <v>2.13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407</v>
      </c>
      <c r="C67" s="12">
        <v>1</v>
      </c>
      <c r="D67" s="8">
        <v>2.13</v>
      </c>
      <c r="E67" s="12">
        <v>0</v>
      </c>
      <c r="F67" s="8">
        <v>0</v>
      </c>
      <c r="G67" s="12">
        <v>1</v>
      </c>
      <c r="H67" s="8">
        <v>5</v>
      </c>
      <c r="I67" s="12">
        <v>0</v>
      </c>
    </row>
    <row r="68" spans="2:9" ht="15" customHeight="1" x14ac:dyDescent="0.2">
      <c r="B68" t="s">
        <v>350</v>
      </c>
      <c r="C68" s="12">
        <v>1</v>
      </c>
      <c r="D68" s="8">
        <v>2.13</v>
      </c>
      <c r="E68" s="12">
        <v>1</v>
      </c>
      <c r="F68" s="8">
        <v>4.55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487</v>
      </c>
      <c r="C69" s="12">
        <v>1</v>
      </c>
      <c r="D69" s="8">
        <v>2.13</v>
      </c>
      <c r="E69" s="12">
        <v>0</v>
      </c>
      <c r="F69" s="8">
        <v>0</v>
      </c>
      <c r="G69" s="12">
        <v>1</v>
      </c>
      <c r="H69" s="8">
        <v>5</v>
      </c>
      <c r="I69" s="12">
        <v>0</v>
      </c>
    </row>
    <row r="70" spans="2:9" ht="15" customHeight="1" x14ac:dyDescent="0.2">
      <c r="B70" t="s">
        <v>364</v>
      </c>
      <c r="C70" s="12">
        <v>1</v>
      </c>
      <c r="D70" s="8">
        <v>2.13</v>
      </c>
      <c r="E70" s="12">
        <v>0</v>
      </c>
      <c r="F70" s="8">
        <v>0</v>
      </c>
      <c r="G70" s="12">
        <v>0</v>
      </c>
      <c r="H70" s="8">
        <v>0</v>
      </c>
      <c r="I70" s="12">
        <v>1</v>
      </c>
    </row>
    <row r="71" spans="2:9" ht="15" customHeight="1" x14ac:dyDescent="0.2">
      <c r="B71" t="s">
        <v>314</v>
      </c>
      <c r="C71" s="12">
        <v>1</v>
      </c>
      <c r="D71" s="8">
        <v>2.13</v>
      </c>
      <c r="E71" s="12">
        <v>1</v>
      </c>
      <c r="F71" s="8">
        <v>4.55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354</v>
      </c>
      <c r="C72" s="12">
        <v>1</v>
      </c>
      <c r="D72" s="8">
        <v>2.13</v>
      </c>
      <c r="E72" s="12">
        <v>1</v>
      </c>
      <c r="F72" s="8">
        <v>4.55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292</v>
      </c>
      <c r="C73" s="12">
        <v>1</v>
      </c>
      <c r="D73" s="8">
        <v>2.13</v>
      </c>
      <c r="E73" s="12">
        <v>0</v>
      </c>
      <c r="F73" s="8">
        <v>0</v>
      </c>
      <c r="G73" s="12">
        <v>1</v>
      </c>
      <c r="H73" s="8">
        <v>5</v>
      </c>
      <c r="I73" s="12">
        <v>0</v>
      </c>
    </row>
    <row r="74" spans="2:9" ht="15" customHeight="1" x14ac:dyDescent="0.2">
      <c r="B74" t="s">
        <v>335</v>
      </c>
      <c r="C74" s="12">
        <v>1</v>
      </c>
      <c r="D74" s="8">
        <v>2.13</v>
      </c>
      <c r="E74" s="12">
        <v>1</v>
      </c>
      <c r="F74" s="8">
        <v>4.55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402</v>
      </c>
      <c r="C75" s="12">
        <v>1</v>
      </c>
      <c r="D75" s="8">
        <v>2.13</v>
      </c>
      <c r="E75" s="12">
        <v>1</v>
      </c>
      <c r="F75" s="8">
        <v>4.55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294</v>
      </c>
      <c r="C76" s="12">
        <v>1</v>
      </c>
      <c r="D76" s="8">
        <v>2.13</v>
      </c>
      <c r="E76" s="12">
        <v>1</v>
      </c>
      <c r="F76" s="8">
        <v>4.55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295</v>
      </c>
      <c r="C77" s="12">
        <v>1</v>
      </c>
      <c r="D77" s="8">
        <v>2.13</v>
      </c>
      <c r="E77" s="12">
        <v>1</v>
      </c>
      <c r="F77" s="8">
        <v>4.55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297</v>
      </c>
      <c r="C78" s="12">
        <v>1</v>
      </c>
      <c r="D78" s="8">
        <v>2.13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396</v>
      </c>
      <c r="C79" s="12">
        <v>1</v>
      </c>
      <c r="D79" s="8">
        <v>2.13</v>
      </c>
      <c r="E79" s="12">
        <v>0</v>
      </c>
      <c r="F79" s="8">
        <v>0</v>
      </c>
      <c r="G79" s="12">
        <v>1</v>
      </c>
      <c r="H79" s="8">
        <v>5</v>
      </c>
      <c r="I79" s="12">
        <v>0</v>
      </c>
    </row>
    <row r="80" spans="2:9" ht="15" customHeight="1" x14ac:dyDescent="0.2">
      <c r="B80" t="s">
        <v>495</v>
      </c>
      <c r="C80" s="12">
        <v>1</v>
      </c>
      <c r="D80" s="8">
        <v>2.13</v>
      </c>
      <c r="E80" s="12">
        <v>1</v>
      </c>
      <c r="F80" s="8">
        <v>4.55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299</v>
      </c>
      <c r="C81" s="12">
        <v>1</v>
      </c>
      <c r="D81" s="8">
        <v>2.13</v>
      </c>
      <c r="E81" s="12">
        <v>1</v>
      </c>
      <c r="F81" s="8">
        <v>4.55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302</v>
      </c>
      <c r="C82" s="12">
        <v>1</v>
      </c>
      <c r="D82" s="8">
        <v>2.13</v>
      </c>
      <c r="E82" s="12">
        <v>0</v>
      </c>
      <c r="F82" s="8">
        <v>0</v>
      </c>
      <c r="G82" s="12">
        <v>0</v>
      </c>
      <c r="H82" s="8">
        <v>0</v>
      </c>
      <c r="I82" s="12">
        <v>1</v>
      </c>
    </row>
    <row r="83" spans="2:9" ht="15" customHeight="1" x14ac:dyDescent="0.2">
      <c r="B83" t="s">
        <v>325</v>
      </c>
      <c r="C83" s="12">
        <v>1</v>
      </c>
      <c r="D83" s="8">
        <v>2.13</v>
      </c>
      <c r="E83" s="12">
        <v>0</v>
      </c>
      <c r="F83" s="8">
        <v>0</v>
      </c>
      <c r="G83" s="12">
        <v>1</v>
      </c>
      <c r="H83" s="8">
        <v>5</v>
      </c>
      <c r="I83" s="12">
        <v>0</v>
      </c>
    </row>
    <row r="84" spans="2:9" ht="15" customHeight="1" x14ac:dyDescent="0.2">
      <c r="B84" t="s">
        <v>303</v>
      </c>
      <c r="C84" s="12">
        <v>1</v>
      </c>
      <c r="D84" s="8">
        <v>2.13</v>
      </c>
      <c r="E84" s="12">
        <v>1</v>
      </c>
      <c r="F84" s="8">
        <v>4.55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304</v>
      </c>
      <c r="C85" s="12">
        <v>1</v>
      </c>
      <c r="D85" s="8">
        <v>2.13</v>
      </c>
      <c r="E85" s="12">
        <v>1</v>
      </c>
      <c r="F85" s="8">
        <v>4.55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411</v>
      </c>
      <c r="C86" s="12">
        <v>1</v>
      </c>
      <c r="D86" s="8">
        <v>2.13</v>
      </c>
      <c r="E86" s="12">
        <v>0</v>
      </c>
      <c r="F86" s="8">
        <v>0</v>
      </c>
      <c r="G86" s="12">
        <v>1</v>
      </c>
      <c r="H86" s="8">
        <v>5</v>
      </c>
      <c r="I86" s="12">
        <v>0</v>
      </c>
    </row>
    <row r="87" spans="2:9" ht="15" customHeight="1" x14ac:dyDescent="0.2">
      <c r="B87" t="s">
        <v>312</v>
      </c>
      <c r="C87" s="12">
        <v>1</v>
      </c>
      <c r="D87" s="8">
        <v>2.13</v>
      </c>
      <c r="E87" s="12">
        <v>0</v>
      </c>
      <c r="F87" s="8">
        <v>0</v>
      </c>
      <c r="G87" s="12">
        <v>0</v>
      </c>
      <c r="H87" s="8">
        <v>0</v>
      </c>
      <c r="I87" s="12">
        <v>1</v>
      </c>
    </row>
    <row r="89" spans="2:9" ht="15" customHeight="1" x14ac:dyDescent="0.2">
      <c r="B8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21F3B-671E-45AB-B1C1-256076FBF644}">
  <sheetPr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1.38</v>
      </c>
      <c r="E5" s="12">
        <v>0</v>
      </c>
      <c r="F5" s="8">
        <v>0</v>
      </c>
      <c r="G5" s="12">
        <v>1</v>
      </c>
      <c r="H5" s="8">
        <v>1.82</v>
      </c>
      <c r="I5" s="12">
        <v>0</v>
      </c>
    </row>
    <row r="6" spans="2:9" ht="15" customHeight="1" x14ac:dyDescent="0.2">
      <c r="B6" t="s">
        <v>191</v>
      </c>
      <c r="C6" s="12">
        <v>21</v>
      </c>
      <c r="D6" s="8">
        <v>14.48</v>
      </c>
      <c r="E6" s="12">
        <v>10</v>
      </c>
      <c r="F6" s="8">
        <v>12.5</v>
      </c>
      <c r="G6" s="12">
        <v>11</v>
      </c>
      <c r="H6" s="8">
        <v>20</v>
      </c>
      <c r="I6" s="12">
        <v>0</v>
      </c>
    </row>
    <row r="7" spans="2:9" ht="15" customHeight="1" x14ac:dyDescent="0.2">
      <c r="B7" t="s">
        <v>192</v>
      </c>
      <c r="C7" s="12">
        <v>14</v>
      </c>
      <c r="D7" s="8">
        <v>9.66</v>
      </c>
      <c r="E7" s="12">
        <v>4</v>
      </c>
      <c r="F7" s="8">
        <v>5</v>
      </c>
      <c r="G7" s="12">
        <v>10</v>
      </c>
      <c r="H7" s="8">
        <v>18.18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0.69</v>
      </c>
      <c r="E8" s="12">
        <v>0</v>
      </c>
      <c r="F8" s="8">
        <v>0</v>
      </c>
      <c r="G8" s="12">
        <v>1</v>
      </c>
      <c r="H8" s="8">
        <v>1.82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0.69</v>
      </c>
      <c r="E10" s="12">
        <v>0</v>
      </c>
      <c r="F10" s="8">
        <v>0</v>
      </c>
      <c r="G10" s="12">
        <v>0</v>
      </c>
      <c r="H10" s="8">
        <v>0</v>
      </c>
      <c r="I10" s="12">
        <v>1</v>
      </c>
    </row>
    <row r="11" spans="2:9" ht="15" customHeight="1" x14ac:dyDescent="0.2">
      <c r="B11" t="s">
        <v>196</v>
      </c>
      <c r="C11" s="12">
        <v>40</v>
      </c>
      <c r="D11" s="8">
        <v>27.59</v>
      </c>
      <c r="E11" s="12">
        <v>20</v>
      </c>
      <c r="F11" s="8">
        <v>25</v>
      </c>
      <c r="G11" s="12">
        <v>20</v>
      </c>
      <c r="H11" s="8">
        <v>36.36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2.0699999999999998</v>
      </c>
      <c r="E13" s="12">
        <v>3</v>
      </c>
      <c r="F13" s="8">
        <v>3.75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1.38</v>
      </c>
      <c r="E14" s="12">
        <v>0</v>
      </c>
      <c r="F14" s="8">
        <v>0</v>
      </c>
      <c r="G14" s="12">
        <v>2</v>
      </c>
      <c r="H14" s="8">
        <v>3.64</v>
      </c>
      <c r="I14" s="12">
        <v>0</v>
      </c>
    </row>
    <row r="15" spans="2:9" ht="15" customHeight="1" x14ac:dyDescent="0.2">
      <c r="B15" t="s">
        <v>200</v>
      </c>
      <c r="C15" s="12">
        <v>27</v>
      </c>
      <c r="D15" s="8">
        <v>18.62</v>
      </c>
      <c r="E15" s="12">
        <v>23</v>
      </c>
      <c r="F15" s="8">
        <v>28.75</v>
      </c>
      <c r="G15" s="12">
        <v>4</v>
      </c>
      <c r="H15" s="8">
        <v>7.27</v>
      </c>
      <c r="I15" s="12">
        <v>0</v>
      </c>
    </row>
    <row r="16" spans="2:9" ht="15" customHeight="1" x14ac:dyDescent="0.2">
      <c r="B16" t="s">
        <v>201</v>
      </c>
      <c r="C16" s="12">
        <v>18</v>
      </c>
      <c r="D16" s="8">
        <v>12.41</v>
      </c>
      <c r="E16" s="12">
        <v>14</v>
      </c>
      <c r="F16" s="8">
        <v>17.5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2.76</v>
      </c>
      <c r="E17" s="12">
        <v>2</v>
      </c>
      <c r="F17" s="8">
        <v>2.5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7</v>
      </c>
      <c r="D18" s="8">
        <v>4.83</v>
      </c>
      <c r="E18" s="12">
        <v>2</v>
      </c>
      <c r="F18" s="8">
        <v>2.5</v>
      </c>
      <c r="G18" s="12">
        <v>3</v>
      </c>
      <c r="H18" s="8">
        <v>5.45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3.45</v>
      </c>
      <c r="E19" s="12">
        <v>2</v>
      </c>
      <c r="F19" s="8">
        <v>2.5</v>
      </c>
      <c r="G19" s="12">
        <v>3</v>
      </c>
      <c r="H19" s="8">
        <v>5.45</v>
      </c>
      <c r="I19" s="12">
        <v>0</v>
      </c>
    </row>
    <row r="20" spans="2:9" ht="15" customHeight="1" x14ac:dyDescent="0.2">
      <c r="B20" s="9" t="s">
        <v>529</v>
      </c>
      <c r="C20" s="12">
        <f>SUM(LTBL_01481[総数／事業所数])</f>
        <v>145</v>
      </c>
      <c r="E20" s="12">
        <f>SUBTOTAL(109,LTBL_01481[個人／事業所数])</f>
        <v>80</v>
      </c>
      <c r="G20" s="12">
        <f>SUBTOTAL(109,LTBL_01481[法人／事業所数])</f>
        <v>55</v>
      </c>
      <c r="I20" s="12">
        <f>SUBTOTAL(109,LTBL_01481[法人以外の団体／事業所数])</f>
        <v>1</v>
      </c>
    </row>
    <row r="21" spans="2:9" ht="15" customHeight="1" x14ac:dyDescent="0.2">
      <c r="E21" s="11">
        <f>LTBL_01481[[#Totals],[個人／事業所数]]/LTBL_01481[[#Totals],[総数／事業所数]]</f>
        <v>0.55172413793103448</v>
      </c>
      <c r="G21" s="11">
        <f>LTBL_01481[[#Totals],[法人／事業所数]]/LTBL_01481[[#Totals],[総数／事業所数]]</f>
        <v>0.37931034482758619</v>
      </c>
      <c r="I21" s="11">
        <f>LTBL_01481[[#Totals],[法人以外の団体／事業所数]]/LTBL_01481[[#Totals],[総数／事業所数]]</f>
        <v>6.8965517241379309E-3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19</v>
      </c>
      <c r="D24" s="8">
        <v>13.1</v>
      </c>
      <c r="E24" s="12">
        <v>17</v>
      </c>
      <c r="F24" s="8">
        <v>21.25</v>
      </c>
      <c r="G24" s="12">
        <v>2</v>
      </c>
      <c r="H24" s="8">
        <v>3.64</v>
      </c>
      <c r="I24" s="12">
        <v>0</v>
      </c>
    </row>
    <row r="25" spans="2:9" ht="15" customHeight="1" x14ac:dyDescent="0.2">
      <c r="B25" t="s">
        <v>221</v>
      </c>
      <c r="C25" s="12">
        <v>15</v>
      </c>
      <c r="D25" s="8">
        <v>10.34</v>
      </c>
      <c r="E25" s="12">
        <v>10</v>
      </c>
      <c r="F25" s="8">
        <v>12.5</v>
      </c>
      <c r="G25" s="12">
        <v>5</v>
      </c>
      <c r="H25" s="8">
        <v>9.09</v>
      </c>
      <c r="I25" s="12">
        <v>0</v>
      </c>
    </row>
    <row r="26" spans="2:9" ht="15" customHeight="1" x14ac:dyDescent="0.2">
      <c r="B26" t="s">
        <v>223</v>
      </c>
      <c r="C26" s="12">
        <v>15</v>
      </c>
      <c r="D26" s="8">
        <v>10.34</v>
      </c>
      <c r="E26" s="12">
        <v>5</v>
      </c>
      <c r="F26" s="8">
        <v>6.25</v>
      </c>
      <c r="G26" s="12">
        <v>10</v>
      </c>
      <c r="H26" s="8">
        <v>18.18</v>
      </c>
      <c r="I26" s="12">
        <v>0</v>
      </c>
    </row>
    <row r="27" spans="2:9" ht="15" customHeight="1" x14ac:dyDescent="0.2">
      <c r="B27" t="s">
        <v>214</v>
      </c>
      <c r="C27" s="12">
        <v>12</v>
      </c>
      <c r="D27" s="8">
        <v>8.2799999999999994</v>
      </c>
      <c r="E27" s="12">
        <v>7</v>
      </c>
      <c r="F27" s="8">
        <v>8.75</v>
      </c>
      <c r="G27" s="12">
        <v>5</v>
      </c>
      <c r="H27" s="8">
        <v>9.09</v>
      </c>
      <c r="I27" s="12">
        <v>0</v>
      </c>
    </row>
    <row r="28" spans="2:9" ht="15" customHeight="1" x14ac:dyDescent="0.2">
      <c r="B28" t="s">
        <v>228</v>
      </c>
      <c r="C28" s="12">
        <v>12</v>
      </c>
      <c r="D28" s="8">
        <v>8.2799999999999994</v>
      </c>
      <c r="E28" s="12">
        <v>12</v>
      </c>
      <c r="F28" s="8">
        <v>15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243</v>
      </c>
      <c r="C29" s="12">
        <v>8</v>
      </c>
      <c r="D29" s="8">
        <v>5.52</v>
      </c>
      <c r="E29" s="12">
        <v>6</v>
      </c>
      <c r="F29" s="8">
        <v>7.5</v>
      </c>
      <c r="G29" s="12">
        <v>2</v>
      </c>
      <c r="H29" s="8">
        <v>3.64</v>
      </c>
      <c r="I29" s="12">
        <v>0</v>
      </c>
    </row>
    <row r="30" spans="2:9" ht="15" customHeight="1" x14ac:dyDescent="0.2">
      <c r="B30" t="s">
        <v>213</v>
      </c>
      <c r="C30" s="12">
        <v>7</v>
      </c>
      <c r="D30" s="8">
        <v>4.83</v>
      </c>
      <c r="E30" s="12">
        <v>3</v>
      </c>
      <c r="F30" s="8">
        <v>3.75</v>
      </c>
      <c r="G30" s="12">
        <v>4</v>
      </c>
      <c r="H30" s="8">
        <v>7.27</v>
      </c>
      <c r="I30" s="12">
        <v>0</v>
      </c>
    </row>
    <row r="31" spans="2:9" ht="15" customHeight="1" x14ac:dyDescent="0.2">
      <c r="B31" t="s">
        <v>241</v>
      </c>
      <c r="C31" s="12">
        <v>5</v>
      </c>
      <c r="D31" s="8">
        <v>3.45</v>
      </c>
      <c r="E31" s="12">
        <v>2</v>
      </c>
      <c r="F31" s="8">
        <v>2.5</v>
      </c>
      <c r="G31" s="12">
        <v>3</v>
      </c>
      <c r="H31" s="8">
        <v>5.45</v>
      </c>
      <c r="I31" s="12">
        <v>0</v>
      </c>
    </row>
    <row r="32" spans="2:9" ht="15" customHeight="1" x14ac:dyDescent="0.2">
      <c r="B32" t="s">
        <v>232</v>
      </c>
      <c r="C32" s="12">
        <v>5</v>
      </c>
      <c r="D32" s="8">
        <v>3.45</v>
      </c>
      <c r="E32" s="12">
        <v>0</v>
      </c>
      <c r="F32" s="8">
        <v>0</v>
      </c>
      <c r="G32" s="12">
        <v>3</v>
      </c>
      <c r="H32" s="8">
        <v>5.45</v>
      </c>
      <c r="I32" s="12">
        <v>0</v>
      </c>
    </row>
    <row r="33" spans="2:9" ht="15" customHeight="1" x14ac:dyDescent="0.2">
      <c r="B33" t="s">
        <v>222</v>
      </c>
      <c r="C33" s="12">
        <v>4</v>
      </c>
      <c r="D33" s="8">
        <v>2.76</v>
      </c>
      <c r="E33" s="12">
        <v>3</v>
      </c>
      <c r="F33" s="8">
        <v>3.75</v>
      </c>
      <c r="G33" s="12">
        <v>1</v>
      </c>
      <c r="H33" s="8">
        <v>1.82</v>
      </c>
      <c r="I33" s="12">
        <v>0</v>
      </c>
    </row>
    <row r="34" spans="2:9" ht="15" customHeight="1" x14ac:dyDescent="0.2">
      <c r="B34" t="s">
        <v>247</v>
      </c>
      <c r="C34" s="12">
        <v>4</v>
      </c>
      <c r="D34" s="8">
        <v>2.76</v>
      </c>
      <c r="E34" s="12">
        <v>0</v>
      </c>
      <c r="F34" s="8">
        <v>0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230</v>
      </c>
      <c r="C35" s="12">
        <v>4</v>
      </c>
      <c r="D35" s="8">
        <v>2.76</v>
      </c>
      <c r="E35" s="12">
        <v>2</v>
      </c>
      <c r="F35" s="8">
        <v>2.5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216</v>
      </c>
      <c r="C36" s="12">
        <v>3</v>
      </c>
      <c r="D36" s="8">
        <v>2.0699999999999998</v>
      </c>
      <c r="E36" s="12">
        <v>1</v>
      </c>
      <c r="F36" s="8">
        <v>1.25</v>
      </c>
      <c r="G36" s="12">
        <v>2</v>
      </c>
      <c r="H36" s="8">
        <v>3.64</v>
      </c>
      <c r="I36" s="12">
        <v>0</v>
      </c>
    </row>
    <row r="37" spans="2:9" ht="15" customHeight="1" x14ac:dyDescent="0.2">
      <c r="B37" t="s">
        <v>224</v>
      </c>
      <c r="C37" s="12">
        <v>3</v>
      </c>
      <c r="D37" s="8">
        <v>2.0699999999999998</v>
      </c>
      <c r="E37" s="12">
        <v>3</v>
      </c>
      <c r="F37" s="8">
        <v>3.75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240</v>
      </c>
      <c r="C38" s="12">
        <v>3</v>
      </c>
      <c r="D38" s="8">
        <v>2.0699999999999998</v>
      </c>
      <c r="E38" s="12">
        <v>2</v>
      </c>
      <c r="F38" s="8">
        <v>2.5</v>
      </c>
      <c r="G38" s="12">
        <v>1</v>
      </c>
      <c r="H38" s="8">
        <v>1.82</v>
      </c>
      <c r="I38" s="12">
        <v>0</v>
      </c>
    </row>
    <row r="39" spans="2:9" ht="15" customHeight="1" x14ac:dyDescent="0.2">
      <c r="B39" t="s">
        <v>273</v>
      </c>
      <c r="C39" s="12">
        <v>2</v>
      </c>
      <c r="D39" s="8">
        <v>1.38</v>
      </c>
      <c r="E39" s="12">
        <v>0</v>
      </c>
      <c r="F39" s="8">
        <v>0</v>
      </c>
      <c r="G39" s="12">
        <v>1</v>
      </c>
      <c r="H39" s="8">
        <v>1.82</v>
      </c>
      <c r="I39" s="12">
        <v>0</v>
      </c>
    </row>
    <row r="40" spans="2:9" ht="15" customHeight="1" x14ac:dyDescent="0.2">
      <c r="B40" t="s">
        <v>215</v>
      </c>
      <c r="C40" s="12">
        <v>2</v>
      </c>
      <c r="D40" s="8">
        <v>1.38</v>
      </c>
      <c r="E40" s="12">
        <v>0</v>
      </c>
      <c r="F40" s="8">
        <v>0</v>
      </c>
      <c r="G40" s="12">
        <v>2</v>
      </c>
      <c r="H40" s="8">
        <v>3.64</v>
      </c>
      <c r="I40" s="12">
        <v>0</v>
      </c>
    </row>
    <row r="41" spans="2:9" ht="15" customHeight="1" x14ac:dyDescent="0.2">
      <c r="B41" t="s">
        <v>252</v>
      </c>
      <c r="C41" s="12">
        <v>2</v>
      </c>
      <c r="D41" s="8">
        <v>1.38</v>
      </c>
      <c r="E41" s="12">
        <v>1</v>
      </c>
      <c r="F41" s="8">
        <v>1.25</v>
      </c>
      <c r="G41" s="12">
        <v>1</v>
      </c>
      <c r="H41" s="8">
        <v>1.82</v>
      </c>
      <c r="I41" s="12">
        <v>0</v>
      </c>
    </row>
    <row r="42" spans="2:9" ht="15" customHeight="1" x14ac:dyDescent="0.2">
      <c r="B42" t="s">
        <v>257</v>
      </c>
      <c r="C42" s="12">
        <v>2</v>
      </c>
      <c r="D42" s="8">
        <v>1.38</v>
      </c>
      <c r="E42" s="12">
        <v>0</v>
      </c>
      <c r="F42" s="8">
        <v>0</v>
      </c>
      <c r="G42" s="12">
        <v>2</v>
      </c>
      <c r="H42" s="8">
        <v>3.64</v>
      </c>
      <c r="I42" s="12">
        <v>0</v>
      </c>
    </row>
    <row r="43" spans="2:9" ht="15" customHeight="1" x14ac:dyDescent="0.2">
      <c r="B43" t="s">
        <v>220</v>
      </c>
      <c r="C43" s="12">
        <v>2</v>
      </c>
      <c r="D43" s="8">
        <v>1.38</v>
      </c>
      <c r="E43" s="12">
        <v>1</v>
      </c>
      <c r="F43" s="8">
        <v>1.25</v>
      </c>
      <c r="G43" s="12">
        <v>1</v>
      </c>
      <c r="H43" s="8">
        <v>1.82</v>
      </c>
      <c r="I43" s="12">
        <v>0</v>
      </c>
    </row>
    <row r="44" spans="2:9" ht="15" customHeight="1" x14ac:dyDescent="0.2">
      <c r="B44" t="s">
        <v>229</v>
      </c>
      <c r="C44" s="12">
        <v>2</v>
      </c>
      <c r="D44" s="8">
        <v>1.38</v>
      </c>
      <c r="E44" s="12">
        <v>2</v>
      </c>
      <c r="F44" s="8">
        <v>2.5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231</v>
      </c>
      <c r="C45" s="12">
        <v>2</v>
      </c>
      <c r="D45" s="8">
        <v>1.38</v>
      </c>
      <c r="E45" s="12">
        <v>2</v>
      </c>
      <c r="F45" s="8">
        <v>2.5</v>
      </c>
      <c r="G45" s="12">
        <v>0</v>
      </c>
      <c r="H45" s="8">
        <v>0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320</v>
      </c>
      <c r="C49" s="12">
        <v>6</v>
      </c>
      <c r="D49" s="8">
        <v>4.1399999999999997</v>
      </c>
      <c r="E49" s="12">
        <v>2</v>
      </c>
      <c r="F49" s="8">
        <v>2.5</v>
      </c>
      <c r="G49" s="12">
        <v>4</v>
      </c>
      <c r="H49" s="8">
        <v>7.27</v>
      </c>
      <c r="I49" s="12">
        <v>0</v>
      </c>
    </row>
    <row r="50" spans="2:9" ht="15" customHeight="1" x14ac:dyDescent="0.2">
      <c r="B50" t="s">
        <v>339</v>
      </c>
      <c r="C50" s="12">
        <v>6</v>
      </c>
      <c r="D50" s="8">
        <v>4.1399999999999997</v>
      </c>
      <c r="E50" s="12">
        <v>5</v>
      </c>
      <c r="F50" s="8">
        <v>6.25</v>
      </c>
      <c r="G50" s="12">
        <v>1</v>
      </c>
      <c r="H50" s="8">
        <v>1.82</v>
      </c>
      <c r="I50" s="12">
        <v>0</v>
      </c>
    </row>
    <row r="51" spans="2:9" ht="15" customHeight="1" x14ac:dyDescent="0.2">
      <c r="B51" t="s">
        <v>304</v>
      </c>
      <c r="C51" s="12">
        <v>6</v>
      </c>
      <c r="D51" s="8">
        <v>4.1399999999999997</v>
      </c>
      <c r="E51" s="12">
        <v>6</v>
      </c>
      <c r="F51" s="8">
        <v>7.5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328</v>
      </c>
      <c r="C52" s="12">
        <v>5</v>
      </c>
      <c r="D52" s="8">
        <v>3.45</v>
      </c>
      <c r="E52" s="12">
        <v>2</v>
      </c>
      <c r="F52" s="8">
        <v>2.5</v>
      </c>
      <c r="G52" s="12">
        <v>3</v>
      </c>
      <c r="H52" s="8">
        <v>5.45</v>
      </c>
      <c r="I52" s="12">
        <v>0</v>
      </c>
    </row>
    <row r="53" spans="2:9" ht="15" customHeight="1" x14ac:dyDescent="0.2">
      <c r="B53" t="s">
        <v>330</v>
      </c>
      <c r="C53" s="12">
        <v>5</v>
      </c>
      <c r="D53" s="8">
        <v>3.45</v>
      </c>
      <c r="E53" s="12">
        <v>0</v>
      </c>
      <c r="F53" s="8">
        <v>0</v>
      </c>
      <c r="G53" s="12">
        <v>5</v>
      </c>
      <c r="H53" s="8">
        <v>9.09</v>
      </c>
      <c r="I53" s="12">
        <v>0</v>
      </c>
    </row>
    <row r="54" spans="2:9" ht="15" customHeight="1" x14ac:dyDescent="0.2">
      <c r="B54" t="s">
        <v>301</v>
      </c>
      <c r="C54" s="12">
        <v>5</v>
      </c>
      <c r="D54" s="8">
        <v>3.45</v>
      </c>
      <c r="E54" s="12">
        <v>5</v>
      </c>
      <c r="F54" s="8">
        <v>6.25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303</v>
      </c>
      <c r="C55" s="12">
        <v>5</v>
      </c>
      <c r="D55" s="8">
        <v>3.45</v>
      </c>
      <c r="E55" s="12">
        <v>5</v>
      </c>
      <c r="F55" s="8">
        <v>6.25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342</v>
      </c>
      <c r="C56" s="12">
        <v>4</v>
      </c>
      <c r="D56" s="8">
        <v>2.76</v>
      </c>
      <c r="E56" s="12">
        <v>1</v>
      </c>
      <c r="F56" s="8">
        <v>1.25</v>
      </c>
      <c r="G56" s="12">
        <v>3</v>
      </c>
      <c r="H56" s="8">
        <v>5.45</v>
      </c>
      <c r="I56" s="12">
        <v>0</v>
      </c>
    </row>
    <row r="57" spans="2:9" ht="15" customHeight="1" x14ac:dyDescent="0.2">
      <c r="B57" t="s">
        <v>329</v>
      </c>
      <c r="C57" s="12">
        <v>4</v>
      </c>
      <c r="D57" s="8">
        <v>2.76</v>
      </c>
      <c r="E57" s="12">
        <v>4</v>
      </c>
      <c r="F57" s="8">
        <v>5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292</v>
      </c>
      <c r="C58" s="12">
        <v>4</v>
      </c>
      <c r="D58" s="8">
        <v>2.76</v>
      </c>
      <c r="E58" s="12">
        <v>2</v>
      </c>
      <c r="F58" s="8">
        <v>2.5</v>
      </c>
      <c r="G58" s="12">
        <v>2</v>
      </c>
      <c r="H58" s="8">
        <v>3.64</v>
      </c>
      <c r="I58" s="12">
        <v>0</v>
      </c>
    </row>
    <row r="59" spans="2:9" ht="15" customHeight="1" x14ac:dyDescent="0.2">
      <c r="B59" t="s">
        <v>299</v>
      </c>
      <c r="C59" s="12">
        <v>4</v>
      </c>
      <c r="D59" s="8">
        <v>2.76</v>
      </c>
      <c r="E59" s="12">
        <v>4</v>
      </c>
      <c r="F59" s="8">
        <v>5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300</v>
      </c>
      <c r="C60" s="12">
        <v>4</v>
      </c>
      <c r="D60" s="8">
        <v>2.76</v>
      </c>
      <c r="E60" s="12">
        <v>4</v>
      </c>
      <c r="F60" s="8">
        <v>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331</v>
      </c>
      <c r="C61" s="12">
        <v>4</v>
      </c>
      <c r="D61" s="8">
        <v>2.76</v>
      </c>
      <c r="E61" s="12">
        <v>0</v>
      </c>
      <c r="F61" s="8">
        <v>0</v>
      </c>
      <c r="G61" s="12">
        <v>2</v>
      </c>
      <c r="H61" s="8">
        <v>3.64</v>
      </c>
      <c r="I61" s="12">
        <v>0</v>
      </c>
    </row>
    <row r="62" spans="2:9" ht="15" customHeight="1" x14ac:dyDescent="0.2">
      <c r="B62" t="s">
        <v>333</v>
      </c>
      <c r="C62" s="12">
        <v>3</v>
      </c>
      <c r="D62" s="8">
        <v>2.0699999999999998</v>
      </c>
      <c r="E62" s="12">
        <v>2</v>
      </c>
      <c r="F62" s="8">
        <v>2.5</v>
      </c>
      <c r="G62" s="12">
        <v>1</v>
      </c>
      <c r="H62" s="8">
        <v>1.82</v>
      </c>
      <c r="I62" s="12">
        <v>0</v>
      </c>
    </row>
    <row r="63" spans="2:9" ht="15" customHeight="1" x14ac:dyDescent="0.2">
      <c r="B63" t="s">
        <v>295</v>
      </c>
      <c r="C63" s="12">
        <v>3</v>
      </c>
      <c r="D63" s="8">
        <v>2.0699999999999998</v>
      </c>
      <c r="E63" s="12">
        <v>2</v>
      </c>
      <c r="F63" s="8">
        <v>2.5</v>
      </c>
      <c r="G63" s="12">
        <v>1</v>
      </c>
      <c r="H63" s="8">
        <v>1.82</v>
      </c>
      <c r="I63" s="12">
        <v>0</v>
      </c>
    </row>
    <row r="64" spans="2:9" ht="15" customHeight="1" x14ac:dyDescent="0.2">
      <c r="B64" t="s">
        <v>297</v>
      </c>
      <c r="C64" s="12">
        <v>3</v>
      </c>
      <c r="D64" s="8">
        <v>2.0699999999999998</v>
      </c>
      <c r="E64" s="12">
        <v>3</v>
      </c>
      <c r="F64" s="8">
        <v>3.75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334</v>
      </c>
      <c r="C65" s="12">
        <v>3</v>
      </c>
      <c r="D65" s="8">
        <v>2.0699999999999998</v>
      </c>
      <c r="E65" s="12">
        <v>2</v>
      </c>
      <c r="F65" s="8">
        <v>2.5</v>
      </c>
      <c r="G65" s="12">
        <v>1</v>
      </c>
      <c r="H65" s="8">
        <v>1.82</v>
      </c>
      <c r="I65" s="12">
        <v>0</v>
      </c>
    </row>
    <row r="66" spans="2:9" ht="15" customHeight="1" x14ac:dyDescent="0.2">
      <c r="B66" t="s">
        <v>368</v>
      </c>
      <c r="C66" s="12">
        <v>3</v>
      </c>
      <c r="D66" s="8">
        <v>2.0699999999999998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307</v>
      </c>
      <c r="C67" s="12">
        <v>3</v>
      </c>
      <c r="D67" s="8">
        <v>2.0699999999999998</v>
      </c>
      <c r="E67" s="12">
        <v>2</v>
      </c>
      <c r="F67" s="8">
        <v>2.5</v>
      </c>
      <c r="G67" s="12">
        <v>1</v>
      </c>
      <c r="H67" s="8">
        <v>1.82</v>
      </c>
      <c r="I67" s="12">
        <v>0</v>
      </c>
    </row>
    <row r="68" spans="2:9" ht="15" customHeight="1" x14ac:dyDescent="0.2">
      <c r="B68" t="s">
        <v>427</v>
      </c>
      <c r="C68" s="12">
        <v>2</v>
      </c>
      <c r="D68" s="8">
        <v>1.38</v>
      </c>
      <c r="E68" s="12">
        <v>0</v>
      </c>
      <c r="F68" s="8">
        <v>0</v>
      </c>
      <c r="G68" s="12">
        <v>1</v>
      </c>
      <c r="H68" s="8">
        <v>1.82</v>
      </c>
      <c r="I68" s="12">
        <v>0</v>
      </c>
    </row>
    <row r="69" spans="2:9" ht="15" customHeight="1" x14ac:dyDescent="0.2">
      <c r="B69" t="s">
        <v>353</v>
      </c>
      <c r="C69" s="12">
        <v>2</v>
      </c>
      <c r="D69" s="8">
        <v>1.38</v>
      </c>
      <c r="E69" s="12">
        <v>2</v>
      </c>
      <c r="F69" s="8">
        <v>2.5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399</v>
      </c>
      <c r="C70" s="12">
        <v>2</v>
      </c>
      <c r="D70" s="8">
        <v>1.38</v>
      </c>
      <c r="E70" s="12">
        <v>1</v>
      </c>
      <c r="F70" s="8">
        <v>1.25</v>
      </c>
      <c r="G70" s="12">
        <v>1</v>
      </c>
      <c r="H70" s="8">
        <v>1.82</v>
      </c>
      <c r="I70" s="12">
        <v>0</v>
      </c>
    </row>
    <row r="71" spans="2:9" ht="15" customHeight="1" x14ac:dyDescent="0.2">
      <c r="B71" t="s">
        <v>357</v>
      </c>
      <c r="C71" s="12">
        <v>2</v>
      </c>
      <c r="D71" s="8">
        <v>1.38</v>
      </c>
      <c r="E71" s="12">
        <v>0</v>
      </c>
      <c r="F71" s="8">
        <v>0</v>
      </c>
      <c r="G71" s="12">
        <v>2</v>
      </c>
      <c r="H71" s="8">
        <v>3.64</v>
      </c>
      <c r="I71" s="12">
        <v>0</v>
      </c>
    </row>
    <row r="72" spans="2:9" ht="15" customHeight="1" x14ac:dyDescent="0.2">
      <c r="B72" t="s">
        <v>324</v>
      </c>
      <c r="C72" s="12">
        <v>2</v>
      </c>
      <c r="D72" s="8">
        <v>1.38</v>
      </c>
      <c r="E72" s="12">
        <v>0</v>
      </c>
      <c r="F72" s="8">
        <v>0</v>
      </c>
      <c r="G72" s="12">
        <v>2</v>
      </c>
      <c r="H72" s="8">
        <v>3.64</v>
      </c>
      <c r="I72" s="12">
        <v>0</v>
      </c>
    </row>
    <row r="73" spans="2:9" ht="15" customHeight="1" x14ac:dyDescent="0.2">
      <c r="B73" t="s">
        <v>336</v>
      </c>
      <c r="C73" s="12">
        <v>2</v>
      </c>
      <c r="D73" s="8">
        <v>1.38</v>
      </c>
      <c r="E73" s="12">
        <v>2</v>
      </c>
      <c r="F73" s="8">
        <v>2.5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380</v>
      </c>
      <c r="C74" s="12">
        <v>2</v>
      </c>
      <c r="D74" s="8">
        <v>1.38</v>
      </c>
      <c r="E74" s="12">
        <v>1</v>
      </c>
      <c r="F74" s="8">
        <v>1.25</v>
      </c>
      <c r="G74" s="12">
        <v>1</v>
      </c>
      <c r="H74" s="8">
        <v>1.82</v>
      </c>
      <c r="I74" s="12">
        <v>0</v>
      </c>
    </row>
    <row r="75" spans="2:9" ht="15" customHeight="1" x14ac:dyDescent="0.2">
      <c r="B75" t="s">
        <v>332</v>
      </c>
      <c r="C75" s="12">
        <v>2</v>
      </c>
      <c r="D75" s="8">
        <v>1.38</v>
      </c>
      <c r="E75" s="12">
        <v>0</v>
      </c>
      <c r="F75" s="8">
        <v>0</v>
      </c>
      <c r="G75" s="12">
        <v>2</v>
      </c>
      <c r="H75" s="8">
        <v>3.64</v>
      </c>
      <c r="I75" s="12">
        <v>0</v>
      </c>
    </row>
    <row r="76" spans="2:9" ht="15" customHeight="1" x14ac:dyDescent="0.2">
      <c r="B76" t="s">
        <v>335</v>
      </c>
      <c r="C76" s="12">
        <v>2</v>
      </c>
      <c r="D76" s="8">
        <v>1.38</v>
      </c>
      <c r="E76" s="12">
        <v>1</v>
      </c>
      <c r="F76" s="8">
        <v>1.25</v>
      </c>
      <c r="G76" s="12">
        <v>1</v>
      </c>
      <c r="H76" s="8">
        <v>1.82</v>
      </c>
      <c r="I76" s="12">
        <v>0</v>
      </c>
    </row>
    <row r="77" spans="2:9" ht="15" customHeight="1" x14ac:dyDescent="0.2">
      <c r="B77" t="s">
        <v>401</v>
      </c>
      <c r="C77" s="12">
        <v>2</v>
      </c>
      <c r="D77" s="8">
        <v>1.38</v>
      </c>
      <c r="E77" s="12">
        <v>1</v>
      </c>
      <c r="F77" s="8">
        <v>1.25</v>
      </c>
      <c r="G77" s="12">
        <v>1</v>
      </c>
      <c r="H77" s="8">
        <v>1.82</v>
      </c>
      <c r="I77" s="12">
        <v>0</v>
      </c>
    </row>
    <row r="78" spans="2:9" ht="15" customHeight="1" x14ac:dyDescent="0.2">
      <c r="B78" t="s">
        <v>422</v>
      </c>
      <c r="C78" s="12">
        <v>2</v>
      </c>
      <c r="D78" s="8">
        <v>1.38</v>
      </c>
      <c r="E78" s="12">
        <v>1</v>
      </c>
      <c r="F78" s="8">
        <v>1.25</v>
      </c>
      <c r="G78" s="12">
        <v>1</v>
      </c>
      <c r="H78" s="8">
        <v>1.82</v>
      </c>
      <c r="I78" s="12">
        <v>0</v>
      </c>
    </row>
    <row r="79" spans="2:9" ht="15" customHeight="1" x14ac:dyDescent="0.2">
      <c r="B79" t="s">
        <v>349</v>
      </c>
      <c r="C79" s="12">
        <v>2</v>
      </c>
      <c r="D79" s="8">
        <v>1.38</v>
      </c>
      <c r="E79" s="12">
        <v>1</v>
      </c>
      <c r="F79" s="8">
        <v>1.25</v>
      </c>
      <c r="G79" s="12">
        <v>1</v>
      </c>
      <c r="H79" s="8">
        <v>1.82</v>
      </c>
      <c r="I79" s="12">
        <v>0</v>
      </c>
    </row>
    <row r="80" spans="2:9" ht="15" customHeight="1" x14ac:dyDescent="0.2">
      <c r="B80" t="s">
        <v>340</v>
      </c>
      <c r="C80" s="12">
        <v>2</v>
      </c>
      <c r="D80" s="8">
        <v>1.38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305</v>
      </c>
      <c r="C81" s="12">
        <v>2</v>
      </c>
      <c r="D81" s="8">
        <v>1.38</v>
      </c>
      <c r="E81" s="12">
        <v>2</v>
      </c>
      <c r="F81" s="8">
        <v>2.5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306</v>
      </c>
      <c r="C82" s="12">
        <v>2</v>
      </c>
      <c r="D82" s="8">
        <v>1.38</v>
      </c>
      <c r="E82" s="12">
        <v>2</v>
      </c>
      <c r="F82" s="8">
        <v>2.5</v>
      </c>
      <c r="G82" s="12">
        <v>0</v>
      </c>
      <c r="H82" s="8">
        <v>0</v>
      </c>
      <c r="I82" s="12">
        <v>0</v>
      </c>
    </row>
    <row r="84" spans="2:9" ht="15" customHeight="1" x14ac:dyDescent="0.2">
      <c r="B8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81C40-57DC-4572-BE26-7C27A4B93218}">
  <sheetPr>
    <pageSetUpPr fitToPage="1"/>
  </sheetPr>
  <dimension ref="B2:I9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649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16</v>
      </c>
      <c r="D6" s="8">
        <v>21.62</v>
      </c>
      <c r="E6" s="12">
        <v>7</v>
      </c>
      <c r="F6" s="8">
        <v>18.420000000000002</v>
      </c>
      <c r="G6" s="12">
        <v>9</v>
      </c>
      <c r="H6" s="8">
        <v>33.33</v>
      </c>
      <c r="I6" s="12">
        <v>0</v>
      </c>
    </row>
    <row r="7" spans="2:9" ht="15" customHeight="1" x14ac:dyDescent="0.2">
      <c r="B7" t="s">
        <v>192</v>
      </c>
      <c r="C7" s="12">
        <v>2</v>
      </c>
      <c r="D7" s="8">
        <v>2.7</v>
      </c>
      <c r="E7" s="12">
        <v>0</v>
      </c>
      <c r="F7" s="8">
        <v>0</v>
      </c>
      <c r="G7" s="12">
        <v>2</v>
      </c>
      <c r="H7" s="8">
        <v>7.41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2.7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7</v>
      </c>
      <c r="D10" s="8">
        <v>9.4600000000000009</v>
      </c>
      <c r="E10" s="12">
        <v>2</v>
      </c>
      <c r="F10" s="8">
        <v>5.26</v>
      </c>
      <c r="G10" s="12">
        <v>4</v>
      </c>
      <c r="H10" s="8">
        <v>14.81</v>
      </c>
      <c r="I10" s="12">
        <v>1</v>
      </c>
    </row>
    <row r="11" spans="2:9" ht="15" customHeight="1" x14ac:dyDescent="0.2">
      <c r="B11" t="s">
        <v>196</v>
      </c>
      <c r="C11" s="12">
        <v>18</v>
      </c>
      <c r="D11" s="8">
        <v>24.32</v>
      </c>
      <c r="E11" s="12">
        <v>9</v>
      </c>
      <c r="F11" s="8">
        <v>23.68</v>
      </c>
      <c r="G11" s="12">
        <v>9</v>
      </c>
      <c r="H11" s="8">
        <v>33.33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2.7</v>
      </c>
      <c r="E13" s="12">
        <v>0</v>
      </c>
      <c r="F13" s="8">
        <v>0</v>
      </c>
      <c r="G13" s="12">
        <v>2</v>
      </c>
      <c r="H13" s="8">
        <v>7.41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11</v>
      </c>
      <c r="D15" s="8">
        <v>14.86</v>
      </c>
      <c r="E15" s="12">
        <v>10</v>
      </c>
      <c r="F15" s="8">
        <v>26.32</v>
      </c>
      <c r="G15" s="12">
        <v>1</v>
      </c>
      <c r="H15" s="8">
        <v>3.7</v>
      </c>
      <c r="I15" s="12">
        <v>0</v>
      </c>
    </row>
    <row r="16" spans="2:9" ht="15" customHeight="1" x14ac:dyDescent="0.2">
      <c r="B16" t="s">
        <v>201</v>
      </c>
      <c r="C16" s="12">
        <v>6</v>
      </c>
      <c r="D16" s="8">
        <v>8.11</v>
      </c>
      <c r="E16" s="12">
        <v>5</v>
      </c>
      <c r="F16" s="8">
        <v>13.16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6.76</v>
      </c>
      <c r="E17" s="12">
        <v>5</v>
      </c>
      <c r="F17" s="8">
        <v>13.16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6.76</v>
      </c>
      <c r="E18" s="12">
        <v>0</v>
      </c>
      <c r="F18" s="8">
        <v>0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0</v>
      </c>
      <c r="D19" s="8">
        <v>0</v>
      </c>
      <c r="E19" s="12">
        <v>0</v>
      </c>
      <c r="F19" s="8">
        <v>0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SUM(LTBL_01482[総数／事業所数])</f>
        <v>74</v>
      </c>
      <c r="E20" s="12">
        <f>SUBTOTAL(109,LTBL_01482[個人／事業所数])</f>
        <v>38</v>
      </c>
      <c r="G20" s="12">
        <f>SUBTOTAL(109,LTBL_01482[法人／事業所数])</f>
        <v>27</v>
      </c>
      <c r="I20" s="12">
        <f>SUBTOTAL(109,LTBL_01482[法人以外の団体／事業所数])</f>
        <v>1</v>
      </c>
    </row>
    <row r="21" spans="2:9" ht="15" customHeight="1" x14ac:dyDescent="0.2">
      <c r="E21" s="11">
        <f>LTBL_01482[[#Totals],[個人／事業所数]]/LTBL_01482[[#Totals],[総数／事業所数]]</f>
        <v>0.51351351351351349</v>
      </c>
      <c r="G21" s="11">
        <f>LTBL_01482[[#Totals],[法人／事業所数]]/LTBL_01482[[#Totals],[総数／事業所数]]</f>
        <v>0.36486486486486486</v>
      </c>
      <c r="I21" s="11">
        <f>LTBL_01482[[#Totals],[法人以外の団体／事業所数]]/LTBL_01482[[#Totals],[総数／事業所数]]</f>
        <v>1.3513513513513514E-2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214</v>
      </c>
      <c r="C24" s="12">
        <v>9</v>
      </c>
      <c r="D24" s="8">
        <v>12.16</v>
      </c>
      <c r="E24" s="12">
        <v>4</v>
      </c>
      <c r="F24" s="8">
        <v>10.53</v>
      </c>
      <c r="G24" s="12">
        <v>5</v>
      </c>
      <c r="H24" s="8">
        <v>18.52</v>
      </c>
      <c r="I24" s="12">
        <v>0</v>
      </c>
    </row>
    <row r="25" spans="2:9" ht="15" customHeight="1" x14ac:dyDescent="0.2">
      <c r="B25" t="s">
        <v>223</v>
      </c>
      <c r="C25" s="12">
        <v>9</v>
      </c>
      <c r="D25" s="8">
        <v>12.16</v>
      </c>
      <c r="E25" s="12">
        <v>5</v>
      </c>
      <c r="F25" s="8">
        <v>13.16</v>
      </c>
      <c r="G25" s="12">
        <v>4</v>
      </c>
      <c r="H25" s="8">
        <v>14.81</v>
      </c>
      <c r="I25" s="12">
        <v>0</v>
      </c>
    </row>
    <row r="26" spans="2:9" ht="15" customHeight="1" x14ac:dyDescent="0.2">
      <c r="B26" t="s">
        <v>221</v>
      </c>
      <c r="C26" s="12">
        <v>8</v>
      </c>
      <c r="D26" s="8">
        <v>10.81</v>
      </c>
      <c r="E26" s="12">
        <v>3</v>
      </c>
      <c r="F26" s="8">
        <v>7.89</v>
      </c>
      <c r="G26" s="12">
        <v>5</v>
      </c>
      <c r="H26" s="8">
        <v>18.52</v>
      </c>
      <c r="I26" s="12">
        <v>0</v>
      </c>
    </row>
    <row r="27" spans="2:9" ht="15" customHeight="1" x14ac:dyDescent="0.2">
      <c r="B27" t="s">
        <v>227</v>
      </c>
      <c r="C27" s="12">
        <v>7</v>
      </c>
      <c r="D27" s="8">
        <v>9.4600000000000009</v>
      </c>
      <c r="E27" s="12">
        <v>7</v>
      </c>
      <c r="F27" s="8">
        <v>18.420000000000002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228</v>
      </c>
      <c r="C28" s="12">
        <v>5</v>
      </c>
      <c r="D28" s="8">
        <v>6.76</v>
      </c>
      <c r="E28" s="12">
        <v>5</v>
      </c>
      <c r="F28" s="8">
        <v>13.16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230</v>
      </c>
      <c r="C29" s="12">
        <v>5</v>
      </c>
      <c r="D29" s="8">
        <v>6.76</v>
      </c>
      <c r="E29" s="12">
        <v>5</v>
      </c>
      <c r="F29" s="8">
        <v>13.16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215</v>
      </c>
      <c r="C30" s="12">
        <v>4</v>
      </c>
      <c r="D30" s="8">
        <v>5.41</v>
      </c>
      <c r="E30" s="12">
        <v>2</v>
      </c>
      <c r="F30" s="8">
        <v>5.26</v>
      </c>
      <c r="G30" s="12">
        <v>2</v>
      </c>
      <c r="H30" s="8">
        <v>7.41</v>
      </c>
      <c r="I30" s="12">
        <v>0</v>
      </c>
    </row>
    <row r="31" spans="2:9" ht="15" customHeight="1" x14ac:dyDescent="0.2">
      <c r="B31" t="s">
        <v>213</v>
      </c>
      <c r="C31" s="12">
        <v>3</v>
      </c>
      <c r="D31" s="8">
        <v>4.05</v>
      </c>
      <c r="E31" s="12">
        <v>1</v>
      </c>
      <c r="F31" s="8">
        <v>2.63</v>
      </c>
      <c r="G31" s="12">
        <v>2</v>
      </c>
      <c r="H31" s="8">
        <v>7.41</v>
      </c>
      <c r="I31" s="12">
        <v>0</v>
      </c>
    </row>
    <row r="32" spans="2:9" ht="15" customHeight="1" x14ac:dyDescent="0.2">
      <c r="B32" t="s">
        <v>248</v>
      </c>
      <c r="C32" s="12">
        <v>3</v>
      </c>
      <c r="D32" s="8">
        <v>4.05</v>
      </c>
      <c r="E32" s="12">
        <v>2</v>
      </c>
      <c r="F32" s="8">
        <v>5.26</v>
      </c>
      <c r="G32" s="12">
        <v>1</v>
      </c>
      <c r="H32" s="8">
        <v>3.7</v>
      </c>
      <c r="I32" s="12">
        <v>0</v>
      </c>
    </row>
    <row r="33" spans="2:9" ht="15" customHeight="1" x14ac:dyDescent="0.2">
      <c r="B33" t="s">
        <v>243</v>
      </c>
      <c r="C33" s="12">
        <v>3</v>
      </c>
      <c r="D33" s="8">
        <v>4.05</v>
      </c>
      <c r="E33" s="12">
        <v>3</v>
      </c>
      <c r="F33" s="8">
        <v>7.89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232</v>
      </c>
      <c r="C34" s="12">
        <v>3</v>
      </c>
      <c r="D34" s="8">
        <v>4.05</v>
      </c>
      <c r="E34" s="12">
        <v>0</v>
      </c>
      <c r="F34" s="8">
        <v>0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241</v>
      </c>
      <c r="C35" s="12">
        <v>2</v>
      </c>
      <c r="D35" s="8">
        <v>2.7</v>
      </c>
      <c r="E35" s="12">
        <v>0</v>
      </c>
      <c r="F35" s="8">
        <v>0</v>
      </c>
      <c r="G35" s="12">
        <v>2</v>
      </c>
      <c r="H35" s="8">
        <v>7.41</v>
      </c>
      <c r="I35" s="12">
        <v>0</v>
      </c>
    </row>
    <row r="36" spans="2:9" ht="15" customHeight="1" x14ac:dyDescent="0.2">
      <c r="B36" t="s">
        <v>255</v>
      </c>
      <c r="C36" s="12">
        <v>2</v>
      </c>
      <c r="D36" s="8">
        <v>2.7</v>
      </c>
      <c r="E36" s="12">
        <v>0</v>
      </c>
      <c r="F36" s="8">
        <v>0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238</v>
      </c>
      <c r="C37" s="12">
        <v>2</v>
      </c>
      <c r="D37" s="8">
        <v>2.7</v>
      </c>
      <c r="E37" s="12">
        <v>0</v>
      </c>
      <c r="F37" s="8">
        <v>0</v>
      </c>
      <c r="G37" s="12">
        <v>2</v>
      </c>
      <c r="H37" s="8">
        <v>7.41</v>
      </c>
      <c r="I37" s="12">
        <v>0</v>
      </c>
    </row>
    <row r="38" spans="2:9" ht="15" customHeight="1" x14ac:dyDescent="0.2">
      <c r="B38" t="s">
        <v>261</v>
      </c>
      <c r="C38" s="12">
        <v>2</v>
      </c>
      <c r="D38" s="8">
        <v>2.7</v>
      </c>
      <c r="E38" s="12">
        <v>0</v>
      </c>
      <c r="F38" s="8">
        <v>0</v>
      </c>
      <c r="G38" s="12">
        <v>1</v>
      </c>
      <c r="H38" s="8">
        <v>3.7</v>
      </c>
      <c r="I38" s="12">
        <v>1</v>
      </c>
    </row>
    <row r="39" spans="2:9" ht="15" customHeight="1" x14ac:dyDescent="0.2">
      <c r="B39" t="s">
        <v>224</v>
      </c>
      <c r="C39" s="12">
        <v>2</v>
      </c>
      <c r="D39" s="8">
        <v>2.7</v>
      </c>
      <c r="E39" s="12">
        <v>0</v>
      </c>
      <c r="F39" s="8">
        <v>0</v>
      </c>
      <c r="G39" s="12">
        <v>2</v>
      </c>
      <c r="H39" s="8">
        <v>7.41</v>
      </c>
      <c r="I39" s="12">
        <v>0</v>
      </c>
    </row>
    <row r="40" spans="2:9" ht="15" customHeight="1" x14ac:dyDescent="0.2">
      <c r="B40" t="s">
        <v>231</v>
      </c>
      <c r="C40" s="12">
        <v>2</v>
      </c>
      <c r="D40" s="8">
        <v>2.7</v>
      </c>
      <c r="E40" s="12">
        <v>0</v>
      </c>
      <c r="F40" s="8">
        <v>0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222</v>
      </c>
      <c r="C41" s="12">
        <v>1</v>
      </c>
      <c r="D41" s="8">
        <v>1.35</v>
      </c>
      <c r="E41" s="12">
        <v>1</v>
      </c>
      <c r="F41" s="8">
        <v>2.63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239</v>
      </c>
      <c r="C42" s="12">
        <v>1</v>
      </c>
      <c r="D42" s="8">
        <v>1.35</v>
      </c>
      <c r="E42" s="12">
        <v>0</v>
      </c>
      <c r="F42" s="8">
        <v>0</v>
      </c>
      <c r="G42" s="12">
        <v>1</v>
      </c>
      <c r="H42" s="8">
        <v>3.7</v>
      </c>
      <c r="I42" s="12">
        <v>0</v>
      </c>
    </row>
    <row r="43" spans="2:9" ht="15" customHeight="1" x14ac:dyDescent="0.2">
      <c r="B43" t="s">
        <v>247</v>
      </c>
      <c r="C43" s="12">
        <v>1</v>
      </c>
      <c r="D43" s="8">
        <v>1.35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305</v>
      </c>
      <c r="C47" s="12">
        <v>5</v>
      </c>
      <c r="D47" s="8">
        <v>6.76</v>
      </c>
      <c r="E47" s="12">
        <v>5</v>
      </c>
      <c r="F47" s="8">
        <v>13.16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301</v>
      </c>
      <c r="C48" s="12">
        <v>4</v>
      </c>
      <c r="D48" s="8">
        <v>5.41</v>
      </c>
      <c r="E48" s="12">
        <v>4</v>
      </c>
      <c r="F48" s="8">
        <v>10.53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303</v>
      </c>
      <c r="C49" s="12">
        <v>4</v>
      </c>
      <c r="D49" s="8">
        <v>5.41</v>
      </c>
      <c r="E49" s="12">
        <v>4</v>
      </c>
      <c r="F49" s="8">
        <v>10.53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333</v>
      </c>
      <c r="C50" s="12">
        <v>3</v>
      </c>
      <c r="D50" s="8">
        <v>4.05</v>
      </c>
      <c r="E50" s="12">
        <v>1</v>
      </c>
      <c r="F50" s="8">
        <v>2.63</v>
      </c>
      <c r="G50" s="12">
        <v>2</v>
      </c>
      <c r="H50" s="8">
        <v>7.41</v>
      </c>
      <c r="I50" s="12">
        <v>0</v>
      </c>
    </row>
    <row r="51" spans="2:9" ht="15" customHeight="1" x14ac:dyDescent="0.2">
      <c r="B51" t="s">
        <v>320</v>
      </c>
      <c r="C51" s="12">
        <v>3</v>
      </c>
      <c r="D51" s="8">
        <v>4.05</v>
      </c>
      <c r="E51" s="12">
        <v>0</v>
      </c>
      <c r="F51" s="8">
        <v>0</v>
      </c>
      <c r="G51" s="12">
        <v>3</v>
      </c>
      <c r="H51" s="8">
        <v>11.11</v>
      </c>
      <c r="I51" s="12">
        <v>0</v>
      </c>
    </row>
    <row r="52" spans="2:9" ht="15" customHeight="1" x14ac:dyDescent="0.2">
      <c r="B52" t="s">
        <v>290</v>
      </c>
      <c r="C52" s="12">
        <v>3</v>
      </c>
      <c r="D52" s="8">
        <v>4.05</v>
      </c>
      <c r="E52" s="12">
        <v>1</v>
      </c>
      <c r="F52" s="8">
        <v>2.63</v>
      </c>
      <c r="G52" s="12">
        <v>2</v>
      </c>
      <c r="H52" s="8">
        <v>7.41</v>
      </c>
      <c r="I52" s="12">
        <v>0</v>
      </c>
    </row>
    <row r="53" spans="2:9" ht="15" customHeight="1" x14ac:dyDescent="0.2">
      <c r="B53" t="s">
        <v>292</v>
      </c>
      <c r="C53" s="12">
        <v>3</v>
      </c>
      <c r="D53" s="8">
        <v>4.05</v>
      </c>
      <c r="E53" s="12">
        <v>2</v>
      </c>
      <c r="F53" s="8">
        <v>5.26</v>
      </c>
      <c r="G53" s="12">
        <v>1</v>
      </c>
      <c r="H53" s="8">
        <v>3.7</v>
      </c>
      <c r="I53" s="12">
        <v>0</v>
      </c>
    </row>
    <row r="54" spans="2:9" ht="15" customHeight="1" x14ac:dyDescent="0.2">
      <c r="B54" t="s">
        <v>330</v>
      </c>
      <c r="C54" s="12">
        <v>3</v>
      </c>
      <c r="D54" s="8">
        <v>4.05</v>
      </c>
      <c r="E54" s="12">
        <v>1</v>
      </c>
      <c r="F54" s="8">
        <v>2.63</v>
      </c>
      <c r="G54" s="12">
        <v>2</v>
      </c>
      <c r="H54" s="8">
        <v>7.41</v>
      </c>
      <c r="I54" s="12">
        <v>0</v>
      </c>
    </row>
    <row r="55" spans="2:9" ht="15" customHeight="1" x14ac:dyDescent="0.2">
      <c r="B55" t="s">
        <v>339</v>
      </c>
      <c r="C55" s="12">
        <v>3</v>
      </c>
      <c r="D55" s="8">
        <v>4.05</v>
      </c>
      <c r="E55" s="12">
        <v>3</v>
      </c>
      <c r="F55" s="8">
        <v>7.89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331</v>
      </c>
      <c r="C56" s="12">
        <v>3</v>
      </c>
      <c r="D56" s="8">
        <v>4.05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342</v>
      </c>
      <c r="C57" s="12">
        <v>2</v>
      </c>
      <c r="D57" s="8">
        <v>2.7</v>
      </c>
      <c r="E57" s="12">
        <v>0</v>
      </c>
      <c r="F57" s="8">
        <v>0</v>
      </c>
      <c r="G57" s="12">
        <v>2</v>
      </c>
      <c r="H57" s="8">
        <v>7.41</v>
      </c>
      <c r="I57" s="12">
        <v>0</v>
      </c>
    </row>
    <row r="58" spans="2:9" ht="15" customHeight="1" x14ac:dyDescent="0.2">
      <c r="B58" t="s">
        <v>326</v>
      </c>
      <c r="C58" s="12">
        <v>2</v>
      </c>
      <c r="D58" s="8">
        <v>2.7</v>
      </c>
      <c r="E58" s="12">
        <v>0</v>
      </c>
      <c r="F58" s="8">
        <v>0</v>
      </c>
      <c r="G58" s="12">
        <v>2</v>
      </c>
      <c r="H58" s="8">
        <v>7.41</v>
      </c>
      <c r="I58" s="12">
        <v>0</v>
      </c>
    </row>
    <row r="59" spans="2:9" ht="15" customHeight="1" x14ac:dyDescent="0.2">
      <c r="B59" t="s">
        <v>350</v>
      </c>
      <c r="C59" s="12">
        <v>2</v>
      </c>
      <c r="D59" s="8">
        <v>2.7</v>
      </c>
      <c r="E59" s="12">
        <v>1</v>
      </c>
      <c r="F59" s="8">
        <v>2.63</v>
      </c>
      <c r="G59" s="12">
        <v>1</v>
      </c>
      <c r="H59" s="8">
        <v>3.7</v>
      </c>
      <c r="I59" s="12">
        <v>0</v>
      </c>
    </row>
    <row r="60" spans="2:9" ht="15" customHeight="1" x14ac:dyDescent="0.2">
      <c r="B60" t="s">
        <v>364</v>
      </c>
      <c r="C60" s="12">
        <v>2</v>
      </c>
      <c r="D60" s="8">
        <v>2.7</v>
      </c>
      <c r="E60" s="12">
        <v>0</v>
      </c>
      <c r="F60" s="8">
        <v>0</v>
      </c>
      <c r="G60" s="12">
        <v>1</v>
      </c>
      <c r="H60" s="8">
        <v>3.7</v>
      </c>
      <c r="I60" s="12">
        <v>1</v>
      </c>
    </row>
    <row r="61" spans="2:9" ht="15" customHeight="1" x14ac:dyDescent="0.2">
      <c r="B61" t="s">
        <v>336</v>
      </c>
      <c r="C61" s="12">
        <v>2</v>
      </c>
      <c r="D61" s="8">
        <v>2.7</v>
      </c>
      <c r="E61" s="12">
        <v>0</v>
      </c>
      <c r="F61" s="8">
        <v>0</v>
      </c>
      <c r="G61" s="12">
        <v>2</v>
      </c>
      <c r="H61" s="8">
        <v>7.41</v>
      </c>
      <c r="I61" s="12">
        <v>0</v>
      </c>
    </row>
    <row r="62" spans="2:9" ht="15" customHeight="1" x14ac:dyDescent="0.2">
      <c r="B62" t="s">
        <v>332</v>
      </c>
      <c r="C62" s="12">
        <v>2</v>
      </c>
      <c r="D62" s="8">
        <v>2.7</v>
      </c>
      <c r="E62" s="12">
        <v>0</v>
      </c>
      <c r="F62" s="8">
        <v>0</v>
      </c>
      <c r="G62" s="12">
        <v>2</v>
      </c>
      <c r="H62" s="8">
        <v>7.41</v>
      </c>
      <c r="I62" s="12">
        <v>0</v>
      </c>
    </row>
    <row r="63" spans="2:9" ht="15" customHeight="1" x14ac:dyDescent="0.2">
      <c r="B63" t="s">
        <v>300</v>
      </c>
      <c r="C63" s="12">
        <v>2</v>
      </c>
      <c r="D63" s="8">
        <v>2.7</v>
      </c>
      <c r="E63" s="12">
        <v>2</v>
      </c>
      <c r="F63" s="8">
        <v>5.26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312</v>
      </c>
      <c r="C64" s="12">
        <v>2</v>
      </c>
      <c r="D64" s="8">
        <v>2.7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398</v>
      </c>
      <c r="C65" s="12">
        <v>1</v>
      </c>
      <c r="D65" s="8">
        <v>1.35</v>
      </c>
      <c r="E65" s="12">
        <v>0</v>
      </c>
      <c r="F65" s="8">
        <v>0</v>
      </c>
      <c r="G65" s="12">
        <v>1</v>
      </c>
      <c r="H65" s="8">
        <v>3.7</v>
      </c>
      <c r="I65" s="12">
        <v>0</v>
      </c>
    </row>
    <row r="66" spans="2:9" ht="15" customHeight="1" x14ac:dyDescent="0.2">
      <c r="B66" t="s">
        <v>289</v>
      </c>
      <c r="C66" s="12">
        <v>1</v>
      </c>
      <c r="D66" s="8">
        <v>1.35</v>
      </c>
      <c r="E66" s="12">
        <v>0</v>
      </c>
      <c r="F66" s="8">
        <v>0</v>
      </c>
      <c r="G66" s="12">
        <v>1</v>
      </c>
      <c r="H66" s="8">
        <v>3.7</v>
      </c>
      <c r="I66" s="12">
        <v>0</v>
      </c>
    </row>
    <row r="67" spans="2:9" ht="15" customHeight="1" x14ac:dyDescent="0.2">
      <c r="B67" t="s">
        <v>319</v>
      </c>
      <c r="C67" s="12">
        <v>1</v>
      </c>
      <c r="D67" s="8">
        <v>1.35</v>
      </c>
      <c r="E67" s="12">
        <v>1</v>
      </c>
      <c r="F67" s="8">
        <v>2.63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393</v>
      </c>
      <c r="C68" s="12">
        <v>1</v>
      </c>
      <c r="D68" s="8">
        <v>1.35</v>
      </c>
      <c r="E68" s="12">
        <v>1</v>
      </c>
      <c r="F68" s="8">
        <v>2.63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343</v>
      </c>
      <c r="C69" s="12">
        <v>1</v>
      </c>
      <c r="D69" s="8">
        <v>1.35</v>
      </c>
      <c r="E69" s="12">
        <v>1</v>
      </c>
      <c r="F69" s="8">
        <v>2.63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308</v>
      </c>
      <c r="C70" s="12">
        <v>1</v>
      </c>
      <c r="D70" s="8">
        <v>1.35</v>
      </c>
      <c r="E70" s="12">
        <v>1</v>
      </c>
      <c r="F70" s="8">
        <v>2.63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291</v>
      </c>
      <c r="C71" s="12">
        <v>1</v>
      </c>
      <c r="D71" s="8">
        <v>1.35</v>
      </c>
      <c r="E71" s="12">
        <v>1</v>
      </c>
      <c r="F71" s="8">
        <v>2.63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362</v>
      </c>
      <c r="C72" s="12">
        <v>1</v>
      </c>
      <c r="D72" s="8">
        <v>1.35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407</v>
      </c>
      <c r="C73" s="12">
        <v>1</v>
      </c>
      <c r="D73" s="8">
        <v>1.35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478</v>
      </c>
      <c r="C74" s="12">
        <v>1</v>
      </c>
      <c r="D74" s="8">
        <v>1.35</v>
      </c>
      <c r="E74" s="12">
        <v>1</v>
      </c>
      <c r="F74" s="8">
        <v>2.63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354</v>
      </c>
      <c r="C75" s="12">
        <v>1</v>
      </c>
      <c r="D75" s="8">
        <v>1.35</v>
      </c>
      <c r="E75" s="12">
        <v>1</v>
      </c>
      <c r="F75" s="8">
        <v>2.63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293</v>
      </c>
      <c r="C76" s="12">
        <v>1</v>
      </c>
      <c r="D76" s="8">
        <v>1.35</v>
      </c>
      <c r="E76" s="12">
        <v>1</v>
      </c>
      <c r="F76" s="8">
        <v>2.63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401</v>
      </c>
      <c r="C77" s="12">
        <v>1</v>
      </c>
      <c r="D77" s="8">
        <v>1.35</v>
      </c>
      <c r="E77" s="12">
        <v>1</v>
      </c>
      <c r="F77" s="8">
        <v>2.63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402</v>
      </c>
      <c r="C78" s="12">
        <v>1</v>
      </c>
      <c r="D78" s="8">
        <v>1.35</v>
      </c>
      <c r="E78" s="12">
        <v>1</v>
      </c>
      <c r="F78" s="8">
        <v>2.63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294</v>
      </c>
      <c r="C79" s="12">
        <v>1</v>
      </c>
      <c r="D79" s="8">
        <v>1.35</v>
      </c>
      <c r="E79" s="12">
        <v>1</v>
      </c>
      <c r="F79" s="8">
        <v>2.63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372</v>
      </c>
      <c r="C80" s="12">
        <v>1</v>
      </c>
      <c r="D80" s="8">
        <v>1.35</v>
      </c>
      <c r="E80" s="12">
        <v>0</v>
      </c>
      <c r="F80" s="8">
        <v>0</v>
      </c>
      <c r="G80" s="12">
        <v>1</v>
      </c>
      <c r="H80" s="8">
        <v>3.7</v>
      </c>
      <c r="I80" s="12">
        <v>0</v>
      </c>
    </row>
    <row r="81" spans="2:9" ht="15" customHeight="1" x14ac:dyDescent="0.2">
      <c r="B81" t="s">
        <v>373</v>
      </c>
      <c r="C81" s="12">
        <v>1</v>
      </c>
      <c r="D81" s="8">
        <v>1.35</v>
      </c>
      <c r="E81" s="12">
        <v>1</v>
      </c>
      <c r="F81" s="8">
        <v>2.63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295</v>
      </c>
      <c r="C82" s="12">
        <v>1</v>
      </c>
      <c r="D82" s="8">
        <v>1.35</v>
      </c>
      <c r="E82" s="12">
        <v>0</v>
      </c>
      <c r="F82" s="8">
        <v>0</v>
      </c>
      <c r="G82" s="12">
        <v>1</v>
      </c>
      <c r="H82" s="8">
        <v>3.7</v>
      </c>
      <c r="I82" s="12">
        <v>0</v>
      </c>
    </row>
    <row r="83" spans="2:9" ht="15" customHeight="1" x14ac:dyDescent="0.2">
      <c r="B83" t="s">
        <v>296</v>
      </c>
      <c r="C83" s="12">
        <v>1</v>
      </c>
      <c r="D83" s="8">
        <v>1.35</v>
      </c>
      <c r="E83" s="12">
        <v>0</v>
      </c>
      <c r="F83" s="8">
        <v>0</v>
      </c>
      <c r="G83" s="12">
        <v>1</v>
      </c>
      <c r="H83" s="8">
        <v>3.7</v>
      </c>
      <c r="I83" s="12">
        <v>0</v>
      </c>
    </row>
    <row r="84" spans="2:9" ht="15" customHeight="1" x14ac:dyDescent="0.2">
      <c r="B84" t="s">
        <v>297</v>
      </c>
      <c r="C84" s="12">
        <v>1</v>
      </c>
      <c r="D84" s="8">
        <v>1.35</v>
      </c>
      <c r="E84" s="12">
        <v>0</v>
      </c>
      <c r="F84" s="8">
        <v>0</v>
      </c>
      <c r="G84" s="12">
        <v>1</v>
      </c>
      <c r="H84" s="8">
        <v>3.7</v>
      </c>
      <c r="I84" s="12">
        <v>0</v>
      </c>
    </row>
    <row r="85" spans="2:9" ht="15" customHeight="1" x14ac:dyDescent="0.2">
      <c r="B85" t="s">
        <v>334</v>
      </c>
      <c r="C85" s="12">
        <v>1</v>
      </c>
      <c r="D85" s="8">
        <v>1.35</v>
      </c>
      <c r="E85" s="12">
        <v>1</v>
      </c>
      <c r="F85" s="8">
        <v>2.63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325</v>
      </c>
      <c r="C86" s="12">
        <v>1</v>
      </c>
      <c r="D86" s="8">
        <v>1.35</v>
      </c>
      <c r="E86" s="12">
        <v>0</v>
      </c>
      <c r="F86" s="8">
        <v>0</v>
      </c>
      <c r="G86" s="12">
        <v>1</v>
      </c>
      <c r="H86" s="8">
        <v>3.7</v>
      </c>
      <c r="I86" s="12">
        <v>0</v>
      </c>
    </row>
    <row r="87" spans="2:9" ht="15" customHeight="1" x14ac:dyDescent="0.2">
      <c r="B87" t="s">
        <v>304</v>
      </c>
      <c r="C87" s="12">
        <v>1</v>
      </c>
      <c r="D87" s="8">
        <v>1.35</v>
      </c>
      <c r="E87" s="12">
        <v>1</v>
      </c>
      <c r="F87" s="8">
        <v>2.63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368</v>
      </c>
      <c r="C88" s="12">
        <v>1</v>
      </c>
      <c r="D88" s="8">
        <v>1.35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90" spans="2:9" ht="15" customHeight="1" x14ac:dyDescent="0.2">
      <c r="B9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7BE31-A998-4538-ABC8-C2F15ABE4073}">
  <sheetPr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17</v>
      </c>
      <c r="D6" s="8">
        <v>17.71</v>
      </c>
      <c r="E6" s="12">
        <v>5</v>
      </c>
      <c r="F6" s="8">
        <v>10.199999999999999</v>
      </c>
      <c r="G6" s="12">
        <v>12</v>
      </c>
      <c r="H6" s="8">
        <v>27.27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8.33</v>
      </c>
      <c r="E7" s="12">
        <v>1</v>
      </c>
      <c r="F7" s="8">
        <v>2.04</v>
      </c>
      <c r="G7" s="12">
        <v>7</v>
      </c>
      <c r="H7" s="8">
        <v>15.91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3.13</v>
      </c>
      <c r="E8" s="12">
        <v>0</v>
      </c>
      <c r="F8" s="8">
        <v>0</v>
      </c>
      <c r="G8" s="12">
        <v>1</v>
      </c>
      <c r="H8" s="8">
        <v>2.27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1.04</v>
      </c>
      <c r="E9" s="12">
        <v>1</v>
      </c>
      <c r="F9" s="8">
        <v>2.04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3.13</v>
      </c>
      <c r="E10" s="12">
        <v>1</v>
      </c>
      <c r="F10" s="8">
        <v>2.04</v>
      </c>
      <c r="G10" s="12">
        <v>2</v>
      </c>
      <c r="H10" s="8">
        <v>4.55</v>
      </c>
      <c r="I10" s="12">
        <v>0</v>
      </c>
    </row>
    <row r="11" spans="2:9" ht="15" customHeight="1" x14ac:dyDescent="0.2">
      <c r="B11" t="s">
        <v>196</v>
      </c>
      <c r="C11" s="12">
        <v>23</v>
      </c>
      <c r="D11" s="8">
        <v>23.96</v>
      </c>
      <c r="E11" s="12">
        <v>8</v>
      </c>
      <c r="F11" s="8">
        <v>16.329999999999998</v>
      </c>
      <c r="G11" s="12">
        <v>15</v>
      </c>
      <c r="H11" s="8">
        <v>34.090000000000003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3.13</v>
      </c>
      <c r="E13" s="12">
        <v>3</v>
      </c>
      <c r="F13" s="8">
        <v>6.12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1.04</v>
      </c>
      <c r="E14" s="12">
        <v>0</v>
      </c>
      <c r="F14" s="8">
        <v>0</v>
      </c>
      <c r="G14" s="12">
        <v>1</v>
      </c>
      <c r="H14" s="8">
        <v>2.27</v>
      </c>
      <c r="I14" s="12">
        <v>0</v>
      </c>
    </row>
    <row r="15" spans="2:9" ht="15" customHeight="1" x14ac:dyDescent="0.2">
      <c r="B15" t="s">
        <v>200</v>
      </c>
      <c r="C15" s="12">
        <v>20</v>
      </c>
      <c r="D15" s="8">
        <v>20.83</v>
      </c>
      <c r="E15" s="12">
        <v>17</v>
      </c>
      <c r="F15" s="8">
        <v>34.69</v>
      </c>
      <c r="G15" s="12">
        <v>2</v>
      </c>
      <c r="H15" s="8">
        <v>4.55</v>
      </c>
      <c r="I15" s="12">
        <v>0</v>
      </c>
    </row>
    <row r="16" spans="2:9" ht="15" customHeight="1" x14ac:dyDescent="0.2">
      <c r="B16" t="s">
        <v>201</v>
      </c>
      <c r="C16" s="12">
        <v>10</v>
      </c>
      <c r="D16" s="8">
        <v>10.42</v>
      </c>
      <c r="E16" s="12">
        <v>10</v>
      </c>
      <c r="F16" s="8">
        <v>20.41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1.04</v>
      </c>
      <c r="E18" s="12">
        <v>1</v>
      </c>
      <c r="F18" s="8">
        <v>2.04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6.25</v>
      </c>
      <c r="E19" s="12">
        <v>2</v>
      </c>
      <c r="F19" s="8">
        <v>4.08</v>
      </c>
      <c r="G19" s="12">
        <v>4</v>
      </c>
      <c r="H19" s="8">
        <v>9.09</v>
      </c>
      <c r="I19" s="12">
        <v>0</v>
      </c>
    </row>
    <row r="20" spans="2:9" ht="15" customHeight="1" x14ac:dyDescent="0.2">
      <c r="B20" s="9" t="s">
        <v>529</v>
      </c>
      <c r="C20" s="12">
        <f>SUM(LTBL_01483[総数／事業所数])</f>
        <v>96</v>
      </c>
      <c r="E20" s="12">
        <f>SUBTOTAL(109,LTBL_01483[個人／事業所数])</f>
        <v>49</v>
      </c>
      <c r="G20" s="12">
        <f>SUBTOTAL(109,LTBL_01483[法人／事業所数])</f>
        <v>44</v>
      </c>
      <c r="I20" s="12">
        <f>SUBTOTAL(109,LTBL_01483[法人以外の団体／事業所数])</f>
        <v>0</v>
      </c>
    </row>
    <row r="21" spans="2:9" ht="15" customHeight="1" x14ac:dyDescent="0.2">
      <c r="E21" s="11">
        <f>LTBL_01483[[#Totals],[個人／事業所数]]/LTBL_01483[[#Totals],[総数／事業所数]]</f>
        <v>0.51041666666666663</v>
      </c>
      <c r="G21" s="11">
        <f>LTBL_01483[[#Totals],[法人／事業所数]]/LTBL_01483[[#Totals],[総数／事業所数]]</f>
        <v>0.45833333333333331</v>
      </c>
      <c r="I21" s="11">
        <f>LTBL_01483[[#Totals],[法人以外の団体／事業所数]]/LTBL_01483[[#Totals],[総数／事業所数]]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15</v>
      </c>
      <c r="D24" s="8">
        <v>15.63</v>
      </c>
      <c r="E24" s="12">
        <v>14</v>
      </c>
      <c r="F24" s="8">
        <v>28.57</v>
      </c>
      <c r="G24" s="12">
        <v>1</v>
      </c>
      <c r="H24" s="8">
        <v>2.27</v>
      </c>
      <c r="I24" s="12">
        <v>0</v>
      </c>
    </row>
    <row r="25" spans="2:9" ht="15" customHeight="1" x14ac:dyDescent="0.2">
      <c r="B25" t="s">
        <v>213</v>
      </c>
      <c r="C25" s="12">
        <v>11</v>
      </c>
      <c r="D25" s="8">
        <v>11.46</v>
      </c>
      <c r="E25" s="12">
        <v>2</v>
      </c>
      <c r="F25" s="8">
        <v>4.08</v>
      </c>
      <c r="G25" s="12">
        <v>9</v>
      </c>
      <c r="H25" s="8">
        <v>20.45</v>
      </c>
      <c r="I25" s="12">
        <v>0</v>
      </c>
    </row>
    <row r="26" spans="2:9" ht="15" customHeight="1" x14ac:dyDescent="0.2">
      <c r="B26" t="s">
        <v>223</v>
      </c>
      <c r="C26" s="12">
        <v>10</v>
      </c>
      <c r="D26" s="8">
        <v>10.42</v>
      </c>
      <c r="E26" s="12">
        <v>3</v>
      </c>
      <c r="F26" s="8">
        <v>6.12</v>
      </c>
      <c r="G26" s="12">
        <v>7</v>
      </c>
      <c r="H26" s="8">
        <v>15.91</v>
      </c>
      <c r="I26" s="12">
        <v>0</v>
      </c>
    </row>
    <row r="27" spans="2:9" ht="15" customHeight="1" x14ac:dyDescent="0.2">
      <c r="B27" t="s">
        <v>228</v>
      </c>
      <c r="C27" s="12">
        <v>9</v>
      </c>
      <c r="D27" s="8">
        <v>9.3800000000000008</v>
      </c>
      <c r="E27" s="12">
        <v>9</v>
      </c>
      <c r="F27" s="8">
        <v>18.37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214</v>
      </c>
      <c r="C28" s="12">
        <v>4</v>
      </c>
      <c r="D28" s="8">
        <v>4.17</v>
      </c>
      <c r="E28" s="12">
        <v>3</v>
      </c>
      <c r="F28" s="8">
        <v>6.12</v>
      </c>
      <c r="G28" s="12">
        <v>1</v>
      </c>
      <c r="H28" s="8">
        <v>2.27</v>
      </c>
      <c r="I28" s="12">
        <v>0</v>
      </c>
    </row>
    <row r="29" spans="2:9" ht="15" customHeight="1" x14ac:dyDescent="0.2">
      <c r="B29" t="s">
        <v>221</v>
      </c>
      <c r="C29" s="12">
        <v>4</v>
      </c>
      <c r="D29" s="8">
        <v>4.17</v>
      </c>
      <c r="E29" s="12">
        <v>0</v>
      </c>
      <c r="F29" s="8">
        <v>0</v>
      </c>
      <c r="G29" s="12">
        <v>4</v>
      </c>
      <c r="H29" s="8">
        <v>9.09</v>
      </c>
      <c r="I29" s="12">
        <v>0</v>
      </c>
    </row>
    <row r="30" spans="2:9" ht="15" customHeight="1" x14ac:dyDescent="0.2">
      <c r="B30" t="s">
        <v>243</v>
      </c>
      <c r="C30" s="12">
        <v>4</v>
      </c>
      <c r="D30" s="8">
        <v>4.17</v>
      </c>
      <c r="E30" s="12">
        <v>3</v>
      </c>
      <c r="F30" s="8">
        <v>6.12</v>
      </c>
      <c r="G30" s="12">
        <v>1</v>
      </c>
      <c r="H30" s="8">
        <v>2.27</v>
      </c>
      <c r="I30" s="12">
        <v>0</v>
      </c>
    </row>
    <row r="31" spans="2:9" ht="15" customHeight="1" x14ac:dyDescent="0.2">
      <c r="B31" t="s">
        <v>215</v>
      </c>
      <c r="C31" s="12">
        <v>2</v>
      </c>
      <c r="D31" s="8">
        <v>2.08</v>
      </c>
      <c r="E31" s="12">
        <v>0</v>
      </c>
      <c r="F31" s="8">
        <v>0</v>
      </c>
      <c r="G31" s="12">
        <v>2</v>
      </c>
      <c r="H31" s="8">
        <v>4.55</v>
      </c>
      <c r="I31" s="12">
        <v>0</v>
      </c>
    </row>
    <row r="32" spans="2:9" ht="15" customHeight="1" x14ac:dyDescent="0.2">
      <c r="B32" t="s">
        <v>241</v>
      </c>
      <c r="C32" s="12">
        <v>2</v>
      </c>
      <c r="D32" s="8">
        <v>2.08</v>
      </c>
      <c r="E32" s="12">
        <v>1</v>
      </c>
      <c r="F32" s="8">
        <v>2.04</v>
      </c>
      <c r="G32" s="12">
        <v>1</v>
      </c>
      <c r="H32" s="8">
        <v>2.27</v>
      </c>
      <c r="I32" s="12">
        <v>0</v>
      </c>
    </row>
    <row r="33" spans="2:9" ht="15" customHeight="1" x14ac:dyDescent="0.2">
      <c r="B33" t="s">
        <v>244</v>
      </c>
      <c r="C33" s="12">
        <v>2</v>
      </c>
      <c r="D33" s="8">
        <v>2.08</v>
      </c>
      <c r="E33" s="12">
        <v>0</v>
      </c>
      <c r="F33" s="8">
        <v>0</v>
      </c>
      <c r="G33" s="12">
        <v>2</v>
      </c>
      <c r="H33" s="8">
        <v>4.55</v>
      </c>
      <c r="I33" s="12">
        <v>0</v>
      </c>
    </row>
    <row r="34" spans="2:9" ht="15" customHeight="1" x14ac:dyDescent="0.2">
      <c r="B34" t="s">
        <v>265</v>
      </c>
      <c r="C34" s="12">
        <v>2</v>
      </c>
      <c r="D34" s="8">
        <v>2.08</v>
      </c>
      <c r="E34" s="12">
        <v>0</v>
      </c>
      <c r="F34" s="8">
        <v>0</v>
      </c>
      <c r="G34" s="12">
        <v>1</v>
      </c>
      <c r="H34" s="8">
        <v>2.27</v>
      </c>
      <c r="I34" s="12">
        <v>0</v>
      </c>
    </row>
    <row r="35" spans="2:9" ht="15" customHeight="1" x14ac:dyDescent="0.2">
      <c r="B35" t="s">
        <v>261</v>
      </c>
      <c r="C35" s="12">
        <v>2</v>
      </c>
      <c r="D35" s="8">
        <v>2.08</v>
      </c>
      <c r="E35" s="12">
        <v>0</v>
      </c>
      <c r="F35" s="8">
        <v>0</v>
      </c>
      <c r="G35" s="12">
        <v>2</v>
      </c>
      <c r="H35" s="8">
        <v>4.55</v>
      </c>
      <c r="I35" s="12">
        <v>0</v>
      </c>
    </row>
    <row r="36" spans="2:9" ht="15" customHeight="1" x14ac:dyDescent="0.2">
      <c r="B36" t="s">
        <v>216</v>
      </c>
      <c r="C36" s="12">
        <v>2</v>
      </c>
      <c r="D36" s="8">
        <v>2.08</v>
      </c>
      <c r="E36" s="12">
        <v>0</v>
      </c>
      <c r="F36" s="8">
        <v>0</v>
      </c>
      <c r="G36" s="12">
        <v>2</v>
      </c>
      <c r="H36" s="8">
        <v>4.55</v>
      </c>
      <c r="I36" s="12">
        <v>0</v>
      </c>
    </row>
    <row r="37" spans="2:9" ht="15" customHeight="1" x14ac:dyDescent="0.2">
      <c r="B37" t="s">
        <v>220</v>
      </c>
      <c r="C37" s="12">
        <v>2</v>
      </c>
      <c r="D37" s="8">
        <v>2.08</v>
      </c>
      <c r="E37" s="12">
        <v>2</v>
      </c>
      <c r="F37" s="8">
        <v>4.08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222</v>
      </c>
      <c r="C38" s="12">
        <v>2</v>
      </c>
      <c r="D38" s="8">
        <v>2.08</v>
      </c>
      <c r="E38" s="12">
        <v>2</v>
      </c>
      <c r="F38" s="8">
        <v>4.08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224</v>
      </c>
      <c r="C39" s="12">
        <v>2</v>
      </c>
      <c r="D39" s="8">
        <v>2.08</v>
      </c>
      <c r="E39" s="12">
        <v>2</v>
      </c>
      <c r="F39" s="8">
        <v>4.08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240</v>
      </c>
      <c r="C40" s="12">
        <v>2</v>
      </c>
      <c r="D40" s="8">
        <v>2.08</v>
      </c>
      <c r="E40" s="12">
        <v>0</v>
      </c>
      <c r="F40" s="8">
        <v>0</v>
      </c>
      <c r="G40" s="12">
        <v>2</v>
      </c>
      <c r="H40" s="8">
        <v>4.55</v>
      </c>
      <c r="I40" s="12">
        <v>0</v>
      </c>
    </row>
    <row r="41" spans="2:9" ht="15" customHeight="1" x14ac:dyDescent="0.2">
      <c r="B41" t="s">
        <v>234</v>
      </c>
      <c r="C41" s="12">
        <v>2</v>
      </c>
      <c r="D41" s="8">
        <v>2.08</v>
      </c>
      <c r="E41" s="12">
        <v>1</v>
      </c>
      <c r="F41" s="8">
        <v>2.04</v>
      </c>
      <c r="G41" s="12">
        <v>1</v>
      </c>
      <c r="H41" s="8">
        <v>2.27</v>
      </c>
      <c r="I41" s="12">
        <v>0</v>
      </c>
    </row>
    <row r="42" spans="2:9" ht="15" customHeight="1" x14ac:dyDescent="0.2">
      <c r="B42" t="s">
        <v>262</v>
      </c>
      <c r="C42" s="12">
        <v>1</v>
      </c>
      <c r="D42" s="8">
        <v>1.04</v>
      </c>
      <c r="E42" s="12">
        <v>0</v>
      </c>
      <c r="F42" s="8">
        <v>0</v>
      </c>
      <c r="G42" s="12">
        <v>1</v>
      </c>
      <c r="H42" s="8">
        <v>2.27</v>
      </c>
      <c r="I42" s="12">
        <v>0</v>
      </c>
    </row>
    <row r="43" spans="2:9" ht="15" customHeight="1" x14ac:dyDescent="0.2">
      <c r="B43" t="s">
        <v>252</v>
      </c>
      <c r="C43" s="12">
        <v>1</v>
      </c>
      <c r="D43" s="8">
        <v>1.04</v>
      </c>
      <c r="E43" s="12">
        <v>0</v>
      </c>
      <c r="F43" s="8">
        <v>0</v>
      </c>
      <c r="G43" s="12">
        <v>1</v>
      </c>
      <c r="H43" s="8">
        <v>2.27</v>
      </c>
      <c r="I43" s="12">
        <v>0</v>
      </c>
    </row>
    <row r="44" spans="2:9" ht="15" customHeight="1" x14ac:dyDescent="0.2">
      <c r="B44" t="s">
        <v>264</v>
      </c>
      <c r="C44" s="12">
        <v>1</v>
      </c>
      <c r="D44" s="8">
        <v>1.04</v>
      </c>
      <c r="E44" s="12">
        <v>0</v>
      </c>
      <c r="F44" s="8">
        <v>0</v>
      </c>
      <c r="G44" s="12">
        <v>1</v>
      </c>
      <c r="H44" s="8">
        <v>2.27</v>
      </c>
      <c r="I44" s="12">
        <v>0</v>
      </c>
    </row>
    <row r="45" spans="2:9" ht="15" customHeight="1" x14ac:dyDescent="0.2">
      <c r="B45" t="s">
        <v>257</v>
      </c>
      <c r="C45" s="12">
        <v>1</v>
      </c>
      <c r="D45" s="8">
        <v>1.04</v>
      </c>
      <c r="E45" s="12">
        <v>0</v>
      </c>
      <c r="F45" s="8">
        <v>0</v>
      </c>
      <c r="G45" s="12">
        <v>1</v>
      </c>
      <c r="H45" s="8">
        <v>2.27</v>
      </c>
      <c r="I45" s="12">
        <v>0</v>
      </c>
    </row>
    <row r="46" spans="2:9" ht="15" customHeight="1" x14ac:dyDescent="0.2">
      <c r="B46" t="s">
        <v>255</v>
      </c>
      <c r="C46" s="12">
        <v>1</v>
      </c>
      <c r="D46" s="8">
        <v>1.04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277</v>
      </c>
      <c r="C47" s="12">
        <v>1</v>
      </c>
      <c r="D47" s="8">
        <v>1.04</v>
      </c>
      <c r="E47" s="12">
        <v>1</v>
      </c>
      <c r="F47" s="8">
        <v>2.04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248</v>
      </c>
      <c r="C48" s="12">
        <v>1</v>
      </c>
      <c r="D48" s="8">
        <v>1.04</v>
      </c>
      <c r="E48" s="12">
        <v>1</v>
      </c>
      <c r="F48" s="8">
        <v>2.04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217</v>
      </c>
      <c r="C49" s="12">
        <v>1</v>
      </c>
      <c r="D49" s="8">
        <v>1.04</v>
      </c>
      <c r="E49" s="12">
        <v>0</v>
      </c>
      <c r="F49" s="8">
        <v>0</v>
      </c>
      <c r="G49" s="12">
        <v>1</v>
      </c>
      <c r="H49" s="8">
        <v>2.27</v>
      </c>
      <c r="I49" s="12">
        <v>0</v>
      </c>
    </row>
    <row r="50" spans="2:9" ht="15" customHeight="1" x14ac:dyDescent="0.2">
      <c r="B50" t="s">
        <v>218</v>
      </c>
      <c r="C50" s="12">
        <v>1</v>
      </c>
      <c r="D50" s="8">
        <v>1.04</v>
      </c>
      <c r="E50" s="12">
        <v>0</v>
      </c>
      <c r="F50" s="8">
        <v>0</v>
      </c>
      <c r="G50" s="12">
        <v>1</v>
      </c>
      <c r="H50" s="8">
        <v>2.27</v>
      </c>
      <c r="I50" s="12">
        <v>0</v>
      </c>
    </row>
    <row r="51" spans="2:9" ht="15" customHeight="1" x14ac:dyDescent="0.2">
      <c r="B51" t="s">
        <v>219</v>
      </c>
      <c r="C51" s="12">
        <v>1</v>
      </c>
      <c r="D51" s="8">
        <v>1.04</v>
      </c>
      <c r="E51" s="12">
        <v>1</v>
      </c>
      <c r="F51" s="8">
        <v>2.04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246</v>
      </c>
      <c r="C52" s="12">
        <v>1</v>
      </c>
      <c r="D52" s="8">
        <v>1.04</v>
      </c>
      <c r="E52" s="12">
        <v>1</v>
      </c>
      <c r="F52" s="8">
        <v>2.04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226</v>
      </c>
      <c r="C53" s="12">
        <v>1</v>
      </c>
      <c r="D53" s="8">
        <v>1.04</v>
      </c>
      <c r="E53" s="12">
        <v>0</v>
      </c>
      <c r="F53" s="8">
        <v>0</v>
      </c>
      <c r="G53" s="12">
        <v>1</v>
      </c>
      <c r="H53" s="8">
        <v>2.27</v>
      </c>
      <c r="I53" s="12">
        <v>0</v>
      </c>
    </row>
    <row r="54" spans="2:9" ht="15" customHeight="1" x14ac:dyDescent="0.2">
      <c r="B54" t="s">
        <v>239</v>
      </c>
      <c r="C54" s="12">
        <v>1</v>
      </c>
      <c r="D54" s="8">
        <v>1.04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229</v>
      </c>
      <c r="C55" s="12">
        <v>1</v>
      </c>
      <c r="D55" s="8">
        <v>1.04</v>
      </c>
      <c r="E55" s="12">
        <v>1</v>
      </c>
      <c r="F55" s="8">
        <v>2.04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231</v>
      </c>
      <c r="C56" s="12">
        <v>1</v>
      </c>
      <c r="D56" s="8">
        <v>1.04</v>
      </c>
      <c r="E56" s="12">
        <v>1</v>
      </c>
      <c r="F56" s="8">
        <v>2.04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249</v>
      </c>
      <c r="C57" s="12">
        <v>1</v>
      </c>
      <c r="D57" s="8">
        <v>1.04</v>
      </c>
      <c r="E57" s="12">
        <v>0</v>
      </c>
      <c r="F57" s="8">
        <v>0</v>
      </c>
      <c r="G57" s="12">
        <v>1</v>
      </c>
      <c r="H57" s="8">
        <v>2.27</v>
      </c>
      <c r="I57" s="12">
        <v>0</v>
      </c>
    </row>
    <row r="58" spans="2:9" ht="15" customHeight="1" x14ac:dyDescent="0.2">
      <c r="B58" t="s">
        <v>242</v>
      </c>
      <c r="C58" s="12">
        <v>1</v>
      </c>
      <c r="D58" s="8">
        <v>1.04</v>
      </c>
      <c r="E58" s="12">
        <v>1</v>
      </c>
      <c r="F58" s="8">
        <v>2.04</v>
      </c>
      <c r="G58" s="12">
        <v>0</v>
      </c>
      <c r="H58" s="8">
        <v>0</v>
      </c>
      <c r="I58" s="12">
        <v>0</v>
      </c>
    </row>
    <row r="61" spans="2:9" ht="33" customHeight="1" x14ac:dyDescent="0.2">
      <c r="B61" t="s">
        <v>531</v>
      </c>
      <c r="C61" s="10" t="s">
        <v>206</v>
      </c>
      <c r="D61" s="10" t="s">
        <v>207</v>
      </c>
      <c r="E61" s="10" t="s">
        <v>208</v>
      </c>
      <c r="F61" s="10" t="s">
        <v>209</v>
      </c>
      <c r="G61" s="10" t="s">
        <v>210</v>
      </c>
      <c r="H61" s="10" t="s">
        <v>211</v>
      </c>
      <c r="I61" s="10" t="s">
        <v>212</v>
      </c>
    </row>
    <row r="62" spans="2:9" ht="15" customHeight="1" x14ac:dyDescent="0.2">
      <c r="B62" t="s">
        <v>301</v>
      </c>
      <c r="C62" s="12">
        <v>6</v>
      </c>
      <c r="D62" s="8">
        <v>6.25</v>
      </c>
      <c r="E62" s="12">
        <v>5</v>
      </c>
      <c r="F62" s="8">
        <v>10.199999999999999</v>
      </c>
      <c r="G62" s="12">
        <v>1</v>
      </c>
      <c r="H62" s="8">
        <v>2.27</v>
      </c>
      <c r="I62" s="12">
        <v>0</v>
      </c>
    </row>
    <row r="63" spans="2:9" ht="15" customHeight="1" x14ac:dyDescent="0.2">
      <c r="B63" t="s">
        <v>304</v>
      </c>
      <c r="C63" s="12">
        <v>5</v>
      </c>
      <c r="D63" s="8">
        <v>5.21</v>
      </c>
      <c r="E63" s="12">
        <v>5</v>
      </c>
      <c r="F63" s="8">
        <v>10.199999999999999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288</v>
      </c>
      <c r="C64" s="12">
        <v>4</v>
      </c>
      <c r="D64" s="8">
        <v>4.17</v>
      </c>
      <c r="E64" s="12">
        <v>0</v>
      </c>
      <c r="F64" s="8">
        <v>0</v>
      </c>
      <c r="G64" s="12">
        <v>4</v>
      </c>
      <c r="H64" s="8">
        <v>9.09</v>
      </c>
      <c r="I64" s="12">
        <v>0</v>
      </c>
    </row>
    <row r="65" spans="2:9" ht="15" customHeight="1" x14ac:dyDescent="0.2">
      <c r="B65" t="s">
        <v>289</v>
      </c>
      <c r="C65" s="12">
        <v>4</v>
      </c>
      <c r="D65" s="8">
        <v>4.17</v>
      </c>
      <c r="E65" s="12">
        <v>1</v>
      </c>
      <c r="F65" s="8">
        <v>2.04</v>
      </c>
      <c r="G65" s="12">
        <v>3</v>
      </c>
      <c r="H65" s="8">
        <v>6.82</v>
      </c>
      <c r="I65" s="12">
        <v>0</v>
      </c>
    </row>
    <row r="66" spans="2:9" ht="15" customHeight="1" x14ac:dyDescent="0.2">
      <c r="B66" t="s">
        <v>330</v>
      </c>
      <c r="C66" s="12">
        <v>4</v>
      </c>
      <c r="D66" s="8">
        <v>4.17</v>
      </c>
      <c r="E66" s="12">
        <v>1</v>
      </c>
      <c r="F66" s="8">
        <v>2.04</v>
      </c>
      <c r="G66" s="12">
        <v>3</v>
      </c>
      <c r="H66" s="8">
        <v>6.82</v>
      </c>
      <c r="I66" s="12">
        <v>0</v>
      </c>
    </row>
    <row r="67" spans="2:9" ht="15" customHeight="1" x14ac:dyDescent="0.2">
      <c r="B67" t="s">
        <v>299</v>
      </c>
      <c r="C67" s="12">
        <v>4</v>
      </c>
      <c r="D67" s="8">
        <v>4.17</v>
      </c>
      <c r="E67" s="12">
        <v>4</v>
      </c>
      <c r="F67" s="8">
        <v>8.16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339</v>
      </c>
      <c r="C68" s="12">
        <v>3</v>
      </c>
      <c r="D68" s="8">
        <v>3.13</v>
      </c>
      <c r="E68" s="12">
        <v>3</v>
      </c>
      <c r="F68" s="8">
        <v>6.12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334</v>
      </c>
      <c r="C69" s="12">
        <v>3</v>
      </c>
      <c r="D69" s="8">
        <v>3.13</v>
      </c>
      <c r="E69" s="12">
        <v>3</v>
      </c>
      <c r="F69" s="8">
        <v>6.12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303</v>
      </c>
      <c r="C70" s="12">
        <v>3</v>
      </c>
      <c r="D70" s="8">
        <v>3.13</v>
      </c>
      <c r="E70" s="12">
        <v>3</v>
      </c>
      <c r="F70" s="8">
        <v>6.12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328</v>
      </c>
      <c r="C71" s="12">
        <v>2</v>
      </c>
      <c r="D71" s="8">
        <v>2.08</v>
      </c>
      <c r="E71" s="12">
        <v>1</v>
      </c>
      <c r="F71" s="8">
        <v>2.04</v>
      </c>
      <c r="G71" s="12">
        <v>1</v>
      </c>
      <c r="H71" s="8">
        <v>2.27</v>
      </c>
      <c r="I71" s="12">
        <v>0</v>
      </c>
    </row>
    <row r="72" spans="2:9" ht="15" customHeight="1" x14ac:dyDescent="0.2">
      <c r="B72" t="s">
        <v>343</v>
      </c>
      <c r="C72" s="12">
        <v>2</v>
      </c>
      <c r="D72" s="8">
        <v>2.08</v>
      </c>
      <c r="E72" s="12">
        <v>1</v>
      </c>
      <c r="F72" s="8">
        <v>2.04</v>
      </c>
      <c r="G72" s="12">
        <v>1</v>
      </c>
      <c r="H72" s="8">
        <v>2.27</v>
      </c>
      <c r="I72" s="12">
        <v>0</v>
      </c>
    </row>
    <row r="73" spans="2:9" ht="15" customHeight="1" x14ac:dyDescent="0.2">
      <c r="B73" t="s">
        <v>384</v>
      </c>
      <c r="C73" s="12">
        <v>2</v>
      </c>
      <c r="D73" s="8">
        <v>2.08</v>
      </c>
      <c r="E73" s="12">
        <v>0</v>
      </c>
      <c r="F73" s="8">
        <v>0</v>
      </c>
      <c r="G73" s="12">
        <v>2</v>
      </c>
      <c r="H73" s="8">
        <v>4.55</v>
      </c>
      <c r="I73" s="12">
        <v>0</v>
      </c>
    </row>
    <row r="74" spans="2:9" ht="15" customHeight="1" x14ac:dyDescent="0.2">
      <c r="B74" t="s">
        <v>364</v>
      </c>
      <c r="C74" s="12">
        <v>2</v>
      </c>
      <c r="D74" s="8">
        <v>2.08</v>
      </c>
      <c r="E74" s="12">
        <v>0</v>
      </c>
      <c r="F74" s="8">
        <v>0</v>
      </c>
      <c r="G74" s="12">
        <v>2</v>
      </c>
      <c r="H74" s="8">
        <v>4.55</v>
      </c>
      <c r="I74" s="12">
        <v>0</v>
      </c>
    </row>
    <row r="75" spans="2:9" ht="15" customHeight="1" x14ac:dyDescent="0.2">
      <c r="B75" t="s">
        <v>324</v>
      </c>
      <c r="C75" s="12">
        <v>2</v>
      </c>
      <c r="D75" s="8">
        <v>2.08</v>
      </c>
      <c r="E75" s="12">
        <v>0</v>
      </c>
      <c r="F75" s="8">
        <v>0</v>
      </c>
      <c r="G75" s="12">
        <v>2</v>
      </c>
      <c r="H75" s="8">
        <v>4.55</v>
      </c>
      <c r="I75" s="12">
        <v>0</v>
      </c>
    </row>
    <row r="76" spans="2:9" ht="15" customHeight="1" x14ac:dyDescent="0.2">
      <c r="B76" t="s">
        <v>314</v>
      </c>
      <c r="C76" s="12">
        <v>2</v>
      </c>
      <c r="D76" s="8">
        <v>2.08</v>
      </c>
      <c r="E76" s="12">
        <v>2</v>
      </c>
      <c r="F76" s="8">
        <v>4.08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332</v>
      </c>
      <c r="C77" s="12">
        <v>2</v>
      </c>
      <c r="D77" s="8">
        <v>2.08</v>
      </c>
      <c r="E77" s="12">
        <v>0</v>
      </c>
      <c r="F77" s="8">
        <v>0</v>
      </c>
      <c r="G77" s="12">
        <v>2</v>
      </c>
      <c r="H77" s="8">
        <v>4.55</v>
      </c>
      <c r="I77" s="12">
        <v>0</v>
      </c>
    </row>
    <row r="78" spans="2:9" ht="15" customHeight="1" x14ac:dyDescent="0.2">
      <c r="B78" t="s">
        <v>335</v>
      </c>
      <c r="C78" s="12">
        <v>2</v>
      </c>
      <c r="D78" s="8">
        <v>2.08</v>
      </c>
      <c r="E78" s="12">
        <v>2</v>
      </c>
      <c r="F78" s="8">
        <v>4.08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295</v>
      </c>
      <c r="C79" s="12">
        <v>2</v>
      </c>
      <c r="D79" s="8">
        <v>2.08</v>
      </c>
      <c r="E79" s="12">
        <v>1</v>
      </c>
      <c r="F79" s="8">
        <v>2.04</v>
      </c>
      <c r="G79" s="12">
        <v>1</v>
      </c>
      <c r="H79" s="8">
        <v>2.27</v>
      </c>
      <c r="I79" s="12">
        <v>0</v>
      </c>
    </row>
    <row r="80" spans="2:9" ht="15" customHeight="1" x14ac:dyDescent="0.2">
      <c r="B80" t="s">
        <v>297</v>
      </c>
      <c r="C80" s="12">
        <v>2</v>
      </c>
      <c r="D80" s="8">
        <v>2.08</v>
      </c>
      <c r="E80" s="12">
        <v>2</v>
      </c>
      <c r="F80" s="8">
        <v>4.08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307</v>
      </c>
      <c r="C81" s="12">
        <v>2</v>
      </c>
      <c r="D81" s="8">
        <v>2.08</v>
      </c>
      <c r="E81" s="12">
        <v>0</v>
      </c>
      <c r="F81" s="8">
        <v>0</v>
      </c>
      <c r="G81" s="12">
        <v>2</v>
      </c>
      <c r="H81" s="8">
        <v>4.55</v>
      </c>
      <c r="I81" s="12">
        <v>0</v>
      </c>
    </row>
    <row r="82" spans="2:9" ht="15" customHeight="1" x14ac:dyDescent="0.2">
      <c r="B82" t="s">
        <v>318</v>
      </c>
      <c r="C82" s="12">
        <v>2</v>
      </c>
      <c r="D82" s="8">
        <v>2.08</v>
      </c>
      <c r="E82" s="12">
        <v>1</v>
      </c>
      <c r="F82" s="8">
        <v>2.04</v>
      </c>
      <c r="G82" s="12">
        <v>1</v>
      </c>
      <c r="H82" s="8">
        <v>2.27</v>
      </c>
      <c r="I82" s="12">
        <v>0</v>
      </c>
    </row>
    <row r="84" spans="2:9" ht="15" customHeight="1" x14ac:dyDescent="0.2">
      <c r="B8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E1DA1-031A-423B-BBA2-5F4F1F5D00C5}">
  <sheetPr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40</v>
      </c>
      <c r="D6" s="8">
        <v>13.33</v>
      </c>
      <c r="E6" s="12">
        <v>22</v>
      </c>
      <c r="F6" s="8">
        <v>11.83</v>
      </c>
      <c r="G6" s="12">
        <v>18</v>
      </c>
      <c r="H6" s="8">
        <v>18.18</v>
      </c>
      <c r="I6" s="12">
        <v>0</v>
      </c>
    </row>
    <row r="7" spans="2:9" ht="15" customHeight="1" x14ac:dyDescent="0.2">
      <c r="B7" t="s">
        <v>192</v>
      </c>
      <c r="C7" s="12">
        <v>14</v>
      </c>
      <c r="D7" s="8">
        <v>4.67</v>
      </c>
      <c r="E7" s="12">
        <v>3</v>
      </c>
      <c r="F7" s="8">
        <v>1.61</v>
      </c>
      <c r="G7" s="12">
        <v>11</v>
      </c>
      <c r="H7" s="8">
        <v>11.11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0.67</v>
      </c>
      <c r="E9" s="12">
        <v>0</v>
      </c>
      <c r="F9" s="8">
        <v>0</v>
      </c>
      <c r="G9" s="12">
        <v>2</v>
      </c>
      <c r="H9" s="8">
        <v>2.02</v>
      </c>
      <c r="I9" s="12">
        <v>0</v>
      </c>
    </row>
    <row r="10" spans="2:9" ht="15" customHeight="1" x14ac:dyDescent="0.2">
      <c r="B10" t="s">
        <v>195</v>
      </c>
      <c r="C10" s="12">
        <v>6</v>
      </c>
      <c r="D10" s="8">
        <v>2</v>
      </c>
      <c r="E10" s="12">
        <v>1</v>
      </c>
      <c r="F10" s="8">
        <v>0.54</v>
      </c>
      <c r="G10" s="12">
        <v>5</v>
      </c>
      <c r="H10" s="8">
        <v>5.05</v>
      </c>
      <c r="I10" s="12">
        <v>0</v>
      </c>
    </row>
    <row r="11" spans="2:9" ht="15" customHeight="1" x14ac:dyDescent="0.2">
      <c r="B11" t="s">
        <v>196</v>
      </c>
      <c r="C11" s="12">
        <v>72</v>
      </c>
      <c r="D11" s="8">
        <v>24</v>
      </c>
      <c r="E11" s="12">
        <v>34</v>
      </c>
      <c r="F11" s="8">
        <v>18.28</v>
      </c>
      <c r="G11" s="12">
        <v>38</v>
      </c>
      <c r="H11" s="8">
        <v>38.380000000000003</v>
      </c>
      <c r="I11" s="12">
        <v>0</v>
      </c>
    </row>
    <row r="12" spans="2:9" ht="15" customHeight="1" x14ac:dyDescent="0.2">
      <c r="B12" t="s">
        <v>197</v>
      </c>
      <c r="C12" s="12">
        <v>2</v>
      </c>
      <c r="D12" s="8">
        <v>0.67</v>
      </c>
      <c r="E12" s="12">
        <v>1</v>
      </c>
      <c r="F12" s="8">
        <v>0.54</v>
      </c>
      <c r="G12" s="12">
        <v>1</v>
      </c>
      <c r="H12" s="8">
        <v>1.01</v>
      </c>
      <c r="I12" s="12">
        <v>0</v>
      </c>
    </row>
    <row r="13" spans="2:9" ht="15" customHeight="1" x14ac:dyDescent="0.2">
      <c r="B13" t="s">
        <v>198</v>
      </c>
      <c r="C13" s="12">
        <v>19</v>
      </c>
      <c r="D13" s="8">
        <v>6.33</v>
      </c>
      <c r="E13" s="12">
        <v>15</v>
      </c>
      <c r="F13" s="8">
        <v>8.06</v>
      </c>
      <c r="G13" s="12">
        <v>3</v>
      </c>
      <c r="H13" s="8">
        <v>3.03</v>
      </c>
      <c r="I13" s="12">
        <v>0</v>
      </c>
    </row>
    <row r="14" spans="2:9" ht="15" customHeight="1" x14ac:dyDescent="0.2">
      <c r="B14" t="s">
        <v>199</v>
      </c>
      <c r="C14" s="12">
        <v>8</v>
      </c>
      <c r="D14" s="8">
        <v>2.67</v>
      </c>
      <c r="E14" s="12">
        <v>6</v>
      </c>
      <c r="F14" s="8">
        <v>3.23</v>
      </c>
      <c r="G14" s="12">
        <v>1</v>
      </c>
      <c r="H14" s="8">
        <v>1.01</v>
      </c>
      <c r="I14" s="12">
        <v>0</v>
      </c>
    </row>
    <row r="15" spans="2:9" ht="15" customHeight="1" x14ac:dyDescent="0.2">
      <c r="B15" t="s">
        <v>200</v>
      </c>
      <c r="C15" s="12">
        <v>71</v>
      </c>
      <c r="D15" s="8">
        <v>23.67</v>
      </c>
      <c r="E15" s="12">
        <v>65</v>
      </c>
      <c r="F15" s="8">
        <v>34.950000000000003</v>
      </c>
      <c r="G15" s="12">
        <v>5</v>
      </c>
      <c r="H15" s="8">
        <v>5.05</v>
      </c>
      <c r="I15" s="12">
        <v>0</v>
      </c>
    </row>
    <row r="16" spans="2:9" ht="15" customHeight="1" x14ac:dyDescent="0.2">
      <c r="B16" t="s">
        <v>201</v>
      </c>
      <c r="C16" s="12">
        <v>33</v>
      </c>
      <c r="D16" s="8">
        <v>11</v>
      </c>
      <c r="E16" s="12">
        <v>29</v>
      </c>
      <c r="F16" s="8">
        <v>15.59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6</v>
      </c>
      <c r="D17" s="8">
        <v>2</v>
      </c>
      <c r="E17" s="12">
        <v>3</v>
      </c>
      <c r="F17" s="8">
        <v>1.61</v>
      </c>
      <c r="G17" s="12">
        <v>1</v>
      </c>
      <c r="H17" s="8">
        <v>1.01</v>
      </c>
      <c r="I17" s="12">
        <v>0</v>
      </c>
    </row>
    <row r="18" spans="2:9" ht="15" customHeight="1" x14ac:dyDescent="0.2">
      <c r="B18" t="s">
        <v>203</v>
      </c>
      <c r="C18" s="12">
        <v>11</v>
      </c>
      <c r="D18" s="8">
        <v>3.67</v>
      </c>
      <c r="E18" s="12">
        <v>6</v>
      </c>
      <c r="F18" s="8">
        <v>3.23</v>
      </c>
      <c r="G18" s="12">
        <v>1</v>
      </c>
      <c r="H18" s="8">
        <v>1.01</v>
      </c>
      <c r="I18" s="12">
        <v>1</v>
      </c>
    </row>
    <row r="19" spans="2:9" ht="15" customHeight="1" x14ac:dyDescent="0.2">
      <c r="B19" t="s">
        <v>204</v>
      </c>
      <c r="C19" s="12">
        <v>16</v>
      </c>
      <c r="D19" s="8">
        <v>5.33</v>
      </c>
      <c r="E19" s="12">
        <v>1</v>
      </c>
      <c r="F19" s="8">
        <v>0.54</v>
      </c>
      <c r="G19" s="12">
        <v>13</v>
      </c>
      <c r="H19" s="8">
        <v>13.13</v>
      </c>
      <c r="I19" s="12">
        <v>1</v>
      </c>
    </row>
    <row r="20" spans="2:9" ht="15" customHeight="1" x14ac:dyDescent="0.2">
      <c r="B20" s="9" t="s">
        <v>529</v>
      </c>
      <c r="C20" s="12">
        <f>SUM(LTBL_01484[総数／事業所数])</f>
        <v>300</v>
      </c>
      <c r="E20" s="12">
        <f>SUBTOTAL(109,LTBL_01484[個人／事業所数])</f>
        <v>186</v>
      </c>
      <c r="G20" s="12">
        <f>SUBTOTAL(109,LTBL_01484[法人／事業所数])</f>
        <v>99</v>
      </c>
      <c r="I20" s="12">
        <f>SUBTOTAL(109,LTBL_01484[法人以外の団体／事業所数])</f>
        <v>2</v>
      </c>
    </row>
    <row r="21" spans="2:9" ht="15" customHeight="1" x14ac:dyDescent="0.2">
      <c r="E21" s="11">
        <f>LTBL_01484[[#Totals],[個人／事業所数]]/LTBL_01484[[#Totals],[総数／事業所数]]</f>
        <v>0.62</v>
      </c>
      <c r="G21" s="11">
        <f>LTBL_01484[[#Totals],[法人／事業所数]]/LTBL_01484[[#Totals],[総数／事業所数]]</f>
        <v>0.33</v>
      </c>
      <c r="I21" s="11">
        <f>LTBL_01484[[#Totals],[法人以外の団体／事業所数]]/LTBL_01484[[#Totals],[総数／事業所数]]</f>
        <v>6.6666666666666671E-3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50</v>
      </c>
      <c r="D24" s="8">
        <v>16.670000000000002</v>
      </c>
      <c r="E24" s="12">
        <v>47</v>
      </c>
      <c r="F24" s="8">
        <v>25.27</v>
      </c>
      <c r="G24" s="12">
        <v>3</v>
      </c>
      <c r="H24" s="8">
        <v>3.03</v>
      </c>
      <c r="I24" s="12">
        <v>0</v>
      </c>
    </row>
    <row r="25" spans="2:9" ht="15" customHeight="1" x14ac:dyDescent="0.2">
      <c r="B25" t="s">
        <v>228</v>
      </c>
      <c r="C25" s="12">
        <v>27</v>
      </c>
      <c r="D25" s="8">
        <v>9</v>
      </c>
      <c r="E25" s="12">
        <v>27</v>
      </c>
      <c r="F25" s="8">
        <v>14.52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221</v>
      </c>
      <c r="C26" s="12">
        <v>22</v>
      </c>
      <c r="D26" s="8">
        <v>7.33</v>
      </c>
      <c r="E26" s="12">
        <v>12</v>
      </c>
      <c r="F26" s="8">
        <v>6.45</v>
      </c>
      <c r="G26" s="12">
        <v>10</v>
      </c>
      <c r="H26" s="8">
        <v>10.1</v>
      </c>
      <c r="I26" s="12">
        <v>0</v>
      </c>
    </row>
    <row r="27" spans="2:9" ht="15" customHeight="1" x14ac:dyDescent="0.2">
      <c r="B27" t="s">
        <v>223</v>
      </c>
      <c r="C27" s="12">
        <v>22</v>
      </c>
      <c r="D27" s="8">
        <v>7.33</v>
      </c>
      <c r="E27" s="12">
        <v>10</v>
      </c>
      <c r="F27" s="8">
        <v>5.38</v>
      </c>
      <c r="G27" s="12">
        <v>12</v>
      </c>
      <c r="H27" s="8">
        <v>12.12</v>
      </c>
      <c r="I27" s="12">
        <v>0</v>
      </c>
    </row>
    <row r="28" spans="2:9" ht="15" customHeight="1" x14ac:dyDescent="0.2">
      <c r="B28" t="s">
        <v>243</v>
      </c>
      <c r="C28" s="12">
        <v>19</v>
      </c>
      <c r="D28" s="8">
        <v>6.33</v>
      </c>
      <c r="E28" s="12">
        <v>17</v>
      </c>
      <c r="F28" s="8">
        <v>9.14</v>
      </c>
      <c r="G28" s="12">
        <v>2</v>
      </c>
      <c r="H28" s="8">
        <v>2.02</v>
      </c>
      <c r="I28" s="12">
        <v>0</v>
      </c>
    </row>
    <row r="29" spans="2:9" ht="15" customHeight="1" x14ac:dyDescent="0.2">
      <c r="B29" t="s">
        <v>214</v>
      </c>
      <c r="C29" s="12">
        <v>18</v>
      </c>
      <c r="D29" s="8">
        <v>6</v>
      </c>
      <c r="E29" s="12">
        <v>12</v>
      </c>
      <c r="F29" s="8">
        <v>6.45</v>
      </c>
      <c r="G29" s="12">
        <v>6</v>
      </c>
      <c r="H29" s="8">
        <v>6.06</v>
      </c>
      <c r="I29" s="12">
        <v>0</v>
      </c>
    </row>
    <row r="30" spans="2:9" ht="15" customHeight="1" x14ac:dyDescent="0.2">
      <c r="B30" t="s">
        <v>224</v>
      </c>
      <c r="C30" s="12">
        <v>15</v>
      </c>
      <c r="D30" s="8">
        <v>5</v>
      </c>
      <c r="E30" s="12">
        <v>13</v>
      </c>
      <c r="F30" s="8">
        <v>6.99</v>
      </c>
      <c r="G30" s="12">
        <v>1</v>
      </c>
      <c r="H30" s="8">
        <v>1.01</v>
      </c>
      <c r="I30" s="12">
        <v>0</v>
      </c>
    </row>
    <row r="31" spans="2:9" ht="15" customHeight="1" x14ac:dyDescent="0.2">
      <c r="B31" t="s">
        <v>213</v>
      </c>
      <c r="C31" s="12">
        <v>13</v>
      </c>
      <c r="D31" s="8">
        <v>4.33</v>
      </c>
      <c r="E31" s="12">
        <v>5</v>
      </c>
      <c r="F31" s="8">
        <v>2.69</v>
      </c>
      <c r="G31" s="12">
        <v>8</v>
      </c>
      <c r="H31" s="8">
        <v>8.08</v>
      </c>
      <c r="I31" s="12">
        <v>0</v>
      </c>
    </row>
    <row r="32" spans="2:9" ht="15" customHeight="1" x14ac:dyDescent="0.2">
      <c r="B32" t="s">
        <v>215</v>
      </c>
      <c r="C32" s="12">
        <v>9</v>
      </c>
      <c r="D32" s="8">
        <v>3</v>
      </c>
      <c r="E32" s="12">
        <v>5</v>
      </c>
      <c r="F32" s="8">
        <v>2.69</v>
      </c>
      <c r="G32" s="12">
        <v>4</v>
      </c>
      <c r="H32" s="8">
        <v>4.04</v>
      </c>
      <c r="I32" s="12">
        <v>0</v>
      </c>
    </row>
    <row r="33" spans="2:9" ht="15" customHeight="1" x14ac:dyDescent="0.2">
      <c r="B33" t="s">
        <v>241</v>
      </c>
      <c r="C33" s="12">
        <v>7</v>
      </c>
      <c r="D33" s="8">
        <v>2.33</v>
      </c>
      <c r="E33" s="12">
        <v>1</v>
      </c>
      <c r="F33" s="8">
        <v>0.54</v>
      </c>
      <c r="G33" s="12">
        <v>6</v>
      </c>
      <c r="H33" s="8">
        <v>6.06</v>
      </c>
      <c r="I33" s="12">
        <v>0</v>
      </c>
    </row>
    <row r="34" spans="2:9" ht="15" customHeight="1" x14ac:dyDescent="0.2">
      <c r="B34" t="s">
        <v>217</v>
      </c>
      <c r="C34" s="12">
        <v>7</v>
      </c>
      <c r="D34" s="8">
        <v>2.33</v>
      </c>
      <c r="E34" s="12">
        <v>2</v>
      </c>
      <c r="F34" s="8">
        <v>1.08</v>
      </c>
      <c r="G34" s="12">
        <v>5</v>
      </c>
      <c r="H34" s="8">
        <v>5.05</v>
      </c>
      <c r="I34" s="12">
        <v>0</v>
      </c>
    </row>
    <row r="35" spans="2:9" ht="15" customHeight="1" x14ac:dyDescent="0.2">
      <c r="B35" t="s">
        <v>220</v>
      </c>
      <c r="C35" s="12">
        <v>7</v>
      </c>
      <c r="D35" s="8">
        <v>2.33</v>
      </c>
      <c r="E35" s="12">
        <v>4</v>
      </c>
      <c r="F35" s="8">
        <v>2.15</v>
      </c>
      <c r="G35" s="12">
        <v>3</v>
      </c>
      <c r="H35" s="8">
        <v>3.03</v>
      </c>
      <c r="I35" s="12">
        <v>0</v>
      </c>
    </row>
    <row r="36" spans="2:9" ht="15" customHeight="1" x14ac:dyDescent="0.2">
      <c r="B36" t="s">
        <v>230</v>
      </c>
      <c r="C36" s="12">
        <v>6</v>
      </c>
      <c r="D36" s="8">
        <v>2</v>
      </c>
      <c r="E36" s="12">
        <v>3</v>
      </c>
      <c r="F36" s="8">
        <v>1.61</v>
      </c>
      <c r="G36" s="12">
        <v>1</v>
      </c>
      <c r="H36" s="8">
        <v>1.01</v>
      </c>
      <c r="I36" s="12">
        <v>0</v>
      </c>
    </row>
    <row r="37" spans="2:9" ht="15" customHeight="1" x14ac:dyDescent="0.2">
      <c r="B37" t="s">
        <v>231</v>
      </c>
      <c r="C37" s="12">
        <v>6</v>
      </c>
      <c r="D37" s="8">
        <v>2</v>
      </c>
      <c r="E37" s="12">
        <v>6</v>
      </c>
      <c r="F37" s="8">
        <v>3.23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222</v>
      </c>
      <c r="C38" s="12">
        <v>5</v>
      </c>
      <c r="D38" s="8">
        <v>1.67</v>
      </c>
      <c r="E38" s="12">
        <v>2</v>
      </c>
      <c r="F38" s="8">
        <v>1.08</v>
      </c>
      <c r="G38" s="12">
        <v>3</v>
      </c>
      <c r="H38" s="8">
        <v>3.03</v>
      </c>
      <c r="I38" s="12">
        <v>0</v>
      </c>
    </row>
    <row r="39" spans="2:9" ht="15" customHeight="1" x14ac:dyDescent="0.2">
      <c r="B39" t="s">
        <v>232</v>
      </c>
      <c r="C39" s="12">
        <v>5</v>
      </c>
      <c r="D39" s="8">
        <v>1.67</v>
      </c>
      <c r="E39" s="12">
        <v>0</v>
      </c>
      <c r="F39" s="8">
        <v>0</v>
      </c>
      <c r="G39" s="12">
        <v>1</v>
      </c>
      <c r="H39" s="8">
        <v>1.01</v>
      </c>
      <c r="I39" s="12">
        <v>1</v>
      </c>
    </row>
    <row r="40" spans="2:9" ht="15" customHeight="1" x14ac:dyDescent="0.2">
      <c r="B40" t="s">
        <v>246</v>
      </c>
      <c r="C40" s="12">
        <v>4</v>
      </c>
      <c r="D40" s="8">
        <v>1.33</v>
      </c>
      <c r="E40" s="12">
        <v>2</v>
      </c>
      <c r="F40" s="8">
        <v>1.08</v>
      </c>
      <c r="G40" s="12">
        <v>2</v>
      </c>
      <c r="H40" s="8">
        <v>2.02</v>
      </c>
      <c r="I40" s="12">
        <v>0</v>
      </c>
    </row>
    <row r="41" spans="2:9" ht="15" customHeight="1" x14ac:dyDescent="0.2">
      <c r="B41" t="s">
        <v>225</v>
      </c>
      <c r="C41" s="12">
        <v>4</v>
      </c>
      <c r="D41" s="8">
        <v>1.33</v>
      </c>
      <c r="E41" s="12">
        <v>4</v>
      </c>
      <c r="F41" s="8">
        <v>2.15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226</v>
      </c>
      <c r="C42" s="12">
        <v>4</v>
      </c>
      <c r="D42" s="8">
        <v>1.33</v>
      </c>
      <c r="E42" s="12">
        <v>2</v>
      </c>
      <c r="F42" s="8">
        <v>1.08</v>
      </c>
      <c r="G42" s="12">
        <v>1</v>
      </c>
      <c r="H42" s="8">
        <v>1.01</v>
      </c>
      <c r="I42" s="12">
        <v>0</v>
      </c>
    </row>
    <row r="43" spans="2:9" ht="15" customHeight="1" x14ac:dyDescent="0.2">
      <c r="B43" t="s">
        <v>247</v>
      </c>
      <c r="C43" s="12">
        <v>4</v>
      </c>
      <c r="D43" s="8">
        <v>1.33</v>
      </c>
      <c r="E43" s="12">
        <v>1</v>
      </c>
      <c r="F43" s="8">
        <v>0.54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240</v>
      </c>
      <c r="C44" s="12">
        <v>4</v>
      </c>
      <c r="D44" s="8">
        <v>1.33</v>
      </c>
      <c r="E44" s="12">
        <v>0</v>
      </c>
      <c r="F44" s="8">
        <v>0</v>
      </c>
      <c r="G44" s="12">
        <v>4</v>
      </c>
      <c r="H44" s="8">
        <v>4.04</v>
      </c>
      <c r="I44" s="12">
        <v>0</v>
      </c>
    </row>
    <row r="45" spans="2:9" ht="15" customHeight="1" x14ac:dyDescent="0.2">
      <c r="B45" t="s">
        <v>242</v>
      </c>
      <c r="C45" s="12">
        <v>4</v>
      </c>
      <c r="D45" s="8">
        <v>1.33</v>
      </c>
      <c r="E45" s="12">
        <v>1</v>
      </c>
      <c r="F45" s="8">
        <v>0.54</v>
      </c>
      <c r="G45" s="12">
        <v>3</v>
      </c>
      <c r="H45" s="8">
        <v>3.03</v>
      </c>
      <c r="I45" s="12">
        <v>0</v>
      </c>
    </row>
    <row r="46" spans="2:9" ht="15" customHeight="1" x14ac:dyDescent="0.2">
      <c r="B46" t="s">
        <v>234</v>
      </c>
      <c r="C46" s="12">
        <v>4</v>
      </c>
      <c r="D46" s="8">
        <v>1.33</v>
      </c>
      <c r="E46" s="12">
        <v>0</v>
      </c>
      <c r="F46" s="8">
        <v>0</v>
      </c>
      <c r="G46" s="12">
        <v>4</v>
      </c>
      <c r="H46" s="8">
        <v>4.04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301</v>
      </c>
      <c r="C50" s="12">
        <v>18</v>
      </c>
      <c r="D50" s="8">
        <v>6</v>
      </c>
      <c r="E50" s="12">
        <v>18</v>
      </c>
      <c r="F50" s="8">
        <v>9.68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297</v>
      </c>
      <c r="C51" s="12">
        <v>14</v>
      </c>
      <c r="D51" s="8">
        <v>4.67</v>
      </c>
      <c r="E51" s="12">
        <v>12</v>
      </c>
      <c r="F51" s="8">
        <v>6.45</v>
      </c>
      <c r="G51" s="12">
        <v>1</v>
      </c>
      <c r="H51" s="8">
        <v>1.01</v>
      </c>
      <c r="I51" s="12">
        <v>0</v>
      </c>
    </row>
    <row r="52" spans="2:9" ht="15" customHeight="1" x14ac:dyDescent="0.2">
      <c r="B52" t="s">
        <v>339</v>
      </c>
      <c r="C52" s="12">
        <v>14</v>
      </c>
      <c r="D52" s="8">
        <v>4.67</v>
      </c>
      <c r="E52" s="12">
        <v>13</v>
      </c>
      <c r="F52" s="8">
        <v>6.99</v>
      </c>
      <c r="G52" s="12">
        <v>1</v>
      </c>
      <c r="H52" s="8">
        <v>1.01</v>
      </c>
      <c r="I52" s="12">
        <v>0</v>
      </c>
    </row>
    <row r="53" spans="2:9" ht="15" customHeight="1" x14ac:dyDescent="0.2">
      <c r="B53" t="s">
        <v>303</v>
      </c>
      <c r="C53" s="12">
        <v>12</v>
      </c>
      <c r="D53" s="8">
        <v>4</v>
      </c>
      <c r="E53" s="12">
        <v>12</v>
      </c>
      <c r="F53" s="8">
        <v>6.45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304</v>
      </c>
      <c r="C54" s="12">
        <v>12</v>
      </c>
      <c r="D54" s="8">
        <v>4</v>
      </c>
      <c r="E54" s="12">
        <v>12</v>
      </c>
      <c r="F54" s="8">
        <v>6.45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299</v>
      </c>
      <c r="C55" s="12">
        <v>10</v>
      </c>
      <c r="D55" s="8">
        <v>3.33</v>
      </c>
      <c r="E55" s="12">
        <v>10</v>
      </c>
      <c r="F55" s="8">
        <v>5.38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295</v>
      </c>
      <c r="C56" s="12">
        <v>7</v>
      </c>
      <c r="D56" s="8">
        <v>2.33</v>
      </c>
      <c r="E56" s="12">
        <v>4</v>
      </c>
      <c r="F56" s="8">
        <v>2.15</v>
      </c>
      <c r="G56" s="12">
        <v>3</v>
      </c>
      <c r="H56" s="8">
        <v>3.03</v>
      </c>
      <c r="I56" s="12">
        <v>0</v>
      </c>
    </row>
    <row r="57" spans="2:9" ht="15" customHeight="1" x14ac:dyDescent="0.2">
      <c r="B57" t="s">
        <v>300</v>
      </c>
      <c r="C57" s="12">
        <v>7</v>
      </c>
      <c r="D57" s="8">
        <v>2.33</v>
      </c>
      <c r="E57" s="12">
        <v>5</v>
      </c>
      <c r="F57" s="8">
        <v>2.69</v>
      </c>
      <c r="G57" s="12">
        <v>2</v>
      </c>
      <c r="H57" s="8">
        <v>2.02</v>
      </c>
      <c r="I57" s="12">
        <v>0</v>
      </c>
    </row>
    <row r="58" spans="2:9" ht="15" customHeight="1" x14ac:dyDescent="0.2">
      <c r="B58" t="s">
        <v>289</v>
      </c>
      <c r="C58" s="12">
        <v>6</v>
      </c>
      <c r="D58" s="8">
        <v>2</v>
      </c>
      <c r="E58" s="12">
        <v>1</v>
      </c>
      <c r="F58" s="8">
        <v>0.54</v>
      </c>
      <c r="G58" s="12">
        <v>5</v>
      </c>
      <c r="H58" s="8">
        <v>5.05</v>
      </c>
      <c r="I58" s="12">
        <v>0</v>
      </c>
    </row>
    <row r="59" spans="2:9" ht="15" customHeight="1" x14ac:dyDescent="0.2">
      <c r="B59" t="s">
        <v>343</v>
      </c>
      <c r="C59" s="12">
        <v>6</v>
      </c>
      <c r="D59" s="8">
        <v>2</v>
      </c>
      <c r="E59" s="12">
        <v>5</v>
      </c>
      <c r="F59" s="8">
        <v>2.69</v>
      </c>
      <c r="G59" s="12">
        <v>1</v>
      </c>
      <c r="H59" s="8">
        <v>1.01</v>
      </c>
      <c r="I59" s="12">
        <v>0</v>
      </c>
    </row>
    <row r="60" spans="2:9" ht="15" customHeight="1" x14ac:dyDescent="0.2">
      <c r="B60" t="s">
        <v>291</v>
      </c>
      <c r="C60" s="12">
        <v>6</v>
      </c>
      <c r="D60" s="8">
        <v>2</v>
      </c>
      <c r="E60" s="12">
        <v>4</v>
      </c>
      <c r="F60" s="8">
        <v>2.15</v>
      </c>
      <c r="G60" s="12">
        <v>2</v>
      </c>
      <c r="H60" s="8">
        <v>2.02</v>
      </c>
      <c r="I60" s="12">
        <v>0</v>
      </c>
    </row>
    <row r="61" spans="2:9" ht="15" customHeight="1" x14ac:dyDescent="0.2">
      <c r="B61" t="s">
        <v>342</v>
      </c>
      <c r="C61" s="12">
        <v>6</v>
      </c>
      <c r="D61" s="8">
        <v>2</v>
      </c>
      <c r="E61" s="12">
        <v>0</v>
      </c>
      <c r="F61" s="8">
        <v>0</v>
      </c>
      <c r="G61" s="12">
        <v>6</v>
      </c>
      <c r="H61" s="8">
        <v>6.06</v>
      </c>
      <c r="I61" s="12">
        <v>0</v>
      </c>
    </row>
    <row r="62" spans="2:9" ht="15" customHeight="1" x14ac:dyDescent="0.2">
      <c r="B62" t="s">
        <v>334</v>
      </c>
      <c r="C62" s="12">
        <v>6</v>
      </c>
      <c r="D62" s="8">
        <v>2</v>
      </c>
      <c r="E62" s="12">
        <v>6</v>
      </c>
      <c r="F62" s="8">
        <v>3.23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346</v>
      </c>
      <c r="C63" s="12">
        <v>5</v>
      </c>
      <c r="D63" s="8">
        <v>1.67</v>
      </c>
      <c r="E63" s="12">
        <v>1</v>
      </c>
      <c r="F63" s="8">
        <v>0.54</v>
      </c>
      <c r="G63" s="12">
        <v>4</v>
      </c>
      <c r="H63" s="8">
        <v>4.04</v>
      </c>
      <c r="I63" s="12">
        <v>0</v>
      </c>
    </row>
    <row r="64" spans="2:9" ht="15" customHeight="1" x14ac:dyDescent="0.2">
      <c r="B64" t="s">
        <v>332</v>
      </c>
      <c r="C64" s="12">
        <v>5</v>
      </c>
      <c r="D64" s="8">
        <v>1.67</v>
      </c>
      <c r="E64" s="12">
        <v>2</v>
      </c>
      <c r="F64" s="8">
        <v>1.08</v>
      </c>
      <c r="G64" s="12">
        <v>3</v>
      </c>
      <c r="H64" s="8">
        <v>3.03</v>
      </c>
      <c r="I64" s="12">
        <v>0</v>
      </c>
    </row>
    <row r="65" spans="2:9" ht="15" customHeight="1" x14ac:dyDescent="0.2">
      <c r="B65" t="s">
        <v>329</v>
      </c>
      <c r="C65" s="12">
        <v>5</v>
      </c>
      <c r="D65" s="8">
        <v>1.67</v>
      </c>
      <c r="E65" s="12">
        <v>3</v>
      </c>
      <c r="F65" s="8">
        <v>1.61</v>
      </c>
      <c r="G65" s="12">
        <v>2</v>
      </c>
      <c r="H65" s="8">
        <v>2.02</v>
      </c>
      <c r="I65" s="12">
        <v>0</v>
      </c>
    </row>
    <row r="66" spans="2:9" ht="15" customHeight="1" x14ac:dyDescent="0.2">
      <c r="B66" t="s">
        <v>306</v>
      </c>
      <c r="C66" s="12">
        <v>5</v>
      </c>
      <c r="D66" s="8">
        <v>1.67</v>
      </c>
      <c r="E66" s="12">
        <v>5</v>
      </c>
      <c r="F66" s="8">
        <v>2.69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328</v>
      </c>
      <c r="C67" s="12">
        <v>4</v>
      </c>
      <c r="D67" s="8">
        <v>1.33</v>
      </c>
      <c r="E67" s="12">
        <v>2</v>
      </c>
      <c r="F67" s="8">
        <v>1.08</v>
      </c>
      <c r="G67" s="12">
        <v>2</v>
      </c>
      <c r="H67" s="8">
        <v>2.02</v>
      </c>
      <c r="I67" s="12">
        <v>0</v>
      </c>
    </row>
    <row r="68" spans="2:9" ht="15" customHeight="1" x14ac:dyDescent="0.2">
      <c r="B68" t="s">
        <v>333</v>
      </c>
      <c r="C68" s="12">
        <v>4</v>
      </c>
      <c r="D68" s="8">
        <v>1.33</v>
      </c>
      <c r="E68" s="12">
        <v>2</v>
      </c>
      <c r="F68" s="8">
        <v>1.08</v>
      </c>
      <c r="G68" s="12">
        <v>2</v>
      </c>
      <c r="H68" s="8">
        <v>2.02</v>
      </c>
      <c r="I68" s="12">
        <v>0</v>
      </c>
    </row>
    <row r="69" spans="2:9" ht="15" customHeight="1" x14ac:dyDescent="0.2">
      <c r="B69" t="s">
        <v>292</v>
      </c>
      <c r="C69" s="12">
        <v>4</v>
      </c>
      <c r="D69" s="8">
        <v>1.33</v>
      </c>
      <c r="E69" s="12">
        <v>3</v>
      </c>
      <c r="F69" s="8">
        <v>1.61</v>
      </c>
      <c r="G69" s="12">
        <v>1</v>
      </c>
      <c r="H69" s="8">
        <v>1.01</v>
      </c>
      <c r="I69" s="12">
        <v>0</v>
      </c>
    </row>
    <row r="70" spans="2:9" ht="15" customHeight="1" x14ac:dyDescent="0.2">
      <c r="B70" t="s">
        <v>330</v>
      </c>
      <c r="C70" s="12">
        <v>4</v>
      </c>
      <c r="D70" s="8">
        <v>1.33</v>
      </c>
      <c r="E70" s="12">
        <v>2</v>
      </c>
      <c r="F70" s="8">
        <v>1.08</v>
      </c>
      <c r="G70" s="12">
        <v>2</v>
      </c>
      <c r="H70" s="8">
        <v>2.02</v>
      </c>
      <c r="I70" s="12">
        <v>0</v>
      </c>
    </row>
    <row r="71" spans="2:9" ht="15" customHeight="1" x14ac:dyDescent="0.2">
      <c r="B71" t="s">
        <v>302</v>
      </c>
      <c r="C71" s="12">
        <v>4</v>
      </c>
      <c r="D71" s="8">
        <v>1.33</v>
      </c>
      <c r="E71" s="12">
        <v>4</v>
      </c>
      <c r="F71" s="8">
        <v>2.15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305</v>
      </c>
      <c r="C72" s="12">
        <v>4</v>
      </c>
      <c r="D72" s="8">
        <v>1.33</v>
      </c>
      <c r="E72" s="12">
        <v>3</v>
      </c>
      <c r="F72" s="8">
        <v>1.61</v>
      </c>
      <c r="G72" s="12">
        <v>1</v>
      </c>
      <c r="H72" s="8">
        <v>1.01</v>
      </c>
      <c r="I72" s="12">
        <v>0</v>
      </c>
    </row>
    <row r="73" spans="2:9" ht="15" customHeight="1" x14ac:dyDescent="0.2">
      <c r="B73" t="s">
        <v>331</v>
      </c>
      <c r="C73" s="12">
        <v>4</v>
      </c>
      <c r="D73" s="8">
        <v>1.33</v>
      </c>
      <c r="E73" s="12">
        <v>0</v>
      </c>
      <c r="F73" s="8">
        <v>0</v>
      </c>
      <c r="G73" s="12">
        <v>1</v>
      </c>
      <c r="H73" s="8">
        <v>1.01</v>
      </c>
      <c r="I73" s="12">
        <v>0</v>
      </c>
    </row>
    <row r="74" spans="2:9" ht="15" customHeight="1" x14ac:dyDescent="0.2">
      <c r="B74" t="s">
        <v>307</v>
      </c>
      <c r="C74" s="12">
        <v>4</v>
      </c>
      <c r="D74" s="8">
        <v>1.33</v>
      </c>
      <c r="E74" s="12">
        <v>0</v>
      </c>
      <c r="F74" s="8">
        <v>0</v>
      </c>
      <c r="G74" s="12">
        <v>4</v>
      </c>
      <c r="H74" s="8">
        <v>4.04</v>
      </c>
      <c r="I74" s="12">
        <v>0</v>
      </c>
    </row>
    <row r="76" spans="2:9" ht="15" customHeight="1" x14ac:dyDescent="0.2">
      <c r="B7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7D859-FB6A-4056-B373-D02E20A6A78F}">
  <sheetPr>
    <pageSetUpPr fitToPage="1"/>
  </sheetPr>
  <dimension ref="B2:I6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</v>
      </c>
      <c r="D6" s="8">
        <v>26.67</v>
      </c>
      <c r="E6" s="12">
        <v>4</v>
      </c>
      <c r="F6" s="8">
        <v>26.67</v>
      </c>
      <c r="G6" s="12">
        <v>4</v>
      </c>
      <c r="H6" s="8">
        <v>36.36</v>
      </c>
      <c r="I6" s="12">
        <v>0</v>
      </c>
    </row>
    <row r="7" spans="2:9" ht="15" customHeight="1" x14ac:dyDescent="0.2">
      <c r="B7" t="s">
        <v>192</v>
      </c>
      <c r="C7" s="12">
        <v>2</v>
      </c>
      <c r="D7" s="8">
        <v>6.67</v>
      </c>
      <c r="E7" s="12">
        <v>2</v>
      </c>
      <c r="F7" s="8">
        <v>13.33</v>
      </c>
      <c r="G7" s="12">
        <v>0</v>
      </c>
      <c r="H7" s="8">
        <v>0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3.33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6.67</v>
      </c>
      <c r="E10" s="12">
        <v>0</v>
      </c>
      <c r="F10" s="8">
        <v>0</v>
      </c>
      <c r="G10" s="12">
        <v>2</v>
      </c>
      <c r="H10" s="8">
        <v>18.18</v>
      </c>
      <c r="I10" s="12">
        <v>0</v>
      </c>
    </row>
    <row r="11" spans="2:9" ht="15" customHeight="1" x14ac:dyDescent="0.2">
      <c r="B11" t="s">
        <v>196</v>
      </c>
      <c r="C11" s="12">
        <v>4</v>
      </c>
      <c r="D11" s="8">
        <v>13.33</v>
      </c>
      <c r="E11" s="12">
        <v>1</v>
      </c>
      <c r="F11" s="8">
        <v>6.67</v>
      </c>
      <c r="G11" s="12">
        <v>3</v>
      </c>
      <c r="H11" s="8">
        <v>27.27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6.67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5</v>
      </c>
      <c r="D15" s="8">
        <v>16.670000000000002</v>
      </c>
      <c r="E15" s="12">
        <v>5</v>
      </c>
      <c r="F15" s="8">
        <v>33.33</v>
      </c>
      <c r="G15" s="12">
        <v>0</v>
      </c>
      <c r="H15" s="8">
        <v>0</v>
      </c>
      <c r="I15" s="12">
        <v>0</v>
      </c>
    </row>
    <row r="16" spans="2:9" ht="15" customHeight="1" x14ac:dyDescent="0.2">
      <c r="B16" t="s">
        <v>201</v>
      </c>
      <c r="C16" s="12">
        <v>2</v>
      </c>
      <c r="D16" s="8">
        <v>6.67</v>
      </c>
      <c r="E16" s="12">
        <v>2</v>
      </c>
      <c r="F16" s="8">
        <v>13.33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10</v>
      </c>
      <c r="E18" s="12">
        <v>1</v>
      </c>
      <c r="F18" s="8">
        <v>6.67</v>
      </c>
      <c r="G18" s="12">
        <v>1</v>
      </c>
      <c r="H18" s="8">
        <v>9.09</v>
      </c>
      <c r="I18" s="12">
        <v>0</v>
      </c>
    </row>
    <row r="19" spans="2:9" ht="15" customHeight="1" x14ac:dyDescent="0.2">
      <c r="B19" t="s">
        <v>204</v>
      </c>
      <c r="C19" s="12">
        <v>1</v>
      </c>
      <c r="D19" s="8">
        <v>3.33</v>
      </c>
      <c r="E19" s="12">
        <v>0</v>
      </c>
      <c r="F19" s="8">
        <v>0</v>
      </c>
      <c r="G19" s="12">
        <v>1</v>
      </c>
      <c r="H19" s="8">
        <v>9.09</v>
      </c>
      <c r="I19" s="12">
        <v>0</v>
      </c>
    </row>
    <row r="20" spans="2:9" ht="15" customHeight="1" x14ac:dyDescent="0.2">
      <c r="B20" s="9" t="s">
        <v>529</v>
      </c>
      <c r="C20" s="12">
        <f>SUM(LTBL_01485[総数／事業所数])</f>
        <v>30</v>
      </c>
      <c r="E20" s="12">
        <f>SUBTOTAL(109,LTBL_01485[個人／事業所数])</f>
        <v>15</v>
      </c>
      <c r="G20" s="12">
        <f>SUBTOTAL(109,LTBL_01485[法人／事業所数])</f>
        <v>11</v>
      </c>
      <c r="I20" s="12">
        <f>SUBTOTAL(109,LTBL_01485[法人以外の団体／事業所数])</f>
        <v>0</v>
      </c>
    </row>
    <row r="21" spans="2:9" ht="15" customHeight="1" x14ac:dyDescent="0.2">
      <c r="E21" s="11">
        <f>LTBL_01485[[#Totals],[個人／事業所数]]/LTBL_01485[[#Totals],[総数／事業所数]]</f>
        <v>0.5</v>
      </c>
      <c r="G21" s="11">
        <f>LTBL_01485[[#Totals],[法人／事業所数]]/LTBL_01485[[#Totals],[総数／事業所数]]</f>
        <v>0.36666666666666664</v>
      </c>
      <c r="I21" s="11">
        <f>LTBL_01485[[#Totals],[法人以外の団体／事業所数]]/LTBL_01485[[#Totals],[総数／事業所数]]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213</v>
      </c>
      <c r="C24" s="12">
        <v>7</v>
      </c>
      <c r="D24" s="8">
        <v>23.33</v>
      </c>
      <c r="E24" s="12">
        <v>3</v>
      </c>
      <c r="F24" s="8">
        <v>20</v>
      </c>
      <c r="G24" s="12">
        <v>4</v>
      </c>
      <c r="H24" s="8">
        <v>36.36</v>
      </c>
      <c r="I24" s="12">
        <v>0</v>
      </c>
    </row>
    <row r="25" spans="2:9" ht="15" customHeight="1" x14ac:dyDescent="0.2">
      <c r="B25" t="s">
        <v>227</v>
      </c>
      <c r="C25" s="12">
        <v>4</v>
      </c>
      <c r="D25" s="8">
        <v>13.33</v>
      </c>
      <c r="E25" s="12">
        <v>4</v>
      </c>
      <c r="F25" s="8">
        <v>26.67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223</v>
      </c>
      <c r="C26" s="12">
        <v>3</v>
      </c>
      <c r="D26" s="8">
        <v>10</v>
      </c>
      <c r="E26" s="12">
        <v>1</v>
      </c>
      <c r="F26" s="8">
        <v>6.67</v>
      </c>
      <c r="G26" s="12">
        <v>2</v>
      </c>
      <c r="H26" s="8">
        <v>18.18</v>
      </c>
      <c r="I26" s="12">
        <v>0</v>
      </c>
    </row>
    <row r="27" spans="2:9" ht="15" customHeight="1" x14ac:dyDescent="0.2">
      <c r="B27" t="s">
        <v>256</v>
      </c>
      <c r="C27" s="12">
        <v>2</v>
      </c>
      <c r="D27" s="8">
        <v>6.67</v>
      </c>
      <c r="E27" s="12">
        <v>0</v>
      </c>
      <c r="F27" s="8">
        <v>0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228</v>
      </c>
      <c r="C28" s="12">
        <v>2</v>
      </c>
      <c r="D28" s="8">
        <v>6.67</v>
      </c>
      <c r="E28" s="12">
        <v>2</v>
      </c>
      <c r="F28" s="8">
        <v>13.33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231</v>
      </c>
      <c r="C29" s="12">
        <v>2</v>
      </c>
      <c r="D29" s="8">
        <v>6.67</v>
      </c>
      <c r="E29" s="12">
        <v>1</v>
      </c>
      <c r="F29" s="8">
        <v>6.67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215</v>
      </c>
      <c r="C30" s="12">
        <v>1</v>
      </c>
      <c r="D30" s="8">
        <v>3.33</v>
      </c>
      <c r="E30" s="12">
        <v>1</v>
      </c>
      <c r="F30" s="8">
        <v>6.67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241</v>
      </c>
      <c r="C31" s="12">
        <v>1</v>
      </c>
      <c r="D31" s="8">
        <v>3.33</v>
      </c>
      <c r="E31" s="12">
        <v>1</v>
      </c>
      <c r="F31" s="8">
        <v>6.67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252</v>
      </c>
      <c r="C32" s="12">
        <v>1</v>
      </c>
      <c r="D32" s="8">
        <v>3.33</v>
      </c>
      <c r="E32" s="12">
        <v>1</v>
      </c>
      <c r="F32" s="8">
        <v>6.67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255</v>
      </c>
      <c r="C33" s="12">
        <v>1</v>
      </c>
      <c r="D33" s="8">
        <v>3.33</v>
      </c>
      <c r="E33" s="12">
        <v>0</v>
      </c>
      <c r="F33" s="8">
        <v>0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238</v>
      </c>
      <c r="C34" s="12">
        <v>1</v>
      </c>
      <c r="D34" s="8">
        <v>3.33</v>
      </c>
      <c r="E34" s="12">
        <v>0</v>
      </c>
      <c r="F34" s="8">
        <v>0</v>
      </c>
      <c r="G34" s="12">
        <v>1</v>
      </c>
      <c r="H34" s="8">
        <v>9.09</v>
      </c>
      <c r="I34" s="12">
        <v>0</v>
      </c>
    </row>
    <row r="35" spans="2:9" ht="15" customHeight="1" x14ac:dyDescent="0.2">
      <c r="B35" t="s">
        <v>248</v>
      </c>
      <c r="C35" s="12">
        <v>1</v>
      </c>
      <c r="D35" s="8">
        <v>3.33</v>
      </c>
      <c r="E35" s="12">
        <v>0</v>
      </c>
      <c r="F35" s="8">
        <v>0</v>
      </c>
      <c r="G35" s="12">
        <v>1</v>
      </c>
      <c r="H35" s="8">
        <v>9.09</v>
      </c>
      <c r="I35" s="12">
        <v>0</v>
      </c>
    </row>
    <row r="36" spans="2:9" ht="15" customHeight="1" x14ac:dyDescent="0.2">
      <c r="B36" t="s">
        <v>221</v>
      </c>
      <c r="C36" s="12">
        <v>1</v>
      </c>
      <c r="D36" s="8">
        <v>3.33</v>
      </c>
      <c r="E36" s="12">
        <v>0</v>
      </c>
      <c r="F36" s="8">
        <v>0</v>
      </c>
      <c r="G36" s="12">
        <v>1</v>
      </c>
      <c r="H36" s="8">
        <v>9.09</v>
      </c>
      <c r="I36" s="12">
        <v>0</v>
      </c>
    </row>
    <row r="37" spans="2:9" ht="15" customHeight="1" x14ac:dyDescent="0.2">
      <c r="B37" t="s">
        <v>239</v>
      </c>
      <c r="C37" s="12">
        <v>1</v>
      </c>
      <c r="D37" s="8">
        <v>3.33</v>
      </c>
      <c r="E37" s="12">
        <v>1</v>
      </c>
      <c r="F37" s="8">
        <v>6.67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232</v>
      </c>
      <c r="C38" s="12">
        <v>1</v>
      </c>
      <c r="D38" s="8">
        <v>3.33</v>
      </c>
      <c r="E38" s="12">
        <v>0</v>
      </c>
      <c r="F38" s="8">
        <v>0</v>
      </c>
      <c r="G38" s="12">
        <v>1</v>
      </c>
      <c r="H38" s="8">
        <v>9.09</v>
      </c>
      <c r="I38" s="12">
        <v>0</v>
      </c>
    </row>
    <row r="39" spans="2:9" ht="15" customHeight="1" x14ac:dyDescent="0.2">
      <c r="B39" t="s">
        <v>240</v>
      </c>
      <c r="C39" s="12">
        <v>1</v>
      </c>
      <c r="D39" s="8">
        <v>3.33</v>
      </c>
      <c r="E39" s="12">
        <v>0</v>
      </c>
      <c r="F39" s="8">
        <v>0</v>
      </c>
      <c r="G39" s="12">
        <v>1</v>
      </c>
      <c r="H39" s="8">
        <v>9.09</v>
      </c>
      <c r="I39" s="12">
        <v>0</v>
      </c>
    </row>
    <row r="42" spans="2:9" ht="33" customHeight="1" x14ac:dyDescent="0.2">
      <c r="B42" t="s">
        <v>531</v>
      </c>
      <c r="C42" s="10" t="s">
        <v>206</v>
      </c>
      <c r="D42" s="10" t="s">
        <v>207</v>
      </c>
      <c r="E42" s="10" t="s">
        <v>208</v>
      </c>
      <c r="F42" s="10" t="s">
        <v>209</v>
      </c>
      <c r="G42" s="10" t="s">
        <v>210</v>
      </c>
      <c r="H42" s="10" t="s">
        <v>211</v>
      </c>
      <c r="I42" s="10" t="s">
        <v>212</v>
      </c>
    </row>
    <row r="43" spans="2:9" ht="15" customHeight="1" x14ac:dyDescent="0.2">
      <c r="B43" t="s">
        <v>328</v>
      </c>
      <c r="C43" s="12">
        <v>3</v>
      </c>
      <c r="D43" s="8">
        <v>10</v>
      </c>
      <c r="E43" s="12">
        <v>2</v>
      </c>
      <c r="F43" s="8">
        <v>13.33</v>
      </c>
      <c r="G43" s="12">
        <v>1</v>
      </c>
      <c r="H43" s="8">
        <v>9.09</v>
      </c>
      <c r="I43" s="12">
        <v>0</v>
      </c>
    </row>
    <row r="44" spans="2:9" ht="15" customHeight="1" x14ac:dyDescent="0.2">
      <c r="B44" t="s">
        <v>288</v>
      </c>
      <c r="C44" s="12">
        <v>2</v>
      </c>
      <c r="D44" s="8">
        <v>6.67</v>
      </c>
      <c r="E44" s="12">
        <v>0</v>
      </c>
      <c r="F44" s="8">
        <v>0</v>
      </c>
      <c r="G44" s="12">
        <v>2</v>
      </c>
      <c r="H44" s="8">
        <v>18.18</v>
      </c>
      <c r="I44" s="12">
        <v>0</v>
      </c>
    </row>
    <row r="45" spans="2:9" ht="15" customHeight="1" x14ac:dyDescent="0.2">
      <c r="B45" t="s">
        <v>289</v>
      </c>
      <c r="C45" s="12">
        <v>2</v>
      </c>
      <c r="D45" s="8">
        <v>6.67</v>
      </c>
      <c r="E45" s="12">
        <v>1</v>
      </c>
      <c r="F45" s="8">
        <v>6.67</v>
      </c>
      <c r="G45" s="12">
        <v>1</v>
      </c>
      <c r="H45" s="8">
        <v>9.09</v>
      </c>
      <c r="I45" s="12">
        <v>0</v>
      </c>
    </row>
    <row r="46" spans="2:9" ht="15" customHeight="1" x14ac:dyDescent="0.2">
      <c r="B46" t="s">
        <v>330</v>
      </c>
      <c r="C46" s="12">
        <v>2</v>
      </c>
      <c r="D46" s="8">
        <v>6.67</v>
      </c>
      <c r="E46" s="12">
        <v>0</v>
      </c>
      <c r="F46" s="8">
        <v>0</v>
      </c>
      <c r="G46" s="12">
        <v>2</v>
      </c>
      <c r="H46" s="8">
        <v>18.18</v>
      </c>
      <c r="I46" s="12">
        <v>0</v>
      </c>
    </row>
    <row r="47" spans="2:9" ht="15" customHeight="1" x14ac:dyDescent="0.2">
      <c r="B47" t="s">
        <v>403</v>
      </c>
      <c r="C47" s="12">
        <v>2</v>
      </c>
      <c r="D47" s="8">
        <v>6.67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334</v>
      </c>
      <c r="C48" s="12">
        <v>2</v>
      </c>
      <c r="D48" s="8">
        <v>6.67</v>
      </c>
      <c r="E48" s="12">
        <v>2</v>
      </c>
      <c r="F48" s="8">
        <v>13.33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301</v>
      </c>
      <c r="C49" s="12">
        <v>2</v>
      </c>
      <c r="D49" s="8">
        <v>6.67</v>
      </c>
      <c r="E49" s="12">
        <v>2</v>
      </c>
      <c r="F49" s="8">
        <v>13.33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291</v>
      </c>
      <c r="C50" s="12">
        <v>1</v>
      </c>
      <c r="D50" s="8">
        <v>3.33</v>
      </c>
      <c r="E50" s="12">
        <v>1</v>
      </c>
      <c r="F50" s="8">
        <v>6.67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394</v>
      </c>
      <c r="C51" s="12">
        <v>1</v>
      </c>
      <c r="D51" s="8">
        <v>3.33</v>
      </c>
      <c r="E51" s="12">
        <v>1</v>
      </c>
      <c r="F51" s="8">
        <v>6.67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399</v>
      </c>
      <c r="C52" s="12">
        <v>1</v>
      </c>
      <c r="D52" s="8">
        <v>3.33</v>
      </c>
      <c r="E52" s="12">
        <v>1</v>
      </c>
      <c r="F52" s="8">
        <v>6.67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362</v>
      </c>
      <c r="C53" s="12">
        <v>1</v>
      </c>
      <c r="D53" s="8">
        <v>3.33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496</v>
      </c>
      <c r="C54" s="12">
        <v>1</v>
      </c>
      <c r="D54" s="8">
        <v>3.33</v>
      </c>
      <c r="E54" s="12">
        <v>0</v>
      </c>
      <c r="F54" s="8">
        <v>0</v>
      </c>
      <c r="G54" s="12">
        <v>1</v>
      </c>
      <c r="H54" s="8">
        <v>9.09</v>
      </c>
      <c r="I54" s="12">
        <v>0</v>
      </c>
    </row>
    <row r="55" spans="2:9" ht="15" customHeight="1" x14ac:dyDescent="0.2">
      <c r="B55" t="s">
        <v>350</v>
      </c>
      <c r="C55" s="12">
        <v>1</v>
      </c>
      <c r="D55" s="8">
        <v>3.33</v>
      </c>
      <c r="E55" s="12">
        <v>0</v>
      </c>
      <c r="F55" s="8">
        <v>0</v>
      </c>
      <c r="G55" s="12">
        <v>1</v>
      </c>
      <c r="H55" s="8">
        <v>9.09</v>
      </c>
      <c r="I55" s="12">
        <v>0</v>
      </c>
    </row>
    <row r="56" spans="2:9" ht="15" customHeight="1" x14ac:dyDescent="0.2">
      <c r="B56" t="s">
        <v>332</v>
      </c>
      <c r="C56" s="12">
        <v>1</v>
      </c>
      <c r="D56" s="8">
        <v>3.33</v>
      </c>
      <c r="E56" s="12">
        <v>0</v>
      </c>
      <c r="F56" s="8">
        <v>0</v>
      </c>
      <c r="G56" s="12">
        <v>1</v>
      </c>
      <c r="H56" s="8">
        <v>9.09</v>
      </c>
      <c r="I56" s="12">
        <v>0</v>
      </c>
    </row>
    <row r="57" spans="2:9" ht="15" customHeight="1" x14ac:dyDescent="0.2">
      <c r="B57" t="s">
        <v>337</v>
      </c>
      <c r="C57" s="12">
        <v>1</v>
      </c>
      <c r="D57" s="8">
        <v>3.33</v>
      </c>
      <c r="E57" s="12">
        <v>1</v>
      </c>
      <c r="F57" s="8">
        <v>6.67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325</v>
      </c>
      <c r="C58" s="12">
        <v>1</v>
      </c>
      <c r="D58" s="8">
        <v>3.33</v>
      </c>
      <c r="E58" s="12">
        <v>1</v>
      </c>
      <c r="F58" s="8">
        <v>6.67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303</v>
      </c>
      <c r="C59" s="12">
        <v>1</v>
      </c>
      <c r="D59" s="8">
        <v>3.33</v>
      </c>
      <c r="E59" s="12">
        <v>1</v>
      </c>
      <c r="F59" s="8">
        <v>6.67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304</v>
      </c>
      <c r="C60" s="12">
        <v>1</v>
      </c>
      <c r="D60" s="8">
        <v>3.33</v>
      </c>
      <c r="E60" s="12">
        <v>1</v>
      </c>
      <c r="F60" s="8">
        <v>6.67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312</v>
      </c>
      <c r="C61" s="12">
        <v>1</v>
      </c>
      <c r="D61" s="8">
        <v>3.33</v>
      </c>
      <c r="E61" s="12">
        <v>0</v>
      </c>
      <c r="F61" s="8">
        <v>0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306</v>
      </c>
      <c r="C62" s="12">
        <v>1</v>
      </c>
      <c r="D62" s="8">
        <v>3.33</v>
      </c>
      <c r="E62" s="12">
        <v>1</v>
      </c>
      <c r="F62" s="8">
        <v>6.67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347</v>
      </c>
      <c r="C63" s="12">
        <v>1</v>
      </c>
      <c r="D63" s="8">
        <v>3.33</v>
      </c>
      <c r="E63" s="12">
        <v>0</v>
      </c>
      <c r="F63" s="8">
        <v>0</v>
      </c>
      <c r="G63" s="12">
        <v>1</v>
      </c>
      <c r="H63" s="8">
        <v>9.09</v>
      </c>
      <c r="I63" s="12">
        <v>0</v>
      </c>
    </row>
    <row r="64" spans="2:9" ht="15" customHeight="1" x14ac:dyDescent="0.2">
      <c r="B64" t="s">
        <v>307</v>
      </c>
      <c r="C64" s="12">
        <v>1</v>
      </c>
      <c r="D64" s="8">
        <v>3.33</v>
      </c>
      <c r="E64" s="12">
        <v>0</v>
      </c>
      <c r="F64" s="8">
        <v>0</v>
      </c>
      <c r="G64" s="12">
        <v>1</v>
      </c>
      <c r="H64" s="8">
        <v>9.09</v>
      </c>
      <c r="I64" s="12">
        <v>0</v>
      </c>
    </row>
    <row r="66" spans="2:2" ht="15" customHeight="1" x14ac:dyDescent="0.2">
      <c r="B6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1B61-6187-48AD-9B29-230E4C00FA90}">
  <sheetPr>
    <pageSetUpPr fitToPage="1"/>
  </sheetPr>
  <dimension ref="B2:I8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13</v>
      </c>
      <c r="D6" s="8">
        <v>14.13</v>
      </c>
      <c r="E6" s="12">
        <v>6</v>
      </c>
      <c r="F6" s="8">
        <v>10.17</v>
      </c>
      <c r="G6" s="12">
        <v>7</v>
      </c>
      <c r="H6" s="8">
        <v>22.58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6.52</v>
      </c>
      <c r="E7" s="12">
        <v>1</v>
      </c>
      <c r="F7" s="8">
        <v>1.69</v>
      </c>
      <c r="G7" s="12">
        <v>5</v>
      </c>
      <c r="H7" s="8">
        <v>16.13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1.0900000000000001</v>
      </c>
      <c r="E8" s="12">
        <v>0</v>
      </c>
      <c r="F8" s="8">
        <v>0</v>
      </c>
      <c r="G8" s="12">
        <v>1</v>
      </c>
      <c r="H8" s="8">
        <v>3.23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3.26</v>
      </c>
      <c r="E10" s="12">
        <v>2</v>
      </c>
      <c r="F10" s="8">
        <v>3.39</v>
      </c>
      <c r="G10" s="12">
        <v>1</v>
      </c>
      <c r="H10" s="8">
        <v>3.23</v>
      </c>
      <c r="I10" s="12">
        <v>0</v>
      </c>
    </row>
    <row r="11" spans="2:9" ht="15" customHeight="1" x14ac:dyDescent="0.2">
      <c r="B11" t="s">
        <v>196</v>
      </c>
      <c r="C11" s="12">
        <v>25</v>
      </c>
      <c r="D11" s="8">
        <v>27.17</v>
      </c>
      <c r="E11" s="12">
        <v>17</v>
      </c>
      <c r="F11" s="8">
        <v>28.81</v>
      </c>
      <c r="G11" s="12">
        <v>8</v>
      </c>
      <c r="H11" s="8">
        <v>25.81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1.0900000000000001</v>
      </c>
      <c r="E12" s="12">
        <v>0</v>
      </c>
      <c r="F12" s="8">
        <v>0</v>
      </c>
      <c r="G12" s="12">
        <v>1</v>
      </c>
      <c r="H12" s="8">
        <v>3.23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2.17</v>
      </c>
      <c r="E13" s="12">
        <v>1</v>
      </c>
      <c r="F13" s="8">
        <v>1.69</v>
      </c>
      <c r="G13" s="12">
        <v>1</v>
      </c>
      <c r="H13" s="8">
        <v>3.23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4.3499999999999996</v>
      </c>
      <c r="E14" s="12">
        <v>1</v>
      </c>
      <c r="F14" s="8">
        <v>1.69</v>
      </c>
      <c r="G14" s="12">
        <v>3</v>
      </c>
      <c r="H14" s="8">
        <v>9.68</v>
      </c>
      <c r="I14" s="12">
        <v>0</v>
      </c>
    </row>
    <row r="15" spans="2:9" ht="15" customHeight="1" x14ac:dyDescent="0.2">
      <c r="B15" t="s">
        <v>200</v>
      </c>
      <c r="C15" s="12">
        <v>14</v>
      </c>
      <c r="D15" s="8">
        <v>15.22</v>
      </c>
      <c r="E15" s="12">
        <v>11</v>
      </c>
      <c r="F15" s="8">
        <v>18.64</v>
      </c>
      <c r="G15" s="12">
        <v>2</v>
      </c>
      <c r="H15" s="8">
        <v>6.45</v>
      </c>
      <c r="I15" s="12">
        <v>0</v>
      </c>
    </row>
    <row r="16" spans="2:9" ht="15" customHeight="1" x14ac:dyDescent="0.2">
      <c r="B16" t="s">
        <v>201</v>
      </c>
      <c r="C16" s="12">
        <v>13</v>
      </c>
      <c r="D16" s="8">
        <v>14.13</v>
      </c>
      <c r="E16" s="12">
        <v>12</v>
      </c>
      <c r="F16" s="8">
        <v>20.34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2.17</v>
      </c>
      <c r="E17" s="12">
        <v>2</v>
      </c>
      <c r="F17" s="8">
        <v>3.39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2.17</v>
      </c>
      <c r="E18" s="12">
        <v>1</v>
      </c>
      <c r="F18" s="8">
        <v>1.69</v>
      </c>
      <c r="G18" s="12">
        <v>1</v>
      </c>
      <c r="H18" s="8">
        <v>3.23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6.52</v>
      </c>
      <c r="E19" s="12">
        <v>5</v>
      </c>
      <c r="F19" s="8">
        <v>8.4700000000000006</v>
      </c>
      <c r="G19" s="12">
        <v>1</v>
      </c>
      <c r="H19" s="8">
        <v>3.23</v>
      </c>
      <c r="I19" s="12">
        <v>0</v>
      </c>
    </row>
    <row r="20" spans="2:9" ht="15" customHeight="1" x14ac:dyDescent="0.2">
      <c r="B20" s="9" t="s">
        <v>529</v>
      </c>
      <c r="C20" s="12">
        <f>SUM(LTBL_01486[総数／事業所数])</f>
        <v>92</v>
      </c>
      <c r="E20" s="12">
        <f>SUBTOTAL(109,LTBL_01486[個人／事業所数])</f>
        <v>59</v>
      </c>
      <c r="G20" s="12">
        <f>SUBTOTAL(109,LTBL_01486[法人／事業所数])</f>
        <v>31</v>
      </c>
      <c r="I20" s="12">
        <f>SUBTOTAL(109,LTBL_01486[法人以外の団体／事業所数])</f>
        <v>0</v>
      </c>
    </row>
    <row r="21" spans="2:9" ht="15" customHeight="1" x14ac:dyDescent="0.2">
      <c r="E21" s="11">
        <f>LTBL_01486[[#Totals],[個人／事業所数]]/LTBL_01486[[#Totals],[総数／事業所数]]</f>
        <v>0.64130434782608692</v>
      </c>
      <c r="G21" s="11">
        <f>LTBL_01486[[#Totals],[法人／事業所数]]/LTBL_01486[[#Totals],[総数／事業所数]]</f>
        <v>0.33695652173913043</v>
      </c>
      <c r="I21" s="11">
        <f>LTBL_01486[[#Totals],[法人以外の団体／事業所数]]/LTBL_01486[[#Totals],[総数／事業所数]]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12</v>
      </c>
      <c r="D24" s="8">
        <v>13.04</v>
      </c>
      <c r="E24" s="12">
        <v>10</v>
      </c>
      <c r="F24" s="8">
        <v>16.95</v>
      </c>
      <c r="G24" s="12">
        <v>2</v>
      </c>
      <c r="H24" s="8">
        <v>6.45</v>
      </c>
      <c r="I24" s="12">
        <v>0</v>
      </c>
    </row>
    <row r="25" spans="2:9" ht="15" customHeight="1" x14ac:dyDescent="0.2">
      <c r="B25" t="s">
        <v>223</v>
      </c>
      <c r="C25" s="12">
        <v>10</v>
      </c>
      <c r="D25" s="8">
        <v>10.87</v>
      </c>
      <c r="E25" s="12">
        <v>7</v>
      </c>
      <c r="F25" s="8">
        <v>11.86</v>
      </c>
      <c r="G25" s="12">
        <v>3</v>
      </c>
      <c r="H25" s="8">
        <v>9.68</v>
      </c>
      <c r="I25" s="12">
        <v>0</v>
      </c>
    </row>
    <row r="26" spans="2:9" ht="15" customHeight="1" x14ac:dyDescent="0.2">
      <c r="B26" t="s">
        <v>228</v>
      </c>
      <c r="C26" s="12">
        <v>9</v>
      </c>
      <c r="D26" s="8">
        <v>9.7799999999999994</v>
      </c>
      <c r="E26" s="12">
        <v>9</v>
      </c>
      <c r="F26" s="8">
        <v>15.25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214</v>
      </c>
      <c r="C27" s="12">
        <v>7</v>
      </c>
      <c r="D27" s="8">
        <v>7.61</v>
      </c>
      <c r="E27" s="12">
        <v>5</v>
      </c>
      <c r="F27" s="8">
        <v>8.4700000000000006</v>
      </c>
      <c r="G27" s="12">
        <v>2</v>
      </c>
      <c r="H27" s="8">
        <v>6.45</v>
      </c>
      <c r="I27" s="12">
        <v>0</v>
      </c>
    </row>
    <row r="28" spans="2:9" ht="15" customHeight="1" x14ac:dyDescent="0.2">
      <c r="B28" t="s">
        <v>213</v>
      </c>
      <c r="C28" s="12">
        <v>5</v>
      </c>
      <c r="D28" s="8">
        <v>5.43</v>
      </c>
      <c r="E28" s="12">
        <v>1</v>
      </c>
      <c r="F28" s="8">
        <v>1.69</v>
      </c>
      <c r="G28" s="12">
        <v>4</v>
      </c>
      <c r="H28" s="8">
        <v>12.9</v>
      </c>
      <c r="I28" s="12">
        <v>0</v>
      </c>
    </row>
    <row r="29" spans="2:9" ht="15" customHeight="1" x14ac:dyDescent="0.2">
      <c r="B29" t="s">
        <v>221</v>
      </c>
      <c r="C29" s="12">
        <v>5</v>
      </c>
      <c r="D29" s="8">
        <v>5.43</v>
      </c>
      <c r="E29" s="12">
        <v>3</v>
      </c>
      <c r="F29" s="8">
        <v>5.08</v>
      </c>
      <c r="G29" s="12">
        <v>2</v>
      </c>
      <c r="H29" s="8">
        <v>6.45</v>
      </c>
      <c r="I29" s="12">
        <v>0</v>
      </c>
    </row>
    <row r="30" spans="2:9" ht="15" customHeight="1" x14ac:dyDescent="0.2">
      <c r="B30" t="s">
        <v>222</v>
      </c>
      <c r="C30" s="12">
        <v>5</v>
      </c>
      <c r="D30" s="8">
        <v>5.43</v>
      </c>
      <c r="E30" s="12">
        <v>4</v>
      </c>
      <c r="F30" s="8">
        <v>6.78</v>
      </c>
      <c r="G30" s="12">
        <v>1</v>
      </c>
      <c r="H30" s="8">
        <v>3.23</v>
      </c>
      <c r="I30" s="12">
        <v>0</v>
      </c>
    </row>
    <row r="31" spans="2:9" ht="15" customHeight="1" x14ac:dyDescent="0.2">
      <c r="B31" t="s">
        <v>254</v>
      </c>
      <c r="C31" s="12">
        <v>2</v>
      </c>
      <c r="D31" s="8">
        <v>2.17</v>
      </c>
      <c r="E31" s="12">
        <v>0</v>
      </c>
      <c r="F31" s="8">
        <v>0</v>
      </c>
      <c r="G31" s="12">
        <v>2</v>
      </c>
      <c r="H31" s="8">
        <v>6.45</v>
      </c>
      <c r="I31" s="12">
        <v>0</v>
      </c>
    </row>
    <row r="32" spans="2:9" ht="15" customHeight="1" x14ac:dyDescent="0.2">
      <c r="B32" t="s">
        <v>248</v>
      </c>
      <c r="C32" s="12">
        <v>2</v>
      </c>
      <c r="D32" s="8">
        <v>2.17</v>
      </c>
      <c r="E32" s="12">
        <v>2</v>
      </c>
      <c r="F32" s="8">
        <v>3.39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217</v>
      </c>
      <c r="C33" s="12">
        <v>2</v>
      </c>
      <c r="D33" s="8">
        <v>2.17</v>
      </c>
      <c r="E33" s="12">
        <v>1</v>
      </c>
      <c r="F33" s="8">
        <v>1.69</v>
      </c>
      <c r="G33" s="12">
        <v>1</v>
      </c>
      <c r="H33" s="8">
        <v>3.23</v>
      </c>
      <c r="I33" s="12">
        <v>0</v>
      </c>
    </row>
    <row r="34" spans="2:9" ht="15" customHeight="1" x14ac:dyDescent="0.2">
      <c r="B34" t="s">
        <v>220</v>
      </c>
      <c r="C34" s="12">
        <v>2</v>
      </c>
      <c r="D34" s="8">
        <v>2.17</v>
      </c>
      <c r="E34" s="12">
        <v>2</v>
      </c>
      <c r="F34" s="8">
        <v>3.39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225</v>
      </c>
      <c r="C35" s="12">
        <v>2</v>
      </c>
      <c r="D35" s="8">
        <v>2.17</v>
      </c>
      <c r="E35" s="12">
        <v>1</v>
      </c>
      <c r="F35" s="8">
        <v>1.69</v>
      </c>
      <c r="G35" s="12">
        <v>1</v>
      </c>
      <c r="H35" s="8">
        <v>3.23</v>
      </c>
      <c r="I35" s="12">
        <v>0</v>
      </c>
    </row>
    <row r="36" spans="2:9" ht="15" customHeight="1" x14ac:dyDescent="0.2">
      <c r="B36" t="s">
        <v>226</v>
      </c>
      <c r="C36" s="12">
        <v>2</v>
      </c>
      <c r="D36" s="8">
        <v>2.17</v>
      </c>
      <c r="E36" s="12">
        <v>0</v>
      </c>
      <c r="F36" s="8">
        <v>0</v>
      </c>
      <c r="G36" s="12">
        <v>2</v>
      </c>
      <c r="H36" s="8">
        <v>6.45</v>
      </c>
      <c r="I36" s="12">
        <v>0</v>
      </c>
    </row>
    <row r="37" spans="2:9" ht="15" customHeight="1" x14ac:dyDescent="0.2">
      <c r="B37" t="s">
        <v>229</v>
      </c>
      <c r="C37" s="12">
        <v>2</v>
      </c>
      <c r="D37" s="8">
        <v>2.17</v>
      </c>
      <c r="E37" s="12">
        <v>2</v>
      </c>
      <c r="F37" s="8">
        <v>3.39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247</v>
      </c>
      <c r="C38" s="12">
        <v>2</v>
      </c>
      <c r="D38" s="8">
        <v>2.17</v>
      </c>
      <c r="E38" s="12">
        <v>1</v>
      </c>
      <c r="F38" s="8">
        <v>1.69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230</v>
      </c>
      <c r="C39" s="12">
        <v>2</v>
      </c>
      <c r="D39" s="8">
        <v>2.17</v>
      </c>
      <c r="E39" s="12">
        <v>2</v>
      </c>
      <c r="F39" s="8">
        <v>3.39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249</v>
      </c>
      <c r="C40" s="12">
        <v>2</v>
      </c>
      <c r="D40" s="8">
        <v>2.17</v>
      </c>
      <c r="E40" s="12">
        <v>1</v>
      </c>
      <c r="F40" s="8">
        <v>1.69</v>
      </c>
      <c r="G40" s="12">
        <v>1</v>
      </c>
      <c r="H40" s="8">
        <v>3.23</v>
      </c>
      <c r="I40" s="12">
        <v>0</v>
      </c>
    </row>
    <row r="41" spans="2:9" ht="15" customHeight="1" x14ac:dyDescent="0.2">
      <c r="B41" t="s">
        <v>240</v>
      </c>
      <c r="C41" s="12">
        <v>2</v>
      </c>
      <c r="D41" s="8">
        <v>2.17</v>
      </c>
      <c r="E41" s="12">
        <v>2</v>
      </c>
      <c r="F41" s="8">
        <v>3.39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215</v>
      </c>
      <c r="C42" s="12">
        <v>1</v>
      </c>
      <c r="D42" s="8">
        <v>1.0900000000000001</v>
      </c>
      <c r="E42" s="12">
        <v>0</v>
      </c>
      <c r="F42" s="8">
        <v>0</v>
      </c>
      <c r="G42" s="12">
        <v>1</v>
      </c>
      <c r="H42" s="8">
        <v>3.23</v>
      </c>
      <c r="I42" s="12">
        <v>0</v>
      </c>
    </row>
    <row r="43" spans="2:9" ht="15" customHeight="1" x14ac:dyDescent="0.2">
      <c r="B43" t="s">
        <v>241</v>
      </c>
      <c r="C43" s="12">
        <v>1</v>
      </c>
      <c r="D43" s="8">
        <v>1.0900000000000001</v>
      </c>
      <c r="E43" s="12">
        <v>0</v>
      </c>
      <c r="F43" s="8">
        <v>0</v>
      </c>
      <c r="G43" s="12">
        <v>1</v>
      </c>
      <c r="H43" s="8">
        <v>3.23</v>
      </c>
      <c r="I43" s="12">
        <v>0</v>
      </c>
    </row>
    <row r="44" spans="2:9" ht="15" customHeight="1" x14ac:dyDescent="0.2">
      <c r="B44" t="s">
        <v>262</v>
      </c>
      <c r="C44" s="12">
        <v>1</v>
      </c>
      <c r="D44" s="8">
        <v>1.0900000000000001</v>
      </c>
      <c r="E44" s="12">
        <v>0</v>
      </c>
      <c r="F44" s="8">
        <v>0</v>
      </c>
      <c r="G44" s="12">
        <v>1</v>
      </c>
      <c r="H44" s="8">
        <v>3.23</v>
      </c>
      <c r="I44" s="12">
        <v>0</v>
      </c>
    </row>
    <row r="45" spans="2:9" ht="15" customHeight="1" x14ac:dyDescent="0.2">
      <c r="B45" t="s">
        <v>264</v>
      </c>
      <c r="C45" s="12">
        <v>1</v>
      </c>
      <c r="D45" s="8">
        <v>1.0900000000000001</v>
      </c>
      <c r="E45" s="12">
        <v>0</v>
      </c>
      <c r="F45" s="8">
        <v>0</v>
      </c>
      <c r="G45" s="12">
        <v>1</v>
      </c>
      <c r="H45" s="8">
        <v>3.23</v>
      </c>
      <c r="I45" s="12">
        <v>0</v>
      </c>
    </row>
    <row r="46" spans="2:9" ht="15" customHeight="1" x14ac:dyDescent="0.2">
      <c r="B46" t="s">
        <v>253</v>
      </c>
      <c r="C46" s="12">
        <v>1</v>
      </c>
      <c r="D46" s="8">
        <v>1.0900000000000001</v>
      </c>
      <c r="E46" s="12">
        <v>1</v>
      </c>
      <c r="F46" s="8">
        <v>1.69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255</v>
      </c>
      <c r="C47" s="12">
        <v>1</v>
      </c>
      <c r="D47" s="8">
        <v>1.0900000000000001</v>
      </c>
      <c r="E47" s="12">
        <v>0</v>
      </c>
      <c r="F47" s="8">
        <v>0</v>
      </c>
      <c r="G47" s="12">
        <v>1</v>
      </c>
      <c r="H47" s="8">
        <v>3.23</v>
      </c>
      <c r="I47" s="12">
        <v>0</v>
      </c>
    </row>
    <row r="48" spans="2:9" ht="15" customHeight="1" x14ac:dyDescent="0.2">
      <c r="B48" t="s">
        <v>238</v>
      </c>
      <c r="C48" s="12">
        <v>1</v>
      </c>
      <c r="D48" s="8">
        <v>1.0900000000000001</v>
      </c>
      <c r="E48" s="12">
        <v>0</v>
      </c>
      <c r="F48" s="8">
        <v>0</v>
      </c>
      <c r="G48" s="12">
        <v>1</v>
      </c>
      <c r="H48" s="8">
        <v>3.23</v>
      </c>
      <c r="I48" s="12">
        <v>0</v>
      </c>
    </row>
    <row r="49" spans="2:9" ht="15" customHeight="1" x14ac:dyDescent="0.2">
      <c r="B49" t="s">
        <v>219</v>
      </c>
      <c r="C49" s="12">
        <v>1</v>
      </c>
      <c r="D49" s="8">
        <v>1.0900000000000001</v>
      </c>
      <c r="E49" s="12">
        <v>0</v>
      </c>
      <c r="F49" s="8">
        <v>0</v>
      </c>
      <c r="G49" s="12">
        <v>1</v>
      </c>
      <c r="H49" s="8">
        <v>3.23</v>
      </c>
      <c r="I49" s="12">
        <v>0</v>
      </c>
    </row>
    <row r="50" spans="2:9" ht="15" customHeight="1" x14ac:dyDescent="0.2">
      <c r="B50" t="s">
        <v>237</v>
      </c>
      <c r="C50" s="12">
        <v>1</v>
      </c>
      <c r="D50" s="8">
        <v>1.0900000000000001</v>
      </c>
      <c r="E50" s="12">
        <v>0</v>
      </c>
      <c r="F50" s="8">
        <v>0</v>
      </c>
      <c r="G50" s="12">
        <v>1</v>
      </c>
      <c r="H50" s="8">
        <v>3.23</v>
      </c>
      <c r="I50" s="12">
        <v>0</v>
      </c>
    </row>
    <row r="51" spans="2:9" ht="15" customHeight="1" x14ac:dyDescent="0.2">
      <c r="B51" t="s">
        <v>224</v>
      </c>
      <c r="C51" s="12">
        <v>1</v>
      </c>
      <c r="D51" s="8">
        <v>1.0900000000000001</v>
      </c>
      <c r="E51" s="12">
        <v>1</v>
      </c>
      <c r="F51" s="8">
        <v>1.69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246</v>
      </c>
      <c r="C52" s="12">
        <v>1</v>
      </c>
      <c r="D52" s="8">
        <v>1.0900000000000001</v>
      </c>
      <c r="E52" s="12">
        <v>0</v>
      </c>
      <c r="F52" s="8">
        <v>0</v>
      </c>
      <c r="G52" s="12">
        <v>1</v>
      </c>
      <c r="H52" s="8">
        <v>3.23</v>
      </c>
      <c r="I52" s="12">
        <v>0</v>
      </c>
    </row>
    <row r="53" spans="2:9" ht="15" customHeight="1" x14ac:dyDescent="0.2">
      <c r="B53" t="s">
        <v>243</v>
      </c>
      <c r="C53" s="12">
        <v>1</v>
      </c>
      <c r="D53" s="8">
        <v>1.0900000000000001</v>
      </c>
      <c r="E53" s="12">
        <v>1</v>
      </c>
      <c r="F53" s="8">
        <v>1.69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239</v>
      </c>
      <c r="C54" s="12">
        <v>1</v>
      </c>
      <c r="D54" s="8">
        <v>1.0900000000000001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231</v>
      </c>
      <c r="C55" s="12">
        <v>1</v>
      </c>
      <c r="D55" s="8">
        <v>1.0900000000000001</v>
      </c>
      <c r="E55" s="12">
        <v>1</v>
      </c>
      <c r="F55" s="8">
        <v>1.69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232</v>
      </c>
      <c r="C56" s="12">
        <v>1</v>
      </c>
      <c r="D56" s="8">
        <v>1.0900000000000001</v>
      </c>
      <c r="E56" s="12">
        <v>0</v>
      </c>
      <c r="F56" s="8">
        <v>0</v>
      </c>
      <c r="G56" s="12">
        <v>1</v>
      </c>
      <c r="H56" s="8">
        <v>3.23</v>
      </c>
      <c r="I56" s="12">
        <v>0</v>
      </c>
    </row>
    <row r="57" spans="2:9" ht="15" customHeight="1" x14ac:dyDescent="0.2">
      <c r="B57" t="s">
        <v>242</v>
      </c>
      <c r="C57" s="12">
        <v>1</v>
      </c>
      <c r="D57" s="8">
        <v>1.0900000000000001</v>
      </c>
      <c r="E57" s="12">
        <v>1</v>
      </c>
      <c r="F57" s="8">
        <v>1.69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234</v>
      </c>
      <c r="C58" s="12">
        <v>1</v>
      </c>
      <c r="D58" s="8">
        <v>1.0900000000000001</v>
      </c>
      <c r="E58" s="12">
        <v>1</v>
      </c>
      <c r="F58" s="8">
        <v>1.69</v>
      </c>
      <c r="G58" s="12">
        <v>0</v>
      </c>
      <c r="H58" s="8">
        <v>0</v>
      </c>
      <c r="I58" s="12">
        <v>0</v>
      </c>
    </row>
    <row r="61" spans="2:9" ht="33" customHeight="1" x14ac:dyDescent="0.2">
      <c r="B61" t="s">
        <v>531</v>
      </c>
      <c r="C61" s="10" t="s">
        <v>206</v>
      </c>
      <c r="D61" s="10" t="s">
        <v>207</v>
      </c>
      <c r="E61" s="10" t="s">
        <v>208</v>
      </c>
      <c r="F61" s="10" t="s">
        <v>209</v>
      </c>
      <c r="G61" s="10" t="s">
        <v>210</v>
      </c>
      <c r="H61" s="10" t="s">
        <v>211</v>
      </c>
      <c r="I61" s="10" t="s">
        <v>212</v>
      </c>
    </row>
    <row r="62" spans="2:9" ht="15" customHeight="1" x14ac:dyDescent="0.2">
      <c r="B62" t="s">
        <v>301</v>
      </c>
      <c r="C62" s="12">
        <v>5</v>
      </c>
      <c r="D62" s="8">
        <v>5.43</v>
      </c>
      <c r="E62" s="12">
        <v>5</v>
      </c>
      <c r="F62" s="8">
        <v>8.4700000000000006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303</v>
      </c>
      <c r="C63" s="12">
        <v>5</v>
      </c>
      <c r="D63" s="8">
        <v>5.43</v>
      </c>
      <c r="E63" s="12">
        <v>5</v>
      </c>
      <c r="F63" s="8">
        <v>8.4700000000000006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335</v>
      </c>
      <c r="C64" s="12">
        <v>4</v>
      </c>
      <c r="D64" s="8">
        <v>4.3499999999999996</v>
      </c>
      <c r="E64" s="12">
        <v>3</v>
      </c>
      <c r="F64" s="8">
        <v>5.08</v>
      </c>
      <c r="G64" s="12">
        <v>1</v>
      </c>
      <c r="H64" s="8">
        <v>3.23</v>
      </c>
      <c r="I64" s="12">
        <v>0</v>
      </c>
    </row>
    <row r="65" spans="2:9" ht="15" customHeight="1" x14ac:dyDescent="0.2">
      <c r="B65" t="s">
        <v>288</v>
      </c>
      <c r="C65" s="12">
        <v>3</v>
      </c>
      <c r="D65" s="8">
        <v>3.26</v>
      </c>
      <c r="E65" s="12">
        <v>1</v>
      </c>
      <c r="F65" s="8">
        <v>1.69</v>
      </c>
      <c r="G65" s="12">
        <v>2</v>
      </c>
      <c r="H65" s="8">
        <v>6.45</v>
      </c>
      <c r="I65" s="12">
        <v>0</v>
      </c>
    </row>
    <row r="66" spans="2:9" ht="15" customHeight="1" x14ac:dyDescent="0.2">
      <c r="B66" t="s">
        <v>330</v>
      </c>
      <c r="C66" s="12">
        <v>3</v>
      </c>
      <c r="D66" s="8">
        <v>3.26</v>
      </c>
      <c r="E66" s="12">
        <v>1</v>
      </c>
      <c r="F66" s="8">
        <v>1.69</v>
      </c>
      <c r="G66" s="12">
        <v>2</v>
      </c>
      <c r="H66" s="8">
        <v>6.45</v>
      </c>
      <c r="I66" s="12">
        <v>0</v>
      </c>
    </row>
    <row r="67" spans="2:9" ht="15" customHeight="1" x14ac:dyDescent="0.2">
      <c r="B67" t="s">
        <v>334</v>
      </c>
      <c r="C67" s="12">
        <v>3</v>
      </c>
      <c r="D67" s="8">
        <v>3.26</v>
      </c>
      <c r="E67" s="12">
        <v>2</v>
      </c>
      <c r="F67" s="8">
        <v>3.39</v>
      </c>
      <c r="G67" s="12">
        <v>1</v>
      </c>
      <c r="H67" s="8">
        <v>3.23</v>
      </c>
      <c r="I67" s="12">
        <v>0</v>
      </c>
    </row>
    <row r="68" spans="2:9" ht="15" customHeight="1" x14ac:dyDescent="0.2">
      <c r="B68" t="s">
        <v>304</v>
      </c>
      <c r="C68" s="12">
        <v>3</v>
      </c>
      <c r="D68" s="8">
        <v>3.26</v>
      </c>
      <c r="E68" s="12">
        <v>3</v>
      </c>
      <c r="F68" s="8">
        <v>5.08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289</v>
      </c>
      <c r="C69" s="12">
        <v>2</v>
      </c>
      <c r="D69" s="8">
        <v>2.17</v>
      </c>
      <c r="E69" s="12">
        <v>0</v>
      </c>
      <c r="F69" s="8">
        <v>0</v>
      </c>
      <c r="G69" s="12">
        <v>2</v>
      </c>
      <c r="H69" s="8">
        <v>6.45</v>
      </c>
      <c r="I69" s="12">
        <v>0</v>
      </c>
    </row>
    <row r="70" spans="2:9" ht="15" customHeight="1" x14ac:dyDescent="0.2">
      <c r="B70" t="s">
        <v>353</v>
      </c>
      <c r="C70" s="12">
        <v>2</v>
      </c>
      <c r="D70" s="8">
        <v>2.17</v>
      </c>
      <c r="E70" s="12">
        <v>1</v>
      </c>
      <c r="F70" s="8">
        <v>1.69</v>
      </c>
      <c r="G70" s="12">
        <v>1</v>
      </c>
      <c r="H70" s="8">
        <v>3.23</v>
      </c>
      <c r="I70" s="12">
        <v>0</v>
      </c>
    </row>
    <row r="71" spans="2:9" ht="15" customHeight="1" x14ac:dyDescent="0.2">
      <c r="B71" t="s">
        <v>343</v>
      </c>
      <c r="C71" s="12">
        <v>2</v>
      </c>
      <c r="D71" s="8">
        <v>2.17</v>
      </c>
      <c r="E71" s="12">
        <v>1</v>
      </c>
      <c r="F71" s="8">
        <v>1.69</v>
      </c>
      <c r="G71" s="12">
        <v>1</v>
      </c>
      <c r="H71" s="8">
        <v>3.23</v>
      </c>
      <c r="I71" s="12">
        <v>0</v>
      </c>
    </row>
    <row r="72" spans="2:9" ht="15" customHeight="1" x14ac:dyDescent="0.2">
      <c r="B72" t="s">
        <v>333</v>
      </c>
      <c r="C72" s="12">
        <v>2</v>
      </c>
      <c r="D72" s="8">
        <v>2.17</v>
      </c>
      <c r="E72" s="12">
        <v>2</v>
      </c>
      <c r="F72" s="8">
        <v>3.39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385</v>
      </c>
      <c r="C73" s="12">
        <v>2</v>
      </c>
      <c r="D73" s="8">
        <v>2.17</v>
      </c>
      <c r="E73" s="12">
        <v>0</v>
      </c>
      <c r="F73" s="8">
        <v>0</v>
      </c>
      <c r="G73" s="12">
        <v>2</v>
      </c>
      <c r="H73" s="8">
        <v>6.45</v>
      </c>
      <c r="I73" s="12">
        <v>0</v>
      </c>
    </row>
    <row r="74" spans="2:9" ht="15" customHeight="1" x14ac:dyDescent="0.2">
      <c r="B74" t="s">
        <v>350</v>
      </c>
      <c r="C74" s="12">
        <v>2</v>
      </c>
      <c r="D74" s="8">
        <v>2.17</v>
      </c>
      <c r="E74" s="12">
        <v>2</v>
      </c>
      <c r="F74" s="8">
        <v>3.39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329</v>
      </c>
      <c r="C75" s="12">
        <v>2</v>
      </c>
      <c r="D75" s="8">
        <v>2.17</v>
      </c>
      <c r="E75" s="12">
        <v>2</v>
      </c>
      <c r="F75" s="8">
        <v>3.39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401</v>
      </c>
      <c r="C76" s="12">
        <v>2</v>
      </c>
      <c r="D76" s="8">
        <v>2.17</v>
      </c>
      <c r="E76" s="12">
        <v>2</v>
      </c>
      <c r="F76" s="8">
        <v>3.39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430</v>
      </c>
      <c r="C77" s="12">
        <v>2</v>
      </c>
      <c r="D77" s="8">
        <v>2.17</v>
      </c>
      <c r="E77" s="12">
        <v>1</v>
      </c>
      <c r="F77" s="8">
        <v>1.69</v>
      </c>
      <c r="G77" s="12">
        <v>1</v>
      </c>
      <c r="H77" s="8">
        <v>3.23</v>
      </c>
      <c r="I77" s="12">
        <v>0</v>
      </c>
    </row>
    <row r="78" spans="2:9" ht="15" customHeight="1" x14ac:dyDescent="0.2">
      <c r="B78" t="s">
        <v>300</v>
      </c>
      <c r="C78" s="12">
        <v>2</v>
      </c>
      <c r="D78" s="8">
        <v>2.17</v>
      </c>
      <c r="E78" s="12">
        <v>2</v>
      </c>
      <c r="F78" s="8">
        <v>3.39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352</v>
      </c>
      <c r="C79" s="12">
        <v>2</v>
      </c>
      <c r="D79" s="8">
        <v>2.17</v>
      </c>
      <c r="E79" s="12">
        <v>2</v>
      </c>
      <c r="F79" s="8">
        <v>3.39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305</v>
      </c>
      <c r="C80" s="12">
        <v>2</v>
      </c>
      <c r="D80" s="8">
        <v>2.17</v>
      </c>
      <c r="E80" s="12">
        <v>2</v>
      </c>
      <c r="F80" s="8">
        <v>3.39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307</v>
      </c>
      <c r="C81" s="12">
        <v>2</v>
      </c>
      <c r="D81" s="8">
        <v>2.17</v>
      </c>
      <c r="E81" s="12">
        <v>2</v>
      </c>
      <c r="F81" s="8">
        <v>3.39</v>
      </c>
      <c r="G81" s="12">
        <v>0</v>
      </c>
      <c r="H81" s="8">
        <v>0</v>
      </c>
      <c r="I81" s="12">
        <v>0</v>
      </c>
    </row>
    <row r="83" spans="2:9" ht="15" customHeight="1" x14ac:dyDescent="0.2">
      <c r="B8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8F05F-F654-42EB-9629-54F7A2C499CC}">
  <sheetPr>
    <pageSetUpPr fitToPage="1"/>
  </sheetPr>
  <dimension ref="B2:I8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12</v>
      </c>
      <c r="D6" s="8">
        <v>11.01</v>
      </c>
      <c r="E6" s="12">
        <v>3</v>
      </c>
      <c r="F6" s="8">
        <v>5.17</v>
      </c>
      <c r="G6" s="12">
        <v>9</v>
      </c>
      <c r="H6" s="8">
        <v>21.43</v>
      </c>
      <c r="I6" s="12">
        <v>0</v>
      </c>
    </row>
    <row r="7" spans="2:9" ht="15" customHeight="1" x14ac:dyDescent="0.2">
      <c r="B7" t="s">
        <v>192</v>
      </c>
      <c r="C7" s="12">
        <v>3</v>
      </c>
      <c r="D7" s="8">
        <v>2.75</v>
      </c>
      <c r="E7" s="12">
        <v>0</v>
      </c>
      <c r="F7" s="8">
        <v>0</v>
      </c>
      <c r="G7" s="12">
        <v>3</v>
      </c>
      <c r="H7" s="8">
        <v>7.14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1.83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0.92</v>
      </c>
      <c r="E9" s="12">
        <v>0</v>
      </c>
      <c r="F9" s="8">
        <v>0</v>
      </c>
      <c r="G9" s="12">
        <v>1</v>
      </c>
      <c r="H9" s="8">
        <v>2.38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1.83</v>
      </c>
      <c r="E10" s="12">
        <v>0</v>
      </c>
      <c r="F10" s="8">
        <v>0</v>
      </c>
      <c r="G10" s="12">
        <v>2</v>
      </c>
      <c r="H10" s="8">
        <v>4.76</v>
      </c>
      <c r="I10" s="12">
        <v>0</v>
      </c>
    </row>
    <row r="11" spans="2:9" ht="15" customHeight="1" x14ac:dyDescent="0.2">
      <c r="B11" t="s">
        <v>196</v>
      </c>
      <c r="C11" s="12">
        <v>31</v>
      </c>
      <c r="D11" s="8">
        <v>28.44</v>
      </c>
      <c r="E11" s="12">
        <v>12</v>
      </c>
      <c r="F11" s="8">
        <v>20.69</v>
      </c>
      <c r="G11" s="12">
        <v>19</v>
      </c>
      <c r="H11" s="8">
        <v>45.24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0.92</v>
      </c>
      <c r="E12" s="12">
        <v>0</v>
      </c>
      <c r="F12" s="8">
        <v>0</v>
      </c>
      <c r="G12" s="12">
        <v>1</v>
      </c>
      <c r="H12" s="8">
        <v>2.38</v>
      </c>
      <c r="I12" s="12">
        <v>0</v>
      </c>
    </row>
    <row r="13" spans="2:9" ht="15" customHeight="1" x14ac:dyDescent="0.2">
      <c r="B13" t="s">
        <v>198</v>
      </c>
      <c r="C13" s="12">
        <v>7</v>
      </c>
      <c r="D13" s="8">
        <v>6.42</v>
      </c>
      <c r="E13" s="12">
        <v>4</v>
      </c>
      <c r="F13" s="8">
        <v>6.9</v>
      </c>
      <c r="G13" s="12">
        <v>3</v>
      </c>
      <c r="H13" s="8">
        <v>7.14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1.83</v>
      </c>
      <c r="E14" s="12">
        <v>1</v>
      </c>
      <c r="F14" s="8">
        <v>1.72</v>
      </c>
      <c r="G14" s="12">
        <v>1</v>
      </c>
      <c r="H14" s="8">
        <v>2.38</v>
      </c>
      <c r="I14" s="12">
        <v>0</v>
      </c>
    </row>
    <row r="15" spans="2:9" ht="15" customHeight="1" x14ac:dyDescent="0.2">
      <c r="B15" t="s">
        <v>200</v>
      </c>
      <c r="C15" s="12">
        <v>24</v>
      </c>
      <c r="D15" s="8">
        <v>22.02</v>
      </c>
      <c r="E15" s="12">
        <v>23</v>
      </c>
      <c r="F15" s="8">
        <v>39.659999999999997</v>
      </c>
      <c r="G15" s="12">
        <v>1</v>
      </c>
      <c r="H15" s="8">
        <v>2.38</v>
      </c>
      <c r="I15" s="12">
        <v>0</v>
      </c>
    </row>
    <row r="16" spans="2:9" ht="15" customHeight="1" x14ac:dyDescent="0.2">
      <c r="B16" t="s">
        <v>201</v>
      </c>
      <c r="C16" s="12">
        <v>15</v>
      </c>
      <c r="D16" s="8">
        <v>13.76</v>
      </c>
      <c r="E16" s="12">
        <v>13</v>
      </c>
      <c r="F16" s="8">
        <v>22.41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1.83</v>
      </c>
      <c r="E17" s="12">
        <v>0</v>
      </c>
      <c r="F17" s="8">
        <v>0</v>
      </c>
      <c r="G17" s="12">
        <v>1</v>
      </c>
      <c r="H17" s="8">
        <v>2.38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3.67</v>
      </c>
      <c r="E18" s="12">
        <v>0</v>
      </c>
      <c r="F18" s="8">
        <v>0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2.75</v>
      </c>
      <c r="E19" s="12">
        <v>2</v>
      </c>
      <c r="F19" s="8">
        <v>3.45</v>
      </c>
      <c r="G19" s="12">
        <v>1</v>
      </c>
      <c r="H19" s="8">
        <v>2.38</v>
      </c>
      <c r="I19" s="12">
        <v>0</v>
      </c>
    </row>
    <row r="20" spans="2:9" ht="15" customHeight="1" x14ac:dyDescent="0.2">
      <c r="B20" s="9" t="s">
        <v>529</v>
      </c>
      <c r="C20" s="12">
        <f>SUM(LTBL_01487[総数／事業所数])</f>
        <v>109</v>
      </c>
      <c r="E20" s="12">
        <f>SUBTOTAL(109,LTBL_01487[個人／事業所数])</f>
        <v>58</v>
      </c>
      <c r="G20" s="12">
        <f>SUBTOTAL(109,LTBL_01487[法人／事業所数])</f>
        <v>42</v>
      </c>
      <c r="I20" s="12">
        <f>SUBTOTAL(109,LTBL_01487[法人以外の団体／事業所数])</f>
        <v>0</v>
      </c>
    </row>
    <row r="21" spans="2:9" ht="15" customHeight="1" x14ac:dyDescent="0.2">
      <c r="E21" s="11">
        <f>LTBL_01487[[#Totals],[個人／事業所数]]/LTBL_01487[[#Totals],[総数／事業所数]]</f>
        <v>0.5321100917431193</v>
      </c>
      <c r="G21" s="11">
        <f>LTBL_01487[[#Totals],[法人／事業所数]]/LTBL_01487[[#Totals],[総数／事業所数]]</f>
        <v>0.38532110091743121</v>
      </c>
      <c r="I21" s="11">
        <f>LTBL_01487[[#Totals],[法人以外の団体／事業所数]]/LTBL_01487[[#Totals],[総数／事業所数]]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18</v>
      </c>
      <c r="D24" s="8">
        <v>16.510000000000002</v>
      </c>
      <c r="E24" s="12">
        <v>18</v>
      </c>
      <c r="F24" s="8">
        <v>31.03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228</v>
      </c>
      <c r="C25" s="12">
        <v>13</v>
      </c>
      <c r="D25" s="8">
        <v>11.93</v>
      </c>
      <c r="E25" s="12">
        <v>13</v>
      </c>
      <c r="F25" s="8">
        <v>22.41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221</v>
      </c>
      <c r="C26" s="12">
        <v>11</v>
      </c>
      <c r="D26" s="8">
        <v>10.09</v>
      </c>
      <c r="E26" s="12">
        <v>6</v>
      </c>
      <c r="F26" s="8">
        <v>10.34</v>
      </c>
      <c r="G26" s="12">
        <v>5</v>
      </c>
      <c r="H26" s="8">
        <v>11.9</v>
      </c>
      <c r="I26" s="12">
        <v>0</v>
      </c>
    </row>
    <row r="27" spans="2:9" ht="15" customHeight="1" x14ac:dyDescent="0.2">
      <c r="B27" t="s">
        <v>223</v>
      </c>
      <c r="C27" s="12">
        <v>9</v>
      </c>
      <c r="D27" s="8">
        <v>8.26</v>
      </c>
      <c r="E27" s="12">
        <v>3</v>
      </c>
      <c r="F27" s="8">
        <v>5.17</v>
      </c>
      <c r="G27" s="12">
        <v>6</v>
      </c>
      <c r="H27" s="8">
        <v>14.29</v>
      </c>
      <c r="I27" s="12">
        <v>0</v>
      </c>
    </row>
    <row r="28" spans="2:9" ht="15" customHeight="1" x14ac:dyDescent="0.2">
      <c r="B28" t="s">
        <v>214</v>
      </c>
      <c r="C28" s="12">
        <v>6</v>
      </c>
      <c r="D28" s="8">
        <v>5.5</v>
      </c>
      <c r="E28" s="12">
        <v>3</v>
      </c>
      <c r="F28" s="8">
        <v>5.17</v>
      </c>
      <c r="G28" s="12">
        <v>3</v>
      </c>
      <c r="H28" s="8">
        <v>7.14</v>
      </c>
      <c r="I28" s="12">
        <v>0</v>
      </c>
    </row>
    <row r="29" spans="2:9" ht="15" customHeight="1" x14ac:dyDescent="0.2">
      <c r="B29" t="s">
        <v>222</v>
      </c>
      <c r="C29" s="12">
        <v>6</v>
      </c>
      <c r="D29" s="8">
        <v>5.5</v>
      </c>
      <c r="E29" s="12">
        <v>1</v>
      </c>
      <c r="F29" s="8">
        <v>1.72</v>
      </c>
      <c r="G29" s="12">
        <v>5</v>
      </c>
      <c r="H29" s="8">
        <v>11.9</v>
      </c>
      <c r="I29" s="12">
        <v>0</v>
      </c>
    </row>
    <row r="30" spans="2:9" ht="15" customHeight="1" x14ac:dyDescent="0.2">
      <c r="B30" t="s">
        <v>213</v>
      </c>
      <c r="C30" s="12">
        <v>5</v>
      </c>
      <c r="D30" s="8">
        <v>4.59</v>
      </c>
      <c r="E30" s="12">
        <v>0</v>
      </c>
      <c r="F30" s="8">
        <v>0</v>
      </c>
      <c r="G30" s="12">
        <v>5</v>
      </c>
      <c r="H30" s="8">
        <v>11.9</v>
      </c>
      <c r="I30" s="12">
        <v>0</v>
      </c>
    </row>
    <row r="31" spans="2:9" ht="15" customHeight="1" x14ac:dyDescent="0.2">
      <c r="B31" t="s">
        <v>224</v>
      </c>
      <c r="C31" s="12">
        <v>5</v>
      </c>
      <c r="D31" s="8">
        <v>4.59</v>
      </c>
      <c r="E31" s="12">
        <v>4</v>
      </c>
      <c r="F31" s="8">
        <v>6.9</v>
      </c>
      <c r="G31" s="12">
        <v>1</v>
      </c>
      <c r="H31" s="8">
        <v>2.38</v>
      </c>
      <c r="I31" s="12">
        <v>0</v>
      </c>
    </row>
    <row r="32" spans="2:9" ht="15" customHeight="1" x14ac:dyDescent="0.2">
      <c r="B32" t="s">
        <v>243</v>
      </c>
      <c r="C32" s="12">
        <v>5</v>
      </c>
      <c r="D32" s="8">
        <v>4.59</v>
      </c>
      <c r="E32" s="12">
        <v>4</v>
      </c>
      <c r="F32" s="8">
        <v>6.9</v>
      </c>
      <c r="G32" s="12">
        <v>1</v>
      </c>
      <c r="H32" s="8">
        <v>2.38</v>
      </c>
      <c r="I32" s="12">
        <v>0</v>
      </c>
    </row>
    <row r="33" spans="2:9" ht="15" customHeight="1" x14ac:dyDescent="0.2">
      <c r="B33" t="s">
        <v>232</v>
      </c>
      <c r="C33" s="12">
        <v>4</v>
      </c>
      <c r="D33" s="8">
        <v>3.67</v>
      </c>
      <c r="E33" s="12">
        <v>0</v>
      </c>
      <c r="F33" s="8">
        <v>0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255</v>
      </c>
      <c r="C34" s="12">
        <v>2</v>
      </c>
      <c r="D34" s="8">
        <v>1.83</v>
      </c>
      <c r="E34" s="12">
        <v>0</v>
      </c>
      <c r="F34" s="8">
        <v>0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220</v>
      </c>
      <c r="C35" s="12">
        <v>2</v>
      </c>
      <c r="D35" s="8">
        <v>1.83</v>
      </c>
      <c r="E35" s="12">
        <v>2</v>
      </c>
      <c r="F35" s="8">
        <v>3.45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236</v>
      </c>
      <c r="C36" s="12">
        <v>2</v>
      </c>
      <c r="D36" s="8">
        <v>1.83</v>
      </c>
      <c r="E36" s="12">
        <v>0</v>
      </c>
      <c r="F36" s="8">
        <v>0</v>
      </c>
      <c r="G36" s="12">
        <v>2</v>
      </c>
      <c r="H36" s="8">
        <v>4.76</v>
      </c>
      <c r="I36" s="12">
        <v>0</v>
      </c>
    </row>
    <row r="37" spans="2:9" ht="15" customHeight="1" x14ac:dyDescent="0.2">
      <c r="B37" t="s">
        <v>247</v>
      </c>
      <c r="C37" s="12">
        <v>2</v>
      </c>
      <c r="D37" s="8">
        <v>1.83</v>
      </c>
      <c r="E37" s="12">
        <v>0</v>
      </c>
      <c r="F37" s="8">
        <v>0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230</v>
      </c>
      <c r="C38" s="12">
        <v>2</v>
      </c>
      <c r="D38" s="8">
        <v>1.83</v>
      </c>
      <c r="E38" s="12">
        <v>0</v>
      </c>
      <c r="F38" s="8">
        <v>0</v>
      </c>
      <c r="G38" s="12">
        <v>1</v>
      </c>
      <c r="H38" s="8">
        <v>2.38</v>
      </c>
      <c r="I38" s="12">
        <v>0</v>
      </c>
    </row>
    <row r="39" spans="2:9" ht="15" customHeight="1" x14ac:dyDescent="0.2">
      <c r="B39" t="s">
        <v>215</v>
      </c>
      <c r="C39" s="12">
        <v>1</v>
      </c>
      <c r="D39" s="8">
        <v>0.92</v>
      </c>
      <c r="E39" s="12">
        <v>0</v>
      </c>
      <c r="F39" s="8">
        <v>0</v>
      </c>
      <c r="G39" s="12">
        <v>1</v>
      </c>
      <c r="H39" s="8">
        <v>2.38</v>
      </c>
      <c r="I39" s="12">
        <v>0</v>
      </c>
    </row>
    <row r="40" spans="2:9" ht="15" customHeight="1" x14ac:dyDescent="0.2">
      <c r="B40" t="s">
        <v>241</v>
      </c>
      <c r="C40" s="12">
        <v>1</v>
      </c>
      <c r="D40" s="8">
        <v>0.92</v>
      </c>
      <c r="E40" s="12">
        <v>0</v>
      </c>
      <c r="F40" s="8">
        <v>0</v>
      </c>
      <c r="G40" s="12">
        <v>1</v>
      </c>
      <c r="H40" s="8">
        <v>2.38</v>
      </c>
      <c r="I40" s="12">
        <v>0</v>
      </c>
    </row>
    <row r="41" spans="2:9" ht="15" customHeight="1" x14ac:dyDescent="0.2">
      <c r="B41" t="s">
        <v>262</v>
      </c>
      <c r="C41" s="12">
        <v>1</v>
      </c>
      <c r="D41" s="8">
        <v>0.92</v>
      </c>
      <c r="E41" s="12">
        <v>0</v>
      </c>
      <c r="F41" s="8">
        <v>0</v>
      </c>
      <c r="G41" s="12">
        <v>1</v>
      </c>
      <c r="H41" s="8">
        <v>2.38</v>
      </c>
      <c r="I41" s="12">
        <v>0</v>
      </c>
    </row>
    <row r="42" spans="2:9" ht="15" customHeight="1" x14ac:dyDescent="0.2">
      <c r="B42" t="s">
        <v>252</v>
      </c>
      <c r="C42" s="12">
        <v>1</v>
      </c>
      <c r="D42" s="8">
        <v>0.92</v>
      </c>
      <c r="E42" s="12">
        <v>0</v>
      </c>
      <c r="F42" s="8">
        <v>0</v>
      </c>
      <c r="G42" s="12">
        <v>1</v>
      </c>
      <c r="H42" s="8">
        <v>2.38</v>
      </c>
      <c r="I42" s="12">
        <v>0</v>
      </c>
    </row>
    <row r="43" spans="2:9" ht="15" customHeight="1" x14ac:dyDescent="0.2">
      <c r="B43" t="s">
        <v>277</v>
      </c>
      <c r="C43" s="12">
        <v>1</v>
      </c>
      <c r="D43" s="8">
        <v>0.92</v>
      </c>
      <c r="E43" s="12">
        <v>0</v>
      </c>
      <c r="F43" s="8">
        <v>0</v>
      </c>
      <c r="G43" s="12">
        <v>1</v>
      </c>
      <c r="H43" s="8">
        <v>2.38</v>
      </c>
      <c r="I43" s="12">
        <v>0</v>
      </c>
    </row>
    <row r="44" spans="2:9" ht="15" customHeight="1" x14ac:dyDescent="0.2">
      <c r="B44" t="s">
        <v>238</v>
      </c>
      <c r="C44" s="12">
        <v>1</v>
      </c>
      <c r="D44" s="8">
        <v>0.92</v>
      </c>
      <c r="E44" s="12">
        <v>0</v>
      </c>
      <c r="F44" s="8">
        <v>0</v>
      </c>
      <c r="G44" s="12">
        <v>1</v>
      </c>
      <c r="H44" s="8">
        <v>2.38</v>
      </c>
      <c r="I44" s="12">
        <v>0</v>
      </c>
    </row>
    <row r="45" spans="2:9" ht="15" customHeight="1" x14ac:dyDescent="0.2">
      <c r="B45" t="s">
        <v>248</v>
      </c>
      <c r="C45" s="12">
        <v>1</v>
      </c>
      <c r="D45" s="8">
        <v>0.92</v>
      </c>
      <c r="E45" s="12">
        <v>0</v>
      </c>
      <c r="F45" s="8">
        <v>0</v>
      </c>
      <c r="G45" s="12">
        <v>1</v>
      </c>
      <c r="H45" s="8">
        <v>2.38</v>
      </c>
      <c r="I45" s="12">
        <v>0</v>
      </c>
    </row>
    <row r="46" spans="2:9" ht="15" customHeight="1" x14ac:dyDescent="0.2">
      <c r="B46" t="s">
        <v>218</v>
      </c>
      <c r="C46" s="12">
        <v>1</v>
      </c>
      <c r="D46" s="8">
        <v>0.92</v>
      </c>
      <c r="E46" s="12">
        <v>0</v>
      </c>
      <c r="F46" s="8">
        <v>0</v>
      </c>
      <c r="G46" s="12">
        <v>1</v>
      </c>
      <c r="H46" s="8">
        <v>2.38</v>
      </c>
      <c r="I46" s="12">
        <v>0</v>
      </c>
    </row>
    <row r="47" spans="2:9" ht="15" customHeight="1" x14ac:dyDescent="0.2">
      <c r="B47" t="s">
        <v>237</v>
      </c>
      <c r="C47" s="12">
        <v>1</v>
      </c>
      <c r="D47" s="8">
        <v>0.92</v>
      </c>
      <c r="E47" s="12">
        <v>0</v>
      </c>
      <c r="F47" s="8">
        <v>0</v>
      </c>
      <c r="G47" s="12">
        <v>1</v>
      </c>
      <c r="H47" s="8">
        <v>2.38</v>
      </c>
      <c r="I47" s="12">
        <v>0</v>
      </c>
    </row>
    <row r="48" spans="2:9" ht="15" customHeight="1" x14ac:dyDescent="0.2">
      <c r="B48" t="s">
        <v>233</v>
      </c>
      <c r="C48" s="12">
        <v>1</v>
      </c>
      <c r="D48" s="8">
        <v>0.92</v>
      </c>
      <c r="E48" s="12">
        <v>0</v>
      </c>
      <c r="F48" s="8">
        <v>0</v>
      </c>
      <c r="G48" s="12">
        <v>1</v>
      </c>
      <c r="H48" s="8">
        <v>2.38</v>
      </c>
      <c r="I48" s="12">
        <v>0</v>
      </c>
    </row>
    <row r="49" spans="2:9" ht="15" customHeight="1" x14ac:dyDescent="0.2">
      <c r="B49" t="s">
        <v>246</v>
      </c>
      <c r="C49" s="12">
        <v>1</v>
      </c>
      <c r="D49" s="8">
        <v>0.92</v>
      </c>
      <c r="E49" s="12">
        <v>0</v>
      </c>
      <c r="F49" s="8">
        <v>0</v>
      </c>
      <c r="G49" s="12">
        <v>1</v>
      </c>
      <c r="H49" s="8">
        <v>2.38</v>
      </c>
      <c r="I49" s="12">
        <v>0</v>
      </c>
    </row>
    <row r="50" spans="2:9" ht="15" customHeight="1" x14ac:dyDescent="0.2">
      <c r="B50" t="s">
        <v>225</v>
      </c>
      <c r="C50" s="12">
        <v>1</v>
      </c>
      <c r="D50" s="8">
        <v>0.92</v>
      </c>
      <c r="E50" s="12">
        <v>0</v>
      </c>
      <c r="F50" s="8">
        <v>0</v>
      </c>
      <c r="G50" s="12">
        <v>1</v>
      </c>
      <c r="H50" s="8">
        <v>2.38</v>
      </c>
      <c r="I50" s="12">
        <v>0</v>
      </c>
    </row>
    <row r="51" spans="2:9" ht="15" customHeight="1" x14ac:dyDescent="0.2">
      <c r="B51" t="s">
        <v>226</v>
      </c>
      <c r="C51" s="12">
        <v>1</v>
      </c>
      <c r="D51" s="8">
        <v>0.92</v>
      </c>
      <c r="E51" s="12">
        <v>1</v>
      </c>
      <c r="F51" s="8">
        <v>1.72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239</v>
      </c>
      <c r="C52" s="12">
        <v>1</v>
      </c>
      <c r="D52" s="8">
        <v>0.92</v>
      </c>
      <c r="E52" s="12">
        <v>1</v>
      </c>
      <c r="F52" s="8">
        <v>1.72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240</v>
      </c>
      <c r="C53" s="12">
        <v>1</v>
      </c>
      <c r="D53" s="8">
        <v>0.92</v>
      </c>
      <c r="E53" s="12">
        <v>1</v>
      </c>
      <c r="F53" s="8">
        <v>1.72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242</v>
      </c>
      <c r="C54" s="12">
        <v>1</v>
      </c>
      <c r="D54" s="8">
        <v>0.92</v>
      </c>
      <c r="E54" s="12">
        <v>1</v>
      </c>
      <c r="F54" s="8">
        <v>1.72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234</v>
      </c>
      <c r="C55" s="12">
        <v>1</v>
      </c>
      <c r="D55" s="8">
        <v>0.92</v>
      </c>
      <c r="E55" s="12">
        <v>0</v>
      </c>
      <c r="F55" s="8">
        <v>0</v>
      </c>
      <c r="G55" s="12">
        <v>1</v>
      </c>
      <c r="H55" s="8">
        <v>2.38</v>
      </c>
      <c r="I55" s="12">
        <v>0</v>
      </c>
    </row>
    <row r="58" spans="2:9" ht="33" customHeight="1" x14ac:dyDescent="0.2">
      <c r="B58" t="s">
        <v>531</v>
      </c>
      <c r="C58" s="10" t="s">
        <v>206</v>
      </c>
      <c r="D58" s="10" t="s">
        <v>207</v>
      </c>
      <c r="E58" s="10" t="s">
        <v>208</v>
      </c>
      <c r="F58" s="10" t="s">
        <v>209</v>
      </c>
      <c r="G58" s="10" t="s">
        <v>210</v>
      </c>
      <c r="H58" s="10" t="s">
        <v>211</v>
      </c>
      <c r="I58" s="10" t="s">
        <v>212</v>
      </c>
    </row>
    <row r="59" spans="2:9" ht="15" customHeight="1" x14ac:dyDescent="0.2">
      <c r="B59" t="s">
        <v>301</v>
      </c>
      <c r="C59" s="12">
        <v>7</v>
      </c>
      <c r="D59" s="8">
        <v>6.42</v>
      </c>
      <c r="E59" s="12">
        <v>7</v>
      </c>
      <c r="F59" s="8">
        <v>12.07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303</v>
      </c>
      <c r="C60" s="12">
        <v>7</v>
      </c>
      <c r="D60" s="8">
        <v>6.42</v>
      </c>
      <c r="E60" s="12">
        <v>7</v>
      </c>
      <c r="F60" s="8">
        <v>12.07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339</v>
      </c>
      <c r="C61" s="12">
        <v>5</v>
      </c>
      <c r="D61" s="8">
        <v>4.59</v>
      </c>
      <c r="E61" s="12">
        <v>4</v>
      </c>
      <c r="F61" s="8">
        <v>6.9</v>
      </c>
      <c r="G61" s="12">
        <v>1</v>
      </c>
      <c r="H61" s="8">
        <v>2.38</v>
      </c>
      <c r="I61" s="12">
        <v>0</v>
      </c>
    </row>
    <row r="62" spans="2:9" ht="15" customHeight="1" x14ac:dyDescent="0.2">
      <c r="B62" t="s">
        <v>300</v>
      </c>
      <c r="C62" s="12">
        <v>5</v>
      </c>
      <c r="D62" s="8">
        <v>4.59</v>
      </c>
      <c r="E62" s="12">
        <v>5</v>
      </c>
      <c r="F62" s="8">
        <v>8.6199999999999992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304</v>
      </c>
      <c r="C63" s="12">
        <v>5</v>
      </c>
      <c r="D63" s="8">
        <v>4.59</v>
      </c>
      <c r="E63" s="12">
        <v>5</v>
      </c>
      <c r="F63" s="8">
        <v>8.6199999999999992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293</v>
      </c>
      <c r="C64" s="12">
        <v>4</v>
      </c>
      <c r="D64" s="8">
        <v>3.67</v>
      </c>
      <c r="E64" s="12">
        <v>0</v>
      </c>
      <c r="F64" s="8">
        <v>0</v>
      </c>
      <c r="G64" s="12">
        <v>4</v>
      </c>
      <c r="H64" s="8">
        <v>9.52</v>
      </c>
      <c r="I64" s="12">
        <v>0</v>
      </c>
    </row>
    <row r="65" spans="2:9" ht="15" customHeight="1" x14ac:dyDescent="0.2">
      <c r="B65" t="s">
        <v>337</v>
      </c>
      <c r="C65" s="12">
        <v>4</v>
      </c>
      <c r="D65" s="8">
        <v>3.67</v>
      </c>
      <c r="E65" s="12">
        <v>2</v>
      </c>
      <c r="F65" s="8">
        <v>3.45</v>
      </c>
      <c r="G65" s="12">
        <v>2</v>
      </c>
      <c r="H65" s="8">
        <v>4.76</v>
      </c>
      <c r="I65" s="12">
        <v>0</v>
      </c>
    </row>
    <row r="66" spans="2:9" ht="15" customHeight="1" x14ac:dyDescent="0.2">
      <c r="B66" t="s">
        <v>288</v>
      </c>
      <c r="C66" s="12">
        <v>3</v>
      </c>
      <c r="D66" s="8">
        <v>2.75</v>
      </c>
      <c r="E66" s="12">
        <v>0</v>
      </c>
      <c r="F66" s="8">
        <v>0</v>
      </c>
      <c r="G66" s="12">
        <v>3</v>
      </c>
      <c r="H66" s="8">
        <v>7.14</v>
      </c>
      <c r="I66" s="12">
        <v>0</v>
      </c>
    </row>
    <row r="67" spans="2:9" ht="15" customHeight="1" x14ac:dyDescent="0.2">
      <c r="B67" t="s">
        <v>333</v>
      </c>
      <c r="C67" s="12">
        <v>3</v>
      </c>
      <c r="D67" s="8">
        <v>2.75</v>
      </c>
      <c r="E67" s="12">
        <v>1</v>
      </c>
      <c r="F67" s="8">
        <v>1.72</v>
      </c>
      <c r="G67" s="12">
        <v>2</v>
      </c>
      <c r="H67" s="8">
        <v>4.76</v>
      </c>
      <c r="I67" s="12">
        <v>0</v>
      </c>
    </row>
    <row r="68" spans="2:9" ht="15" customHeight="1" x14ac:dyDescent="0.2">
      <c r="B68" t="s">
        <v>311</v>
      </c>
      <c r="C68" s="12">
        <v>3</v>
      </c>
      <c r="D68" s="8">
        <v>2.75</v>
      </c>
      <c r="E68" s="12">
        <v>3</v>
      </c>
      <c r="F68" s="8">
        <v>5.17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334</v>
      </c>
      <c r="C69" s="12">
        <v>3</v>
      </c>
      <c r="D69" s="8">
        <v>2.75</v>
      </c>
      <c r="E69" s="12">
        <v>3</v>
      </c>
      <c r="F69" s="8">
        <v>5.17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343</v>
      </c>
      <c r="C70" s="12">
        <v>2</v>
      </c>
      <c r="D70" s="8">
        <v>1.83</v>
      </c>
      <c r="E70" s="12">
        <v>2</v>
      </c>
      <c r="F70" s="8">
        <v>3.45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354</v>
      </c>
      <c r="C71" s="12">
        <v>2</v>
      </c>
      <c r="D71" s="8">
        <v>1.83</v>
      </c>
      <c r="E71" s="12">
        <v>0</v>
      </c>
      <c r="F71" s="8">
        <v>0</v>
      </c>
      <c r="G71" s="12">
        <v>2</v>
      </c>
      <c r="H71" s="8">
        <v>4.76</v>
      </c>
      <c r="I71" s="12">
        <v>0</v>
      </c>
    </row>
    <row r="72" spans="2:9" ht="15" customHeight="1" x14ac:dyDescent="0.2">
      <c r="B72" t="s">
        <v>336</v>
      </c>
      <c r="C72" s="12">
        <v>2</v>
      </c>
      <c r="D72" s="8">
        <v>1.83</v>
      </c>
      <c r="E72" s="12">
        <v>1</v>
      </c>
      <c r="F72" s="8">
        <v>1.72</v>
      </c>
      <c r="G72" s="12">
        <v>1</v>
      </c>
      <c r="H72" s="8">
        <v>2.38</v>
      </c>
      <c r="I72" s="12">
        <v>0</v>
      </c>
    </row>
    <row r="73" spans="2:9" ht="15" customHeight="1" x14ac:dyDescent="0.2">
      <c r="B73" t="s">
        <v>380</v>
      </c>
      <c r="C73" s="12">
        <v>2</v>
      </c>
      <c r="D73" s="8">
        <v>1.83</v>
      </c>
      <c r="E73" s="12">
        <v>1</v>
      </c>
      <c r="F73" s="8">
        <v>1.72</v>
      </c>
      <c r="G73" s="12">
        <v>1</v>
      </c>
      <c r="H73" s="8">
        <v>2.38</v>
      </c>
      <c r="I73" s="12">
        <v>0</v>
      </c>
    </row>
    <row r="74" spans="2:9" ht="15" customHeight="1" x14ac:dyDescent="0.2">
      <c r="B74" t="s">
        <v>292</v>
      </c>
      <c r="C74" s="12">
        <v>2</v>
      </c>
      <c r="D74" s="8">
        <v>1.83</v>
      </c>
      <c r="E74" s="12">
        <v>2</v>
      </c>
      <c r="F74" s="8">
        <v>3.45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335</v>
      </c>
      <c r="C75" s="12">
        <v>2</v>
      </c>
      <c r="D75" s="8">
        <v>1.83</v>
      </c>
      <c r="E75" s="12">
        <v>1</v>
      </c>
      <c r="F75" s="8">
        <v>1.72</v>
      </c>
      <c r="G75" s="12">
        <v>1</v>
      </c>
      <c r="H75" s="8">
        <v>2.38</v>
      </c>
      <c r="I75" s="12">
        <v>0</v>
      </c>
    </row>
    <row r="76" spans="2:9" ht="15" customHeight="1" x14ac:dyDescent="0.2">
      <c r="B76" t="s">
        <v>372</v>
      </c>
      <c r="C76" s="12">
        <v>2</v>
      </c>
      <c r="D76" s="8">
        <v>1.83</v>
      </c>
      <c r="E76" s="12">
        <v>0</v>
      </c>
      <c r="F76" s="8">
        <v>0</v>
      </c>
      <c r="G76" s="12">
        <v>2</v>
      </c>
      <c r="H76" s="8">
        <v>4.76</v>
      </c>
      <c r="I76" s="12">
        <v>0</v>
      </c>
    </row>
    <row r="77" spans="2:9" ht="15" customHeight="1" x14ac:dyDescent="0.2">
      <c r="B77" t="s">
        <v>330</v>
      </c>
      <c r="C77" s="12">
        <v>2</v>
      </c>
      <c r="D77" s="8">
        <v>1.83</v>
      </c>
      <c r="E77" s="12">
        <v>0</v>
      </c>
      <c r="F77" s="8">
        <v>0</v>
      </c>
      <c r="G77" s="12">
        <v>2</v>
      </c>
      <c r="H77" s="8">
        <v>4.76</v>
      </c>
      <c r="I77" s="12">
        <v>0</v>
      </c>
    </row>
    <row r="78" spans="2:9" ht="15" customHeight="1" x14ac:dyDescent="0.2">
      <c r="B78" t="s">
        <v>344</v>
      </c>
      <c r="C78" s="12">
        <v>2</v>
      </c>
      <c r="D78" s="8">
        <v>1.83</v>
      </c>
      <c r="E78" s="12">
        <v>0</v>
      </c>
      <c r="F78" s="8">
        <v>0</v>
      </c>
      <c r="G78" s="12">
        <v>2</v>
      </c>
      <c r="H78" s="8">
        <v>4.76</v>
      </c>
      <c r="I78" s="12">
        <v>0</v>
      </c>
    </row>
    <row r="79" spans="2:9" ht="15" customHeight="1" x14ac:dyDescent="0.2">
      <c r="B79" t="s">
        <v>299</v>
      </c>
      <c r="C79" s="12">
        <v>2</v>
      </c>
      <c r="D79" s="8">
        <v>1.83</v>
      </c>
      <c r="E79" s="12">
        <v>2</v>
      </c>
      <c r="F79" s="8">
        <v>3.45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368</v>
      </c>
      <c r="C80" s="12">
        <v>2</v>
      </c>
      <c r="D80" s="8">
        <v>1.83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341</v>
      </c>
      <c r="C81" s="12">
        <v>2</v>
      </c>
      <c r="D81" s="8">
        <v>1.83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3" spans="2:9" ht="15" customHeight="1" x14ac:dyDescent="0.2">
      <c r="B8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4635-D858-4CE5-A757-F1027A36008C}">
  <sheetPr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</v>
      </c>
      <c r="D6" s="8">
        <v>10.26</v>
      </c>
      <c r="E6" s="12">
        <v>1</v>
      </c>
      <c r="F6" s="8">
        <v>9.09</v>
      </c>
      <c r="G6" s="12">
        <v>3</v>
      </c>
      <c r="H6" s="8">
        <v>11.54</v>
      </c>
      <c r="I6" s="12">
        <v>0</v>
      </c>
    </row>
    <row r="7" spans="2:9" ht="15" customHeight="1" x14ac:dyDescent="0.2">
      <c r="B7" t="s">
        <v>192</v>
      </c>
      <c r="C7" s="12">
        <v>5</v>
      </c>
      <c r="D7" s="8">
        <v>12.82</v>
      </c>
      <c r="E7" s="12">
        <v>1</v>
      </c>
      <c r="F7" s="8">
        <v>9.09</v>
      </c>
      <c r="G7" s="12">
        <v>4</v>
      </c>
      <c r="H7" s="8">
        <v>15.38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2.56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2.56</v>
      </c>
      <c r="E10" s="12">
        <v>0</v>
      </c>
      <c r="F10" s="8">
        <v>0</v>
      </c>
      <c r="G10" s="12">
        <v>1</v>
      </c>
      <c r="H10" s="8">
        <v>3.85</v>
      </c>
      <c r="I10" s="12">
        <v>0</v>
      </c>
    </row>
    <row r="11" spans="2:9" ht="15" customHeight="1" x14ac:dyDescent="0.2">
      <c r="B11" t="s">
        <v>196</v>
      </c>
      <c r="C11" s="12">
        <v>11</v>
      </c>
      <c r="D11" s="8">
        <v>28.21</v>
      </c>
      <c r="E11" s="12">
        <v>2</v>
      </c>
      <c r="F11" s="8">
        <v>18.18</v>
      </c>
      <c r="G11" s="12">
        <v>9</v>
      </c>
      <c r="H11" s="8">
        <v>34.619999999999997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2.56</v>
      </c>
      <c r="E14" s="12">
        <v>0</v>
      </c>
      <c r="F14" s="8">
        <v>0</v>
      </c>
      <c r="G14" s="12">
        <v>1</v>
      </c>
      <c r="H14" s="8">
        <v>3.85</v>
      </c>
      <c r="I14" s="12">
        <v>0</v>
      </c>
    </row>
    <row r="15" spans="2:9" ht="15" customHeight="1" x14ac:dyDescent="0.2">
      <c r="B15" t="s">
        <v>200</v>
      </c>
      <c r="C15" s="12">
        <v>7</v>
      </c>
      <c r="D15" s="8">
        <v>17.95</v>
      </c>
      <c r="E15" s="12">
        <v>5</v>
      </c>
      <c r="F15" s="8">
        <v>45.45</v>
      </c>
      <c r="G15" s="12">
        <v>1</v>
      </c>
      <c r="H15" s="8">
        <v>3.85</v>
      </c>
      <c r="I15" s="12">
        <v>0</v>
      </c>
    </row>
    <row r="16" spans="2:9" ht="15" customHeight="1" x14ac:dyDescent="0.2">
      <c r="B16" t="s">
        <v>201</v>
      </c>
      <c r="C16" s="12">
        <v>3</v>
      </c>
      <c r="D16" s="8">
        <v>7.69</v>
      </c>
      <c r="E16" s="12">
        <v>2</v>
      </c>
      <c r="F16" s="8">
        <v>18.18</v>
      </c>
      <c r="G16" s="12">
        <v>1</v>
      </c>
      <c r="H16" s="8">
        <v>3.85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2.56</v>
      </c>
      <c r="E18" s="12">
        <v>0</v>
      </c>
      <c r="F18" s="8">
        <v>0</v>
      </c>
      <c r="G18" s="12">
        <v>1</v>
      </c>
      <c r="H18" s="8">
        <v>3.85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12.82</v>
      </c>
      <c r="E19" s="12">
        <v>0</v>
      </c>
      <c r="F19" s="8">
        <v>0</v>
      </c>
      <c r="G19" s="12">
        <v>5</v>
      </c>
      <c r="H19" s="8">
        <v>19.23</v>
      </c>
      <c r="I19" s="12">
        <v>0</v>
      </c>
    </row>
    <row r="20" spans="2:9" ht="15" customHeight="1" x14ac:dyDescent="0.2">
      <c r="B20" s="9" t="s">
        <v>529</v>
      </c>
      <c r="C20" s="12">
        <f>SUM(LTBL_01511[総数／事業所数])</f>
        <v>39</v>
      </c>
      <c r="E20" s="12">
        <f>SUBTOTAL(109,LTBL_01511[個人／事業所数])</f>
        <v>11</v>
      </c>
      <c r="G20" s="12">
        <f>SUBTOTAL(109,LTBL_01511[法人／事業所数])</f>
        <v>26</v>
      </c>
      <c r="I20" s="12">
        <f>SUBTOTAL(109,LTBL_01511[法人以外の団体／事業所数])</f>
        <v>0</v>
      </c>
    </row>
    <row r="21" spans="2:9" ht="15" customHeight="1" x14ac:dyDescent="0.2">
      <c r="E21" s="11">
        <f>LTBL_01511[[#Totals],[個人／事業所数]]/LTBL_01511[[#Totals],[総数／事業所数]]</f>
        <v>0.28205128205128205</v>
      </c>
      <c r="G21" s="11">
        <f>LTBL_01511[[#Totals],[法人／事業所数]]/LTBL_01511[[#Totals],[総数／事業所数]]</f>
        <v>0.66666666666666663</v>
      </c>
      <c r="I21" s="11">
        <f>LTBL_01511[[#Totals],[法人以外の団体／事業所数]]/LTBL_01511[[#Totals],[総数／事業所数]]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221</v>
      </c>
      <c r="C24" s="12">
        <v>5</v>
      </c>
      <c r="D24" s="8">
        <v>12.82</v>
      </c>
      <c r="E24" s="12">
        <v>1</v>
      </c>
      <c r="F24" s="8">
        <v>9.09</v>
      </c>
      <c r="G24" s="12">
        <v>4</v>
      </c>
      <c r="H24" s="8">
        <v>15.38</v>
      </c>
      <c r="I24" s="12">
        <v>0</v>
      </c>
    </row>
    <row r="25" spans="2:9" ht="15" customHeight="1" x14ac:dyDescent="0.2">
      <c r="B25" t="s">
        <v>213</v>
      </c>
      <c r="C25" s="12">
        <v>4</v>
      </c>
      <c r="D25" s="8">
        <v>10.26</v>
      </c>
      <c r="E25" s="12">
        <v>1</v>
      </c>
      <c r="F25" s="8">
        <v>9.09</v>
      </c>
      <c r="G25" s="12">
        <v>3</v>
      </c>
      <c r="H25" s="8">
        <v>11.54</v>
      </c>
      <c r="I25" s="12">
        <v>0</v>
      </c>
    </row>
    <row r="26" spans="2:9" ht="15" customHeight="1" x14ac:dyDescent="0.2">
      <c r="B26" t="s">
        <v>223</v>
      </c>
      <c r="C26" s="12">
        <v>4</v>
      </c>
      <c r="D26" s="8">
        <v>10.26</v>
      </c>
      <c r="E26" s="12">
        <v>0</v>
      </c>
      <c r="F26" s="8">
        <v>0</v>
      </c>
      <c r="G26" s="12">
        <v>4</v>
      </c>
      <c r="H26" s="8">
        <v>15.38</v>
      </c>
      <c r="I26" s="12">
        <v>0</v>
      </c>
    </row>
    <row r="27" spans="2:9" ht="15" customHeight="1" x14ac:dyDescent="0.2">
      <c r="B27" t="s">
        <v>227</v>
      </c>
      <c r="C27" s="12">
        <v>4</v>
      </c>
      <c r="D27" s="8">
        <v>10.26</v>
      </c>
      <c r="E27" s="12">
        <v>4</v>
      </c>
      <c r="F27" s="8">
        <v>36.36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262</v>
      </c>
      <c r="C28" s="12">
        <v>3</v>
      </c>
      <c r="D28" s="8">
        <v>7.69</v>
      </c>
      <c r="E28" s="12">
        <v>0</v>
      </c>
      <c r="F28" s="8">
        <v>0</v>
      </c>
      <c r="G28" s="12">
        <v>3</v>
      </c>
      <c r="H28" s="8">
        <v>11.54</v>
      </c>
      <c r="I28" s="12">
        <v>0</v>
      </c>
    </row>
    <row r="29" spans="2:9" ht="15" customHeight="1" x14ac:dyDescent="0.2">
      <c r="B29" t="s">
        <v>228</v>
      </c>
      <c r="C29" s="12">
        <v>3</v>
      </c>
      <c r="D29" s="8">
        <v>7.69</v>
      </c>
      <c r="E29" s="12">
        <v>2</v>
      </c>
      <c r="F29" s="8">
        <v>18.18</v>
      </c>
      <c r="G29" s="12">
        <v>1</v>
      </c>
      <c r="H29" s="8">
        <v>3.85</v>
      </c>
      <c r="I29" s="12">
        <v>0</v>
      </c>
    </row>
    <row r="30" spans="2:9" ht="15" customHeight="1" x14ac:dyDescent="0.2">
      <c r="B30" t="s">
        <v>241</v>
      </c>
      <c r="C30" s="12">
        <v>2</v>
      </c>
      <c r="D30" s="8">
        <v>5.13</v>
      </c>
      <c r="E30" s="12">
        <v>1</v>
      </c>
      <c r="F30" s="8">
        <v>9.09</v>
      </c>
      <c r="G30" s="12">
        <v>1</v>
      </c>
      <c r="H30" s="8">
        <v>3.85</v>
      </c>
      <c r="I30" s="12">
        <v>0</v>
      </c>
    </row>
    <row r="31" spans="2:9" ht="15" customHeight="1" x14ac:dyDescent="0.2">
      <c r="B31" t="s">
        <v>220</v>
      </c>
      <c r="C31" s="12">
        <v>2</v>
      </c>
      <c r="D31" s="8">
        <v>5.13</v>
      </c>
      <c r="E31" s="12">
        <v>1</v>
      </c>
      <c r="F31" s="8">
        <v>9.09</v>
      </c>
      <c r="G31" s="12">
        <v>1</v>
      </c>
      <c r="H31" s="8">
        <v>3.85</v>
      </c>
      <c r="I31" s="12">
        <v>0</v>
      </c>
    </row>
    <row r="32" spans="2:9" ht="15" customHeight="1" x14ac:dyDescent="0.2">
      <c r="B32" t="s">
        <v>243</v>
      </c>
      <c r="C32" s="12">
        <v>2</v>
      </c>
      <c r="D32" s="8">
        <v>5.13</v>
      </c>
      <c r="E32" s="12">
        <v>1</v>
      </c>
      <c r="F32" s="8">
        <v>9.09</v>
      </c>
      <c r="G32" s="12">
        <v>1</v>
      </c>
      <c r="H32" s="8">
        <v>3.85</v>
      </c>
      <c r="I32" s="12">
        <v>0</v>
      </c>
    </row>
    <row r="33" spans="2:9" ht="15" customHeight="1" x14ac:dyDescent="0.2">
      <c r="B33" t="s">
        <v>249</v>
      </c>
      <c r="C33" s="12">
        <v>2</v>
      </c>
      <c r="D33" s="8">
        <v>5.13</v>
      </c>
      <c r="E33" s="12">
        <v>0</v>
      </c>
      <c r="F33" s="8">
        <v>0</v>
      </c>
      <c r="G33" s="12">
        <v>2</v>
      </c>
      <c r="H33" s="8">
        <v>7.69</v>
      </c>
      <c r="I33" s="12">
        <v>0</v>
      </c>
    </row>
    <row r="34" spans="2:9" ht="15" customHeight="1" x14ac:dyDescent="0.2">
      <c r="B34" t="s">
        <v>255</v>
      </c>
      <c r="C34" s="12">
        <v>1</v>
      </c>
      <c r="D34" s="8">
        <v>2.56</v>
      </c>
      <c r="E34" s="12">
        <v>0</v>
      </c>
      <c r="F34" s="8">
        <v>0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238</v>
      </c>
      <c r="C35" s="12">
        <v>1</v>
      </c>
      <c r="D35" s="8">
        <v>2.56</v>
      </c>
      <c r="E35" s="12">
        <v>0</v>
      </c>
      <c r="F35" s="8">
        <v>0</v>
      </c>
      <c r="G35" s="12">
        <v>1</v>
      </c>
      <c r="H35" s="8">
        <v>3.85</v>
      </c>
      <c r="I35" s="12">
        <v>0</v>
      </c>
    </row>
    <row r="36" spans="2:9" ht="15" customHeight="1" x14ac:dyDescent="0.2">
      <c r="B36" t="s">
        <v>226</v>
      </c>
      <c r="C36" s="12">
        <v>1</v>
      </c>
      <c r="D36" s="8">
        <v>2.56</v>
      </c>
      <c r="E36" s="12">
        <v>0</v>
      </c>
      <c r="F36" s="8">
        <v>0</v>
      </c>
      <c r="G36" s="12">
        <v>1</v>
      </c>
      <c r="H36" s="8">
        <v>3.85</v>
      </c>
      <c r="I36" s="12">
        <v>0</v>
      </c>
    </row>
    <row r="37" spans="2:9" ht="15" customHeight="1" x14ac:dyDescent="0.2">
      <c r="B37" t="s">
        <v>239</v>
      </c>
      <c r="C37" s="12">
        <v>1</v>
      </c>
      <c r="D37" s="8">
        <v>2.56</v>
      </c>
      <c r="E37" s="12">
        <v>0</v>
      </c>
      <c r="F37" s="8">
        <v>0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232</v>
      </c>
      <c r="C38" s="12">
        <v>1</v>
      </c>
      <c r="D38" s="8">
        <v>2.56</v>
      </c>
      <c r="E38" s="12">
        <v>0</v>
      </c>
      <c r="F38" s="8">
        <v>0</v>
      </c>
      <c r="G38" s="12">
        <v>1</v>
      </c>
      <c r="H38" s="8">
        <v>3.85</v>
      </c>
      <c r="I38" s="12">
        <v>0</v>
      </c>
    </row>
    <row r="39" spans="2:9" ht="15" customHeight="1" x14ac:dyDescent="0.2">
      <c r="B39" t="s">
        <v>240</v>
      </c>
      <c r="C39" s="12">
        <v>1</v>
      </c>
      <c r="D39" s="8">
        <v>2.56</v>
      </c>
      <c r="E39" s="12">
        <v>0</v>
      </c>
      <c r="F39" s="8">
        <v>0</v>
      </c>
      <c r="G39" s="12">
        <v>1</v>
      </c>
      <c r="H39" s="8">
        <v>3.85</v>
      </c>
      <c r="I39" s="12">
        <v>0</v>
      </c>
    </row>
    <row r="40" spans="2:9" ht="15" customHeight="1" x14ac:dyDescent="0.2">
      <c r="B40" t="s">
        <v>270</v>
      </c>
      <c r="C40" s="12">
        <v>1</v>
      </c>
      <c r="D40" s="8">
        <v>2.56</v>
      </c>
      <c r="E40" s="12">
        <v>0</v>
      </c>
      <c r="F40" s="8">
        <v>0</v>
      </c>
      <c r="G40" s="12">
        <v>1</v>
      </c>
      <c r="H40" s="8">
        <v>3.85</v>
      </c>
      <c r="I40" s="12">
        <v>0</v>
      </c>
    </row>
    <row r="41" spans="2:9" ht="15" customHeight="1" x14ac:dyDescent="0.2">
      <c r="B41" t="s">
        <v>234</v>
      </c>
      <c r="C41" s="12">
        <v>1</v>
      </c>
      <c r="D41" s="8">
        <v>2.56</v>
      </c>
      <c r="E41" s="12">
        <v>0</v>
      </c>
      <c r="F41" s="8">
        <v>0</v>
      </c>
      <c r="G41" s="12">
        <v>1</v>
      </c>
      <c r="H41" s="8">
        <v>3.85</v>
      </c>
      <c r="I41" s="12">
        <v>0</v>
      </c>
    </row>
    <row r="44" spans="2:9" ht="33" customHeight="1" x14ac:dyDescent="0.2">
      <c r="B44" t="s">
        <v>531</v>
      </c>
      <c r="C44" s="10" t="s">
        <v>206</v>
      </c>
      <c r="D44" s="10" t="s">
        <v>207</v>
      </c>
      <c r="E44" s="10" t="s">
        <v>208</v>
      </c>
      <c r="F44" s="10" t="s">
        <v>209</v>
      </c>
      <c r="G44" s="10" t="s">
        <v>210</v>
      </c>
      <c r="H44" s="10" t="s">
        <v>211</v>
      </c>
      <c r="I44" s="10" t="s">
        <v>212</v>
      </c>
    </row>
    <row r="45" spans="2:9" ht="15" customHeight="1" x14ac:dyDescent="0.2">
      <c r="B45" t="s">
        <v>378</v>
      </c>
      <c r="C45" s="12">
        <v>3</v>
      </c>
      <c r="D45" s="8">
        <v>7.69</v>
      </c>
      <c r="E45" s="12">
        <v>0</v>
      </c>
      <c r="F45" s="8">
        <v>0</v>
      </c>
      <c r="G45" s="12">
        <v>3</v>
      </c>
      <c r="H45" s="8">
        <v>11.54</v>
      </c>
      <c r="I45" s="12">
        <v>0</v>
      </c>
    </row>
    <row r="46" spans="2:9" ht="15" customHeight="1" x14ac:dyDescent="0.2">
      <c r="B46" t="s">
        <v>292</v>
      </c>
      <c r="C46" s="12">
        <v>3</v>
      </c>
      <c r="D46" s="8">
        <v>7.69</v>
      </c>
      <c r="E46" s="12">
        <v>1</v>
      </c>
      <c r="F46" s="8">
        <v>9.09</v>
      </c>
      <c r="G46" s="12">
        <v>2</v>
      </c>
      <c r="H46" s="8">
        <v>7.69</v>
      </c>
      <c r="I46" s="12">
        <v>0</v>
      </c>
    </row>
    <row r="47" spans="2:9" ht="15" customHeight="1" x14ac:dyDescent="0.2">
      <c r="B47" t="s">
        <v>289</v>
      </c>
      <c r="C47" s="12">
        <v>2</v>
      </c>
      <c r="D47" s="8">
        <v>5.13</v>
      </c>
      <c r="E47" s="12">
        <v>0</v>
      </c>
      <c r="F47" s="8">
        <v>0</v>
      </c>
      <c r="G47" s="12">
        <v>2</v>
      </c>
      <c r="H47" s="8">
        <v>7.69</v>
      </c>
      <c r="I47" s="12">
        <v>0</v>
      </c>
    </row>
    <row r="48" spans="2:9" ht="15" customHeight="1" x14ac:dyDescent="0.2">
      <c r="B48" t="s">
        <v>330</v>
      </c>
      <c r="C48" s="12">
        <v>2</v>
      </c>
      <c r="D48" s="8">
        <v>5.13</v>
      </c>
      <c r="E48" s="12">
        <v>0</v>
      </c>
      <c r="F48" s="8">
        <v>0</v>
      </c>
      <c r="G48" s="12">
        <v>2</v>
      </c>
      <c r="H48" s="8">
        <v>7.69</v>
      </c>
      <c r="I48" s="12">
        <v>0</v>
      </c>
    </row>
    <row r="49" spans="2:9" ht="15" customHeight="1" x14ac:dyDescent="0.2">
      <c r="B49" t="s">
        <v>339</v>
      </c>
      <c r="C49" s="12">
        <v>2</v>
      </c>
      <c r="D49" s="8">
        <v>5.13</v>
      </c>
      <c r="E49" s="12">
        <v>1</v>
      </c>
      <c r="F49" s="8">
        <v>9.09</v>
      </c>
      <c r="G49" s="12">
        <v>1</v>
      </c>
      <c r="H49" s="8">
        <v>3.85</v>
      </c>
      <c r="I49" s="12">
        <v>0</v>
      </c>
    </row>
    <row r="50" spans="2:9" ht="15" customHeight="1" x14ac:dyDescent="0.2">
      <c r="B50" t="s">
        <v>304</v>
      </c>
      <c r="C50" s="12">
        <v>2</v>
      </c>
      <c r="D50" s="8">
        <v>5.13</v>
      </c>
      <c r="E50" s="12">
        <v>1</v>
      </c>
      <c r="F50" s="8">
        <v>9.09</v>
      </c>
      <c r="G50" s="12">
        <v>1</v>
      </c>
      <c r="H50" s="8">
        <v>3.85</v>
      </c>
      <c r="I50" s="12">
        <v>0</v>
      </c>
    </row>
    <row r="51" spans="2:9" ht="15" customHeight="1" x14ac:dyDescent="0.2">
      <c r="B51" t="s">
        <v>288</v>
      </c>
      <c r="C51" s="12">
        <v>1</v>
      </c>
      <c r="D51" s="8">
        <v>2.56</v>
      </c>
      <c r="E51" s="12">
        <v>0</v>
      </c>
      <c r="F51" s="8">
        <v>0</v>
      </c>
      <c r="G51" s="12">
        <v>1</v>
      </c>
      <c r="H51" s="8">
        <v>3.85</v>
      </c>
      <c r="I51" s="12">
        <v>0</v>
      </c>
    </row>
    <row r="52" spans="2:9" ht="15" customHeight="1" x14ac:dyDescent="0.2">
      <c r="B52" t="s">
        <v>328</v>
      </c>
      <c r="C52" s="12">
        <v>1</v>
      </c>
      <c r="D52" s="8">
        <v>2.56</v>
      </c>
      <c r="E52" s="12">
        <v>1</v>
      </c>
      <c r="F52" s="8">
        <v>9.09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413</v>
      </c>
      <c r="C53" s="12">
        <v>1</v>
      </c>
      <c r="D53" s="8">
        <v>2.56</v>
      </c>
      <c r="E53" s="12">
        <v>0</v>
      </c>
      <c r="F53" s="8">
        <v>0</v>
      </c>
      <c r="G53" s="12">
        <v>1</v>
      </c>
      <c r="H53" s="8">
        <v>3.85</v>
      </c>
      <c r="I53" s="12">
        <v>0</v>
      </c>
    </row>
    <row r="54" spans="2:9" ht="15" customHeight="1" x14ac:dyDescent="0.2">
      <c r="B54" t="s">
        <v>342</v>
      </c>
      <c r="C54" s="12">
        <v>1</v>
      </c>
      <c r="D54" s="8">
        <v>2.56</v>
      </c>
      <c r="E54" s="12">
        <v>1</v>
      </c>
      <c r="F54" s="8">
        <v>9.09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362</v>
      </c>
      <c r="C55" s="12">
        <v>1</v>
      </c>
      <c r="D55" s="8">
        <v>2.56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466</v>
      </c>
      <c r="C56" s="12">
        <v>1</v>
      </c>
      <c r="D56" s="8">
        <v>2.56</v>
      </c>
      <c r="E56" s="12">
        <v>0</v>
      </c>
      <c r="F56" s="8">
        <v>0</v>
      </c>
      <c r="G56" s="12">
        <v>1</v>
      </c>
      <c r="H56" s="8">
        <v>3.85</v>
      </c>
      <c r="I56" s="12">
        <v>0</v>
      </c>
    </row>
    <row r="57" spans="2:9" ht="15" customHeight="1" x14ac:dyDescent="0.2">
      <c r="B57" t="s">
        <v>400</v>
      </c>
      <c r="C57" s="12">
        <v>1</v>
      </c>
      <c r="D57" s="8">
        <v>2.56</v>
      </c>
      <c r="E57" s="12">
        <v>0</v>
      </c>
      <c r="F57" s="8">
        <v>0</v>
      </c>
      <c r="G57" s="12">
        <v>1</v>
      </c>
      <c r="H57" s="8">
        <v>3.85</v>
      </c>
      <c r="I57" s="12">
        <v>0</v>
      </c>
    </row>
    <row r="58" spans="2:9" ht="15" customHeight="1" x14ac:dyDescent="0.2">
      <c r="B58" t="s">
        <v>314</v>
      </c>
      <c r="C58" s="12">
        <v>1</v>
      </c>
      <c r="D58" s="8">
        <v>2.56</v>
      </c>
      <c r="E58" s="12">
        <v>1</v>
      </c>
      <c r="F58" s="8">
        <v>9.09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380</v>
      </c>
      <c r="C59" s="12">
        <v>1</v>
      </c>
      <c r="D59" s="8">
        <v>2.56</v>
      </c>
      <c r="E59" s="12">
        <v>0</v>
      </c>
      <c r="F59" s="8">
        <v>0</v>
      </c>
      <c r="G59" s="12">
        <v>1</v>
      </c>
      <c r="H59" s="8">
        <v>3.85</v>
      </c>
      <c r="I59" s="12">
        <v>0</v>
      </c>
    </row>
    <row r="60" spans="2:9" ht="15" customHeight="1" x14ac:dyDescent="0.2">
      <c r="B60" t="s">
        <v>329</v>
      </c>
      <c r="C60" s="12">
        <v>1</v>
      </c>
      <c r="D60" s="8">
        <v>2.56</v>
      </c>
      <c r="E60" s="12">
        <v>0</v>
      </c>
      <c r="F60" s="8">
        <v>0</v>
      </c>
      <c r="G60" s="12">
        <v>1</v>
      </c>
      <c r="H60" s="8">
        <v>3.85</v>
      </c>
      <c r="I60" s="12">
        <v>0</v>
      </c>
    </row>
    <row r="61" spans="2:9" ht="15" customHeight="1" x14ac:dyDescent="0.2">
      <c r="B61" t="s">
        <v>372</v>
      </c>
      <c r="C61" s="12">
        <v>1</v>
      </c>
      <c r="D61" s="8">
        <v>2.56</v>
      </c>
      <c r="E61" s="12">
        <v>0</v>
      </c>
      <c r="F61" s="8">
        <v>0</v>
      </c>
      <c r="G61" s="12">
        <v>1</v>
      </c>
      <c r="H61" s="8">
        <v>3.85</v>
      </c>
      <c r="I61" s="12">
        <v>0</v>
      </c>
    </row>
    <row r="62" spans="2:9" ht="15" customHeight="1" x14ac:dyDescent="0.2">
      <c r="B62" t="s">
        <v>295</v>
      </c>
      <c r="C62" s="12">
        <v>1</v>
      </c>
      <c r="D62" s="8">
        <v>2.56</v>
      </c>
      <c r="E62" s="12">
        <v>0</v>
      </c>
      <c r="F62" s="8">
        <v>0</v>
      </c>
      <c r="G62" s="12">
        <v>1</v>
      </c>
      <c r="H62" s="8">
        <v>3.85</v>
      </c>
      <c r="I62" s="12">
        <v>0</v>
      </c>
    </row>
    <row r="63" spans="2:9" ht="15" customHeight="1" x14ac:dyDescent="0.2">
      <c r="B63" t="s">
        <v>482</v>
      </c>
      <c r="C63" s="12">
        <v>1</v>
      </c>
      <c r="D63" s="8">
        <v>2.56</v>
      </c>
      <c r="E63" s="12">
        <v>0</v>
      </c>
      <c r="F63" s="8">
        <v>0</v>
      </c>
      <c r="G63" s="12">
        <v>1</v>
      </c>
      <c r="H63" s="8">
        <v>3.85</v>
      </c>
      <c r="I63" s="12">
        <v>0</v>
      </c>
    </row>
    <row r="64" spans="2:9" ht="15" customHeight="1" x14ac:dyDescent="0.2">
      <c r="B64" t="s">
        <v>334</v>
      </c>
      <c r="C64" s="12">
        <v>1</v>
      </c>
      <c r="D64" s="8">
        <v>2.56</v>
      </c>
      <c r="E64" s="12">
        <v>1</v>
      </c>
      <c r="F64" s="8">
        <v>9.09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419</v>
      </c>
      <c r="C65" s="12">
        <v>1</v>
      </c>
      <c r="D65" s="8">
        <v>2.56</v>
      </c>
      <c r="E65" s="12">
        <v>1</v>
      </c>
      <c r="F65" s="8">
        <v>9.09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300</v>
      </c>
      <c r="C66" s="12">
        <v>1</v>
      </c>
      <c r="D66" s="8">
        <v>2.56</v>
      </c>
      <c r="E66" s="12">
        <v>1</v>
      </c>
      <c r="F66" s="8">
        <v>9.09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301</v>
      </c>
      <c r="C67" s="12">
        <v>1</v>
      </c>
      <c r="D67" s="8">
        <v>2.56</v>
      </c>
      <c r="E67" s="12">
        <v>1</v>
      </c>
      <c r="F67" s="8">
        <v>9.09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325</v>
      </c>
      <c r="C68" s="12">
        <v>1</v>
      </c>
      <c r="D68" s="8">
        <v>2.56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323</v>
      </c>
      <c r="C69" s="12">
        <v>1</v>
      </c>
      <c r="D69" s="8">
        <v>2.56</v>
      </c>
      <c r="E69" s="12">
        <v>1</v>
      </c>
      <c r="F69" s="8">
        <v>9.09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369</v>
      </c>
      <c r="C70" s="12">
        <v>1</v>
      </c>
      <c r="D70" s="8">
        <v>2.56</v>
      </c>
      <c r="E70" s="12">
        <v>0</v>
      </c>
      <c r="F70" s="8">
        <v>0</v>
      </c>
      <c r="G70" s="12">
        <v>1</v>
      </c>
      <c r="H70" s="8">
        <v>3.85</v>
      </c>
      <c r="I70" s="12">
        <v>0</v>
      </c>
    </row>
    <row r="71" spans="2:9" ht="15" customHeight="1" x14ac:dyDescent="0.2">
      <c r="B71" t="s">
        <v>370</v>
      </c>
      <c r="C71" s="12">
        <v>1</v>
      </c>
      <c r="D71" s="8">
        <v>2.56</v>
      </c>
      <c r="E71" s="12">
        <v>0</v>
      </c>
      <c r="F71" s="8">
        <v>0</v>
      </c>
      <c r="G71" s="12">
        <v>1</v>
      </c>
      <c r="H71" s="8">
        <v>3.85</v>
      </c>
      <c r="I71" s="12">
        <v>0</v>
      </c>
    </row>
    <row r="72" spans="2:9" ht="15" customHeight="1" x14ac:dyDescent="0.2">
      <c r="B72" t="s">
        <v>397</v>
      </c>
      <c r="C72" s="12">
        <v>1</v>
      </c>
      <c r="D72" s="8">
        <v>2.56</v>
      </c>
      <c r="E72" s="12">
        <v>0</v>
      </c>
      <c r="F72" s="8">
        <v>0</v>
      </c>
      <c r="G72" s="12">
        <v>1</v>
      </c>
      <c r="H72" s="8">
        <v>3.85</v>
      </c>
      <c r="I72" s="12">
        <v>0</v>
      </c>
    </row>
    <row r="73" spans="2:9" ht="15" customHeight="1" x14ac:dyDescent="0.2">
      <c r="B73" t="s">
        <v>307</v>
      </c>
      <c r="C73" s="12">
        <v>1</v>
      </c>
      <c r="D73" s="8">
        <v>2.56</v>
      </c>
      <c r="E73" s="12">
        <v>0</v>
      </c>
      <c r="F73" s="8">
        <v>0</v>
      </c>
      <c r="G73" s="12">
        <v>1</v>
      </c>
      <c r="H73" s="8">
        <v>3.85</v>
      </c>
      <c r="I73" s="12">
        <v>0</v>
      </c>
    </row>
    <row r="74" spans="2:9" ht="15" customHeight="1" x14ac:dyDescent="0.2">
      <c r="B74" t="s">
        <v>460</v>
      </c>
      <c r="C74" s="12">
        <v>1</v>
      </c>
      <c r="D74" s="8">
        <v>2.56</v>
      </c>
      <c r="E74" s="12">
        <v>0</v>
      </c>
      <c r="F74" s="8">
        <v>0</v>
      </c>
      <c r="G74" s="12">
        <v>1</v>
      </c>
      <c r="H74" s="8">
        <v>3.85</v>
      </c>
      <c r="I74" s="12">
        <v>0</v>
      </c>
    </row>
    <row r="75" spans="2:9" ht="15" customHeight="1" x14ac:dyDescent="0.2">
      <c r="B75" t="s">
        <v>348</v>
      </c>
      <c r="C75" s="12">
        <v>1</v>
      </c>
      <c r="D75" s="8">
        <v>2.56</v>
      </c>
      <c r="E75" s="12">
        <v>0</v>
      </c>
      <c r="F75" s="8">
        <v>0</v>
      </c>
      <c r="G75" s="12">
        <v>1</v>
      </c>
      <c r="H75" s="8">
        <v>3.85</v>
      </c>
      <c r="I75" s="12">
        <v>0</v>
      </c>
    </row>
    <row r="77" spans="2:9" ht="15" customHeight="1" x14ac:dyDescent="0.2">
      <c r="B7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1C4C-CB9E-4634-B567-23B4CD19D231}">
  <sheetPr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13</v>
      </c>
      <c r="D6" s="8">
        <v>13</v>
      </c>
      <c r="E6" s="12">
        <v>3</v>
      </c>
      <c r="F6" s="8">
        <v>6.52</v>
      </c>
      <c r="G6" s="12">
        <v>10</v>
      </c>
      <c r="H6" s="8">
        <v>21.28</v>
      </c>
      <c r="I6" s="12">
        <v>0</v>
      </c>
    </row>
    <row r="7" spans="2:9" ht="15" customHeight="1" x14ac:dyDescent="0.2">
      <c r="B7" t="s">
        <v>192</v>
      </c>
      <c r="C7" s="12">
        <v>5</v>
      </c>
      <c r="D7" s="8">
        <v>5</v>
      </c>
      <c r="E7" s="12">
        <v>1</v>
      </c>
      <c r="F7" s="8">
        <v>2.17</v>
      </c>
      <c r="G7" s="12">
        <v>4</v>
      </c>
      <c r="H7" s="8">
        <v>8.51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</v>
      </c>
      <c r="E9" s="12">
        <v>0</v>
      </c>
      <c r="F9" s="8">
        <v>0</v>
      </c>
      <c r="G9" s="12">
        <v>1</v>
      </c>
      <c r="H9" s="8">
        <v>2.13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2</v>
      </c>
      <c r="E10" s="12">
        <v>0</v>
      </c>
      <c r="F10" s="8">
        <v>0</v>
      </c>
      <c r="G10" s="12">
        <v>2</v>
      </c>
      <c r="H10" s="8">
        <v>4.26</v>
      </c>
      <c r="I10" s="12">
        <v>0</v>
      </c>
    </row>
    <row r="11" spans="2:9" ht="15" customHeight="1" x14ac:dyDescent="0.2">
      <c r="B11" t="s">
        <v>196</v>
      </c>
      <c r="C11" s="12">
        <v>25</v>
      </c>
      <c r="D11" s="8">
        <v>25</v>
      </c>
      <c r="E11" s="12">
        <v>8</v>
      </c>
      <c r="F11" s="8">
        <v>17.39</v>
      </c>
      <c r="G11" s="12">
        <v>17</v>
      </c>
      <c r="H11" s="8">
        <v>36.17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</v>
      </c>
      <c r="E12" s="12">
        <v>0</v>
      </c>
      <c r="F12" s="8">
        <v>0</v>
      </c>
      <c r="G12" s="12">
        <v>1</v>
      </c>
      <c r="H12" s="8">
        <v>2.13</v>
      </c>
      <c r="I12" s="12">
        <v>0</v>
      </c>
    </row>
    <row r="13" spans="2:9" ht="15" customHeight="1" x14ac:dyDescent="0.2">
      <c r="B13" t="s">
        <v>198</v>
      </c>
      <c r="C13" s="12">
        <v>11</v>
      </c>
      <c r="D13" s="8">
        <v>11</v>
      </c>
      <c r="E13" s="12">
        <v>9</v>
      </c>
      <c r="F13" s="8">
        <v>19.57</v>
      </c>
      <c r="G13" s="12">
        <v>2</v>
      </c>
      <c r="H13" s="8">
        <v>4.26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2</v>
      </c>
      <c r="E14" s="12">
        <v>0</v>
      </c>
      <c r="F14" s="8">
        <v>0</v>
      </c>
      <c r="G14" s="12">
        <v>1</v>
      </c>
      <c r="H14" s="8">
        <v>2.13</v>
      </c>
      <c r="I14" s="12">
        <v>0</v>
      </c>
    </row>
    <row r="15" spans="2:9" ht="15" customHeight="1" x14ac:dyDescent="0.2">
      <c r="B15" t="s">
        <v>200</v>
      </c>
      <c r="C15" s="12">
        <v>14</v>
      </c>
      <c r="D15" s="8">
        <v>14</v>
      </c>
      <c r="E15" s="12">
        <v>10</v>
      </c>
      <c r="F15" s="8">
        <v>21.74</v>
      </c>
      <c r="G15" s="12">
        <v>4</v>
      </c>
      <c r="H15" s="8">
        <v>8.51</v>
      </c>
      <c r="I15" s="12">
        <v>0</v>
      </c>
    </row>
    <row r="16" spans="2:9" ht="15" customHeight="1" x14ac:dyDescent="0.2">
      <c r="B16" t="s">
        <v>201</v>
      </c>
      <c r="C16" s="12">
        <v>13</v>
      </c>
      <c r="D16" s="8">
        <v>13</v>
      </c>
      <c r="E16" s="12">
        <v>11</v>
      </c>
      <c r="F16" s="8">
        <v>23.91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4</v>
      </c>
      <c r="E17" s="12">
        <v>1</v>
      </c>
      <c r="F17" s="8">
        <v>2.17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3</v>
      </c>
      <c r="E18" s="12">
        <v>2</v>
      </c>
      <c r="F18" s="8">
        <v>4.3499999999999996</v>
      </c>
      <c r="G18" s="12">
        <v>1</v>
      </c>
      <c r="H18" s="8">
        <v>2.13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5</v>
      </c>
      <c r="E19" s="12">
        <v>1</v>
      </c>
      <c r="F19" s="8">
        <v>2.17</v>
      </c>
      <c r="G19" s="12">
        <v>4</v>
      </c>
      <c r="H19" s="8">
        <v>8.51</v>
      </c>
      <c r="I19" s="12">
        <v>0</v>
      </c>
    </row>
    <row r="20" spans="2:9" ht="15" customHeight="1" x14ac:dyDescent="0.2">
      <c r="B20" s="9" t="s">
        <v>529</v>
      </c>
      <c r="C20" s="12">
        <f>SUM(LTBL_01512[総数／事業所数])</f>
        <v>100</v>
      </c>
      <c r="E20" s="12">
        <f>SUBTOTAL(109,LTBL_01512[個人／事業所数])</f>
        <v>46</v>
      </c>
      <c r="G20" s="12">
        <f>SUBTOTAL(109,LTBL_01512[法人／事業所数])</f>
        <v>47</v>
      </c>
      <c r="I20" s="12">
        <f>SUBTOTAL(109,LTBL_01512[法人以外の団体／事業所数])</f>
        <v>0</v>
      </c>
    </row>
    <row r="21" spans="2:9" ht="15" customHeight="1" x14ac:dyDescent="0.2">
      <c r="E21" s="11">
        <f>LTBL_01512[[#Totals],[個人／事業所数]]/LTBL_01512[[#Totals],[総数／事業所数]]</f>
        <v>0.46</v>
      </c>
      <c r="G21" s="11">
        <f>LTBL_01512[[#Totals],[法人／事業所数]]/LTBL_01512[[#Totals],[総数／事業所数]]</f>
        <v>0.47</v>
      </c>
      <c r="I21" s="11">
        <f>LTBL_01512[[#Totals],[法人以外の団体／事業所数]]/LTBL_01512[[#Totals],[総数／事業所数]]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11</v>
      </c>
      <c r="D24" s="8">
        <v>11</v>
      </c>
      <c r="E24" s="12">
        <v>3</v>
      </c>
      <c r="F24" s="8">
        <v>6.52</v>
      </c>
      <c r="G24" s="12">
        <v>8</v>
      </c>
      <c r="H24" s="8">
        <v>17.02</v>
      </c>
      <c r="I24" s="12">
        <v>0</v>
      </c>
    </row>
    <row r="25" spans="2:9" ht="15" customHeight="1" x14ac:dyDescent="0.2">
      <c r="B25" t="s">
        <v>227</v>
      </c>
      <c r="C25" s="12">
        <v>11</v>
      </c>
      <c r="D25" s="8">
        <v>11</v>
      </c>
      <c r="E25" s="12">
        <v>8</v>
      </c>
      <c r="F25" s="8">
        <v>17.39</v>
      </c>
      <c r="G25" s="12">
        <v>3</v>
      </c>
      <c r="H25" s="8">
        <v>6.38</v>
      </c>
      <c r="I25" s="12">
        <v>0</v>
      </c>
    </row>
    <row r="26" spans="2:9" ht="15" customHeight="1" x14ac:dyDescent="0.2">
      <c r="B26" t="s">
        <v>224</v>
      </c>
      <c r="C26" s="12">
        <v>10</v>
      </c>
      <c r="D26" s="8">
        <v>10</v>
      </c>
      <c r="E26" s="12">
        <v>9</v>
      </c>
      <c r="F26" s="8">
        <v>19.57</v>
      </c>
      <c r="G26" s="12">
        <v>1</v>
      </c>
      <c r="H26" s="8">
        <v>2.13</v>
      </c>
      <c r="I26" s="12">
        <v>0</v>
      </c>
    </row>
    <row r="27" spans="2:9" ht="15" customHeight="1" x14ac:dyDescent="0.2">
      <c r="B27" t="s">
        <v>228</v>
      </c>
      <c r="C27" s="12">
        <v>10</v>
      </c>
      <c r="D27" s="8">
        <v>10</v>
      </c>
      <c r="E27" s="12">
        <v>9</v>
      </c>
      <c r="F27" s="8">
        <v>19.57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215</v>
      </c>
      <c r="C28" s="12">
        <v>6</v>
      </c>
      <c r="D28" s="8">
        <v>6</v>
      </c>
      <c r="E28" s="12">
        <v>1</v>
      </c>
      <c r="F28" s="8">
        <v>2.17</v>
      </c>
      <c r="G28" s="12">
        <v>5</v>
      </c>
      <c r="H28" s="8">
        <v>10.64</v>
      </c>
      <c r="I28" s="12">
        <v>0</v>
      </c>
    </row>
    <row r="29" spans="2:9" ht="15" customHeight="1" x14ac:dyDescent="0.2">
      <c r="B29" t="s">
        <v>213</v>
      </c>
      <c r="C29" s="12">
        <v>5</v>
      </c>
      <c r="D29" s="8">
        <v>5</v>
      </c>
      <c r="E29" s="12">
        <v>1</v>
      </c>
      <c r="F29" s="8">
        <v>2.17</v>
      </c>
      <c r="G29" s="12">
        <v>4</v>
      </c>
      <c r="H29" s="8">
        <v>8.51</v>
      </c>
      <c r="I29" s="12">
        <v>0</v>
      </c>
    </row>
    <row r="30" spans="2:9" ht="15" customHeight="1" x14ac:dyDescent="0.2">
      <c r="B30" t="s">
        <v>221</v>
      </c>
      <c r="C30" s="12">
        <v>4</v>
      </c>
      <c r="D30" s="8">
        <v>4</v>
      </c>
      <c r="E30" s="12">
        <v>4</v>
      </c>
      <c r="F30" s="8">
        <v>8.6999999999999993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230</v>
      </c>
      <c r="C31" s="12">
        <v>4</v>
      </c>
      <c r="D31" s="8">
        <v>4</v>
      </c>
      <c r="E31" s="12">
        <v>1</v>
      </c>
      <c r="F31" s="8">
        <v>2.17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217</v>
      </c>
      <c r="C32" s="12">
        <v>3</v>
      </c>
      <c r="D32" s="8">
        <v>3</v>
      </c>
      <c r="E32" s="12">
        <v>0</v>
      </c>
      <c r="F32" s="8">
        <v>0</v>
      </c>
      <c r="G32" s="12">
        <v>3</v>
      </c>
      <c r="H32" s="8">
        <v>6.38</v>
      </c>
      <c r="I32" s="12">
        <v>0</v>
      </c>
    </row>
    <row r="33" spans="2:9" ht="15" customHeight="1" x14ac:dyDescent="0.2">
      <c r="B33" t="s">
        <v>243</v>
      </c>
      <c r="C33" s="12">
        <v>3</v>
      </c>
      <c r="D33" s="8">
        <v>3</v>
      </c>
      <c r="E33" s="12">
        <v>2</v>
      </c>
      <c r="F33" s="8">
        <v>4.3499999999999996</v>
      </c>
      <c r="G33" s="12">
        <v>1</v>
      </c>
      <c r="H33" s="8">
        <v>2.13</v>
      </c>
      <c r="I33" s="12">
        <v>0</v>
      </c>
    </row>
    <row r="34" spans="2:9" ht="15" customHeight="1" x14ac:dyDescent="0.2">
      <c r="B34" t="s">
        <v>249</v>
      </c>
      <c r="C34" s="12">
        <v>3</v>
      </c>
      <c r="D34" s="8">
        <v>3</v>
      </c>
      <c r="E34" s="12">
        <v>0</v>
      </c>
      <c r="F34" s="8">
        <v>0</v>
      </c>
      <c r="G34" s="12">
        <v>3</v>
      </c>
      <c r="H34" s="8">
        <v>6.38</v>
      </c>
      <c r="I34" s="12">
        <v>0</v>
      </c>
    </row>
    <row r="35" spans="2:9" ht="15" customHeight="1" x14ac:dyDescent="0.2">
      <c r="B35" t="s">
        <v>214</v>
      </c>
      <c r="C35" s="12">
        <v>2</v>
      </c>
      <c r="D35" s="8">
        <v>2</v>
      </c>
      <c r="E35" s="12">
        <v>1</v>
      </c>
      <c r="F35" s="8">
        <v>2.17</v>
      </c>
      <c r="G35" s="12">
        <v>1</v>
      </c>
      <c r="H35" s="8">
        <v>2.13</v>
      </c>
      <c r="I35" s="12">
        <v>0</v>
      </c>
    </row>
    <row r="36" spans="2:9" ht="15" customHeight="1" x14ac:dyDescent="0.2">
      <c r="B36" t="s">
        <v>241</v>
      </c>
      <c r="C36" s="12">
        <v>2</v>
      </c>
      <c r="D36" s="8">
        <v>2</v>
      </c>
      <c r="E36" s="12">
        <v>0</v>
      </c>
      <c r="F36" s="8">
        <v>0</v>
      </c>
      <c r="G36" s="12">
        <v>2</v>
      </c>
      <c r="H36" s="8">
        <v>4.26</v>
      </c>
      <c r="I36" s="12">
        <v>0</v>
      </c>
    </row>
    <row r="37" spans="2:9" ht="15" customHeight="1" x14ac:dyDescent="0.2">
      <c r="B37" t="s">
        <v>254</v>
      </c>
      <c r="C37" s="12">
        <v>2</v>
      </c>
      <c r="D37" s="8">
        <v>2</v>
      </c>
      <c r="E37" s="12">
        <v>0</v>
      </c>
      <c r="F37" s="8">
        <v>0</v>
      </c>
      <c r="G37" s="12">
        <v>2</v>
      </c>
      <c r="H37" s="8">
        <v>4.26</v>
      </c>
      <c r="I37" s="12">
        <v>0</v>
      </c>
    </row>
    <row r="38" spans="2:9" ht="15" customHeight="1" x14ac:dyDescent="0.2">
      <c r="B38" t="s">
        <v>218</v>
      </c>
      <c r="C38" s="12">
        <v>2</v>
      </c>
      <c r="D38" s="8">
        <v>2</v>
      </c>
      <c r="E38" s="12">
        <v>0</v>
      </c>
      <c r="F38" s="8">
        <v>0</v>
      </c>
      <c r="G38" s="12">
        <v>2</v>
      </c>
      <c r="H38" s="8">
        <v>4.26</v>
      </c>
      <c r="I38" s="12">
        <v>0</v>
      </c>
    </row>
    <row r="39" spans="2:9" ht="15" customHeight="1" x14ac:dyDescent="0.2">
      <c r="B39" t="s">
        <v>236</v>
      </c>
      <c r="C39" s="12">
        <v>2</v>
      </c>
      <c r="D39" s="8">
        <v>2</v>
      </c>
      <c r="E39" s="12">
        <v>0</v>
      </c>
      <c r="F39" s="8">
        <v>0</v>
      </c>
      <c r="G39" s="12">
        <v>2</v>
      </c>
      <c r="H39" s="8">
        <v>4.26</v>
      </c>
      <c r="I39" s="12">
        <v>0</v>
      </c>
    </row>
    <row r="40" spans="2:9" ht="15" customHeight="1" x14ac:dyDescent="0.2">
      <c r="B40" t="s">
        <v>229</v>
      </c>
      <c r="C40" s="12">
        <v>2</v>
      </c>
      <c r="D40" s="8">
        <v>2</v>
      </c>
      <c r="E40" s="12">
        <v>2</v>
      </c>
      <c r="F40" s="8">
        <v>4.3499999999999996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231</v>
      </c>
      <c r="C41" s="12">
        <v>2</v>
      </c>
      <c r="D41" s="8">
        <v>2</v>
      </c>
      <c r="E41" s="12">
        <v>2</v>
      </c>
      <c r="F41" s="8">
        <v>4.3499999999999996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258</v>
      </c>
      <c r="C42" s="12">
        <v>1</v>
      </c>
      <c r="D42" s="8">
        <v>1</v>
      </c>
      <c r="E42" s="12">
        <v>1</v>
      </c>
      <c r="F42" s="8">
        <v>2.17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255</v>
      </c>
      <c r="C43" s="12">
        <v>1</v>
      </c>
      <c r="D43" s="8">
        <v>1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277</v>
      </c>
      <c r="C44" s="12">
        <v>1</v>
      </c>
      <c r="D44" s="8">
        <v>1</v>
      </c>
      <c r="E44" s="12">
        <v>0</v>
      </c>
      <c r="F44" s="8">
        <v>0</v>
      </c>
      <c r="G44" s="12">
        <v>1</v>
      </c>
      <c r="H44" s="8">
        <v>2.13</v>
      </c>
      <c r="I44" s="12">
        <v>0</v>
      </c>
    </row>
    <row r="45" spans="2:9" ht="15" customHeight="1" x14ac:dyDescent="0.2">
      <c r="B45" t="s">
        <v>238</v>
      </c>
      <c r="C45" s="12">
        <v>1</v>
      </c>
      <c r="D45" s="8">
        <v>1</v>
      </c>
      <c r="E45" s="12">
        <v>0</v>
      </c>
      <c r="F45" s="8">
        <v>0</v>
      </c>
      <c r="G45" s="12">
        <v>1</v>
      </c>
      <c r="H45" s="8">
        <v>2.13</v>
      </c>
      <c r="I45" s="12">
        <v>0</v>
      </c>
    </row>
    <row r="46" spans="2:9" ht="15" customHeight="1" x14ac:dyDescent="0.2">
      <c r="B46" t="s">
        <v>248</v>
      </c>
      <c r="C46" s="12">
        <v>1</v>
      </c>
      <c r="D46" s="8">
        <v>1</v>
      </c>
      <c r="E46" s="12">
        <v>0</v>
      </c>
      <c r="F46" s="8">
        <v>0</v>
      </c>
      <c r="G46" s="12">
        <v>1</v>
      </c>
      <c r="H46" s="8">
        <v>2.13</v>
      </c>
      <c r="I46" s="12">
        <v>0</v>
      </c>
    </row>
    <row r="47" spans="2:9" ht="15" customHeight="1" x14ac:dyDescent="0.2">
      <c r="B47" t="s">
        <v>219</v>
      </c>
      <c r="C47" s="12">
        <v>1</v>
      </c>
      <c r="D47" s="8">
        <v>1</v>
      </c>
      <c r="E47" s="12">
        <v>0</v>
      </c>
      <c r="F47" s="8">
        <v>0</v>
      </c>
      <c r="G47" s="12">
        <v>1</v>
      </c>
      <c r="H47" s="8">
        <v>2.13</v>
      </c>
      <c r="I47" s="12">
        <v>0</v>
      </c>
    </row>
    <row r="48" spans="2:9" ht="15" customHeight="1" x14ac:dyDescent="0.2">
      <c r="B48" t="s">
        <v>220</v>
      </c>
      <c r="C48" s="12">
        <v>1</v>
      </c>
      <c r="D48" s="8">
        <v>1</v>
      </c>
      <c r="E48" s="12">
        <v>1</v>
      </c>
      <c r="F48" s="8">
        <v>2.17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222</v>
      </c>
      <c r="C49" s="12">
        <v>1</v>
      </c>
      <c r="D49" s="8">
        <v>1</v>
      </c>
      <c r="E49" s="12">
        <v>0</v>
      </c>
      <c r="F49" s="8">
        <v>0</v>
      </c>
      <c r="G49" s="12">
        <v>1</v>
      </c>
      <c r="H49" s="8">
        <v>2.13</v>
      </c>
      <c r="I49" s="12">
        <v>0</v>
      </c>
    </row>
    <row r="50" spans="2:9" ht="15" customHeight="1" x14ac:dyDescent="0.2">
      <c r="B50" t="s">
        <v>237</v>
      </c>
      <c r="C50" s="12">
        <v>1</v>
      </c>
      <c r="D50" s="8">
        <v>1</v>
      </c>
      <c r="E50" s="12">
        <v>0</v>
      </c>
      <c r="F50" s="8">
        <v>0</v>
      </c>
      <c r="G50" s="12">
        <v>1</v>
      </c>
      <c r="H50" s="8">
        <v>2.13</v>
      </c>
      <c r="I50" s="12">
        <v>0</v>
      </c>
    </row>
    <row r="51" spans="2:9" ht="15" customHeight="1" x14ac:dyDescent="0.2">
      <c r="B51" t="s">
        <v>246</v>
      </c>
      <c r="C51" s="12">
        <v>1</v>
      </c>
      <c r="D51" s="8">
        <v>1</v>
      </c>
      <c r="E51" s="12">
        <v>0</v>
      </c>
      <c r="F51" s="8">
        <v>0</v>
      </c>
      <c r="G51" s="12">
        <v>1</v>
      </c>
      <c r="H51" s="8">
        <v>2.13</v>
      </c>
      <c r="I51" s="12">
        <v>0</v>
      </c>
    </row>
    <row r="52" spans="2:9" ht="15" customHeight="1" x14ac:dyDescent="0.2">
      <c r="B52" t="s">
        <v>225</v>
      </c>
      <c r="C52" s="12">
        <v>1</v>
      </c>
      <c r="D52" s="8">
        <v>1</v>
      </c>
      <c r="E52" s="12">
        <v>0</v>
      </c>
      <c r="F52" s="8">
        <v>0</v>
      </c>
      <c r="G52" s="12">
        <v>1</v>
      </c>
      <c r="H52" s="8">
        <v>2.13</v>
      </c>
      <c r="I52" s="12">
        <v>0</v>
      </c>
    </row>
    <row r="53" spans="2:9" ht="15" customHeight="1" x14ac:dyDescent="0.2">
      <c r="B53" t="s">
        <v>226</v>
      </c>
      <c r="C53" s="12">
        <v>1</v>
      </c>
      <c r="D53" s="8">
        <v>1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247</v>
      </c>
      <c r="C54" s="12">
        <v>1</v>
      </c>
      <c r="D54" s="8">
        <v>1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232</v>
      </c>
      <c r="C55" s="12">
        <v>1</v>
      </c>
      <c r="D55" s="8">
        <v>1</v>
      </c>
      <c r="E55" s="12">
        <v>0</v>
      </c>
      <c r="F55" s="8">
        <v>0</v>
      </c>
      <c r="G55" s="12">
        <v>1</v>
      </c>
      <c r="H55" s="8">
        <v>2.13</v>
      </c>
      <c r="I55" s="12">
        <v>0</v>
      </c>
    </row>
    <row r="56" spans="2:9" ht="15" customHeight="1" x14ac:dyDescent="0.2">
      <c r="B56" t="s">
        <v>240</v>
      </c>
      <c r="C56" s="12">
        <v>1</v>
      </c>
      <c r="D56" s="8">
        <v>1</v>
      </c>
      <c r="E56" s="12">
        <v>0</v>
      </c>
      <c r="F56" s="8">
        <v>0</v>
      </c>
      <c r="G56" s="12">
        <v>1</v>
      </c>
      <c r="H56" s="8">
        <v>2.13</v>
      </c>
      <c r="I56" s="12">
        <v>0</v>
      </c>
    </row>
    <row r="57" spans="2:9" ht="15" customHeight="1" x14ac:dyDescent="0.2">
      <c r="B57" t="s">
        <v>242</v>
      </c>
      <c r="C57" s="12">
        <v>1</v>
      </c>
      <c r="D57" s="8">
        <v>1</v>
      </c>
      <c r="E57" s="12">
        <v>1</v>
      </c>
      <c r="F57" s="8">
        <v>2.17</v>
      </c>
      <c r="G57" s="12">
        <v>0</v>
      </c>
      <c r="H57" s="8">
        <v>0</v>
      </c>
      <c r="I57" s="12">
        <v>0</v>
      </c>
    </row>
    <row r="60" spans="2:9" ht="33" customHeight="1" x14ac:dyDescent="0.2">
      <c r="B60" t="s">
        <v>531</v>
      </c>
      <c r="C60" s="10" t="s">
        <v>206</v>
      </c>
      <c r="D60" s="10" t="s">
        <v>207</v>
      </c>
      <c r="E60" s="10" t="s">
        <v>208</v>
      </c>
      <c r="F60" s="10" t="s">
        <v>209</v>
      </c>
      <c r="G60" s="10" t="s">
        <v>210</v>
      </c>
      <c r="H60" s="10" t="s">
        <v>211</v>
      </c>
      <c r="I60" s="10" t="s">
        <v>212</v>
      </c>
    </row>
    <row r="61" spans="2:9" ht="15" customHeight="1" x14ac:dyDescent="0.2">
      <c r="B61" t="s">
        <v>297</v>
      </c>
      <c r="C61" s="12">
        <v>10</v>
      </c>
      <c r="D61" s="8">
        <v>10</v>
      </c>
      <c r="E61" s="12">
        <v>9</v>
      </c>
      <c r="F61" s="8">
        <v>19.57</v>
      </c>
      <c r="G61" s="12">
        <v>1</v>
      </c>
      <c r="H61" s="8">
        <v>2.13</v>
      </c>
      <c r="I61" s="12">
        <v>0</v>
      </c>
    </row>
    <row r="62" spans="2:9" ht="15" customHeight="1" x14ac:dyDescent="0.2">
      <c r="B62" t="s">
        <v>301</v>
      </c>
      <c r="C62" s="12">
        <v>5</v>
      </c>
      <c r="D62" s="8">
        <v>5</v>
      </c>
      <c r="E62" s="12">
        <v>4</v>
      </c>
      <c r="F62" s="8">
        <v>8.6999999999999993</v>
      </c>
      <c r="G62" s="12">
        <v>1</v>
      </c>
      <c r="H62" s="8">
        <v>2.13</v>
      </c>
      <c r="I62" s="12">
        <v>0</v>
      </c>
    </row>
    <row r="63" spans="2:9" ht="15" customHeight="1" x14ac:dyDescent="0.2">
      <c r="B63" t="s">
        <v>303</v>
      </c>
      <c r="C63" s="12">
        <v>4</v>
      </c>
      <c r="D63" s="8">
        <v>4</v>
      </c>
      <c r="E63" s="12">
        <v>4</v>
      </c>
      <c r="F63" s="8">
        <v>8.6999999999999993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304</v>
      </c>
      <c r="C64" s="12">
        <v>4</v>
      </c>
      <c r="D64" s="8">
        <v>4</v>
      </c>
      <c r="E64" s="12">
        <v>4</v>
      </c>
      <c r="F64" s="8">
        <v>8.6999999999999993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290</v>
      </c>
      <c r="C65" s="12">
        <v>3</v>
      </c>
      <c r="D65" s="8">
        <v>3</v>
      </c>
      <c r="E65" s="12">
        <v>1</v>
      </c>
      <c r="F65" s="8">
        <v>2.17</v>
      </c>
      <c r="G65" s="12">
        <v>2</v>
      </c>
      <c r="H65" s="8">
        <v>4.26</v>
      </c>
      <c r="I65" s="12">
        <v>0</v>
      </c>
    </row>
    <row r="66" spans="2:9" ht="15" customHeight="1" x14ac:dyDescent="0.2">
      <c r="B66" t="s">
        <v>330</v>
      </c>
      <c r="C66" s="12">
        <v>3</v>
      </c>
      <c r="D66" s="8">
        <v>3</v>
      </c>
      <c r="E66" s="12">
        <v>0</v>
      </c>
      <c r="F66" s="8">
        <v>0</v>
      </c>
      <c r="G66" s="12">
        <v>3</v>
      </c>
      <c r="H66" s="8">
        <v>6.38</v>
      </c>
      <c r="I66" s="12">
        <v>0</v>
      </c>
    </row>
    <row r="67" spans="2:9" ht="15" customHeight="1" x14ac:dyDescent="0.2">
      <c r="B67" t="s">
        <v>373</v>
      </c>
      <c r="C67" s="12">
        <v>3</v>
      </c>
      <c r="D67" s="8">
        <v>3</v>
      </c>
      <c r="E67" s="12">
        <v>2</v>
      </c>
      <c r="F67" s="8">
        <v>4.3499999999999996</v>
      </c>
      <c r="G67" s="12">
        <v>1</v>
      </c>
      <c r="H67" s="8">
        <v>2.13</v>
      </c>
      <c r="I67" s="12">
        <v>0</v>
      </c>
    </row>
    <row r="68" spans="2:9" ht="15" customHeight="1" x14ac:dyDescent="0.2">
      <c r="B68" t="s">
        <v>300</v>
      </c>
      <c r="C68" s="12">
        <v>3</v>
      </c>
      <c r="D68" s="8">
        <v>3</v>
      </c>
      <c r="E68" s="12">
        <v>3</v>
      </c>
      <c r="F68" s="8">
        <v>6.52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340</v>
      </c>
      <c r="C69" s="12">
        <v>3</v>
      </c>
      <c r="D69" s="8">
        <v>3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288</v>
      </c>
      <c r="C70" s="12">
        <v>2</v>
      </c>
      <c r="D70" s="8">
        <v>2</v>
      </c>
      <c r="E70" s="12">
        <v>0</v>
      </c>
      <c r="F70" s="8">
        <v>0</v>
      </c>
      <c r="G70" s="12">
        <v>2</v>
      </c>
      <c r="H70" s="8">
        <v>4.26</v>
      </c>
      <c r="I70" s="12">
        <v>0</v>
      </c>
    </row>
    <row r="71" spans="2:9" ht="15" customHeight="1" x14ac:dyDescent="0.2">
      <c r="B71" t="s">
        <v>328</v>
      </c>
      <c r="C71" s="12">
        <v>2</v>
      </c>
      <c r="D71" s="8">
        <v>2</v>
      </c>
      <c r="E71" s="12">
        <v>1</v>
      </c>
      <c r="F71" s="8">
        <v>2.17</v>
      </c>
      <c r="G71" s="12">
        <v>1</v>
      </c>
      <c r="H71" s="8">
        <v>2.13</v>
      </c>
      <c r="I71" s="12">
        <v>0</v>
      </c>
    </row>
    <row r="72" spans="2:9" ht="15" customHeight="1" x14ac:dyDescent="0.2">
      <c r="B72" t="s">
        <v>333</v>
      </c>
      <c r="C72" s="12">
        <v>2</v>
      </c>
      <c r="D72" s="8">
        <v>2</v>
      </c>
      <c r="E72" s="12">
        <v>1</v>
      </c>
      <c r="F72" s="8">
        <v>2.17</v>
      </c>
      <c r="G72" s="12">
        <v>1</v>
      </c>
      <c r="H72" s="8">
        <v>2.13</v>
      </c>
      <c r="I72" s="12">
        <v>0</v>
      </c>
    </row>
    <row r="73" spans="2:9" ht="15" customHeight="1" x14ac:dyDescent="0.2">
      <c r="B73" t="s">
        <v>436</v>
      </c>
      <c r="C73" s="12">
        <v>2</v>
      </c>
      <c r="D73" s="8">
        <v>2</v>
      </c>
      <c r="E73" s="12">
        <v>0</v>
      </c>
      <c r="F73" s="8">
        <v>0</v>
      </c>
      <c r="G73" s="12">
        <v>2</v>
      </c>
      <c r="H73" s="8">
        <v>4.26</v>
      </c>
      <c r="I73" s="12">
        <v>0</v>
      </c>
    </row>
    <row r="74" spans="2:9" ht="15" customHeight="1" x14ac:dyDescent="0.2">
      <c r="B74" t="s">
        <v>342</v>
      </c>
      <c r="C74" s="12">
        <v>2</v>
      </c>
      <c r="D74" s="8">
        <v>2</v>
      </c>
      <c r="E74" s="12">
        <v>0</v>
      </c>
      <c r="F74" s="8">
        <v>0</v>
      </c>
      <c r="G74" s="12">
        <v>2</v>
      </c>
      <c r="H74" s="8">
        <v>4.26</v>
      </c>
      <c r="I74" s="12">
        <v>0</v>
      </c>
    </row>
    <row r="75" spans="2:9" ht="15" customHeight="1" x14ac:dyDescent="0.2">
      <c r="B75" t="s">
        <v>321</v>
      </c>
      <c r="C75" s="12">
        <v>2</v>
      </c>
      <c r="D75" s="8">
        <v>2</v>
      </c>
      <c r="E75" s="12">
        <v>0</v>
      </c>
      <c r="F75" s="8">
        <v>0</v>
      </c>
      <c r="G75" s="12">
        <v>2</v>
      </c>
      <c r="H75" s="8">
        <v>4.26</v>
      </c>
      <c r="I75" s="12">
        <v>0</v>
      </c>
    </row>
    <row r="76" spans="2:9" ht="15" customHeight="1" x14ac:dyDescent="0.2">
      <c r="B76" t="s">
        <v>292</v>
      </c>
      <c r="C76" s="12">
        <v>2</v>
      </c>
      <c r="D76" s="8">
        <v>2</v>
      </c>
      <c r="E76" s="12">
        <v>2</v>
      </c>
      <c r="F76" s="8">
        <v>4.3499999999999996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372</v>
      </c>
      <c r="C77" s="12">
        <v>2</v>
      </c>
      <c r="D77" s="8">
        <v>2</v>
      </c>
      <c r="E77" s="12">
        <v>0</v>
      </c>
      <c r="F77" s="8">
        <v>0</v>
      </c>
      <c r="G77" s="12">
        <v>2</v>
      </c>
      <c r="H77" s="8">
        <v>4.26</v>
      </c>
      <c r="I77" s="12">
        <v>0</v>
      </c>
    </row>
    <row r="78" spans="2:9" ht="15" customHeight="1" x14ac:dyDescent="0.2">
      <c r="B78" t="s">
        <v>295</v>
      </c>
      <c r="C78" s="12">
        <v>2</v>
      </c>
      <c r="D78" s="8">
        <v>2</v>
      </c>
      <c r="E78" s="12">
        <v>1</v>
      </c>
      <c r="F78" s="8">
        <v>2.17</v>
      </c>
      <c r="G78" s="12">
        <v>1</v>
      </c>
      <c r="H78" s="8">
        <v>2.13</v>
      </c>
      <c r="I78" s="12">
        <v>0</v>
      </c>
    </row>
    <row r="79" spans="2:9" ht="15" customHeight="1" x14ac:dyDescent="0.2">
      <c r="B79" t="s">
        <v>344</v>
      </c>
      <c r="C79" s="12">
        <v>2</v>
      </c>
      <c r="D79" s="8">
        <v>2</v>
      </c>
      <c r="E79" s="12">
        <v>0</v>
      </c>
      <c r="F79" s="8">
        <v>0</v>
      </c>
      <c r="G79" s="12">
        <v>2</v>
      </c>
      <c r="H79" s="8">
        <v>4.26</v>
      </c>
      <c r="I79" s="12">
        <v>0</v>
      </c>
    </row>
    <row r="80" spans="2:9" ht="15" customHeight="1" x14ac:dyDescent="0.2">
      <c r="B80" t="s">
        <v>299</v>
      </c>
      <c r="C80" s="12">
        <v>2</v>
      </c>
      <c r="D80" s="8">
        <v>2</v>
      </c>
      <c r="E80" s="12">
        <v>0</v>
      </c>
      <c r="F80" s="8">
        <v>0</v>
      </c>
      <c r="G80" s="12">
        <v>2</v>
      </c>
      <c r="H80" s="8">
        <v>4.26</v>
      </c>
      <c r="I80" s="12">
        <v>0</v>
      </c>
    </row>
    <row r="81" spans="2:9" ht="15" customHeight="1" x14ac:dyDescent="0.2">
      <c r="B81" t="s">
        <v>352</v>
      </c>
      <c r="C81" s="12">
        <v>2</v>
      </c>
      <c r="D81" s="8">
        <v>2</v>
      </c>
      <c r="E81" s="12">
        <v>2</v>
      </c>
      <c r="F81" s="8">
        <v>4.3499999999999996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397</v>
      </c>
      <c r="C82" s="12">
        <v>2</v>
      </c>
      <c r="D82" s="8">
        <v>2</v>
      </c>
      <c r="E82" s="12">
        <v>0</v>
      </c>
      <c r="F82" s="8">
        <v>0</v>
      </c>
      <c r="G82" s="12">
        <v>2</v>
      </c>
      <c r="H82" s="8">
        <v>4.26</v>
      </c>
      <c r="I82" s="12">
        <v>0</v>
      </c>
    </row>
    <row r="84" spans="2:9" ht="15" customHeight="1" x14ac:dyDescent="0.2">
      <c r="B8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85AB6-2198-433E-A7F8-B94B24E33153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485</v>
      </c>
      <c r="D6" s="8">
        <v>13.25</v>
      </c>
      <c r="E6" s="12">
        <v>29</v>
      </c>
      <c r="F6" s="8">
        <v>2.11</v>
      </c>
      <c r="G6" s="12">
        <v>456</v>
      </c>
      <c r="H6" s="8">
        <v>20.059999999999999</v>
      </c>
      <c r="I6" s="12">
        <v>0</v>
      </c>
    </row>
    <row r="7" spans="2:9" ht="15" customHeight="1" x14ac:dyDescent="0.2">
      <c r="B7" t="s">
        <v>192</v>
      </c>
      <c r="C7" s="12">
        <v>194</v>
      </c>
      <c r="D7" s="8">
        <v>5.3</v>
      </c>
      <c r="E7" s="12">
        <v>26</v>
      </c>
      <c r="F7" s="8">
        <v>1.89</v>
      </c>
      <c r="G7" s="12">
        <v>168</v>
      </c>
      <c r="H7" s="8">
        <v>7.39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57</v>
      </c>
      <c r="D9" s="8">
        <v>1.56</v>
      </c>
      <c r="E9" s="12">
        <v>3</v>
      </c>
      <c r="F9" s="8">
        <v>0.22</v>
      </c>
      <c r="G9" s="12">
        <v>54</v>
      </c>
      <c r="H9" s="8">
        <v>2.38</v>
      </c>
      <c r="I9" s="12">
        <v>0</v>
      </c>
    </row>
    <row r="10" spans="2:9" ht="15" customHeight="1" x14ac:dyDescent="0.2">
      <c r="B10" t="s">
        <v>195</v>
      </c>
      <c r="C10" s="12">
        <v>43</v>
      </c>
      <c r="D10" s="8">
        <v>1.17</v>
      </c>
      <c r="E10" s="12">
        <v>24</v>
      </c>
      <c r="F10" s="8">
        <v>1.75</v>
      </c>
      <c r="G10" s="12">
        <v>19</v>
      </c>
      <c r="H10" s="8">
        <v>0.84</v>
      </c>
      <c r="I10" s="12">
        <v>0</v>
      </c>
    </row>
    <row r="11" spans="2:9" ht="15" customHeight="1" x14ac:dyDescent="0.2">
      <c r="B11" t="s">
        <v>196</v>
      </c>
      <c r="C11" s="12">
        <v>685</v>
      </c>
      <c r="D11" s="8">
        <v>18.71</v>
      </c>
      <c r="E11" s="12">
        <v>147</v>
      </c>
      <c r="F11" s="8">
        <v>10.71</v>
      </c>
      <c r="G11" s="12">
        <v>538</v>
      </c>
      <c r="H11" s="8">
        <v>23.67</v>
      </c>
      <c r="I11" s="12">
        <v>0</v>
      </c>
    </row>
    <row r="12" spans="2:9" ht="15" customHeight="1" x14ac:dyDescent="0.2">
      <c r="B12" t="s">
        <v>197</v>
      </c>
      <c r="C12" s="12">
        <v>29</v>
      </c>
      <c r="D12" s="8">
        <v>0.79</v>
      </c>
      <c r="E12" s="12">
        <v>3</v>
      </c>
      <c r="F12" s="8">
        <v>0.22</v>
      </c>
      <c r="G12" s="12">
        <v>26</v>
      </c>
      <c r="H12" s="8">
        <v>1.1399999999999999</v>
      </c>
      <c r="I12" s="12">
        <v>0</v>
      </c>
    </row>
    <row r="13" spans="2:9" ht="15" customHeight="1" x14ac:dyDescent="0.2">
      <c r="B13" t="s">
        <v>198</v>
      </c>
      <c r="C13" s="12">
        <v>590</v>
      </c>
      <c r="D13" s="8">
        <v>16.12</v>
      </c>
      <c r="E13" s="12">
        <v>257</v>
      </c>
      <c r="F13" s="8">
        <v>18.72</v>
      </c>
      <c r="G13" s="12">
        <v>333</v>
      </c>
      <c r="H13" s="8">
        <v>14.65</v>
      </c>
      <c r="I13" s="12">
        <v>0</v>
      </c>
    </row>
    <row r="14" spans="2:9" ht="15" customHeight="1" x14ac:dyDescent="0.2">
      <c r="B14" t="s">
        <v>199</v>
      </c>
      <c r="C14" s="12">
        <v>256</v>
      </c>
      <c r="D14" s="8">
        <v>6.99</v>
      </c>
      <c r="E14" s="12">
        <v>84</v>
      </c>
      <c r="F14" s="8">
        <v>6.12</v>
      </c>
      <c r="G14" s="12">
        <v>172</v>
      </c>
      <c r="H14" s="8">
        <v>7.57</v>
      </c>
      <c r="I14" s="12">
        <v>0</v>
      </c>
    </row>
    <row r="15" spans="2:9" ht="15" customHeight="1" x14ac:dyDescent="0.2">
      <c r="B15" t="s">
        <v>200</v>
      </c>
      <c r="C15" s="12">
        <v>425</v>
      </c>
      <c r="D15" s="8">
        <v>11.61</v>
      </c>
      <c r="E15" s="12">
        <v>300</v>
      </c>
      <c r="F15" s="8">
        <v>21.85</v>
      </c>
      <c r="G15" s="12">
        <v>125</v>
      </c>
      <c r="H15" s="8">
        <v>5.5</v>
      </c>
      <c r="I15" s="12">
        <v>0</v>
      </c>
    </row>
    <row r="16" spans="2:9" ht="15" customHeight="1" x14ac:dyDescent="0.2">
      <c r="B16" t="s">
        <v>201</v>
      </c>
      <c r="C16" s="12">
        <v>389</v>
      </c>
      <c r="D16" s="8">
        <v>10.63</v>
      </c>
      <c r="E16" s="12">
        <v>255</v>
      </c>
      <c r="F16" s="8">
        <v>18.57</v>
      </c>
      <c r="G16" s="12">
        <v>133</v>
      </c>
      <c r="H16" s="8">
        <v>5.85</v>
      </c>
      <c r="I16" s="12">
        <v>0</v>
      </c>
    </row>
    <row r="17" spans="2:9" ht="15" customHeight="1" x14ac:dyDescent="0.2">
      <c r="B17" t="s">
        <v>202</v>
      </c>
      <c r="C17" s="12">
        <v>130</v>
      </c>
      <c r="D17" s="8">
        <v>3.55</v>
      </c>
      <c r="E17" s="12">
        <v>87</v>
      </c>
      <c r="F17" s="8">
        <v>6.34</v>
      </c>
      <c r="G17" s="12">
        <v>41</v>
      </c>
      <c r="H17" s="8">
        <v>1.8</v>
      </c>
      <c r="I17" s="12">
        <v>2</v>
      </c>
    </row>
    <row r="18" spans="2:9" ht="15" customHeight="1" x14ac:dyDescent="0.2">
      <c r="B18" t="s">
        <v>203</v>
      </c>
      <c r="C18" s="12">
        <v>262</v>
      </c>
      <c r="D18" s="8">
        <v>7.16</v>
      </c>
      <c r="E18" s="12">
        <v>142</v>
      </c>
      <c r="F18" s="8">
        <v>10.34</v>
      </c>
      <c r="G18" s="12">
        <v>119</v>
      </c>
      <c r="H18" s="8">
        <v>5.24</v>
      </c>
      <c r="I18" s="12">
        <v>1</v>
      </c>
    </row>
    <row r="19" spans="2:9" ht="15" customHeight="1" x14ac:dyDescent="0.2">
      <c r="B19" t="s">
        <v>204</v>
      </c>
      <c r="C19" s="12">
        <v>116</v>
      </c>
      <c r="D19" s="8">
        <v>3.17</v>
      </c>
      <c r="E19" s="12">
        <v>16</v>
      </c>
      <c r="F19" s="8">
        <v>1.17</v>
      </c>
      <c r="G19" s="12">
        <v>89</v>
      </c>
      <c r="H19" s="8">
        <v>3.92</v>
      </c>
      <c r="I19" s="12">
        <v>10</v>
      </c>
    </row>
    <row r="20" spans="2:9" ht="15" customHeight="1" x14ac:dyDescent="0.2">
      <c r="B20" s="9" t="s">
        <v>529</v>
      </c>
      <c r="C20" s="12">
        <f>SUM(LTBL_01107[総数／事業所数])</f>
        <v>3661</v>
      </c>
      <c r="E20" s="12">
        <f>SUBTOTAL(109,LTBL_01107[個人／事業所数])</f>
        <v>1373</v>
      </c>
      <c r="G20" s="12">
        <f>SUBTOTAL(109,LTBL_01107[法人／事業所数])</f>
        <v>2273</v>
      </c>
      <c r="I20" s="12">
        <f>SUBTOTAL(109,LTBL_01107[法人以外の団体／事業所数])</f>
        <v>13</v>
      </c>
    </row>
    <row r="21" spans="2:9" ht="15" customHeight="1" x14ac:dyDescent="0.2">
      <c r="E21" s="11">
        <f>LTBL_01107[[#Totals],[個人／事業所数]]/LTBL_01107[[#Totals],[総数／事業所数]]</f>
        <v>0.3750341436765911</v>
      </c>
      <c r="G21" s="11">
        <f>LTBL_01107[[#Totals],[法人／事業所数]]/LTBL_01107[[#Totals],[総数／事業所数]]</f>
        <v>0.62086861513247749</v>
      </c>
      <c r="I21" s="11">
        <f>LTBL_01107[[#Totals],[法人以外の団体／事業所数]]/LTBL_01107[[#Totals],[総数／事業所数]]</f>
        <v>3.5509423654739142E-3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510</v>
      </c>
      <c r="D24" s="8">
        <v>13.93</v>
      </c>
      <c r="E24" s="12">
        <v>251</v>
      </c>
      <c r="F24" s="8">
        <v>18.28</v>
      </c>
      <c r="G24" s="12">
        <v>259</v>
      </c>
      <c r="H24" s="8">
        <v>11.39</v>
      </c>
      <c r="I24" s="12">
        <v>0</v>
      </c>
    </row>
    <row r="25" spans="2:9" ht="15" customHeight="1" x14ac:dyDescent="0.2">
      <c r="B25" t="s">
        <v>227</v>
      </c>
      <c r="C25" s="12">
        <v>380</v>
      </c>
      <c r="D25" s="8">
        <v>10.38</v>
      </c>
      <c r="E25" s="12">
        <v>295</v>
      </c>
      <c r="F25" s="8">
        <v>21.49</v>
      </c>
      <c r="G25" s="12">
        <v>85</v>
      </c>
      <c r="H25" s="8">
        <v>3.74</v>
      </c>
      <c r="I25" s="12">
        <v>0</v>
      </c>
    </row>
    <row r="26" spans="2:9" ht="15" customHeight="1" x14ac:dyDescent="0.2">
      <c r="B26" t="s">
        <v>228</v>
      </c>
      <c r="C26" s="12">
        <v>323</v>
      </c>
      <c r="D26" s="8">
        <v>8.82</v>
      </c>
      <c r="E26" s="12">
        <v>232</v>
      </c>
      <c r="F26" s="8">
        <v>16.899999999999999</v>
      </c>
      <c r="G26" s="12">
        <v>91</v>
      </c>
      <c r="H26" s="8">
        <v>4</v>
      </c>
      <c r="I26" s="12">
        <v>0</v>
      </c>
    </row>
    <row r="27" spans="2:9" ht="15" customHeight="1" x14ac:dyDescent="0.2">
      <c r="B27" t="s">
        <v>214</v>
      </c>
      <c r="C27" s="12">
        <v>186</v>
      </c>
      <c r="D27" s="8">
        <v>5.08</v>
      </c>
      <c r="E27" s="12">
        <v>18</v>
      </c>
      <c r="F27" s="8">
        <v>1.31</v>
      </c>
      <c r="G27" s="12">
        <v>168</v>
      </c>
      <c r="H27" s="8">
        <v>7.39</v>
      </c>
      <c r="I27" s="12">
        <v>0</v>
      </c>
    </row>
    <row r="28" spans="2:9" ht="15" customHeight="1" x14ac:dyDescent="0.2">
      <c r="B28" t="s">
        <v>231</v>
      </c>
      <c r="C28" s="12">
        <v>179</v>
      </c>
      <c r="D28" s="8">
        <v>4.8899999999999997</v>
      </c>
      <c r="E28" s="12">
        <v>140</v>
      </c>
      <c r="F28" s="8">
        <v>10.199999999999999</v>
      </c>
      <c r="G28" s="12">
        <v>39</v>
      </c>
      <c r="H28" s="8">
        <v>1.72</v>
      </c>
      <c r="I28" s="12">
        <v>0</v>
      </c>
    </row>
    <row r="29" spans="2:9" ht="15" customHeight="1" x14ac:dyDescent="0.2">
      <c r="B29" t="s">
        <v>213</v>
      </c>
      <c r="C29" s="12">
        <v>159</v>
      </c>
      <c r="D29" s="8">
        <v>4.34</v>
      </c>
      <c r="E29" s="12">
        <v>5</v>
      </c>
      <c r="F29" s="8">
        <v>0.36</v>
      </c>
      <c r="G29" s="12">
        <v>154</v>
      </c>
      <c r="H29" s="8">
        <v>6.78</v>
      </c>
      <c r="I29" s="12">
        <v>0</v>
      </c>
    </row>
    <row r="30" spans="2:9" ht="15" customHeight="1" x14ac:dyDescent="0.2">
      <c r="B30" t="s">
        <v>223</v>
      </c>
      <c r="C30" s="12">
        <v>156</v>
      </c>
      <c r="D30" s="8">
        <v>4.26</v>
      </c>
      <c r="E30" s="12">
        <v>49</v>
      </c>
      <c r="F30" s="8">
        <v>3.57</v>
      </c>
      <c r="G30" s="12">
        <v>107</v>
      </c>
      <c r="H30" s="8">
        <v>4.71</v>
      </c>
      <c r="I30" s="12">
        <v>0</v>
      </c>
    </row>
    <row r="31" spans="2:9" ht="15" customHeight="1" x14ac:dyDescent="0.2">
      <c r="B31" t="s">
        <v>215</v>
      </c>
      <c r="C31" s="12">
        <v>140</v>
      </c>
      <c r="D31" s="8">
        <v>3.82</v>
      </c>
      <c r="E31" s="12">
        <v>6</v>
      </c>
      <c r="F31" s="8">
        <v>0.44</v>
      </c>
      <c r="G31" s="12">
        <v>134</v>
      </c>
      <c r="H31" s="8">
        <v>5.9</v>
      </c>
      <c r="I31" s="12">
        <v>0</v>
      </c>
    </row>
    <row r="32" spans="2:9" ht="15" customHeight="1" x14ac:dyDescent="0.2">
      <c r="B32" t="s">
        <v>230</v>
      </c>
      <c r="C32" s="12">
        <v>130</v>
      </c>
      <c r="D32" s="8">
        <v>3.55</v>
      </c>
      <c r="E32" s="12">
        <v>87</v>
      </c>
      <c r="F32" s="8">
        <v>6.34</v>
      </c>
      <c r="G32" s="12">
        <v>41</v>
      </c>
      <c r="H32" s="8">
        <v>1.8</v>
      </c>
      <c r="I32" s="12">
        <v>2</v>
      </c>
    </row>
    <row r="33" spans="2:9" ht="15" customHeight="1" x14ac:dyDescent="0.2">
      <c r="B33" t="s">
        <v>225</v>
      </c>
      <c r="C33" s="12">
        <v>124</v>
      </c>
      <c r="D33" s="8">
        <v>3.39</v>
      </c>
      <c r="E33" s="12">
        <v>63</v>
      </c>
      <c r="F33" s="8">
        <v>4.59</v>
      </c>
      <c r="G33" s="12">
        <v>61</v>
      </c>
      <c r="H33" s="8">
        <v>2.68</v>
      </c>
      <c r="I33" s="12">
        <v>0</v>
      </c>
    </row>
    <row r="34" spans="2:9" ht="15" customHeight="1" x14ac:dyDescent="0.2">
      <c r="B34" t="s">
        <v>226</v>
      </c>
      <c r="C34" s="12">
        <v>123</v>
      </c>
      <c r="D34" s="8">
        <v>3.36</v>
      </c>
      <c r="E34" s="12">
        <v>21</v>
      </c>
      <c r="F34" s="8">
        <v>1.53</v>
      </c>
      <c r="G34" s="12">
        <v>102</v>
      </c>
      <c r="H34" s="8">
        <v>4.49</v>
      </c>
      <c r="I34" s="12">
        <v>0</v>
      </c>
    </row>
    <row r="35" spans="2:9" ht="15" customHeight="1" x14ac:dyDescent="0.2">
      <c r="B35" t="s">
        <v>221</v>
      </c>
      <c r="C35" s="12">
        <v>98</v>
      </c>
      <c r="D35" s="8">
        <v>2.68</v>
      </c>
      <c r="E35" s="12">
        <v>52</v>
      </c>
      <c r="F35" s="8">
        <v>3.79</v>
      </c>
      <c r="G35" s="12">
        <v>46</v>
      </c>
      <c r="H35" s="8">
        <v>2.02</v>
      </c>
      <c r="I35" s="12">
        <v>0</v>
      </c>
    </row>
    <row r="36" spans="2:9" ht="15" customHeight="1" x14ac:dyDescent="0.2">
      <c r="B36" t="s">
        <v>216</v>
      </c>
      <c r="C36" s="12">
        <v>89</v>
      </c>
      <c r="D36" s="8">
        <v>2.4300000000000002</v>
      </c>
      <c r="E36" s="12">
        <v>2</v>
      </c>
      <c r="F36" s="8">
        <v>0.15</v>
      </c>
      <c r="G36" s="12">
        <v>87</v>
      </c>
      <c r="H36" s="8">
        <v>3.83</v>
      </c>
      <c r="I36" s="12">
        <v>0</v>
      </c>
    </row>
    <row r="37" spans="2:9" ht="15" customHeight="1" x14ac:dyDescent="0.2">
      <c r="B37" t="s">
        <v>232</v>
      </c>
      <c r="C37" s="12">
        <v>83</v>
      </c>
      <c r="D37" s="8">
        <v>2.27</v>
      </c>
      <c r="E37" s="12">
        <v>2</v>
      </c>
      <c r="F37" s="8">
        <v>0.15</v>
      </c>
      <c r="G37" s="12">
        <v>80</v>
      </c>
      <c r="H37" s="8">
        <v>3.52</v>
      </c>
      <c r="I37" s="12">
        <v>1</v>
      </c>
    </row>
    <row r="38" spans="2:9" ht="15" customHeight="1" x14ac:dyDescent="0.2">
      <c r="B38" t="s">
        <v>218</v>
      </c>
      <c r="C38" s="12">
        <v>64</v>
      </c>
      <c r="D38" s="8">
        <v>1.75</v>
      </c>
      <c r="E38" s="12">
        <v>1</v>
      </c>
      <c r="F38" s="8">
        <v>7.0000000000000007E-2</v>
      </c>
      <c r="G38" s="12">
        <v>63</v>
      </c>
      <c r="H38" s="8">
        <v>2.77</v>
      </c>
      <c r="I38" s="12">
        <v>0</v>
      </c>
    </row>
    <row r="39" spans="2:9" ht="15" customHeight="1" x14ac:dyDescent="0.2">
      <c r="B39" t="s">
        <v>222</v>
      </c>
      <c r="C39" s="12">
        <v>63</v>
      </c>
      <c r="D39" s="8">
        <v>1.72</v>
      </c>
      <c r="E39" s="12">
        <v>18</v>
      </c>
      <c r="F39" s="8">
        <v>1.31</v>
      </c>
      <c r="G39" s="12">
        <v>45</v>
      </c>
      <c r="H39" s="8">
        <v>1.98</v>
      </c>
      <c r="I39" s="12">
        <v>0</v>
      </c>
    </row>
    <row r="40" spans="2:9" ht="15" customHeight="1" x14ac:dyDescent="0.2">
      <c r="B40" t="s">
        <v>219</v>
      </c>
      <c r="C40" s="12">
        <v>62</v>
      </c>
      <c r="D40" s="8">
        <v>1.69</v>
      </c>
      <c r="E40" s="12">
        <v>4</v>
      </c>
      <c r="F40" s="8">
        <v>0.28999999999999998</v>
      </c>
      <c r="G40" s="12">
        <v>58</v>
      </c>
      <c r="H40" s="8">
        <v>2.5499999999999998</v>
      </c>
      <c r="I40" s="12">
        <v>0</v>
      </c>
    </row>
    <row r="41" spans="2:9" ht="15" customHeight="1" x14ac:dyDescent="0.2">
      <c r="B41" t="s">
        <v>233</v>
      </c>
      <c r="C41" s="12">
        <v>61</v>
      </c>
      <c r="D41" s="8">
        <v>1.67</v>
      </c>
      <c r="E41" s="12">
        <v>5</v>
      </c>
      <c r="F41" s="8">
        <v>0.36</v>
      </c>
      <c r="G41" s="12">
        <v>56</v>
      </c>
      <c r="H41" s="8">
        <v>2.46</v>
      </c>
      <c r="I41" s="12">
        <v>0</v>
      </c>
    </row>
    <row r="42" spans="2:9" ht="15" customHeight="1" x14ac:dyDescent="0.2">
      <c r="B42" t="s">
        <v>220</v>
      </c>
      <c r="C42" s="12">
        <v>60</v>
      </c>
      <c r="D42" s="8">
        <v>1.64</v>
      </c>
      <c r="E42" s="12">
        <v>15</v>
      </c>
      <c r="F42" s="8">
        <v>1.0900000000000001</v>
      </c>
      <c r="G42" s="12">
        <v>45</v>
      </c>
      <c r="H42" s="8">
        <v>1.98</v>
      </c>
      <c r="I42" s="12">
        <v>0</v>
      </c>
    </row>
    <row r="43" spans="2:9" ht="15" customHeight="1" x14ac:dyDescent="0.2">
      <c r="B43" t="s">
        <v>229</v>
      </c>
      <c r="C43" s="12">
        <v>45</v>
      </c>
      <c r="D43" s="8">
        <v>1.23</v>
      </c>
      <c r="E43" s="12">
        <v>16</v>
      </c>
      <c r="F43" s="8">
        <v>1.17</v>
      </c>
      <c r="G43" s="12">
        <v>28</v>
      </c>
      <c r="H43" s="8">
        <v>1.23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370</v>
      </c>
      <c r="D47" s="8">
        <v>10.11</v>
      </c>
      <c r="E47" s="12">
        <v>226</v>
      </c>
      <c r="F47" s="8">
        <v>16.46</v>
      </c>
      <c r="G47" s="12">
        <v>144</v>
      </c>
      <c r="H47" s="8">
        <v>6.34</v>
      </c>
      <c r="I47" s="12">
        <v>0</v>
      </c>
    </row>
    <row r="48" spans="2:9" ht="15" customHeight="1" x14ac:dyDescent="0.2">
      <c r="B48" t="s">
        <v>304</v>
      </c>
      <c r="C48" s="12">
        <v>149</v>
      </c>
      <c r="D48" s="8">
        <v>4.07</v>
      </c>
      <c r="E48" s="12">
        <v>121</v>
      </c>
      <c r="F48" s="8">
        <v>8.81</v>
      </c>
      <c r="G48" s="12">
        <v>28</v>
      </c>
      <c r="H48" s="8">
        <v>1.23</v>
      </c>
      <c r="I48" s="12">
        <v>0</v>
      </c>
    </row>
    <row r="49" spans="2:9" ht="15" customHeight="1" x14ac:dyDescent="0.2">
      <c r="B49" t="s">
        <v>306</v>
      </c>
      <c r="C49" s="12">
        <v>117</v>
      </c>
      <c r="D49" s="8">
        <v>3.2</v>
      </c>
      <c r="E49" s="12">
        <v>93</v>
      </c>
      <c r="F49" s="8">
        <v>6.77</v>
      </c>
      <c r="G49" s="12">
        <v>24</v>
      </c>
      <c r="H49" s="8">
        <v>1.06</v>
      </c>
      <c r="I49" s="12">
        <v>0</v>
      </c>
    </row>
    <row r="50" spans="2:9" ht="15" customHeight="1" x14ac:dyDescent="0.2">
      <c r="B50" t="s">
        <v>301</v>
      </c>
      <c r="C50" s="12">
        <v>102</v>
      </c>
      <c r="D50" s="8">
        <v>2.79</v>
      </c>
      <c r="E50" s="12">
        <v>93</v>
      </c>
      <c r="F50" s="8">
        <v>6.77</v>
      </c>
      <c r="G50" s="12">
        <v>9</v>
      </c>
      <c r="H50" s="8">
        <v>0.4</v>
      </c>
      <c r="I50" s="12">
        <v>0</v>
      </c>
    </row>
    <row r="51" spans="2:9" ht="15" customHeight="1" x14ac:dyDescent="0.2">
      <c r="B51" t="s">
        <v>303</v>
      </c>
      <c r="C51" s="12">
        <v>100</v>
      </c>
      <c r="D51" s="8">
        <v>2.73</v>
      </c>
      <c r="E51" s="12">
        <v>87</v>
      </c>
      <c r="F51" s="8">
        <v>6.34</v>
      </c>
      <c r="G51" s="12">
        <v>13</v>
      </c>
      <c r="H51" s="8">
        <v>0.56999999999999995</v>
      </c>
      <c r="I51" s="12">
        <v>0</v>
      </c>
    </row>
    <row r="52" spans="2:9" ht="15" customHeight="1" x14ac:dyDescent="0.2">
      <c r="B52" t="s">
        <v>299</v>
      </c>
      <c r="C52" s="12">
        <v>90</v>
      </c>
      <c r="D52" s="8">
        <v>2.46</v>
      </c>
      <c r="E52" s="12">
        <v>62</v>
      </c>
      <c r="F52" s="8">
        <v>4.5199999999999996</v>
      </c>
      <c r="G52" s="12">
        <v>28</v>
      </c>
      <c r="H52" s="8">
        <v>1.23</v>
      </c>
      <c r="I52" s="12">
        <v>0</v>
      </c>
    </row>
    <row r="53" spans="2:9" ht="15" customHeight="1" x14ac:dyDescent="0.2">
      <c r="B53" t="s">
        <v>305</v>
      </c>
      <c r="C53" s="12">
        <v>90</v>
      </c>
      <c r="D53" s="8">
        <v>2.46</v>
      </c>
      <c r="E53" s="12">
        <v>65</v>
      </c>
      <c r="F53" s="8">
        <v>4.7300000000000004</v>
      </c>
      <c r="G53" s="12">
        <v>24</v>
      </c>
      <c r="H53" s="8">
        <v>1.06</v>
      </c>
      <c r="I53" s="12">
        <v>1</v>
      </c>
    </row>
    <row r="54" spans="2:9" ht="15" customHeight="1" x14ac:dyDescent="0.2">
      <c r="B54" t="s">
        <v>296</v>
      </c>
      <c r="C54" s="12">
        <v>88</v>
      </c>
      <c r="D54" s="8">
        <v>2.4</v>
      </c>
      <c r="E54" s="12">
        <v>19</v>
      </c>
      <c r="F54" s="8">
        <v>1.38</v>
      </c>
      <c r="G54" s="12">
        <v>69</v>
      </c>
      <c r="H54" s="8">
        <v>3.04</v>
      </c>
      <c r="I54" s="12">
        <v>0</v>
      </c>
    </row>
    <row r="55" spans="2:9" ht="15" customHeight="1" x14ac:dyDescent="0.2">
      <c r="B55" t="s">
        <v>298</v>
      </c>
      <c r="C55" s="12">
        <v>88</v>
      </c>
      <c r="D55" s="8">
        <v>2.4</v>
      </c>
      <c r="E55" s="12">
        <v>7</v>
      </c>
      <c r="F55" s="8">
        <v>0.51</v>
      </c>
      <c r="G55" s="12">
        <v>81</v>
      </c>
      <c r="H55" s="8">
        <v>3.56</v>
      </c>
      <c r="I55" s="12">
        <v>0</v>
      </c>
    </row>
    <row r="56" spans="2:9" ht="15" customHeight="1" x14ac:dyDescent="0.2">
      <c r="B56" t="s">
        <v>300</v>
      </c>
      <c r="C56" s="12">
        <v>78</v>
      </c>
      <c r="D56" s="8">
        <v>2.13</v>
      </c>
      <c r="E56" s="12">
        <v>69</v>
      </c>
      <c r="F56" s="8">
        <v>5.03</v>
      </c>
      <c r="G56" s="12">
        <v>9</v>
      </c>
      <c r="H56" s="8">
        <v>0.4</v>
      </c>
      <c r="I56" s="12">
        <v>0</v>
      </c>
    </row>
    <row r="57" spans="2:9" ht="15" customHeight="1" x14ac:dyDescent="0.2">
      <c r="B57" t="s">
        <v>291</v>
      </c>
      <c r="C57" s="12">
        <v>58</v>
      </c>
      <c r="D57" s="8">
        <v>1.58</v>
      </c>
      <c r="E57" s="12">
        <v>4</v>
      </c>
      <c r="F57" s="8">
        <v>0.28999999999999998</v>
      </c>
      <c r="G57" s="12">
        <v>54</v>
      </c>
      <c r="H57" s="8">
        <v>2.38</v>
      </c>
      <c r="I57" s="12">
        <v>0</v>
      </c>
    </row>
    <row r="58" spans="2:9" ht="15" customHeight="1" x14ac:dyDescent="0.2">
      <c r="B58" t="s">
        <v>308</v>
      </c>
      <c r="C58" s="12">
        <v>53</v>
      </c>
      <c r="D58" s="8">
        <v>1.45</v>
      </c>
      <c r="E58" s="12">
        <v>7</v>
      </c>
      <c r="F58" s="8">
        <v>0.51</v>
      </c>
      <c r="G58" s="12">
        <v>46</v>
      </c>
      <c r="H58" s="8">
        <v>2.02</v>
      </c>
      <c r="I58" s="12">
        <v>0</v>
      </c>
    </row>
    <row r="59" spans="2:9" ht="15" customHeight="1" x14ac:dyDescent="0.2">
      <c r="B59" t="s">
        <v>324</v>
      </c>
      <c r="C59" s="12">
        <v>52</v>
      </c>
      <c r="D59" s="8">
        <v>1.42</v>
      </c>
      <c r="E59" s="12">
        <v>2</v>
      </c>
      <c r="F59" s="8">
        <v>0.15</v>
      </c>
      <c r="G59" s="12">
        <v>50</v>
      </c>
      <c r="H59" s="8">
        <v>2.2000000000000002</v>
      </c>
      <c r="I59" s="12">
        <v>0</v>
      </c>
    </row>
    <row r="60" spans="2:9" ht="15" customHeight="1" x14ac:dyDescent="0.2">
      <c r="B60" t="s">
        <v>295</v>
      </c>
      <c r="C60" s="12">
        <v>52</v>
      </c>
      <c r="D60" s="8">
        <v>1.42</v>
      </c>
      <c r="E60" s="12">
        <v>21</v>
      </c>
      <c r="F60" s="8">
        <v>1.53</v>
      </c>
      <c r="G60" s="12">
        <v>31</v>
      </c>
      <c r="H60" s="8">
        <v>1.36</v>
      </c>
      <c r="I60" s="12">
        <v>0</v>
      </c>
    </row>
    <row r="61" spans="2:9" ht="15" customHeight="1" x14ac:dyDescent="0.2">
      <c r="B61" t="s">
        <v>323</v>
      </c>
      <c r="C61" s="12">
        <v>51</v>
      </c>
      <c r="D61" s="8">
        <v>1.39</v>
      </c>
      <c r="E61" s="12">
        <v>10</v>
      </c>
      <c r="F61" s="8">
        <v>0.73</v>
      </c>
      <c r="G61" s="12">
        <v>41</v>
      </c>
      <c r="H61" s="8">
        <v>1.8</v>
      </c>
      <c r="I61" s="12">
        <v>0</v>
      </c>
    </row>
    <row r="62" spans="2:9" ht="15" customHeight="1" x14ac:dyDescent="0.2">
      <c r="B62" t="s">
        <v>310</v>
      </c>
      <c r="C62" s="12">
        <v>49</v>
      </c>
      <c r="D62" s="8">
        <v>1.34</v>
      </c>
      <c r="E62" s="12">
        <v>5</v>
      </c>
      <c r="F62" s="8">
        <v>0.36</v>
      </c>
      <c r="G62" s="12">
        <v>44</v>
      </c>
      <c r="H62" s="8">
        <v>1.94</v>
      </c>
      <c r="I62" s="12">
        <v>0</v>
      </c>
    </row>
    <row r="63" spans="2:9" ht="15" customHeight="1" x14ac:dyDescent="0.2">
      <c r="B63" t="s">
        <v>312</v>
      </c>
      <c r="C63" s="12">
        <v>48</v>
      </c>
      <c r="D63" s="8">
        <v>1.31</v>
      </c>
      <c r="E63" s="12">
        <v>40</v>
      </c>
      <c r="F63" s="8">
        <v>2.91</v>
      </c>
      <c r="G63" s="12">
        <v>8</v>
      </c>
      <c r="H63" s="8">
        <v>0.35</v>
      </c>
      <c r="I63" s="12">
        <v>0</v>
      </c>
    </row>
    <row r="64" spans="2:9" ht="15" customHeight="1" x14ac:dyDescent="0.2">
      <c r="B64" t="s">
        <v>319</v>
      </c>
      <c r="C64" s="12">
        <v>47</v>
      </c>
      <c r="D64" s="8">
        <v>1.28</v>
      </c>
      <c r="E64" s="12">
        <v>1</v>
      </c>
      <c r="F64" s="8">
        <v>7.0000000000000007E-2</v>
      </c>
      <c r="G64" s="12">
        <v>46</v>
      </c>
      <c r="H64" s="8">
        <v>2.02</v>
      </c>
      <c r="I64" s="12">
        <v>0</v>
      </c>
    </row>
    <row r="65" spans="2:9" ht="15" customHeight="1" x14ac:dyDescent="0.2">
      <c r="B65" t="s">
        <v>290</v>
      </c>
      <c r="C65" s="12">
        <v>45</v>
      </c>
      <c r="D65" s="8">
        <v>1.23</v>
      </c>
      <c r="E65" s="12">
        <v>1</v>
      </c>
      <c r="F65" s="8">
        <v>7.0000000000000007E-2</v>
      </c>
      <c r="G65" s="12">
        <v>44</v>
      </c>
      <c r="H65" s="8">
        <v>1.94</v>
      </c>
      <c r="I65" s="12">
        <v>0</v>
      </c>
    </row>
    <row r="66" spans="2:9" ht="15" customHeight="1" x14ac:dyDescent="0.2">
      <c r="B66" t="s">
        <v>302</v>
      </c>
      <c r="C66" s="12">
        <v>45</v>
      </c>
      <c r="D66" s="8">
        <v>1.23</v>
      </c>
      <c r="E66" s="12">
        <v>34</v>
      </c>
      <c r="F66" s="8">
        <v>2.48</v>
      </c>
      <c r="G66" s="12">
        <v>11</v>
      </c>
      <c r="H66" s="8">
        <v>0.48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92758-A9DF-4709-90A9-20B18BF73847}">
  <sheetPr>
    <pageSetUpPr fitToPage="1"/>
  </sheetPr>
  <dimension ref="B2:I10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</v>
      </c>
      <c r="D6" s="8">
        <v>8.06</v>
      </c>
      <c r="E6" s="12">
        <v>1</v>
      </c>
      <c r="F6" s="8">
        <v>2.86</v>
      </c>
      <c r="G6" s="12">
        <v>4</v>
      </c>
      <c r="H6" s="8">
        <v>16.670000000000002</v>
      </c>
      <c r="I6" s="12">
        <v>0</v>
      </c>
    </row>
    <row r="7" spans="2:9" ht="15" customHeight="1" x14ac:dyDescent="0.2">
      <c r="B7" t="s">
        <v>192</v>
      </c>
      <c r="C7" s="12">
        <v>7</v>
      </c>
      <c r="D7" s="8">
        <v>11.29</v>
      </c>
      <c r="E7" s="12">
        <v>3</v>
      </c>
      <c r="F7" s="8">
        <v>8.57</v>
      </c>
      <c r="G7" s="12">
        <v>3</v>
      </c>
      <c r="H7" s="8">
        <v>12.5</v>
      </c>
      <c r="I7" s="12">
        <v>1</v>
      </c>
    </row>
    <row r="8" spans="2:9" ht="15" customHeight="1" x14ac:dyDescent="0.2">
      <c r="B8" t="s">
        <v>193</v>
      </c>
      <c r="C8" s="12">
        <v>2</v>
      </c>
      <c r="D8" s="8">
        <v>3.23</v>
      </c>
      <c r="E8" s="12">
        <v>0</v>
      </c>
      <c r="F8" s="8">
        <v>0</v>
      </c>
      <c r="G8" s="12">
        <v>1</v>
      </c>
      <c r="H8" s="8">
        <v>4.17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6.45</v>
      </c>
      <c r="E10" s="12">
        <v>1</v>
      </c>
      <c r="F10" s="8">
        <v>2.86</v>
      </c>
      <c r="G10" s="12">
        <v>3</v>
      </c>
      <c r="H10" s="8">
        <v>12.5</v>
      </c>
      <c r="I10" s="12">
        <v>0</v>
      </c>
    </row>
    <row r="11" spans="2:9" ht="15" customHeight="1" x14ac:dyDescent="0.2">
      <c r="B11" t="s">
        <v>196</v>
      </c>
      <c r="C11" s="12">
        <v>15</v>
      </c>
      <c r="D11" s="8">
        <v>24.19</v>
      </c>
      <c r="E11" s="12">
        <v>8</v>
      </c>
      <c r="F11" s="8">
        <v>22.86</v>
      </c>
      <c r="G11" s="12">
        <v>7</v>
      </c>
      <c r="H11" s="8">
        <v>29.17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</v>
      </c>
      <c r="D13" s="8">
        <v>1.61</v>
      </c>
      <c r="E13" s="12">
        <v>0</v>
      </c>
      <c r="F13" s="8">
        <v>0</v>
      </c>
      <c r="G13" s="12">
        <v>1</v>
      </c>
      <c r="H13" s="8">
        <v>4.17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12</v>
      </c>
      <c r="D15" s="8">
        <v>19.350000000000001</v>
      </c>
      <c r="E15" s="12">
        <v>12</v>
      </c>
      <c r="F15" s="8">
        <v>34.29</v>
      </c>
      <c r="G15" s="12">
        <v>0</v>
      </c>
      <c r="H15" s="8">
        <v>0</v>
      </c>
      <c r="I15" s="12">
        <v>0</v>
      </c>
    </row>
    <row r="16" spans="2:9" ht="15" customHeight="1" x14ac:dyDescent="0.2">
      <c r="B16" t="s">
        <v>201</v>
      </c>
      <c r="C16" s="12">
        <v>5</v>
      </c>
      <c r="D16" s="8">
        <v>8.06</v>
      </c>
      <c r="E16" s="12">
        <v>4</v>
      </c>
      <c r="F16" s="8">
        <v>11.43</v>
      </c>
      <c r="G16" s="12">
        <v>1</v>
      </c>
      <c r="H16" s="8">
        <v>4.17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3.23</v>
      </c>
      <c r="E17" s="12">
        <v>1</v>
      </c>
      <c r="F17" s="8">
        <v>2.86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8.06</v>
      </c>
      <c r="E18" s="12">
        <v>2</v>
      </c>
      <c r="F18" s="8">
        <v>5.71</v>
      </c>
      <c r="G18" s="12">
        <v>3</v>
      </c>
      <c r="H18" s="8">
        <v>12.5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6.45</v>
      </c>
      <c r="E19" s="12">
        <v>3</v>
      </c>
      <c r="F19" s="8">
        <v>8.57</v>
      </c>
      <c r="G19" s="12">
        <v>1</v>
      </c>
      <c r="H19" s="8">
        <v>4.17</v>
      </c>
      <c r="I19" s="12">
        <v>0</v>
      </c>
    </row>
    <row r="20" spans="2:9" ht="15" customHeight="1" x14ac:dyDescent="0.2">
      <c r="B20" s="9" t="s">
        <v>529</v>
      </c>
      <c r="C20" s="12">
        <f>SUM(LTBL_01513[総数／事業所数])</f>
        <v>62</v>
      </c>
      <c r="E20" s="12">
        <f>SUBTOTAL(109,LTBL_01513[個人／事業所数])</f>
        <v>35</v>
      </c>
      <c r="G20" s="12">
        <f>SUBTOTAL(109,LTBL_01513[法人／事業所数])</f>
        <v>24</v>
      </c>
      <c r="I20" s="12">
        <f>SUBTOTAL(109,LTBL_01513[法人以外の団体／事業所数])</f>
        <v>1</v>
      </c>
    </row>
    <row r="21" spans="2:9" ht="15" customHeight="1" x14ac:dyDescent="0.2">
      <c r="E21" s="11">
        <f>LTBL_01513[[#Totals],[個人／事業所数]]/LTBL_01513[[#Totals],[総数／事業所数]]</f>
        <v>0.56451612903225812</v>
      </c>
      <c r="G21" s="11">
        <f>LTBL_01513[[#Totals],[法人／事業所数]]/LTBL_01513[[#Totals],[総数／事業所数]]</f>
        <v>0.38709677419354838</v>
      </c>
      <c r="I21" s="11">
        <f>LTBL_01513[[#Totals],[法人以外の団体／事業所数]]/LTBL_01513[[#Totals],[総数／事業所数]]</f>
        <v>1.6129032258064516E-2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11</v>
      </c>
      <c r="D24" s="8">
        <v>17.739999999999998</v>
      </c>
      <c r="E24" s="12">
        <v>11</v>
      </c>
      <c r="F24" s="8">
        <v>31.43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223</v>
      </c>
      <c r="C25" s="12">
        <v>6</v>
      </c>
      <c r="D25" s="8">
        <v>9.68</v>
      </c>
      <c r="E25" s="12">
        <v>3</v>
      </c>
      <c r="F25" s="8">
        <v>8.57</v>
      </c>
      <c r="G25" s="12">
        <v>3</v>
      </c>
      <c r="H25" s="8">
        <v>12.5</v>
      </c>
      <c r="I25" s="12">
        <v>0</v>
      </c>
    </row>
    <row r="26" spans="2:9" ht="15" customHeight="1" x14ac:dyDescent="0.2">
      <c r="B26" t="s">
        <v>228</v>
      </c>
      <c r="C26" s="12">
        <v>5</v>
      </c>
      <c r="D26" s="8">
        <v>8.06</v>
      </c>
      <c r="E26" s="12">
        <v>4</v>
      </c>
      <c r="F26" s="8">
        <v>11.43</v>
      </c>
      <c r="G26" s="12">
        <v>1</v>
      </c>
      <c r="H26" s="8">
        <v>4.17</v>
      </c>
      <c r="I26" s="12">
        <v>0</v>
      </c>
    </row>
    <row r="27" spans="2:9" ht="15" customHeight="1" x14ac:dyDescent="0.2">
      <c r="B27" t="s">
        <v>221</v>
      </c>
      <c r="C27" s="12">
        <v>4</v>
      </c>
      <c r="D27" s="8">
        <v>6.45</v>
      </c>
      <c r="E27" s="12">
        <v>3</v>
      </c>
      <c r="F27" s="8">
        <v>8.57</v>
      </c>
      <c r="G27" s="12">
        <v>1</v>
      </c>
      <c r="H27" s="8">
        <v>4.17</v>
      </c>
      <c r="I27" s="12">
        <v>0</v>
      </c>
    </row>
    <row r="28" spans="2:9" ht="15" customHeight="1" x14ac:dyDescent="0.2">
      <c r="B28" t="s">
        <v>213</v>
      </c>
      <c r="C28" s="12">
        <v>3</v>
      </c>
      <c r="D28" s="8">
        <v>4.84</v>
      </c>
      <c r="E28" s="12">
        <v>0</v>
      </c>
      <c r="F28" s="8">
        <v>0</v>
      </c>
      <c r="G28" s="12">
        <v>3</v>
      </c>
      <c r="H28" s="8">
        <v>12.5</v>
      </c>
      <c r="I28" s="12">
        <v>0</v>
      </c>
    </row>
    <row r="29" spans="2:9" ht="15" customHeight="1" x14ac:dyDescent="0.2">
      <c r="B29" t="s">
        <v>238</v>
      </c>
      <c r="C29" s="12">
        <v>3</v>
      </c>
      <c r="D29" s="8">
        <v>4.84</v>
      </c>
      <c r="E29" s="12">
        <v>1</v>
      </c>
      <c r="F29" s="8">
        <v>2.86</v>
      </c>
      <c r="G29" s="12">
        <v>2</v>
      </c>
      <c r="H29" s="8">
        <v>8.33</v>
      </c>
      <c r="I29" s="12">
        <v>0</v>
      </c>
    </row>
    <row r="30" spans="2:9" ht="15" customHeight="1" x14ac:dyDescent="0.2">
      <c r="B30" t="s">
        <v>232</v>
      </c>
      <c r="C30" s="12">
        <v>3</v>
      </c>
      <c r="D30" s="8">
        <v>4.84</v>
      </c>
      <c r="E30" s="12">
        <v>0</v>
      </c>
      <c r="F30" s="8">
        <v>0</v>
      </c>
      <c r="G30" s="12">
        <v>3</v>
      </c>
      <c r="H30" s="8">
        <v>12.5</v>
      </c>
      <c r="I30" s="12">
        <v>0</v>
      </c>
    </row>
    <row r="31" spans="2:9" ht="15" customHeight="1" x14ac:dyDescent="0.2">
      <c r="B31" t="s">
        <v>249</v>
      </c>
      <c r="C31" s="12">
        <v>3</v>
      </c>
      <c r="D31" s="8">
        <v>4.84</v>
      </c>
      <c r="E31" s="12">
        <v>2</v>
      </c>
      <c r="F31" s="8">
        <v>5.71</v>
      </c>
      <c r="G31" s="12">
        <v>1</v>
      </c>
      <c r="H31" s="8">
        <v>4.17</v>
      </c>
      <c r="I31" s="12">
        <v>0</v>
      </c>
    </row>
    <row r="32" spans="2:9" ht="15" customHeight="1" x14ac:dyDescent="0.2">
      <c r="B32" t="s">
        <v>241</v>
      </c>
      <c r="C32" s="12">
        <v>2</v>
      </c>
      <c r="D32" s="8">
        <v>3.23</v>
      </c>
      <c r="E32" s="12">
        <v>2</v>
      </c>
      <c r="F32" s="8">
        <v>5.71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262</v>
      </c>
      <c r="C33" s="12">
        <v>2</v>
      </c>
      <c r="D33" s="8">
        <v>3.23</v>
      </c>
      <c r="E33" s="12">
        <v>0</v>
      </c>
      <c r="F33" s="8">
        <v>0</v>
      </c>
      <c r="G33" s="12">
        <v>1</v>
      </c>
      <c r="H33" s="8">
        <v>4.17</v>
      </c>
      <c r="I33" s="12">
        <v>1</v>
      </c>
    </row>
    <row r="34" spans="2:9" ht="15" customHeight="1" x14ac:dyDescent="0.2">
      <c r="B34" t="s">
        <v>255</v>
      </c>
      <c r="C34" s="12">
        <v>2</v>
      </c>
      <c r="D34" s="8">
        <v>3.23</v>
      </c>
      <c r="E34" s="12">
        <v>0</v>
      </c>
      <c r="F34" s="8">
        <v>0</v>
      </c>
      <c r="G34" s="12">
        <v>1</v>
      </c>
      <c r="H34" s="8">
        <v>4.17</v>
      </c>
      <c r="I34" s="12">
        <v>0</v>
      </c>
    </row>
    <row r="35" spans="2:9" ht="15" customHeight="1" x14ac:dyDescent="0.2">
      <c r="B35" t="s">
        <v>222</v>
      </c>
      <c r="C35" s="12">
        <v>2</v>
      </c>
      <c r="D35" s="8">
        <v>3.23</v>
      </c>
      <c r="E35" s="12">
        <v>1</v>
      </c>
      <c r="F35" s="8">
        <v>2.86</v>
      </c>
      <c r="G35" s="12">
        <v>1</v>
      </c>
      <c r="H35" s="8">
        <v>4.17</v>
      </c>
      <c r="I35" s="12">
        <v>0</v>
      </c>
    </row>
    <row r="36" spans="2:9" ht="15" customHeight="1" x14ac:dyDescent="0.2">
      <c r="B36" t="s">
        <v>230</v>
      </c>
      <c r="C36" s="12">
        <v>2</v>
      </c>
      <c r="D36" s="8">
        <v>3.23</v>
      </c>
      <c r="E36" s="12">
        <v>1</v>
      </c>
      <c r="F36" s="8">
        <v>2.86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231</v>
      </c>
      <c r="C37" s="12">
        <v>2</v>
      </c>
      <c r="D37" s="8">
        <v>3.23</v>
      </c>
      <c r="E37" s="12">
        <v>2</v>
      </c>
      <c r="F37" s="8">
        <v>5.71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214</v>
      </c>
      <c r="C38" s="12">
        <v>1</v>
      </c>
      <c r="D38" s="8">
        <v>1.61</v>
      </c>
      <c r="E38" s="12">
        <v>1</v>
      </c>
      <c r="F38" s="8">
        <v>2.86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215</v>
      </c>
      <c r="C39" s="12">
        <v>1</v>
      </c>
      <c r="D39" s="8">
        <v>1.61</v>
      </c>
      <c r="E39" s="12">
        <v>0</v>
      </c>
      <c r="F39" s="8">
        <v>0</v>
      </c>
      <c r="G39" s="12">
        <v>1</v>
      </c>
      <c r="H39" s="8">
        <v>4.17</v>
      </c>
      <c r="I39" s="12">
        <v>0</v>
      </c>
    </row>
    <row r="40" spans="2:9" ht="15" customHeight="1" x14ac:dyDescent="0.2">
      <c r="B40" t="s">
        <v>244</v>
      </c>
      <c r="C40" s="12">
        <v>1</v>
      </c>
      <c r="D40" s="8">
        <v>1.61</v>
      </c>
      <c r="E40" s="12">
        <v>0</v>
      </c>
      <c r="F40" s="8">
        <v>0</v>
      </c>
      <c r="G40" s="12">
        <v>1</v>
      </c>
      <c r="H40" s="8">
        <v>4.17</v>
      </c>
      <c r="I40" s="12">
        <v>0</v>
      </c>
    </row>
    <row r="41" spans="2:9" ht="15" customHeight="1" x14ac:dyDescent="0.2">
      <c r="B41" t="s">
        <v>252</v>
      </c>
      <c r="C41" s="12">
        <v>1</v>
      </c>
      <c r="D41" s="8">
        <v>1.61</v>
      </c>
      <c r="E41" s="12">
        <v>0</v>
      </c>
      <c r="F41" s="8">
        <v>0</v>
      </c>
      <c r="G41" s="12">
        <v>1</v>
      </c>
      <c r="H41" s="8">
        <v>4.17</v>
      </c>
      <c r="I41" s="12">
        <v>0</v>
      </c>
    </row>
    <row r="42" spans="2:9" ht="15" customHeight="1" x14ac:dyDescent="0.2">
      <c r="B42" t="s">
        <v>253</v>
      </c>
      <c r="C42" s="12">
        <v>1</v>
      </c>
      <c r="D42" s="8">
        <v>1.61</v>
      </c>
      <c r="E42" s="12">
        <v>1</v>
      </c>
      <c r="F42" s="8">
        <v>2.86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248</v>
      </c>
      <c r="C43" s="12">
        <v>1</v>
      </c>
      <c r="D43" s="8">
        <v>1.61</v>
      </c>
      <c r="E43" s="12">
        <v>0</v>
      </c>
      <c r="F43" s="8">
        <v>0</v>
      </c>
      <c r="G43" s="12">
        <v>1</v>
      </c>
      <c r="H43" s="8">
        <v>4.17</v>
      </c>
      <c r="I43" s="12">
        <v>0</v>
      </c>
    </row>
    <row r="44" spans="2:9" ht="15" customHeight="1" x14ac:dyDescent="0.2">
      <c r="B44" t="s">
        <v>217</v>
      </c>
      <c r="C44" s="12">
        <v>1</v>
      </c>
      <c r="D44" s="8">
        <v>1.61</v>
      </c>
      <c r="E44" s="12">
        <v>1</v>
      </c>
      <c r="F44" s="8">
        <v>2.86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220</v>
      </c>
      <c r="C45" s="12">
        <v>1</v>
      </c>
      <c r="D45" s="8">
        <v>1.61</v>
      </c>
      <c r="E45" s="12">
        <v>0</v>
      </c>
      <c r="F45" s="8">
        <v>0</v>
      </c>
      <c r="G45" s="12">
        <v>1</v>
      </c>
      <c r="H45" s="8">
        <v>4.17</v>
      </c>
      <c r="I45" s="12">
        <v>0</v>
      </c>
    </row>
    <row r="46" spans="2:9" ht="15" customHeight="1" x14ac:dyDescent="0.2">
      <c r="B46" t="s">
        <v>236</v>
      </c>
      <c r="C46" s="12">
        <v>1</v>
      </c>
      <c r="D46" s="8">
        <v>1.61</v>
      </c>
      <c r="E46" s="12">
        <v>0</v>
      </c>
      <c r="F46" s="8">
        <v>0</v>
      </c>
      <c r="G46" s="12">
        <v>1</v>
      </c>
      <c r="H46" s="8">
        <v>4.17</v>
      </c>
      <c r="I46" s="12">
        <v>0</v>
      </c>
    </row>
    <row r="47" spans="2:9" ht="15" customHeight="1" x14ac:dyDescent="0.2">
      <c r="B47" t="s">
        <v>224</v>
      </c>
      <c r="C47" s="12">
        <v>1</v>
      </c>
      <c r="D47" s="8">
        <v>1.61</v>
      </c>
      <c r="E47" s="12">
        <v>0</v>
      </c>
      <c r="F47" s="8">
        <v>0</v>
      </c>
      <c r="G47" s="12">
        <v>1</v>
      </c>
      <c r="H47" s="8">
        <v>4.17</v>
      </c>
      <c r="I47" s="12">
        <v>0</v>
      </c>
    </row>
    <row r="48" spans="2:9" ht="15" customHeight="1" x14ac:dyDescent="0.2">
      <c r="B48" t="s">
        <v>243</v>
      </c>
      <c r="C48" s="12">
        <v>1</v>
      </c>
      <c r="D48" s="8">
        <v>1.61</v>
      </c>
      <c r="E48" s="12">
        <v>1</v>
      </c>
      <c r="F48" s="8">
        <v>2.86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240</v>
      </c>
      <c r="C49" s="12">
        <v>1</v>
      </c>
      <c r="D49" s="8">
        <v>1.61</v>
      </c>
      <c r="E49" s="12">
        <v>1</v>
      </c>
      <c r="F49" s="8">
        <v>2.86</v>
      </c>
      <c r="G49" s="12">
        <v>0</v>
      </c>
      <c r="H49" s="8">
        <v>0</v>
      </c>
      <c r="I49" s="12">
        <v>0</v>
      </c>
    </row>
    <row r="52" spans="2:9" ht="33" customHeight="1" x14ac:dyDescent="0.2">
      <c r="B52" t="s">
        <v>531</v>
      </c>
      <c r="C52" s="10" t="s">
        <v>206</v>
      </c>
      <c r="D52" s="10" t="s">
        <v>207</v>
      </c>
      <c r="E52" s="10" t="s">
        <v>208</v>
      </c>
      <c r="F52" s="10" t="s">
        <v>209</v>
      </c>
      <c r="G52" s="10" t="s">
        <v>210</v>
      </c>
      <c r="H52" s="10" t="s">
        <v>211</v>
      </c>
      <c r="I52" s="10" t="s">
        <v>212</v>
      </c>
    </row>
    <row r="53" spans="2:9" ht="15" customHeight="1" x14ac:dyDescent="0.2">
      <c r="B53" t="s">
        <v>337</v>
      </c>
      <c r="C53" s="12">
        <v>3</v>
      </c>
      <c r="D53" s="8">
        <v>4.84</v>
      </c>
      <c r="E53" s="12">
        <v>3</v>
      </c>
      <c r="F53" s="8">
        <v>8.57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334</v>
      </c>
      <c r="C54" s="12">
        <v>3</v>
      </c>
      <c r="D54" s="8">
        <v>4.84</v>
      </c>
      <c r="E54" s="12">
        <v>3</v>
      </c>
      <c r="F54" s="8">
        <v>8.57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299</v>
      </c>
      <c r="C55" s="12">
        <v>3</v>
      </c>
      <c r="D55" s="8">
        <v>4.84</v>
      </c>
      <c r="E55" s="12">
        <v>3</v>
      </c>
      <c r="F55" s="8">
        <v>8.57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288</v>
      </c>
      <c r="C56" s="12">
        <v>2</v>
      </c>
      <c r="D56" s="8">
        <v>3.23</v>
      </c>
      <c r="E56" s="12">
        <v>0</v>
      </c>
      <c r="F56" s="8">
        <v>0</v>
      </c>
      <c r="G56" s="12">
        <v>2</v>
      </c>
      <c r="H56" s="8">
        <v>8.33</v>
      </c>
      <c r="I56" s="12">
        <v>0</v>
      </c>
    </row>
    <row r="57" spans="2:9" ht="15" customHeight="1" x14ac:dyDescent="0.2">
      <c r="B57" t="s">
        <v>413</v>
      </c>
      <c r="C57" s="12">
        <v>2</v>
      </c>
      <c r="D57" s="8">
        <v>3.23</v>
      </c>
      <c r="E57" s="12">
        <v>2</v>
      </c>
      <c r="F57" s="8">
        <v>5.71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378</v>
      </c>
      <c r="C58" s="12">
        <v>2</v>
      </c>
      <c r="D58" s="8">
        <v>3.23</v>
      </c>
      <c r="E58" s="12">
        <v>0</v>
      </c>
      <c r="F58" s="8">
        <v>0</v>
      </c>
      <c r="G58" s="12">
        <v>1</v>
      </c>
      <c r="H58" s="8">
        <v>4.17</v>
      </c>
      <c r="I58" s="12">
        <v>1</v>
      </c>
    </row>
    <row r="59" spans="2:9" ht="15" customHeight="1" x14ac:dyDescent="0.2">
      <c r="B59" t="s">
        <v>326</v>
      </c>
      <c r="C59" s="12">
        <v>2</v>
      </c>
      <c r="D59" s="8">
        <v>3.23</v>
      </c>
      <c r="E59" s="12">
        <v>1</v>
      </c>
      <c r="F59" s="8">
        <v>2.86</v>
      </c>
      <c r="G59" s="12">
        <v>1</v>
      </c>
      <c r="H59" s="8">
        <v>4.17</v>
      </c>
      <c r="I59" s="12">
        <v>0</v>
      </c>
    </row>
    <row r="60" spans="2:9" ht="15" customHeight="1" x14ac:dyDescent="0.2">
      <c r="B60" t="s">
        <v>292</v>
      </c>
      <c r="C60" s="12">
        <v>2</v>
      </c>
      <c r="D60" s="8">
        <v>3.23</v>
      </c>
      <c r="E60" s="12">
        <v>1</v>
      </c>
      <c r="F60" s="8">
        <v>2.86</v>
      </c>
      <c r="G60" s="12">
        <v>1</v>
      </c>
      <c r="H60" s="8">
        <v>4.17</v>
      </c>
      <c r="I60" s="12">
        <v>0</v>
      </c>
    </row>
    <row r="61" spans="2:9" ht="15" customHeight="1" x14ac:dyDescent="0.2">
      <c r="B61" t="s">
        <v>335</v>
      </c>
      <c r="C61" s="12">
        <v>2</v>
      </c>
      <c r="D61" s="8">
        <v>3.23</v>
      </c>
      <c r="E61" s="12">
        <v>1</v>
      </c>
      <c r="F61" s="8">
        <v>2.86</v>
      </c>
      <c r="G61" s="12">
        <v>1</v>
      </c>
      <c r="H61" s="8">
        <v>4.17</v>
      </c>
      <c r="I61" s="12">
        <v>0</v>
      </c>
    </row>
    <row r="62" spans="2:9" ht="15" customHeight="1" x14ac:dyDescent="0.2">
      <c r="B62" t="s">
        <v>300</v>
      </c>
      <c r="C62" s="12">
        <v>2</v>
      </c>
      <c r="D62" s="8">
        <v>3.23</v>
      </c>
      <c r="E62" s="12">
        <v>2</v>
      </c>
      <c r="F62" s="8">
        <v>5.71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301</v>
      </c>
      <c r="C63" s="12">
        <v>2</v>
      </c>
      <c r="D63" s="8">
        <v>3.23</v>
      </c>
      <c r="E63" s="12">
        <v>2</v>
      </c>
      <c r="F63" s="8">
        <v>5.71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303</v>
      </c>
      <c r="C64" s="12">
        <v>2</v>
      </c>
      <c r="D64" s="8">
        <v>3.23</v>
      </c>
      <c r="E64" s="12">
        <v>2</v>
      </c>
      <c r="F64" s="8">
        <v>5.71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370</v>
      </c>
      <c r="C65" s="12">
        <v>2</v>
      </c>
      <c r="D65" s="8">
        <v>3.23</v>
      </c>
      <c r="E65" s="12">
        <v>2</v>
      </c>
      <c r="F65" s="8">
        <v>5.71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289</v>
      </c>
      <c r="C66" s="12">
        <v>1</v>
      </c>
      <c r="D66" s="8">
        <v>1.61</v>
      </c>
      <c r="E66" s="12">
        <v>0</v>
      </c>
      <c r="F66" s="8">
        <v>0</v>
      </c>
      <c r="G66" s="12">
        <v>1</v>
      </c>
      <c r="H66" s="8">
        <v>4.17</v>
      </c>
      <c r="I66" s="12">
        <v>0</v>
      </c>
    </row>
    <row r="67" spans="2:9" ht="15" customHeight="1" x14ac:dyDescent="0.2">
      <c r="B67" t="s">
        <v>343</v>
      </c>
      <c r="C67" s="12">
        <v>1</v>
      </c>
      <c r="D67" s="8">
        <v>1.61</v>
      </c>
      <c r="E67" s="12">
        <v>1</v>
      </c>
      <c r="F67" s="8">
        <v>2.86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290</v>
      </c>
      <c r="C68" s="12">
        <v>1</v>
      </c>
      <c r="D68" s="8">
        <v>1.61</v>
      </c>
      <c r="E68" s="12">
        <v>0</v>
      </c>
      <c r="F68" s="8">
        <v>0</v>
      </c>
      <c r="G68" s="12">
        <v>1</v>
      </c>
      <c r="H68" s="8">
        <v>4.17</v>
      </c>
      <c r="I68" s="12">
        <v>0</v>
      </c>
    </row>
    <row r="69" spans="2:9" ht="15" customHeight="1" x14ac:dyDescent="0.2">
      <c r="B69" t="s">
        <v>384</v>
      </c>
      <c r="C69" s="12">
        <v>1</v>
      </c>
      <c r="D69" s="8">
        <v>1.61</v>
      </c>
      <c r="E69" s="12">
        <v>0</v>
      </c>
      <c r="F69" s="8">
        <v>0</v>
      </c>
      <c r="G69" s="12">
        <v>1</v>
      </c>
      <c r="H69" s="8">
        <v>4.17</v>
      </c>
      <c r="I69" s="12">
        <v>0</v>
      </c>
    </row>
    <row r="70" spans="2:9" ht="15" customHeight="1" x14ac:dyDescent="0.2">
      <c r="B70" t="s">
        <v>399</v>
      </c>
      <c r="C70" s="12">
        <v>1</v>
      </c>
      <c r="D70" s="8">
        <v>1.61</v>
      </c>
      <c r="E70" s="12">
        <v>0</v>
      </c>
      <c r="F70" s="8">
        <v>0</v>
      </c>
      <c r="G70" s="12">
        <v>1</v>
      </c>
      <c r="H70" s="8">
        <v>4.17</v>
      </c>
      <c r="I70" s="12">
        <v>0</v>
      </c>
    </row>
    <row r="71" spans="2:9" ht="15" customHeight="1" x14ac:dyDescent="0.2">
      <c r="B71" t="s">
        <v>374</v>
      </c>
      <c r="C71" s="12">
        <v>1</v>
      </c>
      <c r="D71" s="8">
        <v>1.61</v>
      </c>
      <c r="E71" s="12">
        <v>1</v>
      </c>
      <c r="F71" s="8">
        <v>2.86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362</v>
      </c>
      <c r="C72" s="12">
        <v>1</v>
      </c>
      <c r="D72" s="8">
        <v>1.61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407</v>
      </c>
      <c r="C73" s="12">
        <v>1</v>
      </c>
      <c r="D73" s="8">
        <v>1.61</v>
      </c>
      <c r="E73" s="12">
        <v>0</v>
      </c>
      <c r="F73" s="8">
        <v>0</v>
      </c>
      <c r="G73" s="12">
        <v>1</v>
      </c>
      <c r="H73" s="8">
        <v>4.17</v>
      </c>
      <c r="I73" s="12">
        <v>0</v>
      </c>
    </row>
    <row r="74" spans="2:9" ht="15" customHeight="1" x14ac:dyDescent="0.2">
      <c r="B74" t="s">
        <v>466</v>
      </c>
      <c r="C74" s="12">
        <v>1</v>
      </c>
      <c r="D74" s="8">
        <v>1.61</v>
      </c>
      <c r="E74" s="12">
        <v>0</v>
      </c>
      <c r="F74" s="8">
        <v>0</v>
      </c>
      <c r="G74" s="12">
        <v>1</v>
      </c>
      <c r="H74" s="8">
        <v>4.17</v>
      </c>
      <c r="I74" s="12">
        <v>0</v>
      </c>
    </row>
    <row r="75" spans="2:9" ht="15" customHeight="1" x14ac:dyDescent="0.2">
      <c r="B75" t="s">
        <v>350</v>
      </c>
      <c r="C75" s="12">
        <v>1</v>
      </c>
      <c r="D75" s="8">
        <v>1.61</v>
      </c>
      <c r="E75" s="12">
        <v>0</v>
      </c>
      <c r="F75" s="8">
        <v>0</v>
      </c>
      <c r="G75" s="12">
        <v>1</v>
      </c>
      <c r="H75" s="8">
        <v>4.17</v>
      </c>
      <c r="I75" s="12">
        <v>0</v>
      </c>
    </row>
    <row r="76" spans="2:9" ht="15" customHeight="1" x14ac:dyDescent="0.2">
      <c r="B76" t="s">
        <v>446</v>
      </c>
      <c r="C76" s="12">
        <v>1</v>
      </c>
      <c r="D76" s="8">
        <v>1.61</v>
      </c>
      <c r="E76" s="12">
        <v>1</v>
      </c>
      <c r="F76" s="8">
        <v>2.86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382</v>
      </c>
      <c r="C77" s="12">
        <v>1</v>
      </c>
      <c r="D77" s="8">
        <v>1.61</v>
      </c>
      <c r="E77" s="12">
        <v>0</v>
      </c>
      <c r="F77" s="8">
        <v>0</v>
      </c>
      <c r="G77" s="12">
        <v>1</v>
      </c>
      <c r="H77" s="8">
        <v>4.17</v>
      </c>
      <c r="I77" s="12">
        <v>0</v>
      </c>
    </row>
    <row r="78" spans="2:9" ht="15" customHeight="1" x14ac:dyDescent="0.2">
      <c r="B78" t="s">
        <v>366</v>
      </c>
      <c r="C78" s="12">
        <v>1</v>
      </c>
      <c r="D78" s="8">
        <v>1.61</v>
      </c>
      <c r="E78" s="12">
        <v>1</v>
      </c>
      <c r="F78" s="8">
        <v>2.86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329</v>
      </c>
      <c r="C79" s="12">
        <v>1</v>
      </c>
      <c r="D79" s="8">
        <v>1.61</v>
      </c>
      <c r="E79" s="12">
        <v>1</v>
      </c>
      <c r="F79" s="8">
        <v>2.86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401</v>
      </c>
      <c r="C80" s="12">
        <v>1</v>
      </c>
      <c r="D80" s="8">
        <v>1.61</v>
      </c>
      <c r="E80" s="12">
        <v>0</v>
      </c>
      <c r="F80" s="8">
        <v>0</v>
      </c>
      <c r="G80" s="12">
        <v>1</v>
      </c>
      <c r="H80" s="8">
        <v>4.17</v>
      </c>
      <c r="I80" s="12">
        <v>0</v>
      </c>
    </row>
    <row r="81" spans="2:9" ht="15" customHeight="1" x14ac:dyDescent="0.2">
      <c r="B81" t="s">
        <v>372</v>
      </c>
      <c r="C81" s="12">
        <v>1</v>
      </c>
      <c r="D81" s="8">
        <v>1.61</v>
      </c>
      <c r="E81" s="12">
        <v>0</v>
      </c>
      <c r="F81" s="8">
        <v>0</v>
      </c>
      <c r="G81" s="12">
        <v>1</v>
      </c>
      <c r="H81" s="8">
        <v>4.17</v>
      </c>
      <c r="I81" s="12">
        <v>0</v>
      </c>
    </row>
    <row r="82" spans="2:9" ht="15" customHeight="1" x14ac:dyDescent="0.2">
      <c r="B82" t="s">
        <v>330</v>
      </c>
      <c r="C82" s="12">
        <v>1</v>
      </c>
      <c r="D82" s="8">
        <v>1.61</v>
      </c>
      <c r="E82" s="12">
        <v>0</v>
      </c>
      <c r="F82" s="8">
        <v>0</v>
      </c>
      <c r="G82" s="12">
        <v>1</v>
      </c>
      <c r="H82" s="8">
        <v>4.17</v>
      </c>
      <c r="I82" s="12">
        <v>0</v>
      </c>
    </row>
    <row r="83" spans="2:9" ht="15" customHeight="1" x14ac:dyDescent="0.2">
      <c r="B83" t="s">
        <v>344</v>
      </c>
      <c r="C83" s="12">
        <v>1</v>
      </c>
      <c r="D83" s="8">
        <v>1.61</v>
      </c>
      <c r="E83" s="12">
        <v>0</v>
      </c>
      <c r="F83" s="8">
        <v>0</v>
      </c>
      <c r="G83" s="12">
        <v>1</v>
      </c>
      <c r="H83" s="8">
        <v>4.17</v>
      </c>
      <c r="I83" s="12">
        <v>0</v>
      </c>
    </row>
    <row r="84" spans="2:9" ht="15" customHeight="1" x14ac:dyDescent="0.2">
      <c r="B84" t="s">
        <v>296</v>
      </c>
      <c r="C84" s="12">
        <v>1</v>
      </c>
      <c r="D84" s="8">
        <v>1.61</v>
      </c>
      <c r="E84" s="12">
        <v>0</v>
      </c>
      <c r="F84" s="8">
        <v>0</v>
      </c>
      <c r="G84" s="12">
        <v>1</v>
      </c>
      <c r="H84" s="8">
        <v>4.17</v>
      </c>
      <c r="I84" s="12">
        <v>0</v>
      </c>
    </row>
    <row r="85" spans="2:9" ht="15" customHeight="1" x14ac:dyDescent="0.2">
      <c r="B85" t="s">
        <v>339</v>
      </c>
      <c r="C85" s="12">
        <v>1</v>
      </c>
      <c r="D85" s="8">
        <v>1.61</v>
      </c>
      <c r="E85" s="12">
        <v>1</v>
      </c>
      <c r="F85" s="8">
        <v>2.86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302</v>
      </c>
      <c r="C86" s="12">
        <v>1</v>
      </c>
      <c r="D86" s="8">
        <v>1.61</v>
      </c>
      <c r="E86" s="12">
        <v>1</v>
      </c>
      <c r="F86" s="8">
        <v>2.86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323</v>
      </c>
      <c r="C87" s="12">
        <v>1</v>
      </c>
      <c r="D87" s="8">
        <v>1.61</v>
      </c>
      <c r="E87" s="12">
        <v>1</v>
      </c>
      <c r="F87" s="8">
        <v>2.86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304</v>
      </c>
      <c r="C88" s="12">
        <v>1</v>
      </c>
      <c r="D88" s="8">
        <v>1.61</v>
      </c>
      <c r="E88" s="12">
        <v>1</v>
      </c>
      <c r="F88" s="8">
        <v>2.86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356</v>
      </c>
      <c r="C89" s="12">
        <v>1</v>
      </c>
      <c r="D89" s="8">
        <v>1.61</v>
      </c>
      <c r="E89" s="12">
        <v>0</v>
      </c>
      <c r="F89" s="8">
        <v>0</v>
      </c>
      <c r="G89" s="12">
        <v>1</v>
      </c>
      <c r="H89" s="8">
        <v>4.17</v>
      </c>
      <c r="I89" s="12">
        <v>0</v>
      </c>
    </row>
    <row r="90" spans="2:9" ht="15" customHeight="1" x14ac:dyDescent="0.2">
      <c r="B90" t="s">
        <v>340</v>
      </c>
      <c r="C90" s="12">
        <v>1</v>
      </c>
      <c r="D90" s="8">
        <v>1.61</v>
      </c>
      <c r="E90" s="12">
        <v>0</v>
      </c>
      <c r="F90" s="8">
        <v>0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305</v>
      </c>
      <c r="C91" s="12">
        <v>1</v>
      </c>
      <c r="D91" s="8">
        <v>1.61</v>
      </c>
      <c r="E91" s="12">
        <v>1</v>
      </c>
      <c r="F91" s="8">
        <v>2.86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312</v>
      </c>
      <c r="C92" s="12">
        <v>1</v>
      </c>
      <c r="D92" s="8">
        <v>1.61</v>
      </c>
      <c r="E92" s="12">
        <v>1</v>
      </c>
      <c r="F92" s="8">
        <v>2.86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306</v>
      </c>
      <c r="C93" s="12">
        <v>1</v>
      </c>
      <c r="D93" s="8">
        <v>1.61</v>
      </c>
      <c r="E93" s="12">
        <v>1</v>
      </c>
      <c r="F93" s="8">
        <v>2.86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331</v>
      </c>
      <c r="C94" s="12">
        <v>1</v>
      </c>
      <c r="D94" s="8">
        <v>1.61</v>
      </c>
      <c r="E94" s="12">
        <v>0</v>
      </c>
      <c r="F94" s="8">
        <v>0</v>
      </c>
      <c r="G94" s="12">
        <v>1</v>
      </c>
      <c r="H94" s="8">
        <v>4.17</v>
      </c>
      <c r="I94" s="12">
        <v>0</v>
      </c>
    </row>
    <row r="95" spans="2:9" ht="15" customHeight="1" x14ac:dyDescent="0.2">
      <c r="B95" t="s">
        <v>347</v>
      </c>
      <c r="C95" s="12">
        <v>1</v>
      </c>
      <c r="D95" s="8">
        <v>1.61</v>
      </c>
      <c r="E95" s="12">
        <v>0</v>
      </c>
      <c r="F95" s="8">
        <v>0</v>
      </c>
      <c r="G95" s="12">
        <v>1</v>
      </c>
      <c r="H95" s="8">
        <v>4.17</v>
      </c>
      <c r="I95" s="12">
        <v>0</v>
      </c>
    </row>
    <row r="96" spans="2:9" ht="15" customHeight="1" x14ac:dyDescent="0.2">
      <c r="B96" t="s">
        <v>369</v>
      </c>
      <c r="C96" s="12">
        <v>1</v>
      </c>
      <c r="D96" s="8">
        <v>1.61</v>
      </c>
      <c r="E96" s="12">
        <v>0</v>
      </c>
      <c r="F96" s="8">
        <v>0</v>
      </c>
      <c r="G96" s="12">
        <v>1</v>
      </c>
      <c r="H96" s="8">
        <v>4.17</v>
      </c>
      <c r="I96" s="12">
        <v>0</v>
      </c>
    </row>
    <row r="97" spans="2:9" ht="15" customHeight="1" x14ac:dyDescent="0.2">
      <c r="B97" t="s">
        <v>497</v>
      </c>
      <c r="C97" s="12">
        <v>1</v>
      </c>
      <c r="D97" s="8">
        <v>1.61</v>
      </c>
      <c r="E97" s="12">
        <v>0</v>
      </c>
      <c r="F97" s="8">
        <v>0</v>
      </c>
      <c r="G97" s="12">
        <v>1</v>
      </c>
      <c r="H97" s="8">
        <v>4.17</v>
      </c>
      <c r="I97" s="12">
        <v>0</v>
      </c>
    </row>
    <row r="98" spans="2:9" ht="15" customHeight="1" x14ac:dyDescent="0.2">
      <c r="B98" t="s">
        <v>307</v>
      </c>
      <c r="C98" s="12">
        <v>1</v>
      </c>
      <c r="D98" s="8">
        <v>1.61</v>
      </c>
      <c r="E98" s="12">
        <v>1</v>
      </c>
      <c r="F98" s="8">
        <v>2.86</v>
      </c>
      <c r="G98" s="12">
        <v>0</v>
      </c>
      <c r="H98" s="8">
        <v>0</v>
      </c>
      <c r="I98" s="12">
        <v>0</v>
      </c>
    </row>
    <row r="100" spans="2:9" ht="15" customHeight="1" x14ac:dyDescent="0.2">
      <c r="B10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C6EC-97DF-4FF7-AF1A-C11D6DDED51F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31</v>
      </c>
      <c r="D6" s="8">
        <v>13.48</v>
      </c>
      <c r="E6" s="12">
        <v>19</v>
      </c>
      <c r="F6" s="8">
        <v>13.19</v>
      </c>
      <c r="G6" s="12">
        <v>12</v>
      </c>
      <c r="H6" s="8">
        <v>15.38</v>
      </c>
      <c r="I6" s="12">
        <v>0</v>
      </c>
    </row>
    <row r="7" spans="2:9" ht="15" customHeight="1" x14ac:dyDescent="0.2">
      <c r="B7" t="s">
        <v>192</v>
      </c>
      <c r="C7" s="12">
        <v>15</v>
      </c>
      <c r="D7" s="8">
        <v>6.52</v>
      </c>
      <c r="E7" s="12">
        <v>4</v>
      </c>
      <c r="F7" s="8">
        <v>2.78</v>
      </c>
      <c r="G7" s="12">
        <v>11</v>
      </c>
      <c r="H7" s="8">
        <v>14.1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0.87</v>
      </c>
      <c r="E9" s="12">
        <v>0</v>
      </c>
      <c r="F9" s="8">
        <v>0</v>
      </c>
      <c r="G9" s="12">
        <v>2</v>
      </c>
      <c r="H9" s="8">
        <v>2.56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1.74</v>
      </c>
      <c r="E10" s="12">
        <v>0</v>
      </c>
      <c r="F10" s="8">
        <v>0</v>
      </c>
      <c r="G10" s="12">
        <v>3</v>
      </c>
      <c r="H10" s="8">
        <v>3.85</v>
      </c>
      <c r="I10" s="12">
        <v>1</v>
      </c>
    </row>
    <row r="11" spans="2:9" ht="15" customHeight="1" x14ac:dyDescent="0.2">
      <c r="B11" t="s">
        <v>196</v>
      </c>
      <c r="C11" s="12">
        <v>38</v>
      </c>
      <c r="D11" s="8">
        <v>16.52</v>
      </c>
      <c r="E11" s="12">
        <v>15</v>
      </c>
      <c r="F11" s="8">
        <v>10.42</v>
      </c>
      <c r="G11" s="12">
        <v>23</v>
      </c>
      <c r="H11" s="8">
        <v>29.49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0.43</v>
      </c>
      <c r="E12" s="12">
        <v>0</v>
      </c>
      <c r="F12" s="8">
        <v>0</v>
      </c>
      <c r="G12" s="12">
        <v>1</v>
      </c>
      <c r="H12" s="8">
        <v>1.28</v>
      </c>
      <c r="I12" s="12">
        <v>0</v>
      </c>
    </row>
    <row r="13" spans="2:9" ht="15" customHeight="1" x14ac:dyDescent="0.2">
      <c r="B13" t="s">
        <v>198</v>
      </c>
      <c r="C13" s="12">
        <v>20</v>
      </c>
      <c r="D13" s="8">
        <v>8.6999999999999993</v>
      </c>
      <c r="E13" s="12">
        <v>12</v>
      </c>
      <c r="F13" s="8">
        <v>8.33</v>
      </c>
      <c r="G13" s="12">
        <v>8</v>
      </c>
      <c r="H13" s="8">
        <v>10.26</v>
      </c>
      <c r="I13" s="12">
        <v>0</v>
      </c>
    </row>
    <row r="14" spans="2:9" ht="15" customHeight="1" x14ac:dyDescent="0.2">
      <c r="B14" t="s">
        <v>199</v>
      </c>
      <c r="C14" s="12">
        <v>9</v>
      </c>
      <c r="D14" s="8">
        <v>3.91</v>
      </c>
      <c r="E14" s="12">
        <v>5</v>
      </c>
      <c r="F14" s="8">
        <v>3.47</v>
      </c>
      <c r="G14" s="12">
        <v>3</v>
      </c>
      <c r="H14" s="8">
        <v>3.85</v>
      </c>
      <c r="I14" s="12">
        <v>0</v>
      </c>
    </row>
    <row r="15" spans="2:9" ht="15" customHeight="1" x14ac:dyDescent="0.2">
      <c r="B15" t="s">
        <v>200</v>
      </c>
      <c r="C15" s="12">
        <v>39</v>
      </c>
      <c r="D15" s="8">
        <v>16.96</v>
      </c>
      <c r="E15" s="12">
        <v>35</v>
      </c>
      <c r="F15" s="8">
        <v>24.31</v>
      </c>
      <c r="G15" s="12">
        <v>4</v>
      </c>
      <c r="H15" s="8">
        <v>5.13</v>
      </c>
      <c r="I15" s="12">
        <v>0</v>
      </c>
    </row>
    <row r="16" spans="2:9" ht="15" customHeight="1" x14ac:dyDescent="0.2">
      <c r="B16" t="s">
        <v>201</v>
      </c>
      <c r="C16" s="12">
        <v>37</v>
      </c>
      <c r="D16" s="8">
        <v>16.09</v>
      </c>
      <c r="E16" s="12">
        <v>33</v>
      </c>
      <c r="F16" s="8">
        <v>22.92</v>
      </c>
      <c r="G16" s="12">
        <v>4</v>
      </c>
      <c r="H16" s="8">
        <v>5.13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2.17</v>
      </c>
      <c r="E17" s="12">
        <v>5</v>
      </c>
      <c r="F17" s="8">
        <v>3.47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17</v>
      </c>
      <c r="D18" s="8">
        <v>7.39</v>
      </c>
      <c r="E18" s="12">
        <v>7</v>
      </c>
      <c r="F18" s="8">
        <v>4.8600000000000003</v>
      </c>
      <c r="G18" s="12">
        <v>4</v>
      </c>
      <c r="H18" s="8">
        <v>5.13</v>
      </c>
      <c r="I18" s="12">
        <v>0</v>
      </c>
    </row>
    <row r="19" spans="2:9" ht="15" customHeight="1" x14ac:dyDescent="0.2">
      <c r="B19" t="s">
        <v>204</v>
      </c>
      <c r="C19" s="12">
        <v>12</v>
      </c>
      <c r="D19" s="8">
        <v>5.22</v>
      </c>
      <c r="E19" s="12">
        <v>9</v>
      </c>
      <c r="F19" s="8">
        <v>6.25</v>
      </c>
      <c r="G19" s="12">
        <v>3</v>
      </c>
      <c r="H19" s="8">
        <v>3.85</v>
      </c>
      <c r="I19" s="12">
        <v>0</v>
      </c>
    </row>
    <row r="20" spans="2:9" ht="15" customHeight="1" x14ac:dyDescent="0.2">
      <c r="B20" s="9" t="s">
        <v>529</v>
      </c>
      <c r="C20" s="12">
        <f>SUM(LTBL_01514[総数／事業所数])</f>
        <v>230</v>
      </c>
      <c r="E20" s="12">
        <f>SUBTOTAL(109,LTBL_01514[個人／事業所数])</f>
        <v>144</v>
      </c>
      <c r="G20" s="12">
        <f>SUBTOTAL(109,LTBL_01514[法人／事業所数])</f>
        <v>78</v>
      </c>
      <c r="I20" s="12">
        <f>SUBTOTAL(109,LTBL_01514[法人以外の団体／事業所数])</f>
        <v>1</v>
      </c>
    </row>
    <row r="21" spans="2:9" ht="15" customHeight="1" x14ac:dyDescent="0.2">
      <c r="E21" s="11">
        <f>LTBL_01514[[#Totals],[個人／事業所数]]/LTBL_01514[[#Totals],[総数／事業所数]]</f>
        <v>0.62608695652173918</v>
      </c>
      <c r="G21" s="11">
        <f>LTBL_01514[[#Totals],[法人／事業所数]]/LTBL_01514[[#Totals],[総数／事業所数]]</f>
        <v>0.33913043478260868</v>
      </c>
      <c r="I21" s="11">
        <f>LTBL_01514[[#Totals],[法人以外の団体／事業所数]]/LTBL_01514[[#Totals],[総数／事業所数]]</f>
        <v>4.3478260869565218E-3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37</v>
      </c>
      <c r="D24" s="8">
        <v>16.09</v>
      </c>
      <c r="E24" s="12">
        <v>33</v>
      </c>
      <c r="F24" s="8">
        <v>22.92</v>
      </c>
      <c r="G24" s="12">
        <v>4</v>
      </c>
      <c r="H24" s="8">
        <v>5.13</v>
      </c>
      <c r="I24" s="12">
        <v>0</v>
      </c>
    </row>
    <row r="25" spans="2:9" ht="15" customHeight="1" x14ac:dyDescent="0.2">
      <c r="B25" t="s">
        <v>228</v>
      </c>
      <c r="C25" s="12">
        <v>33</v>
      </c>
      <c r="D25" s="8">
        <v>14.35</v>
      </c>
      <c r="E25" s="12">
        <v>31</v>
      </c>
      <c r="F25" s="8">
        <v>21.53</v>
      </c>
      <c r="G25" s="12">
        <v>2</v>
      </c>
      <c r="H25" s="8">
        <v>2.56</v>
      </c>
      <c r="I25" s="12">
        <v>0</v>
      </c>
    </row>
    <row r="26" spans="2:9" ht="15" customHeight="1" x14ac:dyDescent="0.2">
      <c r="B26" t="s">
        <v>224</v>
      </c>
      <c r="C26" s="12">
        <v>16</v>
      </c>
      <c r="D26" s="8">
        <v>6.96</v>
      </c>
      <c r="E26" s="12">
        <v>12</v>
      </c>
      <c r="F26" s="8">
        <v>8.33</v>
      </c>
      <c r="G26" s="12">
        <v>4</v>
      </c>
      <c r="H26" s="8">
        <v>5.13</v>
      </c>
      <c r="I26" s="12">
        <v>0</v>
      </c>
    </row>
    <row r="27" spans="2:9" ht="15" customHeight="1" x14ac:dyDescent="0.2">
      <c r="B27" t="s">
        <v>214</v>
      </c>
      <c r="C27" s="12">
        <v>15</v>
      </c>
      <c r="D27" s="8">
        <v>6.52</v>
      </c>
      <c r="E27" s="12">
        <v>12</v>
      </c>
      <c r="F27" s="8">
        <v>8.33</v>
      </c>
      <c r="G27" s="12">
        <v>3</v>
      </c>
      <c r="H27" s="8">
        <v>3.85</v>
      </c>
      <c r="I27" s="12">
        <v>0</v>
      </c>
    </row>
    <row r="28" spans="2:9" ht="15" customHeight="1" x14ac:dyDescent="0.2">
      <c r="B28" t="s">
        <v>223</v>
      </c>
      <c r="C28" s="12">
        <v>15</v>
      </c>
      <c r="D28" s="8">
        <v>6.52</v>
      </c>
      <c r="E28" s="12">
        <v>5</v>
      </c>
      <c r="F28" s="8">
        <v>3.47</v>
      </c>
      <c r="G28" s="12">
        <v>10</v>
      </c>
      <c r="H28" s="8">
        <v>12.82</v>
      </c>
      <c r="I28" s="12">
        <v>0</v>
      </c>
    </row>
    <row r="29" spans="2:9" ht="15" customHeight="1" x14ac:dyDescent="0.2">
      <c r="B29" t="s">
        <v>213</v>
      </c>
      <c r="C29" s="12">
        <v>12</v>
      </c>
      <c r="D29" s="8">
        <v>5.22</v>
      </c>
      <c r="E29" s="12">
        <v>5</v>
      </c>
      <c r="F29" s="8">
        <v>3.47</v>
      </c>
      <c r="G29" s="12">
        <v>7</v>
      </c>
      <c r="H29" s="8">
        <v>8.9700000000000006</v>
      </c>
      <c r="I29" s="12">
        <v>0</v>
      </c>
    </row>
    <row r="30" spans="2:9" ht="15" customHeight="1" x14ac:dyDescent="0.2">
      <c r="B30" t="s">
        <v>232</v>
      </c>
      <c r="C30" s="12">
        <v>9</v>
      </c>
      <c r="D30" s="8">
        <v>3.91</v>
      </c>
      <c r="E30" s="12">
        <v>0</v>
      </c>
      <c r="F30" s="8">
        <v>0</v>
      </c>
      <c r="G30" s="12">
        <v>3</v>
      </c>
      <c r="H30" s="8">
        <v>3.85</v>
      </c>
      <c r="I30" s="12">
        <v>0</v>
      </c>
    </row>
    <row r="31" spans="2:9" ht="15" customHeight="1" x14ac:dyDescent="0.2">
      <c r="B31" t="s">
        <v>231</v>
      </c>
      <c r="C31" s="12">
        <v>8</v>
      </c>
      <c r="D31" s="8">
        <v>3.48</v>
      </c>
      <c r="E31" s="12">
        <v>7</v>
      </c>
      <c r="F31" s="8">
        <v>4.8600000000000003</v>
      </c>
      <c r="G31" s="12">
        <v>1</v>
      </c>
      <c r="H31" s="8">
        <v>1.28</v>
      </c>
      <c r="I31" s="12">
        <v>0</v>
      </c>
    </row>
    <row r="32" spans="2:9" ht="15" customHeight="1" x14ac:dyDescent="0.2">
      <c r="B32" t="s">
        <v>241</v>
      </c>
      <c r="C32" s="12">
        <v>7</v>
      </c>
      <c r="D32" s="8">
        <v>3.04</v>
      </c>
      <c r="E32" s="12">
        <v>2</v>
      </c>
      <c r="F32" s="8">
        <v>1.39</v>
      </c>
      <c r="G32" s="12">
        <v>5</v>
      </c>
      <c r="H32" s="8">
        <v>6.41</v>
      </c>
      <c r="I32" s="12">
        <v>0</v>
      </c>
    </row>
    <row r="33" spans="2:9" ht="15" customHeight="1" x14ac:dyDescent="0.2">
      <c r="B33" t="s">
        <v>242</v>
      </c>
      <c r="C33" s="12">
        <v>6</v>
      </c>
      <c r="D33" s="8">
        <v>2.61</v>
      </c>
      <c r="E33" s="12">
        <v>5</v>
      </c>
      <c r="F33" s="8">
        <v>3.47</v>
      </c>
      <c r="G33" s="12">
        <v>1</v>
      </c>
      <c r="H33" s="8">
        <v>1.28</v>
      </c>
      <c r="I33" s="12">
        <v>0</v>
      </c>
    </row>
    <row r="34" spans="2:9" ht="15" customHeight="1" x14ac:dyDescent="0.2">
      <c r="B34" t="s">
        <v>221</v>
      </c>
      <c r="C34" s="12">
        <v>5</v>
      </c>
      <c r="D34" s="8">
        <v>2.17</v>
      </c>
      <c r="E34" s="12">
        <v>4</v>
      </c>
      <c r="F34" s="8">
        <v>2.78</v>
      </c>
      <c r="G34" s="12">
        <v>1</v>
      </c>
      <c r="H34" s="8">
        <v>1.28</v>
      </c>
      <c r="I34" s="12">
        <v>0</v>
      </c>
    </row>
    <row r="35" spans="2:9" ht="15" customHeight="1" x14ac:dyDescent="0.2">
      <c r="B35" t="s">
        <v>226</v>
      </c>
      <c r="C35" s="12">
        <v>5</v>
      </c>
      <c r="D35" s="8">
        <v>2.17</v>
      </c>
      <c r="E35" s="12">
        <v>2</v>
      </c>
      <c r="F35" s="8">
        <v>1.39</v>
      </c>
      <c r="G35" s="12">
        <v>2</v>
      </c>
      <c r="H35" s="8">
        <v>2.56</v>
      </c>
      <c r="I35" s="12">
        <v>0</v>
      </c>
    </row>
    <row r="36" spans="2:9" ht="15" customHeight="1" x14ac:dyDescent="0.2">
      <c r="B36" t="s">
        <v>230</v>
      </c>
      <c r="C36" s="12">
        <v>5</v>
      </c>
      <c r="D36" s="8">
        <v>2.17</v>
      </c>
      <c r="E36" s="12">
        <v>5</v>
      </c>
      <c r="F36" s="8">
        <v>3.47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215</v>
      </c>
      <c r="C37" s="12">
        <v>4</v>
      </c>
      <c r="D37" s="8">
        <v>1.74</v>
      </c>
      <c r="E37" s="12">
        <v>2</v>
      </c>
      <c r="F37" s="8">
        <v>1.39</v>
      </c>
      <c r="G37" s="12">
        <v>2</v>
      </c>
      <c r="H37" s="8">
        <v>2.56</v>
      </c>
      <c r="I37" s="12">
        <v>0</v>
      </c>
    </row>
    <row r="38" spans="2:9" ht="15" customHeight="1" x14ac:dyDescent="0.2">
      <c r="B38" t="s">
        <v>219</v>
      </c>
      <c r="C38" s="12">
        <v>4</v>
      </c>
      <c r="D38" s="8">
        <v>1.74</v>
      </c>
      <c r="E38" s="12">
        <v>1</v>
      </c>
      <c r="F38" s="8">
        <v>0.69</v>
      </c>
      <c r="G38" s="12">
        <v>3</v>
      </c>
      <c r="H38" s="8">
        <v>3.85</v>
      </c>
      <c r="I38" s="12">
        <v>0</v>
      </c>
    </row>
    <row r="39" spans="2:9" ht="15" customHeight="1" x14ac:dyDescent="0.2">
      <c r="B39" t="s">
        <v>246</v>
      </c>
      <c r="C39" s="12">
        <v>4</v>
      </c>
      <c r="D39" s="8">
        <v>1.74</v>
      </c>
      <c r="E39" s="12">
        <v>0</v>
      </c>
      <c r="F39" s="8">
        <v>0</v>
      </c>
      <c r="G39" s="12">
        <v>4</v>
      </c>
      <c r="H39" s="8">
        <v>5.13</v>
      </c>
      <c r="I39" s="12">
        <v>0</v>
      </c>
    </row>
    <row r="40" spans="2:9" ht="15" customHeight="1" x14ac:dyDescent="0.2">
      <c r="B40" t="s">
        <v>240</v>
      </c>
      <c r="C40" s="12">
        <v>4</v>
      </c>
      <c r="D40" s="8">
        <v>1.74</v>
      </c>
      <c r="E40" s="12">
        <v>4</v>
      </c>
      <c r="F40" s="8">
        <v>2.78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217</v>
      </c>
      <c r="C41" s="12">
        <v>3</v>
      </c>
      <c r="D41" s="8">
        <v>1.3</v>
      </c>
      <c r="E41" s="12">
        <v>1</v>
      </c>
      <c r="F41" s="8">
        <v>0.69</v>
      </c>
      <c r="G41" s="12">
        <v>2</v>
      </c>
      <c r="H41" s="8">
        <v>2.56</v>
      </c>
      <c r="I41" s="12">
        <v>0</v>
      </c>
    </row>
    <row r="42" spans="2:9" ht="15" customHeight="1" x14ac:dyDescent="0.2">
      <c r="B42" t="s">
        <v>218</v>
      </c>
      <c r="C42" s="12">
        <v>3</v>
      </c>
      <c r="D42" s="8">
        <v>1.3</v>
      </c>
      <c r="E42" s="12">
        <v>2</v>
      </c>
      <c r="F42" s="8">
        <v>1.39</v>
      </c>
      <c r="G42" s="12">
        <v>1</v>
      </c>
      <c r="H42" s="8">
        <v>1.28</v>
      </c>
      <c r="I42" s="12">
        <v>0</v>
      </c>
    </row>
    <row r="43" spans="2:9" ht="15" customHeight="1" x14ac:dyDescent="0.2">
      <c r="B43" t="s">
        <v>220</v>
      </c>
      <c r="C43" s="12">
        <v>3</v>
      </c>
      <c r="D43" s="8">
        <v>1.3</v>
      </c>
      <c r="E43" s="12">
        <v>0</v>
      </c>
      <c r="F43" s="8">
        <v>0</v>
      </c>
      <c r="G43" s="12">
        <v>3</v>
      </c>
      <c r="H43" s="8">
        <v>3.85</v>
      </c>
      <c r="I43" s="12">
        <v>0</v>
      </c>
    </row>
    <row r="44" spans="2:9" ht="15" customHeight="1" x14ac:dyDescent="0.2">
      <c r="B44" t="s">
        <v>225</v>
      </c>
      <c r="C44" s="12">
        <v>3</v>
      </c>
      <c r="D44" s="8">
        <v>1.3</v>
      </c>
      <c r="E44" s="12">
        <v>3</v>
      </c>
      <c r="F44" s="8">
        <v>2.08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229</v>
      </c>
      <c r="C45" s="12">
        <v>3</v>
      </c>
      <c r="D45" s="8">
        <v>1.3</v>
      </c>
      <c r="E45" s="12">
        <v>2</v>
      </c>
      <c r="F45" s="8">
        <v>1.39</v>
      </c>
      <c r="G45" s="12">
        <v>1</v>
      </c>
      <c r="H45" s="8">
        <v>1.28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304</v>
      </c>
      <c r="C49" s="12">
        <v>18</v>
      </c>
      <c r="D49" s="8">
        <v>7.83</v>
      </c>
      <c r="E49" s="12">
        <v>17</v>
      </c>
      <c r="F49" s="8">
        <v>11.81</v>
      </c>
      <c r="G49" s="12">
        <v>1</v>
      </c>
      <c r="H49" s="8">
        <v>1.28</v>
      </c>
      <c r="I49" s="12">
        <v>0</v>
      </c>
    </row>
    <row r="50" spans="2:9" ht="15" customHeight="1" x14ac:dyDescent="0.2">
      <c r="B50" t="s">
        <v>297</v>
      </c>
      <c r="C50" s="12">
        <v>16</v>
      </c>
      <c r="D50" s="8">
        <v>6.96</v>
      </c>
      <c r="E50" s="12">
        <v>12</v>
      </c>
      <c r="F50" s="8">
        <v>8.33</v>
      </c>
      <c r="G50" s="12">
        <v>4</v>
      </c>
      <c r="H50" s="8">
        <v>5.13</v>
      </c>
      <c r="I50" s="12">
        <v>0</v>
      </c>
    </row>
    <row r="51" spans="2:9" ht="15" customHeight="1" x14ac:dyDescent="0.2">
      <c r="B51" t="s">
        <v>301</v>
      </c>
      <c r="C51" s="12">
        <v>13</v>
      </c>
      <c r="D51" s="8">
        <v>5.65</v>
      </c>
      <c r="E51" s="12">
        <v>13</v>
      </c>
      <c r="F51" s="8">
        <v>9.0299999999999994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303</v>
      </c>
      <c r="C52" s="12">
        <v>11</v>
      </c>
      <c r="D52" s="8">
        <v>4.78</v>
      </c>
      <c r="E52" s="12">
        <v>11</v>
      </c>
      <c r="F52" s="8">
        <v>7.64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300</v>
      </c>
      <c r="C53" s="12">
        <v>10</v>
      </c>
      <c r="D53" s="8">
        <v>4.3499999999999996</v>
      </c>
      <c r="E53" s="12">
        <v>9</v>
      </c>
      <c r="F53" s="8">
        <v>6.25</v>
      </c>
      <c r="G53" s="12">
        <v>1</v>
      </c>
      <c r="H53" s="8">
        <v>1.28</v>
      </c>
      <c r="I53" s="12">
        <v>0</v>
      </c>
    </row>
    <row r="54" spans="2:9" ht="15" customHeight="1" x14ac:dyDescent="0.2">
      <c r="B54" t="s">
        <v>306</v>
      </c>
      <c r="C54" s="12">
        <v>7</v>
      </c>
      <c r="D54" s="8">
        <v>3.04</v>
      </c>
      <c r="E54" s="12">
        <v>7</v>
      </c>
      <c r="F54" s="8">
        <v>4.8600000000000003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342</v>
      </c>
      <c r="C55" s="12">
        <v>6</v>
      </c>
      <c r="D55" s="8">
        <v>2.61</v>
      </c>
      <c r="E55" s="12">
        <v>1</v>
      </c>
      <c r="F55" s="8">
        <v>0.69</v>
      </c>
      <c r="G55" s="12">
        <v>5</v>
      </c>
      <c r="H55" s="8">
        <v>6.41</v>
      </c>
      <c r="I55" s="12">
        <v>0</v>
      </c>
    </row>
    <row r="56" spans="2:9" ht="15" customHeight="1" x14ac:dyDescent="0.2">
      <c r="B56" t="s">
        <v>299</v>
      </c>
      <c r="C56" s="12">
        <v>6</v>
      </c>
      <c r="D56" s="8">
        <v>2.61</v>
      </c>
      <c r="E56" s="12">
        <v>5</v>
      </c>
      <c r="F56" s="8">
        <v>3.47</v>
      </c>
      <c r="G56" s="12">
        <v>1</v>
      </c>
      <c r="H56" s="8">
        <v>1.28</v>
      </c>
      <c r="I56" s="12">
        <v>0</v>
      </c>
    </row>
    <row r="57" spans="2:9" ht="15" customHeight="1" x14ac:dyDescent="0.2">
      <c r="B57" t="s">
        <v>341</v>
      </c>
      <c r="C57" s="12">
        <v>6</v>
      </c>
      <c r="D57" s="8">
        <v>2.61</v>
      </c>
      <c r="E57" s="12">
        <v>0</v>
      </c>
      <c r="F57" s="8">
        <v>0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289</v>
      </c>
      <c r="C58" s="12">
        <v>5</v>
      </c>
      <c r="D58" s="8">
        <v>2.17</v>
      </c>
      <c r="E58" s="12">
        <v>1</v>
      </c>
      <c r="F58" s="8">
        <v>0.69</v>
      </c>
      <c r="G58" s="12">
        <v>4</v>
      </c>
      <c r="H58" s="8">
        <v>5.13</v>
      </c>
      <c r="I58" s="12">
        <v>0</v>
      </c>
    </row>
    <row r="59" spans="2:9" ht="15" customHeight="1" x14ac:dyDescent="0.2">
      <c r="B59" t="s">
        <v>333</v>
      </c>
      <c r="C59" s="12">
        <v>5</v>
      </c>
      <c r="D59" s="8">
        <v>2.17</v>
      </c>
      <c r="E59" s="12">
        <v>4</v>
      </c>
      <c r="F59" s="8">
        <v>2.78</v>
      </c>
      <c r="G59" s="12">
        <v>1</v>
      </c>
      <c r="H59" s="8">
        <v>1.28</v>
      </c>
      <c r="I59" s="12">
        <v>0</v>
      </c>
    </row>
    <row r="60" spans="2:9" ht="15" customHeight="1" x14ac:dyDescent="0.2">
      <c r="B60" t="s">
        <v>371</v>
      </c>
      <c r="C60" s="12">
        <v>5</v>
      </c>
      <c r="D60" s="8">
        <v>2.17</v>
      </c>
      <c r="E60" s="12">
        <v>4</v>
      </c>
      <c r="F60" s="8">
        <v>2.78</v>
      </c>
      <c r="G60" s="12">
        <v>1</v>
      </c>
      <c r="H60" s="8">
        <v>1.28</v>
      </c>
      <c r="I60" s="12">
        <v>0</v>
      </c>
    </row>
    <row r="61" spans="2:9" ht="15" customHeight="1" x14ac:dyDescent="0.2">
      <c r="B61" t="s">
        <v>393</v>
      </c>
      <c r="C61" s="12">
        <v>4</v>
      </c>
      <c r="D61" s="8">
        <v>1.74</v>
      </c>
      <c r="E61" s="12">
        <v>4</v>
      </c>
      <c r="F61" s="8">
        <v>2.78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343</v>
      </c>
      <c r="C62" s="12">
        <v>4</v>
      </c>
      <c r="D62" s="8">
        <v>1.74</v>
      </c>
      <c r="E62" s="12">
        <v>2</v>
      </c>
      <c r="F62" s="8">
        <v>1.39</v>
      </c>
      <c r="G62" s="12">
        <v>2</v>
      </c>
      <c r="H62" s="8">
        <v>2.56</v>
      </c>
      <c r="I62" s="12">
        <v>0</v>
      </c>
    </row>
    <row r="63" spans="2:9" ht="15" customHeight="1" x14ac:dyDescent="0.2">
      <c r="B63" t="s">
        <v>309</v>
      </c>
      <c r="C63" s="12">
        <v>4</v>
      </c>
      <c r="D63" s="8">
        <v>1.74</v>
      </c>
      <c r="E63" s="12">
        <v>1</v>
      </c>
      <c r="F63" s="8">
        <v>0.69</v>
      </c>
      <c r="G63" s="12">
        <v>3</v>
      </c>
      <c r="H63" s="8">
        <v>3.85</v>
      </c>
      <c r="I63" s="12">
        <v>0</v>
      </c>
    </row>
    <row r="64" spans="2:9" ht="15" customHeight="1" x14ac:dyDescent="0.2">
      <c r="B64" t="s">
        <v>330</v>
      </c>
      <c r="C64" s="12">
        <v>4</v>
      </c>
      <c r="D64" s="8">
        <v>1.74</v>
      </c>
      <c r="E64" s="12">
        <v>0</v>
      </c>
      <c r="F64" s="8">
        <v>0</v>
      </c>
      <c r="G64" s="12">
        <v>4</v>
      </c>
      <c r="H64" s="8">
        <v>5.13</v>
      </c>
      <c r="I64" s="12">
        <v>0</v>
      </c>
    </row>
    <row r="65" spans="2:9" ht="15" customHeight="1" x14ac:dyDescent="0.2">
      <c r="B65" t="s">
        <v>295</v>
      </c>
      <c r="C65" s="12">
        <v>4</v>
      </c>
      <c r="D65" s="8">
        <v>1.74</v>
      </c>
      <c r="E65" s="12">
        <v>2</v>
      </c>
      <c r="F65" s="8">
        <v>1.39</v>
      </c>
      <c r="G65" s="12">
        <v>2</v>
      </c>
      <c r="H65" s="8">
        <v>2.56</v>
      </c>
      <c r="I65" s="12">
        <v>0</v>
      </c>
    </row>
    <row r="66" spans="2:9" ht="15" customHeight="1" x14ac:dyDescent="0.2">
      <c r="B66" t="s">
        <v>415</v>
      </c>
      <c r="C66" s="12">
        <v>4</v>
      </c>
      <c r="D66" s="8">
        <v>1.74</v>
      </c>
      <c r="E66" s="12">
        <v>0</v>
      </c>
      <c r="F66" s="8">
        <v>0</v>
      </c>
      <c r="G66" s="12">
        <v>4</v>
      </c>
      <c r="H66" s="8">
        <v>5.13</v>
      </c>
      <c r="I66" s="12">
        <v>0</v>
      </c>
    </row>
    <row r="67" spans="2:9" ht="15" customHeight="1" x14ac:dyDescent="0.2">
      <c r="B67" t="s">
        <v>305</v>
      </c>
      <c r="C67" s="12">
        <v>4</v>
      </c>
      <c r="D67" s="8">
        <v>1.74</v>
      </c>
      <c r="E67" s="12">
        <v>4</v>
      </c>
      <c r="F67" s="8">
        <v>2.78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307</v>
      </c>
      <c r="C68" s="12">
        <v>4</v>
      </c>
      <c r="D68" s="8">
        <v>1.74</v>
      </c>
      <c r="E68" s="12">
        <v>4</v>
      </c>
      <c r="F68" s="8">
        <v>2.78</v>
      </c>
      <c r="G68" s="12">
        <v>0</v>
      </c>
      <c r="H68" s="8">
        <v>0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4D1C9-EE90-4261-BF83-CE307E93DA28}">
  <sheetPr>
    <pageSetUpPr fitToPage="1"/>
  </sheetPr>
  <dimension ref="B2:I8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659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23</v>
      </c>
      <c r="D6" s="8">
        <v>15.97</v>
      </c>
      <c r="E6" s="12">
        <v>3</v>
      </c>
      <c r="F6" s="8">
        <v>4.92</v>
      </c>
      <c r="G6" s="12">
        <v>20</v>
      </c>
      <c r="H6" s="8">
        <v>25.97</v>
      </c>
      <c r="I6" s="12">
        <v>0</v>
      </c>
    </row>
    <row r="7" spans="2:9" ht="15" customHeight="1" x14ac:dyDescent="0.2">
      <c r="B7" t="s">
        <v>192</v>
      </c>
      <c r="C7" s="12">
        <v>10</v>
      </c>
      <c r="D7" s="8">
        <v>6.94</v>
      </c>
      <c r="E7" s="12">
        <v>3</v>
      </c>
      <c r="F7" s="8">
        <v>4.92</v>
      </c>
      <c r="G7" s="12">
        <v>7</v>
      </c>
      <c r="H7" s="8">
        <v>9.09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1.39</v>
      </c>
      <c r="E8" s="12">
        <v>0</v>
      </c>
      <c r="F8" s="8">
        <v>0</v>
      </c>
      <c r="G8" s="12">
        <v>1</v>
      </c>
      <c r="H8" s="8">
        <v>1.3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1.39</v>
      </c>
      <c r="E9" s="12">
        <v>0</v>
      </c>
      <c r="F9" s="8">
        <v>0</v>
      </c>
      <c r="G9" s="12">
        <v>2</v>
      </c>
      <c r="H9" s="8">
        <v>2.6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2.78</v>
      </c>
      <c r="E10" s="12">
        <v>0</v>
      </c>
      <c r="F10" s="8">
        <v>0</v>
      </c>
      <c r="G10" s="12">
        <v>3</v>
      </c>
      <c r="H10" s="8">
        <v>3.9</v>
      </c>
      <c r="I10" s="12">
        <v>1</v>
      </c>
    </row>
    <row r="11" spans="2:9" ht="15" customHeight="1" x14ac:dyDescent="0.2">
      <c r="B11" t="s">
        <v>196</v>
      </c>
      <c r="C11" s="12">
        <v>33</v>
      </c>
      <c r="D11" s="8">
        <v>22.92</v>
      </c>
      <c r="E11" s="12">
        <v>7</v>
      </c>
      <c r="F11" s="8">
        <v>11.48</v>
      </c>
      <c r="G11" s="12">
        <v>26</v>
      </c>
      <c r="H11" s="8">
        <v>33.770000000000003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7</v>
      </c>
      <c r="D13" s="8">
        <v>4.8600000000000003</v>
      </c>
      <c r="E13" s="12">
        <v>5</v>
      </c>
      <c r="F13" s="8">
        <v>8.1999999999999993</v>
      </c>
      <c r="G13" s="12">
        <v>2</v>
      </c>
      <c r="H13" s="8">
        <v>2.6</v>
      </c>
      <c r="I13" s="12">
        <v>0</v>
      </c>
    </row>
    <row r="14" spans="2:9" ht="15" customHeight="1" x14ac:dyDescent="0.2">
      <c r="B14" t="s">
        <v>199</v>
      </c>
      <c r="C14" s="12">
        <v>6</v>
      </c>
      <c r="D14" s="8">
        <v>4.17</v>
      </c>
      <c r="E14" s="12">
        <v>3</v>
      </c>
      <c r="F14" s="8">
        <v>4.92</v>
      </c>
      <c r="G14" s="12">
        <v>3</v>
      </c>
      <c r="H14" s="8">
        <v>3.9</v>
      </c>
      <c r="I14" s="12">
        <v>0</v>
      </c>
    </row>
    <row r="15" spans="2:9" ht="15" customHeight="1" x14ac:dyDescent="0.2">
      <c r="B15" t="s">
        <v>200</v>
      </c>
      <c r="C15" s="12">
        <v>27</v>
      </c>
      <c r="D15" s="8">
        <v>18.75</v>
      </c>
      <c r="E15" s="12">
        <v>16</v>
      </c>
      <c r="F15" s="8">
        <v>26.23</v>
      </c>
      <c r="G15" s="12">
        <v>8</v>
      </c>
      <c r="H15" s="8">
        <v>10.39</v>
      </c>
      <c r="I15" s="12">
        <v>2</v>
      </c>
    </row>
    <row r="16" spans="2:9" ht="15" customHeight="1" x14ac:dyDescent="0.2">
      <c r="B16" t="s">
        <v>201</v>
      </c>
      <c r="C16" s="12">
        <v>15</v>
      </c>
      <c r="D16" s="8">
        <v>10.42</v>
      </c>
      <c r="E16" s="12">
        <v>14</v>
      </c>
      <c r="F16" s="8">
        <v>22.95</v>
      </c>
      <c r="G16" s="12">
        <v>0</v>
      </c>
      <c r="H16" s="8">
        <v>0</v>
      </c>
      <c r="I16" s="12">
        <v>1</v>
      </c>
    </row>
    <row r="17" spans="2:9" ht="15" customHeight="1" x14ac:dyDescent="0.2">
      <c r="B17" t="s">
        <v>202</v>
      </c>
      <c r="C17" s="12">
        <v>2</v>
      </c>
      <c r="D17" s="8">
        <v>1.39</v>
      </c>
      <c r="E17" s="12">
        <v>2</v>
      </c>
      <c r="F17" s="8">
        <v>3.28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7</v>
      </c>
      <c r="D18" s="8">
        <v>4.8600000000000003</v>
      </c>
      <c r="E18" s="12">
        <v>5</v>
      </c>
      <c r="F18" s="8">
        <v>8.1999999999999993</v>
      </c>
      <c r="G18" s="12">
        <v>2</v>
      </c>
      <c r="H18" s="8">
        <v>2.6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4.17</v>
      </c>
      <c r="E19" s="12">
        <v>3</v>
      </c>
      <c r="F19" s="8">
        <v>4.92</v>
      </c>
      <c r="G19" s="12">
        <v>3</v>
      </c>
      <c r="H19" s="8">
        <v>3.9</v>
      </c>
      <c r="I19" s="12">
        <v>0</v>
      </c>
    </row>
    <row r="20" spans="2:9" ht="15" customHeight="1" x14ac:dyDescent="0.2">
      <c r="B20" s="9" t="s">
        <v>529</v>
      </c>
      <c r="C20" s="12">
        <f>SUM(LTBL_01516[総数／事業所数])</f>
        <v>144</v>
      </c>
      <c r="E20" s="12">
        <f>SUBTOTAL(109,LTBL_01516[個人／事業所数])</f>
        <v>61</v>
      </c>
      <c r="G20" s="12">
        <f>SUBTOTAL(109,LTBL_01516[法人／事業所数])</f>
        <v>77</v>
      </c>
      <c r="I20" s="12">
        <f>SUBTOTAL(109,LTBL_01516[法人以外の団体／事業所数])</f>
        <v>4</v>
      </c>
    </row>
    <row r="21" spans="2:9" ht="15" customHeight="1" x14ac:dyDescent="0.2">
      <c r="E21" s="11">
        <f>LTBL_01516[[#Totals],[個人／事業所数]]/LTBL_01516[[#Totals],[総数／事業所数]]</f>
        <v>0.4236111111111111</v>
      </c>
      <c r="G21" s="11">
        <f>LTBL_01516[[#Totals],[法人／事業所数]]/LTBL_01516[[#Totals],[総数／事業所数]]</f>
        <v>0.53472222222222221</v>
      </c>
      <c r="I21" s="11">
        <f>LTBL_01516[[#Totals],[法人以外の団体／事業所数]]/LTBL_01516[[#Totals],[総数／事業所数]]</f>
        <v>2.7777777777777776E-2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15</v>
      </c>
      <c r="D24" s="8">
        <v>10.42</v>
      </c>
      <c r="E24" s="12">
        <v>13</v>
      </c>
      <c r="F24" s="8">
        <v>21.31</v>
      </c>
      <c r="G24" s="12">
        <v>2</v>
      </c>
      <c r="H24" s="8">
        <v>2.6</v>
      </c>
      <c r="I24" s="12">
        <v>0</v>
      </c>
    </row>
    <row r="25" spans="2:9" ht="15" customHeight="1" x14ac:dyDescent="0.2">
      <c r="B25" t="s">
        <v>213</v>
      </c>
      <c r="C25" s="12">
        <v>12</v>
      </c>
      <c r="D25" s="8">
        <v>8.33</v>
      </c>
      <c r="E25" s="12">
        <v>0</v>
      </c>
      <c r="F25" s="8">
        <v>0</v>
      </c>
      <c r="G25" s="12">
        <v>12</v>
      </c>
      <c r="H25" s="8">
        <v>15.58</v>
      </c>
      <c r="I25" s="12">
        <v>0</v>
      </c>
    </row>
    <row r="26" spans="2:9" ht="15" customHeight="1" x14ac:dyDescent="0.2">
      <c r="B26" t="s">
        <v>228</v>
      </c>
      <c r="C26" s="12">
        <v>12</v>
      </c>
      <c r="D26" s="8">
        <v>8.33</v>
      </c>
      <c r="E26" s="12">
        <v>12</v>
      </c>
      <c r="F26" s="8">
        <v>19.670000000000002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243</v>
      </c>
      <c r="C27" s="12">
        <v>11</v>
      </c>
      <c r="D27" s="8">
        <v>7.64</v>
      </c>
      <c r="E27" s="12">
        <v>3</v>
      </c>
      <c r="F27" s="8">
        <v>4.92</v>
      </c>
      <c r="G27" s="12">
        <v>6</v>
      </c>
      <c r="H27" s="8">
        <v>7.79</v>
      </c>
      <c r="I27" s="12">
        <v>2</v>
      </c>
    </row>
    <row r="28" spans="2:9" ht="15" customHeight="1" x14ac:dyDescent="0.2">
      <c r="B28" t="s">
        <v>223</v>
      </c>
      <c r="C28" s="12">
        <v>8</v>
      </c>
      <c r="D28" s="8">
        <v>5.56</v>
      </c>
      <c r="E28" s="12">
        <v>3</v>
      </c>
      <c r="F28" s="8">
        <v>4.92</v>
      </c>
      <c r="G28" s="12">
        <v>5</v>
      </c>
      <c r="H28" s="8">
        <v>6.49</v>
      </c>
      <c r="I28" s="12">
        <v>0</v>
      </c>
    </row>
    <row r="29" spans="2:9" ht="15" customHeight="1" x14ac:dyDescent="0.2">
      <c r="B29" t="s">
        <v>215</v>
      </c>
      <c r="C29" s="12">
        <v>6</v>
      </c>
      <c r="D29" s="8">
        <v>4.17</v>
      </c>
      <c r="E29" s="12">
        <v>0</v>
      </c>
      <c r="F29" s="8">
        <v>0</v>
      </c>
      <c r="G29" s="12">
        <v>6</v>
      </c>
      <c r="H29" s="8">
        <v>7.79</v>
      </c>
      <c r="I29" s="12">
        <v>0</v>
      </c>
    </row>
    <row r="30" spans="2:9" ht="15" customHeight="1" x14ac:dyDescent="0.2">
      <c r="B30" t="s">
        <v>218</v>
      </c>
      <c r="C30" s="12">
        <v>6</v>
      </c>
      <c r="D30" s="8">
        <v>4.17</v>
      </c>
      <c r="E30" s="12">
        <v>0</v>
      </c>
      <c r="F30" s="8">
        <v>0</v>
      </c>
      <c r="G30" s="12">
        <v>6</v>
      </c>
      <c r="H30" s="8">
        <v>7.79</v>
      </c>
      <c r="I30" s="12">
        <v>0</v>
      </c>
    </row>
    <row r="31" spans="2:9" ht="15" customHeight="1" x14ac:dyDescent="0.2">
      <c r="B31" t="s">
        <v>221</v>
      </c>
      <c r="C31" s="12">
        <v>6</v>
      </c>
      <c r="D31" s="8">
        <v>4.17</v>
      </c>
      <c r="E31" s="12">
        <v>2</v>
      </c>
      <c r="F31" s="8">
        <v>3.28</v>
      </c>
      <c r="G31" s="12">
        <v>4</v>
      </c>
      <c r="H31" s="8">
        <v>5.19</v>
      </c>
      <c r="I31" s="12">
        <v>0</v>
      </c>
    </row>
    <row r="32" spans="2:9" ht="15" customHeight="1" x14ac:dyDescent="0.2">
      <c r="B32" t="s">
        <v>224</v>
      </c>
      <c r="C32" s="12">
        <v>6</v>
      </c>
      <c r="D32" s="8">
        <v>4.17</v>
      </c>
      <c r="E32" s="12">
        <v>5</v>
      </c>
      <c r="F32" s="8">
        <v>8.1999999999999993</v>
      </c>
      <c r="G32" s="12">
        <v>1</v>
      </c>
      <c r="H32" s="8">
        <v>1.3</v>
      </c>
      <c r="I32" s="12">
        <v>0</v>
      </c>
    </row>
    <row r="33" spans="2:9" ht="15" customHeight="1" x14ac:dyDescent="0.2">
      <c r="B33" t="s">
        <v>226</v>
      </c>
      <c r="C33" s="12">
        <v>6</v>
      </c>
      <c r="D33" s="8">
        <v>4.17</v>
      </c>
      <c r="E33" s="12">
        <v>3</v>
      </c>
      <c r="F33" s="8">
        <v>4.92</v>
      </c>
      <c r="G33" s="12">
        <v>3</v>
      </c>
      <c r="H33" s="8">
        <v>3.9</v>
      </c>
      <c r="I33" s="12">
        <v>0</v>
      </c>
    </row>
    <row r="34" spans="2:9" ht="15" customHeight="1" x14ac:dyDescent="0.2">
      <c r="B34" t="s">
        <v>214</v>
      </c>
      <c r="C34" s="12">
        <v>5</v>
      </c>
      <c r="D34" s="8">
        <v>3.47</v>
      </c>
      <c r="E34" s="12">
        <v>3</v>
      </c>
      <c r="F34" s="8">
        <v>4.92</v>
      </c>
      <c r="G34" s="12">
        <v>2</v>
      </c>
      <c r="H34" s="8">
        <v>2.6</v>
      </c>
      <c r="I34" s="12">
        <v>0</v>
      </c>
    </row>
    <row r="35" spans="2:9" ht="15" customHeight="1" x14ac:dyDescent="0.2">
      <c r="B35" t="s">
        <v>231</v>
      </c>
      <c r="C35" s="12">
        <v>5</v>
      </c>
      <c r="D35" s="8">
        <v>3.47</v>
      </c>
      <c r="E35" s="12">
        <v>5</v>
      </c>
      <c r="F35" s="8">
        <v>8.1999999999999993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241</v>
      </c>
      <c r="C36" s="12">
        <v>4</v>
      </c>
      <c r="D36" s="8">
        <v>2.78</v>
      </c>
      <c r="E36" s="12">
        <v>1</v>
      </c>
      <c r="F36" s="8">
        <v>1.64</v>
      </c>
      <c r="G36" s="12">
        <v>3</v>
      </c>
      <c r="H36" s="8">
        <v>3.9</v>
      </c>
      <c r="I36" s="12">
        <v>0</v>
      </c>
    </row>
    <row r="37" spans="2:9" ht="15" customHeight="1" x14ac:dyDescent="0.2">
      <c r="B37" t="s">
        <v>236</v>
      </c>
      <c r="C37" s="12">
        <v>4</v>
      </c>
      <c r="D37" s="8">
        <v>2.78</v>
      </c>
      <c r="E37" s="12">
        <v>0</v>
      </c>
      <c r="F37" s="8">
        <v>0</v>
      </c>
      <c r="G37" s="12">
        <v>4</v>
      </c>
      <c r="H37" s="8">
        <v>5.19</v>
      </c>
      <c r="I37" s="12">
        <v>0</v>
      </c>
    </row>
    <row r="38" spans="2:9" ht="15" customHeight="1" x14ac:dyDescent="0.2">
      <c r="B38" t="s">
        <v>219</v>
      </c>
      <c r="C38" s="12">
        <v>3</v>
      </c>
      <c r="D38" s="8">
        <v>2.08</v>
      </c>
      <c r="E38" s="12">
        <v>0</v>
      </c>
      <c r="F38" s="8">
        <v>0</v>
      </c>
      <c r="G38" s="12">
        <v>3</v>
      </c>
      <c r="H38" s="8">
        <v>3.9</v>
      </c>
      <c r="I38" s="12">
        <v>0</v>
      </c>
    </row>
    <row r="39" spans="2:9" ht="15" customHeight="1" x14ac:dyDescent="0.2">
      <c r="B39" t="s">
        <v>229</v>
      </c>
      <c r="C39" s="12">
        <v>3</v>
      </c>
      <c r="D39" s="8">
        <v>2.08</v>
      </c>
      <c r="E39" s="12">
        <v>2</v>
      </c>
      <c r="F39" s="8">
        <v>3.28</v>
      </c>
      <c r="G39" s="12">
        <v>0</v>
      </c>
      <c r="H39" s="8">
        <v>0</v>
      </c>
      <c r="I39" s="12">
        <v>1</v>
      </c>
    </row>
    <row r="40" spans="2:9" ht="15" customHeight="1" x14ac:dyDescent="0.2">
      <c r="B40" t="s">
        <v>240</v>
      </c>
      <c r="C40" s="12">
        <v>3</v>
      </c>
      <c r="D40" s="8">
        <v>2.08</v>
      </c>
      <c r="E40" s="12">
        <v>1</v>
      </c>
      <c r="F40" s="8">
        <v>1.64</v>
      </c>
      <c r="G40" s="12">
        <v>2</v>
      </c>
      <c r="H40" s="8">
        <v>2.6</v>
      </c>
      <c r="I40" s="12">
        <v>0</v>
      </c>
    </row>
    <row r="41" spans="2:9" ht="15" customHeight="1" x14ac:dyDescent="0.2">
      <c r="B41" t="s">
        <v>253</v>
      </c>
      <c r="C41" s="12">
        <v>2</v>
      </c>
      <c r="D41" s="8">
        <v>1.39</v>
      </c>
      <c r="E41" s="12">
        <v>1</v>
      </c>
      <c r="F41" s="8">
        <v>1.64</v>
      </c>
      <c r="G41" s="12">
        <v>1</v>
      </c>
      <c r="H41" s="8">
        <v>1.3</v>
      </c>
      <c r="I41" s="12">
        <v>0</v>
      </c>
    </row>
    <row r="42" spans="2:9" ht="15" customHeight="1" x14ac:dyDescent="0.2">
      <c r="B42" t="s">
        <v>255</v>
      </c>
      <c r="C42" s="12">
        <v>2</v>
      </c>
      <c r="D42" s="8">
        <v>1.39</v>
      </c>
      <c r="E42" s="12">
        <v>0</v>
      </c>
      <c r="F42" s="8">
        <v>0</v>
      </c>
      <c r="G42" s="12">
        <v>1</v>
      </c>
      <c r="H42" s="8">
        <v>1.3</v>
      </c>
      <c r="I42" s="12">
        <v>0</v>
      </c>
    </row>
    <row r="43" spans="2:9" ht="15" customHeight="1" x14ac:dyDescent="0.2">
      <c r="B43" t="s">
        <v>261</v>
      </c>
      <c r="C43" s="12">
        <v>2</v>
      </c>
      <c r="D43" s="8">
        <v>1.39</v>
      </c>
      <c r="E43" s="12">
        <v>0</v>
      </c>
      <c r="F43" s="8">
        <v>0</v>
      </c>
      <c r="G43" s="12">
        <v>1</v>
      </c>
      <c r="H43" s="8">
        <v>1.3</v>
      </c>
      <c r="I43" s="12">
        <v>1</v>
      </c>
    </row>
    <row r="44" spans="2:9" ht="15" customHeight="1" x14ac:dyDescent="0.2">
      <c r="B44" t="s">
        <v>217</v>
      </c>
      <c r="C44" s="12">
        <v>2</v>
      </c>
      <c r="D44" s="8">
        <v>1.39</v>
      </c>
      <c r="E44" s="12">
        <v>0</v>
      </c>
      <c r="F44" s="8">
        <v>0</v>
      </c>
      <c r="G44" s="12">
        <v>2</v>
      </c>
      <c r="H44" s="8">
        <v>2.6</v>
      </c>
      <c r="I44" s="12">
        <v>0</v>
      </c>
    </row>
    <row r="45" spans="2:9" ht="15" customHeight="1" x14ac:dyDescent="0.2">
      <c r="B45" t="s">
        <v>220</v>
      </c>
      <c r="C45" s="12">
        <v>2</v>
      </c>
      <c r="D45" s="8">
        <v>1.39</v>
      </c>
      <c r="E45" s="12">
        <v>2</v>
      </c>
      <c r="F45" s="8">
        <v>3.28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222</v>
      </c>
      <c r="C46" s="12">
        <v>2</v>
      </c>
      <c r="D46" s="8">
        <v>1.39</v>
      </c>
      <c r="E46" s="12">
        <v>0</v>
      </c>
      <c r="F46" s="8">
        <v>0</v>
      </c>
      <c r="G46" s="12">
        <v>2</v>
      </c>
      <c r="H46" s="8">
        <v>2.6</v>
      </c>
      <c r="I46" s="12">
        <v>0</v>
      </c>
    </row>
    <row r="47" spans="2:9" ht="15" customHeight="1" x14ac:dyDescent="0.2">
      <c r="B47" t="s">
        <v>230</v>
      </c>
      <c r="C47" s="12">
        <v>2</v>
      </c>
      <c r="D47" s="8">
        <v>1.39</v>
      </c>
      <c r="E47" s="12">
        <v>2</v>
      </c>
      <c r="F47" s="8">
        <v>3.28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232</v>
      </c>
      <c r="C48" s="12">
        <v>2</v>
      </c>
      <c r="D48" s="8">
        <v>1.39</v>
      </c>
      <c r="E48" s="12">
        <v>0</v>
      </c>
      <c r="F48" s="8">
        <v>0</v>
      </c>
      <c r="G48" s="12">
        <v>2</v>
      </c>
      <c r="H48" s="8">
        <v>2.6</v>
      </c>
      <c r="I48" s="12">
        <v>0</v>
      </c>
    </row>
    <row r="49" spans="2:9" ht="15" customHeight="1" x14ac:dyDescent="0.2">
      <c r="B49" t="s">
        <v>242</v>
      </c>
      <c r="C49" s="12">
        <v>2</v>
      </c>
      <c r="D49" s="8">
        <v>1.39</v>
      </c>
      <c r="E49" s="12">
        <v>2</v>
      </c>
      <c r="F49" s="8">
        <v>3.28</v>
      </c>
      <c r="G49" s="12">
        <v>0</v>
      </c>
      <c r="H49" s="8">
        <v>0</v>
      </c>
      <c r="I49" s="12">
        <v>0</v>
      </c>
    </row>
    <row r="52" spans="2:9" ht="33" customHeight="1" x14ac:dyDescent="0.2">
      <c r="B52" t="s">
        <v>531</v>
      </c>
      <c r="C52" s="10" t="s">
        <v>206</v>
      </c>
      <c r="D52" s="10" t="s">
        <v>207</v>
      </c>
      <c r="E52" s="10" t="s">
        <v>208</v>
      </c>
      <c r="F52" s="10" t="s">
        <v>209</v>
      </c>
      <c r="G52" s="10" t="s">
        <v>210</v>
      </c>
      <c r="H52" s="10" t="s">
        <v>211</v>
      </c>
      <c r="I52" s="10" t="s">
        <v>212</v>
      </c>
    </row>
    <row r="53" spans="2:9" ht="15" customHeight="1" x14ac:dyDescent="0.2">
      <c r="B53" t="s">
        <v>339</v>
      </c>
      <c r="C53" s="12">
        <v>7</v>
      </c>
      <c r="D53" s="8">
        <v>4.8600000000000003</v>
      </c>
      <c r="E53" s="12">
        <v>2</v>
      </c>
      <c r="F53" s="8">
        <v>3.28</v>
      </c>
      <c r="G53" s="12">
        <v>5</v>
      </c>
      <c r="H53" s="8">
        <v>6.49</v>
      </c>
      <c r="I53" s="12">
        <v>0</v>
      </c>
    </row>
    <row r="54" spans="2:9" ht="15" customHeight="1" x14ac:dyDescent="0.2">
      <c r="B54" t="s">
        <v>304</v>
      </c>
      <c r="C54" s="12">
        <v>7</v>
      </c>
      <c r="D54" s="8">
        <v>4.8600000000000003</v>
      </c>
      <c r="E54" s="12">
        <v>7</v>
      </c>
      <c r="F54" s="8">
        <v>11.48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288</v>
      </c>
      <c r="C55" s="12">
        <v>6</v>
      </c>
      <c r="D55" s="8">
        <v>4.17</v>
      </c>
      <c r="E55" s="12">
        <v>0</v>
      </c>
      <c r="F55" s="8">
        <v>0</v>
      </c>
      <c r="G55" s="12">
        <v>6</v>
      </c>
      <c r="H55" s="8">
        <v>7.79</v>
      </c>
      <c r="I55" s="12">
        <v>0</v>
      </c>
    </row>
    <row r="56" spans="2:9" ht="15" customHeight="1" x14ac:dyDescent="0.2">
      <c r="B56" t="s">
        <v>297</v>
      </c>
      <c r="C56" s="12">
        <v>6</v>
      </c>
      <c r="D56" s="8">
        <v>4.17</v>
      </c>
      <c r="E56" s="12">
        <v>5</v>
      </c>
      <c r="F56" s="8">
        <v>8.1999999999999993</v>
      </c>
      <c r="G56" s="12">
        <v>1</v>
      </c>
      <c r="H56" s="8">
        <v>1.3</v>
      </c>
      <c r="I56" s="12">
        <v>0</v>
      </c>
    </row>
    <row r="57" spans="2:9" ht="15" customHeight="1" x14ac:dyDescent="0.2">
      <c r="B57" t="s">
        <v>300</v>
      </c>
      <c r="C57" s="12">
        <v>5</v>
      </c>
      <c r="D57" s="8">
        <v>3.47</v>
      </c>
      <c r="E57" s="12">
        <v>4</v>
      </c>
      <c r="F57" s="8">
        <v>6.56</v>
      </c>
      <c r="G57" s="12">
        <v>1</v>
      </c>
      <c r="H57" s="8">
        <v>1.3</v>
      </c>
      <c r="I57" s="12">
        <v>0</v>
      </c>
    </row>
    <row r="58" spans="2:9" ht="15" customHeight="1" x14ac:dyDescent="0.2">
      <c r="B58" t="s">
        <v>321</v>
      </c>
      <c r="C58" s="12">
        <v>4</v>
      </c>
      <c r="D58" s="8">
        <v>2.78</v>
      </c>
      <c r="E58" s="12">
        <v>0</v>
      </c>
      <c r="F58" s="8">
        <v>0</v>
      </c>
      <c r="G58" s="12">
        <v>4</v>
      </c>
      <c r="H58" s="8">
        <v>5.19</v>
      </c>
      <c r="I58" s="12">
        <v>0</v>
      </c>
    </row>
    <row r="59" spans="2:9" ht="15" customHeight="1" x14ac:dyDescent="0.2">
      <c r="B59" t="s">
        <v>482</v>
      </c>
      <c r="C59" s="12">
        <v>4</v>
      </c>
      <c r="D59" s="8">
        <v>2.78</v>
      </c>
      <c r="E59" s="12">
        <v>1</v>
      </c>
      <c r="F59" s="8">
        <v>1.64</v>
      </c>
      <c r="G59" s="12">
        <v>3</v>
      </c>
      <c r="H59" s="8">
        <v>3.9</v>
      </c>
      <c r="I59" s="12">
        <v>0</v>
      </c>
    </row>
    <row r="60" spans="2:9" ht="15" customHeight="1" x14ac:dyDescent="0.2">
      <c r="B60" t="s">
        <v>301</v>
      </c>
      <c r="C60" s="12">
        <v>4</v>
      </c>
      <c r="D60" s="8">
        <v>2.78</v>
      </c>
      <c r="E60" s="12">
        <v>4</v>
      </c>
      <c r="F60" s="8">
        <v>6.56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303</v>
      </c>
      <c r="C61" s="12">
        <v>4</v>
      </c>
      <c r="D61" s="8">
        <v>2.78</v>
      </c>
      <c r="E61" s="12">
        <v>4</v>
      </c>
      <c r="F61" s="8">
        <v>6.56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306</v>
      </c>
      <c r="C62" s="12">
        <v>4</v>
      </c>
      <c r="D62" s="8">
        <v>2.78</v>
      </c>
      <c r="E62" s="12">
        <v>4</v>
      </c>
      <c r="F62" s="8">
        <v>6.56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290</v>
      </c>
      <c r="C63" s="12">
        <v>3</v>
      </c>
      <c r="D63" s="8">
        <v>2.08</v>
      </c>
      <c r="E63" s="12">
        <v>0</v>
      </c>
      <c r="F63" s="8">
        <v>0</v>
      </c>
      <c r="G63" s="12">
        <v>3</v>
      </c>
      <c r="H63" s="8">
        <v>3.9</v>
      </c>
      <c r="I63" s="12">
        <v>0</v>
      </c>
    </row>
    <row r="64" spans="2:9" ht="15" customHeight="1" x14ac:dyDescent="0.2">
      <c r="B64" t="s">
        <v>291</v>
      </c>
      <c r="C64" s="12">
        <v>3</v>
      </c>
      <c r="D64" s="8">
        <v>2.08</v>
      </c>
      <c r="E64" s="12">
        <v>0</v>
      </c>
      <c r="F64" s="8">
        <v>0</v>
      </c>
      <c r="G64" s="12">
        <v>3</v>
      </c>
      <c r="H64" s="8">
        <v>3.9</v>
      </c>
      <c r="I64" s="12">
        <v>0</v>
      </c>
    </row>
    <row r="65" spans="2:9" ht="15" customHeight="1" x14ac:dyDescent="0.2">
      <c r="B65" t="s">
        <v>413</v>
      </c>
      <c r="C65" s="12">
        <v>3</v>
      </c>
      <c r="D65" s="8">
        <v>2.08</v>
      </c>
      <c r="E65" s="12">
        <v>0</v>
      </c>
      <c r="F65" s="8">
        <v>0</v>
      </c>
      <c r="G65" s="12">
        <v>3</v>
      </c>
      <c r="H65" s="8">
        <v>3.9</v>
      </c>
      <c r="I65" s="12">
        <v>0</v>
      </c>
    </row>
    <row r="66" spans="2:9" ht="15" customHeight="1" x14ac:dyDescent="0.2">
      <c r="B66" t="s">
        <v>332</v>
      </c>
      <c r="C66" s="12">
        <v>3</v>
      </c>
      <c r="D66" s="8">
        <v>2.08</v>
      </c>
      <c r="E66" s="12">
        <v>0</v>
      </c>
      <c r="F66" s="8">
        <v>0</v>
      </c>
      <c r="G66" s="12">
        <v>3</v>
      </c>
      <c r="H66" s="8">
        <v>3.9</v>
      </c>
      <c r="I66" s="12">
        <v>0</v>
      </c>
    </row>
    <row r="67" spans="2:9" ht="15" customHeight="1" x14ac:dyDescent="0.2">
      <c r="B67" t="s">
        <v>344</v>
      </c>
      <c r="C67" s="12">
        <v>3</v>
      </c>
      <c r="D67" s="8">
        <v>2.08</v>
      </c>
      <c r="E67" s="12">
        <v>0</v>
      </c>
      <c r="F67" s="8">
        <v>0</v>
      </c>
      <c r="G67" s="12">
        <v>3</v>
      </c>
      <c r="H67" s="8">
        <v>3.9</v>
      </c>
      <c r="I67" s="12">
        <v>0</v>
      </c>
    </row>
    <row r="68" spans="2:9" ht="15" customHeight="1" x14ac:dyDescent="0.2">
      <c r="B68" t="s">
        <v>307</v>
      </c>
      <c r="C68" s="12">
        <v>3</v>
      </c>
      <c r="D68" s="8">
        <v>2.08</v>
      </c>
      <c r="E68" s="12">
        <v>1</v>
      </c>
      <c r="F68" s="8">
        <v>1.64</v>
      </c>
      <c r="G68" s="12">
        <v>2</v>
      </c>
      <c r="H68" s="8">
        <v>2.6</v>
      </c>
      <c r="I68" s="12">
        <v>0</v>
      </c>
    </row>
    <row r="69" spans="2:9" ht="15" customHeight="1" x14ac:dyDescent="0.2">
      <c r="B69" t="s">
        <v>289</v>
      </c>
      <c r="C69" s="12">
        <v>2</v>
      </c>
      <c r="D69" s="8">
        <v>1.39</v>
      </c>
      <c r="E69" s="12">
        <v>0</v>
      </c>
      <c r="F69" s="8">
        <v>0</v>
      </c>
      <c r="G69" s="12">
        <v>2</v>
      </c>
      <c r="H69" s="8">
        <v>2.6</v>
      </c>
      <c r="I69" s="12">
        <v>0</v>
      </c>
    </row>
    <row r="70" spans="2:9" ht="15" customHeight="1" x14ac:dyDescent="0.2">
      <c r="B70" t="s">
        <v>328</v>
      </c>
      <c r="C70" s="12">
        <v>2</v>
      </c>
      <c r="D70" s="8">
        <v>1.39</v>
      </c>
      <c r="E70" s="12">
        <v>0</v>
      </c>
      <c r="F70" s="8">
        <v>0</v>
      </c>
      <c r="G70" s="12">
        <v>2</v>
      </c>
      <c r="H70" s="8">
        <v>2.6</v>
      </c>
      <c r="I70" s="12">
        <v>0</v>
      </c>
    </row>
    <row r="71" spans="2:9" ht="15" customHeight="1" x14ac:dyDescent="0.2">
      <c r="B71" t="s">
        <v>343</v>
      </c>
      <c r="C71" s="12">
        <v>2</v>
      </c>
      <c r="D71" s="8">
        <v>1.39</v>
      </c>
      <c r="E71" s="12">
        <v>1</v>
      </c>
      <c r="F71" s="8">
        <v>1.64</v>
      </c>
      <c r="G71" s="12">
        <v>1</v>
      </c>
      <c r="H71" s="8">
        <v>1.3</v>
      </c>
      <c r="I71" s="12">
        <v>0</v>
      </c>
    </row>
    <row r="72" spans="2:9" ht="15" customHeight="1" x14ac:dyDescent="0.2">
      <c r="B72" t="s">
        <v>333</v>
      </c>
      <c r="C72" s="12">
        <v>2</v>
      </c>
      <c r="D72" s="8">
        <v>1.39</v>
      </c>
      <c r="E72" s="12">
        <v>1</v>
      </c>
      <c r="F72" s="8">
        <v>1.64</v>
      </c>
      <c r="G72" s="12">
        <v>1</v>
      </c>
      <c r="H72" s="8">
        <v>1.3</v>
      </c>
      <c r="I72" s="12">
        <v>0</v>
      </c>
    </row>
    <row r="73" spans="2:9" ht="15" customHeight="1" x14ac:dyDescent="0.2">
      <c r="B73" t="s">
        <v>374</v>
      </c>
      <c r="C73" s="12">
        <v>2</v>
      </c>
      <c r="D73" s="8">
        <v>1.39</v>
      </c>
      <c r="E73" s="12">
        <v>1</v>
      </c>
      <c r="F73" s="8">
        <v>1.64</v>
      </c>
      <c r="G73" s="12">
        <v>1</v>
      </c>
      <c r="H73" s="8">
        <v>1.3</v>
      </c>
      <c r="I73" s="12">
        <v>0</v>
      </c>
    </row>
    <row r="74" spans="2:9" ht="15" customHeight="1" x14ac:dyDescent="0.2">
      <c r="B74" t="s">
        <v>364</v>
      </c>
      <c r="C74" s="12">
        <v>2</v>
      </c>
      <c r="D74" s="8">
        <v>1.39</v>
      </c>
      <c r="E74" s="12">
        <v>0</v>
      </c>
      <c r="F74" s="8">
        <v>0</v>
      </c>
      <c r="G74" s="12">
        <v>1</v>
      </c>
      <c r="H74" s="8">
        <v>1.3</v>
      </c>
      <c r="I74" s="12">
        <v>1</v>
      </c>
    </row>
    <row r="75" spans="2:9" ht="15" customHeight="1" x14ac:dyDescent="0.2">
      <c r="B75" t="s">
        <v>346</v>
      </c>
      <c r="C75" s="12">
        <v>2</v>
      </c>
      <c r="D75" s="8">
        <v>1.39</v>
      </c>
      <c r="E75" s="12">
        <v>0</v>
      </c>
      <c r="F75" s="8">
        <v>0</v>
      </c>
      <c r="G75" s="12">
        <v>2</v>
      </c>
      <c r="H75" s="8">
        <v>2.6</v>
      </c>
      <c r="I75" s="12">
        <v>0</v>
      </c>
    </row>
    <row r="76" spans="2:9" ht="15" customHeight="1" x14ac:dyDescent="0.2">
      <c r="B76" t="s">
        <v>421</v>
      </c>
      <c r="C76" s="12">
        <v>2</v>
      </c>
      <c r="D76" s="8">
        <v>1.39</v>
      </c>
      <c r="E76" s="12">
        <v>0</v>
      </c>
      <c r="F76" s="8">
        <v>0</v>
      </c>
      <c r="G76" s="12">
        <v>2</v>
      </c>
      <c r="H76" s="8">
        <v>2.6</v>
      </c>
      <c r="I76" s="12">
        <v>0</v>
      </c>
    </row>
    <row r="77" spans="2:9" ht="15" customHeight="1" x14ac:dyDescent="0.2">
      <c r="B77" t="s">
        <v>309</v>
      </c>
      <c r="C77" s="12">
        <v>2</v>
      </c>
      <c r="D77" s="8">
        <v>1.39</v>
      </c>
      <c r="E77" s="12">
        <v>0</v>
      </c>
      <c r="F77" s="8">
        <v>0</v>
      </c>
      <c r="G77" s="12">
        <v>2</v>
      </c>
      <c r="H77" s="8">
        <v>2.6</v>
      </c>
      <c r="I77" s="12">
        <v>0</v>
      </c>
    </row>
    <row r="78" spans="2:9" ht="15" customHeight="1" x14ac:dyDescent="0.2">
      <c r="B78" t="s">
        <v>335</v>
      </c>
      <c r="C78" s="12">
        <v>2</v>
      </c>
      <c r="D78" s="8">
        <v>1.39</v>
      </c>
      <c r="E78" s="12">
        <v>0</v>
      </c>
      <c r="F78" s="8">
        <v>0</v>
      </c>
      <c r="G78" s="12">
        <v>2</v>
      </c>
      <c r="H78" s="8">
        <v>2.6</v>
      </c>
      <c r="I78" s="12">
        <v>0</v>
      </c>
    </row>
    <row r="79" spans="2:9" ht="15" customHeight="1" x14ac:dyDescent="0.2">
      <c r="B79" t="s">
        <v>402</v>
      </c>
      <c r="C79" s="12">
        <v>2</v>
      </c>
      <c r="D79" s="8">
        <v>1.39</v>
      </c>
      <c r="E79" s="12">
        <v>1</v>
      </c>
      <c r="F79" s="8">
        <v>1.64</v>
      </c>
      <c r="G79" s="12">
        <v>1</v>
      </c>
      <c r="H79" s="8">
        <v>1.3</v>
      </c>
      <c r="I79" s="12">
        <v>0</v>
      </c>
    </row>
    <row r="80" spans="2:9" ht="15" customHeight="1" x14ac:dyDescent="0.2">
      <c r="B80" t="s">
        <v>294</v>
      </c>
      <c r="C80" s="12">
        <v>2</v>
      </c>
      <c r="D80" s="8">
        <v>1.39</v>
      </c>
      <c r="E80" s="12">
        <v>0</v>
      </c>
      <c r="F80" s="8">
        <v>0</v>
      </c>
      <c r="G80" s="12">
        <v>2</v>
      </c>
      <c r="H80" s="8">
        <v>2.6</v>
      </c>
      <c r="I80" s="12">
        <v>0</v>
      </c>
    </row>
    <row r="81" spans="2:9" ht="15" customHeight="1" x14ac:dyDescent="0.2">
      <c r="B81" t="s">
        <v>422</v>
      </c>
      <c r="C81" s="12">
        <v>2</v>
      </c>
      <c r="D81" s="8">
        <v>1.39</v>
      </c>
      <c r="E81" s="12">
        <v>1</v>
      </c>
      <c r="F81" s="8">
        <v>1.64</v>
      </c>
      <c r="G81" s="12">
        <v>0</v>
      </c>
      <c r="H81" s="8">
        <v>0</v>
      </c>
      <c r="I81" s="12">
        <v>1</v>
      </c>
    </row>
    <row r="82" spans="2:9" ht="15" customHeight="1" x14ac:dyDescent="0.2">
      <c r="B82" t="s">
        <v>334</v>
      </c>
      <c r="C82" s="12">
        <v>2</v>
      </c>
      <c r="D82" s="8">
        <v>1.39</v>
      </c>
      <c r="E82" s="12">
        <v>1</v>
      </c>
      <c r="F82" s="8">
        <v>1.64</v>
      </c>
      <c r="G82" s="12">
        <v>1</v>
      </c>
      <c r="H82" s="8">
        <v>1.3</v>
      </c>
      <c r="I82" s="12">
        <v>0</v>
      </c>
    </row>
    <row r="83" spans="2:9" ht="15" customHeight="1" x14ac:dyDescent="0.2">
      <c r="B83" t="s">
        <v>302</v>
      </c>
      <c r="C83" s="12">
        <v>2</v>
      </c>
      <c r="D83" s="8">
        <v>1.39</v>
      </c>
      <c r="E83" s="12">
        <v>2</v>
      </c>
      <c r="F83" s="8">
        <v>3.28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305</v>
      </c>
      <c r="C84" s="12">
        <v>2</v>
      </c>
      <c r="D84" s="8">
        <v>1.39</v>
      </c>
      <c r="E84" s="12">
        <v>2</v>
      </c>
      <c r="F84" s="8">
        <v>3.28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347</v>
      </c>
      <c r="C85" s="12">
        <v>2</v>
      </c>
      <c r="D85" s="8">
        <v>1.39</v>
      </c>
      <c r="E85" s="12">
        <v>0</v>
      </c>
      <c r="F85" s="8">
        <v>0</v>
      </c>
      <c r="G85" s="12">
        <v>2</v>
      </c>
      <c r="H85" s="8">
        <v>2.6</v>
      </c>
      <c r="I85" s="12">
        <v>0</v>
      </c>
    </row>
    <row r="86" spans="2:9" ht="15" customHeight="1" x14ac:dyDescent="0.2">
      <c r="B86" t="s">
        <v>371</v>
      </c>
      <c r="C86" s="12">
        <v>2</v>
      </c>
      <c r="D86" s="8">
        <v>1.39</v>
      </c>
      <c r="E86" s="12">
        <v>2</v>
      </c>
      <c r="F86" s="8">
        <v>3.28</v>
      </c>
      <c r="G86" s="12">
        <v>0</v>
      </c>
      <c r="H86" s="8">
        <v>0</v>
      </c>
      <c r="I86" s="12">
        <v>0</v>
      </c>
    </row>
    <row r="88" spans="2:9" ht="15" customHeight="1" x14ac:dyDescent="0.2">
      <c r="B8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A727A-0798-427A-91BF-D43B574CB600}">
  <sheetPr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12</v>
      </c>
      <c r="D6" s="8">
        <v>11.65</v>
      </c>
      <c r="E6" s="12">
        <v>6</v>
      </c>
      <c r="F6" s="8">
        <v>8.4499999999999993</v>
      </c>
      <c r="G6" s="12">
        <v>6</v>
      </c>
      <c r="H6" s="8">
        <v>23.08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7.77</v>
      </c>
      <c r="E7" s="12">
        <v>5</v>
      </c>
      <c r="F7" s="8">
        <v>7.04</v>
      </c>
      <c r="G7" s="12">
        <v>3</v>
      </c>
      <c r="H7" s="8">
        <v>11.54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0.97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2.91</v>
      </c>
      <c r="E10" s="12">
        <v>0</v>
      </c>
      <c r="F10" s="8">
        <v>0</v>
      </c>
      <c r="G10" s="12">
        <v>2</v>
      </c>
      <c r="H10" s="8">
        <v>7.69</v>
      </c>
      <c r="I10" s="12">
        <v>0</v>
      </c>
    </row>
    <row r="11" spans="2:9" ht="15" customHeight="1" x14ac:dyDescent="0.2">
      <c r="B11" t="s">
        <v>196</v>
      </c>
      <c r="C11" s="12">
        <v>29</v>
      </c>
      <c r="D11" s="8">
        <v>28.16</v>
      </c>
      <c r="E11" s="12">
        <v>19</v>
      </c>
      <c r="F11" s="8">
        <v>26.76</v>
      </c>
      <c r="G11" s="12">
        <v>10</v>
      </c>
      <c r="H11" s="8">
        <v>38.46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2.91</v>
      </c>
      <c r="E13" s="12">
        <v>2</v>
      </c>
      <c r="F13" s="8">
        <v>2.82</v>
      </c>
      <c r="G13" s="12">
        <v>1</v>
      </c>
      <c r="H13" s="8">
        <v>3.85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2.91</v>
      </c>
      <c r="E14" s="12">
        <v>1</v>
      </c>
      <c r="F14" s="8">
        <v>1.41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30</v>
      </c>
      <c r="D15" s="8">
        <v>29.13</v>
      </c>
      <c r="E15" s="12">
        <v>27</v>
      </c>
      <c r="F15" s="8">
        <v>38.03</v>
      </c>
      <c r="G15" s="12">
        <v>3</v>
      </c>
      <c r="H15" s="8">
        <v>11.54</v>
      </c>
      <c r="I15" s="12">
        <v>0</v>
      </c>
    </row>
    <row r="16" spans="2:9" ht="15" customHeight="1" x14ac:dyDescent="0.2">
      <c r="B16" t="s">
        <v>201</v>
      </c>
      <c r="C16" s="12">
        <v>8</v>
      </c>
      <c r="D16" s="8">
        <v>7.77</v>
      </c>
      <c r="E16" s="12">
        <v>8</v>
      </c>
      <c r="F16" s="8">
        <v>11.27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0.97</v>
      </c>
      <c r="E18" s="12">
        <v>1</v>
      </c>
      <c r="F18" s="8">
        <v>1.41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4.8499999999999996</v>
      </c>
      <c r="E19" s="12">
        <v>2</v>
      </c>
      <c r="F19" s="8">
        <v>2.82</v>
      </c>
      <c r="G19" s="12">
        <v>1</v>
      </c>
      <c r="H19" s="8">
        <v>3.85</v>
      </c>
      <c r="I19" s="12">
        <v>0</v>
      </c>
    </row>
    <row r="20" spans="2:9" ht="15" customHeight="1" x14ac:dyDescent="0.2">
      <c r="B20" s="9" t="s">
        <v>529</v>
      </c>
      <c r="C20" s="12">
        <f>SUM(LTBL_01517[総数／事業所数])</f>
        <v>103</v>
      </c>
      <c r="E20" s="12">
        <f>SUBTOTAL(109,LTBL_01517[個人／事業所数])</f>
        <v>71</v>
      </c>
      <c r="G20" s="12">
        <f>SUBTOTAL(109,LTBL_01517[法人／事業所数])</f>
        <v>26</v>
      </c>
      <c r="I20" s="12">
        <f>SUBTOTAL(109,LTBL_01517[法人以外の団体／事業所数])</f>
        <v>0</v>
      </c>
    </row>
    <row r="21" spans="2:9" ht="15" customHeight="1" x14ac:dyDescent="0.2">
      <c r="E21" s="11">
        <f>LTBL_01517[[#Totals],[個人／事業所数]]/LTBL_01517[[#Totals],[総数／事業所数]]</f>
        <v>0.68932038834951459</v>
      </c>
      <c r="G21" s="11">
        <f>LTBL_01517[[#Totals],[法人／事業所数]]/LTBL_01517[[#Totals],[総数／事業所数]]</f>
        <v>0.25242718446601942</v>
      </c>
      <c r="I21" s="11">
        <f>LTBL_01517[[#Totals],[法人以外の団体／事業所数]]/LTBL_01517[[#Totals],[総数／事業所数]]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19</v>
      </c>
      <c r="D24" s="8">
        <v>18.45</v>
      </c>
      <c r="E24" s="12">
        <v>16</v>
      </c>
      <c r="F24" s="8">
        <v>22.54</v>
      </c>
      <c r="G24" s="12">
        <v>3</v>
      </c>
      <c r="H24" s="8">
        <v>11.54</v>
      </c>
      <c r="I24" s="12">
        <v>0</v>
      </c>
    </row>
    <row r="25" spans="2:9" ht="15" customHeight="1" x14ac:dyDescent="0.2">
      <c r="B25" t="s">
        <v>223</v>
      </c>
      <c r="C25" s="12">
        <v>15</v>
      </c>
      <c r="D25" s="8">
        <v>14.56</v>
      </c>
      <c r="E25" s="12">
        <v>10</v>
      </c>
      <c r="F25" s="8">
        <v>14.08</v>
      </c>
      <c r="G25" s="12">
        <v>5</v>
      </c>
      <c r="H25" s="8">
        <v>19.23</v>
      </c>
      <c r="I25" s="12">
        <v>0</v>
      </c>
    </row>
    <row r="26" spans="2:9" ht="15" customHeight="1" x14ac:dyDescent="0.2">
      <c r="B26" t="s">
        <v>243</v>
      </c>
      <c r="C26" s="12">
        <v>11</v>
      </c>
      <c r="D26" s="8">
        <v>10.68</v>
      </c>
      <c r="E26" s="12">
        <v>11</v>
      </c>
      <c r="F26" s="8">
        <v>15.49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221</v>
      </c>
      <c r="C27" s="12">
        <v>10</v>
      </c>
      <c r="D27" s="8">
        <v>9.7100000000000009</v>
      </c>
      <c r="E27" s="12">
        <v>7</v>
      </c>
      <c r="F27" s="8">
        <v>9.86</v>
      </c>
      <c r="G27" s="12">
        <v>3</v>
      </c>
      <c r="H27" s="8">
        <v>11.54</v>
      </c>
      <c r="I27" s="12">
        <v>0</v>
      </c>
    </row>
    <row r="28" spans="2:9" ht="15" customHeight="1" x14ac:dyDescent="0.2">
      <c r="B28" t="s">
        <v>228</v>
      </c>
      <c r="C28" s="12">
        <v>8</v>
      </c>
      <c r="D28" s="8">
        <v>7.77</v>
      </c>
      <c r="E28" s="12">
        <v>8</v>
      </c>
      <c r="F28" s="8">
        <v>11.27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241</v>
      </c>
      <c r="C29" s="12">
        <v>7</v>
      </c>
      <c r="D29" s="8">
        <v>6.8</v>
      </c>
      <c r="E29" s="12">
        <v>4</v>
      </c>
      <c r="F29" s="8">
        <v>5.63</v>
      </c>
      <c r="G29" s="12">
        <v>3</v>
      </c>
      <c r="H29" s="8">
        <v>11.54</v>
      </c>
      <c r="I29" s="12">
        <v>0</v>
      </c>
    </row>
    <row r="30" spans="2:9" ht="15" customHeight="1" x14ac:dyDescent="0.2">
      <c r="B30" t="s">
        <v>213</v>
      </c>
      <c r="C30" s="12">
        <v>6</v>
      </c>
      <c r="D30" s="8">
        <v>5.83</v>
      </c>
      <c r="E30" s="12">
        <v>2</v>
      </c>
      <c r="F30" s="8">
        <v>2.82</v>
      </c>
      <c r="G30" s="12">
        <v>4</v>
      </c>
      <c r="H30" s="8">
        <v>15.38</v>
      </c>
      <c r="I30" s="12">
        <v>0</v>
      </c>
    </row>
    <row r="31" spans="2:9" ht="15" customHeight="1" x14ac:dyDescent="0.2">
      <c r="B31" t="s">
        <v>214</v>
      </c>
      <c r="C31" s="12">
        <v>3</v>
      </c>
      <c r="D31" s="8">
        <v>2.91</v>
      </c>
      <c r="E31" s="12">
        <v>2</v>
      </c>
      <c r="F31" s="8">
        <v>2.82</v>
      </c>
      <c r="G31" s="12">
        <v>1</v>
      </c>
      <c r="H31" s="8">
        <v>3.85</v>
      </c>
      <c r="I31" s="12">
        <v>0</v>
      </c>
    </row>
    <row r="32" spans="2:9" ht="15" customHeight="1" x14ac:dyDescent="0.2">
      <c r="B32" t="s">
        <v>215</v>
      </c>
      <c r="C32" s="12">
        <v>3</v>
      </c>
      <c r="D32" s="8">
        <v>2.91</v>
      </c>
      <c r="E32" s="12">
        <v>2</v>
      </c>
      <c r="F32" s="8">
        <v>2.82</v>
      </c>
      <c r="G32" s="12">
        <v>1</v>
      </c>
      <c r="H32" s="8">
        <v>3.85</v>
      </c>
      <c r="I32" s="12">
        <v>0</v>
      </c>
    </row>
    <row r="33" spans="2:9" ht="15" customHeight="1" x14ac:dyDescent="0.2">
      <c r="B33" t="s">
        <v>249</v>
      </c>
      <c r="C33" s="12">
        <v>3</v>
      </c>
      <c r="D33" s="8">
        <v>2.91</v>
      </c>
      <c r="E33" s="12">
        <v>0</v>
      </c>
      <c r="F33" s="8">
        <v>0</v>
      </c>
      <c r="G33" s="12">
        <v>1</v>
      </c>
      <c r="H33" s="8">
        <v>3.85</v>
      </c>
      <c r="I33" s="12">
        <v>0</v>
      </c>
    </row>
    <row r="34" spans="2:9" ht="15" customHeight="1" x14ac:dyDescent="0.2">
      <c r="B34" t="s">
        <v>219</v>
      </c>
      <c r="C34" s="12">
        <v>2</v>
      </c>
      <c r="D34" s="8">
        <v>1.94</v>
      </c>
      <c r="E34" s="12">
        <v>1</v>
      </c>
      <c r="F34" s="8">
        <v>1.41</v>
      </c>
      <c r="G34" s="12">
        <v>1</v>
      </c>
      <c r="H34" s="8">
        <v>3.85</v>
      </c>
      <c r="I34" s="12">
        <v>0</v>
      </c>
    </row>
    <row r="35" spans="2:9" ht="15" customHeight="1" x14ac:dyDescent="0.2">
      <c r="B35" t="s">
        <v>246</v>
      </c>
      <c r="C35" s="12">
        <v>2</v>
      </c>
      <c r="D35" s="8">
        <v>1.94</v>
      </c>
      <c r="E35" s="12">
        <v>1</v>
      </c>
      <c r="F35" s="8">
        <v>1.41</v>
      </c>
      <c r="G35" s="12">
        <v>1</v>
      </c>
      <c r="H35" s="8">
        <v>3.85</v>
      </c>
      <c r="I35" s="12">
        <v>0</v>
      </c>
    </row>
    <row r="36" spans="2:9" ht="15" customHeight="1" x14ac:dyDescent="0.2">
      <c r="B36" t="s">
        <v>226</v>
      </c>
      <c r="C36" s="12">
        <v>2</v>
      </c>
      <c r="D36" s="8">
        <v>1.94</v>
      </c>
      <c r="E36" s="12">
        <v>1</v>
      </c>
      <c r="F36" s="8">
        <v>1.41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240</v>
      </c>
      <c r="C37" s="12">
        <v>2</v>
      </c>
      <c r="D37" s="8">
        <v>1.94</v>
      </c>
      <c r="E37" s="12">
        <v>2</v>
      </c>
      <c r="F37" s="8">
        <v>2.82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253</v>
      </c>
      <c r="C38" s="12">
        <v>1</v>
      </c>
      <c r="D38" s="8">
        <v>0.97</v>
      </c>
      <c r="E38" s="12">
        <v>1</v>
      </c>
      <c r="F38" s="8">
        <v>1.41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255</v>
      </c>
      <c r="C39" s="12">
        <v>1</v>
      </c>
      <c r="D39" s="8">
        <v>0.97</v>
      </c>
      <c r="E39" s="12">
        <v>0</v>
      </c>
      <c r="F39" s="8">
        <v>0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238</v>
      </c>
      <c r="C40" s="12">
        <v>1</v>
      </c>
      <c r="D40" s="8">
        <v>0.97</v>
      </c>
      <c r="E40" s="12">
        <v>0</v>
      </c>
      <c r="F40" s="8">
        <v>0</v>
      </c>
      <c r="G40" s="12">
        <v>1</v>
      </c>
      <c r="H40" s="8">
        <v>3.85</v>
      </c>
      <c r="I40" s="12">
        <v>0</v>
      </c>
    </row>
    <row r="41" spans="2:9" ht="15" customHeight="1" x14ac:dyDescent="0.2">
      <c r="B41" t="s">
        <v>248</v>
      </c>
      <c r="C41" s="12">
        <v>1</v>
      </c>
      <c r="D41" s="8">
        <v>0.97</v>
      </c>
      <c r="E41" s="12">
        <v>0</v>
      </c>
      <c r="F41" s="8">
        <v>0</v>
      </c>
      <c r="G41" s="12">
        <v>1</v>
      </c>
      <c r="H41" s="8">
        <v>3.85</v>
      </c>
      <c r="I41" s="12">
        <v>0</v>
      </c>
    </row>
    <row r="42" spans="2:9" ht="15" customHeight="1" x14ac:dyDescent="0.2">
      <c r="B42" t="s">
        <v>261</v>
      </c>
      <c r="C42" s="12">
        <v>1</v>
      </c>
      <c r="D42" s="8">
        <v>0.97</v>
      </c>
      <c r="E42" s="12">
        <v>0</v>
      </c>
      <c r="F42" s="8">
        <v>0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218</v>
      </c>
      <c r="C43" s="12">
        <v>1</v>
      </c>
      <c r="D43" s="8">
        <v>0.97</v>
      </c>
      <c r="E43" s="12">
        <v>1</v>
      </c>
      <c r="F43" s="8">
        <v>1.41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236</v>
      </c>
      <c r="C44" s="12">
        <v>1</v>
      </c>
      <c r="D44" s="8">
        <v>0.97</v>
      </c>
      <c r="E44" s="12">
        <v>0</v>
      </c>
      <c r="F44" s="8">
        <v>0</v>
      </c>
      <c r="G44" s="12">
        <v>1</v>
      </c>
      <c r="H44" s="8">
        <v>3.85</v>
      </c>
      <c r="I44" s="12">
        <v>0</v>
      </c>
    </row>
    <row r="45" spans="2:9" ht="15" customHeight="1" x14ac:dyDescent="0.2">
      <c r="B45" t="s">
        <v>224</v>
      </c>
      <c r="C45" s="12">
        <v>1</v>
      </c>
      <c r="D45" s="8">
        <v>0.97</v>
      </c>
      <c r="E45" s="12">
        <v>1</v>
      </c>
      <c r="F45" s="8">
        <v>1.41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256</v>
      </c>
      <c r="C46" s="12">
        <v>1</v>
      </c>
      <c r="D46" s="8">
        <v>0.97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231</v>
      </c>
      <c r="C47" s="12">
        <v>1</v>
      </c>
      <c r="D47" s="8">
        <v>0.97</v>
      </c>
      <c r="E47" s="12">
        <v>1</v>
      </c>
      <c r="F47" s="8">
        <v>1.41</v>
      </c>
      <c r="G47" s="12">
        <v>0</v>
      </c>
      <c r="H47" s="8">
        <v>0</v>
      </c>
      <c r="I47" s="12">
        <v>0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339</v>
      </c>
      <c r="C51" s="12">
        <v>10</v>
      </c>
      <c r="D51" s="8">
        <v>9.7100000000000009</v>
      </c>
      <c r="E51" s="12">
        <v>10</v>
      </c>
      <c r="F51" s="8">
        <v>14.08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342</v>
      </c>
      <c r="C52" s="12">
        <v>7</v>
      </c>
      <c r="D52" s="8">
        <v>6.8</v>
      </c>
      <c r="E52" s="12">
        <v>4</v>
      </c>
      <c r="F52" s="8">
        <v>5.63</v>
      </c>
      <c r="G52" s="12">
        <v>3</v>
      </c>
      <c r="H52" s="8">
        <v>11.54</v>
      </c>
      <c r="I52" s="12">
        <v>0</v>
      </c>
    </row>
    <row r="53" spans="2:9" ht="15" customHeight="1" x14ac:dyDescent="0.2">
      <c r="B53" t="s">
        <v>295</v>
      </c>
      <c r="C53" s="12">
        <v>6</v>
      </c>
      <c r="D53" s="8">
        <v>5.83</v>
      </c>
      <c r="E53" s="12">
        <v>4</v>
      </c>
      <c r="F53" s="8">
        <v>5.63</v>
      </c>
      <c r="G53" s="12">
        <v>2</v>
      </c>
      <c r="H53" s="8">
        <v>7.69</v>
      </c>
      <c r="I53" s="12">
        <v>0</v>
      </c>
    </row>
    <row r="54" spans="2:9" ht="15" customHeight="1" x14ac:dyDescent="0.2">
      <c r="B54" t="s">
        <v>301</v>
      </c>
      <c r="C54" s="12">
        <v>5</v>
      </c>
      <c r="D54" s="8">
        <v>4.8499999999999996</v>
      </c>
      <c r="E54" s="12">
        <v>5</v>
      </c>
      <c r="F54" s="8">
        <v>7.04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292</v>
      </c>
      <c r="C55" s="12">
        <v>4</v>
      </c>
      <c r="D55" s="8">
        <v>3.88</v>
      </c>
      <c r="E55" s="12">
        <v>4</v>
      </c>
      <c r="F55" s="8">
        <v>5.63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337</v>
      </c>
      <c r="C56" s="12">
        <v>4</v>
      </c>
      <c r="D56" s="8">
        <v>3.88</v>
      </c>
      <c r="E56" s="12">
        <v>3</v>
      </c>
      <c r="F56" s="8">
        <v>4.2300000000000004</v>
      </c>
      <c r="G56" s="12">
        <v>1</v>
      </c>
      <c r="H56" s="8">
        <v>3.85</v>
      </c>
      <c r="I56" s="12">
        <v>0</v>
      </c>
    </row>
    <row r="57" spans="2:9" ht="15" customHeight="1" x14ac:dyDescent="0.2">
      <c r="B57" t="s">
        <v>334</v>
      </c>
      <c r="C57" s="12">
        <v>4</v>
      </c>
      <c r="D57" s="8">
        <v>3.88</v>
      </c>
      <c r="E57" s="12">
        <v>4</v>
      </c>
      <c r="F57" s="8">
        <v>5.63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300</v>
      </c>
      <c r="C58" s="12">
        <v>4</v>
      </c>
      <c r="D58" s="8">
        <v>3.88</v>
      </c>
      <c r="E58" s="12">
        <v>3</v>
      </c>
      <c r="F58" s="8">
        <v>4.2300000000000004</v>
      </c>
      <c r="G58" s="12">
        <v>1</v>
      </c>
      <c r="H58" s="8">
        <v>3.85</v>
      </c>
      <c r="I58" s="12">
        <v>0</v>
      </c>
    </row>
    <row r="59" spans="2:9" ht="15" customHeight="1" x14ac:dyDescent="0.2">
      <c r="B59" t="s">
        <v>302</v>
      </c>
      <c r="C59" s="12">
        <v>4</v>
      </c>
      <c r="D59" s="8">
        <v>3.88</v>
      </c>
      <c r="E59" s="12">
        <v>2</v>
      </c>
      <c r="F59" s="8">
        <v>2.82</v>
      </c>
      <c r="G59" s="12">
        <v>2</v>
      </c>
      <c r="H59" s="8">
        <v>7.69</v>
      </c>
      <c r="I59" s="12">
        <v>0</v>
      </c>
    </row>
    <row r="60" spans="2:9" ht="15" customHeight="1" x14ac:dyDescent="0.2">
      <c r="B60" t="s">
        <v>304</v>
      </c>
      <c r="C60" s="12">
        <v>4</v>
      </c>
      <c r="D60" s="8">
        <v>3.88</v>
      </c>
      <c r="E60" s="12">
        <v>4</v>
      </c>
      <c r="F60" s="8">
        <v>5.63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288</v>
      </c>
      <c r="C61" s="12">
        <v>3</v>
      </c>
      <c r="D61" s="8">
        <v>2.91</v>
      </c>
      <c r="E61" s="12">
        <v>0</v>
      </c>
      <c r="F61" s="8">
        <v>0</v>
      </c>
      <c r="G61" s="12">
        <v>3</v>
      </c>
      <c r="H61" s="8">
        <v>11.54</v>
      </c>
      <c r="I61" s="12">
        <v>0</v>
      </c>
    </row>
    <row r="62" spans="2:9" ht="15" customHeight="1" x14ac:dyDescent="0.2">
      <c r="B62" t="s">
        <v>354</v>
      </c>
      <c r="C62" s="12">
        <v>3</v>
      </c>
      <c r="D62" s="8">
        <v>2.91</v>
      </c>
      <c r="E62" s="12">
        <v>1</v>
      </c>
      <c r="F62" s="8">
        <v>1.41</v>
      </c>
      <c r="G62" s="12">
        <v>2</v>
      </c>
      <c r="H62" s="8">
        <v>7.69</v>
      </c>
      <c r="I62" s="12">
        <v>0</v>
      </c>
    </row>
    <row r="63" spans="2:9" ht="15" customHeight="1" x14ac:dyDescent="0.2">
      <c r="B63" t="s">
        <v>329</v>
      </c>
      <c r="C63" s="12">
        <v>3</v>
      </c>
      <c r="D63" s="8">
        <v>2.91</v>
      </c>
      <c r="E63" s="12">
        <v>2</v>
      </c>
      <c r="F63" s="8">
        <v>2.82</v>
      </c>
      <c r="G63" s="12">
        <v>1</v>
      </c>
      <c r="H63" s="8">
        <v>3.85</v>
      </c>
      <c r="I63" s="12">
        <v>0</v>
      </c>
    </row>
    <row r="64" spans="2:9" ht="15" customHeight="1" x14ac:dyDescent="0.2">
      <c r="B64" t="s">
        <v>330</v>
      </c>
      <c r="C64" s="12">
        <v>3</v>
      </c>
      <c r="D64" s="8">
        <v>2.91</v>
      </c>
      <c r="E64" s="12">
        <v>1</v>
      </c>
      <c r="F64" s="8">
        <v>1.41</v>
      </c>
      <c r="G64" s="12">
        <v>2</v>
      </c>
      <c r="H64" s="8">
        <v>7.69</v>
      </c>
      <c r="I64" s="12">
        <v>0</v>
      </c>
    </row>
    <row r="65" spans="2:9" ht="15" customHeight="1" x14ac:dyDescent="0.2">
      <c r="B65" t="s">
        <v>303</v>
      </c>
      <c r="C65" s="12">
        <v>3</v>
      </c>
      <c r="D65" s="8">
        <v>2.91</v>
      </c>
      <c r="E65" s="12">
        <v>3</v>
      </c>
      <c r="F65" s="8">
        <v>4.2300000000000004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370</v>
      </c>
      <c r="C66" s="12">
        <v>3</v>
      </c>
      <c r="D66" s="8">
        <v>2.91</v>
      </c>
      <c r="E66" s="12">
        <v>0</v>
      </c>
      <c r="F66" s="8">
        <v>0</v>
      </c>
      <c r="G66" s="12">
        <v>1</v>
      </c>
      <c r="H66" s="8">
        <v>3.85</v>
      </c>
      <c r="I66" s="12">
        <v>0</v>
      </c>
    </row>
    <row r="67" spans="2:9" ht="15" customHeight="1" x14ac:dyDescent="0.2">
      <c r="B67" t="s">
        <v>289</v>
      </c>
      <c r="C67" s="12">
        <v>2</v>
      </c>
      <c r="D67" s="8">
        <v>1.94</v>
      </c>
      <c r="E67" s="12">
        <v>1</v>
      </c>
      <c r="F67" s="8">
        <v>1.41</v>
      </c>
      <c r="G67" s="12">
        <v>1</v>
      </c>
      <c r="H67" s="8">
        <v>3.85</v>
      </c>
      <c r="I67" s="12">
        <v>0</v>
      </c>
    </row>
    <row r="68" spans="2:9" ht="15" customHeight="1" x14ac:dyDescent="0.2">
      <c r="B68" t="s">
        <v>291</v>
      </c>
      <c r="C68" s="12">
        <v>2</v>
      </c>
      <c r="D68" s="8">
        <v>1.94</v>
      </c>
      <c r="E68" s="12">
        <v>1</v>
      </c>
      <c r="F68" s="8">
        <v>1.41</v>
      </c>
      <c r="G68" s="12">
        <v>1</v>
      </c>
      <c r="H68" s="8">
        <v>3.85</v>
      </c>
      <c r="I68" s="12">
        <v>0</v>
      </c>
    </row>
    <row r="69" spans="2:9" ht="15" customHeight="1" x14ac:dyDescent="0.2">
      <c r="B69" t="s">
        <v>309</v>
      </c>
      <c r="C69" s="12">
        <v>2</v>
      </c>
      <c r="D69" s="8">
        <v>1.94</v>
      </c>
      <c r="E69" s="12">
        <v>1</v>
      </c>
      <c r="F69" s="8">
        <v>1.41</v>
      </c>
      <c r="G69" s="12">
        <v>1</v>
      </c>
      <c r="H69" s="8">
        <v>3.85</v>
      </c>
      <c r="I69" s="12">
        <v>0</v>
      </c>
    </row>
    <row r="70" spans="2:9" ht="15" customHeight="1" x14ac:dyDescent="0.2">
      <c r="B70" t="s">
        <v>396</v>
      </c>
      <c r="C70" s="12">
        <v>2</v>
      </c>
      <c r="D70" s="8">
        <v>1.94</v>
      </c>
      <c r="E70" s="12">
        <v>1</v>
      </c>
      <c r="F70" s="8">
        <v>1.41</v>
      </c>
      <c r="G70" s="12">
        <v>1</v>
      </c>
      <c r="H70" s="8">
        <v>3.85</v>
      </c>
      <c r="I70" s="12">
        <v>0</v>
      </c>
    </row>
    <row r="71" spans="2:9" ht="15" customHeight="1" x14ac:dyDescent="0.2">
      <c r="B71" t="s">
        <v>307</v>
      </c>
      <c r="C71" s="12">
        <v>2</v>
      </c>
      <c r="D71" s="8">
        <v>1.94</v>
      </c>
      <c r="E71" s="12">
        <v>2</v>
      </c>
      <c r="F71" s="8">
        <v>2.82</v>
      </c>
      <c r="G71" s="12">
        <v>0</v>
      </c>
      <c r="H71" s="8">
        <v>0</v>
      </c>
      <c r="I71" s="12">
        <v>0</v>
      </c>
    </row>
    <row r="73" spans="2:9" ht="15" customHeight="1" x14ac:dyDescent="0.2">
      <c r="B7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0C457-834A-4069-B0C4-403E40F22E8D}">
  <sheetPr>
    <pageSetUpPr fitToPage="1"/>
  </sheetPr>
  <dimension ref="B2:I10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10</v>
      </c>
      <c r="D6" s="8">
        <v>10.1</v>
      </c>
      <c r="E6" s="12">
        <v>7</v>
      </c>
      <c r="F6" s="8">
        <v>12.07</v>
      </c>
      <c r="G6" s="12">
        <v>3</v>
      </c>
      <c r="H6" s="8">
        <v>8.82</v>
      </c>
      <c r="I6" s="12">
        <v>0</v>
      </c>
    </row>
    <row r="7" spans="2:9" ht="15" customHeight="1" x14ac:dyDescent="0.2">
      <c r="B7" t="s">
        <v>192</v>
      </c>
      <c r="C7" s="12">
        <v>7</v>
      </c>
      <c r="D7" s="8">
        <v>7.07</v>
      </c>
      <c r="E7" s="12">
        <v>0</v>
      </c>
      <c r="F7" s="8">
        <v>0</v>
      </c>
      <c r="G7" s="12">
        <v>7</v>
      </c>
      <c r="H7" s="8">
        <v>20.59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2.02</v>
      </c>
      <c r="E8" s="12">
        <v>0</v>
      </c>
      <c r="F8" s="8">
        <v>0</v>
      </c>
      <c r="G8" s="12">
        <v>1</v>
      </c>
      <c r="H8" s="8">
        <v>2.94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1.01</v>
      </c>
      <c r="E9" s="12">
        <v>0</v>
      </c>
      <c r="F9" s="8">
        <v>0</v>
      </c>
      <c r="G9" s="12">
        <v>1</v>
      </c>
      <c r="H9" s="8">
        <v>2.94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1.01</v>
      </c>
      <c r="E10" s="12">
        <v>0</v>
      </c>
      <c r="F10" s="8">
        <v>0</v>
      </c>
      <c r="G10" s="12">
        <v>1</v>
      </c>
      <c r="H10" s="8">
        <v>2.94</v>
      </c>
      <c r="I10" s="12">
        <v>0</v>
      </c>
    </row>
    <row r="11" spans="2:9" ht="15" customHeight="1" x14ac:dyDescent="0.2">
      <c r="B11" t="s">
        <v>196</v>
      </c>
      <c r="C11" s="12">
        <v>37</v>
      </c>
      <c r="D11" s="8">
        <v>37.369999999999997</v>
      </c>
      <c r="E11" s="12">
        <v>23</v>
      </c>
      <c r="F11" s="8">
        <v>39.659999999999997</v>
      </c>
      <c r="G11" s="12">
        <v>14</v>
      </c>
      <c r="H11" s="8">
        <v>41.18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1.01</v>
      </c>
      <c r="E12" s="12">
        <v>0</v>
      </c>
      <c r="F12" s="8">
        <v>0</v>
      </c>
      <c r="G12" s="12">
        <v>1</v>
      </c>
      <c r="H12" s="8">
        <v>2.94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1.01</v>
      </c>
      <c r="E14" s="12">
        <v>0</v>
      </c>
      <c r="F14" s="8">
        <v>0</v>
      </c>
      <c r="G14" s="12">
        <v>1</v>
      </c>
      <c r="H14" s="8">
        <v>2.94</v>
      </c>
      <c r="I14" s="12">
        <v>0</v>
      </c>
    </row>
    <row r="15" spans="2:9" ht="15" customHeight="1" x14ac:dyDescent="0.2">
      <c r="B15" t="s">
        <v>200</v>
      </c>
      <c r="C15" s="12">
        <v>22</v>
      </c>
      <c r="D15" s="8">
        <v>22.22</v>
      </c>
      <c r="E15" s="12">
        <v>20</v>
      </c>
      <c r="F15" s="8">
        <v>34.479999999999997</v>
      </c>
      <c r="G15" s="12">
        <v>2</v>
      </c>
      <c r="H15" s="8">
        <v>5.88</v>
      </c>
      <c r="I15" s="12">
        <v>0</v>
      </c>
    </row>
    <row r="16" spans="2:9" ht="15" customHeight="1" x14ac:dyDescent="0.2">
      <c r="B16" t="s">
        <v>201</v>
      </c>
      <c r="C16" s="12">
        <v>9</v>
      </c>
      <c r="D16" s="8">
        <v>9.09</v>
      </c>
      <c r="E16" s="12">
        <v>7</v>
      </c>
      <c r="F16" s="8">
        <v>12.07</v>
      </c>
      <c r="G16" s="12">
        <v>1</v>
      </c>
      <c r="H16" s="8">
        <v>2.94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1.01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5.05</v>
      </c>
      <c r="E18" s="12">
        <v>1</v>
      </c>
      <c r="F18" s="8">
        <v>1.72</v>
      </c>
      <c r="G18" s="12">
        <v>1</v>
      </c>
      <c r="H18" s="8">
        <v>2.94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2.02</v>
      </c>
      <c r="E19" s="12">
        <v>0</v>
      </c>
      <c r="F19" s="8">
        <v>0</v>
      </c>
      <c r="G19" s="12">
        <v>1</v>
      </c>
      <c r="H19" s="8">
        <v>2.94</v>
      </c>
      <c r="I19" s="12">
        <v>0</v>
      </c>
    </row>
    <row r="20" spans="2:9" ht="15" customHeight="1" x14ac:dyDescent="0.2">
      <c r="B20" s="9" t="s">
        <v>529</v>
      </c>
      <c r="C20" s="12">
        <f>SUM(LTBL_01518[総数／事業所数])</f>
        <v>99</v>
      </c>
      <c r="E20" s="12">
        <f>SUBTOTAL(109,LTBL_01518[個人／事業所数])</f>
        <v>58</v>
      </c>
      <c r="G20" s="12">
        <f>SUBTOTAL(109,LTBL_01518[法人／事業所数])</f>
        <v>34</v>
      </c>
      <c r="I20" s="12">
        <f>SUBTOTAL(109,LTBL_01518[法人以外の団体／事業所数])</f>
        <v>0</v>
      </c>
    </row>
    <row r="21" spans="2:9" ht="15" customHeight="1" x14ac:dyDescent="0.2">
      <c r="E21" s="11">
        <f>LTBL_01518[[#Totals],[個人／事業所数]]/LTBL_01518[[#Totals],[総数／事業所数]]</f>
        <v>0.58585858585858586</v>
      </c>
      <c r="G21" s="11">
        <f>LTBL_01518[[#Totals],[法人／事業所数]]/LTBL_01518[[#Totals],[総数／事業所数]]</f>
        <v>0.34343434343434343</v>
      </c>
      <c r="I21" s="11">
        <f>LTBL_01518[[#Totals],[法人以外の団体／事業所数]]/LTBL_01518[[#Totals],[総数／事業所数]]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17</v>
      </c>
      <c r="D24" s="8">
        <v>17.170000000000002</v>
      </c>
      <c r="E24" s="12">
        <v>16</v>
      </c>
      <c r="F24" s="8">
        <v>27.59</v>
      </c>
      <c r="G24" s="12">
        <v>1</v>
      </c>
      <c r="H24" s="8">
        <v>2.94</v>
      </c>
      <c r="I24" s="12">
        <v>0</v>
      </c>
    </row>
    <row r="25" spans="2:9" ht="15" customHeight="1" x14ac:dyDescent="0.2">
      <c r="B25" t="s">
        <v>221</v>
      </c>
      <c r="C25" s="12">
        <v>16</v>
      </c>
      <c r="D25" s="8">
        <v>16.16</v>
      </c>
      <c r="E25" s="12">
        <v>12</v>
      </c>
      <c r="F25" s="8">
        <v>20.69</v>
      </c>
      <c r="G25" s="12">
        <v>4</v>
      </c>
      <c r="H25" s="8">
        <v>11.76</v>
      </c>
      <c r="I25" s="12">
        <v>0</v>
      </c>
    </row>
    <row r="26" spans="2:9" ht="15" customHeight="1" x14ac:dyDescent="0.2">
      <c r="B26" t="s">
        <v>223</v>
      </c>
      <c r="C26" s="12">
        <v>11</v>
      </c>
      <c r="D26" s="8">
        <v>11.11</v>
      </c>
      <c r="E26" s="12">
        <v>7</v>
      </c>
      <c r="F26" s="8">
        <v>12.07</v>
      </c>
      <c r="G26" s="12">
        <v>4</v>
      </c>
      <c r="H26" s="8">
        <v>11.76</v>
      </c>
      <c r="I26" s="12">
        <v>0</v>
      </c>
    </row>
    <row r="27" spans="2:9" ht="15" customHeight="1" x14ac:dyDescent="0.2">
      <c r="B27" t="s">
        <v>228</v>
      </c>
      <c r="C27" s="12">
        <v>6</v>
      </c>
      <c r="D27" s="8">
        <v>6.06</v>
      </c>
      <c r="E27" s="12">
        <v>5</v>
      </c>
      <c r="F27" s="8">
        <v>8.6199999999999992</v>
      </c>
      <c r="G27" s="12">
        <v>1</v>
      </c>
      <c r="H27" s="8">
        <v>2.94</v>
      </c>
      <c r="I27" s="12">
        <v>0</v>
      </c>
    </row>
    <row r="28" spans="2:9" ht="15" customHeight="1" x14ac:dyDescent="0.2">
      <c r="B28" t="s">
        <v>213</v>
      </c>
      <c r="C28" s="12">
        <v>5</v>
      </c>
      <c r="D28" s="8">
        <v>5.05</v>
      </c>
      <c r="E28" s="12">
        <v>3</v>
      </c>
      <c r="F28" s="8">
        <v>5.17</v>
      </c>
      <c r="G28" s="12">
        <v>2</v>
      </c>
      <c r="H28" s="8">
        <v>5.88</v>
      </c>
      <c r="I28" s="12">
        <v>0</v>
      </c>
    </row>
    <row r="29" spans="2:9" ht="15" customHeight="1" x14ac:dyDescent="0.2">
      <c r="B29" t="s">
        <v>241</v>
      </c>
      <c r="C29" s="12">
        <v>5</v>
      </c>
      <c r="D29" s="8">
        <v>5.05</v>
      </c>
      <c r="E29" s="12">
        <v>0</v>
      </c>
      <c r="F29" s="8">
        <v>0</v>
      </c>
      <c r="G29" s="12">
        <v>5</v>
      </c>
      <c r="H29" s="8">
        <v>14.71</v>
      </c>
      <c r="I29" s="12">
        <v>0</v>
      </c>
    </row>
    <row r="30" spans="2:9" ht="15" customHeight="1" x14ac:dyDescent="0.2">
      <c r="B30" t="s">
        <v>243</v>
      </c>
      <c r="C30" s="12">
        <v>5</v>
      </c>
      <c r="D30" s="8">
        <v>5.05</v>
      </c>
      <c r="E30" s="12">
        <v>4</v>
      </c>
      <c r="F30" s="8">
        <v>6.9</v>
      </c>
      <c r="G30" s="12">
        <v>1</v>
      </c>
      <c r="H30" s="8">
        <v>2.94</v>
      </c>
      <c r="I30" s="12">
        <v>0</v>
      </c>
    </row>
    <row r="31" spans="2:9" ht="15" customHeight="1" x14ac:dyDescent="0.2">
      <c r="B31" t="s">
        <v>214</v>
      </c>
      <c r="C31" s="12">
        <v>4</v>
      </c>
      <c r="D31" s="8">
        <v>4.04</v>
      </c>
      <c r="E31" s="12">
        <v>4</v>
      </c>
      <c r="F31" s="8">
        <v>6.9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232</v>
      </c>
      <c r="C32" s="12">
        <v>4</v>
      </c>
      <c r="D32" s="8">
        <v>4.04</v>
      </c>
      <c r="E32" s="12">
        <v>0</v>
      </c>
      <c r="F32" s="8">
        <v>0</v>
      </c>
      <c r="G32" s="12">
        <v>1</v>
      </c>
      <c r="H32" s="8">
        <v>2.94</v>
      </c>
      <c r="I32" s="12">
        <v>0</v>
      </c>
    </row>
    <row r="33" spans="2:9" ht="15" customHeight="1" x14ac:dyDescent="0.2">
      <c r="B33" t="s">
        <v>216</v>
      </c>
      <c r="C33" s="12">
        <v>3</v>
      </c>
      <c r="D33" s="8">
        <v>3.03</v>
      </c>
      <c r="E33" s="12">
        <v>1</v>
      </c>
      <c r="F33" s="8">
        <v>1.72</v>
      </c>
      <c r="G33" s="12">
        <v>2</v>
      </c>
      <c r="H33" s="8">
        <v>5.88</v>
      </c>
      <c r="I33" s="12">
        <v>0</v>
      </c>
    </row>
    <row r="34" spans="2:9" ht="15" customHeight="1" x14ac:dyDescent="0.2">
      <c r="B34" t="s">
        <v>220</v>
      </c>
      <c r="C34" s="12">
        <v>3</v>
      </c>
      <c r="D34" s="8">
        <v>3.03</v>
      </c>
      <c r="E34" s="12">
        <v>3</v>
      </c>
      <c r="F34" s="8">
        <v>5.17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255</v>
      </c>
      <c r="C35" s="12">
        <v>2</v>
      </c>
      <c r="D35" s="8">
        <v>2.02</v>
      </c>
      <c r="E35" s="12">
        <v>0</v>
      </c>
      <c r="F35" s="8">
        <v>0</v>
      </c>
      <c r="G35" s="12">
        <v>1</v>
      </c>
      <c r="H35" s="8">
        <v>2.94</v>
      </c>
      <c r="I35" s="12">
        <v>0</v>
      </c>
    </row>
    <row r="36" spans="2:9" ht="15" customHeight="1" x14ac:dyDescent="0.2">
      <c r="B36" t="s">
        <v>217</v>
      </c>
      <c r="C36" s="12">
        <v>2</v>
      </c>
      <c r="D36" s="8">
        <v>2.02</v>
      </c>
      <c r="E36" s="12">
        <v>0</v>
      </c>
      <c r="F36" s="8">
        <v>0</v>
      </c>
      <c r="G36" s="12">
        <v>2</v>
      </c>
      <c r="H36" s="8">
        <v>5.88</v>
      </c>
      <c r="I36" s="12">
        <v>0</v>
      </c>
    </row>
    <row r="37" spans="2:9" ht="15" customHeight="1" x14ac:dyDescent="0.2">
      <c r="B37" t="s">
        <v>247</v>
      </c>
      <c r="C37" s="12">
        <v>2</v>
      </c>
      <c r="D37" s="8">
        <v>2.02</v>
      </c>
      <c r="E37" s="12">
        <v>1</v>
      </c>
      <c r="F37" s="8">
        <v>1.72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215</v>
      </c>
      <c r="C38" s="12">
        <v>1</v>
      </c>
      <c r="D38" s="8">
        <v>1.01</v>
      </c>
      <c r="E38" s="12">
        <v>0</v>
      </c>
      <c r="F38" s="8">
        <v>0</v>
      </c>
      <c r="G38" s="12">
        <v>1</v>
      </c>
      <c r="H38" s="8">
        <v>2.94</v>
      </c>
      <c r="I38" s="12">
        <v>0</v>
      </c>
    </row>
    <row r="39" spans="2:9" ht="15" customHeight="1" x14ac:dyDescent="0.2">
      <c r="B39" t="s">
        <v>262</v>
      </c>
      <c r="C39" s="12">
        <v>1</v>
      </c>
      <c r="D39" s="8">
        <v>1.01</v>
      </c>
      <c r="E39" s="12">
        <v>0</v>
      </c>
      <c r="F39" s="8">
        <v>0</v>
      </c>
      <c r="G39" s="12">
        <v>1</v>
      </c>
      <c r="H39" s="8">
        <v>2.94</v>
      </c>
      <c r="I39" s="12">
        <v>0</v>
      </c>
    </row>
    <row r="40" spans="2:9" ht="15" customHeight="1" x14ac:dyDescent="0.2">
      <c r="B40" t="s">
        <v>264</v>
      </c>
      <c r="C40" s="12">
        <v>1</v>
      </c>
      <c r="D40" s="8">
        <v>1.01</v>
      </c>
      <c r="E40" s="12">
        <v>0</v>
      </c>
      <c r="F40" s="8">
        <v>0</v>
      </c>
      <c r="G40" s="12">
        <v>1</v>
      </c>
      <c r="H40" s="8">
        <v>2.94</v>
      </c>
      <c r="I40" s="12">
        <v>0</v>
      </c>
    </row>
    <row r="41" spans="2:9" ht="15" customHeight="1" x14ac:dyDescent="0.2">
      <c r="B41" t="s">
        <v>277</v>
      </c>
      <c r="C41" s="12">
        <v>1</v>
      </c>
      <c r="D41" s="8">
        <v>1.01</v>
      </c>
      <c r="E41" s="12">
        <v>0</v>
      </c>
      <c r="F41" s="8">
        <v>0</v>
      </c>
      <c r="G41" s="12">
        <v>1</v>
      </c>
      <c r="H41" s="8">
        <v>2.94</v>
      </c>
      <c r="I41" s="12">
        <v>0</v>
      </c>
    </row>
    <row r="42" spans="2:9" ht="15" customHeight="1" x14ac:dyDescent="0.2">
      <c r="B42" t="s">
        <v>238</v>
      </c>
      <c r="C42" s="12">
        <v>1</v>
      </c>
      <c r="D42" s="8">
        <v>1.01</v>
      </c>
      <c r="E42" s="12">
        <v>0</v>
      </c>
      <c r="F42" s="8">
        <v>0</v>
      </c>
      <c r="G42" s="12">
        <v>1</v>
      </c>
      <c r="H42" s="8">
        <v>2.94</v>
      </c>
      <c r="I42" s="12">
        <v>0</v>
      </c>
    </row>
    <row r="43" spans="2:9" ht="15" customHeight="1" x14ac:dyDescent="0.2">
      <c r="B43" t="s">
        <v>218</v>
      </c>
      <c r="C43" s="12">
        <v>1</v>
      </c>
      <c r="D43" s="8">
        <v>1.01</v>
      </c>
      <c r="E43" s="12">
        <v>0</v>
      </c>
      <c r="F43" s="8">
        <v>0</v>
      </c>
      <c r="G43" s="12">
        <v>1</v>
      </c>
      <c r="H43" s="8">
        <v>2.94</v>
      </c>
      <c r="I43" s="12">
        <v>0</v>
      </c>
    </row>
    <row r="44" spans="2:9" ht="15" customHeight="1" x14ac:dyDescent="0.2">
      <c r="B44" t="s">
        <v>219</v>
      </c>
      <c r="C44" s="12">
        <v>1</v>
      </c>
      <c r="D44" s="8">
        <v>1.01</v>
      </c>
      <c r="E44" s="12">
        <v>0</v>
      </c>
      <c r="F44" s="8">
        <v>0</v>
      </c>
      <c r="G44" s="12">
        <v>1</v>
      </c>
      <c r="H44" s="8">
        <v>2.94</v>
      </c>
      <c r="I44" s="12">
        <v>0</v>
      </c>
    </row>
    <row r="45" spans="2:9" ht="15" customHeight="1" x14ac:dyDescent="0.2">
      <c r="B45" t="s">
        <v>237</v>
      </c>
      <c r="C45" s="12">
        <v>1</v>
      </c>
      <c r="D45" s="8">
        <v>1.01</v>
      </c>
      <c r="E45" s="12">
        <v>0</v>
      </c>
      <c r="F45" s="8">
        <v>0</v>
      </c>
      <c r="G45" s="12">
        <v>1</v>
      </c>
      <c r="H45" s="8">
        <v>2.94</v>
      </c>
      <c r="I45" s="12">
        <v>0</v>
      </c>
    </row>
    <row r="46" spans="2:9" ht="15" customHeight="1" x14ac:dyDescent="0.2">
      <c r="B46" t="s">
        <v>225</v>
      </c>
      <c r="C46" s="12">
        <v>1</v>
      </c>
      <c r="D46" s="8">
        <v>1.01</v>
      </c>
      <c r="E46" s="12">
        <v>0</v>
      </c>
      <c r="F46" s="8">
        <v>0</v>
      </c>
      <c r="G46" s="12">
        <v>1</v>
      </c>
      <c r="H46" s="8">
        <v>2.94</v>
      </c>
      <c r="I46" s="12">
        <v>0</v>
      </c>
    </row>
    <row r="47" spans="2:9" ht="15" customHeight="1" x14ac:dyDescent="0.2">
      <c r="B47" t="s">
        <v>229</v>
      </c>
      <c r="C47" s="12">
        <v>1</v>
      </c>
      <c r="D47" s="8">
        <v>1.01</v>
      </c>
      <c r="E47" s="12">
        <v>1</v>
      </c>
      <c r="F47" s="8">
        <v>1.72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230</v>
      </c>
      <c r="C48" s="12">
        <v>1</v>
      </c>
      <c r="D48" s="8">
        <v>1.01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231</v>
      </c>
      <c r="C49" s="12">
        <v>1</v>
      </c>
      <c r="D49" s="8">
        <v>1.01</v>
      </c>
      <c r="E49" s="12">
        <v>1</v>
      </c>
      <c r="F49" s="8">
        <v>1.72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249</v>
      </c>
      <c r="C50" s="12">
        <v>1</v>
      </c>
      <c r="D50" s="8">
        <v>1.01</v>
      </c>
      <c r="E50" s="12">
        <v>0</v>
      </c>
      <c r="F50" s="8">
        <v>0</v>
      </c>
      <c r="G50" s="12">
        <v>1</v>
      </c>
      <c r="H50" s="8">
        <v>2.94</v>
      </c>
      <c r="I50" s="12">
        <v>0</v>
      </c>
    </row>
    <row r="51" spans="2:9" ht="15" customHeight="1" x14ac:dyDescent="0.2">
      <c r="B51" t="s">
        <v>250</v>
      </c>
      <c r="C51" s="12">
        <v>1</v>
      </c>
      <c r="D51" s="8">
        <v>1.01</v>
      </c>
      <c r="E51" s="12">
        <v>0</v>
      </c>
      <c r="F51" s="8">
        <v>0</v>
      </c>
      <c r="G51" s="12">
        <v>0</v>
      </c>
      <c r="H51" s="8">
        <v>0</v>
      </c>
      <c r="I51" s="12">
        <v>0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295</v>
      </c>
      <c r="C55" s="12">
        <v>8</v>
      </c>
      <c r="D55" s="8">
        <v>8.08</v>
      </c>
      <c r="E55" s="12">
        <v>5</v>
      </c>
      <c r="F55" s="8">
        <v>8.6199999999999992</v>
      </c>
      <c r="G55" s="12">
        <v>3</v>
      </c>
      <c r="H55" s="8">
        <v>8.82</v>
      </c>
      <c r="I55" s="12">
        <v>0</v>
      </c>
    </row>
    <row r="56" spans="2:9" ht="15" customHeight="1" x14ac:dyDescent="0.2">
      <c r="B56" t="s">
        <v>292</v>
      </c>
      <c r="C56" s="12">
        <v>6</v>
      </c>
      <c r="D56" s="8">
        <v>6.06</v>
      </c>
      <c r="E56" s="12">
        <v>4</v>
      </c>
      <c r="F56" s="8">
        <v>6.9</v>
      </c>
      <c r="G56" s="12">
        <v>2</v>
      </c>
      <c r="H56" s="8">
        <v>5.88</v>
      </c>
      <c r="I56" s="12">
        <v>0</v>
      </c>
    </row>
    <row r="57" spans="2:9" ht="15" customHeight="1" x14ac:dyDescent="0.2">
      <c r="B57" t="s">
        <v>301</v>
      </c>
      <c r="C57" s="12">
        <v>6</v>
      </c>
      <c r="D57" s="8">
        <v>6.06</v>
      </c>
      <c r="E57" s="12">
        <v>5</v>
      </c>
      <c r="F57" s="8">
        <v>8.6199999999999992</v>
      </c>
      <c r="G57" s="12">
        <v>1</v>
      </c>
      <c r="H57" s="8">
        <v>2.94</v>
      </c>
      <c r="I57" s="12">
        <v>0</v>
      </c>
    </row>
    <row r="58" spans="2:9" ht="15" customHeight="1" x14ac:dyDescent="0.2">
      <c r="B58" t="s">
        <v>342</v>
      </c>
      <c r="C58" s="12">
        <v>5</v>
      </c>
      <c r="D58" s="8">
        <v>5.05</v>
      </c>
      <c r="E58" s="12">
        <v>0</v>
      </c>
      <c r="F58" s="8">
        <v>0</v>
      </c>
      <c r="G58" s="12">
        <v>5</v>
      </c>
      <c r="H58" s="8">
        <v>14.71</v>
      </c>
      <c r="I58" s="12">
        <v>0</v>
      </c>
    </row>
    <row r="59" spans="2:9" ht="15" customHeight="1" x14ac:dyDescent="0.2">
      <c r="B59" t="s">
        <v>329</v>
      </c>
      <c r="C59" s="12">
        <v>5</v>
      </c>
      <c r="D59" s="8">
        <v>5.05</v>
      </c>
      <c r="E59" s="12">
        <v>5</v>
      </c>
      <c r="F59" s="8">
        <v>8.6199999999999992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339</v>
      </c>
      <c r="C60" s="12">
        <v>5</v>
      </c>
      <c r="D60" s="8">
        <v>5.05</v>
      </c>
      <c r="E60" s="12">
        <v>4</v>
      </c>
      <c r="F60" s="8">
        <v>6.9</v>
      </c>
      <c r="G60" s="12">
        <v>1</v>
      </c>
      <c r="H60" s="8">
        <v>2.94</v>
      </c>
      <c r="I60" s="12">
        <v>0</v>
      </c>
    </row>
    <row r="61" spans="2:9" ht="15" customHeight="1" x14ac:dyDescent="0.2">
      <c r="B61" t="s">
        <v>299</v>
      </c>
      <c r="C61" s="12">
        <v>4</v>
      </c>
      <c r="D61" s="8">
        <v>4.04</v>
      </c>
      <c r="E61" s="12">
        <v>4</v>
      </c>
      <c r="F61" s="8">
        <v>6.9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331</v>
      </c>
      <c r="C62" s="12">
        <v>4</v>
      </c>
      <c r="D62" s="8">
        <v>4.04</v>
      </c>
      <c r="E62" s="12">
        <v>0</v>
      </c>
      <c r="F62" s="8">
        <v>0</v>
      </c>
      <c r="G62" s="12">
        <v>1</v>
      </c>
      <c r="H62" s="8">
        <v>2.94</v>
      </c>
      <c r="I62" s="12">
        <v>0</v>
      </c>
    </row>
    <row r="63" spans="2:9" ht="15" customHeight="1" x14ac:dyDescent="0.2">
      <c r="B63" t="s">
        <v>300</v>
      </c>
      <c r="C63" s="12">
        <v>3</v>
      </c>
      <c r="D63" s="8">
        <v>3.03</v>
      </c>
      <c r="E63" s="12">
        <v>3</v>
      </c>
      <c r="F63" s="8">
        <v>5.17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304</v>
      </c>
      <c r="C64" s="12">
        <v>3</v>
      </c>
      <c r="D64" s="8">
        <v>3.03</v>
      </c>
      <c r="E64" s="12">
        <v>3</v>
      </c>
      <c r="F64" s="8">
        <v>5.17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328</v>
      </c>
      <c r="C65" s="12">
        <v>2</v>
      </c>
      <c r="D65" s="8">
        <v>2.02</v>
      </c>
      <c r="E65" s="12">
        <v>2</v>
      </c>
      <c r="F65" s="8">
        <v>3.45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333</v>
      </c>
      <c r="C66" s="12">
        <v>2</v>
      </c>
      <c r="D66" s="8">
        <v>2.02</v>
      </c>
      <c r="E66" s="12">
        <v>2</v>
      </c>
      <c r="F66" s="8">
        <v>3.45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324</v>
      </c>
      <c r="C67" s="12">
        <v>2</v>
      </c>
      <c r="D67" s="8">
        <v>2.02</v>
      </c>
      <c r="E67" s="12">
        <v>1</v>
      </c>
      <c r="F67" s="8">
        <v>1.72</v>
      </c>
      <c r="G67" s="12">
        <v>1</v>
      </c>
      <c r="H67" s="8">
        <v>2.94</v>
      </c>
      <c r="I67" s="12">
        <v>0</v>
      </c>
    </row>
    <row r="68" spans="2:9" ht="15" customHeight="1" x14ac:dyDescent="0.2">
      <c r="B68" t="s">
        <v>314</v>
      </c>
      <c r="C68" s="12">
        <v>2</v>
      </c>
      <c r="D68" s="8">
        <v>2.02</v>
      </c>
      <c r="E68" s="12">
        <v>2</v>
      </c>
      <c r="F68" s="8">
        <v>3.45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332</v>
      </c>
      <c r="C69" s="12">
        <v>2</v>
      </c>
      <c r="D69" s="8">
        <v>2.02</v>
      </c>
      <c r="E69" s="12">
        <v>2</v>
      </c>
      <c r="F69" s="8">
        <v>3.45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337</v>
      </c>
      <c r="C70" s="12">
        <v>2</v>
      </c>
      <c r="D70" s="8">
        <v>2.02</v>
      </c>
      <c r="E70" s="12">
        <v>2</v>
      </c>
      <c r="F70" s="8">
        <v>3.45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419</v>
      </c>
      <c r="C71" s="12">
        <v>2</v>
      </c>
      <c r="D71" s="8">
        <v>2.02</v>
      </c>
      <c r="E71" s="12">
        <v>2</v>
      </c>
      <c r="F71" s="8">
        <v>3.45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303</v>
      </c>
      <c r="C72" s="12">
        <v>2</v>
      </c>
      <c r="D72" s="8">
        <v>2.02</v>
      </c>
      <c r="E72" s="12">
        <v>2</v>
      </c>
      <c r="F72" s="8">
        <v>3.45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442</v>
      </c>
      <c r="C73" s="12">
        <v>1</v>
      </c>
      <c r="D73" s="8">
        <v>1.01</v>
      </c>
      <c r="E73" s="12">
        <v>0</v>
      </c>
      <c r="F73" s="8">
        <v>0</v>
      </c>
      <c r="G73" s="12">
        <v>1</v>
      </c>
      <c r="H73" s="8">
        <v>2.94</v>
      </c>
      <c r="I73" s="12">
        <v>0</v>
      </c>
    </row>
    <row r="74" spans="2:9" ht="15" customHeight="1" x14ac:dyDescent="0.2">
      <c r="B74" t="s">
        <v>288</v>
      </c>
      <c r="C74" s="12">
        <v>1</v>
      </c>
      <c r="D74" s="8">
        <v>1.01</v>
      </c>
      <c r="E74" s="12">
        <v>0</v>
      </c>
      <c r="F74" s="8">
        <v>0</v>
      </c>
      <c r="G74" s="12">
        <v>1</v>
      </c>
      <c r="H74" s="8">
        <v>2.94</v>
      </c>
      <c r="I74" s="12">
        <v>0</v>
      </c>
    </row>
    <row r="75" spans="2:9" ht="15" customHeight="1" x14ac:dyDescent="0.2">
      <c r="B75" t="s">
        <v>289</v>
      </c>
      <c r="C75" s="12">
        <v>1</v>
      </c>
      <c r="D75" s="8">
        <v>1.01</v>
      </c>
      <c r="E75" s="12">
        <v>1</v>
      </c>
      <c r="F75" s="8">
        <v>1.72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393</v>
      </c>
      <c r="C76" s="12">
        <v>1</v>
      </c>
      <c r="D76" s="8">
        <v>1.01</v>
      </c>
      <c r="E76" s="12">
        <v>1</v>
      </c>
      <c r="F76" s="8">
        <v>1.72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343</v>
      </c>
      <c r="C77" s="12">
        <v>1</v>
      </c>
      <c r="D77" s="8">
        <v>1.01</v>
      </c>
      <c r="E77" s="12">
        <v>1</v>
      </c>
      <c r="F77" s="8">
        <v>1.72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437</v>
      </c>
      <c r="C78" s="12">
        <v>1</v>
      </c>
      <c r="D78" s="8">
        <v>1.01</v>
      </c>
      <c r="E78" s="12">
        <v>0</v>
      </c>
      <c r="F78" s="8">
        <v>0</v>
      </c>
      <c r="G78" s="12">
        <v>1</v>
      </c>
      <c r="H78" s="8">
        <v>2.94</v>
      </c>
      <c r="I78" s="12">
        <v>0</v>
      </c>
    </row>
    <row r="79" spans="2:9" ht="15" customHeight="1" x14ac:dyDescent="0.2">
      <c r="B79" t="s">
        <v>378</v>
      </c>
      <c r="C79" s="12">
        <v>1</v>
      </c>
      <c r="D79" s="8">
        <v>1.01</v>
      </c>
      <c r="E79" s="12">
        <v>0</v>
      </c>
      <c r="F79" s="8">
        <v>0</v>
      </c>
      <c r="G79" s="12">
        <v>1</v>
      </c>
      <c r="H79" s="8">
        <v>2.94</v>
      </c>
      <c r="I79" s="12">
        <v>0</v>
      </c>
    </row>
    <row r="80" spans="2:9" ht="15" customHeight="1" x14ac:dyDescent="0.2">
      <c r="B80" t="s">
        <v>434</v>
      </c>
      <c r="C80" s="12">
        <v>1</v>
      </c>
      <c r="D80" s="8">
        <v>1.01</v>
      </c>
      <c r="E80" s="12">
        <v>0</v>
      </c>
      <c r="F80" s="8">
        <v>0</v>
      </c>
      <c r="G80" s="12">
        <v>1</v>
      </c>
      <c r="H80" s="8">
        <v>2.94</v>
      </c>
      <c r="I80" s="12">
        <v>0</v>
      </c>
    </row>
    <row r="81" spans="2:9" ht="15" customHeight="1" x14ac:dyDescent="0.2">
      <c r="B81" t="s">
        <v>361</v>
      </c>
      <c r="C81" s="12">
        <v>1</v>
      </c>
      <c r="D81" s="8">
        <v>1.01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407</v>
      </c>
      <c r="C82" s="12">
        <v>1</v>
      </c>
      <c r="D82" s="8">
        <v>1.01</v>
      </c>
      <c r="E82" s="12">
        <v>0</v>
      </c>
      <c r="F82" s="8">
        <v>0</v>
      </c>
      <c r="G82" s="12">
        <v>1</v>
      </c>
      <c r="H82" s="8">
        <v>2.94</v>
      </c>
      <c r="I82" s="12">
        <v>0</v>
      </c>
    </row>
    <row r="83" spans="2:9" ht="15" customHeight="1" x14ac:dyDescent="0.2">
      <c r="B83" t="s">
        <v>498</v>
      </c>
      <c r="C83" s="12">
        <v>1</v>
      </c>
      <c r="D83" s="8">
        <v>1.01</v>
      </c>
      <c r="E83" s="12">
        <v>0</v>
      </c>
      <c r="F83" s="8">
        <v>0</v>
      </c>
      <c r="G83" s="12">
        <v>1</v>
      </c>
      <c r="H83" s="8">
        <v>2.94</v>
      </c>
      <c r="I83" s="12">
        <v>0</v>
      </c>
    </row>
    <row r="84" spans="2:9" ht="15" customHeight="1" x14ac:dyDescent="0.2">
      <c r="B84" t="s">
        <v>326</v>
      </c>
      <c r="C84" s="12">
        <v>1</v>
      </c>
      <c r="D84" s="8">
        <v>1.01</v>
      </c>
      <c r="E84" s="12">
        <v>0</v>
      </c>
      <c r="F84" s="8">
        <v>0</v>
      </c>
      <c r="G84" s="12">
        <v>1</v>
      </c>
      <c r="H84" s="8">
        <v>2.94</v>
      </c>
      <c r="I84" s="12">
        <v>0</v>
      </c>
    </row>
    <row r="85" spans="2:9" ht="15" customHeight="1" x14ac:dyDescent="0.2">
      <c r="B85" t="s">
        <v>358</v>
      </c>
      <c r="C85" s="12">
        <v>1</v>
      </c>
      <c r="D85" s="8">
        <v>1.01</v>
      </c>
      <c r="E85" s="12">
        <v>0</v>
      </c>
      <c r="F85" s="8">
        <v>0</v>
      </c>
      <c r="G85" s="12">
        <v>1</v>
      </c>
      <c r="H85" s="8">
        <v>2.94</v>
      </c>
      <c r="I85" s="12">
        <v>0</v>
      </c>
    </row>
    <row r="86" spans="2:9" ht="15" customHeight="1" x14ac:dyDescent="0.2">
      <c r="B86" t="s">
        <v>499</v>
      </c>
      <c r="C86" s="12">
        <v>1</v>
      </c>
      <c r="D86" s="8">
        <v>1.01</v>
      </c>
      <c r="E86" s="12">
        <v>0</v>
      </c>
      <c r="F86" s="8">
        <v>0</v>
      </c>
      <c r="G86" s="12">
        <v>1</v>
      </c>
      <c r="H86" s="8">
        <v>2.94</v>
      </c>
      <c r="I86" s="12">
        <v>0</v>
      </c>
    </row>
    <row r="87" spans="2:9" ht="15" customHeight="1" x14ac:dyDescent="0.2">
      <c r="B87" t="s">
        <v>446</v>
      </c>
      <c r="C87" s="12">
        <v>1</v>
      </c>
      <c r="D87" s="8">
        <v>1.01</v>
      </c>
      <c r="E87" s="12">
        <v>0</v>
      </c>
      <c r="F87" s="8">
        <v>0</v>
      </c>
      <c r="G87" s="12">
        <v>1</v>
      </c>
      <c r="H87" s="8">
        <v>2.94</v>
      </c>
      <c r="I87" s="12">
        <v>0</v>
      </c>
    </row>
    <row r="88" spans="2:9" ht="15" customHeight="1" x14ac:dyDescent="0.2">
      <c r="B88" t="s">
        <v>321</v>
      </c>
      <c r="C88" s="12">
        <v>1</v>
      </c>
      <c r="D88" s="8">
        <v>1.01</v>
      </c>
      <c r="E88" s="12">
        <v>0</v>
      </c>
      <c r="F88" s="8">
        <v>0</v>
      </c>
      <c r="G88" s="12">
        <v>1</v>
      </c>
      <c r="H88" s="8">
        <v>2.94</v>
      </c>
      <c r="I88" s="12">
        <v>0</v>
      </c>
    </row>
    <row r="89" spans="2:9" ht="15" customHeight="1" x14ac:dyDescent="0.2">
      <c r="B89" t="s">
        <v>309</v>
      </c>
      <c r="C89" s="12">
        <v>1</v>
      </c>
      <c r="D89" s="8">
        <v>1.01</v>
      </c>
      <c r="E89" s="12">
        <v>0</v>
      </c>
      <c r="F89" s="8">
        <v>0</v>
      </c>
      <c r="G89" s="12">
        <v>1</v>
      </c>
      <c r="H89" s="8">
        <v>2.94</v>
      </c>
      <c r="I89" s="12">
        <v>0</v>
      </c>
    </row>
    <row r="90" spans="2:9" ht="15" customHeight="1" x14ac:dyDescent="0.2">
      <c r="B90" t="s">
        <v>400</v>
      </c>
      <c r="C90" s="12">
        <v>1</v>
      </c>
      <c r="D90" s="8">
        <v>1.01</v>
      </c>
      <c r="E90" s="12">
        <v>1</v>
      </c>
      <c r="F90" s="8">
        <v>1.72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354</v>
      </c>
      <c r="C91" s="12">
        <v>1</v>
      </c>
      <c r="D91" s="8">
        <v>1.01</v>
      </c>
      <c r="E91" s="12">
        <v>0</v>
      </c>
      <c r="F91" s="8">
        <v>0</v>
      </c>
      <c r="G91" s="12">
        <v>1</v>
      </c>
      <c r="H91" s="8">
        <v>2.94</v>
      </c>
      <c r="I91" s="12">
        <v>0</v>
      </c>
    </row>
    <row r="92" spans="2:9" ht="15" customHeight="1" x14ac:dyDescent="0.2">
      <c r="B92" t="s">
        <v>336</v>
      </c>
      <c r="C92" s="12">
        <v>1</v>
      </c>
      <c r="D92" s="8">
        <v>1.01</v>
      </c>
      <c r="E92" s="12">
        <v>1</v>
      </c>
      <c r="F92" s="8">
        <v>1.72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380</v>
      </c>
      <c r="C93" s="12">
        <v>1</v>
      </c>
      <c r="D93" s="8">
        <v>1.01</v>
      </c>
      <c r="E93" s="12">
        <v>0</v>
      </c>
      <c r="F93" s="8">
        <v>0</v>
      </c>
      <c r="G93" s="12">
        <v>1</v>
      </c>
      <c r="H93" s="8">
        <v>2.94</v>
      </c>
      <c r="I93" s="12">
        <v>0</v>
      </c>
    </row>
    <row r="94" spans="2:9" ht="15" customHeight="1" x14ac:dyDescent="0.2">
      <c r="B94" t="s">
        <v>330</v>
      </c>
      <c r="C94" s="12">
        <v>1</v>
      </c>
      <c r="D94" s="8">
        <v>1.01</v>
      </c>
      <c r="E94" s="12">
        <v>0</v>
      </c>
      <c r="F94" s="8">
        <v>0</v>
      </c>
      <c r="G94" s="12">
        <v>1</v>
      </c>
      <c r="H94" s="8">
        <v>2.94</v>
      </c>
      <c r="I94" s="12">
        <v>0</v>
      </c>
    </row>
    <row r="95" spans="2:9" ht="15" customHeight="1" x14ac:dyDescent="0.2">
      <c r="B95" t="s">
        <v>500</v>
      </c>
      <c r="C95" s="12">
        <v>1</v>
      </c>
      <c r="D95" s="8">
        <v>1.01</v>
      </c>
      <c r="E95" s="12">
        <v>0</v>
      </c>
      <c r="F95" s="8">
        <v>0</v>
      </c>
      <c r="G95" s="12">
        <v>1</v>
      </c>
      <c r="H95" s="8">
        <v>2.94</v>
      </c>
      <c r="I95" s="12">
        <v>0</v>
      </c>
    </row>
    <row r="96" spans="2:9" ht="15" customHeight="1" x14ac:dyDescent="0.2">
      <c r="B96" t="s">
        <v>430</v>
      </c>
      <c r="C96" s="12">
        <v>1</v>
      </c>
      <c r="D96" s="8">
        <v>1.01</v>
      </c>
      <c r="E96" s="12">
        <v>0</v>
      </c>
      <c r="F96" s="8">
        <v>0</v>
      </c>
      <c r="G96" s="12">
        <v>1</v>
      </c>
      <c r="H96" s="8">
        <v>2.94</v>
      </c>
      <c r="I96" s="12">
        <v>0</v>
      </c>
    </row>
    <row r="97" spans="2:9" ht="15" customHeight="1" x14ac:dyDescent="0.2">
      <c r="B97" t="s">
        <v>349</v>
      </c>
      <c r="C97" s="12">
        <v>1</v>
      </c>
      <c r="D97" s="8">
        <v>1.01</v>
      </c>
      <c r="E97" s="12">
        <v>1</v>
      </c>
      <c r="F97" s="8">
        <v>1.72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302</v>
      </c>
      <c r="C98" s="12">
        <v>1</v>
      </c>
      <c r="D98" s="8">
        <v>1.01</v>
      </c>
      <c r="E98" s="12">
        <v>1</v>
      </c>
      <c r="F98" s="8">
        <v>1.72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323</v>
      </c>
      <c r="C99" s="12">
        <v>1</v>
      </c>
      <c r="D99" s="8">
        <v>1.01</v>
      </c>
      <c r="E99" s="12">
        <v>0</v>
      </c>
      <c r="F99" s="8">
        <v>0</v>
      </c>
      <c r="G99" s="12">
        <v>1</v>
      </c>
      <c r="H99" s="8">
        <v>2.94</v>
      </c>
      <c r="I99" s="12">
        <v>0</v>
      </c>
    </row>
    <row r="100" spans="2:9" ht="15" customHeight="1" x14ac:dyDescent="0.2">
      <c r="B100" t="s">
        <v>391</v>
      </c>
      <c r="C100" s="12">
        <v>1</v>
      </c>
      <c r="D100" s="8">
        <v>1.01</v>
      </c>
      <c r="E100" s="12">
        <v>1</v>
      </c>
      <c r="F100" s="8">
        <v>1.72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368</v>
      </c>
      <c r="C101" s="12">
        <v>1</v>
      </c>
      <c r="D101" s="8">
        <v>1.01</v>
      </c>
      <c r="E101" s="12">
        <v>0</v>
      </c>
      <c r="F101" s="8">
        <v>0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492</v>
      </c>
      <c r="C102" s="12">
        <v>1</v>
      </c>
      <c r="D102" s="8">
        <v>1.01</v>
      </c>
      <c r="E102" s="12">
        <v>1</v>
      </c>
      <c r="F102" s="8">
        <v>1.72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340</v>
      </c>
      <c r="C103" s="12">
        <v>1</v>
      </c>
      <c r="D103" s="8">
        <v>1.01</v>
      </c>
      <c r="E103" s="12">
        <v>0</v>
      </c>
      <c r="F103" s="8">
        <v>0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312</v>
      </c>
      <c r="C104" s="12">
        <v>1</v>
      </c>
      <c r="D104" s="8">
        <v>1.01</v>
      </c>
      <c r="E104" s="12">
        <v>1</v>
      </c>
      <c r="F104" s="8">
        <v>1.72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397</v>
      </c>
      <c r="C105" s="12">
        <v>1</v>
      </c>
      <c r="D105" s="8">
        <v>1.01</v>
      </c>
      <c r="E105" s="12">
        <v>0</v>
      </c>
      <c r="F105" s="8">
        <v>0</v>
      </c>
      <c r="G105" s="12">
        <v>1</v>
      </c>
      <c r="H105" s="8">
        <v>2.94</v>
      </c>
      <c r="I105" s="12">
        <v>0</v>
      </c>
    </row>
    <row r="106" spans="2:9" ht="15" customHeight="1" x14ac:dyDescent="0.2">
      <c r="B106" t="s">
        <v>345</v>
      </c>
      <c r="C106" s="12">
        <v>1</v>
      </c>
      <c r="D106" s="8">
        <v>1.01</v>
      </c>
      <c r="E106" s="12">
        <v>0</v>
      </c>
      <c r="F106" s="8">
        <v>0</v>
      </c>
      <c r="G106" s="12">
        <v>0</v>
      </c>
      <c r="H106" s="8">
        <v>0</v>
      </c>
      <c r="I106" s="12">
        <v>0</v>
      </c>
    </row>
    <row r="108" spans="2:9" ht="15" customHeight="1" x14ac:dyDescent="0.2">
      <c r="B10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EE3FF-6C32-484F-BD6B-37E888C3FC05}">
  <sheetPr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12</v>
      </c>
      <c r="D6" s="8">
        <v>10</v>
      </c>
      <c r="E6" s="12">
        <v>5</v>
      </c>
      <c r="F6" s="8">
        <v>8.33</v>
      </c>
      <c r="G6" s="12">
        <v>7</v>
      </c>
      <c r="H6" s="8">
        <v>14.29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6.67</v>
      </c>
      <c r="E7" s="12">
        <v>1</v>
      </c>
      <c r="F7" s="8">
        <v>1.67</v>
      </c>
      <c r="G7" s="12">
        <v>7</v>
      </c>
      <c r="H7" s="8">
        <v>14.29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1.67</v>
      </c>
      <c r="E8" s="12">
        <v>0</v>
      </c>
      <c r="F8" s="8">
        <v>0</v>
      </c>
      <c r="G8" s="12">
        <v>1</v>
      </c>
      <c r="H8" s="8">
        <v>2.04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3.33</v>
      </c>
      <c r="E10" s="12">
        <v>1</v>
      </c>
      <c r="F10" s="8">
        <v>1.67</v>
      </c>
      <c r="G10" s="12">
        <v>3</v>
      </c>
      <c r="H10" s="8">
        <v>6.12</v>
      </c>
      <c r="I10" s="12">
        <v>0</v>
      </c>
    </row>
    <row r="11" spans="2:9" ht="15" customHeight="1" x14ac:dyDescent="0.2">
      <c r="B11" t="s">
        <v>196</v>
      </c>
      <c r="C11" s="12">
        <v>35</v>
      </c>
      <c r="D11" s="8">
        <v>29.17</v>
      </c>
      <c r="E11" s="12">
        <v>12</v>
      </c>
      <c r="F11" s="8">
        <v>20</v>
      </c>
      <c r="G11" s="12">
        <v>23</v>
      </c>
      <c r="H11" s="8">
        <v>46.94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1.67</v>
      </c>
      <c r="E13" s="12">
        <v>0</v>
      </c>
      <c r="F13" s="8">
        <v>0</v>
      </c>
      <c r="G13" s="12">
        <v>2</v>
      </c>
      <c r="H13" s="8">
        <v>4.08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4.17</v>
      </c>
      <c r="E14" s="12">
        <v>2</v>
      </c>
      <c r="F14" s="8">
        <v>3.33</v>
      </c>
      <c r="G14" s="12">
        <v>1</v>
      </c>
      <c r="H14" s="8">
        <v>2.04</v>
      </c>
      <c r="I14" s="12">
        <v>0</v>
      </c>
    </row>
    <row r="15" spans="2:9" ht="15" customHeight="1" x14ac:dyDescent="0.2">
      <c r="B15" t="s">
        <v>200</v>
      </c>
      <c r="C15" s="12">
        <v>30</v>
      </c>
      <c r="D15" s="8">
        <v>25</v>
      </c>
      <c r="E15" s="12">
        <v>27</v>
      </c>
      <c r="F15" s="8">
        <v>45</v>
      </c>
      <c r="G15" s="12">
        <v>3</v>
      </c>
      <c r="H15" s="8">
        <v>6.12</v>
      </c>
      <c r="I15" s="12">
        <v>0</v>
      </c>
    </row>
    <row r="16" spans="2:9" ht="15" customHeight="1" x14ac:dyDescent="0.2">
      <c r="B16" t="s">
        <v>201</v>
      </c>
      <c r="C16" s="12">
        <v>11</v>
      </c>
      <c r="D16" s="8">
        <v>9.17</v>
      </c>
      <c r="E16" s="12">
        <v>9</v>
      </c>
      <c r="F16" s="8">
        <v>15</v>
      </c>
      <c r="G16" s="12">
        <v>1</v>
      </c>
      <c r="H16" s="8">
        <v>2.04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1.67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5</v>
      </c>
      <c r="E18" s="12">
        <v>1</v>
      </c>
      <c r="F18" s="8">
        <v>1.67</v>
      </c>
      <c r="G18" s="12">
        <v>1</v>
      </c>
      <c r="H18" s="8">
        <v>2.04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2.5</v>
      </c>
      <c r="E19" s="12">
        <v>2</v>
      </c>
      <c r="F19" s="8">
        <v>3.33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SUM(LTBL_01519[総数／事業所数])</f>
        <v>120</v>
      </c>
      <c r="E20" s="12">
        <f>SUBTOTAL(109,LTBL_01519[個人／事業所数])</f>
        <v>60</v>
      </c>
      <c r="G20" s="12">
        <f>SUBTOTAL(109,LTBL_01519[法人／事業所数])</f>
        <v>49</v>
      </c>
      <c r="I20" s="12">
        <f>SUBTOTAL(109,LTBL_01519[法人以外の団体／事業所数])</f>
        <v>0</v>
      </c>
    </row>
    <row r="21" spans="2:9" ht="15" customHeight="1" x14ac:dyDescent="0.2">
      <c r="E21" s="11">
        <f>LTBL_01519[[#Totals],[個人／事業所数]]/LTBL_01519[[#Totals],[総数／事業所数]]</f>
        <v>0.5</v>
      </c>
      <c r="G21" s="11">
        <f>LTBL_01519[[#Totals],[法人／事業所数]]/LTBL_01519[[#Totals],[総数／事業所数]]</f>
        <v>0.40833333333333333</v>
      </c>
      <c r="I21" s="11">
        <f>LTBL_01519[[#Totals],[法人以外の団体／事業所数]]/LTBL_01519[[#Totals],[総数／事業所数]]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18</v>
      </c>
      <c r="D24" s="8">
        <v>15</v>
      </c>
      <c r="E24" s="12">
        <v>17</v>
      </c>
      <c r="F24" s="8">
        <v>28.33</v>
      </c>
      <c r="G24" s="12">
        <v>1</v>
      </c>
      <c r="H24" s="8">
        <v>2.04</v>
      </c>
      <c r="I24" s="12">
        <v>0</v>
      </c>
    </row>
    <row r="25" spans="2:9" ht="15" customHeight="1" x14ac:dyDescent="0.2">
      <c r="B25" t="s">
        <v>223</v>
      </c>
      <c r="C25" s="12">
        <v>12</v>
      </c>
      <c r="D25" s="8">
        <v>10</v>
      </c>
      <c r="E25" s="12">
        <v>3</v>
      </c>
      <c r="F25" s="8">
        <v>5</v>
      </c>
      <c r="G25" s="12">
        <v>9</v>
      </c>
      <c r="H25" s="8">
        <v>18.37</v>
      </c>
      <c r="I25" s="12">
        <v>0</v>
      </c>
    </row>
    <row r="26" spans="2:9" ht="15" customHeight="1" x14ac:dyDescent="0.2">
      <c r="B26" t="s">
        <v>243</v>
      </c>
      <c r="C26" s="12">
        <v>12</v>
      </c>
      <c r="D26" s="8">
        <v>10</v>
      </c>
      <c r="E26" s="12">
        <v>10</v>
      </c>
      <c r="F26" s="8">
        <v>16.670000000000002</v>
      </c>
      <c r="G26" s="12">
        <v>2</v>
      </c>
      <c r="H26" s="8">
        <v>4.08</v>
      </c>
      <c r="I26" s="12">
        <v>0</v>
      </c>
    </row>
    <row r="27" spans="2:9" ht="15" customHeight="1" x14ac:dyDescent="0.2">
      <c r="B27" t="s">
        <v>228</v>
      </c>
      <c r="C27" s="12">
        <v>11</v>
      </c>
      <c r="D27" s="8">
        <v>9.17</v>
      </c>
      <c r="E27" s="12">
        <v>9</v>
      </c>
      <c r="F27" s="8">
        <v>15</v>
      </c>
      <c r="G27" s="12">
        <v>1</v>
      </c>
      <c r="H27" s="8">
        <v>2.04</v>
      </c>
      <c r="I27" s="12">
        <v>0</v>
      </c>
    </row>
    <row r="28" spans="2:9" ht="15" customHeight="1" x14ac:dyDescent="0.2">
      <c r="B28" t="s">
        <v>221</v>
      </c>
      <c r="C28" s="12">
        <v>10</v>
      </c>
      <c r="D28" s="8">
        <v>8.33</v>
      </c>
      <c r="E28" s="12">
        <v>5</v>
      </c>
      <c r="F28" s="8">
        <v>8.33</v>
      </c>
      <c r="G28" s="12">
        <v>5</v>
      </c>
      <c r="H28" s="8">
        <v>10.199999999999999</v>
      </c>
      <c r="I28" s="12">
        <v>0</v>
      </c>
    </row>
    <row r="29" spans="2:9" ht="15" customHeight="1" x14ac:dyDescent="0.2">
      <c r="B29" t="s">
        <v>241</v>
      </c>
      <c r="C29" s="12">
        <v>6</v>
      </c>
      <c r="D29" s="8">
        <v>5</v>
      </c>
      <c r="E29" s="12">
        <v>1</v>
      </c>
      <c r="F29" s="8">
        <v>1.67</v>
      </c>
      <c r="G29" s="12">
        <v>5</v>
      </c>
      <c r="H29" s="8">
        <v>10.199999999999999</v>
      </c>
      <c r="I29" s="12">
        <v>0</v>
      </c>
    </row>
    <row r="30" spans="2:9" ht="15" customHeight="1" x14ac:dyDescent="0.2">
      <c r="B30" t="s">
        <v>213</v>
      </c>
      <c r="C30" s="12">
        <v>4</v>
      </c>
      <c r="D30" s="8">
        <v>3.33</v>
      </c>
      <c r="E30" s="12">
        <v>1</v>
      </c>
      <c r="F30" s="8">
        <v>1.67</v>
      </c>
      <c r="G30" s="12">
        <v>3</v>
      </c>
      <c r="H30" s="8">
        <v>6.12</v>
      </c>
      <c r="I30" s="12">
        <v>0</v>
      </c>
    </row>
    <row r="31" spans="2:9" ht="15" customHeight="1" x14ac:dyDescent="0.2">
      <c r="B31" t="s">
        <v>214</v>
      </c>
      <c r="C31" s="12">
        <v>4</v>
      </c>
      <c r="D31" s="8">
        <v>3.33</v>
      </c>
      <c r="E31" s="12">
        <v>3</v>
      </c>
      <c r="F31" s="8">
        <v>5</v>
      </c>
      <c r="G31" s="12">
        <v>1</v>
      </c>
      <c r="H31" s="8">
        <v>2.04</v>
      </c>
      <c r="I31" s="12">
        <v>0</v>
      </c>
    </row>
    <row r="32" spans="2:9" ht="15" customHeight="1" x14ac:dyDescent="0.2">
      <c r="B32" t="s">
        <v>215</v>
      </c>
      <c r="C32" s="12">
        <v>4</v>
      </c>
      <c r="D32" s="8">
        <v>3.33</v>
      </c>
      <c r="E32" s="12">
        <v>1</v>
      </c>
      <c r="F32" s="8">
        <v>1.67</v>
      </c>
      <c r="G32" s="12">
        <v>3</v>
      </c>
      <c r="H32" s="8">
        <v>6.12</v>
      </c>
      <c r="I32" s="12">
        <v>0</v>
      </c>
    </row>
    <row r="33" spans="2:9" ht="15" customHeight="1" x14ac:dyDescent="0.2">
      <c r="B33" t="s">
        <v>222</v>
      </c>
      <c r="C33" s="12">
        <v>4</v>
      </c>
      <c r="D33" s="8">
        <v>3.33</v>
      </c>
      <c r="E33" s="12">
        <v>3</v>
      </c>
      <c r="F33" s="8">
        <v>5</v>
      </c>
      <c r="G33" s="12">
        <v>1</v>
      </c>
      <c r="H33" s="8">
        <v>2.04</v>
      </c>
      <c r="I33" s="12">
        <v>0</v>
      </c>
    </row>
    <row r="34" spans="2:9" ht="15" customHeight="1" x14ac:dyDescent="0.2">
      <c r="B34" t="s">
        <v>232</v>
      </c>
      <c r="C34" s="12">
        <v>4</v>
      </c>
      <c r="D34" s="8">
        <v>3.33</v>
      </c>
      <c r="E34" s="12">
        <v>0</v>
      </c>
      <c r="F34" s="8">
        <v>0</v>
      </c>
      <c r="G34" s="12">
        <v>1</v>
      </c>
      <c r="H34" s="8">
        <v>2.04</v>
      </c>
      <c r="I34" s="12">
        <v>0</v>
      </c>
    </row>
    <row r="35" spans="2:9" ht="15" customHeight="1" x14ac:dyDescent="0.2">
      <c r="B35" t="s">
        <v>226</v>
      </c>
      <c r="C35" s="12">
        <v>3</v>
      </c>
      <c r="D35" s="8">
        <v>2.5</v>
      </c>
      <c r="E35" s="12">
        <v>1</v>
      </c>
      <c r="F35" s="8">
        <v>1.67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255</v>
      </c>
      <c r="C36" s="12">
        <v>2</v>
      </c>
      <c r="D36" s="8">
        <v>1.67</v>
      </c>
      <c r="E36" s="12">
        <v>0</v>
      </c>
      <c r="F36" s="8">
        <v>0</v>
      </c>
      <c r="G36" s="12">
        <v>1</v>
      </c>
      <c r="H36" s="8">
        <v>2.04</v>
      </c>
      <c r="I36" s="12">
        <v>0</v>
      </c>
    </row>
    <row r="37" spans="2:9" ht="15" customHeight="1" x14ac:dyDescent="0.2">
      <c r="B37" t="s">
        <v>248</v>
      </c>
      <c r="C37" s="12">
        <v>2</v>
      </c>
      <c r="D37" s="8">
        <v>1.67</v>
      </c>
      <c r="E37" s="12">
        <v>0</v>
      </c>
      <c r="F37" s="8">
        <v>0</v>
      </c>
      <c r="G37" s="12">
        <v>2</v>
      </c>
      <c r="H37" s="8">
        <v>4.08</v>
      </c>
      <c r="I37" s="12">
        <v>0</v>
      </c>
    </row>
    <row r="38" spans="2:9" ht="15" customHeight="1" x14ac:dyDescent="0.2">
      <c r="B38" t="s">
        <v>216</v>
      </c>
      <c r="C38" s="12">
        <v>2</v>
      </c>
      <c r="D38" s="8">
        <v>1.67</v>
      </c>
      <c r="E38" s="12">
        <v>0</v>
      </c>
      <c r="F38" s="8">
        <v>0</v>
      </c>
      <c r="G38" s="12">
        <v>2</v>
      </c>
      <c r="H38" s="8">
        <v>4.08</v>
      </c>
      <c r="I38" s="12">
        <v>0</v>
      </c>
    </row>
    <row r="39" spans="2:9" ht="15" customHeight="1" x14ac:dyDescent="0.2">
      <c r="B39" t="s">
        <v>219</v>
      </c>
      <c r="C39" s="12">
        <v>2</v>
      </c>
      <c r="D39" s="8">
        <v>1.67</v>
      </c>
      <c r="E39" s="12">
        <v>0</v>
      </c>
      <c r="F39" s="8">
        <v>0</v>
      </c>
      <c r="G39" s="12">
        <v>2</v>
      </c>
      <c r="H39" s="8">
        <v>4.08</v>
      </c>
      <c r="I39" s="12">
        <v>0</v>
      </c>
    </row>
    <row r="40" spans="2:9" ht="15" customHeight="1" x14ac:dyDescent="0.2">
      <c r="B40" t="s">
        <v>220</v>
      </c>
      <c r="C40" s="12">
        <v>2</v>
      </c>
      <c r="D40" s="8">
        <v>1.67</v>
      </c>
      <c r="E40" s="12">
        <v>1</v>
      </c>
      <c r="F40" s="8">
        <v>1.67</v>
      </c>
      <c r="G40" s="12">
        <v>1</v>
      </c>
      <c r="H40" s="8">
        <v>2.04</v>
      </c>
      <c r="I40" s="12">
        <v>0</v>
      </c>
    </row>
    <row r="41" spans="2:9" ht="15" customHeight="1" x14ac:dyDescent="0.2">
      <c r="B41" t="s">
        <v>236</v>
      </c>
      <c r="C41" s="12">
        <v>2</v>
      </c>
      <c r="D41" s="8">
        <v>1.67</v>
      </c>
      <c r="E41" s="12">
        <v>0</v>
      </c>
      <c r="F41" s="8">
        <v>0</v>
      </c>
      <c r="G41" s="12">
        <v>2</v>
      </c>
      <c r="H41" s="8">
        <v>4.08</v>
      </c>
      <c r="I41" s="12">
        <v>0</v>
      </c>
    </row>
    <row r="42" spans="2:9" ht="15" customHeight="1" x14ac:dyDescent="0.2">
      <c r="B42" t="s">
        <v>246</v>
      </c>
      <c r="C42" s="12">
        <v>2</v>
      </c>
      <c r="D42" s="8">
        <v>1.67</v>
      </c>
      <c r="E42" s="12">
        <v>0</v>
      </c>
      <c r="F42" s="8">
        <v>0</v>
      </c>
      <c r="G42" s="12">
        <v>2</v>
      </c>
      <c r="H42" s="8">
        <v>4.08</v>
      </c>
      <c r="I42" s="12">
        <v>0</v>
      </c>
    </row>
    <row r="43" spans="2:9" ht="15" customHeight="1" x14ac:dyDescent="0.2">
      <c r="B43" t="s">
        <v>225</v>
      </c>
      <c r="C43" s="12">
        <v>2</v>
      </c>
      <c r="D43" s="8">
        <v>1.67</v>
      </c>
      <c r="E43" s="12">
        <v>1</v>
      </c>
      <c r="F43" s="8">
        <v>1.67</v>
      </c>
      <c r="G43" s="12">
        <v>1</v>
      </c>
      <c r="H43" s="8">
        <v>2.04</v>
      </c>
      <c r="I43" s="12">
        <v>0</v>
      </c>
    </row>
    <row r="44" spans="2:9" ht="15" customHeight="1" x14ac:dyDescent="0.2">
      <c r="B44" t="s">
        <v>230</v>
      </c>
      <c r="C44" s="12">
        <v>2</v>
      </c>
      <c r="D44" s="8">
        <v>1.67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231</v>
      </c>
      <c r="C45" s="12">
        <v>2</v>
      </c>
      <c r="D45" s="8">
        <v>1.67</v>
      </c>
      <c r="E45" s="12">
        <v>1</v>
      </c>
      <c r="F45" s="8">
        <v>1.67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249</v>
      </c>
      <c r="C46" s="12">
        <v>2</v>
      </c>
      <c r="D46" s="8">
        <v>1.67</v>
      </c>
      <c r="E46" s="12">
        <v>1</v>
      </c>
      <c r="F46" s="8">
        <v>1.67</v>
      </c>
      <c r="G46" s="12">
        <v>0</v>
      </c>
      <c r="H46" s="8">
        <v>0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339</v>
      </c>
      <c r="C50" s="12">
        <v>12</v>
      </c>
      <c r="D50" s="8">
        <v>10</v>
      </c>
      <c r="E50" s="12">
        <v>10</v>
      </c>
      <c r="F50" s="8">
        <v>16.670000000000002</v>
      </c>
      <c r="G50" s="12">
        <v>2</v>
      </c>
      <c r="H50" s="8">
        <v>4.08</v>
      </c>
      <c r="I50" s="12">
        <v>0</v>
      </c>
    </row>
    <row r="51" spans="2:9" ht="15" customHeight="1" x14ac:dyDescent="0.2">
      <c r="B51" t="s">
        <v>342</v>
      </c>
      <c r="C51" s="12">
        <v>6</v>
      </c>
      <c r="D51" s="8">
        <v>5</v>
      </c>
      <c r="E51" s="12">
        <v>1</v>
      </c>
      <c r="F51" s="8">
        <v>1.67</v>
      </c>
      <c r="G51" s="12">
        <v>5</v>
      </c>
      <c r="H51" s="8">
        <v>10.199999999999999</v>
      </c>
      <c r="I51" s="12">
        <v>0</v>
      </c>
    </row>
    <row r="52" spans="2:9" ht="15" customHeight="1" x14ac:dyDescent="0.2">
      <c r="B52" t="s">
        <v>304</v>
      </c>
      <c r="C52" s="12">
        <v>6</v>
      </c>
      <c r="D52" s="8">
        <v>5</v>
      </c>
      <c r="E52" s="12">
        <v>6</v>
      </c>
      <c r="F52" s="8">
        <v>10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330</v>
      </c>
      <c r="C53" s="12">
        <v>5</v>
      </c>
      <c r="D53" s="8">
        <v>4.17</v>
      </c>
      <c r="E53" s="12">
        <v>1</v>
      </c>
      <c r="F53" s="8">
        <v>1.67</v>
      </c>
      <c r="G53" s="12">
        <v>4</v>
      </c>
      <c r="H53" s="8">
        <v>8.16</v>
      </c>
      <c r="I53" s="12">
        <v>0</v>
      </c>
    </row>
    <row r="54" spans="2:9" ht="15" customHeight="1" x14ac:dyDescent="0.2">
      <c r="B54" t="s">
        <v>301</v>
      </c>
      <c r="C54" s="12">
        <v>5</v>
      </c>
      <c r="D54" s="8">
        <v>4.17</v>
      </c>
      <c r="E54" s="12">
        <v>5</v>
      </c>
      <c r="F54" s="8">
        <v>8.33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302</v>
      </c>
      <c r="C55" s="12">
        <v>5</v>
      </c>
      <c r="D55" s="8">
        <v>4.17</v>
      </c>
      <c r="E55" s="12">
        <v>5</v>
      </c>
      <c r="F55" s="8">
        <v>8.33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292</v>
      </c>
      <c r="C56" s="12">
        <v>4</v>
      </c>
      <c r="D56" s="8">
        <v>3.33</v>
      </c>
      <c r="E56" s="12">
        <v>2</v>
      </c>
      <c r="F56" s="8">
        <v>3.33</v>
      </c>
      <c r="G56" s="12">
        <v>2</v>
      </c>
      <c r="H56" s="8">
        <v>4.08</v>
      </c>
      <c r="I56" s="12">
        <v>0</v>
      </c>
    </row>
    <row r="57" spans="2:9" ht="15" customHeight="1" x14ac:dyDescent="0.2">
      <c r="B57" t="s">
        <v>335</v>
      </c>
      <c r="C57" s="12">
        <v>4</v>
      </c>
      <c r="D57" s="8">
        <v>3.33</v>
      </c>
      <c r="E57" s="12">
        <v>3</v>
      </c>
      <c r="F57" s="8">
        <v>5</v>
      </c>
      <c r="G57" s="12">
        <v>1</v>
      </c>
      <c r="H57" s="8">
        <v>2.04</v>
      </c>
      <c r="I57" s="12">
        <v>0</v>
      </c>
    </row>
    <row r="58" spans="2:9" ht="15" customHeight="1" x14ac:dyDescent="0.2">
      <c r="B58" t="s">
        <v>299</v>
      </c>
      <c r="C58" s="12">
        <v>4</v>
      </c>
      <c r="D58" s="8">
        <v>3.33</v>
      </c>
      <c r="E58" s="12">
        <v>4</v>
      </c>
      <c r="F58" s="8">
        <v>6.67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295</v>
      </c>
      <c r="C59" s="12">
        <v>3</v>
      </c>
      <c r="D59" s="8">
        <v>2.5</v>
      </c>
      <c r="E59" s="12">
        <v>0</v>
      </c>
      <c r="F59" s="8">
        <v>0</v>
      </c>
      <c r="G59" s="12">
        <v>3</v>
      </c>
      <c r="H59" s="8">
        <v>6.12</v>
      </c>
      <c r="I59" s="12">
        <v>0</v>
      </c>
    </row>
    <row r="60" spans="2:9" ht="15" customHeight="1" x14ac:dyDescent="0.2">
      <c r="B60" t="s">
        <v>303</v>
      </c>
      <c r="C60" s="12">
        <v>3</v>
      </c>
      <c r="D60" s="8">
        <v>2.5</v>
      </c>
      <c r="E60" s="12">
        <v>3</v>
      </c>
      <c r="F60" s="8">
        <v>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328</v>
      </c>
      <c r="C61" s="12">
        <v>2</v>
      </c>
      <c r="D61" s="8">
        <v>1.67</v>
      </c>
      <c r="E61" s="12">
        <v>1</v>
      </c>
      <c r="F61" s="8">
        <v>1.67</v>
      </c>
      <c r="G61" s="12">
        <v>1</v>
      </c>
      <c r="H61" s="8">
        <v>2.04</v>
      </c>
      <c r="I61" s="12">
        <v>0</v>
      </c>
    </row>
    <row r="62" spans="2:9" ht="15" customHeight="1" x14ac:dyDescent="0.2">
      <c r="B62" t="s">
        <v>343</v>
      </c>
      <c r="C62" s="12">
        <v>2</v>
      </c>
      <c r="D62" s="8">
        <v>1.67</v>
      </c>
      <c r="E62" s="12">
        <v>2</v>
      </c>
      <c r="F62" s="8">
        <v>3.33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291</v>
      </c>
      <c r="C63" s="12">
        <v>2</v>
      </c>
      <c r="D63" s="8">
        <v>1.67</v>
      </c>
      <c r="E63" s="12">
        <v>1</v>
      </c>
      <c r="F63" s="8">
        <v>1.67</v>
      </c>
      <c r="G63" s="12">
        <v>1</v>
      </c>
      <c r="H63" s="8">
        <v>2.04</v>
      </c>
      <c r="I63" s="12">
        <v>0</v>
      </c>
    </row>
    <row r="64" spans="2:9" ht="15" customHeight="1" x14ac:dyDescent="0.2">
      <c r="B64" t="s">
        <v>350</v>
      </c>
      <c r="C64" s="12">
        <v>2</v>
      </c>
      <c r="D64" s="8">
        <v>1.67</v>
      </c>
      <c r="E64" s="12">
        <v>0</v>
      </c>
      <c r="F64" s="8">
        <v>0</v>
      </c>
      <c r="G64" s="12">
        <v>2</v>
      </c>
      <c r="H64" s="8">
        <v>4.08</v>
      </c>
      <c r="I64" s="12">
        <v>0</v>
      </c>
    </row>
    <row r="65" spans="2:9" ht="15" customHeight="1" x14ac:dyDescent="0.2">
      <c r="B65" t="s">
        <v>354</v>
      </c>
      <c r="C65" s="12">
        <v>2</v>
      </c>
      <c r="D65" s="8">
        <v>1.67</v>
      </c>
      <c r="E65" s="12">
        <v>0</v>
      </c>
      <c r="F65" s="8">
        <v>0</v>
      </c>
      <c r="G65" s="12">
        <v>2</v>
      </c>
      <c r="H65" s="8">
        <v>4.08</v>
      </c>
      <c r="I65" s="12">
        <v>0</v>
      </c>
    </row>
    <row r="66" spans="2:9" ht="15" customHeight="1" x14ac:dyDescent="0.2">
      <c r="B66" t="s">
        <v>402</v>
      </c>
      <c r="C66" s="12">
        <v>2</v>
      </c>
      <c r="D66" s="8">
        <v>1.67</v>
      </c>
      <c r="E66" s="12">
        <v>1</v>
      </c>
      <c r="F66" s="8">
        <v>1.67</v>
      </c>
      <c r="G66" s="12">
        <v>1</v>
      </c>
      <c r="H66" s="8">
        <v>2.04</v>
      </c>
      <c r="I66" s="12">
        <v>0</v>
      </c>
    </row>
    <row r="67" spans="2:9" ht="15" customHeight="1" x14ac:dyDescent="0.2">
      <c r="B67" t="s">
        <v>355</v>
      </c>
      <c r="C67" s="12">
        <v>2</v>
      </c>
      <c r="D67" s="8">
        <v>1.67</v>
      </c>
      <c r="E67" s="12">
        <v>0</v>
      </c>
      <c r="F67" s="8">
        <v>0</v>
      </c>
      <c r="G67" s="12">
        <v>2</v>
      </c>
      <c r="H67" s="8">
        <v>4.08</v>
      </c>
      <c r="I67" s="12">
        <v>0</v>
      </c>
    </row>
    <row r="68" spans="2:9" ht="15" customHeight="1" x14ac:dyDescent="0.2">
      <c r="B68" t="s">
        <v>396</v>
      </c>
      <c r="C68" s="12">
        <v>2</v>
      </c>
      <c r="D68" s="8">
        <v>1.67</v>
      </c>
      <c r="E68" s="12">
        <v>0</v>
      </c>
      <c r="F68" s="8">
        <v>0</v>
      </c>
      <c r="G68" s="12">
        <v>2</v>
      </c>
      <c r="H68" s="8">
        <v>4.08</v>
      </c>
      <c r="I68" s="12">
        <v>0</v>
      </c>
    </row>
    <row r="69" spans="2:9" ht="15" customHeight="1" x14ac:dyDescent="0.2">
      <c r="B69" t="s">
        <v>334</v>
      </c>
      <c r="C69" s="12">
        <v>2</v>
      </c>
      <c r="D69" s="8">
        <v>1.67</v>
      </c>
      <c r="E69" s="12">
        <v>1</v>
      </c>
      <c r="F69" s="8">
        <v>1.67</v>
      </c>
      <c r="G69" s="12">
        <v>1</v>
      </c>
      <c r="H69" s="8">
        <v>2.04</v>
      </c>
      <c r="I69" s="12">
        <v>0</v>
      </c>
    </row>
    <row r="70" spans="2:9" ht="15" customHeight="1" x14ac:dyDescent="0.2">
      <c r="B70" t="s">
        <v>300</v>
      </c>
      <c r="C70" s="12">
        <v>2</v>
      </c>
      <c r="D70" s="8">
        <v>1.67</v>
      </c>
      <c r="E70" s="12">
        <v>2</v>
      </c>
      <c r="F70" s="8">
        <v>3.33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340</v>
      </c>
      <c r="C71" s="12">
        <v>2</v>
      </c>
      <c r="D71" s="8">
        <v>1.67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312</v>
      </c>
      <c r="C72" s="12">
        <v>2</v>
      </c>
      <c r="D72" s="8">
        <v>1.67</v>
      </c>
      <c r="E72" s="12">
        <v>1</v>
      </c>
      <c r="F72" s="8">
        <v>1.67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331</v>
      </c>
      <c r="C73" s="12">
        <v>2</v>
      </c>
      <c r="D73" s="8">
        <v>1.67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370</v>
      </c>
      <c r="C74" s="12">
        <v>2</v>
      </c>
      <c r="D74" s="8">
        <v>1.67</v>
      </c>
      <c r="E74" s="12">
        <v>1</v>
      </c>
      <c r="F74" s="8">
        <v>1.67</v>
      </c>
      <c r="G74" s="12">
        <v>0</v>
      </c>
      <c r="H74" s="8">
        <v>0</v>
      </c>
      <c r="I74" s="12">
        <v>0</v>
      </c>
    </row>
    <row r="76" spans="2:9" ht="15" customHeight="1" x14ac:dyDescent="0.2">
      <c r="B7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5B027-2CEB-45D7-94C2-3C971D5705F0}">
  <sheetPr>
    <pageSetUpPr fitToPage="1"/>
  </sheetPr>
  <dimension ref="B2:I10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1.2</v>
      </c>
      <c r="E5" s="12">
        <v>0</v>
      </c>
      <c r="F5" s="8">
        <v>0</v>
      </c>
      <c r="G5" s="12">
        <v>1</v>
      </c>
      <c r="H5" s="8">
        <v>2.2200000000000002</v>
      </c>
      <c r="I5" s="12">
        <v>0</v>
      </c>
    </row>
    <row r="6" spans="2:9" ht="15" customHeight="1" x14ac:dyDescent="0.2">
      <c r="B6" t="s">
        <v>191</v>
      </c>
      <c r="C6" s="12">
        <v>8</v>
      </c>
      <c r="D6" s="8">
        <v>9.64</v>
      </c>
      <c r="E6" s="12">
        <v>3</v>
      </c>
      <c r="F6" s="8">
        <v>9.3800000000000008</v>
      </c>
      <c r="G6" s="12">
        <v>5</v>
      </c>
      <c r="H6" s="8">
        <v>11.11</v>
      </c>
      <c r="I6" s="12">
        <v>0</v>
      </c>
    </row>
    <row r="7" spans="2:9" ht="15" customHeight="1" x14ac:dyDescent="0.2">
      <c r="B7" t="s">
        <v>192</v>
      </c>
      <c r="C7" s="12">
        <v>4</v>
      </c>
      <c r="D7" s="8">
        <v>4.82</v>
      </c>
      <c r="E7" s="12">
        <v>1</v>
      </c>
      <c r="F7" s="8">
        <v>3.13</v>
      </c>
      <c r="G7" s="12">
        <v>3</v>
      </c>
      <c r="H7" s="8">
        <v>6.67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3.61</v>
      </c>
      <c r="E8" s="12">
        <v>0</v>
      </c>
      <c r="F8" s="8">
        <v>0</v>
      </c>
      <c r="G8" s="12">
        <v>2</v>
      </c>
      <c r="H8" s="8">
        <v>4.4400000000000004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1.2</v>
      </c>
      <c r="E9" s="12">
        <v>1</v>
      </c>
      <c r="F9" s="8">
        <v>3.13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1.2</v>
      </c>
      <c r="E10" s="12">
        <v>0</v>
      </c>
      <c r="F10" s="8">
        <v>0</v>
      </c>
      <c r="G10" s="12">
        <v>1</v>
      </c>
      <c r="H10" s="8">
        <v>2.2200000000000002</v>
      </c>
      <c r="I10" s="12">
        <v>0</v>
      </c>
    </row>
    <row r="11" spans="2:9" ht="15" customHeight="1" x14ac:dyDescent="0.2">
      <c r="B11" t="s">
        <v>196</v>
      </c>
      <c r="C11" s="12">
        <v>17</v>
      </c>
      <c r="D11" s="8">
        <v>20.48</v>
      </c>
      <c r="E11" s="12">
        <v>5</v>
      </c>
      <c r="F11" s="8">
        <v>15.63</v>
      </c>
      <c r="G11" s="12">
        <v>12</v>
      </c>
      <c r="H11" s="8">
        <v>26.67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11</v>
      </c>
      <c r="D13" s="8">
        <v>13.25</v>
      </c>
      <c r="E13" s="12">
        <v>5</v>
      </c>
      <c r="F13" s="8">
        <v>15.63</v>
      </c>
      <c r="G13" s="12">
        <v>6</v>
      </c>
      <c r="H13" s="8">
        <v>13.33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1.2</v>
      </c>
      <c r="E14" s="12">
        <v>0</v>
      </c>
      <c r="F14" s="8">
        <v>0</v>
      </c>
      <c r="G14" s="12">
        <v>1</v>
      </c>
      <c r="H14" s="8">
        <v>2.2200000000000002</v>
      </c>
      <c r="I14" s="12">
        <v>0</v>
      </c>
    </row>
    <row r="15" spans="2:9" ht="15" customHeight="1" x14ac:dyDescent="0.2">
      <c r="B15" t="s">
        <v>200</v>
      </c>
      <c r="C15" s="12">
        <v>16</v>
      </c>
      <c r="D15" s="8">
        <v>19.28</v>
      </c>
      <c r="E15" s="12">
        <v>10</v>
      </c>
      <c r="F15" s="8">
        <v>31.25</v>
      </c>
      <c r="G15" s="12">
        <v>6</v>
      </c>
      <c r="H15" s="8">
        <v>13.33</v>
      </c>
      <c r="I15" s="12">
        <v>0</v>
      </c>
    </row>
    <row r="16" spans="2:9" ht="15" customHeight="1" x14ac:dyDescent="0.2">
      <c r="B16" t="s">
        <v>201</v>
      </c>
      <c r="C16" s="12">
        <v>3</v>
      </c>
      <c r="D16" s="8">
        <v>3.61</v>
      </c>
      <c r="E16" s="12">
        <v>3</v>
      </c>
      <c r="F16" s="8">
        <v>9.3800000000000008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6.02</v>
      </c>
      <c r="E17" s="12">
        <v>2</v>
      </c>
      <c r="F17" s="8">
        <v>6.25</v>
      </c>
      <c r="G17" s="12">
        <v>1</v>
      </c>
      <c r="H17" s="8">
        <v>2.2200000000000002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7.23</v>
      </c>
      <c r="E18" s="12">
        <v>1</v>
      </c>
      <c r="F18" s="8">
        <v>3.13</v>
      </c>
      <c r="G18" s="12">
        <v>2</v>
      </c>
      <c r="H18" s="8">
        <v>4.4400000000000004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7.23</v>
      </c>
      <c r="E19" s="12">
        <v>1</v>
      </c>
      <c r="F19" s="8">
        <v>3.13</v>
      </c>
      <c r="G19" s="12">
        <v>5</v>
      </c>
      <c r="H19" s="8">
        <v>11.11</v>
      </c>
      <c r="I19" s="12">
        <v>0</v>
      </c>
    </row>
    <row r="20" spans="2:9" ht="15" customHeight="1" x14ac:dyDescent="0.2">
      <c r="B20" s="9" t="s">
        <v>529</v>
      </c>
      <c r="C20" s="12">
        <f>SUM(LTBL_01520[総数／事業所数])</f>
        <v>83</v>
      </c>
      <c r="E20" s="12">
        <f>SUBTOTAL(109,LTBL_01520[個人／事業所数])</f>
        <v>32</v>
      </c>
      <c r="G20" s="12">
        <f>SUBTOTAL(109,LTBL_01520[法人／事業所数])</f>
        <v>45</v>
      </c>
      <c r="I20" s="12">
        <f>SUBTOTAL(109,LTBL_01520[法人以外の団体／事業所数])</f>
        <v>0</v>
      </c>
    </row>
    <row r="21" spans="2:9" ht="15" customHeight="1" x14ac:dyDescent="0.2">
      <c r="E21" s="11">
        <f>LTBL_01520[[#Totals],[個人／事業所数]]/LTBL_01520[[#Totals],[総数／事業所数]]</f>
        <v>0.38554216867469882</v>
      </c>
      <c r="G21" s="11">
        <f>LTBL_01520[[#Totals],[法人／事業所数]]/LTBL_01520[[#Totals],[総数／事業所数]]</f>
        <v>0.54216867469879515</v>
      </c>
      <c r="I21" s="11">
        <f>LTBL_01520[[#Totals],[法人以外の団体／事業所数]]/LTBL_01520[[#Totals],[総数／事業所数]]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12</v>
      </c>
      <c r="D24" s="8">
        <v>14.46</v>
      </c>
      <c r="E24" s="12">
        <v>8</v>
      </c>
      <c r="F24" s="8">
        <v>25</v>
      </c>
      <c r="G24" s="12">
        <v>4</v>
      </c>
      <c r="H24" s="8">
        <v>8.89</v>
      </c>
      <c r="I24" s="12">
        <v>0</v>
      </c>
    </row>
    <row r="25" spans="2:9" ht="15" customHeight="1" x14ac:dyDescent="0.2">
      <c r="B25" t="s">
        <v>224</v>
      </c>
      <c r="C25" s="12">
        <v>8</v>
      </c>
      <c r="D25" s="8">
        <v>9.64</v>
      </c>
      <c r="E25" s="12">
        <v>5</v>
      </c>
      <c r="F25" s="8">
        <v>15.63</v>
      </c>
      <c r="G25" s="12">
        <v>3</v>
      </c>
      <c r="H25" s="8">
        <v>6.67</v>
      </c>
      <c r="I25" s="12">
        <v>0</v>
      </c>
    </row>
    <row r="26" spans="2:9" ht="15" customHeight="1" x14ac:dyDescent="0.2">
      <c r="B26" t="s">
        <v>221</v>
      </c>
      <c r="C26" s="12">
        <v>6</v>
      </c>
      <c r="D26" s="8">
        <v>7.23</v>
      </c>
      <c r="E26" s="12">
        <v>3</v>
      </c>
      <c r="F26" s="8">
        <v>9.3800000000000008</v>
      </c>
      <c r="G26" s="12">
        <v>3</v>
      </c>
      <c r="H26" s="8">
        <v>6.67</v>
      </c>
      <c r="I26" s="12">
        <v>0</v>
      </c>
    </row>
    <row r="27" spans="2:9" ht="15" customHeight="1" x14ac:dyDescent="0.2">
      <c r="B27" t="s">
        <v>223</v>
      </c>
      <c r="C27" s="12">
        <v>6</v>
      </c>
      <c r="D27" s="8">
        <v>7.23</v>
      </c>
      <c r="E27" s="12">
        <v>0</v>
      </c>
      <c r="F27" s="8">
        <v>0</v>
      </c>
      <c r="G27" s="12">
        <v>6</v>
      </c>
      <c r="H27" s="8">
        <v>13.33</v>
      </c>
      <c r="I27" s="12">
        <v>0</v>
      </c>
    </row>
    <row r="28" spans="2:9" ht="15" customHeight="1" x14ac:dyDescent="0.2">
      <c r="B28" t="s">
        <v>230</v>
      </c>
      <c r="C28" s="12">
        <v>5</v>
      </c>
      <c r="D28" s="8">
        <v>6.02</v>
      </c>
      <c r="E28" s="12">
        <v>2</v>
      </c>
      <c r="F28" s="8">
        <v>6.25</v>
      </c>
      <c r="G28" s="12">
        <v>1</v>
      </c>
      <c r="H28" s="8">
        <v>2.2200000000000002</v>
      </c>
      <c r="I28" s="12">
        <v>0</v>
      </c>
    </row>
    <row r="29" spans="2:9" ht="15" customHeight="1" x14ac:dyDescent="0.2">
      <c r="B29" t="s">
        <v>232</v>
      </c>
      <c r="C29" s="12">
        <v>5</v>
      </c>
      <c r="D29" s="8">
        <v>6.02</v>
      </c>
      <c r="E29" s="12">
        <v>0</v>
      </c>
      <c r="F29" s="8">
        <v>0</v>
      </c>
      <c r="G29" s="12">
        <v>2</v>
      </c>
      <c r="H29" s="8">
        <v>4.4400000000000004</v>
      </c>
      <c r="I29" s="12">
        <v>0</v>
      </c>
    </row>
    <row r="30" spans="2:9" ht="15" customHeight="1" x14ac:dyDescent="0.2">
      <c r="B30" t="s">
        <v>213</v>
      </c>
      <c r="C30" s="12">
        <v>4</v>
      </c>
      <c r="D30" s="8">
        <v>4.82</v>
      </c>
      <c r="E30" s="12">
        <v>1</v>
      </c>
      <c r="F30" s="8">
        <v>3.13</v>
      </c>
      <c r="G30" s="12">
        <v>3</v>
      </c>
      <c r="H30" s="8">
        <v>6.67</v>
      </c>
      <c r="I30" s="12">
        <v>0</v>
      </c>
    </row>
    <row r="31" spans="2:9" ht="15" customHeight="1" x14ac:dyDescent="0.2">
      <c r="B31" t="s">
        <v>243</v>
      </c>
      <c r="C31" s="12">
        <v>4</v>
      </c>
      <c r="D31" s="8">
        <v>4.82</v>
      </c>
      <c r="E31" s="12">
        <v>2</v>
      </c>
      <c r="F31" s="8">
        <v>6.25</v>
      </c>
      <c r="G31" s="12">
        <v>2</v>
      </c>
      <c r="H31" s="8">
        <v>4.4400000000000004</v>
      </c>
      <c r="I31" s="12">
        <v>0</v>
      </c>
    </row>
    <row r="32" spans="2:9" ht="15" customHeight="1" x14ac:dyDescent="0.2">
      <c r="B32" t="s">
        <v>234</v>
      </c>
      <c r="C32" s="12">
        <v>4</v>
      </c>
      <c r="D32" s="8">
        <v>4.82</v>
      </c>
      <c r="E32" s="12">
        <v>0</v>
      </c>
      <c r="F32" s="8">
        <v>0</v>
      </c>
      <c r="G32" s="12">
        <v>4</v>
      </c>
      <c r="H32" s="8">
        <v>8.89</v>
      </c>
      <c r="I32" s="12">
        <v>0</v>
      </c>
    </row>
    <row r="33" spans="2:9" ht="15" customHeight="1" x14ac:dyDescent="0.2">
      <c r="B33" t="s">
        <v>214</v>
      </c>
      <c r="C33" s="12">
        <v>3</v>
      </c>
      <c r="D33" s="8">
        <v>3.61</v>
      </c>
      <c r="E33" s="12">
        <v>2</v>
      </c>
      <c r="F33" s="8">
        <v>6.25</v>
      </c>
      <c r="G33" s="12">
        <v>1</v>
      </c>
      <c r="H33" s="8">
        <v>2.2200000000000002</v>
      </c>
      <c r="I33" s="12">
        <v>0</v>
      </c>
    </row>
    <row r="34" spans="2:9" ht="15" customHeight="1" x14ac:dyDescent="0.2">
      <c r="B34" t="s">
        <v>246</v>
      </c>
      <c r="C34" s="12">
        <v>3</v>
      </c>
      <c r="D34" s="8">
        <v>3.61</v>
      </c>
      <c r="E34" s="12">
        <v>0</v>
      </c>
      <c r="F34" s="8">
        <v>0</v>
      </c>
      <c r="G34" s="12">
        <v>3</v>
      </c>
      <c r="H34" s="8">
        <v>6.67</v>
      </c>
      <c r="I34" s="12">
        <v>0</v>
      </c>
    </row>
    <row r="35" spans="2:9" ht="15" customHeight="1" x14ac:dyDescent="0.2">
      <c r="B35" t="s">
        <v>228</v>
      </c>
      <c r="C35" s="12">
        <v>3</v>
      </c>
      <c r="D35" s="8">
        <v>3.61</v>
      </c>
      <c r="E35" s="12">
        <v>3</v>
      </c>
      <c r="F35" s="8">
        <v>9.3800000000000008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254</v>
      </c>
      <c r="C36" s="12">
        <v>2</v>
      </c>
      <c r="D36" s="8">
        <v>2.41</v>
      </c>
      <c r="E36" s="12">
        <v>0</v>
      </c>
      <c r="F36" s="8">
        <v>0</v>
      </c>
      <c r="G36" s="12">
        <v>2</v>
      </c>
      <c r="H36" s="8">
        <v>4.4400000000000004</v>
      </c>
      <c r="I36" s="12">
        <v>0</v>
      </c>
    </row>
    <row r="37" spans="2:9" ht="15" customHeight="1" x14ac:dyDescent="0.2">
      <c r="B37" t="s">
        <v>255</v>
      </c>
      <c r="C37" s="12">
        <v>2</v>
      </c>
      <c r="D37" s="8">
        <v>2.41</v>
      </c>
      <c r="E37" s="12">
        <v>0</v>
      </c>
      <c r="F37" s="8">
        <v>0</v>
      </c>
      <c r="G37" s="12">
        <v>1</v>
      </c>
      <c r="H37" s="8">
        <v>2.2200000000000002</v>
      </c>
      <c r="I37" s="12">
        <v>0</v>
      </c>
    </row>
    <row r="38" spans="2:9" ht="15" customHeight="1" x14ac:dyDescent="0.2">
      <c r="B38" t="s">
        <v>218</v>
      </c>
      <c r="C38" s="12">
        <v>2</v>
      </c>
      <c r="D38" s="8">
        <v>2.41</v>
      </c>
      <c r="E38" s="12">
        <v>0</v>
      </c>
      <c r="F38" s="8">
        <v>0</v>
      </c>
      <c r="G38" s="12">
        <v>2</v>
      </c>
      <c r="H38" s="8">
        <v>4.4400000000000004</v>
      </c>
      <c r="I38" s="12">
        <v>0</v>
      </c>
    </row>
    <row r="39" spans="2:9" ht="15" customHeight="1" x14ac:dyDescent="0.2">
      <c r="B39" t="s">
        <v>273</v>
      </c>
      <c r="C39" s="12">
        <v>1</v>
      </c>
      <c r="D39" s="8">
        <v>1.2</v>
      </c>
      <c r="E39" s="12">
        <v>0</v>
      </c>
      <c r="F39" s="8">
        <v>0</v>
      </c>
      <c r="G39" s="12">
        <v>1</v>
      </c>
      <c r="H39" s="8">
        <v>2.2200000000000002</v>
      </c>
      <c r="I39" s="12">
        <v>0</v>
      </c>
    </row>
    <row r="40" spans="2:9" ht="15" customHeight="1" x14ac:dyDescent="0.2">
      <c r="B40" t="s">
        <v>215</v>
      </c>
      <c r="C40" s="12">
        <v>1</v>
      </c>
      <c r="D40" s="8">
        <v>1.2</v>
      </c>
      <c r="E40" s="12">
        <v>0</v>
      </c>
      <c r="F40" s="8">
        <v>0</v>
      </c>
      <c r="G40" s="12">
        <v>1</v>
      </c>
      <c r="H40" s="8">
        <v>2.2200000000000002</v>
      </c>
      <c r="I40" s="12">
        <v>0</v>
      </c>
    </row>
    <row r="41" spans="2:9" ht="15" customHeight="1" x14ac:dyDescent="0.2">
      <c r="B41" t="s">
        <v>263</v>
      </c>
      <c r="C41" s="12">
        <v>1</v>
      </c>
      <c r="D41" s="8">
        <v>1.2</v>
      </c>
      <c r="E41" s="12">
        <v>0</v>
      </c>
      <c r="F41" s="8">
        <v>0</v>
      </c>
      <c r="G41" s="12">
        <v>1</v>
      </c>
      <c r="H41" s="8">
        <v>2.2200000000000002</v>
      </c>
      <c r="I41" s="12">
        <v>0</v>
      </c>
    </row>
    <row r="42" spans="2:9" ht="15" customHeight="1" x14ac:dyDescent="0.2">
      <c r="B42" t="s">
        <v>268</v>
      </c>
      <c r="C42" s="12">
        <v>1</v>
      </c>
      <c r="D42" s="8">
        <v>1.2</v>
      </c>
      <c r="E42" s="12">
        <v>1</v>
      </c>
      <c r="F42" s="8">
        <v>3.13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265</v>
      </c>
      <c r="C43" s="12">
        <v>1</v>
      </c>
      <c r="D43" s="8">
        <v>1.2</v>
      </c>
      <c r="E43" s="12">
        <v>0</v>
      </c>
      <c r="F43" s="8">
        <v>0</v>
      </c>
      <c r="G43" s="12">
        <v>1</v>
      </c>
      <c r="H43" s="8">
        <v>2.2200000000000002</v>
      </c>
      <c r="I43" s="12">
        <v>0</v>
      </c>
    </row>
    <row r="44" spans="2:9" ht="15" customHeight="1" x14ac:dyDescent="0.2">
      <c r="B44" t="s">
        <v>281</v>
      </c>
      <c r="C44" s="12">
        <v>1</v>
      </c>
      <c r="D44" s="8">
        <v>1.2</v>
      </c>
      <c r="E44" s="12">
        <v>1</v>
      </c>
      <c r="F44" s="8">
        <v>3.13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280</v>
      </c>
      <c r="C45" s="12">
        <v>1</v>
      </c>
      <c r="D45" s="8">
        <v>1.2</v>
      </c>
      <c r="E45" s="12">
        <v>0</v>
      </c>
      <c r="F45" s="8">
        <v>0</v>
      </c>
      <c r="G45" s="12">
        <v>1</v>
      </c>
      <c r="H45" s="8">
        <v>2.2200000000000002</v>
      </c>
      <c r="I45" s="12">
        <v>0</v>
      </c>
    </row>
    <row r="46" spans="2:9" ht="15" customHeight="1" x14ac:dyDescent="0.2">
      <c r="B46" t="s">
        <v>219</v>
      </c>
      <c r="C46" s="12">
        <v>1</v>
      </c>
      <c r="D46" s="8">
        <v>1.2</v>
      </c>
      <c r="E46" s="12">
        <v>0</v>
      </c>
      <c r="F46" s="8">
        <v>0</v>
      </c>
      <c r="G46" s="12">
        <v>1</v>
      </c>
      <c r="H46" s="8">
        <v>2.2200000000000002</v>
      </c>
      <c r="I46" s="12">
        <v>0</v>
      </c>
    </row>
    <row r="47" spans="2:9" ht="15" customHeight="1" x14ac:dyDescent="0.2">
      <c r="B47" t="s">
        <v>222</v>
      </c>
      <c r="C47" s="12">
        <v>1</v>
      </c>
      <c r="D47" s="8">
        <v>1.2</v>
      </c>
      <c r="E47" s="12">
        <v>1</v>
      </c>
      <c r="F47" s="8">
        <v>3.13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236</v>
      </c>
      <c r="C48" s="12">
        <v>1</v>
      </c>
      <c r="D48" s="8">
        <v>1.2</v>
      </c>
      <c r="E48" s="12">
        <v>1</v>
      </c>
      <c r="F48" s="8">
        <v>3.13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226</v>
      </c>
      <c r="C49" s="12">
        <v>1</v>
      </c>
      <c r="D49" s="8">
        <v>1.2</v>
      </c>
      <c r="E49" s="12">
        <v>0</v>
      </c>
      <c r="F49" s="8">
        <v>0</v>
      </c>
      <c r="G49" s="12">
        <v>1</v>
      </c>
      <c r="H49" s="8">
        <v>2.2200000000000002</v>
      </c>
      <c r="I49" s="12">
        <v>0</v>
      </c>
    </row>
    <row r="50" spans="2:9" ht="15" customHeight="1" x14ac:dyDescent="0.2">
      <c r="B50" t="s">
        <v>231</v>
      </c>
      <c r="C50" s="12">
        <v>1</v>
      </c>
      <c r="D50" s="8">
        <v>1.2</v>
      </c>
      <c r="E50" s="12">
        <v>1</v>
      </c>
      <c r="F50" s="8">
        <v>3.13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240</v>
      </c>
      <c r="C51" s="12">
        <v>1</v>
      </c>
      <c r="D51" s="8">
        <v>1.2</v>
      </c>
      <c r="E51" s="12">
        <v>0</v>
      </c>
      <c r="F51" s="8">
        <v>0</v>
      </c>
      <c r="G51" s="12">
        <v>1</v>
      </c>
      <c r="H51" s="8">
        <v>2.2200000000000002</v>
      </c>
      <c r="I51" s="12">
        <v>0</v>
      </c>
    </row>
    <row r="52" spans="2:9" ht="15" customHeight="1" x14ac:dyDescent="0.2">
      <c r="B52" t="s">
        <v>242</v>
      </c>
      <c r="C52" s="12">
        <v>1</v>
      </c>
      <c r="D52" s="8">
        <v>1.2</v>
      </c>
      <c r="E52" s="12">
        <v>1</v>
      </c>
      <c r="F52" s="8">
        <v>3.13</v>
      </c>
      <c r="G52" s="12">
        <v>0</v>
      </c>
      <c r="H52" s="8">
        <v>0</v>
      </c>
      <c r="I52" s="12">
        <v>0</v>
      </c>
    </row>
    <row r="55" spans="2:9" ht="33" customHeight="1" x14ac:dyDescent="0.2">
      <c r="B55" t="s">
        <v>531</v>
      </c>
      <c r="C55" s="10" t="s">
        <v>206</v>
      </c>
      <c r="D55" s="10" t="s">
        <v>207</v>
      </c>
      <c r="E55" s="10" t="s">
        <v>208</v>
      </c>
      <c r="F55" s="10" t="s">
        <v>209</v>
      </c>
      <c r="G55" s="10" t="s">
        <v>210</v>
      </c>
      <c r="H55" s="10" t="s">
        <v>211</v>
      </c>
      <c r="I55" s="10" t="s">
        <v>212</v>
      </c>
    </row>
    <row r="56" spans="2:9" ht="15" customHeight="1" x14ac:dyDescent="0.2">
      <c r="B56" t="s">
        <v>297</v>
      </c>
      <c r="C56" s="12">
        <v>7</v>
      </c>
      <c r="D56" s="8">
        <v>8.43</v>
      </c>
      <c r="E56" s="12">
        <v>4</v>
      </c>
      <c r="F56" s="8">
        <v>12.5</v>
      </c>
      <c r="G56" s="12">
        <v>3</v>
      </c>
      <c r="H56" s="8">
        <v>6.67</v>
      </c>
      <c r="I56" s="12">
        <v>0</v>
      </c>
    </row>
    <row r="57" spans="2:9" ht="15" customHeight="1" x14ac:dyDescent="0.2">
      <c r="B57" t="s">
        <v>330</v>
      </c>
      <c r="C57" s="12">
        <v>4</v>
      </c>
      <c r="D57" s="8">
        <v>4.82</v>
      </c>
      <c r="E57" s="12">
        <v>0</v>
      </c>
      <c r="F57" s="8">
        <v>0</v>
      </c>
      <c r="G57" s="12">
        <v>4</v>
      </c>
      <c r="H57" s="8">
        <v>8.89</v>
      </c>
      <c r="I57" s="12">
        <v>0</v>
      </c>
    </row>
    <row r="58" spans="2:9" ht="15" customHeight="1" x14ac:dyDescent="0.2">
      <c r="B58" t="s">
        <v>334</v>
      </c>
      <c r="C58" s="12">
        <v>4</v>
      </c>
      <c r="D58" s="8">
        <v>4.82</v>
      </c>
      <c r="E58" s="12">
        <v>1</v>
      </c>
      <c r="F58" s="8">
        <v>3.13</v>
      </c>
      <c r="G58" s="12">
        <v>3</v>
      </c>
      <c r="H58" s="8">
        <v>6.67</v>
      </c>
      <c r="I58" s="12">
        <v>0</v>
      </c>
    </row>
    <row r="59" spans="2:9" ht="15" customHeight="1" x14ac:dyDescent="0.2">
      <c r="B59" t="s">
        <v>300</v>
      </c>
      <c r="C59" s="12">
        <v>4</v>
      </c>
      <c r="D59" s="8">
        <v>4.82</v>
      </c>
      <c r="E59" s="12">
        <v>4</v>
      </c>
      <c r="F59" s="8">
        <v>12.5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301</v>
      </c>
      <c r="C60" s="12">
        <v>3</v>
      </c>
      <c r="D60" s="8">
        <v>3.61</v>
      </c>
      <c r="E60" s="12">
        <v>2</v>
      </c>
      <c r="F60" s="8">
        <v>6.25</v>
      </c>
      <c r="G60" s="12">
        <v>1</v>
      </c>
      <c r="H60" s="8">
        <v>2.2200000000000002</v>
      </c>
      <c r="I60" s="12">
        <v>0</v>
      </c>
    </row>
    <row r="61" spans="2:9" ht="15" customHeight="1" x14ac:dyDescent="0.2">
      <c r="B61" t="s">
        <v>340</v>
      </c>
      <c r="C61" s="12">
        <v>3</v>
      </c>
      <c r="D61" s="8">
        <v>3.61</v>
      </c>
      <c r="E61" s="12">
        <v>0</v>
      </c>
      <c r="F61" s="8">
        <v>0</v>
      </c>
      <c r="G61" s="12">
        <v>1</v>
      </c>
      <c r="H61" s="8">
        <v>2.2200000000000002</v>
      </c>
      <c r="I61" s="12">
        <v>0</v>
      </c>
    </row>
    <row r="62" spans="2:9" ht="15" customHeight="1" x14ac:dyDescent="0.2">
      <c r="B62" t="s">
        <v>331</v>
      </c>
      <c r="C62" s="12">
        <v>3</v>
      </c>
      <c r="D62" s="8">
        <v>3.61</v>
      </c>
      <c r="E62" s="12">
        <v>0</v>
      </c>
      <c r="F62" s="8">
        <v>0</v>
      </c>
      <c r="G62" s="12">
        <v>1</v>
      </c>
      <c r="H62" s="8">
        <v>2.2200000000000002</v>
      </c>
      <c r="I62" s="12">
        <v>0</v>
      </c>
    </row>
    <row r="63" spans="2:9" ht="15" customHeight="1" x14ac:dyDescent="0.2">
      <c r="B63" t="s">
        <v>318</v>
      </c>
      <c r="C63" s="12">
        <v>3</v>
      </c>
      <c r="D63" s="8">
        <v>3.61</v>
      </c>
      <c r="E63" s="12">
        <v>0</v>
      </c>
      <c r="F63" s="8">
        <v>0</v>
      </c>
      <c r="G63" s="12">
        <v>3</v>
      </c>
      <c r="H63" s="8">
        <v>6.67</v>
      </c>
      <c r="I63" s="12">
        <v>0</v>
      </c>
    </row>
    <row r="64" spans="2:9" ht="15" customHeight="1" x14ac:dyDescent="0.2">
      <c r="B64" t="s">
        <v>288</v>
      </c>
      <c r="C64" s="12">
        <v>2</v>
      </c>
      <c r="D64" s="8">
        <v>2.41</v>
      </c>
      <c r="E64" s="12">
        <v>0</v>
      </c>
      <c r="F64" s="8">
        <v>0</v>
      </c>
      <c r="G64" s="12">
        <v>2</v>
      </c>
      <c r="H64" s="8">
        <v>4.4400000000000004</v>
      </c>
      <c r="I64" s="12">
        <v>0</v>
      </c>
    </row>
    <row r="65" spans="2:9" ht="15" customHeight="1" x14ac:dyDescent="0.2">
      <c r="B65" t="s">
        <v>319</v>
      </c>
      <c r="C65" s="12">
        <v>2</v>
      </c>
      <c r="D65" s="8">
        <v>2.41</v>
      </c>
      <c r="E65" s="12">
        <v>1</v>
      </c>
      <c r="F65" s="8">
        <v>3.13</v>
      </c>
      <c r="G65" s="12">
        <v>1</v>
      </c>
      <c r="H65" s="8">
        <v>2.2200000000000002</v>
      </c>
      <c r="I65" s="12">
        <v>0</v>
      </c>
    </row>
    <row r="66" spans="2:9" ht="15" customHeight="1" x14ac:dyDescent="0.2">
      <c r="B66" t="s">
        <v>321</v>
      </c>
      <c r="C66" s="12">
        <v>2</v>
      </c>
      <c r="D66" s="8">
        <v>2.41</v>
      </c>
      <c r="E66" s="12">
        <v>0</v>
      </c>
      <c r="F66" s="8">
        <v>0</v>
      </c>
      <c r="G66" s="12">
        <v>2</v>
      </c>
      <c r="H66" s="8">
        <v>4.4400000000000004</v>
      </c>
      <c r="I66" s="12">
        <v>0</v>
      </c>
    </row>
    <row r="67" spans="2:9" ht="15" customHeight="1" x14ac:dyDescent="0.2">
      <c r="B67" t="s">
        <v>332</v>
      </c>
      <c r="C67" s="12">
        <v>2</v>
      </c>
      <c r="D67" s="8">
        <v>2.41</v>
      </c>
      <c r="E67" s="12">
        <v>1</v>
      </c>
      <c r="F67" s="8">
        <v>3.13</v>
      </c>
      <c r="G67" s="12">
        <v>1</v>
      </c>
      <c r="H67" s="8">
        <v>2.2200000000000002</v>
      </c>
      <c r="I67" s="12">
        <v>0</v>
      </c>
    </row>
    <row r="68" spans="2:9" ht="15" customHeight="1" x14ac:dyDescent="0.2">
      <c r="B68" t="s">
        <v>292</v>
      </c>
      <c r="C68" s="12">
        <v>2</v>
      </c>
      <c r="D68" s="8">
        <v>2.41</v>
      </c>
      <c r="E68" s="12">
        <v>0</v>
      </c>
      <c r="F68" s="8">
        <v>0</v>
      </c>
      <c r="G68" s="12">
        <v>2</v>
      </c>
      <c r="H68" s="8">
        <v>4.4400000000000004</v>
      </c>
      <c r="I68" s="12">
        <v>0</v>
      </c>
    </row>
    <row r="69" spans="2:9" ht="15" customHeight="1" x14ac:dyDescent="0.2">
      <c r="B69" t="s">
        <v>415</v>
      </c>
      <c r="C69" s="12">
        <v>2</v>
      </c>
      <c r="D69" s="8">
        <v>2.41</v>
      </c>
      <c r="E69" s="12">
        <v>0</v>
      </c>
      <c r="F69" s="8">
        <v>0</v>
      </c>
      <c r="G69" s="12">
        <v>2</v>
      </c>
      <c r="H69" s="8">
        <v>4.4400000000000004</v>
      </c>
      <c r="I69" s="12">
        <v>0</v>
      </c>
    </row>
    <row r="70" spans="2:9" ht="15" customHeight="1" x14ac:dyDescent="0.2">
      <c r="B70" t="s">
        <v>405</v>
      </c>
      <c r="C70" s="12">
        <v>2</v>
      </c>
      <c r="D70" s="8">
        <v>2.41</v>
      </c>
      <c r="E70" s="12">
        <v>1</v>
      </c>
      <c r="F70" s="8">
        <v>3.13</v>
      </c>
      <c r="G70" s="12">
        <v>1</v>
      </c>
      <c r="H70" s="8">
        <v>2.2200000000000002</v>
      </c>
      <c r="I70" s="12">
        <v>0</v>
      </c>
    </row>
    <row r="71" spans="2:9" ht="15" customHeight="1" x14ac:dyDescent="0.2">
      <c r="B71" t="s">
        <v>303</v>
      </c>
      <c r="C71" s="12">
        <v>2</v>
      </c>
      <c r="D71" s="8">
        <v>2.41</v>
      </c>
      <c r="E71" s="12">
        <v>2</v>
      </c>
      <c r="F71" s="8">
        <v>6.25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305</v>
      </c>
      <c r="C72" s="12">
        <v>2</v>
      </c>
      <c r="D72" s="8">
        <v>2.41</v>
      </c>
      <c r="E72" s="12">
        <v>2</v>
      </c>
      <c r="F72" s="8">
        <v>6.25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501</v>
      </c>
      <c r="C73" s="12">
        <v>1</v>
      </c>
      <c r="D73" s="8">
        <v>1.2</v>
      </c>
      <c r="E73" s="12">
        <v>0</v>
      </c>
      <c r="F73" s="8">
        <v>0</v>
      </c>
      <c r="G73" s="12">
        <v>1</v>
      </c>
      <c r="H73" s="8">
        <v>2.2200000000000002</v>
      </c>
      <c r="I73" s="12">
        <v>0</v>
      </c>
    </row>
    <row r="74" spans="2:9" ht="15" customHeight="1" x14ac:dyDescent="0.2">
      <c r="B74" t="s">
        <v>450</v>
      </c>
      <c r="C74" s="12">
        <v>1</v>
      </c>
      <c r="D74" s="8">
        <v>1.2</v>
      </c>
      <c r="E74" s="12">
        <v>1</v>
      </c>
      <c r="F74" s="8">
        <v>3.13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333</v>
      </c>
      <c r="C75" s="12">
        <v>1</v>
      </c>
      <c r="D75" s="8">
        <v>1.2</v>
      </c>
      <c r="E75" s="12">
        <v>0</v>
      </c>
      <c r="F75" s="8">
        <v>0</v>
      </c>
      <c r="G75" s="12">
        <v>1</v>
      </c>
      <c r="H75" s="8">
        <v>2.2200000000000002</v>
      </c>
      <c r="I75" s="12">
        <v>0</v>
      </c>
    </row>
    <row r="76" spans="2:9" ht="15" customHeight="1" x14ac:dyDescent="0.2">
      <c r="B76" t="s">
        <v>308</v>
      </c>
      <c r="C76" s="12">
        <v>1</v>
      </c>
      <c r="D76" s="8">
        <v>1.2</v>
      </c>
      <c r="E76" s="12">
        <v>1</v>
      </c>
      <c r="F76" s="8">
        <v>3.13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437</v>
      </c>
      <c r="C77" s="12">
        <v>1</v>
      </c>
      <c r="D77" s="8">
        <v>1.2</v>
      </c>
      <c r="E77" s="12">
        <v>0</v>
      </c>
      <c r="F77" s="8">
        <v>0</v>
      </c>
      <c r="G77" s="12">
        <v>1</v>
      </c>
      <c r="H77" s="8">
        <v>2.2200000000000002</v>
      </c>
      <c r="I77" s="12">
        <v>0</v>
      </c>
    </row>
    <row r="78" spans="2:9" ht="15" customHeight="1" x14ac:dyDescent="0.2">
      <c r="B78" t="s">
        <v>502</v>
      </c>
      <c r="C78" s="12">
        <v>1</v>
      </c>
      <c r="D78" s="8">
        <v>1.2</v>
      </c>
      <c r="E78" s="12">
        <v>0</v>
      </c>
      <c r="F78" s="8">
        <v>0</v>
      </c>
      <c r="G78" s="12">
        <v>1</v>
      </c>
      <c r="H78" s="8">
        <v>2.2200000000000002</v>
      </c>
      <c r="I78" s="12">
        <v>0</v>
      </c>
    </row>
    <row r="79" spans="2:9" ht="15" customHeight="1" x14ac:dyDescent="0.2">
      <c r="B79" t="s">
        <v>432</v>
      </c>
      <c r="C79" s="12">
        <v>1</v>
      </c>
      <c r="D79" s="8">
        <v>1.2</v>
      </c>
      <c r="E79" s="12">
        <v>0</v>
      </c>
      <c r="F79" s="8">
        <v>0</v>
      </c>
      <c r="G79" s="12">
        <v>1</v>
      </c>
      <c r="H79" s="8">
        <v>2.2200000000000002</v>
      </c>
      <c r="I79" s="12">
        <v>0</v>
      </c>
    </row>
    <row r="80" spans="2:9" ht="15" customHeight="1" x14ac:dyDescent="0.2">
      <c r="B80" t="s">
        <v>486</v>
      </c>
      <c r="C80" s="12">
        <v>1</v>
      </c>
      <c r="D80" s="8">
        <v>1.2</v>
      </c>
      <c r="E80" s="12">
        <v>0</v>
      </c>
      <c r="F80" s="8">
        <v>0</v>
      </c>
      <c r="G80" s="12">
        <v>1</v>
      </c>
      <c r="H80" s="8">
        <v>2.2200000000000002</v>
      </c>
      <c r="I80" s="12">
        <v>0</v>
      </c>
    </row>
    <row r="81" spans="2:9" ht="15" customHeight="1" x14ac:dyDescent="0.2">
      <c r="B81" t="s">
        <v>451</v>
      </c>
      <c r="C81" s="12">
        <v>1</v>
      </c>
      <c r="D81" s="8">
        <v>1.2</v>
      </c>
      <c r="E81" s="12">
        <v>1</v>
      </c>
      <c r="F81" s="8">
        <v>3.13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387</v>
      </c>
      <c r="C82" s="12">
        <v>1</v>
      </c>
      <c r="D82" s="8">
        <v>1.2</v>
      </c>
      <c r="E82" s="12">
        <v>0</v>
      </c>
      <c r="F82" s="8">
        <v>0</v>
      </c>
      <c r="G82" s="12">
        <v>1</v>
      </c>
      <c r="H82" s="8">
        <v>2.2200000000000002</v>
      </c>
      <c r="I82" s="12">
        <v>0</v>
      </c>
    </row>
    <row r="83" spans="2:9" ht="15" customHeight="1" x14ac:dyDescent="0.2">
      <c r="B83" t="s">
        <v>362</v>
      </c>
      <c r="C83" s="12">
        <v>1</v>
      </c>
      <c r="D83" s="8">
        <v>1.2</v>
      </c>
      <c r="E83" s="12">
        <v>0</v>
      </c>
      <c r="F83" s="8">
        <v>0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407</v>
      </c>
      <c r="C84" s="12">
        <v>1</v>
      </c>
      <c r="D84" s="8">
        <v>1.2</v>
      </c>
      <c r="E84" s="12">
        <v>0</v>
      </c>
      <c r="F84" s="8">
        <v>0</v>
      </c>
      <c r="G84" s="12">
        <v>1</v>
      </c>
      <c r="H84" s="8">
        <v>2.2200000000000002</v>
      </c>
      <c r="I84" s="12">
        <v>0</v>
      </c>
    </row>
    <row r="85" spans="2:9" ht="15" customHeight="1" x14ac:dyDescent="0.2">
      <c r="B85" t="s">
        <v>503</v>
      </c>
      <c r="C85" s="12">
        <v>1</v>
      </c>
      <c r="D85" s="8">
        <v>1.2</v>
      </c>
      <c r="E85" s="12">
        <v>1</v>
      </c>
      <c r="F85" s="8">
        <v>3.13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490</v>
      </c>
      <c r="C86" s="12">
        <v>1</v>
      </c>
      <c r="D86" s="8">
        <v>1.2</v>
      </c>
      <c r="E86" s="12">
        <v>0</v>
      </c>
      <c r="F86" s="8">
        <v>0</v>
      </c>
      <c r="G86" s="12">
        <v>1</v>
      </c>
      <c r="H86" s="8">
        <v>2.2200000000000002</v>
      </c>
      <c r="I86" s="12">
        <v>0</v>
      </c>
    </row>
    <row r="87" spans="2:9" ht="15" customHeight="1" x14ac:dyDescent="0.2">
      <c r="B87" t="s">
        <v>309</v>
      </c>
      <c r="C87" s="12">
        <v>1</v>
      </c>
      <c r="D87" s="8">
        <v>1.2</v>
      </c>
      <c r="E87" s="12">
        <v>0</v>
      </c>
      <c r="F87" s="8">
        <v>0</v>
      </c>
      <c r="G87" s="12">
        <v>1</v>
      </c>
      <c r="H87" s="8">
        <v>2.2200000000000002</v>
      </c>
      <c r="I87" s="12">
        <v>0</v>
      </c>
    </row>
    <row r="88" spans="2:9" ht="15" customHeight="1" x14ac:dyDescent="0.2">
      <c r="B88" t="s">
        <v>366</v>
      </c>
      <c r="C88" s="12">
        <v>1</v>
      </c>
      <c r="D88" s="8">
        <v>1.2</v>
      </c>
      <c r="E88" s="12">
        <v>1</v>
      </c>
      <c r="F88" s="8">
        <v>3.13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329</v>
      </c>
      <c r="C89" s="12">
        <v>1</v>
      </c>
      <c r="D89" s="8">
        <v>1.2</v>
      </c>
      <c r="E89" s="12">
        <v>1</v>
      </c>
      <c r="F89" s="8">
        <v>3.13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389</v>
      </c>
      <c r="C90" s="12">
        <v>1</v>
      </c>
      <c r="D90" s="8">
        <v>1.2</v>
      </c>
      <c r="E90" s="12">
        <v>1</v>
      </c>
      <c r="F90" s="8">
        <v>3.13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294</v>
      </c>
      <c r="C91" s="12">
        <v>1</v>
      </c>
      <c r="D91" s="8">
        <v>1.2</v>
      </c>
      <c r="E91" s="12">
        <v>0</v>
      </c>
      <c r="F91" s="8">
        <v>0</v>
      </c>
      <c r="G91" s="12">
        <v>1</v>
      </c>
      <c r="H91" s="8">
        <v>2.2200000000000002</v>
      </c>
      <c r="I91" s="12">
        <v>0</v>
      </c>
    </row>
    <row r="92" spans="2:9" ht="15" customHeight="1" x14ac:dyDescent="0.2">
      <c r="B92" t="s">
        <v>295</v>
      </c>
      <c r="C92" s="12">
        <v>1</v>
      </c>
      <c r="D92" s="8">
        <v>1.2</v>
      </c>
      <c r="E92" s="12">
        <v>0</v>
      </c>
      <c r="F92" s="8">
        <v>0</v>
      </c>
      <c r="G92" s="12">
        <v>1</v>
      </c>
      <c r="H92" s="8">
        <v>2.2200000000000002</v>
      </c>
      <c r="I92" s="12">
        <v>0</v>
      </c>
    </row>
    <row r="93" spans="2:9" ht="15" customHeight="1" x14ac:dyDescent="0.2">
      <c r="B93" t="s">
        <v>344</v>
      </c>
      <c r="C93" s="12">
        <v>1</v>
      </c>
      <c r="D93" s="8">
        <v>1.2</v>
      </c>
      <c r="E93" s="12">
        <v>1</v>
      </c>
      <c r="F93" s="8">
        <v>3.13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296</v>
      </c>
      <c r="C94" s="12">
        <v>1</v>
      </c>
      <c r="D94" s="8">
        <v>1.2</v>
      </c>
      <c r="E94" s="12">
        <v>1</v>
      </c>
      <c r="F94" s="8">
        <v>3.13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396</v>
      </c>
      <c r="C95" s="12">
        <v>1</v>
      </c>
      <c r="D95" s="8">
        <v>1.2</v>
      </c>
      <c r="E95" s="12">
        <v>0</v>
      </c>
      <c r="F95" s="8">
        <v>0</v>
      </c>
      <c r="G95" s="12">
        <v>1</v>
      </c>
      <c r="H95" s="8">
        <v>2.2200000000000002</v>
      </c>
      <c r="I95" s="12">
        <v>0</v>
      </c>
    </row>
    <row r="96" spans="2:9" ht="15" customHeight="1" x14ac:dyDescent="0.2">
      <c r="B96" t="s">
        <v>298</v>
      </c>
      <c r="C96" s="12">
        <v>1</v>
      </c>
      <c r="D96" s="8">
        <v>1.2</v>
      </c>
      <c r="E96" s="12">
        <v>0</v>
      </c>
      <c r="F96" s="8">
        <v>0</v>
      </c>
      <c r="G96" s="12">
        <v>1</v>
      </c>
      <c r="H96" s="8">
        <v>2.2200000000000002</v>
      </c>
      <c r="I96" s="12">
        <v>0</v>
      </c>
    </row>
    <row r="97" spans="2:9" ht="15" customHeight="1" x14ac:dyDescent="0.2">
      <c r="B97" t="s">
        <v>339</v>
      </c>
      <c r="C97" s="12">
        <v>1</v>
      </c>
      <c r="D97" s="8">
        <v>1.2</v>
      </c>
      <c r="E97" s="12">
        <v>0</v>
      </c>
      <c r="F97" s="8">
        <v>0</v>
      </c>
      <c r="G97" s="12">
        <v>1</v>
      </c>
      <c r="H97" s="8">
        <v>2.2200000000000002</v>
      </c>
      <c r="I97" s="12">
        <v>0</v>
      </c>
    </row>
    <row r="98" spans="2:9" ht="15" customHeight="1" x14ac:dyDescent="0.2">
      <c r="B98" t="s">
        <v>422</v>
      </c>
      <c r="C98" s="12">
        <v>1</v>
      </c>
      <c r="D98" s="8">
        <v>1.2</v>
      </c>
      <c r="E98" s="12">
        <v>1</v>
      </c>
      <c r="F98" s="8">
        <v>3.13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299</v>
      </c>
      <c r="C99" s="12">
        <v>1</v>
      </c>
      <c r="D99" s="8">
        <v>1.2</v>
      </c>
      <c r="E99" s="12">
        <v>1</v>
      </c>
      <c r="F99" s="8">
        <v>3.13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304</v>
      </c>
      <c r="C100" s="12">
        <v>1</v>
      </c>
      <c r="D100" s="8">
        <v>1.2</v>
      </c>
      <c r="E100" s="12">
        <v>1</v>
      </c>
      <c r="F100" s="8">
        <v>3.13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306</v>
      </c>
      <c r="C101" s="12">
        <v>1</v>
      </c>
      <c r="D101" s="8">
        <v>1.2</v>
      </c>
      <c r="E101" s="12">
        <v>1</v>
      </c>
      <c r="F101" s="8">
        <v>3.13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341</v>
      </c>
      <c r="C102" s="12">
        <v>1</v>
      </c>
      <c r="D102" s="8">
        <v>1.2</v>
      </c>
      <c r="E102" s="12">
        <v>0</v>
      </c>
      <c r="F102" s="8">
        <v>0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347</v>
      </c>
      <c r="C103" s="12">
        <v>1</v>
      </c>
      <c r="D103" s="8">
        <v>1.2</v>
      </c>
      <c r="E103" s="12">
        <v>0</v>
      </c>
      <c r="F103" s="8">
        <v>0</v>
      </c>
      <c r="G103" s="12">
        <v>1</v>
      </c>
      <c r="H103" s="8">
        <v>2.2200000000000002</v>
      </c>
      <c r="I103" s="12">
        <v>0</v>
      </c>
    </row>
    <row r="104" spans="2:9" ht="15" customHeight="1" x14ac:dyDescent="0.2">
      <c r="B104" t="s">
        <v>307</v>
      </c>
      <c r="C104" s="12">
        <v>1</v>
      </c>
      <c r="D104" s="8">
        <v>1.2</v>
      </c>
      <c r="E104" s="12">
        <v>0</v>
      </c>
      <c r="F104" s="8">
        <v>0</v>
      </c>
      <c r="G104" s="12">
        <v>1</v>
      </c>
      <c r="H104" s="8">
        <v>2.2200000000000002</v>
      </c>
      <c r="I104" s="12">
        <v>0</v>
      </c>
    </row>
    <row r="105" spans="2:9" ht="15" customHeight="1" x14ac:dyDescent="0.2">
      <c r="B105" t="s">
        <v>371</v>
      </c>
      <c r="C105" s="12">
        <v>1</v>
      </c>
      <c r="D105" s="8">
        <v>1.2</v>
      </c>
      <c r="E105" s="12">
        <v>1</v>
      </c>
      <c r="F105" s="8">
        <v>3.13</v>
      </c>
      <c r="G105" s="12">
        <v>0</v>
      </c>
      <c r="H105" s="8">
        <v>0</v>
      </c>
      <c r="I105" s="12">
        <v>0</v>
      </c>
    </row>
    <row r="106" spans="2:9" ht="15" customHeight="1" x14ac:dyDescent="0.2">
      <c r="B106" t="s">
        <v>348</v>
      </c>
      <c r="C106" s="12">
        <v>1</v>
      </c>
      <c r="D106" s="8">
        <v>1.2</v>
      </c>
      <c r="E106" s="12">
        <v>0</v>
      </c>
      <c r="F106" s="8">
        <v>0</v>
      </c>
      <c r="G106" s="12">
        <v>1</v>
      </c>
      <c r="H106" s="8">
        <v>2.2200000000000002</v>
      </c>
      <c r="I106" s="12">
        <v>0</v>
      </c>
    </row>
    <row r="108" spans="2:9" ht="15" customHeight="1" x14ac:dyDescent="0.2">
      <c r="B10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B3D43-4E65-468E-B1B2-D02BC42C00B4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34</v>
      </c>
      <c r="D6" s="8">
        <v>7.67</v>
      </c>
      <c r="E6" s="12">
        <v>11</v>
      </c>
      <c r="F6" s="8">
        <v>4.12</v>
      </c>
      <c r="G6" s="12">
        <v>23</v>
      </c>
      <c r="H6" s="8">
        <v>13.61</v>
      </c>
      <c r="I6" s="12">
        <v>0</v>
      </c>
    </row>
    <row r="7" spans="2:9" ht="15" customHeight="1" x14ac:dyDescent="0.2">
      <c r="B7" t="s">
        <v>192</v>
      </c>
      <c r="C7" s="12">
        <v>20</v>
      </c>
      <c r="D7" s="8">
        <v>4.51</v>
      </c>
      <c r="E7" s="12">
        <v>7</v>
      </c>
      <c r="F7" s="8">
        <v>2.62</v>
      </c>
      <c r="G7" s="12">
        <v>13</v>
      </c>
      <c r="H7" s="8">
        <v>7.69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0.45</v>
      </c>
      <c r="E8" s="12">
        <v>0</v>
      </c>
      <c r="F8" s="8">
        <v>0</v>
      </c>
      <c r="G8" s="12">
        <v>2</v>
      </c>
      <c r="H8" s="8">
        <v>1.18</v>
      </c>
      <c r="I8" s="12">
        <v>0</v>
      </c>
    </row>
    <row r="9" spans="2:9" ht="15" customHeight="1" x14ac:dyDescent="0.2">
      <c r="B9" t="s">
        <v>194</v>
      </c>
      <c r="C9" s="12">
        <v>4</v>
      </c>
      <c r="D9" s="8">
        <v>0.9</v>
      </c>
      <c r="E9" s="12">
        <v>0</v>
      </c>
      <c r="F9" s="8">
        <v>0</v>
      </c>
      <c r="G9" s="12">
        <v>4</v>
      </c>
      <c r="H9" s="8">
        <v>2.37</v>
      </c>
      <c r="I9" s="12">
        <v>0</v>
      </c>
    </row>
    <row r="10" spans="2:9" ht="15" customHeight="1" x14ac:dyDescent="0.2">
      <c r="B10" t="s">
        <v>195</v>
      </c>
      <c r="C10" s="12">
        <v>7</v>
      </c>
      <c r="D10" s="8">
        <v>1.58</v>
      </c>
      <c r="E10" s="12">
        <v>4</v>
      </c>
      <c r="F10" s="8">
        <v>1.5</v>
      </c>
      <c r="G10" s="12">
        <v>3</v>
      </c>
      <c r="H10" s="8">
        <v>1.78</v>
      </c>
      <c r="I10" s="12">
        <v>0</v>
      </c>
    </row>
    <row r="11" spans="2:9" ht="15" customHeight="1" x14ac:dyDescent="0.2">
      <c r="B11" t="s">
        <v>196</v>
      </c>
      <c r="C11" s="12">
        <v>123</v>
      </c>
      <c r="D11" s="8">
        <v>27.77</v>
      </c>
      <c r="E11" s="12">
        <v>52</v>
      </c>
      <c r="F11" s="8">
        <v>19.48</v>
      </c>
      <c r="G11" s="12">
        <v>70</v>
      </c>
      <c r="H11" s="8">
        <v>41.42</v>
      </c>
      <c r="I11" s="12">
        <v>1</v>
      </c>
    </row>
    <row r="12" spans="2:9" ht="15" customHeight="1" x14ac:dyDescent="0.2">
      <c r="B12" t="s">
        <v>197</v>
      </c>
      <c r="C12" s="12">
        <v>7</v>
      </c>
      <c r="D12" s="8">
        <v>1.58</v>
      </c>
      <c r="E12" s="12">
        <v>2</v>
      </c>
      <c r="F12" s="8">
        <v>0.75</v>
      </c>
      <c r="G12" s="12">
        <v>5</v>
      </c>
      <c r="H12" s="8">
        <v>2.96</v>
      </c>
      <c r="I12" s="12">
        <v>0</v>
      </c>
    </row>
    <row r="13" spans="2:9" ht="15" customHeight="1" x14ac:dyDescent="0.2">
      <c r="B13" t="s">
        <v>198</v>
      </c>
      <c r="C13" s="12">
        <v>26</v>
      </c>
      <c r="D13" s="8">
        <v>5.87</v>
      </c>
      <c r="E13" s="12">
        <v>16</v>
      </c>
      <c r="F13" s="8">
        <v>5.99</v>
      </c>
      <c r="G13" s="12">
        <v>9</v>
      </c>
      <c r="H13" s="8">
        <v>5.33</v>
      </c>
      <c r="I13" s="12">
        <v>0</v>
      </c>
    </row>
    <row r="14" spans="2:9" ht="15" customHeight="1" x14ac:dyDescent="0.2">
      <c r="B14" t="s">
        <v>199</v>
      </c>
      <c r="C14" s="12">
        <v>12</v>
      </c>
      <c r="D14" s="8">
        <v>2.71</v>
      </c>
      <c r="E14" s="12">
        <v>4</v>
      </c>
      <c r="F14" s="8">
        <v>1.5</v>
      </c>
      <c r="G14" s="12">
        <v>8</v>
      </c>
      <c r="H14" s="8">
        <v>4.7300000000000004</v>
      </c>
      <c r="I14" s="12">
        <v>0</v>
      </c>
    </row>
    <row r="15" spans="2:9" ht="15" customHeight="1" x14ac:dyDescent="0.2">
      <c r="B15" t="s">
        <v>200</v>
      </c>
      <c r="C15" s="12">
        <v>82</v>
      </c>
      <c r="D15" s="8">
        <v>18.510000000000002</v>
      </c>
      <c r="E15" s="12">
        <v>72</v>
      </c>
      <c r="F15" s="8">
        <v>26.97</v>
      </c>
      <c r="G15" s="12">
        <v>10</v>
      </c>
      <c r="H15" s="8">
        <v>5.92</v>
      </c>
      <c r="I15" s="12">
        <v>0</v>
      </c>
    </row>
    <row r="16" spans="2:9" ht="15" customHeight="1" x14ac:dyDescent="0.2">
      <c r="B16" t="s">
        <v>201</v>
      </c>
      <c r="C16" s="12">
        <v>73</v>
      </c>
      <c r="D16" s="8">
        <v>16.48</v>
      </c>
      <c r="E16" s="12">
        <v>68</v>
      </c>
      <c r="F16" s="8">
        <v>25.47</v>
      </c>
      <c r="G16" s="12">
        <v>5</v>
      </c>
      <c r="H16" s="8">
        <v>2.96</v>
      </c>
      <c r="I16" s="12">
        <v>0</v>
      </c>
    </row>
    <row r="17" spans="2:9" ht="15" customHeight="1" x14ac:dyDescent="0.2">
      <c r="B17" t="s">
        <v>202</v>
      </c>
      <c r="C17" s="12">
        <v>11</v>
      </c>
      <c r="D17" s="8">
        <v>2.48</v>
      </c>
      <c r="E17" s="12">
        <v>9</v>
      </c>
      <c r="F17" s="8">
        <v>3.37</v>
      </c>
      <c r="G17" s="12">
        <v>2</v>
      </c>
      <c r="H17" s="8">
        <v>1.18</v>
      </c>
      <c r="I17" s="12">
        <v>0</v>
      </c>
    </row>
    <row r="18" spans="2:9" ht="15" customHeight="1" x14ac:dyDescent="0.2">
      <c r="B18" t="s">
        <v>203</v>
      </c>
      <c r="C18" s="12">
        <v>21</v>
      </c>
      <c r="D18" s="8">
        <v>4.74</v>
      </c>
      <c r="E18" s="12">
        <v>12</v>
      </c>
      <c r="F18" s="8">
        <v>4.49</v>
      </c>
      <c r="G18" s="12">
        <v>6</v>
      </c>
      <c r="H18" s="8">
        <v>3.55</v>
      </c>
      <c r="I18" s="12">
        <v>0</v>
      </c>
    </row>
    <row r="19" spans="2:9" ht="15" customHeight="1" x14ac:dyDescent="0.2">
      <c r="B19" t="s">
        <v>204</v>
      </c>
      <c r="C19" s="12">
        <v>21</v>
      </c>
      <c r="D19" s="8">
        <v>4.74</v>
      </c>
      <c r="E19" s="12">
        <v>10</v>
      </c>
      <c r="F19" s="8">
        <v>3.75</v>
      </c>
      <c r="G19" s="12">
        <v>9</v>
      </c>
      <c r="H19" s="8">
        <v>5.33</v>
      </c>
      <c r="I19" s="12">
        <v>0</v>
      </c>
    </row>
    <row r="20" spans="2:9" ht="15" customHeight="1" x14ac:dyDescent="0.2">
      <c r="B20" s="9" t="s">
        <v>529</v>
      </c>
      <c r="C20" s="12">
        <f>SUM(LTBL_01543[総数／事業所数])</f>
        <v>443</v>
      </c>
      <c r="E20" s="12">
        <f>SUBTOTAL(109,LTBL_01543[個人／事業所数])</f>
        <v>267</v>
      </c>
      <c r="G20" s="12">
        <f>SUBTOTAL(109,LTBL_01543[法人／事業所数])</f>
        <v>169</v>
      </c>
      <c r="I20" s="12">
        <f>SUBTOTAL(109,LTBL_01543[法人以外の団体／事業所数])</f>
        <v>1</v>
      </c>
    </row>
    <row r="21" spans="2:9" ht="15" customHeight="1" x14ac:dyDescent="0.2">
      <c r="E21" s="11">
        <f>LTBL_01543[[#Totals],[個人／事業所数]]/LTBL_01543[[#Totals],[総数／事業所数]]</f>
        <v>0.60270880361173818</v>
      </c>
      <c r="G21" s="11">
        <f>LTBL_01543[[#Totals],[法人／事業所数]]/LTBL_01543[[#Totals],[総数／事業所数]]</f>
        <v>0.38148984198645597</v>
      </c>
      <c r="I21" s="11">
        <f>LTBL_01543[[#Totals],[法人以外の団体／事業所数]]/LTBL_01543[[#Totals],[総数／事業所数]]</f>
        <v>2.257336343115124E-3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74</v>
      </c>
      <c r="D24" s="8">
        <v>16.7</v>
      </c>
      <c r="E24" s="12">
        <v>68</v>
      </c>
      <c r="F24" s="8">
        <v>25.47</v>
      </c>
      <c r="G24" s="12">
        <v>6</v>
      </c>
      <c r="H24" s="8">
        <v>3.55</v>
      </c>
      <c r="I24" s="12">
        <v>0</v>
      </c>
    </row>
    <row r="25" spans="2:9" ht="15" customHeight="1" x14ac:dyDescent="0.2">
      <c r="B25" t="s">
        <v>228</v>
      </c>
      <c r="C25" s="12">
        <v>65</v>
      </c>
      <c r="D25" s="8">
        <v>14.67</v>
      </c>
      <c r="E25" s="12">
        <v>62</v>
      </c>
      <c r="F25" s="8">
        <v>23.22</v>
      </c>
      <c r="G25" s="12">
        <v>3</v>
      </c>
      <c r="H25" s="8">
        <v>1.78</v>
      </c>
      <c r="I25" s="12">
        <v>0</v>
      </c>
    </row>
    <row r="26" spans="2:9" ht="15" customHeight="1" x14ac:dyDescent="0.2">
      <c r="B26" t="s">
        <v>223</v>
      </c>
      <c r="C26" s="12">
        <v>44</v>
      </c>
      <c r="D26" s="8">
        <v>9.93</v>
      </c>
      <c r="E26" s="12">
        <v>13</v>
      </c>
      <c r="F26" s="8">
        <v>4.87</v>
      </c>
      <c r="G26" s="12">
        <v>31</v>
      </c>
      <c r="H26" s="8">
        <v>18.34</v>
      </c>
      <c r="I26" s="12">
        <v>0</v>
      </c>
    </row>
    <row r="27" spans="2:9" ht="15" customHeight="1" x14ac:dyDescent="0.2">
      <c r="B27" t="s">
        <v>221</v>
      </c>
      <c r="C27" s="12">
        <v>25</v>
      </c>
      <c r="D27" s="8">
        <v>5.64</v>
      </c>
      <c r="E27" s="12">
        <v>16</v>
      </c>
      <c r="F27" s="8">
        <v>5.99</v>
      </c>
      <c r="G27" s="12">
        <v>8</v>
      </c>
      <c r="H27" s="8">
        <v>4.7300000000000004</v>
      </c>
      <c r="I27" s="12">
        <v>1</v>
      </c>
    </row>
    <row r="28" spans="2:9" ht="15" customHeight="1" x14ac:dyDescent="0.2">
      <c r="B28" t="s">
        <v>224</v>
      </c>
      <c r="C28" s="12">
        <v>24</v>
      </c>
      <c r="D28" s="8">
        <v>5.42</v>
      </c>
      <c r="E28" s="12">
        <v>16</v>
      </c>
      <c r="F28" s="8">
        <v>5.99</v>
      </c>
      <c r="G28" s="12">
        <v>7</v>
      </c>
      <c r="H28" s="8">
        <v>4.1399999999999997</v>
      </c>
      <c r="I28" s="12">
        <v>0</v>
      </c>
    </row>
    <row r="29" spans="2:9" ht="15" customHeight="1" x14ac:dyDescent="0.2">
      <c r="B29" t="s">
        <v>213</v>
      </c>
      <c r="C29" s="12">
        <v>18</v>
      </c>
      <c r="D29" s="8">
        <v>4.0599999999999996</v>
      </c>
      <c r="E29" s="12">
        <v>4</v>
      </c>
      <c r="F29" s="8">
        <v>1.5</v>
      </c>
      <c r="G29" s="12">
        <v>14</v>
      </c>
      <c r="H29" s="8">
        <v>8.2799999999999994</v>
      </c>
      <c r="I29" s="12">
        <v>0</v>
      </c>
    </row>
    <row r="30" spans="2:9" ht="15" customHeight="1" x14ac:dyDescent="0.2">
      <c r="B30" t="s">
        <v>222</v>
      </c>
      <c r="C30" s="12">
        <v>16</v>
      </c>
      <c r="D30" s="8">
        <v>3.61</v>
      </c>
      <c r="E30" s="12">
        <v>8</v>
      </c>
      <c r="F30" s="8">
        <v>3</v>
      </c>
      <c r="G30" s="12">
        <v>8</v>
      </c>
      <c r="H30" s="8">
        <v>4.7300000000000004</v>
      </c>
      <c r="I30" s="12">
        <v>0</v>
      </c>
    </row>
    <row r="31" spans="2:9" ht="15" customHeight="1" x14ac:dyDescent="0.2">
      <c r="B31" t="s">
        <v>231</v>
      </c>
      <c r="C31" s="12">
        <v>12</v>
      </c>
      <c r="D31" s="8">
        <v>2.71</v>
      </c>
      <c r="E31" s="12">
        <v>12</v>
      </c>
      <c r="F31" s="8">
        <v>4.49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220</v>
      </c>
      <c r="C32" s="12">
        <v>11</v>
      </c>
      <c r="D32" s="8">
        <v>2.48</v>
      </c>
      <c r="E32" s="12">
        <v>7</v>
      </c>
      <c r="F32" s="8">
        <v>2.62</v>
      </c>
      <c r="G32" s="12">
        <v>4</v>
      </c>
      <c r="H32" s="8">
        <v>2.37</v>
      </c>
      <c r="I32" s="12">
        <v>0</v>
      </c>
    </row>
    <row r="33" spans="2:9" ht="15" customHeight="1" x14ac:dyDescent="0.2">
      <c r="B33" t="s">
        <v>230</v>
      </c>
      <c r="C33" s="12">
        <v>11</v>
      </c>
      <c r="D33" s="8">
        <v>2.48</v>
      </c>
      <c r="E33" s="12">
        <v>9</v>
      </c>
      <c r="F33" s="8">
        <v>3.37</v>
      </c>
      <c r="G33" s="12">
        <v>2</v>
      </c>
      <c r="H33" s="8">
        <v>1.18</v>
      </c>
      <c r="I33" s="12">
        <v>0</v>
      </c>
    </row>
    <row r="34" spans="2:9" ht="15" customHeight="1" x14ac:dyDescent="0.2">
      <c r="B34" t="s">
        <v>214</v>
      </c>
      <c r="C34" s="12">
        <v>10</v>
      </c>
      <c r="D34" s="8">
        <v>2.2599999999999998</v>
      </c>
      <c r="E34" s="12">
        <v>7</v>
      </c>
      <c r="F34" s="8">
        <v>2.62</v>
      </c>
      <c r="G34" s="12">
        <v>3</v>
      </c>
      <c r="H34" s="8">
        <v>1.78</v>
      </c>
      <c r="I34" s="12">
        <v>0</v>
      </c>
    </row>
    <row r="35" spans="2:9" ht="15" customHeight="1" x14ac:dyDescent="0.2">
      <c r="B35" t="s">
        <v>232</v>
      </c>
      <c r="C35" s="12">
        <v>9</v>
      </c>
      <c r="D35" s="8">
        <v>2.0299999999999998</v>
      </c>
      <c r="E35" s="12">
        <v>0</v>
      </c>
      <c r="F35" s="8">
        <v>0</v>
      </c>
      <c r="G35" s="12">
        <v>6</v>
      </c>
      <c r="H35" s="8">
        <v>3.55</v>
      </c>
      <c r="I35" s="12">
        <v>0</v>
      </c>
    </row>
    <row r="36" spans="2:9" ht="15" customHeight="1" x14ac:dyDescent="0.2">
      <c r="B36" t="s">
        <v>240</v>
      </c>
      <c r="C36" s="12">
        <v>9</v>
      </c>
      <c r="D36" s="8">
        <v>2.0299999999999998</v>
      </c>
      <c r="E36" s="12">
        <v>9</v>
      </c>
      <c r="F36" s="8">
        <v>3.37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236</v>
      </c>
      <c r="C37" s="12">
        <v>8</v>
      </c>
      <c r="D37" s="8">
        <v>1.81</v>
      </c>
      <c r="E37" s="12">
        <v>3</v>
      </c>
      <c r="F37" s="8">
        <v>1.1200000000000001</v>
      </c>
      <c r="G37" s="12">
        <v>5</v>
      </c>
      <c r="H37" s="8">
        <v>2.96</v>
      </c>
      <c r="I37" s="12">
        <v>0</v>
      </c>
    </row>
    <row r="38" spans="2:9" ht="15" customHeight="1" x14ac:dyDescent="0.2">
      <c r="B38" t="s">
        <v>226</v>
      </c>
      <c r="C38" s="12">
        <v>8</v>
      </c>
      <c r="D38" s="8">
        <v>1.81</v>
      </c>
      <c r="E38" s="12">
        <v>0</v>
      </c>
      <c r="F38" s="8">
        <v>0</v>
      </c>
      <c r="G38" s="12">
        <v>8</v>
      </c>
      <c r="H38" s="8">
        <v>4.7300000000000004</v>
      </c>
      <c r="I38" s="12">
        <v>0</v>
      </c>
    </row>
    <row r="39" spans="2:9" ht="15" customHeight="1" x14ac:dyDescent="0.2">
      <c r="B39" t="s">
        <v>244</v>
      </c>
      <c r="C39" s="12">
        <v>7</v>
      </c>
      <c r="D39" s="8">
        <v>1.58</v>
      </c>
      <c r="E39" s="12">
        <v>3</v>
      </c>
      <c r="F39" s="8">
        <v>1.1200000000000001</v>
      </c>
      <c r="G39" s="12">
        <v>4</v>
      </c>
      <c r="H39" s="8">
        <v>2.37</v>
      </c>
      <c r="I39" s="12">
        <v>0</v>
      </c>
    </row>
    <row r="40" spans="2:9" ht="15" customHeight="1" x14ac:dyDescent="0.2">
      <c r="B40" t="s">
        <v>218</v>
      </c>
      <c r="C40" s="12">
        <v>7</v>
      </c>
      <c r="D40" s="8">
        <v>1.58</v>
      </c>
      <c r="E40" s="12">
        <v>0</v>
      </c>
      <c r="F40" s="8">
        <v>0</v>
      </c>
      <c r="G40" s="12">
        <v>7</v>
      </c>
      <c r="H40" s="8">
        <v>4.1399999999999997</v>
      </c>
      <c r="I40" s="12">
        <v>0</v>
      </c>
    </row>
    <row r="41" spans="2:9" ht="15" customHeight="1" x14ac:dyDescent="0.2">
      <c r="B41" t="s">
        <v>237</v>
      </c>
      <c r="C41" s="12">
        <v>7</v>
      </c>
      <c r="D41" s="8">
        <v>1.58</v>
      </c>
      <c r="E41" s="12">
        <v>2</v>
      </c>
      <c r="F41" s="8">
        <v>0.75</v>
      </c>
      <c r="G41" s="12">
        <v>5</v>
      </c>
      <c r="H41" s="8">
        <v>2.96</v>
      </c>
      <c r="I41" s="12">
        <v>0</v>
      </c>
    </row>
    <row r="42" spans="2:9" ht="15" customHeight="1" x14ac:dyDescent="0.2">
      <c r="B42" t="s">
        <v>229</v>
      </c>
      <c r="C42" s="12">
        <v>7</v>
      </c>
      <c r="D42" s="8">
        <v>1.58</v>
      </c>
      <c r="E42" s="12">
        <v>6</v>
      </c>
      <c r="F42" s="8">
        <v>2.25</v>
      </c>
      <c r="G42" s="12">
        <v>1</v>
      </c>
      <c r="H42" s="8">
        <v>0.59</v>
      </c>
      <c r="I42" s="12">
        <v>0</v>
      </c>
    </row>
    <row r="43" spans="2:9" ht="15" customHeight="1" x14ac:dyDescent="0.2">
      <c r="B43" t="s">
        <v>215</v>
      </c>
      <c r="C43" s="12">
        <v>6</v>
      </c>
      <c r="D43" s="8">
        <v>1.35</v>
      </c>
      <c r="E43" s="12">
        <v>0</v>
      </c>
      <c r="F43" s="8">
        <v>0</v>
      </c>
      <c r="G43" s="12">
        <v>6</v>
      </c>
      <c r="H43" s="8">
        <v>3.55</v>
      </c>
      <c r="I43" s="12">
        <v>0</v>
      </c>
    </row>
    <row r="44" spans="2:9" ht="15" customHeight="1" x14ac:dyDescent="0.2">
      <c r="B44" t="s">
        <v>217</v>
      </c>
      <c r="C44" s="12">
        <v>6</v>
      </c>
      <c r="D44" s="8">
        <v>1.35</v>
      </c>
      <c r="E44" s="12">
        <v>2</v>
      </c>
      <c r="F44" s="8">
        <v>0.75</v>
      </c>
      <c r="G44" s="12">
        <v>4</v>
      </c>
      <c r="H44" s="8">
        <v>2.37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304</v>
      </c>
      <c r="C48" s="12">
        <v>35</v>
      </c>
      <c r="D48" s="8">
        <v>7.9</v>
      </c>
      <c r="E48" s="12">
        <v>34</v>
      </c>
      <c r="F48" s="8">
        <v>12.73</v>
      </c>
      <c r="G48" s="12">
        <v>1</v>
      </c>
      <c r="H48" s="8">
        <v>0.59</v>
      </c>
      <c r="I48" s="12">
        <v>0</v>
      </c>
    </row>
    <row r="49" spans="2:9" ht="15" customHeight="1" x14ac:dyDescent="0.2">
      <c r="B49" t="s">
        <v>301</v>
      </c>
      <c r="C49" s="12">
        <v>28</v>
      </c>
      <c r="D49" s="8">
        <v>6.32</v>
      </c>
      <c r="E49" s="12">
        <v>28</v>
      </c>
      <c r="F49" s="8">
        <v>10.49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303</v>
      </c>
      <c r="C50" s="12">
        <v>24</v>
      </c>
      <c r="D50" s="8">
        <v>5.42</v>
      </c>
      <c r="E50" s="12">
        <v>24</v>
      </c>
      <c r="F50" s="8">
        <v>8.99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297</v>
      </c>
      <c r="C51" s="12">
        <v>19</v>
      </c>
      <c r="D51" s="8">
        <v>4.29</v>
      </c>
      <c r="E51" s="12">
        <v>14</v>
      </c>
      <c r="F51" s="8">
        <v>5.24</v>
      </c>
      <c r="G51" s="12">
        <v>4</v>
      </c>
      <c r="H51" s="8">
        <v>2.37</v>
      </c>
      <c r="I51" s="12">
        <v>0</v>
      </c>
    </row>
    <row r="52" spans="2:9" ht="15" customHeight="1" x14ac:dyDescent="0.2">
      <c r="B52" t="s">
        <v>299</v>
      </c>
      <c r="C52" s="12">
        <v>15</v>
      </c>
      <c r="D52" s="8">
        <v>3.39</v>
      </c>
      <c r="E52" s="12">
        <v>14</v>
      </c>
      <c r="F52" s="8">
        <v>5.24</v>
      </c>
      <c r="G52" s="12">
        <v>1</v>
      </c>
      <c r="H52" s="8">
        <v>0.59</v>
      </c>
      <c r="I52" s="12">
        <v>0</v>
      </c>
    </row>
    <row r="53" spans="2:9" ht="15" customHeight="1" x14ac:dyDescent="0.2">
      <c r="B53" t="s">
        <v>329</v>
      </c>
      <c r="C53" s="12">
        <v>12</v>
      </c>
      <c r="D53" s="8">
        <v>2.71</v>
      </c>
      <c r="E53" s="12">
        <v>9</v>
      </c>
      <c r="F53" s="8">
        <v>3.37</v>
      </c>
      <c r="G53" s="12">
        <v>3</v>
      </c>
      <c r="H53" s="8">
        <v>1.78</v>
      </c>
      <c r="I53" s="12">
        <v>0</v>
      </c>
    </row>
    <row r="54" spans="2:9" ht="15" customHeight="1" x14ac:dyDescent="0.2">
      <c r="B54" t="s">
        <v>295</v>
      </c>
      <c r="C54" s="12">
        <v>12</v>
      </c>
      <c r="D54" s="8">
        <v>2.71</v>
      </c>
      <c r="E54" s="12">
        <v>4</v>
      </c>
      <c r="F54" s="8">
        <v>1.5</v>
      </c>
      <c r="G54" s="12">
        <v>8</v>
      </c>
      <c r="H54" s="8">
        <v>4.7300000000000004</v>
      </c>
      <c r="I54" s="12">
        <v>0</v>
      </c>
    </row>
    <row r="55" spans="2:9" ht="15" customHeight="1" x14ac:dyDescent="0.2">
      <c r="B55" t="s">
        <v>300</v>
      </c>
      <c r="C55" s="12">
        <v>12</v>
      </c>
      <c r="D55" s="8">
        <v>2.71</v>
      </c>
      <c r="E55" s="12">
        <v>10</v>
      </c>
      <c r="F55" s="8">
        <v>3.75</v>
      </c>
      <c r="G55" s="12">
        <v>2</v>
      </c>
      <c r="H55" s="8">
        <v>1.18</v>
      </c>
      <c r="I55" s="12">
        <v>0</v>
      </c>
    </row>
    <row r="56" spans="2:9" ht="15" customHeight="1" x14ac:dyDescent="0.2">
      <c r="B56" t="s">
        <v>330</v>
      </c>
      <c r="C56" s="12">
        <v>10</v>
      </c>
      <c r="D56" s="8">
        <v>2.2599999999999998</v>
      </c>
      <c r="E56" s="12">
        <v>0</v>
      </c>
      <c r="F56" s="8">
        <v>0</v>
      </c>
      <c r="G56" s="12">
        <v>10</v>
      </c>
      <c r="H56" s="8">
        <v>5.92</v>
      </c>
      <c r="I56" s="12">
        <v>0</v>
      </c>
    </row>
    <row r="57" spans="2:9" ht="15" customHeight="1" x14ac:dyDescent="0.2">
      <c r="B57" t="s">
        <v>306</v>
      </c>
      <c r="C57" s="12">
        <v>10</v>
      </c>
      <c r="D57" s="8">
        <v>2.2599999999999998</v>
      </c>
      <c r="E57" s="12">
        <v>10</v>
      </c>
      <c r="F57" s="8">
        <v>3.75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328</v>
      </c>
      <c r="C58" s="12">
        <v>9</v>
      </c>
      <c r="D58" s="8">
        <v>2.0299999999999998</v>
      </c>
      <c r="E58" s="12">
        <v>3</v>
      </c>
      <c r="F58" s="8">
        <v>1.1200000000000001</v>
      </c>
      <c r="G58" s="12">
        <v>6</v>
      </c>
      <c r="H58" s="8">
        <v>3.55</v>
      </c>
      <c r="I58" s="12">
        <v>0</v>
      </c>
    </row>
    <row r="59" spans="2:9" ht="15" customHeight="1" x14ac:dyDescent="0.2">
      <c r="B59" t="s">
        <v>335</v>
      </c>
      <c r="C59" s="12">
        <v>9</v>
      </c>
      <c r="D59" s="8">
        <v>2.0299999999999998</v>
      </c>
      <c r="E59" s="12">
        <v>3</v>
      </c>
      <c r="F59" s="8">
        <v>1.1200000000000001</v>
      </c>
      <c r="G59" s="12">
        <v>6</v>
      </c>
      <c r="H59" s="8">
        <v>3.55</v>
      </c>
      <c r="I59" s="12">
        <v>0</v>
      </c>
    </row>
    <row r="60" spans="2:9" ht="15" customHeight="1" x14ac:dyDescent="0.2">
      <c r="B60" t="s">
        <v>307</v>
      </c>
      <c r="C60" s="12">
        <v>9</v>
      </c>
      <c r="D60" s="8">
        <v>2.0299999999999998</v>
      </c>
      <c r="E60" s="12">
        <v>9</v>
      </c>
      <c r="F60" s="8">
        <v>3.37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292</v>
      </c>
      <c r="C61" s="12">
        <v>8</v>
      </c>
      <c r="D61" s="8">
        <v>1.81</v>
      </c>
      <c r="E61" s="12">
        <v>5</v>
      </c>
      <c r="F61" s="8">
        <v>1.87</v>
      </c>
      <c r="G61" s="12">
        <v>2</v>
      </c>
      <c r="H61" s="8">
        <v>1.18</v>
      </c>
      <c r="I61" s="12">
        <v>1</v>
      </c>
    </row>
    <row r="62" spans="2:9" ht="15" customHeight="1" x14ac:dyDescent="0.2">
      <c r="B62" t="s">
        <v>294</v>
      </c>
      <c r="C62" s="12">
        <v>8</v>
      </c>
      <c r="D62" s="8">
        <v>1.81</v>
      </c>
      <c r="E62" s="12">
        <v>3</v>
      </c>
      <c r="F62" s="8">
        <v>1.1200000000000001</v>
      </c>
      <c r="G62" s="12">
        <v>5</v>
      </c>
      <c r="H62" s="8">
        <v>2.96</v>
      </c>
      <c r="I62" s="12">
        <v>0</v>
      </c>
    </row>
    <row r="63" spans="2:9" ht="15" customHeight="1" x14ac:dyDescent="0.2">
      <c r="B63" t="s">
        <v>314</v>
      </c>
      <c r="C63" s="12">
        <v>7</v>
      </c>
      <c r="D63" s="8">
        <v>1.58</v>
      </c>
      <c r="E63" s="12">
        <v>4</v>
      </c>
      <c r="F63" s="8">
        <v>1.5</v>
      </c>
      <c r="G63" s="12">
        <v>3</v>
      </c>
      <c r="H63" s="8">
        <v>1.78</v>
      </c>
      <c r="I63" s="12">
        <v>0</v>
      </c>
    </row>
    <row r="64" spans="2:9" ht="15" customHeight="1" x14ac:dyDescent="0.2">
      <c r="B64" t="s">
        <v>344</v>
      </c>
      <c r="C64" s="12">
        <v>7</v>
      </c>
      <c r="D64" s="8">
        <v>1.58</v>
      </c>
      <c r="E64" s="12">
        <v>3</v>
      </c>
      <c r="F64" s="8">
        <v>1.1200000000000001</v>
      </c>
      <c r="G64" s="12">
        <v>4</v>
      </c>
      <c r="H64" s="8">
        <v>2.37</v>
      </c>
      <c r="I64" s="12">
        <v>0</v>
      </c>
    </row>
    <row r="65" spans="2:9" ht="15" customHeight="1" x14ac:dyDescent="0.2">
      <c r="B65" t="s">
        <v>334</v>
      </c>
      <c r="C65" s="12">
        <v>7</v>
      </c>
      <c r="D65" s="8">
        <v>1.58</v>
      </c>
      <c r="E65" s="12">
        <v>6</v>
      </c>
      <c r="F65" s="8">
        <v>2.25</v>
      </c>
      <c r="G65" s="12">
        <v>1</v>
      </c>
      <c r="H65" s="8">
        <v>0.59</v>
      </c>
      <c r="I65" s="12">
        <v>0</v>
      </c>
    </row>
    <row r="66" spans="2:9" ht="15" customHeight="1" x14ac:dyDescent="0.2">
      <c r="B66" t="s">
        <v>302</v>
      </c>
      <c r="C66" s="12">
        <v>7</v>
      </c>
      <c r="D66" s="8">
        <v>1.58</v>
      </c>
      <c r="E66" s="12">
        <v>7</v>
      </c>
      <c r="F66" s="8">
        <v>2.62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305</v>
      </c>
      <c r="C67" s="12">
        <v>7</v>
      </c>
      <c r="D67" s="8">
        <v>1.58</v>
      </c>
      <c r="E67" s="12">
        <v>6</v>
      </c>
      <c r="F67" s="8">
        <v>2.25</v>
      </c>
      <c r="G67" s="12">
        <v>1</v>
      </c>
      <c r="H67" s="8">
        <v>0.59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1B721-FDE9-40F7-BA84-4C2DD0040FF5}">
  <sheetPr>
    <pageSetUpPr fitToPage="1"/>
  </sheetPr>
  <dimension ref="B2:I7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14</v>
      </c>
      <c r="D6" s="8">
        <v>12.28</v>
      </c>
      <c r="E6" s="12">
        <v>5</v>
      </c>
      <c r="F6" s="8">
        <v>9.09</v>
      </c>
      <c r="G6" s="12">
        <v>9</v>
      </c>
      <c r="H6" s="8">
        <v>16.36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7.89</v>
      </c>
      <c r="E7" s="12">
        <v>0</v>
      </c>
      <c r="F7" s="8">
        <v>0</v>
      </c>
      <c r="G7" s="12">
        <v>9</v>
      </c>
      <c r="H7" s="8">
        <v>16.36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0.88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1.75</v>
      </c>
      <c r="E9" s="12">
        <v>0</v>
      </c>
      <c r="F9" s="8">
        <v>0</v>
      </c>
      <c r="G9" s="12">
        <v>2</v>
      </c>
      <c r="H9" s="8">
        <v>3.64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2.63</v>
      </c>
      <c r="E10" s="12">
        <v>0</v>
      </c>
      <c r="F10" s="8">
        <v>0</v>
      </c>
      <c r="G10" s="12">
        <v>3</v>
      </c>
      <c r="H10" s="8">
        <v>5.45</v>
      </c>
      <c r="I10" s="12">
        <v>0</v>
      </c>
    </row>
    <row r="11" spans="2:9" ht="15" customHeight="1" x14ac:dyDescent="0.2">
      <c r="B11" t="s">
        <v>196</v>
      </c>
      <c r="C11" s="12">
        <v>29</v>
      </c>
      <c r="D11" s="8">
        <v>25.44</v>
      </c>
      <c r="E11" s="12">
        <v>15</v>
      </c>
      <c r="F11" s="8">
        <v>27.27</v>
      </c>
      <c r="G11" s="12">
        <v>14</v>
      </c>
      <c r="H11" s="8">
        <v>25.45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0.88</v>
      </c>
      <c r="E12" s="12">
        <v>0</v>
      </c>
      <c r="F12" s="8">
        <v>0</v>
      </c>
      <c r="G12" s="12">
        <v>1</v>
      </c>
      <c r="H12" s="8">
        <v>1.82</v>
      </c>
      <c r="I12" s="12">
        <v>0</v>
      </c>
    </row>
    <row r="13" spans="2:9" ht="15" customHeight="1" x14ac:dyDescent="0.2">
      <c r="B13" t="s">
        <v>198</v>
      </c>
      <c r="C13" s="12">
        <v>4</v>
      </c>
      <c r="D13" s="8">
        <v>3.51</v>
      </c>
      <c r="E13" s="12">
        <v>1</v>
      </c>
      <c r="F13" s="8">
        <v>1.82</v>
      </c>
      <c r="G13" s="12">
        <v>3</v>
      </c>
      <c r="H13" s="8">
        <v>5.45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4.3899999999999997</v>
      </c>
      <c r="E14" s="12">
        <v>1</v>
      </c>
      <c r="F14" s="8">
        <v>1.82</v>
      </c>
      <c r="G14" s="12">
        <v>3</v>
      </c>
      <c r="H14" s="8">
        <v>5.45</v>
      </c>
      <c r="I14" s="12">
        <v>1</v>
      </c>
    </row>
    <row r="15" spans="2:9" ht="15" customHeight="1" x14ac:dyDescent="0.2">
      <c r="B15" t="s">
        <v>200</v>
      </c>
      <c r="C15" s="12">
        <v>14</v>
      </c>
      <c r="D15" s="8">
        <v>12.28</v>
      </c>
      <c r="E15" s="12">
        <v>11</v>
      </c>
      <c r="F15" s="8">
        <v>20</v>
      </c>
      <c r="G15" s="12">
        <v>3</v>
      </c>
      <c r="H15" s="8">
        <v>5.45</v>
      </c>
      <c r="I15" s="12">
        <v>0</v>
      </c>
    </row>
    <row r="16" spans="2:9" ht="15" customHeight="1" x14ac:dyDescent="0.2">
      <c r="B16" t="s">
        <v>201</v>
      </c>
      <c r="C16" s="12">
        <v>13</v>
      </c>
      <c r="D16" s="8">
        <v>11.4</v>
      </c>
      <c r="E16" s="12">
        <v>11</v>
      </c>
      <c r="F16" s="8">
        <v>20</v>
      </c>
      <c r="G16" s="12">
        <v>2</v>
      </c>
      <c r="H16" s="8">
        <v>3.64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6.14</v>
      </c>
      <c r="E17" s="12">
        <v>5</v>
      </c>
      <c r="F17" s="8">
        <v>9.09</v>
      </c>
      <c r="G17" s="12">
        <v>1</v>
      </c>
      <c r="H17" s="8">
        <v>1.82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5.26</v>
      </c>
      <c r="E18" s="12">
        <v>3</v>
      </c>
      <c r="F18" s="8">
        <v>5.45</v>
      </c>
      <c r="G18" s="12">
        <v>3</v>
      </c>
      <c r="H18" s="8">
        <v>5.45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5.26</v>
      </c>
      <c r="E19" s="12">
        <v>3</v>
      </c>
      <c r="F19" s="8">
        <v>5.45</v>
      </c>
      <c r="G19" s="12">
        <v>2</v>
      </c>
      <c r="H19" s="8">
        <v>3.64</v>
      </c>
      <c r="I19" s="12">
        <v>1</v>
      </c>
    </row>
    <row r="20" spans="2:9" ht="15" customHeight="1" x14ac:dyDescent="0.2">
      <c r="B20" s="9" t="s">
        <v>529</v>
      </c>
      <c r="C20" s="12">
        <f>SUM(LTBL_01544[総数／事業所数])</f>
        <v>114</v>
      </c>
      <c r="E20" s="12">
        <f>SUBTOTAL(109,LTBL_01544[個人／事業所数])</f>
        <v>55</v>
      </c>
      <c r="G20" s="12">
        <f>SUBTOTAL(109,LTBL_01544[法人／事業所数])</f>
        <v>55</v>
      </c>
      <c r="I20" s="12">
        <f>SUBTOTAL(109,LTBL_01544[法人以外の団体／事業所数])</f>
        <v>2</v>
      </c>
    </row>
    <row r="21" spans="2:9" ht="15" customHeight="1" x14ac:dyDescent="0.2">
      <c r="E21" s="11">
        <f>LTBL_01544[[#Totals],[個人／事業所数]]/LTBL_01544[[#Totals],[総数／事業所数]]</f>
        <v>0.48245614035087719</v>
      </c>
      <c r="G21" s="11">
        <f>LTBL_01544[[#Totals],[法人／事業所数]]/LTBL_01544[[#Totals],[総数／事業所数]]</f>
        <v>0.48245614035087719</v>
      </c>
      <c r="I21" s="11">
        <f>LTBL_01544[[#Totals],[法人以外の団体／事業所数]]/LTBL_01544[[#Totals],[総数／事業所数]]</f>
        <v>1.7543859649122806E-2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11</v>
      </c>
      <c r="D24" s="8">
        <v>9.65</v>
      </c>
      <c r="E24" s="12">
        <v>10</v>
      </c>
      <c r="F24" s="8">
        <v>18.18</v>
      </c>
      <c r="G24" s="12">
        <v>1</v>
      </c>
      <c r="H24" s="8">
        <v>1.82</v>
      </c>
      <c r="I24" s="12">
        <v>0</v>
      </c>
    </row>
    <row r="25" spans="2:9" ht="15" customHeight="1" x14ac:dyDescent="0.2">
      <c r="B25" t="s">
        <v>227</v>
      </c>
      <c r="C25" s="12">
        <v>10</v>
      </c>
      <c r="D25" s="8">
        <v>8.77</v>
      </c>
      <c r="E25" s="12">
        <v>10</v>
      </c>
      <c r="F25" s="8">
        <v>18.18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221</v>
      </c>
      <c r="C26" s="12">
        <v>9</v>
      </c>
      <c r="D26" s="8">
        <v>7.89</v>
      </c>
      <c r="E26" s="12">
        <v>7</v>
      </c>
      <c r="F26" s="8">
        <v>12.73</v>
      </c>
      <c r="G26" s="12">
        <v>2</v>
      </c>
      <c r="H26" s="8">
        <v>3.64</v>
      </c>
      <c r="I26" s="12">
        <v>0</v>
      </c>
    </row>
    <row r="27" spans="2:9" ht="15" customHeight="1" x14ac:dyDescent="0.2">
      <c r="B27" t="s">
        <v>214</v>
      </c>
      <c r="C27" s="12">
        <v>8</v>
      </c>
      <c r="D27" s="8">
        <v>7.02</v>
      </c>
      <c r="E27" s="12">
        <v>4</v>
      </c>
      <c r="F27" s="8">
        <v>7.27</v>
      </c>
      <c r="G27" s="12">
        <v>4</v>
      </c>
      <c r="H27" s="8">
        <v>7.27</v>
      </c>
      <c r="I27" s="12">
        <v>0</v>
      </c>
    </row>
    <row r="28" spans="2:9" ht="15" customHeight="1" x14ac:dyDescent="0.2">
      <c r="B28" t="s">
        <v>223</v>
      </c>
      <c r="C28" s="12">
        <v>7</v>
      </c>
      <c r="D28" s="8">
        <v>6.14</v>
      </c>
      <c r="E28" s="12">
        <v>3</v>
      </c>
      <c r="F28" s="8">
        <v>5.45</v>
      </c>
      <c r="G28" s="12">
        <v>4</v>
      </c>
      <c r="H28" s="8">
        <v>7.27</v>
      </c>
      <c r="I28" s="12">
        <v>0</v>
      </c>
    </row>
    <row r="29" spans="2:9" ht="15" customHeight="1" x14ac:dyDescent="0.2">
      <c r="B29" t="s">
        <v>230</v>
      </c>
      <c r="C29" s="12">
        <v>7</v>
      </c>
      <c r="D29" s="8">
        <v>6.14</v>
      </c>
      <c r="E29" s="12">
        <v>5</v>
      </c>
      <c r="F29" s="8">
        <v>9.09</v>
      </c>
      <c r="G29" s="12">
        <v>1</v>
      </c>
      <c r="H29" s="8">
        <v>1.82</v>
      </c>
      <c r="I29" s="12">
        <v>0</v>
      </c>
    </row>
    <row r="30" spans="2:9" ht="15" customHeight="1" x14ac:dyDescent="0.2">
      <c r="B30" t="s">
        <v>215</v>
      </c>
      <c r="C30" s="12">
        <v>5</v>
      </c>
      <c r="D30" s="8">
        <v>4.3899999999999997</v>
      </c>
      <c r="E30" s="12">
        <v>1</v>
      </c>
      <c r="F30" s="8">
        <v>1.82</v>
      </c>
      <c r="G30" s="12">
        <v>4</v>
      </c>
      <c r="H30" s="8">
        <v>7.27</v>
      </c>
      <c r="I30" s="12">
        <v>0</v>
      </c>
    </row>
    <row r="31" spans="2:9" ht="15" customHeight="1" x14ac:dyDescent="0.2">
      <c r="B31" t="s">
        <v>244</v>
      </c>
      <c r="C31" s="12">
        <v>5</v>
      </c>
      <c r="D31" s="8">
        <v>4.3899999999999997</v>
      </c>
      <c r="E31" s="12">
        <v>0</v>
      </c>
      <c r="F31" s="8">
        <v>0</v>
      </c>
      <c r="G31" s="12">
        <v>5</v>
      </c>
      <c r="H31" s="8">
        <v>9.09</v>
      </c>
      <c r="I31" s="12">
        <v>0</v>
      </c>
    </row>
    <row r="32" spans="2:9" ht="15" customHeight="1" x14ac:dyDescent="0.2">
      <c r="B32" t="s">
        <v>222</v>
      </c>
      <c r="C32" s="12">
        <v>5</v>
      </c>
      <c r="D32" s="8">
        <v>4.3899999999999997</v>
      </c>
      <c r="E32" s="12">
        <v>3</v>
      </c>
      <c r="F32" s="8">
        <v>5.45</v>
      </c>
      <c r="G32" s="12">
        <v>2</v>
      </c>
      <c r="H32" s="8">
        <v>3.64</v>
      </c>
      <c r="I32" s="12">
        <v>0</v>
      </c>
    </row>
    <row r="33" spans="2:9" ht="15" customHeight="1" x14ac:dyDescent="0.2">
      <c r="B33" t="s">
        <v>224</v>
      </c>
      <c r="C33" s="12">
        <v>4</v>
      </c>
      <c r="D33" s="8">
        <v>3.51</v>
      </c>
      <c r="E33" s="12">
        <v>1</v>
      </c>
      <c r="F33" s="8">
        <v>1.82</v>
      </c>
      <c r="G33" s="12">
        <v>3</v>
      </c>
      <c r="H33" s="8">
        <v>5.45</v>
      </c>
      <c r="I33" s="12">
        <v>0</v>
      </c>
    </row>
    <row r="34" spans="2:9" ht="15" customHeight="1" x14ac:dyDescent="0.2">
      <c r="B34" t="s">
        <v>226</v>
      </c>
      <c r="C34" s="12">
        <v>4</v>
      </c>
      <c r="D34" s="8">
        <v>3.51</v>
      </c>
      <c r="E34" s="12">
        <v>1</v>
      </c>
      <c r="F34" s="8">
        <v>1.82</v>
      </c>
      <c r="G34" s="12">
        <v>2</v>
      </c>
      <c r="H34" s="8">
        <v>3.64</v>
      </c>
      <c r="I34" s="12">
        <v>1</v>
      </c>
    </row>
    <row r="35" spans="2:9" ht="15" customHeight="1" x14ac:dyDescent="0.2">
      <c r="B35" t="s">
        <v>217</v>
      </c>
      <c r="C35" s="12">
        <v>3</v>
      </c>
      <c r="D35" s="8">
        <v>2.63</v>
      </c>
      <c r="E35" s="12">
        <v>1</v>
      </c>
      <c r="F35" s="8">
        <v>1.82</v>
      </c>
      <c r="G35" s="12">
        <v>2</v>
      </c>
      <c r="H35" s="8">
        <v>3.64</v>
      </c>
      <c r="I35" s="12">
        <v>0</v>
      </c>
    </row>
    <row r="36" spans="2:9" ht="15" customHeight="1" x14ac:dyDescent="0.2">
      <c r="B36" t="s">
        <v>231</v>
      </c>
      <c r="C36" s="12">
        <v>3</v>
      </c>
      <c r="D36" s="8">
        <v>2.63</v>
      </c>
      <c r="E36" s="12">
        <v>3</v>
      </c>
      <c r="F36" s="8">
        <v>5.45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232</v>
      </c>
      <c r="C37" s="12">
        <v>3</v>
      </c>
      <c r="D37" s="8">
        <v>2.63</v>
      </c>
      <c r="E37" s="12">
        <v>0</v>
      </c>
      <c r="F37" s="8">
        <v>0</v>
      </c>
      <c r="G37" s="12">
        <v>3</v>
      </c>
      <c r="H37" s="8">
        <v>5.45</v>
      </c>
      <c r="I37" s="12">
        <v>0</v>
      </c>
    </row>
    <row r="38" spans="2:9" ht="15" customHeight="1" x14ac:dyDescent="0.2">
      <c r="B38" t="s">
        <v>268</v>
      </c>
      <c r="C38" s="12">
        <v>2</v>
      </c>
      <c r="D38" s="8">
        <v>1.75</v>
      </c>
      <c r="E38" s="12">
        <v>0</v>
      </c>
      <c r="F38" s="8">
        <v>0</v>
      </c>
      <c r="G38" s="12">
        <v>2</v>
      </c>
      <c r="H38" s="8">
        <v>3.64</v>
      </c>
      <c r="I38" s="12">
        <v>0</v>
      </c>
    </row>
    <row r="39" spans="2:9" ht="15" customHeight="1" x14ac:dyDescent="0.2">
      <c r="B39" t="s">
        <v>277</v>
      </c>
      <c r="C39" s="12">
        <v>2</v>
      </c>
      <c r="D39" s="8">
        <v>1.75</v>
      </c>
      <c r="E39" s="12">
        <v>0</v>
      </c>
      <c r="F39" s="8">
        <v>0</v>
      </c>
      <c r="G39" s="12">
        <v>2</v>
      </c>
      <c r="H39" s="8">
        <v>3.64</v>
      </c>
      <c r="I39" s="12">
        <v>0</v>
      </c>
    </row>
    <row r="40" spans="2:9" ht="15" customHeight="1" x14ac:dyDescent="0.2">
      <c r="B40" t="s">
        <v>261</v>
      </c>
      <c r="C40" s="12">
        <v>2</v>
      </c>
      <c r="D40" s="8">
        <v>1.75</v>
      </c>
      <c r="E40" s="12">
        <v>0</v>
      </c>
      <c r="F40" s="8">
        <v>0</v>
      </c>
      <c r="G40" s="12">
        <v>2</v>
      </c>
      <c r="H40" s="8">
        <v>3.64</v>
      </c>
      <c r="I40" s="12">
        <v>0</v>
      </c>
    </row>
    <row r="41" spans="2:9" ht="15" customHeight="1" x14ac:dyDescent="0.2">
      <c r="B41" t="s">
        <v>216</v>
      </c>
      <c r="C41" s="12">
        <v>2</v>
      </c>
      <c r="D41" s="8">
        <v>1.75</v>
      </c>
      <c r="E41" s="12">
        <v>0</v>
      </c>
      <c r="F41" s="8">
        <v>0</v>
      </c>
      <c r="G41" s="12">
        <v>2</v>
      </c>
      <c r="H41" s="8">
        <v>3.64</v>
      </c>
      <c r="I41" s="12">
        <v>0</v>
      </c>
    </row>
    <row r="42" spans="2:9" ht="15" customHeight="1" x14ac:dyDescent="0.2">
      <c r="B42" t="s">
        <v>220</v>
      </c>
      <c r="C42" s="12">
        <v>2</v>
      </c>
      <c r="D42" s="8">
        <v>1.75</v>
      </c>
      <c r="E42" s="12">
        <v>0</v>
      </c>
      <c r="F42" s="8">
        <v>0</v>
      </c>
      <c r="G42" s="12">
        <v>2</v>
      </c>
      <c r="H42" s="8">
        <v>3.64</v>
      </c>
      <c r="I42" s="12">
        <v>0</v>
      </c>
    </row>
    <row r="43" spans="2:9" ht="15" customHeight="1" x14ac:dyDescent="0.2">
      <c r="B43" t="s">
        <v>243</v>
      </c>
      <c r="C43" s="12">
        <v>2</v>
      </c>
      <c r="D43" s="8">
        <v>1.75</v>
      </c>
      <c r="E43" s="12">
        <v>1</v>
      </c>
      <c r="F43" s="8">
        <v>1.82</v>
      </c>
      <c r="G43" s="12">
        <v>1</v>
      </c>
      <c r="H43" s="8">
        <v>1.82</v>
      </c>
      <c r="I43" s="12">
        <v>0</v>
      </c>
    </row>
    <row r="44" spans="2:9" ht="15" customHeight="1" x14ac:dyDescent="0.2">
      <c r="B44" t="s">
        <v>239</v>
      </c>
      <c r="C44" s="12">
        <v>2</v>
      </c>
      <c r="D44" s="8">
        <v>1.75</v>
      </c>
      <c r="E44" s="12">
        <v>0</v>
      </c>
      <c r="F44" s="8">
        <v>0</v>
      </c>
      <c r="G44" s="12">
        <v>2</v>
      </c>
      <c r="H44" s="8">
        <v>3.64</v>
      </c>
      <c r="I44" s="12">
        <v>0</v>
      </c>
    </row>
    <row r="45" spans="2:9" ht="15" customHeight="1" x14ac:dyDescent="0.2">
      <c r="B45" t="s">
        <v>229</v>
      </c>
      <c r="C45" s="12">
        <v>2</v>
      </c>
      <c r="D45" s="8">
        <v>1.75</v>
      </c>
      <c r="E45" s="12">
        <v>1</v>
      </c>
      <c r="F45" s="8">
        <v>1.82</v>
      </c>
      <c r="G45" s="12">
        <v>1</v>
      </c>
      <c r="H45" s="8">
        <v>1.82</v>
      </c>
      <c r="I45" s="12">
        <v>0</v>
      </c>
    </row>
    <row r="46" spans="2:9" ht="15" customHeight="1" x14ac:dyDescent="0.2">
      <c r="B46" t="s">
        <v>242</v>
      </c>
      <c r="C46" s="12">
        <v>2</v>
      </c>
      <c r="D46" s="8">
        <v>1.75</v>
      </c>
      <c r="E46" s="12">
        <v>2</v>
      </c>
      <c r="F46" s="8">
        <v>3.64</v>
      </c>
      <c r="G46" s="12">
        <v>0</v>
      </c>
      <c r="H46" s="8">
        <v>0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304</v>
      </c>
      <c r="C50" s="12">
        <v>7</v>
      </c>
      <c r="D50" s="8">
        <v>6.14</v>
      </c>
      <c r="E50" s="12">
        <v>7</v>
      </c>
      <c r="F50" s="8">
        <v>12.73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343</v>
      </c>
      <c r="C51" s="12">
        <v>4</v>
      </c>
      <c r="D51" s="8">
        <v>3.51</v>
      </c>
      <c r="E51" s="12">
        <v>2</v>
      </c>
      <c r="F51" s="8">
        <v>3.64</v>
      </c>
      <c r="G51" s="12">
        <v>2</v>
      </c>
      <c r="H51" s="8">
        <v>3.64</v>
      </c>
      <c r="I51" s="12">
        <v>0</v>
      </c>
    </row>
    <row r="52" spans="2:9" ht="15" customHeight="1" x14ac:dyDescent="0.2">
      <c r="B52" t="s">
        <v>290</v>
      </c>
      <c r="C52" s="12">
        <v>4</v>
      </c>
      <c r="D52" s="8">
        <v>3.51</v>
      </c>
      <c r="E52" s="12">
        <v>1</v>
      </c>
      <c r="F52" s="8">
        <v>1.82</v>
      </c>
      <c r="G52" s="12">
        <v>3</v>
      </c>
      <c r="H52" s="8">
        <v>5.45</v>
      </c>
      <c r="I52" s="12">
        <v>0</v>
      </c>
    </row>
    <row r="53" spans="2:9" ht="15" customHeight="1" x14ac:dyDescent="0.2">
      <c r="B53" t="s">
        <v>297</v>
      </c>
      <c r="C53" s="12">
        <v>4</v>
      </c>
      <c r="D53" s="8">
        <v>3.51</v>
      </c>
      <c r="E53" s="12">
        <v>1</v>
      </c>
      <c r="F53" s="8">
        <v>1.82</v>
      </c>
      <c r="G53" s="12">
        <v>3</v>
      </c>
      <c r="H53" s="8">
        <v>5.45</v>
      </c>
      <c r="I53" s="12">
        <v>0</v>
      </c>
    </row>
    <row r="54" spans="2:9" ht="15" customHeight="1" x14ac:dyDescent="0.2">
      <c r="B54" t="s">
        <v>301</v>
      </c>
      <c r="C54" s="12">
        <v>4</v>
      </c>
      <c r="D54" s="8">
        <v>3.51</v>
      </c>
      <c r="E54" s="12">
        <v>4</v>
      </c>
      <c r="F54" s="8">
        <v>7.27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384</v>
      </c>
      <c r="C55" s="12">
        <v>3</v>
      </c>
      <c r="D55" s="8">
        <v>2.63</v>
      </c>
      <c r="E55" s="12">
        <v>0</v>
      </c>
      <c r="F55" s="8">
        <v>0</v>
      </c>
      <c r="G55" s="12">
        <v>3</v>
      </c>
      <c r="H55" s="8">
        <v>5.45</v>
      </c>
      <c r="I55" s="12">
        <v>0</v>
      </c>
    </row>
    <row r="56" spans="2:9" ht="15" customHeight="1" x14ac:dyDescent="0.2">
      <c r="B56" t="s">
        <v>329</v>
      </c>
      <c r="C56" s="12">
        <v>3</v>
      </c>
      <c r="D56" s="8">
        <v>2.63</v>
      </c>
      <c r="E56" s="12">
        <v>3</v>
      </c>
      <c r="F56" s="8">
        <v>5.45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292</v>
      </c>
      <c r="C57" s="12">
        <v>3</v>
      </c>
      <c r="D57" s="8">
        <v>2.63</v>
      </c>
      <c r="E57" s="12">
        <v>2</v>
      </c>
      <c r="F57" s="8">
        <v>3.64</v>
      </c>
      <c r="G57" s="12">
        <v>1</v>
      </c>
      <c r="H57" s="8">
        <v>1.82</v>
      </c>
      <c r="I57" s="12">
        <v>0</v>
      </c>
    </row>
    <row r="58" spans="2:9" ht="15" customHeight="1" x14ac:dyDescent="0.2">
      <c r="B58" t="s">
        <v>335</v>
      </c>
      <c r="C58" s="12">
        <v>3</v>
      </c>
      <c r="D58" s="8">
        <v>2.63</v>
      </c>
      <c r="E58" s="12">
        <v>2</v>
      </c>
      <c r="F58" s="8">
        <v>3.64</v>
      </c>
      <c r="G58" s="12">
        <v>1</v>
      </c>
      <c r="H58" s="8">
        <v>1.82</v>
      </c>
      <c r="I58" s="12">
        <v>0</v>
      </c>
    </row>
    <row r="59" spans="2:9" ht="15" customHeight="1" x14ac:dyDescent="0.2">
      <c r="B59" t="s">
        <v>418</v>
      </c>
      <c r="C59" s="12">
        <v>3</v>
      </c>
      <c r="D59" s="8">
        <v>2.63</v>
      </c>
      <c r="E59" s="12">
        <v>0</v>
      </c>
      <c r="F59" s="8">
        <v>0</v>
      </c>
      <c r="G59" s="12">
        <v>2</v>
      </c>
      <c r="H59" s="8">
        <v>3.64</v>
      </c>
      <c r="I59" s="12">
        <v>1</v>
      </c>
    </row>
    <row r="60" spans="2:9" ht="15" customHeight="1" x14ac:dyDescent="0.2">
      <c r="B60" t="s">
        <v>302</v>
      </c>
      <c r="C60" s="12">
        <v>3</v>
      </c>
      <c r="D60" s="8">
        <v>2.63</v>
      </c>
      <c r="E60" s="12">
        <v>3</v>
      </c>
      <c r="F60" s="8">
        <v>5.45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303</v>
      </c>
      <c r="C61" s="12">
        <v>3</v>
      </c>
      <c r="D61" s="8">
        <v>2.63</v>
      </c>
      <c r="E61" s="12">
        <v>3</v>
      </c>
      <c r="F61" s="8">
        <v>5.45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305</v>
      </c>
      <c r="C62" s="12">
        <v>3</v>
      </c>
      <c r="D62" s="8">
        <v>2.63</v>
      </c>
      <c r="E62" s="12">
        <v>3</v>
      </c>
      <c r="F62" s="8">
        <v>5.45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331</v>
      </c>
      <c r="C63" s="12">
        <v>3</v>
      </c>
      <c r="D63" s="8">
        <v>2.63</v>
      </c>
      <c r="E63" s="12">
        <v>0</v>
      </c>
      <c r="F63" s="8">
        <v>0</v>
      </c>
      <c r="G63" s="12">
        <v>3</v>
      </c>
      <c r="H63" s="8">
        <v>5.45</v>
      </c>
      <c r="I63" s="12">
        <v>0</v>
      </c>
    </row>
    <row r="64" spans="2:9" ht="15" customHeight="1" x14ac:dyDescent="0.2">
      <c r="B64" t="s">
        <v>333</v>
      </c>
      <c r="C64" s="12">
        <v>2</v>
      </c>
      <c r="D64" s="8">
        <v>1.75</v>
      </c>
      <c r="E64" s="12">
        <v>2</v>
      </c>
      <c r="F64" s="8">
        <v>3.64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324</v>
      </c>
      <c r="C65" s="12">
        <v>2</v>
      </c>
      <c r="D65" s="8">
        <v>1.75</v>
      </c>
      <c r="E65" s="12">
        <v>0</v>
      </c>
      <c r="F65" s="8">
        <v>0</v>
      </c>
      <c r="G65" s="12">
        <v>2</v>
      </c>
      <c r="H65" s="8">
        <v>3.64</v>
      </c>
      <c r="I65" s="12">
        <v>0</v>
      </c>
    </row>
    <row r="66" spans="2:9" ht="15" customHeight="1" x14ac:dyDescent="0.2">
      <c r="B66" t="s">
        <v>293</v>
      </c>
      <c r="C66" s="12">
        <v>2</v>
      </c>
      <c r="D66" s="8">
        <v>1.75</v>
      </c>
      <c r="E66" s="12">
        <v>1</v>
      </c>
      <c r="F66" s="8">
        <v>1.82</v>
      </c>
      <c r="G66" s="12">
        <v>1</v>
      </c>
      <c r="H66" s="8">
        <v>1.82</v>
      </c>
      <c r="I66" s="12">
        <v>0</v>
      </c>
    </row>
    <row r="67" spans="2:9" ht="15" customHeight="1" x14ac:dyDescent="0.2">
      <c r="B67" t="s">
        <v>294</v>
      </c>
      <c r="C67" s="12">
        <v>2</v>
      </c>
      <c r="D67" s="8">
        <v>1.75</v>
      </c>
      <c r="E67" s="12">
        <v>1</v>
      </c>
      <c r="F67" s="8">
        <v>1.82</v>
      </c>
      <c r="G67" s="12">
        <v>1</v>
      </c>
      <c r="H67" s="8">
        <v>1.82</v>
      </c>
      <c r="I67" s="12">
        <v>0</v>
      </c>
    </row>
    <row r="68" spans="2:9" ht="15" customHeight="1" x14ac:dyDescent="0.2">
      <c r="B68" t="s">
        <v>295</v>
      </c>
      <c r="C68" s="12">
        <v>2</v>
      </c>
      <c r="D68" s="8">
        <v>1.75</v>
      </c>
      <c r="E68" s="12">
        <v>1</v>
      </c>
      <c r="F68" s="8">
        <v>1.82</v>
      </c>
      <c r="G68" s="12">
        <v>1</v>
      </c>
      <c r="H68" s="8">
        <v>1.82</v>
      </c>
      <c r="I68" s="12">
        <v>0</v>
      </c>
    </row>
    <row r="69" spans="2:9" ht="15" customHeight="1" x14ac:dyDescent="0.2">
      <c r="B69" t="s">
        <v>325</v>
      </c>
      <c r="C69" s="12">
        <v>2</v>
      </c>
      <c r="D69" s="8">
        <v>1.75</v>
      </c>
      <c r="E69" s="12">
        <v>0</v>
      </c>
      <c r="F69" s="8">
        <v>0</v>
      </c>
      <c r="G69" s="12">
        <v>2</v>
      </c>
      <c r="H69" s="8">
        <v>3.64</v>
      </c>
      <c r="I69" s="12">
        <v>0</v>
      </c>
    </row>
    <row r="70" spans="2:9" ht="15" customHeight="1" x14ac:dyDescent="0.2">
      <c r="B70" t="s">
        <v>340</v>
      </c>
      <c r="C70" s="12">
        <v>2</v>
      </c>
      <c r="D70" s="8">
        <v>1.75</v>
      </c>
      <c r="E70" s="12">
        <v>0</v>
      </c>
      <c r="F70" s="8">
        <v>0</v>
      </c>
      <c r="G70" s="12">
        <v>1</v>
      </c>
      <c r="H70" s="8">
        <v>1.82</v>
      </c>
      <c r="I70" s="12">
        <v>0</v>
      </c>
    </row>
    <row r="71" spans="2:9" ht="15" customHeight="1" x14ac:dyDescent="0.2">
      <c r="B71" t="s">
        <v>327</v>
      </c>
      <c r="C71" s="12">
        <v>2</v>
      </c>
      <c r="D71" s="8">
        <v>1.75</v>
      </c>
      <c r="E71" s="12">
        <v>2</v>
      </c>
      <c r="F71" s="8">
        <v>3.64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306</v>
      </c>
      <c r="C72" s="12">
        <v>2</v>
      </c>
      <c r="D72" s="8">
        <v>1.75</v>
      </c>
      <c r="E72" s="12">
        <v>2</v>
      </c>
      <c r="F72" s="8">
        <v>3.64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371</v>
      </c>
      <c r="C73" s="12">
        <v>2</v>
      </c>
      <c r="D73" s="8">
        <v>1.75</v>
      </c>
      <c r="E73" s="12">
        <v>2</v>
      </c>
      <c r="F73" s="8">
        <v>3.64</v>
      </c>
      <c r="G73" s="12">
        <v>0</v>
      </c>
      <c r="H73" s="8">
        <v>0</v>
      </c>
      <c r="I73" s="12">
        <v>0</v>
      </c>
    </row>
    <row r="75" spans="2:9" ht="15" customHeight="1" x14ac:dyDescent="0.2">
      <c r="B7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95F53-5EF9-43FB-A2AA-A3EA83F70A0D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0.26</v>
      </c>
      <c r="E5" s="12">
        <v>0</v>
      </c>
      <c r="F5" s="8">
        <v>0</v>
      </c>
      <c r="G5" s="12">
        <v>1</v>
      </c>
      <c r="H5" s="8">
        <v>0.65</v>
      </c>
      <c r="I5" s="12">
        <v>0</v>
      </c>
    </row>
    <row r="6" spans="2:9" ht="15" customHeight="1" x14ac:dyDescent="0.2">
      <c r="B6" t="s">
        <v>191</v>
      </c>
      <c r="C6" s="12">
        <v>31</v>
      </c>
      <c r="D6" s="8">
        <v>8.07</v>
      </c>
      <c r="E6" s="12">
        <v>12</v>
      </c>
      <c r="F6" s="8">
        <v>5.53</v>
      </c>
      <c r="G6" s="12">
        <v>19</v>
      </c>
      <c r="H6" s="8">
        <v>12.26</v>
      </c>
      <c r="I6" s="12">
        <v>0</v>
      </c>
    </row>
    <row r="7" spans="2:9" ht="15" customHeight="1" x14ac:dyDescent="0.2">
      <c r="B7" t="s">
        <v>192</v>
      </c>
      <c r="C7" s="12">
        <v>27</v>
      </c>
      <c r="D7" s="8">
        <v>7.03</v>
      </c>
      <c r="E7" s="12">
        <v>3</v>
      </c>
      <c r="F7" s="8">
        <v>1.38</v>
      </c>
      <c r="G7" s="12">
        <v>24</v>
      </c>
      <c r="H7" s="8">
        <v>15.48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0.78</v>
      </c>
      <c r="E8" s="12">
        <v>0</v>
      </c>
      <c r="F8" s="8">
        <v>0</v>
      </c>
      <c r="G8" s="12">
        <v>0</v>
      </c>
      <c r="H8" s="8">
        <v>0</v>
      </c>
      <c r="I8" s="12">
        <v>1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8</v>
      </c>
      <c r="D10" s="8">
        <v>2.08</v>
      </c>
      <c r="E10" s="12">
        <v>2</v>
      </c>
      <c r="F10" s="8">
        <v>0.92</v>
      </c>
      <c r="G10" s="12">
        <v>6</v>
      </c>
      <c r="H10" s="8">
        <v>3.87</v>
      </c>
      <c r="I10" s="12">
        <v>0</v>
      </c>
    </row>
    <row r="11" spans="2:9" ht="15" customHeight="1" x14ac:dyDescent="0.2">
      <c r="B11" t="s">
        <v>196</v>
      </c>
      <c r="C11" s="12">
        <v>78</v>
      </c>
      <c r="D11" s="8">
        <v>20.309999999999999</v>
      </c>
      <c r="E11" s="12">
        <v>33</v>
      </c>
      <c r="F11" s="8">
        <v>15.21</v>
      </c>
      <c r="G11" s="12">
        <v>45</v>
      </c>
      <c r="H11" s="8">
        <v>29.03</v>
      </c>
      <c r="I11" s="12">
        <v>0</v>
      </c>
    </row>
    <row r="12" spans="2:9" ht="15" customHeight="1" x14ac:dyDescent="0.2">
      <c r="B12" t="s">
        <v>197</v>
      </c>
      <c r="C12" s="12">
        <v>3</v>
      </c>
      <c r="D12" s="8">
        <v>0.78</v>
      </c>
      <c r="E12" s="12">
        <v>0</v>
      </c>
      <c r="F12" s="8">
        <v>0</v>
      </c>
      <c r="G12" s="12">
        <v>3</v>
      </c>
      <c r="H12" s="8">
        <v>1.94</v>
      </c>
      <c r="I12" s="12">
        <v>0</v>
      </c>
    </row>
    <row r="13" spans="2:9" ht="15" customHeight="1" x14ac:dyDescent="0.2">
      <c r="B13" t="s">
        <v>198</v>
      </c>
      <c r="C13" s="12">
        <v>56</v>
      </c>
      <c r="D13" s="8">
        <v>14.58</v>
      </c>
      <c r="E13" s="12">
        <v>42</v>
      </c>
      <c r="F13" s="8">
        <v>19.350000000000001</v>
      </c>
      <c r="G13" s="12">
        <v>14</v>
      </c>
      <c r="H13" s="8">
        <v>9.0299999999999994</v>
      </c>
      <c r="I13" s="12">
        <v>0</v>
      </c>
    </row>
    <row r="14" spans="2:9" ht="15" customHeight="1" x14ac:dyDescent="0.2">
      <c r="B14" t="s">
        <v>199</v>
      </c>
      <c r="C14" s="12">
        <v>12</v>
      </c>
      <c r="D14" s="8">
        <v>3.13</v>
      </c>
      <c r="E14" s="12">
        <v>5</v>
      </c>
      <c r="F14" s="8">
        <v>2.2999999999999998</v>
      </c>
      <c r="G14" s="12">
        <v>7</v>
      </c>
      <c r="H14" s="8">
        <v>4.5199999999999996</v>
      </c>
      <c r="I14" s="12">
        <v>0</v>
      </c>
    </row>
    <row r="15" spans="2:9" ht="15" customHeight="1" x14ac:dyDescent="0.2">
      <c r="B15" t="s">
        <v>200</v>
      </c>
      <c r="C15" s="12">
        <v>75</v>
      </c>
      <c r="D15" s="8">
        <v>19.53</v>
      </c>
      <c r="E15" s="12">
        <v>56</v>
      </c>
      <c r="F15" s="8">
        <v>25.81</v>
      </c>
      <c r="G15" s="12">
        <v>18</v>
      </c>
      <c r="H15" s="8">
        <v>11.61</v>
      </c>
      <c r="I15" s="12">
        <v>1</v>
      </c>
    </row>
    <row r="16" spans="2:9" ht="15" customHeight="1" x14ac:dyDescent="0.2">
      <c r="B16" t="s">
        <v>201</v>
      </c>
      <c r="C16" s="12">
        <v>52</v>
      </c>
      <c r="D16" s="8">
        <v>13.54</v>
      </c>
      <c r="E16" s="12">
        <v>45</v>
      </c>
      <c r="F16" s="8">
        <v>20.74</v>
      </c>
      <c r="G16" s="12">
        <v>5</v>
      </c>
      <c r="H16" s="8">
        <v>3.23</v>
      </c>
      <c r="I16" s="12">
        <v>0</v>
      </c>
    </row>
    <row r="17" spans="2:9" ht="15" customHeight="1" x14ac:dyDescent="0.2">
      <c r="B17" t="s">
        <v>202</v>
      </c>
      <c r="C17" s="12">
        <v>11</v>
      </c>
      <c r="D17" s="8">
        <v>2.86</v>
      </c>
      <c r="E17" s="12">
        <v>8</v>
      </c>
      <c r="F17" s="8">
        <v>3.69</v>
      </c>
      <c r="G17" s="12">
        <v>1</v>
      </c>
      <c r="H17" s="8">
        <v>0.65</v>
      </c>
      <c r="I17" s="12">
        <v>0</v>
      </c>
    </row>
    <row r="18" spans="2:9" ht="15" customHeight="1" x14ac:dyDescent="0.2">
      <c r="B18" t="s">
        <v>203</v>
      </c>
      <c r="C18" s="12">
        <v>13</v>
      </c>
      <c r="D18" s="8">
        <v>3.39</v>
      </c>
      <c r="E18" s="12">
        <v>5</v>
      </c>
      <c r="F18" s="8">
        <v>2.2999999999999998</v>
      </c>
      <c r="G18" s="12">
        <v>6</v>
      </c>
      <c r="H18" s="8">
        <v>3.87</v>
      </c>
      <c r="I18" s="12">
        <v>0</v>
      </c>
    </row>
    <row r="19" spans="2:9" ht="15" customHeight="1" x14ac:dyDescent="0.2">
      <c r="B19" t="s">
        <v>204</v>
      </c>
      <c r="C19" s="12">
        <v>14</v>
      </c>
      <c r="D19" s="8">
        <v>3.65</v>
      </c>
      <c r="E19" s="12">
        <v>6</v>
      </c>
      <c r="F19" s="8">
        <v>2.76</v>
      </c>
      <c r="G19" s="12">
        <v>6</v>
      </c>
      <c r="H19" s="8">
        <v>3.87</v>
      </c>
      <c r="I19" s="12">
        <v>1</v>
      </c>
    </row>
    <row r="20" spans="2:9" ht="15" customHeight="1" x14ac:dyDescent="0.2">
      <c r="B20" s="9" t="s">
        <v>529</v>
      </c>
      <c r="C20" s="12">
        <f>SUM(LTBL_01545[総数／事業所数])</f>
        <v>384</v>
      </c>
      <c r="E20" s="12">
        <f>SUBTOTAL(109,LTBL_01545[個人／事業所数])</f>
        <v>217</v>
      </c>
      <c r="G20" s="12">
        <f>SUBTOTAL(109,LTBL_01545[法人／事業所数])</f>
        <v>155</v>
      </c>
      <c r="I20" s="12">
        <f>SUBTOTAL(109,LTBL_01545[法人以外の団体／事業所数])</f>
        <v>3</v>
      </c>
    </row>
    <row r="21" spans="2:9" ht="15" customHeight="1" x14ac:dyDescent="0.2">
      <c r="E21" s="11">
        <f>LTBL_01545[[#Totals],[個人／事業所数]]/LTBL_01545[[#Totals],[総数／事業所数]]</f>
        <v>0.56510416666666663</v>
      </c>
      <c r="G21" s="11">
        <f>LTBL_01545[[#Totals],[法人／事業所数]]/LTBL_01545[[#Totals],[総数／事業所数]]</f>
        <v>0.40364583333333331</v>
      </c>
      <c r="I21" s="11">
        <f>LTBL_01545[[#Totals],[法人以外の団体／事業所数]]/LTBL_01545[[#Totals],[総数／事業所数]]</f>
        <v>7.8125E-3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56</v>
      </c>
      <c r="D24" s="8">
        <v>14.58</v>
      </c>
      <c r="E24" s="12">
        <v>49</v>
      </c>
      <c r="F24" s="8">
        <v>22.58</v>
      </c>
      <c r="G24" s="12">
        <v>6</v>
      </c>
      <c r="H24" s="8">
        <v>3.87</v>
      </c>
      <c r="I24" s="12">
        <v>1</v>
      </c>
    </row>
    <row r="25" spans="2:9" ht="15" customHeight="1" x14ac:dyDescent="0.2">
      <c r="B25" t="s">
        <v>224</v>
      </c>
      <c r="C25" s="12">
        <v>47</v>
      </c>
      <c r="D25" s="8">
        <v>12.24</v>
      </c>
      <c r="E25" s="12">
        <v>40</v>
      </c>
      <c r="F25" s="8">
        <v>18.43</v>
      </c>
      <c r="G25" s="12">
        <v>7</v>
      </c>
      <c r="H25" s="8">
        <v>4.5199999999999996</v>
      </c>
      <c r="I25" s="12">
        <v>0</v>
      </c>
    </row>
    <row r="26" spans="2:9" ht="15" customHeight="1" x14ac:dyDescent="0.2">
      <c r="B26" t="s">
        <v>228</v>
      </c>
      <c r="C26" s="12">
        <v>37</v>
      </c>
      <c r="D26" s="8">
        <v>9.64</v>
      </c>
      <c r="E26" s="12">
        <v>34</v>
      </c>
      <c r="F26" s="8">
        <v>15.67</v>
      </c>
      <c r="G26" s="12">
        <v>3</v>
      </c>
      <c r="H26" s="8">
        <v>1.94</v>
      </c>
      <c r="I26" s="12">
        <v>0</v>
      </c>
    </row>
    <row r="27" spans="2:9" ht="15" customHeight="1" x14ac:dyDescent="0.2">
      <c r="B27" t="s">
        <v>223</v>
      </c>
      <c r="C27" s="12">
        <v>30</v>
      </c>
      <c r="D27" s="8">
        <v>7.81</v>
      </c>
      <c r="E27" s="12">
        <v>16</v>
      </c>
      <c r="F27" s="8">
        <v>7.37</v>
      </c>
      <c r="G27" s="12">
        <v>14</v>
      </c>
      <c r="H27" s="8">
        <v>9.0299999999999994</v>
      </c>
      <c r="I27" s="12">
        <v>0</v>
      </c>
    </row>
    <row r="28" spans="2:9" ht="15" customHeight="1" x14ac:dyDescent="0.2">
      <c r="B28" t="s">
        <v>243</v>
      </c>
      <c r="C28" s="12">
        <v>17</v>
      </c>
      <c r="D28" s="8">
        <v>4.43</v>
      </c>
      <c r="E28" s="12">
        <v>7</v>
      </c>
      <c r="F28" s="8">
        <v>3.23</v>
      </c>
      <c r="G28" s="12">
        <v>10</v>
      </c>
      <c r="H28" s="8">
        <v>6.45</v>
      </c>
      <c r="I28" s="12">
        <v>0</v>
      </c>
    </row>
    <row r="29" spans="2:9" ht="15" customHeight="1" x14ac:dyDescent="0.2">
      <c r="B29" t="s">
        <v>213</v>
      </c>
      <c r="C29" s="12">
        <v>16</v>
      </c>
      <c r="D29" s="8">
        <v>4.17</v>
      </c>
      <c r="E29" s="12">
        <v>6</v>
      </c>
      <c r="F29" s="8">
        <v>2.76</v>
      </c>
      <c r="G29" s="12">
        <v>10</v>
      </c>
      <c r="H29" s="8">
        <v>6.45</v>
      </c>
      <c r="I29" s="12">
        <v>0</v>
      </c>
    </row>
    <row r="30" spans="2:9" ht="15" customHeight="1" x14ac:dyDescent="0.2">
      <c r="B30" t="s">
        <v>241</v>
      </c>
      <c r="C30" s="12">
        <v>16</v>
      </c>
      <c r="D30" s="8">
        <v>4.17</v>
      </c>
      <c r="E30" s="12">
        <v>1</v>
      </c>
      <c r="F30" s="8">
        <v>0.46</v>
      </c>
      <c r="G30" s="12">
        <v>15</v>
      </c>
      <c r="H30" s="8">
        <v>9.68</v>
      </c>
      <c r="I30" s="12">
        <v>0</v>
      </c>
    </row>
    <row r="31" spans="2:9" ht="15" customHeight="1" x14ac:dyDescent="0.2">
      <c r="B31" t="s">
        <v>221</v>
      </c>
      <c r="C31" s="12">
        <v>15</v>
      </c>
      <c r="D31" s="8">
        <v>3.91</v>
      </c>
      <c r="E31" s="12">
        <v>6</v>
      </c>
      <c r="F31" s="8">
        <v>2.76</v>
      </c>
      <c r="G31" s="12">
        <v>9</v>
      </c>
      <c r="H31" s="8">
        <v>5.81</v>
      </c>
      <c r="I31" s="12">
        <v>0</v>
      </c>
    </row>
    <row r="32" spans="2:9" ht="15" customHeight="1" x14ac:dyDescent="0.2">
      <c r="B32" t="s">
        <v>230</v>
      </c>
      <c r="C32" s="12">
        <v>11</v>
      </c>
      <c r="D32" s="8">
        <v>2.86</v>
      </c>
      <c r="E32" s="12">
        <v>8</v>
      </c>
      <c r="F32" s="8">
        <v>3.69</v>
      </c>
      <c r="G32" s="12">
        <v>1</v>
      </c>
      <c r="H32" s="8">
        <v>0.65</v>
      </c>
      <c r="I32" s="12">
        <v>0</v>
      </c>
    </row>
    <row r="33" spans="2:9" ht="15" customHeight="1" x14ac:dyDescent="0.2">
      <c r="B33" t="s">
        <v>247</v>
      </c>
      <c r="C33" s="12">
        <v>10</v>
      </c>
      <c r="D33" s="8">
        <v>2.6</v>
      </c>
      <c r="E33" s="12">
        <v>6</v>
      </c>
      <c r="F33" s="8">
        <v>2.76</v>
      </c>
      <c r="G33" s="12">
        <v>2</v>
      </c>
      <c r="H33" s="8">
        <v>1.29</v>
      </c>
      <c r="I33" s="12">
        <v>0</v>
      </c>
    </row>
    <row r="34" spans="2:9" ht="15" customHeight="1" x14ac:dyDescent="0.2">
      <c r="B34" t="s">
        <v>214</v>
      </c>
      <c r="C34" s="12">
        <v>9</v>
      </c>
      <c r="D34" s="8">
        <v>2.34</v>
      </c>
      <c r="E34" s="12">
        <v>5</v>
      </c>
      <c r="F34" s="8">
        <v>2.2999999999999998</v>
      </c>
      <c r="G34" s="12">
        <v>4</v>
      </c>
      <c r="H34" s="8">
        <v>2.58</v>
      </c>
      <c r="I34" s="12">
        <v>0</v>
      </c>
    </row>
    <row r="35" spans="2:9" ht="15" customHeight="1" x14ac:dyDescent="0.2">
      <c r="B35" t="s">
        <v>222</v>
      </c>
      <c r="C35" s="12">
        <v>8</v>
      </c>
      <c r="D35" s="8">
        <v>2.08</v>
      </c>
      <c r="E35" s="12">
        <v>4</v>
      </c>
      <c r="F35" s="8">
        <v>1.84</v>
      </c>
      <c r="G35" s="12">
        <v>4</v>
      </c>
      <c r="H35" s="8">
        <v>2.58</v>
      </c>
      <c r="I35" s="12">
        <v>0</v>
      </c>
    </row>
    <row r="36" spans="2:9" ht="15" customHeight="1" x14ac:dyDescent="0.2">
      <c r="B36" t="s">
        <v>232</v>
      </c>
      <c r="C36" s="12">
        <v>8</v>
      </c>
      <c r="D36" s="8">
        <v>2.08</v>
      </c>
      <c r="E36" s="12">
        <v>0</v>
      </c>
      <c r="F36" s="8">
        <v>0</v>
      </c>
      <c r="G36" s="12">
        <v>6</v>
      </c>
      <c r="H36" s="8">
        <v>3.87</v>
      </c>
      <c r="I36" s="12">
        <v>0</v>
      </c>
    </row>
    <row r="37" spans="2:9" ht="15" customHeight="1" x14ac:dyDescent="0.2">
      <c r="B37" t="s">
        <v>215</v>
      </c>
      <c r="C37" s="12">
        <v>6</v>
      </c>
      <c r="D37" s="8">
        <v>1.56</v>
      </c>
      <c r="E37" s="12">
        <v>1</v>
      </c>
      <c r="F37" s="8">
        <v>0.46</v>
      </c>
      <c r="G37" s="12">
        <v>5</v>
      </c>
      <c r="H37" s="8">
        <v>3.23</v>
      </c>
      <c r="I37" s="12">
        <v>0</v>
      </c>
    </row>
    <row r="38" spans="2:9" ht="15" customHeight="1" x14ac:dyDescent="0.2">
      <c r="B38" t="s">
        <v>216</v>
      </c>
      <c r="C38" s="12">
        <v>6</v>
      </c>
      <c r="D38" s="8">
        <v>1.56</v>
      </c>
      <c r="E38" s="12">
        <v>0</v>
      </c>
      <c r="F38" s="8">
        <v>0</v>
      </c>
      <c r="G38" s="12">
        <v>6</v>
      </c>
      <c r="H38" s="8">
        <v>3.87</v>
      </c>
      <c r="I38" s="12">
        <v>0</v>
      </c>
    </row>
    <row r="39" spans="2:9" ht="15" customHeight="1" x14ac:dyDescent="0.2">
      <c r="B39" t="s">
        <v>226</v>
      </c>
      <c r="C39" s="12">
        <v>6</v>
      </c>
      <c r="D39" s="8">
        <v>1.56</v>
      </c>
      <c r="E39" s="12">
        <v>0</v>
      </c>
      <c r="F39" s="8">
        <v>0</v>
      </c>
      <c r="G39" s="12">
        <v>6</v>
      </c>
      <c r="H39" s="8">
        <v>3.87</v>
      </c>
      <c r="I39" s="12">
        <v>0</v>
      </c>
    </row>
    <row r="40" spans="2:9" ht="15" customHeight="1" x14ac:dyDescent="0.2">
      <c r="B40" t="s">
        <v>220</v>
      </c>
      <c r="C40" s="12">
        <v>5</v>
      </c>
      <c r="D40" s="8">
        <v>1.3</v>
      </c>
      <c r="E40" s="12">
        <v>4</v>
      </c>
      <c r="F40" s="8">
        <v>1.84</v>
      </c>
      <c r="G40" s="12">
        <v>1</v>
      </c>
      <c r="H40" s="8">
        <v>0.65</v>
      </c>
      <c r="I40" s="12">
        <v>0</v>
      </c>
    </row>
    <row r="41" spans="2:9" ht="15" customHeight="1" x14ac:dyDescent="0.2">
      <c r="B41" t="s">
        <v>246</v>
      </c>
      <c r="C41" s="12">
        <v>5</v>
      </c>
      <c r="D41" s="8">
        <v>1.3</v>
      </c>
      <c r="E41" s="12">
        <v>0</v>
      </c>
      <c r="F41" s="8">
        <v>0</v>
      </c>
      <c r="G41" s="12">
        <v>5</v>
      </c>
      <c r="H41" s="8">
        <v>3.23</v>
      </c>
      <c r="I41" s="12">
        <v>0</v>
      </c>
    </row>
    <row r="42" spans="2:9" ht="15" customHeight="1" x14ac:dyDescent="0.2">
      <c r="B42" t="s">
        <v>225</v>
      </c>
      <c r="C42" s="12">
        <v>5</v>
      </c>
      <c r="D42" s="8">
        <v>1.3</v>
      </c>
      <c r="E42" s="12">
        <v>5</v>
      </c>
      <c r="F42" s="8">
        <v>2.2999999999999998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229</v>
      </c>
      <c r="C43" s="12">
        <v>5</v>
      </c>
      <c r="D43" s="8">
        <v>1.3</v>
      </c>
      <c r="E43" s="12">
        <v>5</v>
      </c>
      <c r="F43" s="8">
        <v>2.2999999999999998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231</v>
      </c>
      <c r="C44" s="12">
        <v>5</v>
      </c>
      <c r="D44" s="8">
        <v>1.3</v>
      </c>
      <c r="E44" s="12">
        <v>5</v>
      </c>
      <c r="F44" s="8">
        <v>2.2999999999999998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234</v>
      </c>
      <c r="C45" s="12">
        <v>5</v>
      </c>
      <c r="D45" s="8">
        <v>1.3</v>
      </c>
      <c r="E45" s="12">
        <v>1</v>
      </c>
      <c r="F45" s="8">
        <v>0.46</v>
      </c>
      <c r="G45" s="12">
        <v>3</v>
      </c>
      <c r="H45" s="8">
        <v>1.94</v>
      </c>
      <c r="I45" s="12">
        <v>1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297</v>
      </c>
      <c r="C49" s="12">
        <v>41</v>
      </c>
      <c r="D49" s="8">
        <v>10.68</v>
      </c>
      <c r="E49" s="12">
        <v>39</v>
      </c>
      <c r="F49" s="8">
        <v>17.97</v>
      </c>
      <c r="G49" s="12">
        <v>2</v>
      </c>
      <c r="H49" s="8">
        <v>1.29</v>
      </c>
      <c r="I49" s="12">
        <v>0</v>
      </c>
    </row>
    <row r="50" spans="2:9" ht="15" customHeight="1" x14ac:dyDescent="0.2">
      <c r="B50" t="s">
        <v>303</v>
      </c>
      <c r="C50" s="12">
        <v>17</v>
      </c>
      <c r="D50" s="8">
        <v>4.43</v>
      </c>
      <c r="E50" s="12">
        <v>17</v>
      </c>
      <c r="F50" s="8">
        <v>7.83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304</v>
      </c>
      <c r="C51" s="12">
        <v>17</v>
      </c>
      <c r="D51" s="8">
        <v>4.43</v>
      </c>
      <c r="E51" s="12">
        <v>16</v>
      </c>
      <c r="F51" s="8">
        <v>7.37</v>
      </c>
      <c r="G51" s="12">
        <v>1</v>
      </c>
      <c r="H51" s="8">
        <v>0.65</v>
      </c>
      <c r="I51" s="12">
        <v>0</v>
      </c>
    </row>
    <row r="52" spans="2:9" ht="15" customHeight="1" x14ac:dyDescent="0.2">
      <c r="B52" t="s">
        <v>301</v>
      </c>
      <c r="C52" s="12">
        <v>15</v>
      </c>
      <c r="D52" s="8">
        <v>3.91</v>
      </c>
      <c r="E52" s="12">
        <v>14</v>
      </c>
      <c r="F52" s="8">
        <v>6.45</v>
      </c>
      <c r="G52" s="12">
        <v>1</v>
      </c>
      <c r="H52" s="8">
        <v>0.65</v>
      </c>
      <c r="I52" s="12">
        <v>0</v>
      </c>
    </row>
    <row r="53" spans="2:9" ht="15" customHeight="1" x14ac:dyDescent="0.2">
      <c r="B53" t="s">
        <v>300</v>
      </c>
      <c r="C53" s="12">
        <v>12</v>
      </c>
      <c r="D53" s="8">
        <v>3.13</v>
      </c>
      <c r="E53" s="12">
        <v>11</v>
      </c>
      <c r="F53" s="8">
        <v>5.07</v>
      </c>
      <c r="G53" s="12">
        <v>1</v>
      </c>
      <c r="H53" s="8">
        <v>0.65</v>
      </c>
      <c r="I53" s="12">
        <v>0</v>
      </c>
    </row>
    <row r="54" spans="2:9" ht="15" customHeight="1" x14ac:dyDescent="0.2">
      <c r="B54" t="s">
        <v>339</v>
      </c>
      <c r="C54" s="12">
        <v>11</v>
      </c>
      <c r="D54" s="8">
        <v>2.86</v>
      </c>
      <c r="E54" s="12">
        <v>3</v>
      </c>
      <c r="F54" s="8">
        <v>1.38</v>
      </c>
      <c r="G54" s="12">
        <v>8</v>
      </c>
      <c r="H54" s="8">
        <v>5.16</v>
      </c>
      <c r="I54" s="12">
        <v>0</v>
      </c>
    </row>
    <row r="55" spans="2:9" ht="15" customHeight="1" x14ac:dyDescent="0.2">
      <c r="B55" t="s">
        <v>299</v>
      </c>
      <c r="C55" s="12">
        <v>10</v>
      </c>
      <c r="D55" s="8">
        <v>2.6</v>
      </c>
      <c r="E55" s="12">
        <v>7</v>
      </c>
      <c r="F55" s="8">
        <v>3.23</v>
      </c>
      <c r="G55" s="12">
        <v>2</v>
      </c>
      <c r="H55" s="8">
        <v>1.29</v>
      </c>
      <c r="I55" s="12">
        <v>1</v>
      </c>
    </row>
    <row r="56" spans="2:9" ht="15" customHeight="1" x14ac:dyDescent="0.2">
      <c r="B56" t="s">
        <v>334</v>
      </c>
      <c r="C56" s="12">
        <v>9</v>
      </c>
      <c r="D56" s="8">
        <v>2.34</v>
      </c>
      <c r="E56" s="12">
        <v>8</v>
      </c>
      <c r="F56" s="8">
        <v>3.69</v>
      </c>
      <c r="G56" s="12">
        <v>1</v>
      </c>
      <c r="H56" s="8">
        <v>0.65</v>
      </c>
      <c r="I56" s="12">
        <v>0</v>
      </c>
    </row>
    <row r="57" spans="2:9" ht="15" customHeight="1" x14ac:dyDescent="0.2">
      <c r="B57" t="s">
        <v>295</v>
      </c>
      <c r="C57" s="12">
        <v>8</v>
      </c>
      <c r="D57" s="8">
        <v>2.08</v>
      </c>
      <c r="E57" s="12">
        <v>4</v>
      </c>
      <c r="F57" s="8">
        <v>1.84</v>
      </c>
      <c r="G57" s="12">
        <v>4</v>
      </c>
      <c r="H57" s="8">
        <v>2.58</v>
      </c>
      <c r="I57" s="12">
        <v>0</v>
      </c>
    </row>
    <row r="58" spans="2:9" ht="15" customHeight="1" x14ac:dyDescent="0.2">
      <c r="B58" t="s">
        <v>342</v>
      </c>
      <c r="C58" s="12">
        <v>7</v>
      </c>
      <c r="D58" s="8">
        <v>1.82</v>
      </c>
      <c r="E58" s="12">
        <v>1</v>
      </c>
      <c r="F58" s="8">
        <v>0.46</v>
      </c>
      <c r="G58" s="12">
        <v>6</v>
      </c>
      <c r="H58" s="8">
        <v>3.87</v>
      </c>
      <c r="I58" s="12">
        <v>0</v>
      </c>
    </row>
    <row r="59" spans="2:9" ht="15" customHeight="1" x14ac:dyDescent="0.2">
      <c r="B59" t="s">
        <v>411</v>
      </c>
      <c r="C59" s="12">
        <v>7</v>
      </c>
      <c r="D59" s="8">
        <v>1.82</v>
      </c>
      <c r="E59" s="12">
        <v>6</v>
      </c>
      <c r="F59" s="8">
        <v>2.76</v>
      </c>
      <c r="G59" s="12">
        <v>1</v>
      </c>
      <c r="H59" s="8">
        <v>0.65</v>
      </c>
      <c r="I59" s="12">
        <v>0</v>
      </c>
    </row>
    <row r="60" spans="2:9" ht="15" customHeight="1" x14ac:dyDescent="0.2">
      <c r="B60" t="s">
        <v>302</v>
      </c>
      <c r="C60" s="12">
        <v>6</v>
      </c>
      <c r="D60" s="8">
        <v>1.56</v>
      </c>
      <c r="E60" s="12">
        <v>5</v>
      </c>
      <c r="F60" s="8">
        <v>2.2999999999999998</v>
      </c>
      <c r="G60" s="12">
        <v>1</v>
      </c>
      <c r="H60" s="8">
        <v>0.65</v>
      </c>
      <c r="I60" s="12">
        <v>0</v>
      </c>
    </row>
    <row r="61" spans="2:9" ht="15" customHeight="1" x14ac:dyDescent="0.2">
      <c r="B61" t="s">
        <v>328</v>
      </c>
      <c r="C61" s="12">
        <v>5</v>
      </c>
      <c r="D61" s="8">
        <v>1.3</v>
      </c>
      <c r="E61" s="12">
        <v>3</v>
      </c>
      <c r="F61" s="8">
        <v>1.38</v>
      </c>
      <c r="G61" s="12">
        <v>2</v>
      </c>
      <c r="H61" s="8">
        <v>1.29</v>
      </c>
      <c r="I61" s="12">
        <v>0</v>
      </c>
    </row>
    <row r="62" spans="2:9" ht="15" customHeight="1" x14ac:dyDescent="0.2">
      <c r="B62" t="s">
        <v>290</v>
      </c>
      <c r="C62" s="12">
        <v>5</v>
      </c>
      <c r="D62" s="8">
        <v>1.3</v>
      </c>
      <c r="E62" s="12">
        <v>1</v>
      </c>
      <c r="F62" s="8">
        <v>0.46</v>
      </c>
      <c r="G62" s="12">
        <v>4</v>
      </c>
      <c r="H62" s="8">
        <v>2.58</v>
      </c>
      <c r="I62" s="12">
        <v>0</v>
      </c>
    </row>
    <row r="63" spans="2:9" ht="15" customHeight="1" x14ac:dyDescent="0.2">
      <c r="B63" t="s">
        <v>324</v>
      </c>
      <c r="C63" s="12">
        <v>5</v>
      </c>
      <c r="D63" s="8">
        <v>1.3</v>
      </c>
      <c r="E63" s="12">
        <v>0</v>
      </c>
      <c r="F63" s="8">
        <v>0</v>
      </c>
      <c r="G63" s="12">
        <v>5</v>
      </c>
      <c r="H63" s="8">
        <v>3.23</v>
      </c>
      <c r="I63" s="12">
        <v>0</v>
      </c>
    </row>
    <row r="64" spans="2:9" ht="15" customHeight="1" x14ac:dyDescent="0.2">
      <c r="B64" t="s">
        <v>296</v>
      </c>
      <c r="C64" s="12">
        <v>5</v>
      </c>
      <c r="D64" s="8">
        <v>1.3</v>
      </c>
      <c r="E64" s="12">
        <v>1</v>
      </c>
      <c r="F64" s="8">
        <v>0.46</v>
      </c>
      <c r="G64" s="12">
        <v>4</v>
      </c>
      <c r="H64" s="8">
        <v>2.58</v>
      </c>
      <c r="I64" s="12">
        <v>0</v>
      </c>
    </row>
    <row r="65" spans="2:9" ht="15" customHeight="1" x14ac:dyDescent="0.2">
      <c r="B65" t="s">
        <v>352</v>
      </c>
      <c r="C65" s="12">
        <v>5</v>
      </c>
      <c r="D65" s="8">
        <v>1.3</v>
      </c>
      <c r="E65" s="12">
        <v>5</v>
      </c>
      <c r="F65" s="8">
        <v>2.2999999999999998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306</v>
      </c>
      <c r="C66" s="12">
        <v>5</v>
      </c>
      <c r="D66" s="8">
        <v>1.3</v>
      </c>
      <c r="E66" s="12">
        <v>5</v>
      </c>
      <c r="F66" s="8">
        <v>2.2999999999999998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288</v>
      </c>
      <c r="C67" s="12">
        <v>4</v>
      </c>
      <c r="D67" s="8">
        <v>1.04</v>
      </c>
      <c r="E67" s="12">
        <v>0</v>
      </c>
      <c r="F67" s="8">
        <v>0</v>
      </c>
      <c r="G67" s="12">
        <v>4</v>
      </c>
      <c r="H67" s="8">
        <v>2.58</v>
      </c>
      <c r="I67" s="12">
        <v>0</v>
      </c>
    </row>
    <row r="68" spans="2:9" ht="15" customHeight="1" x14ac:dyDescent="0.2">
      <c r="B68" t="s">
        <v>343</v>
      </c>
      <c r="C68" s="12">
        <v>4</v>
      </c>
      <c r="D68" s="8">
        <v>1.04</v>
      </c>
      <c r="E68" s="12">
        <v>2</v>
      </c>
      <c r="F68" s="8">
        <v>0.92</v>
      </c>
      <c r="G68" s="12">
        <v>2</v>
      </c>
      <c r="H68" s="8">
        <v>1.29</v>
      </c>
      <c r="I68" s="12">
        <v>0</v>
      </c>
    </row>
    <row r="69" spans="2:9" ht="15" customHeight="1" x14ac:dyDescent="0.2">
      <c r="B69" t="s">
        <v>380</v>
      </c>
      <c r="C69" s="12">
        <v>4</v>
      </c>
      <c r="D69" s="8">
        <v>1.04</v>
      </c>
      <c r="E69" s="12">
        <v>1</v>
      </c>
      <c r="F69" s="8">
        <v>0.46</v>
      </c>
      <c r="G69" s="12">
        <v>3</v>
      </c>
      <c r="H69" s="8">
        <v>1.94</v>
      </c>
      <c r="I69" s="12">
        <v>0</v>
      </c>
    </row>
    <row r="70" spans="2:9" ht="15" customHeight="1" x14ac:dyDescent="0.2">
      <c r="B70" t="s">
        <v>329</v>
      </c>
      <c r="C70" s="12">
        <v>4</v>
      </c>
      <c r="D70" s="8">
        <v>1.04</v>
      </c>
      <c r="E70" s="12">
        <v>4</v>
      </c>
      <c r="F70" s="8">
        <v>1.84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293</v>
      </c>
      <c r="C71" s="12">
        <v>4</v>
      </c>
      <c r="D71" s="8">
        <v>1.04</v>
      </c>
      <c r="E71" s="12">
        <v>2</v>
      </c>
      <c r="F71" s="8">
        <v>0.92</v>
      </c>
      <c r="G71" s="12">
        <v>2</v>
      </c>
      <c r="H71" s="8">
        <v>1.29</v>
      </c>
      <c r="I71" s="12">
        <v>0</v>
      </c>
    </row>
    <row r="72" spans="2:9" ht="15" customHeight="1" x14ac:dyDescent="0.2">
      <c r="B72" t="s">
        <v>335</v>
      </c>
      <c r="C72" s="12">
        <v>4</v>
      </c>
      <c r="D72" s="8">
        <v>1.04</v>
      </c>
      <c r="E72" s="12">
        <v>2</v>
      </c>
      <c r="F72" s="8">
        <v>0.92</v>
      </c>
      <c r="G72" s="12">
        <v>2</v>
      </c>
      <c r="H72" s="8">
        <v>1.29</v>
      </c>
      <c r="I72" s="12">
        <v>0</v>
      </c>
    </row>
    <row r="73" spans="2:9" ht="15" customHeight="1" x14ac:dyDescent="0.2">
      <c r="B73" t="s">
        <v>416</v>
      </c>
      <c r="C73" s="12">
        <v>4</v>
      </c>
      <c r="D73" s="8">
        <v>1.04</v>
      </c>
      <c r="E73" s="12">
        <v>4</v>
      </c>
      <c r="F73" s="8">
        <v>1.84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327</v>
      </c>
      <c r="C74" s="12">
        <v>4</v>
      </c>
      <c r="D74" s="8">
        <v>1.04</v>
      </c>
      <c r="E74" s="12">
        <v>4</v>
      </c>
      <c r="F74" s="8">
        <v>1.84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305</v>
      </c>
      <c r="C75" s="12">
        <v>4</v>
      </c>
      <c r="D75" s="8">
        <v>1.04</v>
      </c>
      <c r="E75" s="12">
        <v>4</v>
      </c>
      <c r="F75" s="8">
        <v>1.84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307</v>
      </c>
      <c r="C76" s="12">
        <v>4</v>
      </c>
      <c r="D76" s="8">
        <v>1.04</v>
      </c>
      <c r="E76" s="12">
        <v>4</v>
      </c>
      <c r="F76" s="8">
        <v>1.84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318</v>
      </c>
      <c r="C77" s="12">
        <v>4</v>
      </c>
      <c r="D77" s="8">
        <v>1.04</v>
      </c>
      <c r="E77" s="12">
        <v>0</v>
      </c>
      <c r="F77" s="8">
        <v>0</v>
      </c>
      <c r="G77" s="12">
        <v>3</v>
      </c>
      <c r="H77" s="8">
        <v>1.94</v>
      </c>
      <c r="I77" s="12">
        <v>1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BCEAA-AB0E-4E09-8BA7-4BF7186D29FF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151</v>
      </c>
      <c r="D6" s="8">
        <v>10.98</v>
      </c>
      <c r="E6" s="12">
        <v>11</v>
      </c>
      <c r="F6" s="8">
        <v>2.73</v>
      </c>
      <c r="G6" s="12">
        <v>140</v>
      </c>
      <c r="H6" s="8">
        <v>14.48</v>
      </c>
      <c r="I6" s="12">
        <v>0</v>
      </c>
    </row>
    <row r="7" spans="2:9" ht="15" customHeight="1" x14ac:dyDescent="0.2">
      <c r="B7" t="s">
        <v>192</v>
      </c>
      <c r="C7" s="12">
        <v>40</v>
      </c>
      <c r="D7" s="8">
        <v>2.91</v>
      </c>
      <c r="E7" s="12">
        <v>7</v>
      </c>
      <c r="F7" s="8">
        <v>1.74</v>
      </c>
      <c r="G7" s="12">
        <v>33</v>
      </c>
      <c r="H7" s="8">
        <v>3.41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7.0000000000000007E-2</v>
      </c>
      <c r="E8" s="12">
        <v>0</v>
      </c>
      <c r="F8" s="8">
        <v>0</v>
      </c>
      <c r="G8" s="12">
        <v>1</v>
      </c>
      <c r="H8" s="8">
        <v>0.1</v>
      </c>
      <c r="I8" s="12">
        <v>0</v>
      </c>
    </row>
    <row r="9" spans="2:9" ht="15" customHeight="1" x14ac:dyDescent="0.2">
      <c r="B9" t="s">
        <v>194</v>
      </c>
      <c r="C9" s="12">
        <v>33</v>
      </c>
      <c r="D9" s="8">
        <v>2.4</v>
      </c>
      <c r="E9" s="12">
        <v>0</v>
      </c>
      <c r="F9" s="8">
        <v>0</v>
      </c>
      <c r="G9" s="12">
        <v>33</v>
      </c>
      <c r="H9" s="8">
        <v>3.41</v>
      </c>
      <c r="I9" s="12">
        <v>0</v>
      </c>
    </row>
    <row r="10" spans="2:9" ht="15" customHeight="1" x14ac:dyDescent="0.2">
      <c r="B10" t="s">
        <v>195</v>
      </c>
      <c r="C10" s="12">
        <v>23</v>
      </c>
      <c r="D10" s="8">
        <v>1.67</v>
      </c>
      <c r="E10" s="12">
        <v>7</v>
      </c>
      <c r="F10" s="8">
        <v>1.74</v>
      </c>
      <c r="G10" s="12">
        <v>16</v>
      </c>
      <c r="H10" s="8">
        <v>1.65</v>
      </c>
      <c r="I10" s="12">
        <v>0</v>
      </c>
    </row>
    <row r="11" spans="2:9" ht="15" customHeight="1" x14ac:dyDescent="0.2">
      <c r="B11" t="s">
        <v>196</v>
      </c>
      <c r="C11" s="12">
        <v>300</v>
      </c>
      <c r="D11" s="8">
        <v>21.82</v>
      </c>
      <c r="E11" s="12">
        <v>40</v>
      </c>
      <c r="F11" s="8">
        <v>9.93</v>
      </c>
      <c r="G11" s="12">
        <v>259</v>
      </c>
      <c r="H11" s="8">
        <v>26.78</v>
      </c>
      <c r="I11" s="12">
        <v>1</v>
      </c>
    </row>
    <row r="12" spans="2:9" ht="15" customHeight="1" x14ac:dyDescent="0.2">
      <c r="B12" t="s">
        <v>197</v>
      </c>
      <c r="C12" s="12">
        <v>13</v>
      </c>
      <c r="D12" s="8">
        <v>0.95</v>
      </c>
      <c r="E12" s="12">
        <v>2</v>
      </c>
      <c r="F12" s="8">
        <v>0.5</v>
      </c>
      <c r="G12" s="12">
        <v>11</v>
      </c>
      <c r="H12" s="8">
        <v>1.1399999999999999</v>
      </c>
      <c r="I12" s="12">
        <v>0</v>
      </c>
    </row>
    <row r="13" spans="2:9" ht="15" customHeight="1" x14ac:dyDescent="0.2">
      <c r="B13" t="s">
        <v>198</v>
      </c>
      <c r="C13" s="12">
        <v>239</v>
      </c>
      <c r="D13" s="8">
        <v>17.38</v>
      </c>
      <c r="E13" s="12">
        <v>63</v>
      </c>
      <c r="F13" s="8">
        <v>15.63</v>
      </c>
      <c r="G13" s="12">
        <v>176</v>
      </c>
      <c r="H13" s="8">
        <v>18.2</v>
      </c>
      <c r="I13" s="12">
        <v>0</v>
      </c>
    </row>
    <row r="14" spans="2:9" ht="15" customHeight="1" x14ac:dyDescent="0.2">
      <c r="B14" t="s">
        <v>199</v>
      </c>
      <c r="C14" s="12">
        <v>75</v>
      </c>
      <c r="D14" s="8">
        <v>5.45</v>
      </c>
      <c r="E14" s="12">
        <v>17</v>
      </c>
      <c r="F14" s="8">
        <v>4.22</v>
      </c>
      <c r="G14" s="12">
        <v>58</v>
      </c>
      <c r="H14" s="8">
        <v>6</v>
      </c>
      <c r="I14" s="12">
        <v>0</v>
      </c>
    </row>
    <row r="15" spans="2:9" ht="15" customHeight="1" x14ac:dyDescent="0.2">
      <c r="B15" t="s">
        <v>200</v>
      </c>
      <c r="C15" s="12">
        <v>145</v>
      </c>
      <c r="D15" s="8">
        <v>10.55</v>
      </c>
      <c r="E15" s="12">
        <v>76</v>
      </c>
      <c r="F15" s="8">
        <v>18.86</v>
      </c>
      <c r="G15" s="12">
        <v>69</v>
      </c>
      <c r="H15" s="8">
        <v>7.14</v>
      </c>
      <c r="I15" s="12">
        <v>0</v>
      </c>
    </row>
    <row r="16" spans="2:9" ht="15" customHeight="1" x14ac:dyDescent="0.2">
      <c r="B16" t="s">
        <v>201</v>
      </c>
      <c r="C16" s="12">
        <v>167</v>
      </c>
      <c r="D16" s="8">
        <v>12.15</v>
      </c>
      <c r="E16" s="12">
        <v>102</v>
      </c>
      <c r="F16" s="8">
        <v>25.31</v>
      </c>
      <c r="G16" s="12">
        <v>65</v>
      </c>
      <c r="H16" s="8">
        <v>6.72</v>
      </c>
      <c r="I16" s="12">
        <v>0</v>
      </c>
    </row>
    <row r="17" spans="2:9" ht="15" customHeight="1" x14ac:dyDescent="0.2">
      <c r="B17" t="s">
        <v>202</v>
      </c>
      <c r="C17" s="12">
        <v>43</v>
      </c>
      <c r="D17" s="8">
        <v>3.13</v>
      </c>
      <c r="E17" s="12">
        <v>26</v>
      </c>
      <c r="F17" s="8">
        <v>6.45</v>
      </c>
      <c r="G17" s="12">
        <v>17</v>
      </c>
      <c r="H17" s="8">
        <v>1.76</v>
      </c>
      <c r="I17" s="12">
        <v>0</v>
      </c>
    </row>
    <row r="18" spans="2:9" ht="15" customHeight="1" x14ac:dyDescent="0.2">
      <c r="B18" t="s">
        <v>203</v>
      </c>
      <c r="C18" s="12">
        <v>88</v>
      </c>
      <c r="D18" s="8">
        <v>6.4</v>
      </c>
      <c r="E18" s="12">
        <v>47</v>
      </c>
      <c r="F18" s="8">
        <v>11.66</v>
      </c>
      <c r="G18" s="12">
        <v>41</v>
      </c>
      <c r="H18" s="8">
        <v>4.24</v>
      </c>
      <c r="I18" s="12">
        <v>0</v>
      </c>
    </row>
    <row r="19" spans="2:9" ht="15" customHeight="1" x14ac:dyDescent="0.2">
      <c r="B19" t="s">
        <v>204</v>
      </c>
      <c r="C19" s="12">
        <v>57</v>
      </c>
      <c r="D19" s="8">
        <v>4.1500000000000004</v>
      </c>
      <c r="E19" s="12">
        <v>5</v>
      </c>
      <c r="F19" s="8">
        <v>1.24</v>
      </c>
      <c r="G19" s="12">
        <v>48</v>
      </c>
      <c r="H19" s="8">
        <v>4.96</v>
      </c>
      <c r="I19" s="12">
        <v>4</v>
      </c>
    </row>
    <row r="20" spans="2:9" ht="15" customHeight="1" x14ac:dyDescent="0.2">
      <c r="B20" s="9" t="s">
        <v>529</v>
      </c>
      <c r="C20" s="12">
        <f>SUM(LTBL_01108[総数／事業所数])</f>
        <v>1375</v>
      </c>
      <c r="E20" s="12">
        <f>SUBTOTAL(109,LTBL_01108[個人／事業所数])</f>
        <v>403</v>
      </c>
      <c r="G20" s="12">
        <f>SUBTOTAL(109,LTBL_01108[法人／事業所数])</f>
        <v>967</v>
      </c>
      <c r="I20" s="12">
        <f>SUBTOTAL(109,LTBL_01108[法人以外の団体／事業所数])</f>
        <v>5</v>
      </c>
    </row>
    <row r="21" spans="2:9" ht="15" customHeight="1" x14ac:dyDescent="0.2">
      <c r="E21" s="11">
        <f>LTBL_01108[[#Totals],[個人／事業所数]]/LTBL_01108[[#Totals],[総数／事業所数]]</f>
        <v>0.29309090909090907</v>
      </c>
      <c r="G21" s="11">
        <f>LTBL_01108[[#Totals],[法人／事業所数]]/LTBL_01108[[#Totals],[総数／事業所数]]</f>
        <v>0.70327272727272727</v>
      </c>
      <c r="I21" s="11">
        <f>LTBL_01108[[#Totals],[法人以外の団体／事業所数]]/LTBL_01108[[#Totals],[総数／事業所数]]</f>
        <v>3.6363636363636364E-3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211</v>
      </c>
      <c r="D24" s="8">
        <v>15.35</v>
      </c>
      <c r="E24" s="12">
        <v>63</v>
      </c>
      <c r="F24" s="8">
        <v>15.63</v>
      </c>
      <c r="G24" s="12">
        <v>148</v>
      </c>
      <c r="H24" s="8">
        <v>15.31</v>
      </c>
      <c r="I24" s="12">
        <v>0</v>
      </c>
    </row>
    <row r="25" spans="2:9" ht="15" customHeight="1" x14ac:dyDescent="0.2">
      <c r="B25" t="s">
        <v>228</v>
      </c>
      <c r="C25" s="12">
        <v>146</v>
      </c>
      <c r="D25" s="8">
        <v>10.62</v>
      </c>
      <c r="E25" s="12">
        <v>98</v>
      </c>
      <c r="F25" s="8">
        <v>24.32</v>
      </c>
      <c r="G25" s="12">
        <v>48</v>
      </c>
      <c r="H25" s="8">
        <v>4.96</v>
      </c>
      <c r="I25" s="12">
        <v>0</v>
      </c>
    </row>
    <row r="26" spans="2:9" ht="15" customHeight="1" x14ac:dyDescent="0.2">
      <c r="B26" t="s">
        <v>227</v>
      </c>
      <c r="C26" s="12">
        <v>115</v>
      </c>
      <c r="D26" s="8">
        <v>8.36</v>
      </c>
      <c r="E26" s="12">
        <v>73</v>
      </c>
      <c r="F26" s="8">
        <v>18.11</v>
      </c>
      <c r="G26" s="12">
        <v>42</v>
      </c>
      <c r="H26" s="8">
        <v>4.34</v>
      </c>
      <c r="I26" s="12">
        <v>0</v>
      </c>
    </row>
    <row r="27" spans="2:9" ht="15" customHeight="1" x14ac:dyDescent="0.2">
      <c r="B27" t="s">
        <v>223</v>
      </c>
      <c r="C27" s="12">
        <v>73</v>
      </c>
      <c r="D27" s="8">
        <v>5.31</v>
      </c>
      <c r="E27" s="12">
        <v>16</v>
      </c>
      <c r="F27" s="8">
        <v>3.97</v>
      </c>
      <c r="G27" s="12">
        <v>57</v>
      </c>
      <c r="H27" s="8">
        <v>5.89</v>
      </c>
      <c r="I27" s="12">
        <v>0</v>
      </c>
    </row>
    <row r="28" spans="2:9" ht="15" customHeight="1" x14ac:dyDescent="0.2">
      <c r="B28" t="s">
        <v>231</v>
      </c>
      <c r="C28" s="12">
        <v>66</v>
      </c>
      <c r="D28" s="8">
        <v>4.8</v>
      </c>
      <c r="E28" s="12">
        <v>46</v>
      </c>
      <c r="F28" s="8">
        <v>11.41</v>
      </c>
      <c r="G28" s="12">
        <v>20</v>
      </c>
      <c r="H28" s="8">
        <v>2.0699999999999998</v>
      </c>
      <c r="I28" s="12">
        <v>0</v>
      </c>
    </row>
    <row r="29" spans="2:9" ht="15" customHeight="1" x14ac:dyDescent="0.2">
      <c r="B29" t="s">
        <v>213</v>
      </c>
      <c r="C29" s="12">
        <v>55</v>
      </c>
      <c r="D29" s="8">
        <v>4</v>
      </c>
      <c r="E29" s="12">
        <v>0</v>
      </c>
      <c r="F29" s="8">
        <v>0</v>
      </c>
      <c r="G29" s="12">
        <v>55</v>
      </c>
      <c r="H29" s="8">
        <v>5.69</v>
      </c>
      <c r="I29" s="12">
        <v>0</v>
      </c>
    </row>
    <row r="30" spans="2:9" ht="15" customHeight="1" x14ac:dyDescent="0.2">
      <c r="B30" t="s">
        <v>214</v>
      </c>
      <c r="C30" s="12">
        <v>52</v>
      </c>
      <c r="D30" s="8">
        <v>3.78</v>
      </c>
      <c r="E30" s="12">
        <v>7</v>
      </c>
      <c r="F30" s="8">
        <v>1.74</v>
      </c>
      <c r="G30" s="12">
        <v>45</v>
      </c>
      <c r="H30" s="8">
        <v>4.6500000000000004</v>
      </c>
      <c r="I30" s="12">
        <v>0</v>
      </c>
    </row>
    <row r="31" spans="2:9" ht="15" customHeight="1" x14ac:dyDescent="0.2">
      <c r="B31" t="s">
        <v>220</v>
      </c>
      <c r="C31" s="12">
        <v>49</v>
      </c>
      <c r="D31" s="8">
        <v>3.56</v>
      </c>
      <c r="E31" s="12">
        <v>2</v>
      </c>
      <c r="F31" s="8">
        <v>0.5</v>
      </c>
      <c r="G31" s="12">
        <v>47</v>
      </c>
      <c r="H31" s="8">
        <v>4.8600000000000003</v>
      </c>
      <c r="I31" s="12">
        <v>0</v>
      </c>
    </row>
    <row r="32" spans="2:9" ht="15" customHeight="1" x14ac:dyDescent="0.2">
      <c r="B32" t="s">
        <v>215</v>
      </c>
      <c r="C32" s="12">
        <v>44</v>
      </c>
      <c r="D32" s="8">
        <v>3.2</v>
      </c>
      <c r="E32" s="12">
        <v>4</v>
      </c>
      <c r="F32" s="8">
        <v>0.99</v>
      </c>
      <c r="G32" s="12">
        <v>40</v>
      </c>
      <c r="H32" s="8">
        <v>4.1399999999999997</v>
      </c>
      <c r="I32" s="12">
        <v>0</v>
      </c>
    </row>
    <row r="33" spans="2:9" ht="15" customHeight="1" x14ac:dyDescent="0.2">
      <c r="B33" t="s">
        <v>230</v>
      </c>
      <c r="C33" s="12">
        <v>43</v>
      </c>
      <c r="D33" s="8">
        <v>3.13</v>
      </c>
      <c r="E33" s="12">
        <v>26</v>
      </c>
      <c r="F33" s="8">
        <v>6.45</v>
      </c>
      <c r="G33" s="12">
        <v>17</v>
      </c>
      <c r="H33" s="8">
        <v>1.76</v>
      </c>
      <c r="I33" s="12">
        <v>0</v>
      </c>
    </row>
    <row r="34" spans="2:9" ht="15" customHeight="1" x14ac:dyDescent="0.2">
      <c r="B34" t="s">
        <v>225</v>
      </c>
      <c r="C34" s="12">
        <v>35</v>
      </c>
      <c r="D34" s="8">
        <v>2.5499999999999998</v>
      </c>
      <c r="E34" s="12">
        <v>14</v>
      </c>
      <c r="F34" s="8">
        <v>3.47</v>
      </c>
      <c r="G34" s="12">
        <v>21</v>
      </c>
      <c r="H34" s="8">
        <v>2.17</v>
      </c>
      <c r="I34" s="12">
        <v>0</v>
      </c>
    </row>
    <row r="35" spans="2:9" ht="15" customHeight="1" x14ac:dyDescent="0.2">
      <c r="B35" t="s">
        <v>226</v>
      </c>
      <c r="C35" s="12">
        <v>35</v>
      </c>
      <c r="D35" s="8">
        <v>2.5499999999999998</v>
      </c>
      <c r="E35" s="12">
        <v>3</v>
      </c>
      <c r="F35" s="8">
        <v>0.74</v>
      </c>
      <c r="G35" s="12">
        <v>32</v>
      </c>
      <c r="H35" s="8">
        <v>3.31</v>
      </c>
      <c r="I35" s="12">
        <v>0</v>
      </c>
    </row>
    <row r="36" spans="2:9" ht="15" customHeight="1" x14ac:dyDescent="0.2">
      <c r="B36" t="s">
        <v>218</v>
      </c>
      <c r="C36" s="12">
        <v>34</v>
      </c>
      <c r="D36" s="8">
        <v>2.4700000000000002</v>
      </c>
      <c r="E36" s="12">
        <v>0</v>
      </c>
      <c r="F36" s="8">
        <v>0</v>
      </c>
      <c r="G36" s="12">
        <v>34</v>
      </c>
      <c r="H36" s="8">
        <v>3.52</v>
      </c>
      <c r="I36" s="12">
        <v>0</v>
      </c>
    </row>
    <row r="37" spans="2:9" ht="15" customHeight="1" x14ac:dyDescent="0.2">
      <c r="B37" t="s">
        <v>219</v>
      </c>
      <c r="C37" s="12">
        <v>34</v>
      </c>
      <c r="D37" s="8">
        <v>2.4700000000000002</v>
      </c>
      <c r="E37" s="12">
        <v>3</v>
      </c>
      <c r="F37" s="8">
        <v>0.74</v>
      </c>
      <c r="G37" s="12">
        <v>31</v>
      </c>
      <c r="H37" s="8">
        <v>3.21</v>
      </c>
      <c r="I37" s="12">
        <v>0</v>
      </c>
    </row>
    <row r="38" spans="2:9" ht="15" customHeight="1" x14ac:dyDescent="0.2">
      <c r="B38" t="s">
        <v>221</v>
      </c>
      <c r="C38" s="12">
        <v>31</v>
      </c>
      <c r="D38" s="8">
        <v>2.25</v>
      </c>
      <c r="E38" s="12">
        <v>5</v>
      </c>
      <c r="F38" s="8">
        <v>1.24</v>
      </c>
      <c r="G38" s="12">
        <v>25</v>
      </c>
      <c r="H38" s="8">
        <v>2.59</v>
      </c>
      <c r="I38" s="12">
        <v>1</v>
      </c>
    </row>
    <row r="39" spans="2:9" ht="15" customHeight="1" x14ac:dyDescent="0.2">
      <c r="B39" t="s">
        <v>235</v>
      </c>
      <c r="C39" s="12">
        <v>28</v>
      </c>
      <c r="D39" s="8">
        <v>2.04</v>
      </c>
      <c r="E39" s="12">
        <v>0</v>
      </c>
      <c r="F39" s="8">
        <v>0</v>
      </c>
      <c r="G39" s="12">
        <v>28</v>
      </c>
      <c r="H39" s="8">
        <v>2.9</v>
      </c>
      <c r="I39" s="12">
        <v>0</v>
      </c>
    </row>
    <row r="40" spans="2:9" ht="15" customHeight="1" x14ac:dyDescent="0.2">
      <c r="B40" t="s">
        <v>222</v>
      </c>
      <c r="C40" s="12">
        <v>28</v>
      </c>
      <c r="D40" s="8">
        <v>2.04</v>
      </c>
      <c r="E40" s="12">
        <v>7</v>
      </c>
      <c r="F40" s="8">
        <v>1.74</v>
      </c>
      <c r="G40" s="12">
        <v>21</v>
      </c>
      <c r="H40" s="8">
        <v>2.17</v>
      </c>
      <c r="I40" s="12">
        <v>0</v>
      </c>
    </row>
    <row r="41" spans="2:9" ht="15" customHeight="1" x14ac:dyDescent="0.2">
      <c r="B41" t="s">
        <v>239</v>
      </c>
      <c r="C41" s="12">
        <v>25</v>
      </c>
      <c r="D41" s="8">
        <v>1.82</v>
      </c>
      <c r="E41" s="12">
        <v>3</v>
      </c>
      <c r="F41" s="8">
        <v>0.74</v>
      </c>
      <c r="G41" s="12">
        <v>22</v>
      </c>
      <c r="H41" s="8">
        <v>2.2799999999999998</v>
      </c>
      <c r="I41" s="12">
        <v>0</v>
      </c>
    </row>
    <row r="42" spans="2:9" ht="15" customHeight="1" x14ac:dyDescent="0.2">
      <c r="B42" t="s">
        <v>234</v>
      </c>
      <c r="C42" s="12">
        <v>24</v>
      </c>
      <c r="D42" s="8">
        <v>1.75</v>
      </c>
      <c r="E42" s="12">
        <v>2</v>
      </c>
      <c r="F42" s="8">
        <v>0.5</v>
      </c>
      <c r="G42" s="12">
        <v>22</v>
      </c>
      <c r="H42" s="8">
        <v>2.2799999999999998</v>
      </c>
      <c r="I42" s="12">
        <v>0</v>
      </c>
    </row>
    <row r="43" spans="2:9" ht="15" customHeight="1" x14ac:dyDescent="0.2">
      <c r="B43" t="s">
        <v>232</v>
      </c>
      <c r="C43" s="12">
        <v>22</v>
      </c>
      <c r="D43" s="8">
        <v>1.6</v>
      </c>
      <c r="E43" s="12">
        <v>1</v>
      </c>
      <c r="F43" s="8">
        <v>0.25</v>
      </c>
      <c r="G43" s="12">
        <v>21</v>
      </c>
      <c r="H43" s="8">
        <v>2.17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152</v>
      </c>
      <c r="D47" s="8">
        <v>11.05</v>
      </c>
      <c r="E47" s="12">
        <v>58</v>
      </c>
      <c r="F47" s="8">
        <v>14.39</v>
      </c>
      <c r="G47" s="12">
        <v>94</v>
      </c>
      <c r="H47" s="8">
        <v>9.7200000000000006</v>
      </c>
      <c r="I47" s="12">
        <v>0</v>
      </c>
    </row>
    <row r="48" spans="2:9" ht="15" customHeight="1" x14ac:dyDescent="0.2">
      <c r="B48" t="s">
        <v>304</v>
      </c>
      <c r="C48" s="12">
        <v>61</v>
      </c>
      <c r="D48" s="8">
        <v>4.4400000000000004</v>
      </c>
      <c r="E48" s="12">
        <v>47</v>
      </c>
      <c r="F48" s="8">
        <v>11.66</v>
      </c>
      <c r="G48" s="12">
        <v>14</v>
      </c>
      <c r="H48" s="8">
        <v>1.45</v>
      </c>
      <c r="I48" s="12">
        <v>0</v>
      </c>
    </row>
    <row r="49" spans="2:9" ht="15" customHeight="1" x14ac:dyDescent="0.2">
      <c r="B49" t="s">
        <v>303</v>
      </c>
      <c r="C49" s="12">
        <v>57</v>
      </c>
      <c r="D49" s="8">
        <v>4.1500000000000004</v>
      </c>
      <c r="E49" s="12">
        <v>46</v>
      </c>
      <c r="F49" s="8">
        <v>11.41</v>
      </c>
      <c r="G49" s="12">
        <v>11</v>
      </c>
      <c r="H49" s="8">
        <v>1.1399999999999999</v>
      </c>
      <c r="I49" s="12">
        <v>0</v>
      </c>
    </row>
    <row r="50" spans="2:9" ht="15" customHeight="1" x14ac:dyDescent="0.2">
      <c r="B50" t="s">
        <v>296</v>
      </c>
      <c r="C50" s="12">
        <v>37</v>
      </c>
      <c r="D50" s="8">
        <v>2.69</v>
      </c>
      <c r="E50" s="12">
        <v>3</v>
      </c>
      <c r="F50" s="8">
        <v>0.74</v>
      </c>
      <c r="G50" s="12">
        <v>34</v>
      </c>
      <c r="H50" s="8">
        <v>3.52</v>
      </c>
      <c r="I50" s="12">
        <v>0</v>
      </c>
    </row>
    <row r="51" spans="2:9" ht="15" customHeight="1" x14ac:dyDescent="0.2">
      <c r="B51" t="s">
        <v>306</v>
      </c>
      <c r="C51" s="12">
        <v>36</v>
      </c>
      <c r="D51" s="8">
        <v>2.62</v>
      </c>
      <c r="E51" s="12">
        <v>27</v>
      </c>
      <c r="F51" s="8">
        <v>6.7</v>
      </c>
      <c r="G51" s="12">
        <v>9</v>
      </c>
      <c r="H51" s="8">
        <v>0.93</v>
      </c>
      <c r="I51" s="12">
        <v>0</v>
      </c>
    </row>
    <row r="52" spans="2:9" ht="15" customHeight="1" x14ac:dyDescent="0.2">
      <c r="B52" t="s">
        <v>301</v>
      </c>
      <c r="C52" s="12">
        <v>30</v>
      </c>
      <c r="D52" s="8">
        <v>2.1800000000000002</v>
      </c>
      <c r="E52" s="12">
        <v>25</v>
      </c>
      <c r="F52" s="8">
        <v>6.2</v>
      </c>
      <c r="G52" s="12">
        <v>5</v>
      </c>
      <c r="H52" s="8">
        <v>0.52</v>
      </c>
      <c r="I52" s="12">
        <v>0</v>
      </c>
    </row>
    <row r="53" spans="2:9" ht="15" customHeight="1" x14ac:dyDescent="0.2">
      <c r="B53" t="s">
        <v>294</v>
      </c>
      <c r="C53" s="12">
        <v>28</v>
      </c>
      <c r="D53" s="8">
        <v>2.04</v>
      </c>
      <c r="E53" s="12">
        <v>8</v>
      </c>
      <c r="F53" s="8">
        <v>1.99</v>
      </c>
      <c r="G53" s="12">
        <v>20</v>
      </c>
      <c r="H53" s="8">
        <v>2.0699999999999998</v>
      </c>
      <c r="I53" s="12">
        <v>0</v>
      </c>
    </row>
    <row r="54" spans="2:9" ht="15" customHeight="1" x14ac:dyDescent="0.2">
      <c r="B54" t="s">
        <v>299</v>
      </c>
      <c r="C54" s="12">
        <v>27</v>
      </c>
      <c r="D54" s="8">
        <v>1.96</v>
      </c>
      <c r="E54" s="12">
        <v>14</v>
      </c>
      <c r="F54" s="8">
        <v>3.47</v>
      </c>
      <c r="G54" s="12">
        <v>13</v>
      </c>
      <c r="H54" s="8">
        <v>1.34</v>
      </c>
      <c r="I54" s="12">
        <v>0</v>
      </c>
    </row>
    <row r="55" spans="2:9" ht="15" customHeight="1" x14ac:dyDescent="0.2">
      <c r="B55" t="s">
        <v>313</v>
      </c>
      <c r="C55" s="12">
        <v>26</v>
      </c>
      <c r="D55" s="8">
        <v>1.89</v>
      </c>
      <c r="E55" s="12">
        <v>0</v>
      </c>
      <c r="F55" s="8">
        <v>0</v>
      </c>
      <c r="G55" s="12">
        <v>26</v>
      </c>
      <c r="H55" s="8">
        <v>2.69</v>
      </c>
      <c r="I55" s="12">
        <v>0</v>
      </c>
    </row>
    <row r="56" spans="2:9" ht="15" customHeight="1" x14ac:dyDescent="0.2">
      <c r="B56" t="s">
        <v>323</v>
      </c>
      <c r="C56" s="12">
        <v>26</v>
      </c>
      <c r="D56" s="8">
        <v>1.89</v>
      </c>
      <c r="E56" s="12">
        <v>4</v>
      </c>
      <c r="F56" s="8">
        <v>0.99</v>
      </c>
      <c r="G56" s="12">
        <v>22</v>
      </c>
      <c r="H56" s="8">
        <v>2.2799999999999998</v>
      </c>
      <c r="I56" s="12">
        <v>0</v>
      </c>
    </row>
    <row r="57" spans="2:9" ht="15" customHeight="1" x14ac:dyDescent="0.2">
      <c r="B57" t="s">
        <v>305</v>
      </c>
      <c r="C57" s="12">
        <v>26</v>
      </c>
      <c r="D57" s="8">
        <v>1.89</v>
      </c>
      <c r="E57" s="12">
        <v>17</v>
      </c>
      <c r="F57" s="8">
        <v>4.22</v>
      </c>
      <c r="G57" s="12">
        <v>9</v>
      </c>
      <c r="H57" s="8">
        <v>0.93</v>
      </c>
      <c r="I57" s="12">
        <v>0</v>
      </c>
    </row>
    <row r="58" spans="2:9" ht="15" customHeight="1" x14ac:dyDescent="0.2">
      <c r="B58" t="s">
        <v>312</v>
      </c>
      <c r="C58" s="12">
        <v>25</v>
      </c>
      <c r="D58" s="8">
        <v>1.82</v>
      </c>
      <c r="E58" s="12">
        <v>19</v>
      </c>
      <c r="F58" s="8">
        <v>4.71</v>
      </c>
      <c r="G58" s="12">
        <v>6</v>
      </c>
      <c r="H58" s="8">
        <v>0.62</v>
      </c>
      <c r="I58" s="12">
        <v>0</v>
      </c>
    </row>
    <row r="59" spans="2:9" ht="15" customHeight="1" x14ac:dyDescent="0.2">
      <c r="B59" t="s">
        <v>309</v>
      </c>
      <c r="C59" s="12">
        <v>24</v>
      </c>
      <c r="D59" s="8">
        <v>1.75</v>
      </c>
      <c r="E59" s="12">
        <v>2</v>
      </c>
      <c r="F59" s="8">
        <v>0.5</v>
      </c>
      <c r="G59" s="12">
        <v>22</v>
      </c>
      <c r="H59" s="8">
        <v>2.2799999999999998</v>
      </c>
      <c r="I59" s="12">
        <v>0</v>
      </c>
    </row>
    <row r="60" spans="2:9" ht="15" customHeight="1" x14ac:dyDescent="0.2">
      <c r="B60" t="s">
        <v>298</v>
      </c>
      <c r="C60" s="12">
        <v>24</v>
      </c>
      <c r="D60" s="8">
        <v>1.75</v>
      </c>
      <c r="E60" s="12">
        <v>0</v>
      </c>
      <c r="F60" s="8">
        <v>0</v>
      </c>
      <c r="G60" s="12">
        <v>24</v>
      </c>
      <c r="H60" s="8">
        <v>2.48</v>
      </c>
      <c r="I60" s="12">
        <v>0</v>
      </c>
    </row>
    <row r="61" spans="2:9" ht="15" customHeight="1" x14ac:dyDescent="0.2">
      <c r="B61" t="s">
        <v>314</v>
      </c>
      <c r="C61" s="12">
        <v>23</v>
      </c>
      <c r="D61" s="8">
        <v>1.67</v>
      </c>
      <c r="E61" s="12">
        <v>0</v>
      </c>
      <c r="F61" s="8">
        <v>0</v>
      </c>
      <c r="G61" s="12">
        <v>23</v>
      </c>
      <c r="H61" s="8">
        <v>2.38</v>
      </c>
      <c r="I61" s="12">
        <v>0</v>
      </c>
    </row>
    <row r="62" spans="2:9" ht="15" customHeight="1" x14ac:dyDescent="0.2">
      <c r="B62" t="s">
        <v>325</v>
      </c>
      <c r="C62" s="12">
        <v>21</v>
      </c>
      <c r="D62" s="8">
        <v>1.53</v>
      </c>
      <c r="E62" s="12">
        <v>0</v>
      </c>
      <c r="F62" s="8">
        <v>0</v>
      </c>
      <c r="G62" s="12">
        <v>21</v>
      </c>
      <c r="H62" s="8">
        <v>2.17</v>
      </c>
      <c r="I62" s="12">
        <v>0</v>
      </c>
    </row>
    <row r="63" spans="2:9" ht="15" customHeight="1" x14ac:dyDescent="0.2">
      <c r="B63" t="s">
        <v>308</v>
      </c>
      <c r="C63" s="12">
        <v>19</v>
      </c>
      <c r="D63" s="8">
        <v>1.38</v>
      </c>
      <c r="E63" s="12">
        <v>2</v>
      </c>
      <c r="F63" s="8">
        <v>0.5</v>
      </c>
      <c r="G63" s="12">
        <v>17</v>
      </c>
      <c r="H63" s="8">
        <v>1.76</v>
      </c>
      <c r="I63" s="12">
        <v>0</v>
      </c>
    </row>
    <row r="64" spans="2:9" ht="15" customHeight="1" x14ac:dyDescent="0.2">
      <c r="B64" t="s">
        <v>290</v>
      </c>
      <c r="C64" s="12">
        <v>19</v>
      </c>
      <c r="D64" s="8">
        <v>1.38</v>
      </c>
      <c r="E64" s="12">
        <v>2</v>
      </c>
      <c r="F64" s="8">
        <v>0.5</v>
      </c>
      <c r="G64" s="12">
        <v>17</v>
      </c>
      <c r="H64" s="8">
        <v>1.76</v>
      </c>
      <c r="I64" s="12">
        <v>0</v>
      </c>
    </row>
    <row r="65" spans="2:9" ht="15" customHeight="1" x14ac:dyDescent="0.2">
      <c r="B65" t="s">
        <v>311</v>
      </c>
      <c r="C65" s="12">
        <v>19</v>
      </c>
      <c r="D65" s="8">
        <v>1.38</v>
      </c>
      <c r="E65" s="12">
        <v>2</v>
      </c>
      <c r="F65" s="8">
        <v>0.5</v>
      </c>
      <c r="G65" s="12">
        <v>17</v>
      </c>
      <c r="H65" s="8">
        <v>1.76</v>
      </c>
      <c r="I65" s="12">
        <v>0</v>
      </c>
    </row>
    <row r="66" spans="2:9" ht="15" customHeight="1" x14ac:dyDescent="0.2">
      <c r="B66" t="s">
        <v>300</v>
      </c>
      <c r="C66" s="12">
        <v>19</v>
      </c>
      <c r="D66" s="8">
        <v>1.38</v>
      </c>
      <c r="E66" s="12">
        <v>12</v>
      </c>
      <c r="F66" s="8">
        <v>2.98</v>
      </c>
      <c r="G66" s="12">
        <v>7</v>
      </c>
      <c r="H66" s="8">
        <v>0.72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3936-0026-474D-A147-7BD5BC4BCD98}">
  <sheetPr>
    <pageSetUpPr fitToPage="1"/>
  </sheetPr>
  <dimension ref="B2:I11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10</v>
      </c>
      <c r="D6" s="8">
        <v>12.5</v>
      </c>
      <c r="E6" s="12">
        <v>4</v>
      </c>
      <c r="F6" s="8">
        <v>9.76</v>
      </c>
      <c r="G6" s="12">
        <v>6</v>
      </c>
      <c r="H6" s="8">
        <v>15.79</v>
      </c>
      <c r="I6" s="12">
        <v>0</v>
      </c>
    </row>
    <row r="7" spans="2:9" ht="15" customHeight="1" x14ac:dyDescent="0.2">
      <c r="B7" t="s">
        <v>192</v>
      </c>
      <c r="C7" s="12">
        <v>5</v>
      </c>
      <c r="D7" s="8">
        <v>6.25</v>
      </c>
      <c r="E7" s="12">
        <v>3</v>
      </c>
      <c r="F7" s="8">
        <v>7.32</v>
      </c>
      <c r="G7" s="12">
        <v>2</v>
      </c>
      <c r="H7" s="8">
        <v>5.26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1.25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2.5</v>
      </c>
      <c r="E10" s="12">
        <v>0</v>
      </c>
      <c r="F10" s="8">
        <v>0</v>
      </c>
      <c r="G10" s="12">
        <v>2</v>
      </c>
      <c r="H10" s="8">
        <v>5.26</v>
      </c>
      <c r="I10" s="12">
        <v>0</v>
      </c>
    </row>
    <row r="11" spans="2:9" ht="15" customHeight="1" x14ac:dyDescent="0.2">
      <c r="B11" t="s">
        <v>196</v>
      </c>
      <c r="C11" s="12">
        <v>24</v>
      </c>
      <c r="D11" s="8">
        <v>30</v>
      </c>
      <c r="E11" s="12">
        <v>12</v>
      </c>
      <c r="F11" s="8">
        <v>29.27</v>
      </c>
      <c r="G11" s="12">
        <v>12</v>
      </c>
      <c r="H11" s="8">
        <v>31.58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3.75</v>
      </c>
      <c r="E13" s="12">
        <v>0</v>
      </c>
      <c r="F13" s="8">
        <v>0</v>
      </c>
      <c r="G13" s="12">
        <v>3</v>
      </c>
      <c r="H13" s="8">
        <v>7.89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2.5</v>
      </c>
      <c r="E14" s="12">
        <v>0</v>
      </c>
      <c r="F14" s="8">
        <v>0</v>
      </c>
      <c r="G14" s="12">
        <v>2</v>
      </c>
      <c r="H14" s="8">
        <v>5.26</v>
      </c>
      <c r="I14" s="12">
        <v>0</v>
      </c>
    </row>
    <row r="15" spans="2:9" ht="15" customHeight="1" x14ac:dyDescent="0.2">
      <c r="B15" t="s">
        <v>200</v>
      </c>
      <c r="C15" s="12">
        <v>13</v>
      </c>
      <c r="D15" s="8">
        <v>16.25</v>
      </c>
      <c r="E15" s="12">
        <v>8</v>
      </c>
      <c r="F15" s="8">
        <v>19.510000000000002</v>
      </c>
      <c r="G15" s="12">
        <v>5</v>
      </c>
      <c r="H15" s="8">
        <v>13.16</v>
      </c>
      <c r="I15" s="12">
        <v>0</v>
      </c>
    </row>
    <row r="16" spans="2:9" ht="15" customHeight="1" x14ac:dyDescent="0.2">
      <c r="B16" t="s">
        <v>201</v>
      </c>
      <c r="C16" s="12">
        <v>11</v>
      </c>
      <c r="D16" s="8">
        <v>13.75</v>
      </c>
      <c r="E16" s="12">
        <v>8</v>
      </c>
      <c r="F16" s="8">
        <v>19.510000000000002</v>
      </c>
      <c r="G16" s="12">
        <v>3</v>
      </c>
      <c r="H16" s="8">
        <v>7.89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2.5</v>
      </c>
      <c r="E17" s="12">
        <v>2</v>
      </c>
      <c r="F17" s="8">
        <v>4.88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1.25</v>
      </c>
      <c r="E18" s="12">
        <v>1</v>
      </c>
      <c r="F18" s="8">
        <v>2.44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7.5</v>
      </c>
      <c r="E19" s="12">
        <v>3</v>
      </c>
      <c r="F19" s="8">
        <v>7.32</v>
      </c>
      <c r="G19" s="12">
        <v>3</v>
      </c>
      <c r="H19" s="8">
        <v>7.89</v>
      </c>
      <c r="I19" s="12">
        <v>0</v>
      </c>
    </row>
    <row r="20" spans="2:9" ht="15" customHeight="1" x14ac:dyDescent="0.2">
      <c r="B20" s="9" t="s">
        <v>529</v>
      </c>
      <c r="C20" s="12">
        <f>SUM(LTBL_01546[総数／事業所数])</f>
        <v>80</v>
      </c>
      <c r="E20" s="12">
        <f>SUBTOTAL(109,LTBL_01546[個人／事業所数])</f>
        <v>41</v>
      </c>
      <c r="G20" s="12">
        <f>SUBTOTAL(109,LTBL_01546[法人／事業所数])</f>
        <v>38</v>
      </c>
      <c r="I20" s="12">
        <f>SUBTOTAL(109,LTBL_01546[法人以外の団体／事業所数])</f>
        <v>0</v>
      </c>
    </row>
    <row r="21" spans="2:9" ht="15" customHeight="1" x14ac:dyDescent="0.2">
      <c r="E21" s="11">
        <f>LTBL_01546[[#Totals],[個人／事業所数]]/LTBL_01546[[#Totals],[総数／事業所数]]</f>
        <v>0.51249999999999996</v>
      </c>
      <c r="G21" s="11">
        <f>LTBL_01546[[#Totals],[法人／事業所数]]/LTBL_01546[[#Totals],[総数／事業所数]]</f>
        <v>0.47499999999999998</v>
      </c>
      <c r="I21" s="11">
        <f>LTBL_01546[[#Totals],[法人以外の団体／事業所数]]/LTBL_01546[[#Totals],[総数／事業所数]]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8</v>
      </c>
      <c r="D24" s="8">
        <v>10</v>
      </c>
      <c r="E24" s="12">
        <v>8</v>
      </c>
      <c r="F24" s="8">
        <v>19.510000000000002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221</v>
      </c>
      <c r="C25" s="12">
        <v>7</v>
      </c>
      <c r="D25" s="8">
        <v>8.75</v>
      </c>
      <c r="E25" s="12">
        <v>5</v>
      </c>
      <c r="F25" s="8">
        <v>12.2</v>
      </c>
      <c r="G25" s="12">
        <v>2</v>
      </c>
      <c r="H25" s="8">
        <v>5.26</v>
      </c>
      <c r="I25" s="12">
        <v>0</v>
      </c>
    </row>
    <row r="26" spans="2:9" ht="15" customHeight="1" x14ac:dyDescent="0.2">
      <c r="B26" t="s">
        <v>223</v>
      </c>
      <c r="C26" s="12">
        <v>6</v>
      </c>
      <c r="D26" s="8">
        <v>7.5</v>
      </c>
      <c r="E26" s="12">
        <v>1</v>
      </c>
      <c r="F26" s="8">
        <v>2.44</v>
      </c>
      <c r="G26" s="12">
        <v>5</v>
      </c>
      <c r="H26" s="8">
        <v>13.16</v>
      </c>
      <c r="I26" s="12">
        <v>0</v>
      </c>
    </row>
    <row r="27" spans="2:9" ht="15" customHeight="1" x14ac:dyDescent="0.2">
      <c r="B27" t="s">
        <v>227</v>
      </c>
      <c r="C27" s="12">
        <v>6</v>
      </c>
      <c r="D27" s="8">
        <v>7.5</v>
      </c>
      <c r="E27" s="12">
        <v>6</v>
      </c>
      <c r="F27" s="8">
        <v>14.63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213</v>
      </c>
      <c r="C28" s="12">
        <v>5</v>
      </c>
      <c r="D28" s="8">
        <v>6.25</v>
      </c>
      <c r="E28" s="12">
        <v>1</v>
      </c>
      <c r="F28" s="8">
        <v>2.44</v>
      </c>
      <c r="G28" s="12">
        <v>4</v>
      </c>
      <c r="H28" s="8">
        <v>10.53</v>
      </c>
      <c r="I28" s="12">
        <v>0</v>
      </c>
    </row>
    <row r="29" spans="2:9" ht="15" customHeight="1" x14ac:dyDescent="0.2">
      <c r="B29" t="s">
        <v>243</v>
      </c>
      <c r="C29" s="12">
        <v>5</v>
      </c>
      <c r="D29" s="8">
        <v>6.25</v>
      </c>
      <c r="E29" s="12">
        <v>2</v>
      </c>
      <c r="F29" s="8">
        <v>4.88</v>
      </c>
      <c r="G29" s="12">
        <v>3</v>
      </c>
      <c r="H29" s="8">
        <v>7.89</v>
      </c>
      <c r="I29" s="12">
        <v>0</v>
      </c>
    </row>
    <row r="30" spans="2:9" ht="15" customHeight="1" x14ac:dyDescent="0.2">
      <c r="B30" t="s">
        <v>214</v>
      </c>
      <c r="C30" s="12">
        <v>3</v>
      </c>
      <c r="D30" s="8">
        <v>3.75</v>
      </c>
      <c r="E30" s="12">
        <v>3</v>
      </c>
      <c r="F30" s="8">
        <v>7.32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220</v>
      </c>
      <c r="C31" s="12">
        <v>3</v>
      </c>
      <c r="D31" s="8">
        <v>3.75</v>
      </c>
      <c r="E31" s="12">
        <v>2</v>
      </c>
      <c r="F31" s="8">
        <v>4.88</v>
      </c>
      <c r="G31" s="12">
        <v>1</v>
      </c>
      <c r="H31" s="8">
        <v>2.63</v>
      </c>
      <c r="I31" s="12">
        <v>0</v>
      </c>
    </row>
    <row r="32" spans="2:9" ht="15" customHeight="1" x14ac:dyDescent="0.2">
      <c r="B32" t="s">
        <v>222</v>
      </c>
      <c r="C32" s="12">
        <v>3</v>
      </c>
      <c r="D32" s="8">
        <v>3.75</v>
      </c>
      <c r="E32" s="12">
        <v>2</v>
      </c>
      <c r="F32" s="8">
        <v>4.88</v>
      </c>
      <c r="G32" s="12">
        <v>1</v>
      </c>
      <c r="H32" s="8">
        <v>2.63</v>
      </c>
      <c r="I32" s="12">
        <v>0</v>
      </c>
    </row>
    <row r="33" spans="2:9" ht="15" customHeight="1" x14ac:dyDescent="0.2">
      <c r="B33" t="s">
        <v>224</v>
      </c>
      <c r="C33" s="12">
        <v>3</v>
      </c>
      <c r="D33" s="8">
        <v>3.75</v>
      </c>
      <c r="E33" s="12">
        <v>0</v>
      </c>
      <c r="F33" s="8">
        <v>0</v>
      </c>
      <c r="G33" s="12">
        <v>3</v>
      </c>
      <c r="H33" s="8">
        <v>7.89</v>
      </c>
      <c r="I33" s="12">
        <v>0</v>
      </c>
    </row>
    <row r="34" spans="2:9" ht="15" customHeight="1" x14ac:dyDescent="0.2">
      <c r="B34" t="s">
        <v>240</v>
      </c>
      <c r="C34" s="12">
        <v>3</v>
      </c>
      <c r="D34" s="8">
        <v>3.75</v>
      </c>
      <c r="E34" s="12">
        <v>2</v>
      </c>
      <c r="F34" s="8">
        <v>4.88</v>
      </c>
      <c r="G34" s="12">
        <v>1</v>
      </c>
      <c r="H34" s="8">
        <v>2.63</v>
      </c>
      <c r="I34" s="12">
        <v>0</v>
      </c>
    </row>
    <row r="35" spans="2:9" ht="15" customHeight="1" x14ac:dyDescent="0.2">
      <c r="B35" t="s">
        <v>215</v>
      </c>
      <c r="C35" s="12">
        <v>2</v>
      </c>
      <c r="D35" s="8">
        <v>2.5</v>
      </c>
      <c r="E35" s="12">
        <v>0</v>
      </c>
      <c r="F35" s="8">
        <v>0</v>
      </c>
      <c r="G35" s="12">
        <v>2</v>
      </c>
      <c r="H35" s="8">
        <v>5.26</v>
      </c>
      <c r="I35" s="12">
        <v>0</v>
      </c>
    </row>
    <row r="36" spans="2:9" ht="15" customHeight="1" x14ac:dyDescent="0.2">
      <c r="B36" t="s">
        <v>219</v>
      </c>
      <c r="C36" s="12">
        <v>2</v>
      </c>
      <c r="D36" s="8">
        <v>2.5</v>
      </c>
      <c r="E36" s="12">
        <v>1</v>
      </c>
      <c r="F36" s="8">
        <v>2.44</v>
      </c>
      <c r="G36" s="12">
        <v>1</v>
      </c>
      <c r="H36" s="8">
        <v>2.63</v>
      </c>
      <c r="I36" s="12">
        <v>0</v>
      </c>
    </row>
    <row r="37" spans="2:9" ht="15" customHeight="1" x14ac:dyDescent="0.2">
      <c r="B37" t="s">
        <v>236</v>
      </c>
      <c r="C37" s="12">
        <v>2</v>
      </c>
      <c r="D37" s="8">
        <v>2.5</v>
      </c>
      <c r="E37" s="12">
        <v>0</v>
      </c>
      <c r="F37" s="8">
        <v>0</v>
      </c>
      <c r="G37" s="12">
        <v>2</v>
      </c>
      <c r="H37" s="8">
        <v>5.26</v>
      </c>
      <c r="I37" s="12">
        <v>0</v>
      </c>
    </row>
    <row r="38" spans="2:9" ht="15" customHeight="1" x14ac:dyDescent="0.2">
      <c r="B38" t="s">
        <v>239</v>
      </c>
      <c r="C38" s="12">
        <v>2</v>
      </c>
      <c r="D38" s="8">
        <v>2.5</v>
      </c>
      <c r="E38" s="12">
        <v>0</v>
      </c>
      <c r="F38" s="8">
        <v>0</v>
      </c>
      <c r="G38" s="12">
        <v>2</v>
      </c>
      <c r="H38" s="8">
        <v>5.26</v>
      </c>
      <c r="I38" s="12">
        <v>0</v>
      </c>
    </row>
    <row r="39" spans="2:9" ht="15" customHeight="1" x14ac:dyDescent="0.2">
      <c r="B39" t="s">
        <v>247</v>
      </c>
      <c r="C39" s="12">
        <v>2</v>
      </c>
      <c r="D39" s="8">
        <v>2.5</v>
      </c>
      <c r="E39" s="12">
        <v>0</v>
      </c>
      <c r="F39" s="8">
        <v>0</v>
      </c>
      <c r="G39" s="12">
        <v>2</v>
      </c>
      <c r="H39" s="8">
        <v>5.26</v>
      </c>
      <c r="I39" s="12">
        <v>0</v>
      </c>
    </row>
    <row r="40" spans="2:9" ht="15" customHeight="1" x14ac:dyDescent="0.2">
      <c r="B40" t="s">
        <v>230</v>
      </c>
      <c r="C40" s="12">
        <v>2</v>
      </c>
      <c r="D40" s="8">
        <v>2.5</v>
      </c>
      <c r="E40" s="12">
        <v>2</v>
      </c>
      <c r="F40" s="8">
        <v>4.88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244</v>
      </c>
      <c r="C41" s="12">
        <v>1</v>
      </c>
      <c r="D41" s="8">
        <v>1.25</v>
      </c>
      <c r="E41" s="12">
        <v>0</v>
      </c>
      <c r="F41" s="8">
        <v>0</v>
      </c>
      <c r="G41" s="12">
        <v>1</v>
      </c>
      <c r="H41" s="8">
        <v>2.63</v>
      </c>
      <c r="I41" s="12">
        <v>0</v>
      </c>
    </row>
    <row r="42" spans="2:9" ht="15" customHeight="1" x14ac:dyDescent="0.2">
      <c r="B42" t="s">
        <v>258</v>
      </c>
      <c r="C42" s="12">
        <v>1</v>
      </c>
      <c r="D42" s="8">
        <v>1.25</v>
      </c>
      <c r="E42" s="12">
        <v>1</v>
      </c>
      <c r="F42" s="8">
        <v>2.44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252</v>
      </c>
      <c r="C43" s="12">
        <v>1</v>
      </c>
      <c r="D43" s="8">
        <v>1.25</v>
      </c>
      <c r="E43" s="12">
        <v>0</v>
      </c>
      <c r="F43" s="8">
        <v>0</v>
      </c>
      <c r="G43" s="12">
        <v>1</v>
      </c>
      <c r="H43" s="8">
        <v>2.63</v>
      </c>
      <c r="I43" s="12">
        <v>0</v>
      </c>
    </row>
    <row r="44" spans="2:9" ht="15" customHeight="1" x14ac:dyDescent="0.2">
      <c r="B44" t="s">
        <v>245</v>
      </c>
      <c r="C44" s="12">
        <v>1</v>
      </c>
      <c r="D44" s="8">
        <v>1.25</v>
      </c>
      <c r="E44" s="12">
        <v>1</v>
      </c>
      <c r="F44" s="8">
        <v>2.44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268</v>
      </c>
      <c r="C45" s="12">
        <v>1</v>
      </c>
      <c r="D45" s="8">
        <v>1.25</v>
      </c>
      <c r="E45" s="12">
        <v>1</v>
      </c>
      <c r="F45" s="8">
        <v>2.44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255</v>
      </c>
      <c r="C46" s="12">
        <v>1</v>
      </c>
      <c r="D46" s="8">
        <v>1.25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248</v>
      </c>
      <c r="C47" s="12">
        <v>1</v>
      </c>
      <c r="D47" s="8">
        <v>1.25</v>
      </c>
      <c r="E47" s="12">
        <v>0</v>
      </c>
      <c r="F47" s="8">
        <v>0</v>
      </c>
      <c r="G47" s="12">
        <v>1</v>
      </c>
      <c r="H47" s="8">
        <v>2.63</v>
      </c>
      <c r="I47" s="12">
        <v>0</v>
      </c>
    </row>
    <row r="48" spans="2:9" ht="15" customHeight="1" x14ac:dyDescent="0.2">
      <c r="B48" t="s">
        <v>260</v>
      </c>
      <c r="C48" s="12">
        <v>1</v>
      </c>
      <c r="D48" s="8">
        <v>1.25</v>
      </c>
      <c r="E48" s="12">
        <v>0</v>
      </c>
      <c r="F48" s="8">
        <v>0</v>
      </c>
      <c r="G48" s="12">
        <v>1</v>
      </c>
      <c r="H48" s="8">
        <v>2.63</v>
      </c>
      <c r="I48" s="12">
        <v>0</v>
      </c>
    </row>
    <row r="49" spans="2:9" ht="15" customHeight="1" x14ac:dyDescent="0.2">
      <c r="B49" t="s">
        <v>217</v>
      </c>
      <c r="C49" s="12">
        <v>1</v>
      </c>
      <c r="D49" s="8">
        <v>1.25</v>
      </c>
      <c r="E49" s="12">
        <v>1</v>
      </c>
      <c r="F49" s="8">
        <v>2.44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256</v>
      </c>
      <c r="C50" s="12">
        <v>1</v>
      </c>
      <c r="D50" s="8">
        <v>1.25</v>
      </c>
      <c r="E50" s="12">
        <v>0</v>
      </c>
      <c r="F50" s="8">
        <v>0</v>
      </c>
      <c r="G50" s="12">
        <v>1</v>
      </c>
      <c r="H50" s="8">
        <v>2.63</v>
      </c>
      <c r="I50" s="12">
        <v>0</v>
      </c>
    </row>
    <row r="51" spans="2:9" ht="15" customHeight="1" x14ac:dyDescent="0.2">
      <c r="B51" t="s">
        <v>226</v>
      </c>
      <c r="C51" s="12">
        <v>1</v>
      </c>
      <c r="D51" s="8">
        <v>1.25</v>
      </c>
      <c r="E51" s="12">
        <v>0</v>
      </c>
      <c r="F51" s="8">
        <v>0</v>
      </c>
      <c r="G51" s="12">
        <v>1</v>
      </c>
      <c r="H51" s="8">
        <v>2.63</v>
      </c>
      <c r="I51" s="12">
        <v>0</v>
      </c>
    </row>
    <row r="52" spans="2:9" ht="15" customHeight="1" x14ac:dyDescent="0.2">
      <c r="B52" t="s">
        <v>229</v>
      </c>
      <c r="C52" s="12">
        <v>1</v>
      </c>
      <c r="D52" s="8">
        <v>1.25</v>
      </c>
      <c r="E52" s="12">
        <v>0</v>
      </c>
      <c r="F52" s="8">
        <v>0</v>
      </c>
      <c r="G52" s="12">
        <v>1</v>
      </c>
      <c r="H52" s="8">
        <v>2.63</v>
      </c>
      <c r="I52" s="12">
        <v>0</v>
      </c>
    </row>
    <row r="53" spans="2:9" ht="15" customHeight="1" x14ac:dyDescent="0.2">
      <c r="B53" t="s">
        <v>231</v>
      </c>
      <c r="C53" s="12">
        <v>1</v>
      </c>
      <c r="D53" s="8">
        <v>1.25</v>
      </c>
      <c r="E53" s="12">
        <v>1</v>
      </c>
      <c r="F53" s="8">
        <v>2.44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249</v>
      </c>
      <c r="C54" s="12">
        <v>1</v>
      </c>
      <c r="D54" s="8">
        <v>1.25</v>
      </c>
      <c r="E54" s="12">
        <v>0</v>
      </c>
      <c r="F54" s="8">
        <v>0</v>
      </c>
      <c r="G54" s="12">
        <v>1</v>
      </c>
      <c r="H54" s="8">
        <v>2.63</v>
      </c>
      <c r="I54" s="12">
        <v>0</v>
      </c>
    </row>
    <row r="55" spans="2:9" ht="15" customHeight="1" x14ac:dyDescent="0.2">
      <c r="B55" t="s">
        <v>242</v>
      </c>
      <c r="C55" s="12">
        <v>1</v>
      </c>
      <c r="D55" s="8">
        <v>1.25</v>
      </c>
      <c r="E55" s="12">
        <v>1</v>
      </c>
      <c r="F55" s="8">
        <v>2.44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234</v>
      </c>
      <c r="C56" s="12">
        <v>1</v>
      </c>
      <c r="D56" s="8">
        <v>1.25</v>
      </c>
      <c r="E56" s="12">
        <v>0</v>
      </c>
      <c r="F56" s="8">
        <v>0</v>
      </c>
      <c r="G56" s="12">
        <v>1</v>
      </c>
      <c r="H56" s="8">
        <v>2.63</v>
      </c>
      <c r="I56" s="12">
        <v>0</v>
      </c>
    </row>
    <row r="59" spans="2:9" ht="33" customHeight="1" x14ac:dyDescent="0.2">
      <c r="B59" t="s">
        <v>531</v>
      </c>
      <c r="C59" s="10" t="s">
        <v>206</v>
      </c>
      <c r="D59" s="10" t="s">
        <v>207</v>
      </c>
      <c r="E59" s="10" t="s">
        <v>208</v>
      </c>
      <c r="F59" s="10" t="s">
        <v>209</v>
      </c>
      <c r="G59" s="10" t="s">
        <v>210</v>
      </c>
      <c r="H59" s="10" t="s">
        <v>211</v>
      </c>
      <c r="I59" s="10" t="s">
        <v>212</v>
      </c>
    </row>
    <row r="60" spans="2:9" ht="15" customHeight="1" x14ac:dyDescent="0.2">
      <c r="B60" t="s">
        <v>288</v>
      </c>
      <c r="C60" s="12">
        <v>4</v>
      </c>
      <c r="D60" s="8">
        <v>5</v>
      </c>
      <c r="E60" s="12">
        <v>0</v>
      </c>
      <c r="F60" s="8">
        <v>0</v>
      </c>
      <c r="G60" s="12">
        <v>4</v>
      </c>
      <c r="H60" s="8">
        <v>10.53</v>
      </c>
      <c r="I60" s="12">
        <v>0</v>
      </c>
    </row>
    <row r="61" spans="2:9" ht="15" customHeight="1" x14ac:dyDescent="0.2">
      <c r="B61" t="s">
        <v>303</v>
      </c>
      <c r="C61" s="12">
        <v>4</v>
      </c>
      <c r="D61" s="8">
        <v>5</v>
      </c>
      <c r="E61" s="12">
        <v>4</v>
      </c>
      <c r="F61" s="8">
        <v>9.76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332</v>
      </c>
      <c r="C62" s="12">
        <v>3</v>
      </c>
      <c r="D62" s="8">
        <v>3.75</v>
      </c>
      <c r="E62" s="12">
        <v>2</v>
      </c>
      <c r="F62" s="8">
        <v>4.88</v>
      </c>
      <c r="G62" s="12">
        <v>1</v>
      </c>
      <c r="H62" s="8">
        <v>2.63</v>
      </c>
      <c r="I62" s="12">
        <v>0</v>
      </c>
    </row>
    <row r="63" spans="2:9" ht="15" customHeight="1" x14ac:dyDescent="0.2">
      <c r="B63" t="s">
        <v>297</v>
      </c>
      <c r="C63" s="12">
        <v>3</v>
      </c>
      <c r="D63" s="8">
        <v>3.75</v>
      </c>
      <c r="E63" s="12">
        <v>0</v>
      </c>
      <c r="F63" s="8">
        <v>0</v>
      </c>
      <c r="G63" s="12">
        <v>3</v>
      </c>
      <c r="H63" s="8">
        <v>7.89</v>
      </c>
      <c r="I63" s="12">
        <v>0</v>
      </c>
    </row>
    <row r="64" spans="2:9" ht="15" customHeight="1" x14ac:dyDescent="0.2">
      <c r="B64" t="s">
        <v>339</v>
      </c>
      <c r="C64" s="12">
        <v>3</v>
      </c>
      <c r="D64" s="8">
        <v>3.75</v>
      </c>
      <c r="E64" s="12">
        <v>1</v>
      </c>
      <c r="F64" s="8">
        <v>2.44</v>
      </c>
      <c r="G64" s="12">
        <v>2</v>
      </c>
      <c r="H64" s="8">
        <v>5.26</v>
      </c>
      <c r="I64" s="12">
        <v>0</v>
      </c>
    </row>
    <row r="65" spans="2:9" ht="15" customHeight="1" x14ac:dyDescent="0.2">
      <c r="B65" t="s">
        <v>304</v>
      </c>
      <c r="C65" s="12">
        <v>3</v>
      </c>
      <c r="D65" s="8">
        <v>3.75</v>
      </c>
      <c r="E65" s="12">
        <v>3</v>
      </c>
      <c r="F65" s="8">
        <v>7.32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307</v>
      </c>
      <c r="C66" s="12">
        <v>3</v>
      </c>
      <c r="D66" s="8">
        <v>3.75</v>
      </c>
      <c r="E66" s="12">
        <v>2</v>
      </c>
      <c r="F66" s="8">
        <v>4.88</v>
      </c>
      <c r="G66" s="12">
        <v>1</v>
      </c>
      <c r="H66" s="8">
        <v>2.63</v>
      </c>
      <c r="I66" s="12">
        <v>0</v>
      </c>
    </row>
    <row r="67" spans="2:9" ht="15" customHeight="1" x14ac:dyDescent="0.2">
      <c r="B67" t="s">
        <v>314</v>
      </c>
      <c r="C67" s="12">
        <v>2</v>
      </c>
      <c r="D67" s="8">
        <v>2.5</v>
      </c>
      <c r="E67" s="12">
        <v>1</v>
      </c>
      <c r="F67" s="8">
        <v>2.44</v>
      </c>
      <c r="G67" s="12">
        <v>1</v>
      </c>
      <c r="H67" s="8">
        <v>2.63</v>
      </c>
      <c r="I67" s="12">
        <v>0</v>
      </c>
    </row>
    <row r="68" spans="2:9" ht="15" customHeight="1" x14ac:dyDescent="0.2">
      <c r="B68" t="s">
        <v>329</v>
      </c>
      <c r="C68" s="12">
        <v>2</v>
      </c>
      <c r="D68" s="8">
        <v>2.5</v>
      </c>
      <c r="E68" s="12">
        <v>1</v>
      </c>
      <c r="F68" s="8">
        <v>2.44</v>
      </c>
      <c r="G68" s="12">
        <v>1</v>
      </c>
      <c r="H68" s="8">
        <v>2.63</v>
      </c>
      <c r="I68" s="12">
        <v>0</v>
      </c>
    </row>
    <row r="69" spans="2:9" ht="15" customHeight="1" x14ac:dyDescent="0.2">
      <c r="B69" t="s">
        <v>292</v>
      </c>
      <c r="C69" s="12">
        <v>2</v>
      </c>
      <c r="D69" s="8">
        <v>2.5</v>
      </c>
      <c r="E69" s="12">
        <v>2</v>
      </c>
      <c r="F69" s="8">
        <v>4.88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335</v>
      </c>
      <c r="C70" s="12">
        <v>2</v>
      </c>
      <c r="D70" s="8">
        <v>2.5</v>
      </c>
      <c r="E70" s="12">
        <v>1</v>
      </c>
      <c r="F70" s="8">
        <v>2.44</v>
      </c>
      <c r="G70" s="12">
        <v>1</v>
      </c>
      <c r="H70" s="8">
        <v>2.63</v>
      </c>
      <c r="I70" s="12">
        <v>0</v>
      </c>
    </row>
    <row r="71" spans="2:9" ht="15" customHeight="1" x14ac:dyDescent="0.2">
      <c r="B71" t="s">
        <v>372</v>
      </c>
      <c r="C71" s="12">
        <v>2</v>
      </c>
      <c r="D71" s="8">
        <v>2.5</v>
      </c>
      <c r="E71" s="12">
        <v>0</v>
      </c>
      <c r="F71" s="8">
        <v>0</v>
      </c>
      <c r="G71" s="12">
        <v>2</v>
      </c>
      <c r="H71" s="8">
        <v>5.26</v>
      </c>
      <c r="I71" s="12">
        <v>0</v>
      </c>
    </row>
    <row r="72" spans="2:9" ht="15" customHeight="1" x14ac:dyDescent="0.2">
      <c r="B72" t="s">
        <v>330</v>
      </c>
      <c r="C72" s="12">
        <v>2</v>
      </c>
      <c r="D72" s="8">
        <v>2.5</v>
      </c>
      <c r="E72" s="12">
        <v>0</v>
      </c>
      <c r="F72" s="8">
        <v>0</v>
      </c>
      <c r="G72" s="12">
        <v>2</v>
      </c>
      <c r="H72" s="8">
        <v>5.26</v>
      </c>
      <c r="I72" s="12">
        <v>0</v>
      </c>
    </row>
    <row r="73" spans="2:9" ht="15" customHeight="1" x14ac:dyDescent="0.2">
      <c r="B73" t="s">
        <v>300</v>
      </c>
      <c r="C73" s="12">
        <v>2</v>
      </c>
      <c r="D73" s="8">
        <v>2.5</v>
      </c>
      <c r="E73" s="12">
        <v>2</v>
      </c>
      <c r="F73" s="8">
        <v>4.88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301</v>
      </c>
      <c r="C74" s="12">
        <v>2</v>
      </c>
      <c r="D74" s="8">
        <v>2.5</v>
      </c>
      <c r="E74" s="12">
        <v>2</v>
      </c>
      <c r="F74" s="8">
        <v>4.88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325</v>
      </c>
      <c r="C75" s="12">
        <v>2</v>
      </c>
      <c r="D75" s="8">
        <v>2.5</v>
      </c>
      <c r="E75" s="12">
        <v>0</v>
      </c>
      <c r="F75" s="8">
        <v>0</v>
      </c>
      <c r="G75" s="12">
        <v>2</v>
      </c>
      <c r="H75" s="8">
        <v>5.26</v>
      </c>
      <c r="I75" s="12">
        <v>0</v>
      </c>
    </row>
    <row r="76" spans="2:9" ht="15" customHeight="1" x14ac:dyDescent="0.2">
      <c r="B76" t="s">
        <v>305</v>
      </c>
      <c r="C76" s="12">
        <v>2</v>
      </c>
      <c r="D76" s="8">
        <v>2.5</v>
      </c>
      <c r="E76" s="12">
        <v>2</v>
      </c>
      <c r="F76" s="8">
        <v>4.88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289</v>
      </c>
      <c r="C77" s="12">
        <v>1</v>
      </c>
      <c r="D77" s="8">
        <v>1.25</v>
      </c>
      <c r="E77" s="12">
        <v>1</v>
      </c>
      <c r="F77" s="8">
        <v>2.44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353</v>
      </c>
      <c r="C78" s="12">
        <v>1</v>
      </c>
      <c r="D78" s="8">
        <v>1.25</v>
      </c>
      <c r="E78" s="12">
        <v>1</v>
      </c>
      <c r="F78" s="8">
        <v>2.44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343</v>
      </c>
      <c r="C79" s="12">
        <v>1</v>
      </c>
      <c r="D79" s="8">
        <v>1.25</v>
      </c>
      <c r="E79" s="12">
        <v>1</v>
      </c>
      <c r="F79" s="8">
        <v>2.44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320</v>
      </c>
      <c r="C80" s="12">
        <v>1</v>
      </c>
      <c r="D80" s="8">
        <v>1.25</v>
      </c>
      <c r="E80" s="12">
        <v>1</v>
      </c>
      <c r="F80" s="8">
        <v>2.44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290</v>
      </c>
      <c r="C81" s="12">
        <v>1</v>
      </c>
      <c r="D81" s="8">
        <v>1.25</v>
      </c>
      <c r="E81" s="12">
        <v>0</v>
      </c>
      <c r="F81" s="8">
        <v>0</v>
      </c>
      <c r="G81" s="12">
        <v>1</v>
      </c>
      <c r="H81" s="8">
        <v>2.63</v>
      </c>
      <c r="I81" s="12">
        <v>0</v>
      </c>
    </row>
    <row r="82" spans="2:9" ht="15" customHeight="1" x14ac:dyDescent="0.2">
      <c r="B82" t="s">
        <v>291</v>
      </c>
      <c r="C82" s="12">
        <v>1</v>
      </c>
      <c r="D82" s="8">
        <v>1.25</v>
      </c>
      <c r="E82" s="12">
        <v>0</v>
      </c>
      <c r="F82" s="8">
        <v>0</v>
      </c>
      <c r="G82" s="12">
        <v>1</v>
      </c>
      <c r="H82" s="8">
        <v>2.63</v>
      </c>
      <c r="I82" s="12">
        <v>0</v>
      </c>
    </row>
    <row r="83" spans="2:9" ht="15" customHeight="1" x14ac:dyDescent="0.2">
      <c r="B83" t="s">
        <v>480</v>
      </c>
      <c r="C83" s="12">
        <v>1</v>
      </c>
      <c r="D83" s="8">
        <v>1.25</v>
      </c>
      <c r="E83" s="12">
        <v>0</v>
      </c>
      <c r="F83" s="8">
        <v>0</v>
      </c>
      <c r="G83" s="12">
        <v>1</v>
      </c>
      <c r="H83" s="8">
        <v>2.63</v>
      </c>
      <c r="I83" s="12">
        <v>0</v>
      </c>
    </row>
    <row r="84" spans="2:9" ht="15" customHeight="1" x14ac:dyDescent="0.2">
      <c r="B84" t="s">
        <v>381</v>
      </c>
      <c r="C84" s="12">
        <v>1</v>
      </c>
      <c r="D84" s="8">
        <v>1.25</v>
      </c>
      <c r="E84" s="12">
        <v>1</v>
      </c>
      <c r="F84" s="8">
        <v>2.44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399</v>
      </c>
      <c r="C85" s="12">
        <v>1</v>
      </c>
      <c r="D85" s="8">
        <v>1.25</v>
      </c>
      <c r="E85" s="12">
        <v>0</v>
      </c>
      <c r="F85" s="8">
        <v>0</v>
      </c>
      <c r="G85" s="12">
        <v>1</v>
      </c>
      <c r="H85" s="8">
        <v>2.63</v>
      </c>
      <c r="I85" s="12">
        <v>0</v>
      </c>
    </row>
    <row r="86" spans="2:9" ht="15" customHeight="1" x14ac:dyDescent="0.2">
      <c r="B86" t="s">
        <v>425</v>
      </c>
      <c r="C86" s="12">
        <v>1</v>
      </c>
      <c r="D86" s="8">
        <v>1.25</v>
      </c>
      <c r="E86" s="12">
        <v>1</v>
      </c>
      <c r="F86" s="8">
        <v>2.44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451</v>
      </c>
      <c r="C87" s="12">
        <v>1</v>
      </c>
      <c r="D87" s="8">
        <v>1.25</v>
      </c>
      <c r="E87" s="12">
        <v>1</v>
      </c>
      <c r="F87" s="8">
        <v>2.44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361</v>
      </c>
      <c r="C88" s="12">
        <v>1</v>
      </c>
      <c r="D88" s="8">
        <v>1.25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350</v>
      </c>
      <c r="C89" s="12">
        <v>1</v>
      </c>
      <c r="D89" s="8">
        <v>1.25</v>
      </c>
      <c r="E89" s="12">
        <v>0</v>
      </c>
      <c r="F89" s="8">
        <v>0</v>
      </c>
      <c r="G89" s="12">
        <v>1</v>
      </c>
      <c r="H89" s="8">
        <v>2.63</v>
      </c>
      <c r="I89" s="12">
        <v>0</v>
      </c>
    </row>
    <row r="90" spans="2:9" ht="15" customHeight="1" x14ac:dyDescent="0.2">
      <c r="B90" t="s">
        <v>504</v>
      </c>
      <c r="C90" s="12">
        <v>1</v>
      </c>
      <c r="D90" s="8">
        <v>1.25</v>
      </c>
      <c r="E90" s="12">
        <v>0</v>
      </c>
      <c r="F90" s="8">
        <v>0</v>
      </c>
      <c r="G90" s="12">
        <v>1</v>
      </c>
      <c r="H90" s="8">
        <v>2.63</v>
      </c>
      <c r="I90" s="12">
        <v>0</v>
      </c>
    </row>
    <row r="91" spans="2:9" ht="15" customHeight="1" x14ac:dyDescent="0.2">
      <c r="B91" t="s">
        <v>446</v>
      </c>
      <c r="C91" s="12">
        <v>1</v>
      </c>
      <c r="D91" s="8">
        <v>1.25</v>
      </c>
      <c r="E91" s="12">
        <v>1</v>
      </c>
      <c r="F91" s="8">
        <v>2.44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388</v>
      </c>
      <c r="C92" s="12">
        <v>1</v>
      </c>
      <c r="D92" s="8">
        <v>1.25</v>
      </c>
      <c r="E92" s="12">
        <v>1</v>
      </c>
      <c r="F92" s="8">
        <v>2.44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309</v>
      </c>
      <c r="C93" s="12">
        <v>1</v>
      </c>
      <c r="D93" s="8">
        <v>1.25</v>
      </c>
      <c r="E93" s="12">
        <v>0</v>
      </c>
      <c r="F93" s="8">
        <v>0</v>
      </c>
      <c r="G93" s="12">
        <v>1</v>
      </c>
      <c r="H93" s="8">
        <v>2.63</v>
      </c>
      <c r="I93" s="12">
        <v>0</v>
      </c>
    </row>
    <row r="94" spans="2:9" ht="15" customHeight="1" x14ac:dyDescent="0.2">
      <c r="B94" t="s">
        <v>400</v>
      </c>
      <c r="C94" s="12">
        <v>1</v>
      </c>
      <c r="D94" s="8">
        <v>1.25</v>
      </c>
      <c r="E94" s="12">
        <v>1</v>
      </c>
      <c r="F94" s="8">
        <v>2.44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389</v>
      </c>
      <c r="C95" s="12">
        <v>1</v>
      </c>
      <c r="D95" s="8">
        <v>1.25</v>
      </c>
      <c r="E95" s="12">
        <v>1</v>
      </c>
      <c r="F95" s="8">
        <v>2.44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294</v>
      </c>
      <c r="C96" s="12">
        <v>1</v>
      </c>
      <c r="D96" s="8">
        <v>1.25</v>
      </c>
      <c r="E96" s="12">
        <v>0</v>
      </c>
      <c r="F96" s="8">
        <v>0</v>
      </c>
      <c r="G96" s="12">
        <v>1</v>
      </c>
      <c r="H96" s="8">
        <v>2.63</v>
      </c>
      <c r="I96" s="12">
        <v>0</v>
      </c>
    </row>
    <row r="97" spans="2:9" ht="15" customHeight="1" x14ac:dyDescent="0.2">
      <c r="B97" t="s">
        <v>373</v>
      </c>
      <c r="C97" s="12">
        <v>1</v>
      </c>
      <c r="D97" s="8">
        <v>1.25</v>
      </c>
      <c r="E97" s="12">
        <v>1</v>
      </c>
      <c r="F97" s="8">
        <v>2.44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344</v>
      </c>
      <c r="C98" s="12">
        <v>1</v>
      </c>
      <c r="D98" s="8">
        <v>1.25</v>
      </c>
      <c r="E98" s="12">
        <v>0</v>
      </c>
      <c r="F98" s="8">
        <v>0</v>
      </c>
      <c r="G98" s="12">
        <v>1</v>
      </c>
      <c r="H98" s="8">
        <v>2.63</v>
      </c>
      <c r="I98" s="12">
        <v>0</v>
      </c>
    </row>
    <row r="99" spans="2:9" ht="15" customHeight="1" x14ac:dyDescent="0.2">
      <c r="B99" t="s">
        <v>355</v>
      </c>
      <c r="C99" s="12">
        <v>1</v>
      </c>
      <c r="D99" s="8">
        <v>1.25</v>
      </c>
      <c r="E99" s="12">
        <v>0</v>
      </c>
      <c r="F99" s="8">
        <v>0</v>
      </c>
      <c r="G99" s="12">
        <v>1</v>
      </c>
      <c r="H99" s="8">
        <v>2.63</v>
      </c>
      <c r="I99" s="12">
        <v>0</v>
      </c>
    </row>
    <row r="100" spans="2:9" ht="15" customHeight="1" x14ac:dyDescent="0.2">
      <c r="B100" t="s">
        <v>403</v>
      </c>
      <c r="C100" s="12">
        <v>1</v>
      </c>
      <c r="D100" s="8">
        <v>1.25</v>
      </c>
      <c r="E100" s="12">
        <v>0</v>
      </c>
      <c r="F100" s="8">
        <v>0</v>
      </c>
      <c r="G100" s="12">
        <v>1</v>
      </c>
      <c r="H100" s="8">
        <v>2.63</v>
      </c>
      <c r="I100" s="12">
        <v>0</v>
      </c>
    </row>
    <row r="101" spans="2:9" ht="15" customHeight="1" x14ac:dyDescent="0.2">
      <c r="B101" t="s">
        <v>409</v>
      </c>
      <c r="C101" s="12">
        <v>1</v>
      </c>
      <c r="D101" s="8">
        <v>1.25</v>
      </c>
      <c r="E101" s="12">
        <v>0</v>
      </c>
      <c r="F101" s="8">
        <v>0</v>
      </c>
      <c r="G101" s="12">
        <v>1</v>
      </c>
      <c r="H101" s="8">
        <v>2.63</v>
      </c>
      <c r="I101" s="12">
        <v>0</v>
      </c>
    </row>
    <row r="102" spans="2:9" ht="15" customHeight="1" x14ac:dyDescent="0.2">
      <c r="B102" t="s">
        <v>422</v>
      </c>
      <c r="C102" s="12">
        <v>1</v>
      </c>
      <c r="D102" s="8">
        <v>1.25</v>
      </c>
      <c r="E102" s="12">
        <v>0</v>
      </c>
      <c r="F102" s="8">
        <v>0</v>
      </c>
      <c r="G102" s="12">
        <v>1</v>
      </c>
      <c r="H102" s="8">
        <v>2.63</v>
      </c>
      <c r="I102" s="12">
        <v>0</v>
      </c>
    </row>
    <row r="103" spans="2:9" ht="15" customHeight="1" x14ac:dyDescent="0.2">
      <c r="B103" t="s">
        <v>405</v>
      </c>
      <c r="C103" s="12">
        <v>1</v>
      </c>
      <c r="D103" s="8">
        <v>1.25</v>
      </c>
      <c r="E103" s="12">
        <v>1</v>
      </c>
      <c r="F103" s="8">
        <v>2.44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299</v>
      </c>
      <c r="C104" s="12">
        <v>1</v>
      </c>
      <c r="D104" s="8">
        <v>1.25</v>
      </c>
      <c r="E104" s="12">
        <v>1</v>
      </c>
      <c r="F104" s="8">
        <v>2.44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302</v>
      </c>
      <c r="C105" s="12">
        <v>1</v>
      </c>
      <c r="D105" s="8">
        <v>1.25</v>
      </c>
      <c r="E105" s="12">
        <v>1</v>
      </c>
      <c r="F105" s="8">
        <v>2.44</v>
      </c>
      <c r="G105" s="12">
        <v>0</v>
      </c>
      <c r="H105" s="8">
        <v>0</v>
      </c>
      <c r="I105" s="12">
        <v>0</v>
      </c>
    </row>
    <row r="106" spans="2:9" ht="15" customHeight="1" x14ac:dyDescent="0.2">
      <c r="B106" t="s">
        <v>323</v>
      </c>
      <c r="C106" s="12">
        <v>1</v>
      </c>
      <c r="D106" s="8">
        <v>1.25</v>
      </c>
      <c r="E106" s="12">
        <v>1</v>
      </c>
      <c r="F106" s="8">
        <v>2.44</v>
      </c>
      <c r="G106" s="12">
        <v>0</v>
      </c>
      <c r="H106" s="8">
        <v>0</v>
      </c>
      <c r="I106" s="12">
        <v>0</v>
      </c>
    </row>
    <row r="107" spans="2:9" ht="15" customHeight="1" x14ac:dyDescent="0.2">
      <c r="B107" t="s">
        <v>505</v>
      </c>
      <c r="C107" s="12">
        <v>1</v>
      </c>
      <c r="D107" s="8">
        <v>1.25</v>
      </c>
      <c r="E107" s="12">
        <v>0</v>
      </c>
      <c r="F107" s="8">
        <v>0</v>
      </c>
      <c r="G107" s="12">
        <v>1</v>
      </c>
      <c r="H107" s="8">
        <v>2.63</v>
      </c>
      <c r="I107" s="12">
        <v>0</v>
      </c>
    </row>
    <row r="108" spans="2:9" ht="15" customHeight="1" x14ac:dyDescent="0.2">
      <c r="B108" t="s">
        <v>492</v>
      </c>
      <c r="C108" s="12">
        <v>1</v>
      </c>
      <c r="D108" s="8">
        <v>1.25</v>
      </c>
      <c r="E108" s="12">
        <v>0</v>
      </c>
      <c r="F108" s="8">
        <v>0</v>
      </c>
      <c r="G108" s="12">
        <v>1</v>
      </c>
      <c r="H108" s="8">
        <v>2.63</v>
      </c>
      <c r="I108" s="12">
        <v>0</v>
      </c>
    </row>
    <row r="109" spans="2:9" ht="15" customHeight="1" x14ac:dyDescent="0.2">
      <c r="B109" t="s">
        <v>411</v>
      </c>
      <c r="C109" s="12">
        <v>1</v>
      </c>
      <c r="D109" s="8">
        <v>1.25</v>
      </c>
      <c r="E109" s="12">
        <v>0</v>
      </c>
      <c r="F109" s="8">
        <v>0</v>
      </c>
      <c r="G109" s="12">
        <v>1</v>
      </c>
      <c r="H109" s="8">
        <v>2.63</v>
      </c>
      <c r="I109" s="12">
        <v>0</v>
      </c>
    </row>
    <row r="110" spans="2:9" ht="15" customHeight="1" x14ac:dyDescent="0.2">
      <c r="B110" t="s">
        <v>312</v>
      </c>
      <c r="C110" s="12">
        <v>1</v>
      </c>
      <c r="D110" s="8">
        <v>1.25</v>
      </c>
      <c r="E110" s="12">
        <v>1</v>
      </c>
      <c r="F110" s="8">
        <v>2.44</v>
      </c>
      <c r="G110" s="12">
        <v>0</v>
      </c>
      <c r="H110" s="8">
        <v>0</v>
      </c>
      <c r="I110" s="12">
        <v>0</v>
      </c>
    </row>
    <row r="111" spans="2:9" ht="15" customHeight="1" x14ac:dyDescent="0.2">
      <c r="B111" t="s">
        <v>397</v>
      </c>
      <c r="C111" s="12">
        <v>1</v>
      </c>
      <c r="D111" s="8">
        <v>1.25</v>
      </c>
      <c r="E111" s="12">
        <v>0</v>
      </c>
      <c r="F111" s="8">
        <v>0</v>
      </c>
      <c r="G111" s="12">
        <v>1</v>
      </c>
      <c r="H111" s="8">
        <v>2.63</v>
      </c>
      <c r="I111" s="12">
        <v>0</v>
      </c>
    </row>
    <row r="112" spans="2:9" ht="15" customHeight="1" x14ac:dyDescent="0.2">
      <c r="B112" t="s">
        <v>371</v>
      </c>
      <c r="C112" s="12">
        <v>1</v>
      </c>
      <c r="D112" s="8">
        <v>1.25</v>
      </c>
      <c r="E112" s="12">
        <v>1</v>
      </c>
      <c r="F112" s="8">
        <v>2.44</v>
      </c>
      <c r="G112" s="12">
        <v>0</v>
      </c>
      <c r="H112" s="8">
        <v>0</v>
      </c>
      <c r="I112" s="12">
        <v>0</v>
      </c>
    </row>
    <row r="113" spans="2:9" ht="15" customHeight="1" x14ac:dyDescent="0.2">
      <c r="B113" t="s">
        <v>318</v>
      </c>
      <c r="C113" s="12">
        <v>1</v>
      </c>
      <c r="D113" s="8">
        <v>1.25</v>
      </c>
      <c r="E113" s="12">
        <v>0</v>
      </c>
      <c r="F113" s="8">
        <v>0</v>
      </c>
      <c r="G113" s="12">
        <v>1</v>
      </c>
      <c r="H113" s="8">
        <v>2.63</v>
      </c>
      <c r="I113" s="12">
        <v>0</v>
      </c>
    </row>
    <row r="115" spans="2:9" ht="15" customHeight="1" x14ac:dyDescent="0.2">
      <c r="B11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EC18-6C87-4A21-803C-CDFCE0032B00}">
  <sheetPr>
    <pageSetUpPr fitToPage="1"/>
  </sheetPr>
  <dimension ref="B2:I8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14</v>
      </c>
      <c r="D6" s="8">
        <v>10.07</v>
      </c>
      <c r="E6" s="12">
        <v>6</v>
      </c>
      <c r="F6" s="8">
        <v>6.38</v>
      </c>
      <c r="G6" s="12">
        <v>8</v>
      </c>
      <c r="H6" s="8">
        <v>20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6.47</v>
      </c>
      <c r="E7" s="12">
        <v>2</v>
      </c>
      <c r="F7" s="8">
        <v>2.13</v>
      </c>
      <c r="G7" s="12">
        <v>7</v>
      </c>
      <c r="H7" s="8">
        <v>17.5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1.44</v>
      </c>
      <c r="E8" s="12">
        <v>0</v>
      </c>
      <c r="F8" s="8">
        <v>0</v>
      </c>
      <c r="G8" s="12">
        <v>1</v>
      </c>
      <c r="H8" s="8">
        <v>2.5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0.72</v>
      </c>
      <c r="E10" s="12">
        <v>0</v>
      </c>
      <c r="F10" s="8">
        <v>0</v>
      </c>
      <c r="G10" s="12">
        <v>1</v>
      </c>
      <c r="H10" s="8">
        <v>2.5</v>
      </c>
      <c r="I10" s="12">
        <v>0</v>
      </c>
    </row>
    <row r="11" spans="2:9" ht="15" customHeight="1" x14ac:dyDescent="0.2">
      <c r="B11" t="s">
        <v>196</v>
      </c>
      <c r="C11" s="12">
        <v>42</v>
      </c>
      <c r="D11" s="8">
        <v>30.22</v>
      </c>
      <c r="E11" s="12">
        <v>28</v>
      </c>
      <c r="F11" s="8">
        <v>29.79</v>
      </c>
      <c r="G11" s="12">
        <v>14</v>
      </c>
      <c r="H11" s="8">
        <v>35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5</v>
      </c>
      <c r="D13" s="8">
        <v>3.6</v>
      </c>
      <c r="E13" s="12">
        <v>4</v>
      </c>
      <c r="F13" s="8">
        <v>4.26</v>
      </c>
      <c r="G13" s="12">
        <v>1</v>
      </c>
      <c r="H13" s="8">
        <v>2.5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1.44</v>
      </c>
      <c r="E14" s="12">
        <v>2</v>
      </c>
      <c r="F14" s="8">
        <v>2.13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21</v>
      </c>
      <c r="D15" s="8">
        <v>15.11</v>
      </c>
      <c r="E15" s="12">
        <v>16</v>
      </c>
      <c r="F15" s="8">
        <v>17.02</v>
      </c>
      <c r="G15" s="12">
        <v>5</v>
      </c>
      <c r="H15" s="8">
        <v>12.5</v>
      </c>
      <c r="I15" s="12">
        <v>0</v>
      </c>
    </row>
    <row r="16" spans="2:9" ht="15" customHeight="1" x14ac:dyDescent="0.2">
      <c r="B16" t="s">
        <v>201</v>
      </c>
      <c r="C16" s="12">
        <v>21</v>
      </c>
      <c r="D16" s="8">
        <v>15.11</v>
      </c>
      <c r="E16" s="12">
        <v>20</v>
      </c>
      <c r="F16" s="8">
        <v>21.28</v>
      </c>
      <c r="G16" s="12">
        <v>1</v>
      </c>
      <c r="H16" s="8">
        <v>2.5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3.6</v>
      </c>
      <c r="E17" s="12">
        <v>5</v>
      </c>
      <c r="F17" s="8">
        <v>5.32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8</v>
      </c>
      <c r="D18" s="8">
        <v>5.76</v>
      </c>
      <c r="E18" s="12">
        <v>5</v>
      </c>
      <c r="F18" s="8">
        <v>5.32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9</v>
      </c>
      <c r="D19" s="8">
        <v>6.47</v>
      </c>
      <c r="E19" s="12">
        <v>6</v>
      </c>
      <c r="F19" s="8">
        <v>6.38</v>
      </c>
      <c r="G19" s="12">
        <v>2</v>
      </c>
      <c r="H19" s="8">
        <v>5</v>
      </c>
      <c r="I19" s="12">
        <v>0</v>
      </c>
    </row>
    <row r="20" spans="2:9" ht="15" customHeight="1" x14ac:dyDescent="0.2">
      <c r="B20" s="9" t="s">
        <v>529</v>
      </c>
      <c r="C20" s="12">
        <f>SUM(LTBL_01547[総数／事業所数])</f>
        <v>139</v>
      </c>
      <c r="E20" s="12">
        <f>SUBTOTAL(109,LTBL_01547[個人／事業所数])</f>
        <v>94</v>
      </c>
      <c r="G20" s="12">
        <f>SUBTOTAL(109,LTBL_01547[法人／事業所数])</f>
        <v>40</v>
      </c>
      <c r="I20" s="12">
        <f>SUBTOTAL(109,LTBL_01547[法人以外の団体／事業所数])</f>
        <v>0</v>
      </c>
    </row>
    <row r="21" spans="2:9" ht="15" customHeight="1" x14ac:dyDescent="0.2">
      <c r="E21" s="11">
        <f>LTBL_01547[[#Totals],[個人／事業所数]]/LTBL_01547[[#Totals],[総数／事業所数]]</f>
        <v>0.67625899280575541</v>
      </c>
      <c r="G21" s="11">
        <f>LTBL_01547[[#Totals],[法人／事業所数]]/LTBL_01547[[#Totals],[総数／事業所数]]</f>
        <v>0.28776978417266186</v>
      </c>
      <c r="I21" s="11">
        <f>LTBL_01547[[#Totals],[法人以外の団体／事業所数]]/LTBL_01547[[#Totals],[総数／事業所数]]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20</v>
      </c>
      <c r="D24" s="8">
        <v>14.39</v>
      </c>
      <c r="E24" s="12">
        <v>19</v>
      </c>
      <c r="F24" s="8">
        <v>20.21</v>
      </c>
      <c r="G24" s="12">
        <v>1</v>
      </c>
      <c r="H24" s="8">
        <v>2.5</v>
      </c>
      <c r="I24" s="12">
        <v>0</v>
      </c>
    </row>
    <row r="25" spans="2:9" ht="15" customHeight="1" x14ac:dyDescent="0.2">
      <c r="B25" t="s">
        <v>227</v>
      </c>
      <c r="C25" s="12">
        <v>17</v>
      </c>
      <c r="D25" s="8">
        <v>12.23</v>
      </c>
      <c r="E25" s="12">
        <v>15</v>
      </c>
      <c r="F25" s="8">
        <v>15.96</v>
      </c>
      <c r="G25" s="12">
        <v>2</v>
      </c>
      <c r="H25" s="8">
        <v>5</v>
      </c>
      <c r="I25" s="12">
        <v>0</v>
      </c>
    </row>
    <row r="26" spans="2:9" ht="15" customHeight="1" x14ac:dyDescent="0.2">
      <c r="B26" t="s">
        <v>223</v>
      </c>
      <c r="C26" s="12">
        <v>15</v>
      </c>
      <c r="D26" s="8">
        <v>10.79</v>
      </c>
      <c r="E26" s="12">
        <v>11</v>
      </c>
      <c r="F26" s="8">
        <v>11.7</v>
      </c>
      <c r="G26" s="12">
        <v>4</v>
      </c>
      <c r="H26" s="8">
        <v>10</v>
      </c>
      <c r="I26" s="12">
        <v>0</v>
      </c>
    </row>
    <row r="27" spans="2:9" ht="15" customHeight="1" x14ac:dyDescent="0.2">
      <c r="B27" t="s">
        <v>221</v>
      </c>
      <c r="C27" s="12">
        <v>9</v>
      </c>
      <c r="D27" s="8">
        <v>6.47</v>
      </c>
      <c r="E27" s="12">
        <v>9</v>
      </c>
      <c r="F27" s="8">
        <v>9.57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213</v>
      </c>
      <c r="C28" s="12">
        <v>8</v>
      </c>
      <c r="D28" s="8">
        <v>5.76</v>
      </c>
      <c r="E28" s="12">
        <v>3</v>
      </c>
      <c r="F28" s="8">
        <v>3.19</v>
      </c>
      <c r="G28" s="12">
        <v>5</v>
      </c>
      <c r="H28" s="8">
        <v>12.5</v>
      </c>
      <c r="I28" s="12">
        <v>0</v>
      </c>
    </row>
    <row r="29" spans="2:9" ht="15" customHeight="1" x14ac:dyDescent="0.2">
      <c r="B29" t="s">
        <v>222</v>
      </c>
      <c r="C29" s="12">
        <v>5</v>
      </c>
      <c r="D29" s="8">
        <v>3.6</v>
      </c>
      <c r="E29" s="12">
        <v>3</v>
      </c>
      <c r="F29" s="8">
        <v>3.19</v>
      </c>
      <c r="G29" s="12">
        <v>2</v>
      </c>
      <c r="H29" s="8">
        <v>5</v>
      </c>
      <c r="I29" s="12">
        <v>0</v>
      </c>
    </row>
    <row r="30" spans="2:9" ht="15" customHeight="1" x14ac:dyDescent="0.2">
      <c r="B30" t="s">
        <v>230</v>
      </c>
      <c r="C30" s="12">
        <v>5</v>
      </c>
      <c r="D30" s="8">
        <v>3.6</v>
      </c>
      <c r="E30" s="12">
        <v>5</v>
      </c>
      <c r="F30" s="8">
        <v>5.32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231</v>
      </c>
      <c r="C31" s="12">
        <v>5</v>
      </c>
      <c r="D31" s="8">
        <v>3.6</v>
      </c>
      <c r="E31" s="12">
        <v>5</v>
      </c>
      <c r="F31" s="8">
        <v>5.32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220</v>
      </c>
      <c r="C32" s="12">
        <v>4</v>
      </c>
      <c r="D32" s="8">
        <v>2.88</v>
      </c>
      <c r="E32" s="12">
        <v>3</v>
      </c>
      <c r="F32" s="8">
        <v>3.19</v>
      </c>
      <c r="G32" s="12">
        <v>1</v>
      </c>
      <c r="H32" s="8">
        <v>2.5</v>
      </c>
      <c r="I32" s="12">
        <v>0</v>
      </c>
    </row>
    <row r="33" spans="2:9" ht="15" customHeight="1" x14ac:dyDescent="0.2">
      <c r="B33" t="s">
        <v>224</v>
      </c>
      <c r="C33" s="12">
        <v>4</v>
      </c>
      <c r="D33" s="8">
        <v>2.88</v>
      </c>
      <c r="E33" s="12">
        <v>3</v>
      </c>
      <c r="F33" s="8">
        <v>3.19</v>
      </c>
      <c r="G33" s="12">
        <v>1</v>
      </c>
      <c r="H33" s="8">
        <v>2.5</v>
      </c>
      <c r="I33" s="12">
        <v>0</v>
      </c>
    </row>
    <row r="34" spans="2:9" ht="15" customHeight="1" x14ac:dyDescent="0.2">
      <c r="B34" t="s">
        <v>242</v>
      </c>
      <c r="C34" s="12">
        <v>4</v>
      </c>
      <c r="D34" s="8">
        <v>2.88</v>
      </c>
      <c r="E34" s="12">
        <v>4</v>
      </c>
      <c r="F34" s="8">
        <v>4.26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214</v>
      </c>
      <c r="C35" s="12">
        <v>3</v>
      </c>
      <c r="D35" s="8">
        <v>2.16</v>
      </c>
      <c r="E35" s="12">
        <v>2</v>
      </c>
      <c r="F35" s="8">
        <v>2.13</v>
      </c>
      <c r="G35" s="12">
        <v>1</v>
      </c>
      <c r="H35" s="8">
        <v>2.5</v>
      </c>
      <c r="I35" s="12">
        <v>0</v>
      </c>
    </row>
    <row r="36" spans="2:9" ht="15" customHeight="1" x14ac:dyDescent="0.2">
      <c r="B36" t="s">
        <v>215</v>
      </c>
      <c r="C36" s="12">
        <v>3</v>
      </c>
      <c r="D36" s="8">
        <v>2.16</v>
      </c>
      <c r="E36" s="12">
        <v>1</v>
      </c>
      <c r="F36" s="8">
        <v>1.06</v>
      </c>
      <c r="G36" s="12">
        <v>2</v>
      </c>
      <c r="H36" s="8">
        <v>5</v>
      </c>
      <c r="I36" s="12">
        <v>0</v>
      </c>
    </row>
    <row r="37" spans="2:9" ht="15" customHeight="1" x14ac:dyDescent="0.2">
      <c r="B37" t="s">
        <v>241</v>
      </c>
      <c r="C37" s="12">
        <v>3</v>
      </c>
      <c r="D37" s="8">
        <v>2.16</v>
      </c>
      <c r="E37" s="12">
        <v>1</v>
      </c>
      <c r="F37" s="8">
        <v>1.06</v>
      </c>
      <c r="G37" s="12">
        <v>2</v>
      </c>
      <c r="H37" s="8">
        <v>5</v>
      </c>
      <c r="I37" s="12">
        <v>0</v>
      </c>
    </row>
    <row r="38" spans="2:9" ht="15" customHeight="1" x14ac:dyDescent="0.2">
      <c r="B38" t="s">
        <v>262</v>
      </c>
      <c r="C38" s="12">
        <v>3</v>
      </c>
      <c r="D38" s="8">
        <v>2.16</v>
      </c>
      <c r="E38" s="12">
        <v>0</v>
      </c>
      <c r="F38" s="8">
        <v>0</v>
      </c>
      <c r="G38" s="12">
        <v>3</v>
      </c>
      <c r="H38" s="8">
        <v>7.5</v>
      </c>
      <c r="I38" s="12">
        <v>0</v>
      </c>
    </row>
    <row r="39" spans="2:9" ht="15" customHeight="1" x14ac:dyDescent="0.2">
      <c r="B39" t="s">
        <v>216</v>
      </c>
      <c r="C39" s="12">
        <v>3</v>
      </c>
      <c r="D39" s="8">
        <v>2.16</v>
      </c>
      <c r="E39" s="12">
        <v>0</v>
      </c>
      <c r="F39" s="8">
        <v>0</v>
      </c>
      <c r="G39" s="12">
        <v>3</v>
      </c>
      <c r="H39" s="8">
        <v>7.5</v>
      </c>
      <c r="I39" s="12">
        <v>0</v>
      </c>
    </row>
    <row r="40" spans="2:9" ht="15" customHeight="1" x14ac:dyDescent="0.2">
      <c r="B40" t="s">
        <v>243</v>
      </c>
      <c r="C40" s="12">
        <v>3</v>
      </c>
      <c r="D40" s="8">
        <v>2.16</v>
      </c>
      <c r="E40" s="12">
        <v>1</v>
      </c>
      <c r="F40" s="8">
        <v>1.06</v>
      </c>
      <c r="G40" s="12">
        <v>2</v>
      </c>
      <c r="H40" s="8">
        <v>5</v>
      </c>
      <c r="I40" s="12">
        <v>0</v>
      </c>
    </row>
    <row r="41" spans="2:9" ht="15" customHeight="1" x14ac:dyDescent="0.2">
      <c r="B41" t="s">
        <v>232</v>
      </c>
      <c r="C41" s="12">
        <v>3</v>
      </c>
      <c r="D41" s="8">
        <v>2.16</v>
      </c>
      <c r="E41" s="12">
        <v>0</v>
      </c>
      <c r="F41" s="8">
        <v>0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234</v>
      </c>
      <c r="C42" s="12">
        <v>3</v>
      </c>
      <c r="D42" s="8">
        <v>2.16</v>
      </c>
      <c r="E42" s="12">
        <v>1</v>
      </c>
      <c r="F42" s="8">
        <v>1.06</v>
      </c>
      <c r="G42" s="12">
        <v>1</v>
      </c>
      <c r="H42" s="8">
        <v>2.5</v>
      </c>
      <c r="I42" s="12">
        <v>0</v>
      </c>
    </row>
    <row r="43" spans="2:9" ht="15" customHeight="1" x14ac:dyDescent="0.2">
      <c r="B43" t="s">
        <v>252</v>
      </c>
      <c r="C43" s="12">
        <v>2</v>
      </c>
      <c r="D43" s="8">
        <v>1.44</v>
      </c>
      <c r="E43" s="12">
        <v>1</v>
      </c>
      <c r="F43" s="8">
        <v>1.06</v>
      </c>
      <c r="G43" s="12">
        <v>1</v>
      </c>
      <c r="H43" s="8">
        <v>2.5</v>
      </c>
      <c r="I43" s="12">
        <v>0</v>
      </c>
    </row>
    <row r="44" spans="2:9" ht="15" customHeight="1" x14ac:dyDescent="0.2">
      <c r="B44" t="s">
        <v>218</v>
      </c>
      <c r="C44" s="12">
        <v>2</v>
      </c>
      <c r="D44" s="8">
        <v>1.44</v>
      </c>
      <c r="E44" s="12">
        <v>1</v>
      </c>
      <c r="F44" s="8">
        <v>1.06</v>
      </c>
      <c r="G44" s="12">
        <v>1</v>
      </c>
      <c r="H44" s="8">
        <v>2.5</v>
      </c>
      <c r="I44" s="12">
        <v>0</v>
      </c>
    </row>
    <row r="45" spans="2:9" ht="15" customHeight="1" x14ac:dyDescent="0.2">
      <c r="B45" t="s">
        <v>236</v>
      </c>
      <c r="C45" s="12">
        <v>2</v>
      </c>
      <c r="D45" s="8">
        <v>1.44</v>
      </c>
      <c r="E45" s="12">
        <v>0</v>
      </c>
      <c r="F45" s="8">
        <v>0</v>
      </c>
      <c r="G45" s="12">
        <v>2</v>
      </c>
      <c r="H45" s="8">
        <v>5</v>
      </c>
      <c r="I45" s="12">
        <v>0</v>
      </c>
    </row>
    <row r="46" spans="2:9" ht="15" customHeight="1" x14ac:dyDescent="0.2">
      <c r="B46" t="s">
        <v>226</v>
      </c>
      <c r="C46" s="12">
        <v>2</v>
      </c>
      <c r="D46" s="8">
        <v>1.44</v>
      </c>
      <c r="E46" s="12">
        <v>2</v>
      </c>
      <c r="F46" s="8">
        <v>2.13</v>
      </c>
      <c r="G46" s="12">
        <v>0</v>
      </c>
      <c r="H46" s="8">
        <v>0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304</v>
      </c>
      <c r="C50" s="12">
        <v>13</v>
      </c>
      <c r="D50" s="8">
        <v>9.35</v>
      </c>
      <c r="E50" s="12">
        <v>12</v>
      </c>
      <c r="F50" s="8">
        <v>12.77</v>
      </c>
      <c r="G50" s="12">
        <v>1</v>
      </c>
      <c r="H50" s="8">
        <v>2.5</v>
      </c>
      <c r="I50" s="12">
        <v>0</v>
      </c>
    </row>
    <row r="51" spans="2:9" ht="15" customHeight="1" x14ac:dyDescent="0.2">
      <c r="B51" t="s">
        <v>288</v>
      </c>
      <c r="C51" s="12">
        <v>6</v>
      </c>
      <c r="D51" s="8">
        <v>4.32</v>
      </c>
      <c r="E51" s="12">
        <v>3</v>
      </c>
      <c r="F51" s="8">
        <v>3.19</v>
      </c>
      <c r="G51" s="12">
        <v>3</v>
      </c>
      <c r="H51" s="8">
        <v>7.5</v>
      </c>
      <c r="I51" s="12">
        <v>0</v>
      </c>
    </row>
    <row r="52" spans="2:9" ht="15" customHeight="1" x14ac:dyDescent="0.2">
      <c r="B52" t="s">
        <v>299</v>
      </c>
      <c r="C52" s="12">
        <v>5</v>
      </c>
      <c r="D52" s="8">
        <v>3.6</v>
      </c>
      <c r="E52" s="12">
        <v>5</v>
      </c>
      <c r="F52" s="8">
        <v>5.32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300</v>
      </c>
      <c r="C53" s="12">
        <v>5</v>
      </c>
      <c r="D53" s="8">
        <v>3.6</v>
      </c>
      <c r="E53" s="12">
        <v>5</v>
      </c>
      <c r="F53" s="8">
        <v>5.32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292</v>
      </c>
      <c r="C54" s="12">
        <v>4</v>
      </c>
      <c r="D54" s="8">
        <v>2.88</v>
      </c>
      <c r="E54" s="12">
        <v>4</v>
      </c>
      <c r="F54" s="8">
        <v>4.26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305</v>
      </c>
      <c r="C55" s="12">
        <v>4</v>
      </c>
      <c r="D55" s="8">
        <v>2.88</v>
      </c>
      <c r="E55" s="12">
        <v>4</v>
      </c>
      <c r="F55" s="8">
        <v>4.26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306</v>
      </c>
      <c r="C56" s="12">
        <v>4</v>
      </c>
      <c r="D56" s="8">
        <v>2.88</v>
      </c>
      <c r="E56" s="12">
        <v>4</v>
      </c>
      <c r="F56" s="8">
        <v>4.26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378</v>
      </c>
      <c r="C57" s="12">
        <v>3</v>
      </c>
      <c r="D57" s="8">
        <v>2.16</v>
      </c>
      <c r="E57" s="12">
        <v>0</v>
      </c>
      <c r="F57" s="8">
        <v>0</v>
      </c>
      <c r="G57" s="12">
        <v>3</v>
      </c>
      <c r="H57" s="8">
        <v>7.5</v>
      </c>
      <c r="I57" s="12">
        <v>0</v>
      </c>
    </row>
    <row r="58" spans="2:9" ht="15" customHeight="1" x14ac:dyDescent="0.2">
      <c r="B58" t="s">
        <v>324</v>
      </c>
      <c r="C58" s="12">
        <v>3</v>
      </c>
      <c r="D58" s="8">
        <v>2.16</v>
      </c>
      <c r="E58" s="12">
        <v>0</v>
      </c>
      <c r="F58" s="8">
        <v>0</v>
      </c>
      <c r="G58" s="12">
        <v>3</v>
      </c>
      <c r="H58" s="8">
        <v>7.5</v>
      </c>
      <c r="I58" s="12">
        <v>0</v>
      </c>
    </row>
    <row r="59" spans="2:9" ht="15" customHeight="1" x14ac:dyDescent="0.2">
      <c r="B59" t="s">
        <v>314</v>
      </c>
      <c r="C59" s="12">
        <v>3</v>
      </c>
      <c r="D59" s="8">
        <v>2.16</v>
      </c>
      <c r="E59" s="12">
        <v>2</v>
      </c>
      <c r="F59" s="8">
        <v>2.13</v>
      </c>
      <c r="G59" s="12">
        <v>1</v>
      </c>
      <c r="H59" s="8">
        <v>2.5</v>
      </c>
      <c r="I59" s="12">
        <v>0</v>
      </c>
    </row>
    <row r="60" spans="2:9" ht="15" customHeight="1" x14ac:dyDescent="0.2">
      <c r="B60" t="s">
        <v>401</v>
      </c>
      <c r="C60" s="12">
        <v>3</v>
      </c>
      <c r="D60" s="8">
        <v>2.16</v>
      </c>
      <c r="E60" s="12">
        <v>2</v>
      </c>
      <c r="F60" s="8">
        <v>2.13</v>
      </c>
      <c r="G60" s="12">
        <v>1</v>
      </c>
      <c r="H60" s="8">
        <v>2.5</v>
      </c>
      <c r="I60" s="12">
        <v>0</v>
      </c>
    </row>
    <row r="61" spans="2:9" ht="15" customHeight="1" x14ac:dyDescent="0.2">
      <c r="B61" t="s">
        <v>372</v>
      </c>
      <c r="C61" s="12">
        <v>3</v>
      </c>
      <c r="D61" s="8">
        <v>2.16</v>
      </c>
      <c r="E61" s="12">
        <v>1</v>
      </c>
      <c r="F61" s="8">
        <v>1.06</v>
      </c>
      <c r="G61" s="12">
        <v>2</v>
      </c>
      <c r="H61" s="8">
        <v>5</v>
      </c>
      <c r="I61" s="12">
        <v>0</v>
      </c>
    </row>
    <row r="62" spans="2:9" ht="15" customHeight="1" x14ac:dyDescent="0.2">
      <c r="B62" t="s">
        <v>337</v>
      </c>
      <c r="C62" s="12">
        <v>3</v>
      </c>
      <c r="D62" s="8">
        <v>2.16</v>
      </c>
      <c r="E62" s="12">
        <v>3</v>
      </c>
      <c r="F62" s="8">
        <v>3.19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297</v>
      </c>
      <c r="C63" s="12">
        <v>3</v>
      </c>
      <c r="D63" s="8">
        <v>2.16</v>
      </c>
      <c r="E63" s="12">
        <v>3</v>
      </c>
      <c r="F63" s="8">
        <v>3.19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301</v>
      </c>
      <c r="C64" s="12">
        <v>3</v>
      </c>
      <c r="D64" s="8">
        <v>2.16</v>
      </c>
      <c r="E64" s="12">
        <v>3</v>
      </c>
      <c r="F64" s="8">
        <v>3.19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302</v>
      </c>
      <c r="C65" s="12">
        <v>3</v>
      </c>
      <c r="D65" s="8">
        <v>2.16</v>
      </c>
      <c r="E65" s="12">
        <v>1</v>
      </c>
      <c r="F65" s="8">
        <v>1.06</v>
      </c>
      <c r="G65" s="12">
        <v>2</v>
      </c>
      <c r="H65" s="8">
        <v>5</v>
      </c>
      <c r="I65" s="12">
        <v>0</v>
      </c>
    </row>
    <row r="66" spans="2:9" ht="15" customHeight="1" x14ac:dyDescent="0.2">
      <c r="B66" t="s">
        <v>303</v>
      </c>
      <c r="C66" s="12">
        <v>3</v>
      </c>
      <c r="D66" s="8">
        <v>2.16</v>
      </c>
      <c r="E66" s="12">
        <v>3</v>
      </c>
      <c r="F66" s="8">
        <v>3.19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317</v>
      </c>
      <c r="C67" s="12">
        <v>3</v>
      </c>
      <c r="D67" s="8">
        <v>2.16</v>
      </c>
      <c r="E67" s="12">
        <v>3</v>
      </c>
      <c r="F67" s="8">
        <v>3.19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290</v>
      </c>
      <c r="C68" s="12">
        <v>2</v>
      </c>
      <c r="D68" s="8">
        <v>1.44</v>
      </c>
      <c r="E68" s="12">
        <v>1</v>
      </c>
      <c r="F68" s="8">
        <v>1.06</v>
      </c>
      <c r="G68" s="12">
        <v>1</v>
      </c>
      <c r="H68" s="8">
        <v>2.5</v>
      </c>
      <c r="I68" s="12">
        <v>0</v>
      </c>
    </row>
    <row r="69" spans="2:9" ht="15" customHeight="1" x14ac:dyDescent="0.2">
      <c r="B69" t="s">
        <v>351</v>
      </c>
      <c r="C69" s="12">
        <v>2</v>
      </c>
      <c r="D69" s="8">
        <v>1.44</v>
      </c>
      <c r="E69" s="12">
        <v>1</v>
      </c>
      <c r="F69" s="8">
        <v>1.06</v>
      </c>
      <c r="G69" s="12">
        <v>1</v>
      </c>
      <c r="H69" s="8">
        <v>2.5</v>
      </c>
      <c r="I69" s="12">
        <v>0</v>
      </c>
    </row>
    <row r="70" spans="2:9" ht="15" customHeight="1" x14ac:dyDescent="0.2">
      <c r="B70" t="s">
        <v>399</v>
      </c>
      <c r="C70" s="12">
        <v>2</v>
      </c>
      <c r="D70" s="8">
        <v>1.44</v>
      </c>
      <c r="E70" s="12">
        <v>1</v>
      </c>
      <c r="F70" s="8">
        <v>1.06</v>
      </c>
      <c r="G70" s="12">
        <v>1</v>
      </c>
      <c r="H70" s="8">
        <v>2.5</v>
      </c>
      <c r="I70" s="12">
        <v>0</v>
      </c>
    </row>
    <row r="71" spans="2:9" ht="15" customHeight="1" x14ac:dyDescent="0.2">
      <c r="B71" t="s">
        <v>332</v>
      </c>
      <c r="C71" s="12">
        <v>2</v>
      </c>
      <c r="D71" s="8">
        <v>1.44</v>
      </c>
      <c r="E71" s="12">
        <v>2</v>
      </c>
      <c r="F71" s="8">
        <v>2.13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293</v>
      </c>
      <c r="C72" s="12">
        <v>2</v>
      </c>
      <c r="D72" s="8">
        <v>1.44</v>
      </c>
      <c r="E72" s="12">
        <v>2</v>
      </c>
      <c r="F72" s="8">
        <v>2.13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335</v>
      </c>
      <c r="C73" s="12">
        <v>2</v>
      </c>
      <c r="D73" s="8">
        <v>1.44</v>
      </c>
      <c r="E73" s="12">
        <v>0</v>
      </c>
      <c r="F73" s="8">
        <v>0</v>
      </c>
      <c r="G73" s="12">
        <v>2</v>
      </c>
      <c r="H73" s="8">
        <v>5</v>
      </c>
      <c r="I73" s="12">
        <v>0</v>
      </c>
    </row>
    <row r="74" spans="2:9" ht="15" customHeight="1" x14ac:dyDescent="0.2">
      <c r="B74" t="s">
        <v>294</v>
      </c>
      <c r="C74" s="12">
        <v>2</v>
      </c>
      <c r="D74" s="8">
        <v>1.44</v>
      </c>
      <c r="E74" s="12">
        <v>2</v>
      </c>
      <c r="F74" s="8">
        <v>2.13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295</v>
      </c>
      <c r="C75" s="12">
        <v>2</v>
      </c>
      <c r="D75" s="8">
        <v>1.44</v>
      </c>
      <c r="E75" s="12">
        <v>2</v>
      </c>
      <c r="F75" s="8">
        <v>2.13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506</v>
      </c>
      <c r="C76" s="12">
        <v>2</v>
      </c>
      <c r="D76" s="8">
        <v>1.44</v>
      </c>
      <c r="E76" s="12">
        <v>2</v>
      </c>
      <c r="F76" s="8">
        <v>2.13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339</v>
      </c>
      <c r="C77" s="12">
        <v>2</v>
      </c>
      <c r="D77" s="8">
        <v>1.44</v>
      </c>
      <c r="E77" s="12">
        <v>1</v>
      </c>
      <c r="F77" s="8">
        <v>1.06</v>
      </c>
      <c r="G77" s="12">
        <v>1</v>
      </c>
      <c r="H77" s="8">
        <v>2.5</v>
      </c>
      <c r="I77" s="12">
        <v>0</v>
      </c>
    </row>
    <row r="78" spans="2:9" ht="15" customHeight="1" x14ac:dyDescent="0.2">
      <c r="B78" t="s">
        <v>341</v>
      </c>
      <c r="C78" s="12">
        <v>2</v>
      </c>
      <c r="D78" s="8">
        <v>1.44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371</v>
      </c>
      <c r="C79" s="12">
        <v>2</v>
      </c>
      <c r="D79" s="8">
        <v>1.44</v>
      </c>
      <c r="E79" s="12">
        <v>2</v>
      </c>
      <c r="F79" s="8">
        <v>2.13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392</v>
      </c>
      <c r="C80" s="12">
        <v>2</v>
      </c>
      <c r="D80" s="8">
        <v>1.44</v>
      </c>
      <c r="E80" s="12">
        <v>2</v>
      </c>
      <c r="F80" s="8">
        <v>2.13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318</v>
      </c>
      <c r="C81" s="12">
        <v>2</v>
      </c>
      <c r="D81" s="8">
        <v>1.44</v>
      </c>
      <c r="E81" s="12">
        <v>0</v>
      </c>
      <c r="F81" s="8">
        <v>0</v>
      </c>
      <c r="G81" s="12">
        <v>1</v>
      </c>
      <c r="H81" s="8">
        <v>2.5</v>
      </c>
      <c r="I81" s="12">
        <v>0</v>
      </c>
    </row>
    <row r="83" spans="2:9" ht="15" customHeight="1" x14ac:dyDescent="0.2">
      <c r="B8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B9719-712A-445C-A1B0-08C81B610F6D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669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1.1000000000000001</v>
      </c>
      <c r="E5" s="12">
        <v>0</v>
      </c>
      <c r="F5" s="8">
        <v>0</v>
      </c>
      <c r="G5" s="12">
        <v>1</v>
      </c>
      <c r="H5" s="8">
        <v>2.7</v>
      </c>
      <c r="I5" s="12">
        <v>0</v>
      </c>
    </row>
    <row r="6" spans="2:9" ht="15" customHeight="1" x14ac:dyDescent="0.2">
      <c r="B6" t="s">
        <v>191</v>
      </c>
      <c r="C6" s="12">
        <v>15</v>
      </c>
      <c r="D6" s="8">
        <v>16.48</v>
      </c>
      <c r="E6" s="12">
        <v>6</v>
      </c>
      <c r="F6" s="8">
        <v>12.24</v>
      </c>
      <c r="G6" s="12">
        <v>9</v>
      </c>
      <c r="H6" s="8">
        <v>24.32</v>
      </c>
      <c r="I6" s="12">
        <v>0</v>
      </c>
    </row>
    <row r="7" spans="2:9" ht="15" customHeight="1" x14ac:dyDescent="0.2">
      <c r="B7" t="s">
        <v>192</v>
      </c>
      <c r="C7" s="12">
        <v>4</v>
      </c>
      <c r="D7" s="8">
        <v>4.4000000000000004</v>
      </c>
      <c r="E7" s="12">
        <v>2</v>
      </c>
      <c r="F7" s="8">
        <v>4.08</v>
      </c>
      <c r="G7" s="12">
        <v>2</v>
      </c>
      <c r="H7" s="8">
        <v>5.41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1.1000000000000001</v>
      </c>
      <c r="E10" s="12">
        <v>0</v>
      </c>
      <c r="F10" s="8">
        <v>0</v>
      </c>
      <c r="G10" s="12">
        <v>1</v>
      </c>
      <c r="H10" s="8">
        <v>2.7</v>
      </c>
      <c r="I10" s="12">
        <v>0</v>
      </c>
    </row>
    <row r="11" spans="2:9" ht="15" customHeight="1" x14ac:dyDescent="0.2">
      <c r="B11" t="s">
        <v>196</v>
      </c>
      <c r="C11" s="12">
        <v>22</v>
      </c>
      <c r="D11" s="8">
        <v>24.18</v>
      </c>
      <c r="E11" s="12">
        <v>9</v>
      </c>
      <c r="F11" s="8">
        <v>18.37</v>
      </c>
      <c r="G11" s="12">
        <v>13</v>
      </c>
      <c r="H11" s="8">
        <v>35.14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2.2000000000000002</v>
      </c>
      <c r="E13" s="12">
        <v>1</v>
      </c>
      <c r="F13" s="8">
        <v>2.04</v>
      </c>
      <c r="G13" s="12">
        <v>1</v>
      </c>
      <c r="H13" s="8">
        <v>2.7</v>
      </c>
      <c r="I13" s="12">
        <v>0</v>
      </c>
    </row>
    <row r="14" spans="2:9" ht="15" customHeight="1" x14ac:dyDescent="0.2">
      <c r="B14" t="s">
        <v>199</v>
      </c>
      <c r="C14" s="12">
        <v>6</v>
      </c>
      <c r="D14" s="8">
        <v>6.59</v>
      </c>
      <c r="E14" s="12">
        <v>3</v>
      </c>
      <c r="F14" s="8">
        <v>6.12</v>
      </c>
      <c r="G14" s="12">
        <v>2</v>
      </c>
      <c r="H14" s="8">
        <v>5.41</v>
      </c>
      <c r="I14" s="12">
        <v>0</v>
      </c>
    </row>
    <row r="15" spans="2:9" ht="15" customHeight="1" x14ac:dyDescent="0.2">
      <c r="B15" t="s">
        <v>200</v>
      </c>
      <c r="C15" s="12">
        <v>13</v>
      </c>
      <c r="D15" s="8">
        <v>14.29</v>
      </c>
      <c r="E15" s="12">
        <v>13</v>
      </c>
      <c r="F15" s="8">
        <v>26.53</v>
      </c>
      <c r="G15" s="12">
        <v>0</v>
      </c>
      <c r="H15" s="8">
        <v>0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15.38</v>
      </c>
      <c r="E16" s="12">
        <v>12</v>
      </c>
      <c r="F16" s="8">
        <v>24.49</v>
      </c>
      <c r="G16" s="12">
        <v>1</v>
      </c>
      <c r="H16" s="8">
        <v>2.7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2.2000000000000002</v>
      </c>
      <c r="E17" s="12">
        <v>1</v>
      </c>
      <c r="F17" s="8">
        <v>2.04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5.49</v>
      </c>
      <c r="E18" s="12">
        <v>1</v>
      </c>
      <c r="F18" s="8">
        <v>2.04</v>
      </c>
      <c r="G18" s="12">
        <v>3</v>
      </c>
      <c r="H18" s="8">
        <v>8.11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6.59</v>
      </c>
      <c r="E19" s="12">
        <v>1</v>
      </c>
      <c r="F19" s="8">
        <v>2.04</v>
      </c>
      <c r="G19" s="12">
        <v>4</v>
      </c>
      <c r="H19" s="8">
        <v>10.81</v>
      </c>
      <c r="I19" s="12">
        <v>1</v>
      </c>
    </row>
    <row r="20" spans="2:9" ht="15" customHeight="1" x14ac:dyDescent="0.2">
      <c r="B20" s="9" t="s">
        <v>529</v>
      </c>
      <c r="C20" s="12">
        <f>SUM(LTBL_01549[総数／事業所数])</f>
        <v>91</v>
      </c>
      <c r="E20" s="12">
        <f>SUBTOTAL(109,LTBL_01549[個人／事業所数])</f>
        <v>49</v>
      </c>
      <c r="G20" s="12">
        <f>SUBTOTAL(109,LTBL_01549[法人／事業所数])</f>
        <v>37</v>
      </c>
      <c r="I20" s="12">
        <f>SUBTOTAL(109,LTBL_01549[法人以外の団体／事業所数])</f>
        <v>1</v>
      </c>
    </row>
    <row r="21" spans="2:9" ht="15" customHeight="1" x14ac:dyDescent="0.2">
      <c r="E21" s="11">
        <f>LTBL_01549[[#Totals],[個人／事業所数]]/LTBL_01549[[#Totals],[総数／事業所数]]</f>
        <v>0.53846153846153844</v>
      </c>
      <c r="G21" s="11">
        <f>LTBL_01549[[#Totals],[法人／事業所数]]/LTBL_01549[[#Totals],[総数／事業所数]]</f>
        <v>0.40659340659340659</v>
      </c>
      <c r="I21" s="11">
        <f>LTBL_01549[[#Totals],[法人以外の団体／事業所数]]/LTBL_01549[[#Totals],[総数／事業所数]]</f>
        <v>1.098901098901099E-2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12</v>
      </c>
      <c r="D24" s="8">
        <v>13.19</v>
      </c>
      <c r="E24" s="12">
        <v>3</v>
      </c>
      <c r="F24" s="8">
        <v>6.12</v>
      </c>
      <c r="G24" s="12">
        <v>9</v>
      </c>
      <c r="H24" s="8">
        <v>24.32</v>
      </c>
      <c r="I24" s="12">
        <v>0</v>
      </c>
    </row>
    <row r="25" spans="2:9" ht="15" customHeight="1" x14ac:dyDescent="0.2">
      <c r="B25" t="s">
        <v>228</v>
      </c>
      <c r="C25" s="12">
        <v>12</v>
      </c>
      <c r="D25" s="8">
        <v>13.19</v>
      </c>
      <c r="E25" s="12">
        <v>12</v>
      </c>
      <c r="F25" s="8">
        <v>24.49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227</v>
      </c>
      <c r="C26" s="12">
        <v>11</v>
      </c>
      <c r="D26" s="8">
        <v>12.09</v>
      </c>
      <c r="E26" s="12">
        <v>11</v>
      </c>
      <c r="F26" s="8">
        <v>22.45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214</v>
      </c>
      <c r="C27" s="12">
        <v>6</v>
      </c>
      <c r="D27" s="8">
        <v>6.59</v>
      </c>
      <c r="E27" s="12">
        <v>4</v>
      </c>
      <c r="F27" s="8">
        <v>8.16</v>
      </c>
      <c r="G27" s="12">
        <v>2</v>
      </c>
      <c r="H27" s="8">
        <v>5.41</v>
      </c>
      <c r="I27" s="12">
        <v>0</v>
      </c>
    </row>
    <row r="28" spans="2:9" ht="15" customHeight="1" x14ac:dyDescent="0.2">
      <c r="B28" t="s">
        <v>215</v>
      </c>
      <c r="C28" s="12">
        <v>5</v>
      </c>
      <c r="D28" s="8">
        <v>5.49</v>
      </c>
      <c r="E28" s="12">
        <v>2</v>
      </c>
      <c r="F28" s="8">
        <v>4.08</v>
      </c>
      <c r="G28" s="12">
        <v>3</v>
      </c>
      <c r="H28" s="8">
        <v>8.11</v>
      </c>
      <c r="I28" s="12">
        <v>0</v>
      </c>
    </row>
    <row r="29" spans="2:9" ht="15" customHeight="1" x14ac:dyDescent="0.2">
      <c r="B29" t="s">
        <v>213</v>
      </c>
      <c r="C29" s="12">
        <v>4</v>
      </c>
      <c r="D29" s="8">
        <v>4.4000000000000004</v>
      </c>
      <c r="E29" s="12">
        <v>0</v>
      </c>
      <c r="F29" s="8">
        <v>0</v>
      </c>
      <c r="G29" s="12">
        <v>4</v>
      </c>
      <c r="H29" s="8">
        <v>10.81</v>
      </c>
      <c r="I29" s="12">
        <v>0</v>
      </c>
    </row>
    <row r="30" spans="2:9" ht="15" customHeight="1" x14ac:dyDescent="0.2">
      <c r="B30" t="s">
        <v>221</v>
      </c>
      <c r="C30" s="12">
        <v>4</v>
      </c>
      <c r="D30" s="8">
        <v>4.4000000000000004</v>
      </c>
      <c r="E30" s="12">
        <v>2</v>
      </c>
      <c r="F30" s="8">
        <v>4.08</v>
      </c>
      <c r="G30" s="12">
        <v>2</v>
      </c>
      <c r="H30" s="8">
        <v>5.41</v>
      </c>
      <c r="I30" s="12">
        <v>0</v>
      </c>
    </row>
    <row r="31" spans="2:9" ht="15" customHeight="1" x14ac:dyDescent="0.2">
      <c r="B31" t="s">
        <v>226</v>
      </c>
      <c r="C31" s="12">
        <v>4</v>
      </c>
      <c r="D31" s="8">
        <v>4.4000000000000004</v>
      </c>
      <c r="E31" s="12">
        <v>2</v>
      </c>
      <c r="F31" s="8">
        <v>4.08</v>
      </c>
      <c r="G31" s="12">
        <v>1</v>
      </c>
      <c r="H31" s="8">
        <v>2.7</v>
      </c>
      <c r="I31" s="12">
        <v>0</v>
      </c>
    </row>
    <row r="32" spans="2:9" ht="15" customHeight="1" x14ac:dyDescent="0.2">
      <c r="B32" t="s">
        <v>222</v>
      </c>
      <c r="C32" s="12">
        <v>3</v>
      </c>
      <c r="D32" s="8">
        <v>3.3</v>
      </c>
      <c r="E32" s="12">
        <v>2</v>
      </c>
      <c r="F32" s="8">
        <v>4.08</v>
      </c>
      <c r="G32" s="12">
        <v>1</v>
      </c>
      <c r="H32" s="8">
        <v>2.7</v>
      </c>
      <c r="I32" s="12">
        <v>0</v>
      </c>
    </row>
    <row r="33" spans="2:9" ht="15" customHeight="1" x14ac:dyDescent="0.2">
      <c r="B33" t="s">
        <v>232</v>
      </c>
      <c r="C33" s="12">
        <v>3</v>
      </c>
      <c r="D33" s="8">
        <v>3.3</v>
      </c>
      <c r="E33" s="12">
        <v>0</v>
      </c>
      <c r="F33" s="8">
        <v>0</v>
      </c>
      <c r="G33" s="12">
        <v>2</v>
      </c>
      <c r="H33" s="8">
        <v>5.41</v>
      </c>
      <c r="I33" s="12">
        <v>0</v>
      </c>
    </row>
    <row r="34" spans="2:9" ht="15" customHeight="1" x14ac:dyDescent="0.2">
      <c r="B34" t="s">
        <v>241</v>
      </c>
      <c r="C34" s="12">
        <v>2</v>
      </c>
      <c r="D34" s="8">
        <v>2.2000000000000002</v>
      </c>
      <c r="E34" s="12">
        <v>1</v>
      </c>
      <c r="F34" s="8">
        <v>2.04</v>
      </c>
      <c r="G34" s="12">
        <v>1</v>
      </c>
      <c r="H34" s="8">
        <v>2.7</v>
      </c>
      <c r="I34" s="12">
        <v>0</v>
      </c>
    </row>
    <row r="35" spans="2:9" ht="15" customHeight="1" x14ac:dyDescent="0.2">
      <c r="B35" t="s">
        <v>224</v>
      </c>
      <c r="C35" s="12">
        <v>2</v>
      </c>
      <c r="D35" s="8">
        <v>2.2000000000000002</v>
      </c>
      <c r="E35" s="12">
        <v>1</v>
      </c>
      <c r="F35" s="8">
        <v>2.04</v>
      </c>
      <c r="G35" s="12">
        <v>1</v>
      </c>
      <c r="H35" s="8">
        <v>2.7</v>
      </c>
      <c r="I35" s="12">
        <v>0</v>
      </c>
    </row>
    <row r="36" spans="2:9" ht="15" customHeight="1" x14ac:dyDescent="0.2">
      <c r="B36" t="s">
        <v>243</v>
      </c>
      <c r="C36" s="12">
        <v>2</v>
      </c>
      <c r="D36" s="8">
        <v>2.2000000000000002</v>
      </c>
      <c r="E36" s="12">
        <v>2</v>
      </c>
      <c r="F36" s="8">
        <v>4.08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230</v>
      </c>
      <c r="C37" s="12">
        <v>2</v>
      </c>
      <c r="D37" s="8">
        <v>2.2000000000000002</v>
      </c>
      <c r="E37" s="12">
        <v>1</v>
      </c>
      <c r="F37" s="8">
        <v>2.04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231</v>
      </c>
      <c r="C38" s="12">
        <v>2</v>
      </c>
      <c r="D38" s="8">
        <v>2.2000000000000002</v>
      </c>
      <c r="E38" s="12">
        <v>1</v>
      </c>
      <c r="F38" s="8">
        <v>2.04</v>
      </c>
      <c r="G38" s="12">
        <v>1</v>
      </c>
      <c r="H38" s="8">
        <v>2.7</v>
      </c>
      <c r="I38" s="12">
        <v>0</v>
      </c>
    </row>
    <row r="39" spans="2:9" ht="15" customHeight="1" x14ac:dyDescent="0.2">
      <c r="B39" t="s">
        <v>240</v>
      </c>
      <c r="C39" s="12">
        <v>2</v>
      </c>
      <c r="D39" s="8">
        <v>2.2000000000000002</v>
      </c>
      <c r="E39" s="12">
        <v>0</v>
      </c>
      <c r="F39" s="8">
        <v>0</v>
      </c>
      <c r="G39" s="12">
        <v>2</v>
      </c>
      <c r="H39" s="8">
        <v>5.41</v>
      </c>
      <c r="I39" s="12">
        <v>0</v>
      </c>
    </row>
    <row r="40" spans="2:9" ht="15" customHeight="1" x14ac:dyDescent="0.2">
      <c r="B40" t="s">
        <v>273</v>
      </c>
      <c r="C40" s="12">
        <v>1</v>
      </c>
      <c r="D40" s="8">
        <v>1.1000000000000001</v>
      </c>
      <c r="E40" s="12">
        <v>0</v>
      </c>
      <c r="F40" s="8">
        <v>0</v>
      </c>
      <c r="G40" s="12">
        <v>1</v>
      </c>
      <c r="H40" s="8">
        <v>2.7</v>
      </c>
      <c r="I40" s="12">
        <v>0</v>
      </c>
    </row>
    <row r="41" spans="2:9" ht="15" customHeight="1" x14ac:dyDescent="0.2">
      <c r="B41" t="s">
        <v>262</v>
      </c>
      <c r="C41" s="12">
        <v>1</v>
      </c>
      <c r="D41" s="8">
        <v>1.1000000000000001</v>
      </c>
      <c r="E41" s="12">
        <v>1</v>
      </c>
      <c r="F41" s="8">
        <v>2.04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257</v>
      </c>
      <c r="C42" s="12">
        <v>1</v>
      </c>
      <c r="D42" s="8">
        <v>1.1000000000000001</v>
      </c>
      <c r="E42" s="12">
        <v>0</v>
      </c>
      <c r="F42" s="8">
        <v>0</v>
      </c>
      <c r="G42" s="12">
        <v>1</v>
      </c>
      <c r="H42" s="8">
        <v>2.7</v>
      </c>
      <c r="I42" s="12">
        <v>0</v>
      </c>
    </row>
    <row r="43" spans="2:9" ht="15" customHeight="1" x14ac:dyDescent="0.2">
      <c r="B43" t="s">
        <v>248</v>
      </c>
      <c r="C43" s="12">
        <v>1</v>
      </c>
      <c r="D43" s="8">
        <v>1.1000000000000001</v>
      </c>
      <c r="E43" s="12">
        <v>0</v>
      </c>
      <c r="F43" s="8">
        <v>0</v>
      </c>
      <c r="G43" s="12">
        <v>1</v>
      </c>
      <c r="H43" s="8">
        <v>2.7</v>
      </c>
      <c r="I43" s="12">
        <v>0</v>
      </c>
    </row>
    <row r="44" spans="2:9" ht="15" customHeight="1" x14ac:dyDescent="0.2">
      <c r="B44" t="s">
        <v>216</v>
      </c>
      <c r="C44" s="12">
        <v>1</v>
      </c>
      <c r="D44" s="8">
        <v>1.1000000000000001</v>
      </c>
      <c r="E44" s="12">
        <v>1</v>
      </c>
      <c r="F44" s="8">
        <v>2.04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220</v>
      </c>
      <c r="C45" s="12">
        <v>1</v>
      </c>
      <c r="D45" s="8">
        <v>1.1000000000000001</v>
      </c>
      <c r="E45" s="12">
        <v>1</v>
      </c>
      <c r="F45" s="8">
        <v>2.04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236</v>
      </c>
      <c r="C46" s="12">
        <v>1</v>
      </c>
      <c r="D46" s="8">
        <v>1.1000000000000001</v>
      </c>
      <c r="E46" s="12">
        <v>0</v>
      </c>
      <c r="F46" s="8">
        <v>0</v>
      </c>
      <c r="G46" s="12">
        <v>1</v>
      </c>
      <c r="H46" s="8">
        <v>2.7</v>
      </c>
      <c r="I46" s="12">
        <v>0</v>
      </c>
    </row>
    <row r="47" spans="2:9" ht="15" customHeight="1" x14ac:dyDescent="0.2">
      <c r="B47" t="s">
        <v>256</v>
      </c>
      <c r="C47" s="12">
        <v>1</v>
      </c>
      <c r="D47" s="8">
        <v>1.1000000000000001</v>
      </c>
      <c r="E47" s="12">
        <v>0</v>
      </c>
      <c r="F47" s="8">
        <v>0</v>
      </c>
      <c r="G47" s="12">
        <v>1</v>
      </c>
      <c r="H47" s="8">
        <v>2.7</v>
      </c>
      <c r="I47" s="12">
        <v>0</v>
      </c>
    </row>
    <row r="48" spans="2:9" ht="15" customHeight="1" x14ac:dyDescent="0.2">
      <c r="B48" t="s">
        <v>225</v>
      </c>
      <c r="C48" s="12">
        <v>1</v>
      </c>
      <c r="D48" s="8">
        <v>1.1000000000000001</v>
      </c>
      <c r="E48" s="12">
        <v>1</v>
      </c>
      <c r="F48" s="8">
        <v>2.04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229</v>
      </c>
      <c r="C49" s="12">
        <v>1</v>
      </c>
      <c r="D49" s="8">
        <v>1.1000000000000001</v>
      </c>
      <c r="E49" s="12">
        <v>0</v>
      </c>
      <c r="F49" s="8">
        <v>0</v>
      </c>
      <c r="G49" s="12">
        <v>1</v>
      </c>
      <c r="H49" s="8">
        <v>2.7</v>
      </c>
      <c r="I49" s="12">
        <v>0</v>
      </c>
    </row>
    <row r="50" spans="2:9" ht="15" customHeight="1" x14ac:dyDescent="0.2">
      <c r="B50" t="s">
        <v>247</v>
      </c>
      <c r="C50" s="12">
        <v>1</v>
      </c>
      <c r="D50" s="8">
        <v>1.1000000000000001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249</v>
      </c>
      <c r="C51" s="12">
        <v>1</v>
      </c>
      <c r="D51" s="8">
        <v>1.1000000000000001</v>
      </c>
      <c r="E51" s="12">
        <v>0</v>
      </c>
      <c r="F51" s="8">
        <v>0</v>
      </c>
      <c r="G51" s="12">
        <v>1</v>
      </c>
      <c r="H51" s="8">
        <v>2.7</v>
      </c>
      <c r="I51" s="12">
        <v>0</v>
      </c>
    </row>
    <row r="52" spans="2:9" ht="15" customHeight="1" x14ac:dyDescent="0.2">
      <c r="B52" t="s">
        <v>242</v>
      </c>
      <c r="C52" s="12">
        <v>1</v>
      </c>
      <c r="D52" s="8">
        <v>1.1000000000000001</v>
      </c>
      <c r="E52" s="12">
        <v>1</v>
      </c>
      <c r="F52" s="8">
        <v>2.04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270</v>
      </c>
      <c r="C53" s="12">
        <v>1</v>
      </c>
      <c r="D53" s="8">
        <v>1.1000000000000001</v>
      </c>
      <c r="E53" s="12">
        <v>0</v>
      </c>
      <c r="F53" s="8">
        <v>0</v>
      </c>
      <c r="G53" s="12">
        <v>0</v>
      </c>
      <c r="H53" s="8">
        <v>0</v>
      </c>
      <c r="I53" s="12">
        <v>1</v>
      </c>
    </row>
    <row r="54" spans="2:9" ht="15" customHeight="1" x14ac:dyDescent="0.2">
      <c r="B54" t="s">
        <v>234</v>
      </c>
      <c r="C54" s="12">
        <v>1</v>
      </c>
      <c r="D54" s="8">
        <v>1.1000000000000001</v>
      </c>
      <c r="E54" s="12">
        <v>0</v>
      </c>
      <c r="F54" s="8">
        <v>0</v>
      </c>
      <c r="G54" s="12">
        <v>1</v>
      </c>
      <c r="H54" s="8">
        <v>2.7</v>
      </c>
      <c r="I54" s="12">
        <v>0</v>
      </c>
    </row>
    <row r="57" spans="2:9" ht="33" customHeight="1" x14ac:dyDescent="0.2">
      <c r="B57" t="s">
        <v>531</v>
      </c>
      <c r="C57" s="10" t="s">
        <v>206</v>
      </c>
      <c r="D57" s="10" t="s">
        <v>207</v>
      </c>
      <c r="E57" s="10" t="s">
        <v>208</v>
      </c>
      <c r="F57" s="10" t="s">
        <v>209</v>
      </c>
      <c r="G57" s="10" t="s">
        <v>210</v>
      </c>
      <c r="H57" s="10" t="s">
        <v>211</v>
      </c>
      <c r="I57" s="10" t="s">
        <v>212</v>
      </c>
    </row>
    <row r="58" spans="2:9" ht="15" customHeight="1" x14ac:dyDescent="0.2">
      <c r="B58" t="s">
        <v>303</v>
      </c>
      <c r="C58" s="12">
        <v>6</v>
      </c>
      <c r="D58" s="8">
        <v>6.59</v>
      </c>
      <c r="E58" s="12">
        <v>6</v>
      </c>
      <c r="F58" s="8">
        <v>12.24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304</v>
      </c>
      <c r="C59" s="12">
        <v>6</v>
      </c>
      <c r="D59" s="8">
        <v>6.59</v>
      </c>
      <c r="E59" s="12">
        <v>6</v>
      </c>
      <c r="F59" s="8">
        <v>12.24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291</v>
      </c>
      <c r="C60" s="12">
        <v>3</v>
      </c>
      <c r="D60" s="8">
        <v>3.3</v>
      </c>
      <c r="E60" s="12">
        <v>1</v>
      </c>
      <c r="F60" s="8">
        <v>2.04</v>
      </c>
      <c r="G60" s="12">
        <v>2</v>
      </c>
      <c r="H60" s="8">
        <v>5.41</v>
      </c>
      <c r="I60" s="12">
        <v>0</v>
      </c>
    </row>
    <row r="61" spans="2:9" ht="15" customHeight="1" x14ac:dyDescent="0.2">
      <c r="B61" t="s">
        <v>330</v>
      </c>
      <c r="C61" s="12">
        <v>3</v>
      </c>
      <c r="D61" s="8">
        <v>3.3</v>
      </c>
      <c r="E61" s="12">
        <v>0</v>
      </c>
      <c r="F61" s="8">
        <v>0</v>
      </c>
      <c r="G61" s="12">
        <v>3</v>
      </c>
      <c r="H61" s="8">
        <v>8.11</v>
      </c>
      <c r="I61" s="12">
        <v>0</v>
      </c>
    </row>
    <row r="62" spans="2:9" ht="15" customHeight="1" x14ac:dyDescent="0.2">
      <c r="B62" t="s">
        <v>295</v>
      </c>
      <c r="C62" s="12">
        <v>3</v>
      </c>
      <c r="D62" s="8">
        <v>3.3</v>
      </c>
      <c r="E62" s="12">
        <v>2</v>
      </c>
      <c r="F62" s="8">
        <v>4.08</v>
      </c>
      <c r="G62" s="12">
        <v>1</v>
      </c>
      <c r="H62" s="8">
        <v>2.7</v>
      </c>
      <c r="I62" s="12">
        <v>0</v>
      </c>
    </row>
    <row r="63" spans="2:9" ht="15" customHeight="1" x14ac:dyDescent="0.2">
      <c r="B63" t="s">
        <v>299</v>
      </c>
      <c r="C63" s="12">
        <v>3</v>
      </c>
      <c r="D63" s="8">
        <v>3.3</v>
      </c>
      <c r="E63" s="12">
        <v>3</v>
      </c>
      <c r="F63" s="8">
        <v>6.12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301</v>
      </c>
      <c r="C64" s="12">
        <v>3</v>
      </c>
      <c r="D64" s="8">
        <v>3.3</v>
      </c>
      <c r="E64" s="12">
        <v>3</v>
      </c>
      <c r="F64" s="8">
        <v>6.12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289</v>
      </c>
      <c r="C65" s="12">
        <v>2</v>
      </c>
      <c r="D65" s="8">
        <v>2.2000000000000002</v>
      </c>
      <c r="E65" s="12">
        <v>0</v>
      </c>
      <c r="F65" s="8">
        <v>0</v>
      </c>
      <c r="G65" s="12">
        <v>2</v>
      </c>
      <c r="H65" s="8">
        <v>5.41</v>
      </c>
      <c r="I65" s="12">
        <v>0</v>
      </c>
    </row>
    <row r="66" spans="2:9" ht="15" customHeight="1" x14ac:dyDescent="0.2">
      <c r="B66" t="s">
        <v>393</v>
      </c>
      <c r="C66" s="12">
        <v>2</v>
      </c>
      <c r="D66" s="8">
        <v>2.2000000000000002</v>
      </c>
      <c r="E66" s="12">
        <v>1</v>
      </c>
      <c r="F66" s="8">
        <v>2.04</v>
      </c>
      <c r="G66" s="12">
        <v>1</v>
      </c>
      <c r="H66" s="8">
        <v>2.7</v>
      </c>
      <c r="I66" s="12">
        <v>0</v>
      </c>
    </row>
    <row r="67" spans="2:9" ht="15" customHeight="1" x14ac:dyDescent="0.2">
      <c r="B67" t="s">
        <v>333</v>
      </c>
      <c r="C67" s="12">
        <v>2</v>
      </c>
      <c r="D67" s="8">
        <v>2.2000000000000002</v>
      </c>
      <c r="E67" s="12">
        <v>1</v>
      </c>
      <c r="F67" s="8">
        <v>2.04</v>
      </c>
      <c r="G67" s="12">
        <v>1</v>
      </c>
      <c r="H67" s="8">
        <v>2.7</v>
      </c>
      <c r="I67" s="12">
        <v>0</v>
      </c>
    </row>
    <row r="68" spans="2:9" ht="15" customHeight="1" x14ac:dyDescent="0.2">
      <c r="B68" t="s">
        <v>290</v>
      </c>
      <c r="C68" s="12">
        <v>2</v>
      </c>
      <c r="D68" s="8">
        <v>2.2000000000000002</v>
      </c>
      <c r="E68" s="12">
        <v>1</v>
      </c>
      <c r="F68" s="8">
        <v>2.04</v>
      </c>
      <c r="G68" s="12">
        <v>1</v>
      </c>
      <c r="H68" s="8">
        <v>2.7</v>
      </c>
      <c r="I68" s="12">
        <v>0</v>
      </c>
    </row>
    <row r="69" spans="2:9" ht="15" customHeight="1" x14ac:dyDescent="0.2">
      <c r="B69" t="s">
        <v>292</v>
      </c>
      <c r="C69" s="12">
        <v>2</v>
      </c>
      <c r="D69" s="8">
        <v>2.2000000000000002</v>
      </c>
      <c r="E69" s="12">
        <v>1</v>
      </c>
      <c r="F69" s="8">
        <v>2.04</v>
      </c>
      <c r="G69" s="12">
        <v>1</v>
      </c>
      <c r="H69" s="8">
        <v>2.7</v>
      </c>
      <c r="I69" s="12">
        <v>0</v>
      </c>
    </row>
    <row r="70" spans="2:9" ht="15" customHeight="1" x14ac:dyDescent="0.2">
      <c r="B70" t="s">
        <v>293</v>
      </c>
      <c r="C70" s="12">
        <v>2</v>
      </c>
      <c r="D70" s="8">
        <v>2.2000000000000002</v>
      </c>
      <c r="E70" s="12">
        <v>1</v>
      </c>
      <c r="F70" s="8">
        <v>2.04</v>
      </c>
      <c r="G70" s="12">
        <v>1</v>
      </c>
      <c r="H70" s="8">
        <v>2.7</v>
      </c>
      <c r="I70" s="12">
        <v>0</v>
      </c>
    </row>
    <row r="71" spans="2:9" ht="15" customHeight="1" x14ac:dyDescent="0.2">
      <c r="B71" t="s">
        <v>337</v>
      </c>
      <c r="C71" s="12">
        <v>2</v>
      </c>
      <c r="D71" s="8">
        <v>2.2000000000000002</v>
      </c>
      <c r="E71" s="12">
        <v>0</v>
      </c>
      <c r="F71" s="8">
        <v>0</v>
      </c>
      <c r="G71" s="12">
        <v>2</v>
      </c>
      <c r="H71" s="8">
        <v>5.41</v>
      </c>
      <c r="I71" s="12">
        <v>0</v>
      </c>
    </row>
    <row r="72" spans="2:9" ht="15" customHeight="1" x14ac:dyDescent="0.2">
      <c r="B72" t="s">
        <v>297</v>
      </c>
      <c r="C72" s="12">
        <v>2</v>
      </c>
      <c r="D72" s="8">
        <v>2.2000000000000002</v>
      </c>
      <c r="E72" s="12">
        <v>1</v>
      </c>
      <c r="F72" s="8">
        <v>2.04</v>
      </c>
      <c r="G72" s="12">
        <v>1</v>
      </c>
      <c r="H72" s="8">
        <v>2.7</v>
      </c>
      <c r="I72" s="12">
        <v>0</v>
      </c>
    </row>
    <row r="73" spans="2:9" ht="15" customHeight="1" x14ac:dyDescent="0.2">
      <c r="B73" t="s">
        <v>482</v>
      </c>
      <c r="C73" s="12">
        <v>2</v>
      </c>
      <c r="D73" s="8">
        <v>2.2000000000000002</v>
      </c>
      <c r="E73" s="12">
        <v>2</v>
      </c>
      <c r="F73" s="8">
        <v>4.08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339</v>
      </c>
      <c r="C74" s="12">
        <v>2</v>
      </c>
      <c r="D74" s="8">
        <v>2.2000000000000002</v>
      </c>
      <c r="E74" s="12">
        <v>2</v>
      </c>
      <c r="F74" s="8">
        <v>4.08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302</v>
      </c>
      <c r="C75" s="12">
        <v>2</v>
      </c>
      <c r="D75" s="8">
        <v>2.2000000000000002</v>
      </c>
      <c r="E75" s="12">
        <v>2</v>
      </c>
      <c r="F75" s="8">
        <v>4.08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347</v>
      </c>
      <c r="C76" s="12">
        <v>2</v>
      </c>
      <c r="D76" s="8">
        <v>2.2000000000000002</v>
      </c>
      <c r="E76" s="12">
        <v>0</v>
      </c>
      <c r="F76" s="8">
        <v>0</v>
      </c>
      <c r="G76" s="12">
        <v>2</v>
      </c>
      <c r="H76" s="8">
        <v>5.41</v>
      </c>
      <c r="I76" s="12">
        <v>0</v>
      </c>
    </row>
    <row r="77" spans="2:9" ht="15" customHeight="1" x14ac:dyDescent="0.2">
      <c r="B77" t="s">
        <v>307</v>
      </c>
      <c r="C77" s="12">
        <v>2</v>
      </c>
      <c r="D77" s="8">
        <v>2.2000000000000002</v>
      </c>
      <c r="E77" s="12">
        <v>0</v>
      </c>
      <c r="F77" s="8">
        <v>0</v>
      </c>
      <c r="G77" s="12">
        <v>2</v>
      </c>
      <c r="H77" s="8">
        <v>5.41</v>
      </c>
      <c r="I77" s="12">
        <v>0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A7508-77F7-48B1-BDD2-4AAF344815B5}">
  <sheetPr>
    <pageSetUpPr fitToPage="1"/>
  </sheetPr>
  <dimension ref="B2:I11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7</v>
      </c>
      <c r="D6" s="8">
        <v>6.48</v>
      </c>
      <c r="E6" s="12">
        <v>4</v>
      </c>
      <c r="F6" s="8">
        <v>5.56</v>
      </c>
      <c r="G6" s="12">
        <v>3</v>
      </c>
      <c r="H6" s="8">
        <v>11.11</v>
      </c>
      <c r="I6" s="12">
        <v>0</v>
      </c>
    </row>
    <row r="7" spans="2:9" ht="15" customHeight="1" x14ac:dyDescent="0.2">
      <c r="B7" t="s">
        <v>192</v>
      </c>
      <c r="C7" s="12">
        <v>30</v>
      </c>
      <c r="D7" s="8">
        <v>27.78</v>
      </c>
      <c r="E7" s="12">
        <v>24</v>
      </c>
      <c r="F7" s="8">
        <v>33.33</v>
      </c>
      <c r="G7" s="12">
        <v>6</v>
      </c>
      <c r="H7" s="8">
        <v>22.22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1.85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0.93</v>
      </c>
      <c r="E9" s="12">
        <v>0</v>
      </c>
      <c r="F9" s="8">
        <v>0</v>
      </c>
      <c r="G9" s="12">
        <v>1</v>
      </c>
      <c r="H9" s="8">
        <v>3.7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0.93</v>
      </c>
      <c r="E10" s="12">
        <v>0</v>
      </c>
      <c r="F10" s="8">
        <v>0</v>
      </c>
      <c r="G10" s="12">
        <v>1</v>
      </c>
      <c r="H10" s="8">
        <v>3.7</v>
      </c>
      <c r="I10" s="12">
        <v>0</v>
      </c>
    </row>
    <row r="11" spans="2:9" ht="15" customHeight="1" x14ac:dyDescent="0.2">
      <c r="B11" t="s">
        <v>196</v>
      </c>
      <c r="C11" s="12">
        <v>27</v>
      </c>
      <c r="D11" s="8">
        <v>25</v>
      </c>
      <c r="E11" s="12">
        <v>16</v>
      </c>
      <c r="F11" s="8">
        <v>22.22</v>
      </c>
      <c r="G11" s="12">
        <v>11</v>
      </c>
      <c r="H11" s="8">
        <v>40.74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2.78</v>
      </c>
      <c r="E13" s="12">
        <v>3</v>
      </c>
      <c r="F13" s="8">
        <v>4.17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0.93</v>
      </c>
      <c r="E14" s="12">
        <v>1</v>
      </c>
      <c r="F14" s="8">
        <v>1.39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4</v>
      </c>
      <c r="D15" s="8">
        <v>3.7</v>
      </c>
      <c r="E15" s="12">
        <v>4</v>
      </c>
      <c r="F15" s="8">
        <v>5.56</v>
      </c>
      <c r="G15" s="12">
        <v>0</v>
      </c>
      <c r="H15" s="8">
        <v>0</v>
      </c>
      <c r="I15" s="12">
        <v>0</v>
      </c>
    </row>
    <row r="16" spans="2:9" ht="15" customHeight="1" x14ac:dyDescent="0.2">
      <c r="B16" t="s">
        <v>201</v>
      </c>
      <c r="C16" s="12">
        <v>11</v>
      </c>
      <c r="D16" s="8">
        <v>10.19</v>
      </c>
      <c r="E16" s="12">
        <v>9</v>
      </c>
      <c r="F16" s="8">
        <v>12.5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3.7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9</v>
      </c>
      <c r="D18" s="8">
        <v>8.33</v>
      </c>
      <c r="E18" s="12">
        <v>5</v>
      </c>
      <c r="F18" s="8">
        <v>6.94</v>
      </c>
      <c r="G18" s="12">
        <v>3</v>
      </c>
      <c r="H18" s="8">
        <v>11.11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7.41</v>
      </c>
      <c r="E19" s="12">
        <v>6</v>
      </c>
      <c r="F19" s="8">
        <v>8.33</v>
      </c>
      <c r="G19" s="12">
        <v>2</v>
      </c>
      <c r="H19" s="8">
        <v>7.41</v>
      </c>
      <c r="I19" s="12">
        <v>0</v>
      </c>
    </row>
    <row r="20" spans="2:9" ht="15" customHeight="1" x14ac:dyDescent="0.2">
      <c r="B20" s="9" t="s">
        <v>529</v>
      </c>
      <c r="C20" s="12">
        <f>SUM(LTBL_01550[総数／事業所数])</f>
        <v>108</v>
      </c>
      <c r="E20" s="12">
        <f>SUBTOTAL(109,LTBL_01550[個人／事業所数])</f>
        <v>72</v>
      </c>
      <c r="G20" s="12">
        <f>SUBTOTAL(109,LTBL_01550[法人／事業所数])</f>
        <v>27</v>
      </c>
      <c r="I20" s="12">
        <f>SUBTOTAL(109,LTBL_01550[法人以外の団体／事業所数])</f>
        <v>0</v>
      </c>
    </row>
    <row r="21" spans="2:9" ht="15" customHeight="1" x14ac:dyDescent="0.2">
      <c r="E21" s="11">
        <f>LTBL_01550[[#Totals],[個人／事業所数]]/LTBL_01550[[#Totals],[総数／事業所数]]</f>
        <v>0.66666666666666663</v>
      </c>
      <c r="G21" s="11">
        <f>LTBL_01550[[#Totals],[法人／事業所数]]/LTBL_01550[[#Totals],[総数／事業所数]]</f>
        <v>0.25</v>
      </c>
      <c r="I21" s="11">
        <f>LTBL_01550[[#Totals],[法人以外の団体／事業所数]]/LTBL_01550[[#Totals],[総数／事業所数]]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244</v>
      </c>
      <c r="C24" s="12">
        <v>23</v>
      </c>
      <c r="D24" s="8">
        <v>21.3</v>
      </c>
      <c r="E24" s="12">
        <v>21</v>
      </c>
      <c r="F24" s="8">
        <v>29.17</v>
      </c>
      <c r="G24" s="12">
        <v>2</v>
      </c>
      <c r="H24" s="8">
        <v>7.41</v>
      </c>
      <c r="I24" s="12">
        <v>0</v>
      </c>
    </row>
    <row r="25" spans="2:9" ht="15" customHeight="1" x14ac:dyDescent="0.2">
      <c r="B25" t="s">
        <v>223</v>
      </c>
      <c r="C25" s="12">
        <v>13</v>
      </c>
      <c r="D25" s="8">
        <v>12.04</v>
      </c>
      <c r="E25" s="12">
        <v>8</v>
      </c>
      <c r="F25" s="8">
        <v>11.11</v>
      </c>
      <c r="G25" s="12">
        <v>5</v>
      </c>
      <c r="H25" s="8">
        <v>18.52</v>
      </c>
      <c r="I25" s="12">
        <v>0</v>
      </c>
    </row>
    <row r="26" spans="2:9" ht="15" customHeight="1" x14ac:dyDescent="0.2">
      <c r="B26" t="s">
        <v>228</v>
      </c>
      <c r="C26" s="12">
        <v>9</v>
      </c>
      <c r="D26" s="8">
        <v>8.33</v>
      </c>
      <c r="E26" s="12">
        <v>9</v>
      </c>
      <c r="F26" s="8">
        <v>12.5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220</v>
      </c>
      <c r="C27" s="12">
        <v>5</v>
      </c>
      <c r="D27" s="8">
        <v>4.63</v>
      </c>
      <c r="E27" s="12">
        <v>3</v>
      </c>
      <c r="F27" s="8">
        <v>4.17</v>
      </c>
      <c r="G27" s="12">
        <v>2</v>
      </c>
      <c r="H27" s="8">
        <v>7.41</v>
      </c>
      <c r="I27" s="12">
        <v>0</v>
      </c>
    </row>
    <row r="28" spans="2:9" ht="15" customHeight="1" x14ac:dyDescent="0.2">
      <c r="B28" t="s">
        <v>231</v>
      </c>
      <c r="C28" s="12">
        <v>5</v>
      </c>
      <c r="D28" s="8">
        <v>4.63</v>
      </c>
      <c r="E28" s="12">
        <v>5</v>
      </c>
      <c r="F28" s="8">
        <v>6.94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234</v>
      </c>
      <c r="C29" s="12">
        <v>5</v>
      </c>
      <c r="D29" s="8">
        <v>4.63</v>
      </c>
      <c r="E29" s="12">
        <v>4</v>
      </c>
      <c r="F29" s="8">
        <v>5.56</v>
      </c>
      <c r="G29" s="12">
        <v>1</v>
      </c>
      <c r="H29" s="8">
        <v>3.7</v>
      </c>
      <c r="I29" s="12">
        <v>0</v>
      </c>
    </row>
    <row r="30" spans="2:9" ht="15" customHeight="1" x14ac:dyDescent="0.2">
      <c r="B30" t="s">
        <v>214</v>
      </c>
      <c r="C30" s="12">
        <v>4</v>
      </c>
      <c r="D30" s="8">
        <v>3.7</v>
      </c>
      <c r="E30" s="12">
        <v>4</v>
      </c>
      <c r="F30" s="8">
        <v>5.56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227</v>
      </c>
      <c r="C31" s="12">
        <v>4</v>
      </c>
      <c r="D31" s="8">
        <v>3.7</v>
      </c>
      <c r="E31" s="12">
        <v>4</v>
      </c>
      <c r="F31" s="8">
        <v>5.56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230</v>
      </c>
      <c r="C32" s="12">
        <v>4</v>
      </c>
      <c r="D32" s="8">
        <v>3.7</v>
      </c>
      <c r="E32" s="12">
        <v>0</v>
      </c>
      <c r="F32" s="8">
        <v>0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232</v>
      </c>
      <c r="C33" s="12">
        <v>4</v>
      </c>
      <c r="D33" s="8">
        <v>3.7</v>
      </c>
      <c r="E33" s="12">
        <v>0</v>
      </c>
      <c r="F33" s="8">
        <v>0</v>
      </c>
      <c r="G33" s="12">
        <v>3</v>
      </c>
      <c r="H33" s="8">
        <v>11.11</v>
      </c>
      <c r="I33" s="12">
        <v>0</v>
      </c>
    </row>
    <row r="34" spans="2:9" ht="15" customHeight="1" x14ac:dyDescent="0.2">
      <c r="B34" t="s">
        <v>221</v>
      </c>
      <c r="C34" s="12">
        <v>3</v>
      </c>
      <c r="D34" s="8">
        <v>2.78</v>
      </c>
      <c r="E34" s="12">
        <v>3</v>
      </c>
      <c r="F34" s="8">
        <v>4.17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215</v>
      </c>
      <c r="C35" s="12">
        <v>2</v>
      </c>
      <c r="D35" s="8">
        <v>1.85</v>
      </c>
      <c r="E35" s="12">
        <v>0</v>
      </c>
      <c r="F35" s="8">
        <v>0</v>
      </c>
      <c r="G35" s="12">
        <v>2</v>
      </c>
      <c r="H35" s="8">
        <v>7.41</v>
      </c>
      <c r="I35" s="12">
        <v>0</v>
      </c>
    </row>
    <row r="36" spans="2:9" ht="15" customHeight="1" x14ac:dyDescent="0.2">
      <c r="B36" t="s">
        <v>255</v>
      </c>
      <c r="C36" s="12">
        <v>2</v>
      </c>
      <c r="D36" s="8">
        <v>1.85</v>
      </c>
      <c r="E36" s="12">
        <v>0</v>
      </c>
      <c r="F36" s="8">
        <v>0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219</v>
      </c>
      <c r="C37" s="12">
        <v>2</v>
      </c>
      <c r="D37" s="8">
        <v>1.85</v>
      </c>
      <c r="E37" s="12">
        <v>0</v>
      </c>
      <c r="F37" s="8">
        <v>0</v>
      </c>
      <c r="G37" s="12">
        <v>2</v>
      </c>
      <c r="H37" s="8">
        <v>7.41</v>
      </c>
      <c r="I37" s="12">
        <v>0</v>
      </c>
    </row>
    <row r="38" spans="2:9" ht="15" customHeight="1" x14ac:dyDescent="0.2">
      <c r="B38" t="s">
        <v>222</v>
      </c>
      <c r="C38" s="12">
        <v>2</v>
      </c>
      <c r="D38" s="8">
        <v>1.85</v>
      </c>
      <c r="E38" s="12">
        <v>0</v>
      </c>
      <c r="F38" s="8">
        <v>0</v>
      </c>
      <c r="G38" s="12">
        <v>2</v>
      </c>
      <c r="H38" s="8">
        <v>7.41</v>
      </c>
      <c r="I38" s="12">
        <v>0</v>
      </c>
    </row>
    <row r="39" spans="2:9" ht="15" customHeight="1" x14ac:dyDescent="0.2">
      <c r="B39" t="s">
        <v>224</v>
      </c>
      <c r="C39" s="12">
        <v>2</v>
      </c>
      <c r="D39" s="8">
        <v>1.85</v>
      </c>
      <c r="E39" s="12">
        <v>2</v>
      </c>
      <c r="F39" s="8">
        <v>2.78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247</v>
      </c>
      <c r="C40" s="12">
        <v>2</v>
      </c>
      <c r="D40" s="8">
        <v>1.85</v>
      </c>
      <c r="E40" s="12">
        <v>0</v>
      </c>
      <c r="F40" s="8">
        <v>0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240</v>
      </c>
      <c r="C41" s="12">
        <v>2</v>
      </c>
      <c r="D41" s="8">
        <v>1.85</v>
      </c>
      <c r="E41" s="12">
        <v>1</v>
      </c>
      <c r="F41" s="8">
        <v>1.39</v>
      </c>
      <c r="G41" s="12">
        <v>1</v>
      </c>
      <c r="H41" s="8">
        <v>3.7</v>
      </c>
      <c r="I41" s="12">
        <v>0</v>
      </c>
    </row>
    <row r="42" spans="2:9" ht="15" customHeight="1" x14ac:dyDescent="0.2">
      <c r="B42" t="s">
        <v>213</v>
      </c>
      <c r="C42" s="12">
        <v>1</v>
      </c>
      <c r="D42" s="8">
        <v>0.93</v>
      </c>
      <c r="E42" s="12">
        <v>0</v>
      </c>
      <c r="F42" s="8">
        <v>0</v>
      </c>
      <c r="G42" s="12">
        <v>1</v>
      </c>
      <c r="H42" s="8">
        <v>3.7</v>
      </c>
      <c r="I42" s="12">
        <v>0</v>
      </c>
    </row>
    <row r="43" spans="2:9" ht="15" customHeight="1" x14ac:dyDescent="0.2">
      <c r="B43" t="s">
        <v>241</v>
      </c>
      <c r="C43" s="12">
        <v>1</v>
      </c>
      <c r="D43" s="8">
        <v>0.93</v>
      </c>
      <c r="E43" s="12">
        <v>1</v>
      </c>
      <c r="F43" s="8">
        <v>1.39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262</v>
      </c>
      <c r="C44" s="12">
        <v>1</v>
      </c>
      <c r="D44" s="8">
        <v>0.93</v>
      </c>
      <c r="E44" s="12">
        <v>0</v>
      </c>
      <c r="F44" s="8">
        <v>0</v>
      </c>
      <c r="G44" s="12">
        <v>1</v>
      </c>
      <c r="H44" s="8">
        <v>3.7</v>
      </c>
      <c r="I44" s="12">
        <v>0</v>
      </c>
    </row>
    <row r="45" spans="2:9" ht="15" customHeight="1" x14ac:dyDescent="0.2">
      <c r="B45" t="s">
        <v>258</v>
      </c>
      <c r="C45" s="12">
        <v>1</v>
      </c>
      <c r="D45" s="8">
        <v>0.93</v>
      </c>
      <c r="E45" s="12">
        <v>1</v>
      </c>
      <c r="F45" s="8">
        <v>1.39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252</v>
      </c>
      <c r="C46" s="12">
        <v>1</v>
      </c>
      <c r="D46" s="8">
        <v>0.93</v>
      </c>
      <c r="E46" s="12">
        <v>0</v>
      </c>
      <c r="F46" s="8">
        <v>0</v>
      </c>
      <c r="G46" s="12">
        <v>1</v>
      </c>
      <c r="H46" s="8">
        <v>3.7</v>
      </c>
      <c r="I46" s="12">
        <v>0</v>
      </c>
    </row>
    <row r="47" spans="2:9" ht="15" customHeight="1" x14ac:dyDescent="0.2">
      <c r="B47" t="s">
        <v>263</v>
      </c>
      <c r="C47" s="12">
        <v>1</v>
      </c>
      <c r="D47" s="8">
        <v>0.93</v>
      </c>
      <c r="E47" s="12">
        <v>0</v>
      </c>
      <c r="F47" s="8">
        <v>0</v>
      </c>
      <c r="G47" s="12">
        <v>1</v>
      </c>
      <c r="H47" s="8">
        <v>3.7</v>
      </c>
      <c r="I47" s="12">
        <v>0</v>
      </c>
    </row>
    <row r="48" spans="2:9" ht="15" customHeight="1" x14ac:dyDescent="0.2">
      <c r="B48" t="s">
        <v>253</v>
      </c>
      <c r="C48" s="12">
        <v>1</v>
      </c>
      <c r="D48" s="8">
        <v>0.93</v>
      </c>
      <c r="E48" s="12">
        <v>0</v>
      </c>
      <c r="F48" s="8">
        <v>0</v>
      </c>
      <c r="G48" s="12">
        <v>1</v>
      </c>
      <c r="H48" s="8">
        <v>3.7</v>
      </c>
      <c r="I48" s="12">
        <v>0</v>
      </c>
    </row>
    <row r="49" spans="2:9" ht="15" customHeight="1" x14ac:dyDescent="0.2">
      <c r="B49" t="s">
        <v>268</v>
      </c>
      <c r="C49" s="12">
        <v>1</v>
      </c>
      <c r="D49" s="8">
        <v>0.93</v>
      </c>
      <c r="E49" s="12">
        <v>1</v>
      </c>
      <c r="F49" s="8">
        <v>1.39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277</v>
      </c>
      <c r="C50" s="12">
        <v>1</v>
      </c>
      <c r="D50" s="8">
        <v>0.93</v>
      </c>
      <c r="E50" s="12">
        <v>0</v>
      </c>
      <c r="F50" s="8">
        <v>0</v>
      </c>
      <c r="G50" s="12">
        <v>1</v>
      </c>
      <c r="H50" s="8">
        <v>3.7</v>
      </c>
      <c r="I50" s="12">
        <v>0</v>
      </c>
    </row>
    <row r="51" spans="2:9" ht="15" customHeight="1" x14ac:dyDescent="0.2">
      <c r="B51" t="s">
        <v>238</v>
      </c>
      <c r="C51" s="12">
        <v>1</v>
      </c>
      <c r="D51" s="8">
        <v>0.93</v>
      </c>
      <c r="E51" s="12">
        <v>0</v>
      </c>
      <c r="F51" s="8">
        <v>0</v>
      </c>
      <c r="G51" s="12">
        <v>1</v>
      </c>
      <c r="H51" s="8">
        <v>3.7</v>
      </c>
      <c r="I51" s="12">
        <v>0</v>
      </c>
    </row>
    <row r="52" spans="2:9" ht="15" customHeight="1" x14ac:dyDescent="0.2">
      <c r="B52" t="s">
        <v>217</v>
      </c>
      <c r="C52" s="12">
        <v>1</v>
      </c>
      <c r="D52" s="8">
        <v>0.93</v>
      </c>
      <c r="E52" s="12">
        <v>1</v>
      </c>
      <c r="F52" s="8">
        <v>1.39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236</v>
      </c>
      <c r="C53" s="12">
        <v>1</v>
      </c>
      <c r="D53" s="8">
        <v>0.93</v>
      </c>
      <c r="E53" s="12">
        <v>1</v>
      </c>
      <c r="F53" s="8">
        <v>1.39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246</v>
      </c>
      <c r="C54" s="12">
        <v>1</v>
      </c>
      <c r="D54" s="8">
        <v>0.93</v>
      </c>
      <c r="E54" s="12">
        <v>1</v>
      </c>
      <c r="F54" s="8">
        <v>1.39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226</v>
      </c>
      <c r="C55" s="12">
        <v>1</v>
      </c>
      <c r="D55" s="8">
        <v>0.93</v>
      </c>
      <c r="E55" s="12">
        <v>1</v>
      </c>
      <c r="F55" s="8">
        <v>1.39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242</v>
      </c>
      <c r="C56" s="12">
        <v>1</v>
      </c>
      <c r="D56" s="8">
        <v>0.93</v>
      </c>
      <c r="E56" s="12">
        <v>1</v>
      </c>
      <c r="F56" s="8">
        <v>1.39</v>
      </c>
      <c r="G56" s="12">
        <v>0</v>
      </c>
      <c r="H56" s="8">
        <v>0</v>
      </c>
      <c r="I56" s="12">
        <v>0</v>
      </c>
    </row>
    <row r="59" spans="2:9" ht="33" customHeight="1" x14ac:dyDescent="0.2">
      <c r="B59" t="s">
        <v>531</v>
      </c>
      <c r="C59" s="10" t="s">
        <v>206</v>
      </c>
      <c r="D59" s="10" t="s">
        <v>207</v>
      </c>
      <c r="E59" s="10" t="s">
        <v>208</v>
      </c>
      <c r="F59" s="10" t="s">
        <v>209</v>
      </c>
      <c r="G59" s="10" t="s">
        <v>210</v>
      </c>
      <c r="H59" s="10" t="s">
        <v>211</v>
      </c>
      <c r="I59" s="10" t="s">
        <v>212</v>
      </c>
    </row>
    <row r="60" spans="2:9" ht="15" customHeight="1" x14ac:dyDescent="0.2">
      <c r="B60" t="s">
        <v>461</v>
      </c>
      <c r="C60" s="12">
        <v>21</v>
      </c>
      <c r="D60" s="8">
        <v>19.440000000000001</v>
      </c>
      <c r="E60" s="12">
        <v>21</v>
      </c>
      <c r="F60" s="8">
        <v>29.17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304</v>
      </c>
      <c r="C61" s="12">
        <v>5</v>
      </c>
      <c r="D61" s="8">
        <v>4.63</v>
      </c>
      <c r="E61" s="12">
        <v>5</v>
      </c>
      <c r="F61" s="8">
        <v>6.94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318</v>
      </c>
      <c r="C62" s="12">
        <v>5</v>
      </c>
      <c r="D62" s="8">
        <v>4.63</v>
      </c>
      <c r="E62" s="12">
        <v>4</v>
      </c>
      <c r="F62" s="8">
        <v>5.56</v>
      </c>
      <c r="G62" s="12">
        <v>1</v>
      </c>
      <c r="H62" s="8">
        <v>3.7</v>
      </c>
      <c r="I62" s="12">
        <v>0</v>
      </c>
    </row>
    <row r="63" spans="2:9" ht="15" customHeight="1" x14ac:dyDescent="0.2">
      <c r="B63" t="s">
        <v>402</v>
      </c>
      <c r="C63" s="12">
        <v>4</v>
      </c>
      <c r="D63" s="8">
        <v>3.7</v>
      </c>
      <c r="E63" s="12">
        <v>2</v>
      </c>
      <c r="F63" s="8">
        <v>2.78</v>
      </c>
      <c r="G63" s="12">
        <v>2</v>
      </c>
      <c r="H63" s="8">
        <v>7.41</v>
      </c>
      <c r="I63" s="12">
        <v>0</v>
      </c>
    </row>
    <row r="64" spans="2:9" ht="15" customHeight="1" x14ac:dyDescent="0.2">
      <c r="B64" t="s">
        <v>295</v>
      </c>
      <c r="C64" s="12">
        <v>4</v>
      </c>
      <c r="D64" s="8">
        <v>3.7</v>
      </c>
      <c r="E64" s="12">
        <v>4</v>
      </c>
      <c r="F64" s="8">
        <v>5.56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303</v>
      </c>
      <c r="C65" s="12">
        <v>4</v>
      </c>
      <c r="D65" s="8">
        <v>3.7</v>
      </c>
      <c r="E65" s="12">
        <v>4</v>
      </c>
      <c r="F65" s="8">
        <v>5.56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340</v>
      </c>
      <c r="C66" s="12">
        <v>4</v>
      </c>
      <c r="D66" s="8">
        <v>3.7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306</v>
      </c>
      <c r="C67" s="12">
        <v>4</v>
      </c>
      <c r="D67" s="8">
        <v>3.7</v>
      </c>
      <c r="E67" s="12">
        <v>4</v>
      </c>
      <c r="F67" s="8">
        <v>5.56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314</v>
      </c>
      <c r="C68" s="12">
        <v>3</v>
      </c>
      <c r="D68" s="8">
        <v>2.78</v>
      </c>
      <c r="E68" s="12">
        <v>2</v>
      </c>
      <c r="F68" s="8">
        <v>2.78</v>
      </c>
      <c r="G68" s="12">
        <v>1</v>
      </c>
      <c r="H68" s="8">
        <v>3.7</v>
      </c>
      <c r="I68" s="12">
        <v>0</v>
      </c>
    </row>
    <row r="69" spans="2:9" ht="15" customHeight="1" x14ac:dyDescent="0.2">
      <c r="B69" t="s">
        <v>330</v>
      </c>
      <c r="C69" s="12">
        <v>3</v>
      </c>
      <c r="D69" s="8">
        <v>2.78</v>
      </c>
      <c r="E69" s="12">
        <v>1</v>
      </c>
      <c r="F69" s="8">
        <v>1.39</v>
      </c>
      <c r="G69" s="12">
        <v>2</v>
      </c>
      <c r="H69" s="8">
        <v>7.41</v>
      </c>
      <c r="I69" s="12">
        <v>0</v>
      </c>
    </row>
    <row r="70" spans="2:9" ht="15" customHeight="1" x14ac:dyDescent="0.2">
      <c r="B70" t="s">
        <v>384</v>
      </c>
      <c r="C70" s="12">
        <v>2</v>
      </c>
      <c r="D70" s="8">
        <v>1.85</v>
      </c>
      <c r="E70" s="12">
        <v>0</v>
      </c>
      <c r="F70" s="8">
        <v>0</v>
      </c>
      <c r="G70" s="12">
        <v>2</v>
      </c>
      <c r="H70" s="8">
        <v>7.41</v>
      </c>
      <c r="I70" s="12">
        <v>0</v>
      </c>
    </row>
    <row r="71" spans="2:9" ht="15" customHeight="1" x14ac:dyDescent="0.2">
      <c r="B71" t="s">
        <v>361</v>
      </c>
      <c r="C71" s="12">
        <v>2</v>
      </c>
      <c r="D71" s="8">
        <v>1.85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309</v>
      </c>
      <c r="C72" s="12">
        <v>2</v>
      </c>
      <c r="D72" s="8">
        <v>1.85</v>
      </c>
      <c r="E72" s="12">
        <v>0</v>
      </c>
      <c r="F72" s="8">
        <v>0</v>
      </c>
      <c r="G72" s="12">
        <v>2</v>
      </c>
      <c r="H72" s="8">
        <v>7.41</v>
      </c>
      <c r="I72" s="12">
        <v>0</v>
      </c>
    </row>
    <row r="73" spans="2:9" ht="15" customHeight="1" x14ac:dyDescent="0.2">
      <c r="B73" t="s">
        <v>354</v>
      </c>
      <c r="C73" s="12">
        <v>2</v>
      </c>
      <c r="D73" s="8">
        <v>1.85</v>
      </c>
      <c r="E73" s="12">
        <v>2</v>
      </c>
      <c r="F73" s="8">
        <v>2.78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335</v>
      </c>
      <c r="C74" s="12">
        <v>2</v>
      </c>
      <c r="D74" s="8">
        <v>1.85</v>
      </c>
      <c r="E74" s="12">
        <v>0</v>
      </c>
      <c r="F74" s="8">
        <v>0</v>
      </c>
      <c r="G74" s="12">
        <v>2</v>
      </c>
      <c r="H74" s="8">
        <v>7.41</v>
      </c>
      <c r="I74" s="12">
        <v>0</v>
      </c>
    </row>
    <row r="75" spans="2:9" ht="15" customHeight="1" x14ac:dyDescent="0.2">
      <c r="B75" t="s">
        <v>297</v>
      </c>
      <c r="C75" s="12">
        <v>2</v>
      </c>
      <c r="D75" s="8">
        <v>1.85</v>
      </c>
      <c r="E75" s="12">
        <v>2</v>
      </c>
      <c r="F75" s="8">
        <v>2.78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331</v>
      </c>
      <c r="C76" s="12">
        <v>2</v>
      </c>
      <c r="D76" s="8">
        <v>1.85</v>
      </c>
      <c r="E76" s="12">
        <v>0</v>
      </c>
      <c r="F76" s="8">
        <v>0</v>
      </c>
      <c r="G76" s="12">
        <v>1</v>
      </c>
      <c r="H76" s="8">
        <v>3.7</v>
      </c>
      <c r="I76" s="12">
        <v>0</v>
      </c>
    </row>
    <row r="77" spans="2:9" ht="15" customHeight="1" x14ac:dyDescent="0.2">
      <c r="B77" t="s">
        <v>307</v>
      </c>
      <c r="C77" s="12">
        <v>2</v>
      </c>
      <c r="D77" s="8">
        <v>1.85</v>
      </c>
      <c r="E77" s="12">
        <v>1</v>
      </c>
      <c r="F77" s="8">
        <v>1.39</v>
      </c>
      <c r="G77" s="12">
        <v>1</v>
      </c>
      <c r="H77" s="8">
        <v>3.7</v>
      </c>
      <c r="I77" s="12">
        <v>0</v>
      </c>
    </row>
    <row r="78" spans="2:9" ht="15" customHeight="1" x14ac:dyDescent="0.2">
      <c r="B78" t="s">
        <v>442</v>
      </c>
      <c r="C78" s="12">
        <v>1</v>
      </c>
      <c r="D78" s="8">
        <v>0.93</v>
      </c>
      <c r="E78" s="12">
        <v>0</v>
      </c>
      <c r="F78" s="8">
        <v>0</v>
      </c>
      <c r="G78" s="12">
        <v>1</v>
      </c>
      <c r="H78" s="8">
        <v>3.7</v>
      </c>
      <c r="I78" s="12">
        <v>0</v>
      </c>
    </row>
    <row r="79" spans="2:9" ht="15" customHeight="1" x14ac:dyDescent="0.2">
      <c r="B79" t="s">
        <v>375</v>
      </c>
      <c r="C79" s="12">
        <v>1</v>
      </c>
      <c r="D79" s="8">
        <v>0.93</v>
      </c>
      <c r="E79" s="12">
        <v>1</v>
      </c>
      <c r="F79" s="8">
        <v>1.39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393</v>
      </c>
      <c r="C80" s="12">
        <v>1</v>
      </c>
      <c r="D80" s="8">
        <v>0.93</v>
      </c>
      <c r="E80" s="12">
        <v>1</v>
      </c>
      <c r="F80" s="8">
        <v>1.39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343</v>
      </c>
      <c r="C81" s="12">
        <v>1</v>
      </c>
      <c r="D81" s="8">
        <v>0.93</v>
      </c>
      <c r="E81" s="12">
        <v>1</v>
      </c>
      <c r="F81" s="8">
        <v>1.39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333</v>
      </c>
      <c r="C82" s="12">
        <v>1</v>
      </c>
      <c r="D82" s="8">
        <v>0.93</v>
      </c>
      <c r="E82" s="12">
        <v>1</v>
      </c>
      <c r="F82" s="8">
        <v>1.39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290</v>
      </c>
      <c r="C83" s="12">
        <v>1</v>
      </c>
      <c r="D83" s="8">
        <v>0.93</v>
      </c>
      <c r="E83" s="12">
        <v>0</v>
      </c>
      <c r="F83" s="8">
        <v>0</v>
      </c>
      <c r="G83" s="12">
        <v>1</v>
      </c>
      <c r="H83" s="8">
        <v>3.7</v>
      </c>
      <c r="I83" s="12">
        <v>0</v>
      </c>
    </row>
    <row r="84" spans="2:9" ht="15" customHeight="1" x14ac:dyDescent="0.2">
      <c r="B84" t="s">
        <v>291</v>
      </c>
      <c r="C84" s="12">
        <v>1</v>
      </c>
      <c r="D84" s="8">
        <v>0.93</v>
      </c>
      <c r="E84" s="12">
        <v>0</v>
      </c>
      <c r="F84" s="8">
        <v>0</v>
      </c>
      <c r="G84" s="12">
        <v>1</v>
      </c>
      <c r="H84" s="8">
        <v>3.7</v>
      </c>
      <c r="I84" s="12">
        <v>0</v>
      </c>
    </row>
    <row r="85" spans="2:9" ht="15" customHeight="1" x14ac:dyDescent="0.2">
      <c r="B85" t="s">
        <v>342</v>
      </c>
      <c r="C85" s="12">
        <v>1</v>
      </c>
      <c r="D85" s="8">
        <v>0.93</v>
      </c>
      <c r="E85" s="12">
        <v>1</v>
      </c>
      <c r="F85" s="8">
        <v>1.39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378</v>
      </c>
      <c r="C86" s="12">
        <v>1</v>
      </c>
      <c r="D86" s="8">
        <v>0.93</v>
      </c>
      <c r="E86" s="12">
        <v>0</v>
      </c>
      <c r="F86" s="8">
        <v>0</v>
      </c>
      <c r="G86" s="12">
        <v>1</v>
      </c>
      <c r="H86" s="8">
        <v>3.7</v>
      </c>
      <c r="I86" s="12">
        <v>0</v>
      </c>
    </row>
    <row r="87" spans="2:9" ht="15" customHeight="1" x14ac:dyDescent="0.2">
      <c r="B87" t="s">
        <v>359</v>
      </c>
      <c r="C87" s="12">
        <v>1</v>
      </c>
      <c r="D87" s="8">
        <v>0.93</v>
      </c>
      <c r="E87" s="12">
        <v>1</v>
      </c>
      <c r="F87" s="8">
        <v>1.39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399</v>
      </c>
      <c r="C88" s="12">
        <v>1</v>
      </c>
      <c r="D88" s="8">
        <v>0.93</v>
      </c>
      <c r="E88" s="12">
        <v>0</v>
      </c>
      <c r="F88" s="8">
        <v>0</v>
      </c>
      <c r="G88" s="12">
        <v>1</v>
      </c>
      <c r="H88" s="8">
        <v>3.7</v>
      </c>
      <c r="I88" s="12">
        <v>0</v>
      </c>
    </row>
    <row r="89" spans="2:9" ht="15" customHeight="1" x14ac:dyDescent="0.2">
      <c r="B89" t="s">
        <v>507</v>
      </c>
      <c r="C89" s="12">
        <v>1</v>
      </c>
      <c r="D89" s="8">
        <v>0.93</v>
      </c>
      <c r="E89" s="12">
        <v>0</v>
      </c>
      <c r="F89" s="8">
        <v>0</v>
      </c>
      <c r="G89" s="12">
        <v>1</v>
      </c>
      <c r="H89" s="8">
        <v>3.7</v>
      </c>
      <c r="I89" s="12">
        <v>0</v>
      </c>
    </row>
    <row r="90" spans="2:9" ht="15" customHeight="1" x14ac:dyDescent="0.2">
      <c r="B90" t="s">
        <v>374</v>
      </c>
      <c r="C90" s="12">
        <v>1</v>
      </c>
      <c r="D90" s="8">
        <v>0.93</v>
      </c>
      <c r="E90" s="12">
        <v>0</v>
      </c>
      <c r="F90" s="8">
        <v>0</v>
      </c>
      <c r="G90" s="12">
        <v>1</v>
      </c>
      <c r="H90" s="8">
        <v>3.7</v>
      </c>
      <c r="I90" s="12">
        <v>0</v>
      </c>
    </row>
    <row r="91" spans="2:9" ht="15" customHeight="1" x14ac:dyDescent="0.2">
      <c r="B91" t="s">
        <v>414</v>
      </c>
      <c r="C91" s="12">
        <v>1</v>
      </c>
      <c r="D91" s="8">
        <v>0.93</v>
      </c>
      <c r="E91" s="12">
        <v>1</v>
      </c>
      <c r="F91" s="8">
        <v>1.39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508</v>
      </c>
      <c r="C92" s="12">
        <v>1</v>
      </c>
      <c r="D92" s="8">
        <v>0.93</v>
      </c>
      <c r="E92" s="12">
        <v>0</v>
      </c>
      <c r="F92" s="8">
        <v>0</v>
      </c>
      <c r="G92" s="12">
        <v>1</v>
      </c>
      <c r="H92" s="8">
        <v>3.7</v>
      </c>
      <c r="I92" s="12">
        <v>0</v>
      </c>
    </row>
    <row r="93" spans="2:9" ht="15" customHeight="1" x14ac:dyDescent="0.2">
      <c r="B93" t="s">
        <v>466</v>
      </c>
      <c r="C93" s="12">
        <v>1</v>
      </c>
      <c r="D93" s="8">
        <v>0.93</v>
      </c>
      <c r="E93" s="12">
        <v>0</v>
      </c>
      <c r="F93" s="8">
        <v>0</v>
      </c>
      <c r="G93" s="12">
        <v>1</v>
      </c>
      <c r="H93" s="8">
        <v>3.7</v>
      </c>
      <c r="I93" s="12">
        <v>0</v>
      </c>
    </row>
    <row r="94" spans="2:9" ht="15" customHeight="1" x14ac:dyDescent="0.2">
      <c r="B94" t="s">
        <v>446</v>
      </c>
      <c r="C94" s="12">
        <v>1</v>
      </c>
      <c r="D94" s="8">
        <v>0.93</v>
      </c>
      <c r="E94" s="12">
        <v>1</v>
      </c>
      <c r="F94" s="8">
        <v>1.39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400</v>
      </c>
      <c r="C95" s="12">
        <v>1</v>
      </c>
      <c r="D95" s="8">
        <v>0.93</v>
      </c>
      <c r="E95" s="12">
        <v>1</v>
      </c>
      <c r="F95" s="8">
        <v>1.39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382</v>
      </c>
      <c r="C96" s="12">
        <v>1</v>
      </c>
      <c r="D96" s="8">
        <v>0.93</v>
      </c>
      <c r="E96" s="12">
        <v>0</v>
      </c>
      <c r="F96" s="8">
        <v>0</v>
      </c>
      <c r="G96" s="12">
        <v>1</v>
      </c>
      <c r="H96" s="8">
        <v>3.7</v>
      </c>
      <c r="I96" s="12">
        <v>0</v>
      </c>
    </row>
    <row r="97" spans="2:9" ht="15" customHeight="1" x14ac:dyDescent="0.2">
      <c r="B97" t="s">
        <v>329</v>
      </c>
      <c r="C97" s="12">
        <v>1</v>
      </c>
      <c r="D97" s="8">
        <v>0.93</v>
      </c>
      <c r="E97" s="12">
        <v>1</v>
      </c>
      <c r="F97" s="8">
        <v>1.39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294</v>
      </c>
      <c r="C98" s="12">
        <v>1</v>
      </c>
      <c r="D98" s="8">
        <v>0.93</v>
      </c>
      <c r="E98" s="12">
        <v>0</v>
      </c>
      <c r="F98" s="8">
        <v>0</v>
      </c>
      <c r="G98" s="12">
        <v>1</v>
      </c>
      <c r="H98" s="8">
        <v>3.7</v>
      </c>
      <c r="I98" s="12">
        <v>0</v>
      </c>
    </row>
    <row r="99" spans="2:9" ht="15" customHeight="1" x14ac:dyDescent="0.2">
      <c r="B99" t="s">
        <v>337</v>
      </c>
      <c r="C99" s="12">
        <v>1</v>
      </c>
      <c r="D99" s="8">
        <v>0.93</v>
      </c>
      <c r="E99" s="12">
        <v>1</v>
      </c>
      <c r="F99" s="8">
        <v>1.39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449</v>
      </c>
      <c r="C100" s="12">
        <v>1</v>
      </c>
      <c r="D100" s="8">
        <v>0.93</v>
      </c>
      <c r="E100" s="12">
        <v>1</v>
      </c>
      <c r="F100" s="8">
        <v>1.39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415</v>
      </c>
      <c r="C101" s="12">
        <v>1</v>
      </c>
      <c r="D101" s="8">
        <v>0.93</v>
      </c>
      <c r="E101" s="12">
        <v>1</v>
      </c>
      <c r="F101" s="8">
        <v>1.39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409</v>
      </c>
      <c r="C102" s="12">
        <v>1</v>
      </c>
      <c r="D102" s="8">
        <v>0.93</v>
      </c>
      <c r="E102" s="12">
        <v>1</v>
      </c>
      <c r="F102" s="8">
        <v>1.39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334</v>
      </c>
      <c r="C103" s="12">
        <v>1</v>
      </c>
      <c r="D103" s="8">
        <v>0.93</v>
      </c>
      <c r="E103" s="12">
        <v>1</v>
      </c>
      <c r="F103" s="8">
        <v>1.39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299</v>
      </c>
      <c r="C104" s="12">
        <v>1</v>
      </c>
      <c r="D104" s="8">
        <v>0.93</v>
      </c>
      <c r="E104" s="12">
        <v>1</v>
      </c>
      <c r="F104" s="8">
        <v>1.39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300</v>
      </c>
      <c r="C105" s="12">
        <v>1</v>
      </c>
      <c r="D105" s="8">
        <v>0.93</v>
      </c>
      <c r="E105" s="12">
        <v>1</v>
      </c>
      <c r="F105" s="8">
        <v>1.39</v>
      </c>
      <c r="G105" s="12">
        <v>0</v>
      </c>
      <c r="H105" s="8">
        <v>0</v>
      </c>
      <c r="I105" s="12">
        <v>0</v>
      </c>
    </row>
    <row r="106" spans="2:9" ht="15" customHeight="1" x14ac:dyDescent="0.2">
      <c r="B106" t="s">
        <v>301</v>
      </c>
      <c r="C106" s="12">
        <v>1</v>
      </c>
      <c r="D106" s="8">
        <v>0.93</v>
      </c>
      <c r="E106" s="12">
        <v>1</v>
      </c>
      <c r="F106" s="8">
        <v>1.39</v>
      </c>
      <c r="G106" s="12">
        <v>0</v>
      </c>
      <c r="H106" s="8">
        <v>0</v>
      </c>
      <c r="I106" s="12">
        <v>0</v>
      </c>
    </row>
    <row r="107" spans="2:9" ht="15" customHeight="1" x14ac:dyDescent="0.2">
      <c r="B107" t="s">
        <v>368</v>
      </c>
      <c r="C107" s="12">
        <v>1</v>
      </c>
      <c r="D107" s="8">
        <v>0.93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2">
      <c r="B108" t="s">
        <v>411</v>
      </c>
      <c r="C108" s="12">
        <v>1</v>
      </c>
      <c r="D108" s="8">
        <v>0.93</v>
      </c>
      <c r="E108" s="12">
        <v>0</v>
      </c>
      <c r="F108" s="8">
        <v>0</v>
      </c>
      <c r="G108" s="12">
        <v>0</v>
      </c>
      <c r="H108" s="8">
        <v>0</v>
      </c>
      <c r="I108" s="12">
        <v>0</v>
      </c>
    </row>
    <row r="109" spans="2:9" ht="15" customHeight="1" x14ac:dyDescent="0.2">
      <c r="B109" t="s">
        <v>312</v>
      </c>
      <c r="C109" s="12">
        <v>1</v>
      </c>
      <c r="D109" s="8">
        <v>0.93</v>
      </c>
      <c r="E109" s="12">
        <v>1</v>
      </c>
      <c r="F109" s="8">
        <v>1.39</v>
      </c>
      <c r="G109" s="12">
        <v>0</v>
      </c>
      <c r="H109" s="8">
        <v>0</v>
      </c>
      <c r="I109" s="12">
        <v>0</v>
      </c>
    </row>
    <row r="110" spans="2:9" ht="15" customHeight="1" x14ac:dyDescent="0.2">
      <c r="B110" t="s">
        <v>347</v>
      </c>
      <c r="C110" s="12">
        <v>1</v>
      </c>
      <c r="D110" s="8">
        <v>0.93</v>
      </c>
      <c r="E110" s="12">
        <v>0</v>
      </c>
      <c r="F110" s="8">
        <v>0</v>
      </c>
      <c r="G110" s="12">
        <v>1</v>
      </c>
      <c r="H110" s="8">
        <v>3.7</v>
      </c>
      <c r="I110" s="12">
        <v>0</v>
      </c>
    </row>
    <row r="111" spans="2:9" ht="15" customHeight="1" x14ac:dyDescent="0.2">
      <c r="B111" t="s">
        <v>369</v>
      </c>
      <c r="C111" s="12">
        <v>1</v>
      </c>
      <c r="D111" s="8">
        <v>0.93</v>
      </c>
      <c r="E111" s="12">
        <v>0</v>
      </c>
      <c r="F111" s="8">
        <v>0</v>
      </c>
      <c r="G111" s="12">
        <v>1</v>
      </c>
      <c r="H111" s="8">
        <v>3.7</v>
      </c>
      <c r="I111" s="12">
        <v>0</v>
      </c>
    </row>
    <row r="112" spans="2:9" ht="15" customHeight="1" x14ac:dyDescent="0.2">
      <c r="B112" t="s">
        <v>371</v>
      </c>
      <c r="C112" s="12">
        <v>1</v>
      </c>
      <c r="D112" s="8">
        <v>0.93</v>
      </c>
      <c r="E112" s="12">
        <v>1</v>
      </c>
      <c r="F112" s="8">
        <v>1.39</v>
      </c>
      <c r="G112" s="12">
        <v>0</v>
      </c>
      <c r="H112" s="8">
        <v>0</v>
      </c>
      <c r="I112" s="12">
        <v>0</v>
      </c>
    </row>
    <row r="114" spans="2:2" ht="15" customHeight="1" x14ac:dyDescent="0.2">
      <c r="B11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8C683-78F4-4D75-98E3-729B4089B2EC}">
  <sheetPr>
    <pageSetUpPr fitToPage="1"/>
  </sheetPr>
  <dimension ref="B2:I8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18</v>
      </c>
      <c r="D6" s="8">
        <v>12.08</v>
      </c>
      <c r="E6" s="12">
        <v>9</v>
      </c>
      <c r="F6" s="8">
        <v>10.98</v>
      </c>
      <c r="G6" s="12">
        <v>9</v>
      </c>
      <c r="H6" s="8">
        <v>15.52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6.04</v>
      </c>
      <c r="E7" s="12">
        <v>0</v>
      </c>
      <c r="F7" s="8">
        <v>0</v>
      </c>
      <c r="G7" s="12">
        <v>9</v>
      </c>
      <c r="H7" s="8">
        <v>15.52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1.34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1.34</v>
      </c>
      <c r="E10" s="12">
        <v>1</v>
      </c>
      <c r="F10" s="8">
        <v>1.22</v>
      </c>
      <c r="G10" s="12">
        <v>1</v>
      </c>
      <c r="H10" s="8">
        <v>1.72</v>
      </c>
      <c r="I10" s="12">
        <v>0</v>
      </c>
    </row>
    <row r="11" spans="2:9" ht="15" customHeight="1" x14ac:dyDescent="0.2">
      <c r="B11" t="s">
        <v>196</v>
      </c>
      <c r="C11" s="12">
        <v>43</v>
      </c>
      <c r="D11" s="8">
        <v>28.86</v>
      </c>
      <c r="E11" s="12">
        <v>28</v>
      </c>
      <c r="F11" s="8">
        <v>34.15</v>
      </c>
      <c r="G11" s="12">
        <v>15</v>
      </c>
      <c r="H11" s="8">
        <v>25.86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9</v>
      </c>
      <c r="D13" s="8">
        <v>6.04</v>
      </c>
      <c r="E13" s="12">
        <v>7</v>
      </c>
      <c r="F13" s="8">
        <v>8.5399999999999991</v>
      </c>
      <c r="G13" s="12">
        <v>2</v>
      </c>
      <c r="H13" s="8">
        <v>3.45</v>
      </c>
      <c r="I13" s="12">
        <v>0</v>
      </c>
    </row>
    <row r="14" spans="2:9" ht="15" customHeight="1" x14ac:dyDescent="0.2">
      <c r="B14" t="s">
        <v>199</v>
      </c>
      <c r="C14" s="12">
        <v>7</v>
      </c>
      <c r="D14" s="8">
        <v>4.7</v>
      </c>
      <c r="E14" s="12">
        <v>3</v>
      </c>
      <c r="F14" s="8">
        <v>3.66</v>
      </c>
      <c r="G14" s="12">
        <v>4</v>
      </c>
      <c r="H14" s="8">
        <v>6.9</v>
      </c>
      <c r="I14" s="12">
        <v>0</v>
      </c>
    </row>
    <row r="15" spans="2:9" ht="15" customHeight="1" x14ac:dyDescent="0.2">
      <c r="B15" t="s">
        <v>200</v>
      </c>
      <c r="C15" s="12">
        <v>20</v>
      </c>
      <c r="D15" s="8">
        <v>13.42</v>
      </c>
      <c r="E15" s="12">
        <v>11</v>
      </c>
      <c r="F15" s="8">
        <v>13.41</v>
      </c>
      <c r="G15" s="12">
        <v>9</v>
      </c>
      <c r="H15" s="8">
        <v>15.52</v>
      </c>
      <c r="I15" s="12">
        <v>0</v>
      </c>
    </row>
    <row r="16" spans="2:9" ht="15" customHeight="1" x14ac:dyDescent="0.2">
      <c r="B16" t="s">
        <v>201</v>
      </c>
      <c r="C16" s="12">
        <v>15</v>
      </c>
      <c r="D16" s="8">
        <v>10.07</v>
      </c>
      <c r="E16" s="12">
        <v>13</v>
      </c>
      <c r="F16" s="8">
        <v>15.85</v>
      </c>
      <c r="G16" s="12">
        <v>2</v>
      </c>
      <c r="H16" s="8">
        <v>3.45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2.0099999999999998</v>
      </c>
      <c r="E17" s="12">
        <v>1</v>
      </c>
      <c r="F17" s="8">
        <v>1.22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11</v>
      </c>
      <c r="D18" s="8">
        <v>7.38</v>
      </c>
      <c r="E18" s="12">
        <v>3</v>
      </c>
      <c r="F18" s="8">
        <v>3.66</v>
      </c>
      <c r="G18" s="12">
        <v>3</v>
      </c>
      <c r="H18" s="8">
        <v>5.17</v>
      </c>
      <c r="I18" s="12">
        <v>0</v>
      </c>
    </row>
    <row r="19" spans="2:9" ht="15" customHeight="1" x14ac:dyDescent="0.2">
      <c r="B19" t="s">
        <v>204</v>
      </c>
      <c r="C19" s="12">
        <v>10</v>
      </c>
      <c r="D19" s="8">
        <v>6.71</v>
      </c>
      <c r="E19" s="12">
        <v>6</v>
      </c>
      <c r="F19" s="8">
        <v>7.32</v>
      </c>
      <c r="G19" s="12">
        <v>4</v>
      </c>
      <c r="H19" s="8">
        <v>6.9</v>
      </c>
      <c r="I19" s="12">
        <v>0</v>
      </c>
    </row>
    <row r="20" spans="2:9" ht="15" customHeight="1" x14ac:dyDescent="0.2">
      <c r="B20" s="9" t="s">
        <v>529</v>
      </c>
      <c r="C20" s="12">
        <f>SUM(LTBL_01552[総数／事業所数])</f>
        <v>149</v>
      </c>
      <c r="E20" s="12">
        <f>SUBTOTAL(109,LTBL_01552[個人／事業所数])</f>
        <v>82</v>
      </c>
      <c r="G20" s="12">
        <f>SUBTOTAL(109,LTBL_01552[法人／事業所数])</f>
        <v>58</v>
      </c>
      <c r="I20" s="12">
        <f>SUBTOTAL(109,LTBL_01552[法人以外の団体／事業所数])</f>
        <v>0</v>
      </c>
    </row>
    <row r="21" spans="2:9" ht="15" customHeight="1" x14ac:dyDescent="0.2">
      <c r="E21" s="11">
        <f>LTBL_01552[[#Totals],[個人／事業所数]]/LTBL_01552[[#Totals],[総数／事業所数]]</f>
        <v>0.55033557046979864</v>
      </c>
      <c r="G21" s="11">
        <f>LTBL_01552[[#Totals],[法人／事業所数]]/LTBL_01552[[#Totals],[総数／事業所数]]</f>
        <v>0.38926174496644295</v>
      </c>
      <c r="I21" s="11">
        <f>LTBL_01552[[#Totals],[法人以外の団体／事業所数]]/LTBL_01552[[#Totals],[総数／事業所数]]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18</v>
      </c>
      <c r="D24" s="8">
        <v>12.08</v>
      </c>
      <c r="E24" s="12">
        <v>12</v>
      </c>
      <c r="F24" s="8">
        <v>14.63</v>
      </c>
      <c r="G24" s="12">
        <v>6</v>
      </c>
      <c r="H24" s="8">
        <v>10.34</v>
      </c>
      <c r="I24" s="12">
        <v>0</v>
      </c>
    </row>
    <row r="25" spans="2:9" ht="15" customHeight="1" x14ac:dyDescent="0.2">
      <c r="B25" t="s">
        <v>228</v>
      </c>
      <c r="C25" s="12">
        <v>13</v>
      </c>
      <c r="D25" s="8">
        <v>8.7200000000000006</v>
      </c>
      <c r="E25" s="12">
        <v>13</v>
      </c>
      <c r="F25" s="8">
        <v>15.85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221</v>
      </c>
      <c r="C26" s="12">
        <v>11</v>
      </c>
      <c r="D26" s="8">
        <v>7.38</v>
      </c>
      <c r="E26" s="12">
        <v>9</v>
      </c>
      <c r="F26" s="8">
        <v>10.98</v>
      </c>
      <c r="G26" s="12">
        <v>2</v>
      </c>
      <c r="H26" s="8">
        <v>3.45</v>
      </c>
      <c r="I26" s="12">
        <v>0</v>
      </c>
    </row>
    <row r="27" spans="2:9" ht="15" customHeight="1" x14ac:dyDescent="0.2">
      <c r="B27" t="s">
        <v>227</v>
      </c>
      <c r="C27" s="12">
        <v>11</v>
      </c>
      <c r="D27" s="8">
        <v>7.38</v>
      </c>
      <c r="E27" s="12">
        <v>9</v>
      </c>
      <c r="F27" s="8">
        <v>10.98</v>
      </c>
      <c r="G27" s="12">
        <v>2</v>
      </c>
      <c r="H27" s="8">
        <v>3.45</v>
      </c>
      <c r="I27" s="12">
        <v>0</v>
      </c>
    </row>
    <row r="28" spans="2:9" ht="15" customHeight="1" x14ac:dyDescent="0.2">
      <c r="B28" t="s">
        <v>213</v>
      </c>
      <c r="C28" s="12">
        <v>7</v>
      </c>
      <c r="D28" s="8">
        <v>4.7</v>
      </c>
      <c r="E28" s="12">
        <v>1</v>
      </c>
      <c r="F28" s="8">
        <v>1.22</v>
      </c>
      <c r="G28" s="12">
        <v>6</v>
      </c>
      <c r="H28" s="8">
        <v>10.34</v>
      </c>
      <c r="I28" s="12">
        <v>0</v>
      </c>
    </row>
    <row r="29" spans="2:9" ht="15" customHeight="1" x14ac:dyDescent="0.2">
      <c r="B29" t="s">
        <v>232</v>
      </c>
      <c r="C29" s="12">
        <v>7</v>
      </c>
      <c r="D29" s="8">
        <v>4.7</v>
      </c>
      <c r="E29" s="12">
        <v>0</v>
      </c>
      <c r="F29" s="8">
        <v>0</v>
      </c>
      <c r="G29" s="12">
        <v>2</v>
      </c>
      <c r="H29" s="8">
        <v>3.45</v>
      </c>
      <c r="I29" s="12">
        <v>0</v>
      </c>
    </row>
    <row r="30" spans="2:9" ht="15" customHeight="1" x14ac:dyDescent="0.2">
      <c r="B30" t="s">
        <v>214</v>
      </c>
      <c r="C30" s="12">
        <v>6</v>
      </c>
      <c r="D30" s="8">
        <v>4.03</v>
      </c>
      <c r="E30" s="12">
        <v>5</v>
      </c>
      <c r="F30" s="8">
        <v>6.1</v>
      </c>
      <c r="G30" s="12">
        <v>1</v>
      </c>
      <c r="H30" s="8">
        <v>1.72</v>
      </c>
      <c r="I30" s="12">
        <v>0</v>
      </c>
    </row>
    <row r="31" spans="2:9" ht="15" customHeight="1" x14ac:dyDescent="0.2">
      <c r="B31" t="s">
        <v>220</v>
      </c>
      <c r="C31" s="12">
        <v>6</v>
      </c>
      <c r="D31" s="8">
        <v>4.03</v>
      </c>
      <c r="E31" s="12">
        <v>5</v>
      </c>
      <c r="F31" s="8">
        <v>6.1</v>
      </c>
      <c r="G31" s="12">
        <v>1</v>
      </c>
      <c r="H31" s="8">
        <v>1.72</v>
      </c>
      <c r="I31" s="12">
        <v>0</v>
      </c>
    </row>
    <row r="32" spans="2:9" ht="15" customHeight="1" x14ac:dyDescent="0.2">
      <c r="B32" t="s">
        <v>224</v>
      </c>
      <c r="C32" s="12">
        <v>6</v>
      </c>
      <c r="D32" s="8">
        <v>4.03</v>
      </c>
      <c r="E32" s="12">
        <v>6</v>
      </c>
      <c r="F32" s="8">
        <v>7.32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243</v>
      </c>
      <c r="C33" s="12">
        <v>6</v>
      </c>
      <c r="D33" s="8">
        <v>4.03</v>
      </c>
      <c r="E33" s="12">
        <v>2</v>
      </c>
      <c r="F33" s="8">
        <v>2.44</v>
      </c>
      <c r="G33" s="12">
        <v>4</v>
      </c>
      <c r="H33" s="8">
        <v>6.9</v>
      </c>
      <c r="I33" s="12">
        <v>0</v>
      </c>
    </row>
    <row r="34" spans="2:9" ht="15" customHeight="1" x14ac:dyDescent="0.2">
      <c r="B34" t="s">
        <v>215</v>
      </c>
      <c r="C34" s="12">
        <v>5</v>
      </c>
      <c r="D34" s="8">
        <v>3.36</v>
      </c>
      <c r="E34" s="12">
        <v>3</v>
      </c>
      <c r="F34" s="8">
        <v>3.66</v>
      </c>
      <c r="G34" s="12">
        <v>2</v>
      </c>
      <c r="H34" s="8">
        <v>3.45</v>
      </c>
      <c r="I34" s="12">
        <v>0</v>
      </c>
    </row>
    <row r="35" spans="2:9" ht="15" customHeight="1" x14ac:dyDescent="0.2">
      <c r="B35" t="s">
        <v>241</v>
      </c>
      <c r="C35" s="12">
        <v>5</v>
      </c>
      <c r="D35" s="8">
        <v>3.36</v>
      </c>
      <c r="E35" s="12">
        <v>0</v>
      </c>
      <c r="F35" s="8">
        <v>0</v>
      </c>
      <c r="G35" s="12">
        <v>5</v>
      </c>
      <c r="H35" s="8">
        <v>8.6199999999999992</v>
      </c>
      <c r="I35" s="12">
        <v>0</v>
      </c>
    </row>
    <row r="36" spans="2:9" ht="15" customHeight="1" x14ac:dyDescent="0.2">
      <c r="B36" t="s">
        <v>226</v>
      </c>
      <c r="C36" s="12">
        <v>4</v>
      </c>
      <c r="D36" s="8">
        <v>2.68</v>
      </c>
      <c r="E36" s="12">
        <v>2</v>
      </c>
      <c r="F36" s="8">
        <v>2.44</v>
      </c>
      <c r="G36" s="12">
        <v>2</v>
      </c>
      <c r="H36" s="8">
        <v>3.45</v>
      </c>
      <c r="I36" s="12">
        <v>0</v>
      </c>
    </row>
    <row r="37" spans="2:9" ht="15" customHeight="1" x14ac:dyDescent="0.2">
      <c r="B37" t="s">
        <v>231</v>
      </c>
      <c r="C37" s="12">
        <v>4</v>
      </c>
      <c r="D37" s="8">
        <v>2.68</v>
      </c>
      <c r="E37" s="12">
        <v>3</v>
      </c>
      <c r="F37" s="8">
        <v>3.66</v>
      </c>
      <c r="G37" s="12">
        <v>1</v>
      </c>
      <c r="H37" s="8">
        <v>1.72</v>
      </c>
      <c r="I37" s="12">
        <v>0</v>
      </c>
    </row>
    <row r="38" spans="2:9" ht="15" customHeight="1" x14ac:dyDescent="0.2">
      <c r="B38" t="s">
        <v>240</v>
      </c>
      <c r="C38" s="12">
        <v>4</v>
      </c>
      <c r="D38" s="8">
        <v>2.68</v>
      </c>
      <c r="E38" s="12">
        <v>3</v>
      </c>
      <c r="F38" s="8">
        <v>3.66</v>
      </c>
      <c r="G38" s="12">
        <v>1</v>
      </c>
      <c r="H38" s="8">
        <v>1.72</v>
      </c>
      <c r="I38" s="12">
        <v>0</v>
      </c>
    </row>
    <row r="39" spans="2:9" ht="15" customHeight="1" x14ac:dyDescent="0.2">
      <c r="B39" t="s">
        <v>242</v>
      </c>
      <c r="C39" s="12">
        <v>4</v>
      </c>
      <c r="D39" s="8">
        <v>2.68</v>
      </c>
      <c r="E39" s="12">
        <v>3</v>
      </c>
      <c r="F39" s="8">
        <v>3.66</v>
      </c>
      <c r="G39" s="12">
        <v>1</v>
      </c>
      <c r="H39" s="8">
        <v>1.72</v>
      </c>
      <c r="I39" s="12">
        <v>0</v>
      </c>
    </row>
    <row r="40" spans="2:9" ht="15" customHeight="1" x14ac:dyDescent="0.2">
      <c r="B40" t="s">
        <v>246</v>
      </c>
      <c r="C40" s="12">
        <v>3</v>
      </c>
      <c r="D40" s="8">
        <v>2.0099999999999998</v>
      </c>
      <c r="E40" s="12">
        <v>1</v>
      </c>
      <c r="F40" s="8">
        <v>1.22</v>
      </c>
      <c r="G40" s="12">
        <v>2</v>
      </c>
      <c r="H40" s="8">
        <v>3.45</v>
      </c>
      <c r="I40" s="12">
        <v>0</v>
      </c>
    </row>
    <row r="41" spans="2:9" ht="15" customHeight="1" x14ac:dyDescent="0.2">
      <c r="B41" t="s">
        <v>239</v>
      </c>
      <c r="C41" s="12">
        <v>3</v>
      </c>
      <c r="D41" s="8">
        <v>2.0099999999999998</v>
      </c>
      <c r="E41" s="12">
        <v>0</v>
      </c>
      <c r="F41" s="8">
        <v>0</v>
      </c>
      <c r="G41" s="12">
        <v>3</v>
      </c>
      <c r="H41" s="8">
        <v>5.17</v>
      </c>
      <c r="I41" s="12">
        <v>0</v>
      </c>
    </row>
    <row r="42" spans="2:9" ht="15" customHeight="1" x14ac:dyDescent="0.2">
      <c r="B42" t="s">
        <v>230</v>
      </c>
      <c r="C42" s="12">
        <v>3</v>
      </c>
      <c r="D42" s="8">
        <v>2.0099999999999998</v>
      </c>
      <c r="E42" s="12">
        <v>1</v>
      </c>
      <c r="F42" s="8">
        <v>1.22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255</v>
      </c>
      <c r="C43" s="12">
        <v>2</v>
      </c>
      <c r="D43" s="8">
        <v>1.34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216</v>
      </c>
      <c r="C44" s="12">
        <v>2</v>
      </c>
      <c r="D44" s="8">
        <v>1.34</v>
      </c>
      <c r="E44" s="12">
        <v>0</v>
      </c>
      <c r="F44" s="8">
        <v>0</v>
      </c>
      <c r="G44" s="12">
        <v>2</v>
      </c>
      <c r="H44" s="8">
        <v>3.45</v>
      </c>
      <c r="I44" s="12">
        <v>0</v>
      </c>
    </row>
    <row r="45" spans="2:9" ht="15" customHeight="1" x14ac:dyDescent="0.2">
      <c r="B45" t="s">
        <v>217</v>
      </c>
      <c r="C45" s="12">
        <v>2</v>
      </c>
      <c r="D45" s="8">
        <v>1.34</v>
      </c>
      <c r="E45" s="12">
        <v>0</v>
      </c>
      <c r="F45" s="8">
        <v>0</v>
      </c>
      <c r="G45" s="12">
        <v>2</v>
      </c>
      <c r="H45" s="8">
        <v>3.45</v>
      </c>
      <c r="I45" s="12">
        <v>0</v>
      </c>
    </row>
    <row r="46" spans="2:9" ht="15" customHeight="1" x14ac:dyDescent="0.2">
      <c r="B46" t="s">
        <v>218</v>
      </c>
      <c r="C46" s="12">
        <v>2</v>
      </c>
      <c r="D46" s="8">
        <v>1.34</v>
      </c>
      <c r="E46" s="12">
        <v>0</v>
      </c>
      <c r="F46" s="8">
        <v>0</v>
      </c>
      <c r="G46" s="12">
        <v>2</v>
      </c>
      <c r="H46" s="8">
        <v>3.45</v>
      </c>
      <c r="I46" s="12">
        <v>0</v>
      </c>
    </row>
    <row r="47" spans="2:9" ht="15" customHeight="1" x14ac:dyDescent="0.2">
      <c r="B47" t="s">
        <v>222</v>
      </c>
      <c r="C47" s="12">
        <v>2</v>
      </c>
      <c r="D47" s="8">
        <v>1.34</v>
      </c>
      <c r="E47" s="12">
        <v>2</v>
      </c>
      <c r="F47" s="8">
        <v>2.44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225</v>
      </c>
      <c r="C48" s="12">
        <v>2</v>
      </c>
      <c r="D48" s="8">
        <v>1.34</v>
      </c>
      <c r="E48" s="12">
        <v>1</v>
      </c>
      <c r="F48" s="8">
        <v>1.22</v>
      </c>
      <c r="G48" s="12">
        <v>1</v>
      </c>
      <c r="H48" s="8">
        <v>1.72</v>
      </c>
      <c r="I48" s="12">
        <v>0</v>
      </c>
    </row>
    <row r="49" spans="2:9" ht="15" customHeight="1" x14ac:dyDescent="0.2">
      <c r="B49" t="s">
        <v>229</v>
      </c>
      <c r="C49" s="12">
        <v>2</v>
      </c>
      <c r="D49" s="8">
        <v>1.34</v>
      </c>
      <c r="E49" s="12">
        <v>0</v>
      </c>
      <c r="F49" s="8">
        <v>0</v>
      </c>
      <c r="G49" s="12">
        <v>2</v>
      </c>
      <c r="H49" s="8">
        <v>3.45</v>
      </c>
      <c r="I49" s="12">
        <v>0</v>
      </c>
    </row>
    <row r="52" spans="2:9" ht="33" customHeight="1" x14ac:dyDescent="0.2">
      <c r="B52" t="s">
        <v>531</v>
      </c>
      <c r="C52" s="10" t="s">
        <v>206</v>
      </c>
      <c r="D52" s="10" t="s">
        <v>207</v>
      </c>
      <c r="E52" s="10" t="s">
        <v>208</v>
      </c>
      <c r="F52" s="10" t="s">
        <v>209</v>
      </c>
      <c r="G52" s="10" t="s">
        <v>210</v>
      </c>
      <c r="H52" s="10" t="s">
        <v>211</v>
      </c>
      <c r="I52" s="10" t="s">
        <v>212</v>
      </c>
    </row>
    <row r="53" spans="2:9" ht="15" customHeight="1" x14ac:dyDescent="0.2">
      <c r="B53" t="s">
        <v>304</v>
      </c>
      <c r="C53" s="12">
        <v>7</v>
      </c>
      <c r="D53" s="8">
        <v>4.7</v>
      </c>
      <c r="E53" s="12">
        <v>7</v>
      </c>
      <c r="F53" s="8">
        <v>8.5399999999999991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337</v>
      </c>
      <c r="C54" s="12">
        <v>6</v>
      </c>
      <c r="D54" s="8">
        <v>4.03</v>
      </c>
      <c r="E54" s="12">
        <v>6</v>
      </c>
      <c r="F54" s="8">
        <v>7.32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297</v>
      </c>
      <c r="C55" s="12">
        <v>6</v>
      </c>
      <c r="D55" s="8">
        <v>4.03</v>
      </c>
      <c r="E55" s="12">
        <v>6</v>
      </c>
      <c r="F55" s="8">
        <v>7.32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339</v>
      </c>
      <c r="C56" s="12">
        <v>5</v>
      </c>
      <c r="D56" s="8">
        <v>3.36</v>
      </c>
      <c r="E56" s="12">
        <v>2</v>
      </c>
      <c r="F56" s="8">
        <v>2.44</v>
      </c>
      <c r="G56" s="12">
        <v>3</v>
      </c>
      <c r="H56" s="8">
        <v>5.17</v>
      </c>
      <c r="I56" s="12">
        <v>0</v>
      </c>
    </row>
    <row r="57" spans="2:9" ht="15" customHeight="1" x14ac:dyDescent="0.2">
      <c r="B57" t="s">
        <v>303</v>
      </c>
      <c r="C57" s="12">
        <v>5</v>
      </c>
      <c r="D57" s="8">
        <v>3.36</v>
      </c>
      <c r="E57" s="12">
        <v>5</v>
      </c>
      <c r="F57" s="8">
        <v>6.1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341</v>
      </c>
      <c r="C58" s="12">
        <v>5</v>
      </c>
      <c r="D58" s="8">
        <v>3.36</v>
      </c>
      <c r="E58" s="12">
        <v>0</v>
      </c>
      <c r="F58" s="8">
        <v>0</v>
      </c>
      <c r="G58" s="12">
        <v>1</v>
      </c>
      <c r="H58" s="8">
        <v>1.72</v>
      </c>
      <c r="I58" s="12">
        <v>0</v>
      </c>
    </row>
    <row r="59" spans="2:9" ht="15" customHeight="1" x14ac:dyDescent="0.2">
      <c r="B59" t="s">
        <v>329</v>
      </c>
      <c r="C59" s="12">
        <v>4</v>
      </c>
      <c r="D59" s="8">
        <v>2.68</v>
      </c>
      <c r="E59" s="12">
        <v>3</v>
      </c>
      <c r="F59" s="8">
        <v>3.66</v>
      </c>
      <c r="G59" s="12">
        <v>1</v>
      </c>
      <c r="H59" s="8">
        <v>1.72</v>
      </c>
      <c r="I59" s="12">
        <v>0</v>
      </c>
    </row>
    <row r="60" spans="2:9" ht="15" customHeight="1" x14ac:dyDescent="0.2">
      <c r="B60" t="s">
        <v>330</v>
      </c>
      <c r="C60" s="12">
        <v>4</v>
      </c>
      <c r="D60" s="8">
        <v>2.68</v>
      </c>
      <c r="E60" s="12">
        <v>1</v>
      </c>
      <c r="F60" s="8">
        <v>1.22</v>
      </c>
      <c r="G60" s="12">
        <v>3</v>
      </c>
      <c r="H60" s="8">
        <v>5.17</v>
      </c>
      <c r="I60" s="12">
        <v>0</v>
      </c>
    </row>
    <row r="61" spans="2:9" ht="15" customHeight="1" x14ac:dyDescent="0.2">
      <c r="B61" t="s">
        <v>307</v>
      </c>
      <c r="C61" s="12">
        <v>4</v>
      </c>
      <c r="D61" s="8">
        <v>2.68</v>
      </c>
      <c r="E61" s="12">
        <v>3</v>
      </c>
      <c r="F61" s="8">
        <v>3.66</v>
      </c>
      <c r="G61" s="12">
        <v>1</v>
      </c>
      <c r="H61" s="8">
        <v>1.72</v>
      </c>
      <c r="I61" s="12">
        <v>0</v>
      </c>
    </row>
    <row r="62" spans="2:9" ht="15" customHeight="1" x14ac:dyDescent="0.2">
      <c r="B62" t="s">
        <v>333</v>
      </c>
      <c r="C62" s="12">
        <v>3</v>
      </c>
      <c r="D62" s="8">
        <v>2.0099999999999998</v>
      </c>
      <c r="E62" s="12">
        <v>3</v>
      </c>
      <c r="F62" s="8">
        <v>3.66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291</v>
      </c>
      <c r="C63" s="12">
        <v>3</v>
      </c>
      <c r="D63" s="8">
        <v>2.0099999999999998</v>
      </c>
      <c r="E63" s="12">
        <v>2</v>
      </c>
      <c r="F63" s="8">
        <v>2.44</v>
      </c>
      <c r="G63" s="12">
        <v>1</v>
      </c>
      <c r="H63" s="8">
        <v>1.72</v>
      </c>
      <c r="I63" s="12">
        <v>0</v>
      </c>
    </row>
    <row r="64" spans="2:9" ht="15" customHeight="1" x14ac:dyDescent="0.2">
      <c r="B64" t="s">
        <v>314</v>
      </c>
      <c r="C64" s="12">
        <v>3</v>
      </c>
      <c r="D64" s="8">
        <v>2.0099999999999998</v>
      </c>
      <c r="E64" s="12">
        <v>3</v>
      </c>
      <c r="F64" s="8">
        <v>3.66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292</v>
      </c>
      <c r="C65" s="12">
        <v>3</v>
      </c>
      <c r="D65" s="8">
        <v>2.0099999999999998</v>
      </c>
      <c r="E65" s="12">
        <v>2</v>
      </c>
      <c r="F65" s="8">
        <v>2.44</v>
      </c>
      <c r="G65" s="12">
        <v>1</v>
      </c>
      <c r="H65" s="8">
        <v>1.72</v>
      </c>
      <c r="I65" s="12">
        <v>0</v>
      </c>
    </row>
    <row r="66" spans="2:9" ht="15" customHeight="1" x14ac:dyDescent="0.2">
      <c r="B66" t="s">
        <v>372</v>
      </c>
      <c r="C66" s="12">
        <v>3</v>
      </c>
      <c r="D66" s="8">
        <v>2.0099999999999998</v>
      </c>
      <c r="E66" s="12">
        <v>1</v>
      </c>
      <c r="F66" s="8">
        <v>1.22</v>
      </c>
      <c r="G66" s="12">
        <v>2</v>
      </c>
      <c r="H66" s="8">
        <v>3.45</v>
      </c>
      <c r="I66" s="12">
        <v>0</v>
      </c>
    </row>
    <row r="67" spans="2:9" ht="15" customHeight="1" x14ac:dyDescent="0.2">
      <c r="B67" t="s">
        <v>301</v>
      </c>
      <c r="C67" s="12">
        <v>3</v>
      </c>
      <c r="D67" s="8">
        <v>2.0099999999999998</v>
      </c>
      <c r="E67" s="12">
        <v>3</v>
      </c>
      <c r="F67" s="8">
        <v>3.66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325</v>
      </c>
      <c r="C68" s="12">
        <v>3</v>
      </c>
      <c r="D68" s="8">
        <v>2.0099999999999998</v>
      </c>
      <c r="E68" s="12">
        <v>0</v>
      </c>
      <c r="F68" s="8">
        <v>0</v>
      </c>
      <c r="G68" s="12">
        <v>3</v>
      </c>
      <c r="H68" s="8">
        <v>5.17</v>
      </c>
      <c r="I68" s="12">
        <v>0</v>
      </c>
    </row>
    <row r="69" spans="2:9" ht="15" customHeight="1" x14ac:dyDescent="0.2">
      <c r="B69" t="s">
        <v>288</v>
      </c>
      <c r="C69" s="12">
        <v>2</v>
      </c>
      <c r="D69" s="8">
        <v>1.34</v>
      </c>
      <c r="E69" s="12">
        <v>0</v>
      </c>
      <c r="F69" s="8">
        <v>0</v>
      </c>
      <c r="G69" s="12">
        <v>2</v>
      </c>
      <c r="H69" s="8">
        <v>3.45</v>
      </c>
      <c r="I69" s="12">
        <v>0</v>
      </c>
    </row>
    <row r="70" spans="2:9" ht="15" customHeight="1" x14ac:dyDescent="0.2">
      <c r="B70" t="s">
        <v>289</v>
      </c>
      <c r="C70" s="12">
        <v>2</v>
      </c>
      <c r="D70" s="8">
        <v>1.34</v>
      </c>
      <c r="E70" s="12">
        <v>0</v>
      </c>
      <c r="F70" s="8">
        <v>0</v>
      </c>
      <c r="G70" s="12">
        <v>2</v>
      </c>
      <c r="H70" s="8">
        <v>3.45</v>
      </c>
      <c r="I70" s="12">
        <v>0</v>
      </c>
    </row>
    <row r="71" spans="2:9" ht="15" customHeight="1" x14ac:dyDescent="0.2">
      <c r="B71" t="s">
        <v>319</v>
      </c>
      <c r="C71" s="12">
        <v>2</v>
      </c>
      <c r="D71" s="8">
        <v>1.34</v>
      </c>
      <c r="E71" s="12">
        <v>0</v>
      </c>
      <c r="F71" s="8">
        <v>0</v>
      </c>
      <c r="G71" s="12">
        <v>2</v>
      </c>
      <c r="H71" s="8">
        <v>3.45</v>
      </c>
      <c r="I71" s="12">
        <v>0</v>
      </c>
    </row>
    <row r="72" spans="2:9" ht="15" customHeight="1" x14ac:dyDescent="0.2">
      <c r="B72" t="s">
        <v>290</v>
      </c>
      <c r="C72" s="12">
        <v>2</v>
      </c>
      <c r="D72" s="8">
        <v>1.34</v>
      </c>
      <c r="E72" s="12">
        <v>1</v>
      </c>
      <c r="F72" s="8">
        <v>1.22</v>
      </c>
      <c r="G72" s="12">
        <v>1</v>
      </c>
      <c r="H72" s="8">
        <v>1.72</v>
      </c>
      <c r="I72" s="12">
        <v>0</v>
      </c>
    </row>
    <row r="73" spans="2:9" ht="15" customHeight="1" x14ac:dyDescent="0.2">
      <c r="B73" t="s">
        <v>413</v>
      </c>
      <c r="C73" s="12">
        <v>2</v>
      </c>
      <c r="D73" s="8">
        <v>1.34</v>
      </c>
      <c r="E73" s="12">
        <v>0</v>
      </c>
      <c r="F73" s="8">
        <v>0</v>
      </c>
      <c r="G73" s="12">
        <v>2</v>
      </c>
      <c r="H73" s="8">
        <v>3.45</v>
      </c>
      <c r="I73" s="12">
        <v>0</v>
      </c>
    </row>
    <row r="74" spans="2:9" ht="15" customHeight="1" x14ac:dyDescent="0.2">
      <c r="B74" t="s">
        <v>342</v>
      </c>
      <c r="C74" s="12">
        <v>2</v>
      </c>
      <c r="D74" s="8">
        <v>1.34</v>
      </c>
      <c r="E74" s="12">
        <v>0</v>
      </c>
      <c r="F74" s="8">
        <v>0</v>
      </c>
      <c r="G74" s="12">
        <v>2</v>
      </c>
      <c r="H74" s="8">
        <v>3.45</v>
      </c>
      <c r="I74" s="12">
        <v>0</v>
      </c>
    </row>
    <row r="75" spans="2:9" ht="15" customHeight="1" x14ac:dyDescent="0.2">
      <c r="B75" t="s">
        <v>324</v>
      </c>
      <c r="C75" s="12">
        <v>2</v>
      </c>
      <c r="D75" s="8">
        <v>1.34</v>
      </c>
      <c r="E75" s="12">
        <v>0</v>
      </c>
      <c r="F75" s="8">
        <v>0</v>
      </c>
      <c r="G75" s="12">
        <v>2</v>
      </c>
      <c r="H75" s="8">
        <v>3.45</v>
      </c>
      <c r="I75" s="12">
        <v>0</v>
      </c>
    </row>
    <row r="76" spans="2:9" ht="15" customHeight="1" x14ac:dyDescent="0.2">
      <c r="B76" t="s">
        <v>332</v>
      </c>
      <c r="C76" s="12">
        <v>2</v>
      </c>
      <c r="D76" s="8">
        <v>1.34</v>
      </c>
      <c r="E76" s="12">
        <v>2</v>
      </c>
      <c r="F76" s="8">
        <v>2.44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294</v>
      </c>
      <c r="C77" s="12">
        <v>2</v>
      </c>
      <c r="D77" s="8">
        <v>1.34</v>
      </c>
      <c r="E77" s="12">
        <v>2</v>
      </c>
      <c r="F77" s="8">
        <v>2.44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295</v>
      </c>
      <c r="C78" s="12">
        <v>2</v>
      </c>
      <c r="D78" s="8">
        <v>1.34</v>
      </c>
      <c r="E78" s="12">
        <v>1</v>
      </c>
      <c r="F78" s="8">
        <v>1.22</v>
      </c>
      <c r="G78" s="12">
        <v>1</v>
      </c>
      <c r="H78" s="8">
        <v>1.72</v>
      </c>
      <c r="I78" s="12">
        <v>0</v>
      </c>
    </row>
    <row r="79" spans="2:9" ht="15" customHeight="1" x14ac:dyDescent="0.2">
      <c r="B79" t="s">
        <v>415</v>
      </c>
      <c r="C79" s="12">
        <v>2</v>
      </c>
      <c r="D79" s="8">
        <v>1.34</v>
      </c>
      <c r="E79" s="12">
        <v>1</v>
      </c>
      <c r="F79" s="8">
        <v>1.22</v>
      </c>
      <c r="G79" s="12">
        <v>1</v>
      </c>
      <c r="H79" s="8">
        <v>1.72</v>
      </c>
      <c r="I79" s="12">
        <v>0</v>
      </c>
    </row>
    <row r="80" spans="2:9" ht="15" customHeight="1" x14ac:dyDescent="0.2">
      <c r="B80" t="s">
        <v>334</v>
      </c>
      <c r="C80" s="12">
        <v>2</v>
      </c>
      <c r="D80" s="8">
        <v>1.34</v>
      </c>
      <c r="E80" s="12">
        <v>2</v>
      </c>
      <c r="F80" s="8">
        <v>2.44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300</v>
      </c>
      <c r="C81" s="12">
        <v>2</v>
      </c>
      <c r="D81" s="8">
        <v>1.34</v>
      </c>
      <c r="E81" s="12">
        <v>2</v>
      </c>
      <c r="F81" s="8">
        <v>2.44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340</v>
      </c>
      <c r="C82" s="12">
        <v>2</v>
      </c>
      <c r="D82" s="8">
        <v>1.34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312</v>
      </c>
      <c r="C83" s="12">
        <v>2</v>
      </c>
      <c r="D83" s="8">
        <v>1.34</v>
      </c>
      <c r="E83" s="12">
        <v>1</v>
      </c>
      <c r="F83" s="8">
        <v>1.22</v>
      </c>
      <c r="G83" s="12">
        <v>1</v>
      </c>
      <c r="H83" s="8">
        <v>1.72</v>
      </c>
      <c r="I83" s="12">
        <v>0</v>
      </c>
    </row>
    <row r="84" spans="2:9" ht="15" customHeight="1" x14ac:dyDescent="0.2">
      <c r="B84" t="s">
        <v>306</v>
      </c>
      <c r="C84" s="12">
        <v>2</v>
      </c>
      <c r="D84" s="8">
        <v>1.34</v>
      </c>
      <c r="E84" s="12">
        <v>2</v>
      </c>
      <c r="F84" s="8">
        <v>2.44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331</v>
      </c>
      <c r="C85" s="12">
        <v>2</v>
      </c>
      <c r="D85" s="8">
        <v>1.34</v>
      </c>
      <c r="E85" s="12">
        <v>0</v>
      </c>
      <c r="F85" s="8">
        <v>0</v>
      </c>
      <c r="G85" s="12">
        <v>1</v>
      </c>
      <c r="H85" s="8">
        <v>1.72</v>
      </c>
      <c r="I85" s="12">
        <v>0</v>
      </c>
    </row>
    <row r="86" spans="2:9" ht="15" customHeight="1" x14ac:dyDescent="0.2">
      <c r="B86" t="s">
        <v>371</v>
      </c>
      <c r="C86" s="12">
        <v>2</v>
      </c>
      <c r="D86" s="8">
        <v>1.34</v>
      </c>
      <c r="E86" s="12">
        <v>2</v>
      </c>
      <c r="F86" s="8">
        <v>2.44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392</v>
      </c>
      <c r="C87" s="12">
        <v>2</v>
      </c>
      <c r="D87" s="8">
        <v>1.34</v>
      </c>
      <c r="E87" s="12">
        <v>1</v>
      </c>
      <c r="F87" s="8">
        <v>1.22</v>
      </c>
      <c r="G87" s="12">
        <v>1</v>
      </c>
      <c r="H87" s="8">
        <v>1.72</v>
      </c>
      <c r="I87" s="12">
        <v>0</v>
      </c>
    </row>
    <row r="89" spans="2:9" ht="15" customHeight="1" x14ac:dyDescent="0.2">
      <c r="B8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8CCC-B8E2-46AD-BA61-B8677DA55A36}">
  <sheetPr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56</v>
      </c>
      <c r="D6" s="8">
        <v>12.76</v>
      </c>
      <c r="E6" s="12">
        <v>24</v>
      </c>
      <c r="F6" s="8">
        <v>9.6</v>
      </c>
      <c r="G6" s="12">
        <v>32</v>
      </c>
      <c r="H6" s="8">
        <v>18.18</v>
      </c>
      <c r="I6" s="12">
        <v>0</v>
      </c>
    </row>
    <row r="7" spans="2:9" ht="15" customHeight="1" x14ac:dyDescent="0.2">
      <c r="B7" t="s">
        <v>192</v>
      </c>
      <c r="C7" s="12">
        <v>28</v>
      </c>
      <c r="D7" s="8">
        <v>6.38</v>
      </c>
      <c r="E7" s="12">
        <v>8</v>
      </c>
      <c r="F7" s="8">
        <v>3.2</v>
      </c>
      <c r="G7" s="12">
        <v>20</v>
      </c>
      <c r="H7" s="8">
        <v>11.36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0.68</v>
      </c>
      <c r="E8" s="12">
        <v>0</v>
      </c>
      <c r="F8" s="8">
        <v>0</v>
      </c>
      <c r="G8" s="12">
        <v>1</v>
      </c>
      <c r="H8" s="8">
        <v>0.56999999999999995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0.46</v>
      </c>
      <c r="E9" s="12">
        <v>0</v>
      </c>
      <c r="F9" s="8">
        <v>0</v>
      </c>
      <c r="G9" s="12">
        <v>1</v>
      </c>
      <c r="H9" s="8">
        <v>0.56999999999999995</v>
      </c>
      <c r="I9" s="12">
        <v>1</v>
      </c>
    </row>
    <row r="10" spans="2:9" ht="15" customHeight="1" x14ac:dyDescent="0.2">
      <c r="B10" t="s">
        <v>195</v>
      </c>
      <c r="C10" s="12">
        <v>7</v>
      </c>
      <c r="D10" s="8">
        <v>1.59</v>
      </c>
      <c r="E10" s="12">
        <v>2</v>
      </c>
      <c r="F10" s="8">
        <v>0.8</v>
      </c>
      <c r="G10" s="12">
        <v>5</v>
      </c>
      <c r="H10" s="8">
        <v>2.84</v>
      </c>
      <c r="I10" s="12">
        <v>0</v>
      </c>
    </row>
    <row r="11" spans="2:9" ht="15" customHeight="1" x14ac:dyDescent="0.2">
      <c r="B11" t="s">
        <v>196</v>
      </c>
      <c r="C11" s="12">
        <v>92</v>
      </c>
      <c r="D11" s="8">
        <v>20.96</v>
      </c>
      <c r="E11" s="12">
        <v>33</v>
      </c>
      <c r="F11" s="8">
        <v>13.2</v>
      </c>
      <c r="G11" s="12">
        <v>59</v>
      </c>
      <c r="H11" s="8">
        <v>33.520000000000003</v>
      </c>
      <c r="I11" s="12">
        <v>0</v>
      </c>
    </row>
    <row r="12" spans="2:9" ht="15" customHeight="1" x14ac:dyDescent="0.2">
      <c r="B12" t="s">
        <v>197</v>
      </c>
      <c r="C12" s="12">
        <v>5</v>
      </c>
      <c r="D12" s="8">
        <v>1.1399999999999999</v>
      </c>
      <c r="E12" s="12">
        <v>0</v>
      </c>
      <c r="F12" s="8">
        <v>0</v>
      </c>
      <c r="G12" s="12">
        <v>5</v>
      </c>
      <c r="H12" s="8">
        <v>2.84</v>
      </c>
      <c r="I12" s="12">
        <v>0</v>
      </c>
    </row>
    <row r="13" spans="2:9" ht="15" customHeight="1" x14ac:dyDescent="0.2">
      <c r="B13" t="s">
        <v>198</v>
      </c>
      <c r="C13" s="12">
        <v>24</v>
      </c>
      <c r="D13" s="8">
        <v>5.47</v>
      </c>
      <c r="E13" s="12">
        <v>16</v>
      </c>
      <c r="F13" s="8">
        <v>6.4</v>
      </c>
      <c r="G13" s="12">
        <v>8</v>
      </c>
      <c r="H13" s="8">
        <v>4.55</v>
      </c>
      <c r="I13" s="12">
        <v>0</v>
      </c>
    </row>
    <row r="14" spans="2:9" ht="15" customHeight="1" x14ac:dyDescent="0.2">
      <c r="B14" t="s">
        <v>199</v>
      </c>
      <c r="C14" s="12">
        <v>14</v>
      </c>
      <c r="D14" s="8">
        <v>3.19</v>
      </c>
      <c r="E14" s="12">
        <v>10</v>
      </c>
      <c r="F14" s="8">
        <v>4</v>
      </c>
      <c r="G14" s="12">
        <v>3</v>
      </c>
      <c r="H14" s="8">
        <v>1.7</v>
      </c>
      <c r="I14" s="12">
        <v>0</v>
      </c>
    </row>
    <row r="15" spans="2:9" ht="15" customHeight="1" x14ac:dyDescent="0.2">
      <c r="B15" t="s">
        <v>200</v>
      </c>
      <c r="C15" s="12">
        <v>67</v>
      </c>
      <c r="D15" s="8">
        <v>15.26</v>
      </c>
      <c r="E15" s="12">
        <v>57</v>
      </c>
      <c r="F15" s="8">
        <v>22.8</v>
      </c>
      <c r="G15" s="12">
        <v>9</v>
      </c>
      <c r="H15" s="8">
        <v>5.1100000000000003</v>
      </c>
      <c r="I15" s="12">
        <v>1</v>
      </c>
    </row>
    <row r="16" spans="2:9" ht="15" customHeight="1" x14ac:dyDescent="0.2">
      <c r="B16" t="s">
        <v>201</v>
      </c>
      <c r="C16" s="12">
        <v>71</v>
      </c>
      <c r="D16" s="8">
        <v>16.170000000000002</v>
      </c>
      <c r="E16" s="12">
        <v>62</v>
      </c>
      <c r="F16" s="8">
        <v>24.8</v>
      </c>
      <c r="G16" s="12">
        <v>9</v>
      </c>
      <c r="H16" s="8">
        <v>5.1100000000000003</v>
      </c>
      <c r="I16" s="12">
        <v>0</v>
      </c>
    </row>
    <row r="17" spans="2:9" ht="15" customHeight="1" x14ac:dyDescent="0.2">
      <c r="B17" t="s">
        <v>202</v>
      </c>
      <c r="C17" s="12">
        <v>20</v>
      </c>
      <c r="D17" s="8">
        <v>4.5599999999999996</v>
      </c>
      <c r="E17" s="12">
        <v>9</v>
      </c>
      <c r="F17" s="8">
        <v>3.6</v>
      </c>
      <c r="G17" s="12">
        <v>6</v>
      </c>
      <c r="H17" s="8">
        <v>3.41</v>
      </c>
      <c r="I17" s="12">
        <v>0</v>
      </c>
    </row>
    <row r="18" spans="2:9" ht="15" customHeight="1" x14ac:dyDescent="0.2">
      <c r="B18" t="s">
        <v>203</v>
      </c>
      <c r="C18" s="12">
        <v>34</v>
      </c>
      <c r="D18" s="8">
        <v>7.74</v>
      </c>
      <c r="E18" s="12">
        <v>22</v>
      </c>
      <c r="F18" s="8">
        <v>8.8000000000000007</v>
      </c>
      <c r="G18" s="12">
        <v>10</v>
      </c>
      <c r="H18" s="8">
        <v>5.68</v>
      </c>
      <c r="I18" s="12">
        <v>0</v>
      </c>
    </row>
    <row r="19" spans="2:9" ht="15" customHeight="1" x14ac:dyDescent="0.2">
      <c r="B19" t="s">
        <v>204</v>
      </c>
      <c r="C19" s="12">
        <v>16</v>
      </c>
      <c r="D19" s="8">
        <v>3.64</v>
      </c>
      <c r="E19" s="12">
        <v>7</v>
      </c>
      <c r="F19" s="8">
        <v>2.8</v>
      </c>
      <c r="G19" s="12">
        <v>8</v>
      </c>
      <c r="H19" s="8">
        <v>4.55</v>
      </c>
      <c r="I19" s="12">
        <v>0</v>
      </c>
    </row>
    <row r="20" spans="2:9" ht="15" customHeight="1" x14ac:dyDescent="0.2">
      <c r="B20" s="9" t="s">
        <v>529</v>
      </c>
      <c r="C20" s="12">
        <f>SUM(LTBL_01555[総数／事業所数])</f>
        <v>439</v>
      </c>
      <c r="E20" s="12">
        <f>SUBTOTAL(109,LTBL_01555[個人／事業所数])</f>
        <v>250</v>
      </c>
      <c r="G20" s="12">
        <f>SUBTOTAL(109,LTBL_01555[法人／事業所数])</f>
        <v>176</v>
      </c>
      <c r="I20" s="12">
        <f>SUBTOTAL(109,LTBL_01555[法人以外の団体／事業所数])</f>
        <v>2</v>
      </c>
    </row>
    <row r="21" spans="2:9" ht="15" customHeight="1" x14ac:dyDescent="0.2">
      <c r="E21" s="11">
        <f>LTBL_01555[[#Totals],[個人／事業所数]]/LTBL_01555[[#Totals],[総数／事業所数]]</f>
        <v>0.56947608200455579</v>
      </c>
      <c r="G21" s="11">
        <f>LTBL_01555[[#Totals],[法人／事業所数]]/LTBL_01555[[#Totals],[総数／事業所数]]</f>
        <v>0.40091116173120728</v>
      </c>
      <c r="I21" s="11">
        <f>LTBL_01555[[#Totals],[法人以外の団体／事業所数]]/LTBL_01555[[#Totals],[総数／事業所数]]</f>
        <v>4.5558086560364463E-3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65</v>
      </c>
      <c r="D24" s="8">
        <v>14.81</v>
      </c>
      <c r="E24" s="12">
        <v>57</v>
      </c>
      <c r="F24" s="8">
        <v>22.8</v>
      </c>
      <c r="G24" s="12">
        <v>8</v>
      </c>
      <c r="H24" s="8">
        <v>4.55</v>
      </c>
      <c r="I24" s="12">
        <v>0</v>
      </c>
    </row>
    <row r="25" spans="2:9" ht="15" customHeight="1" x14ac:dyDescent="0.2">
      <c r="B25" t="s">
        <v>227</v>
      </c>
      <c r="C25" s="12">
        <v>53</v>
      </c>
      <c r="D25" s="8">
        <v>12.07</v>
      </c>
      <c r="E25" s="12">
        <v>49</v>
      </c>
      <c r="F25" s="8">
        <v>19.600000000000001</v>
      </c>
      <c r="G25" s="12">
        <v>3</v>
      </c>
      <c r="H25" s="8">
        <v>1.7</v>
      </c>
      <c r="I25" s="12">
        <v>1</v>
      </c>
    </row>
    <row r="26" spans="2:9" ht="15" customHeight="1" x14ac:dyDescent="0.2">
      <c r="B26" t="s">
        <v>223</v>
      </c>
      <c r="C26" s="12">
        <v>40</v>
      </c>
      <c r="D26" s="8">
        <v>9.11</v>
      </c>
      <c r="E26" s="12">
        <v>12</v>
      </c>
      <c r="F26" s="8">
        <v>4.8</v>
      </c>
      <c r="G26" s="12">
        <v>28</v>
      </c>
      <c r="H26" s="8">
        <v>15.91</v>
      </c>
      <c r="I26" s="12">
        <v>0</v>
      </c>
    </row>
    <row r="27" spans="2:9" ht="15" customHeight="1" x14ac:dyDescent="0.2">
      <c r="B27" t="s">
        <v>231</v>
      </c>
      <c r="C27" s="12">
        <v>24</v>
      </c>
      <c r="D27" s="8">
        <v>5.47</v>
      </c>
      <c r="E27" s="12">
        <v>22</v>
      </c>
      <c r="F27" s="8">
        <v>8.8000000000000007</v>
      </c>
      <c r="G27" s="12">
        <v>2</v>
      </c>
      <c r="H27" s="8">
        <v>1.1399999999999999</v>
      </c>
      <c r="I27" s="12">
        <v>0</v>
      </c>
    </row>
    <row r="28" spans="2:9" ht="15" customHeight="1" x14ac:dyDescent="0.2">
      <c r="B28" t="s">
        <v>213</v>
      </c>
      <c r="C28" s="12">
        <v>23</v>
      </c>
      <c r="D28" s="8">
        <v>5.24</v>
      </c>
      <c r="E28" s="12">
        <v>5</v>
      </c>
      <c r="F28" s="8">
        <v>2</v>
      </c>
      <c r="G28" s="12">
        <v>18</v>
      </c>
      <c r="H28" s="8">
        <v>10.23</v>
      </c>
      <c r="I28" s="12">
        <v>0</v>
      </c>
    </row>
    <row r="29" spans="2:9" ht="15" customHeight="1" x14ac:dyDescent="0.2">
      <c r="B29" t="s">
        <v>230</v>
      </c>
      <c r="C29" s="12">
        <v>20</v>
      </c>
      <c r="D29" s="8">
        <v>4.5599999999999996</v>
      </c>
      <c r="E29" s="12">
        <v>9</v>
      </c>
      <c r="F29" s="8">
        <v>3.6</v>
      </c>
      <c r="G29" s="12">
        <v>6</v>
      </c>
      <c r="H29" s="8">
        <v>3.41</v>
      </c>
      <c r="I29" s="12">
        <v>0</v>
      </c>
    </row>
    <row r="30" spans="2:9" ht="15" customHeight="1" x14ac:dyDescent="0.2">
      <c r="B30" t="s">
        <v>224</v>
      </c>
      <c r="C30" s="12">
        <v>19</v>
      </c>
      <c r="D30" s="8">
        <v>4.33</v>
      </c>
      <c r="E30" s="12">
        <v>14</v>
      </c>
      <c r="F30" s="8">
        <v>5.6</v>
      </c>
      <c r="G30" s="12">
        <v>5</v>
      </c>
      <c r="H30" s="8">
        <v>2.84</v>
      </c>
      <c r="I30" s="12">
        <v>0</v>
      </c>
    </row>
    <row r="31" spans="2:9" ht="15" customHeight="1" x14ac:dyDescent="0.2">
      <c r="B31" t="s">
        <v>214</v>
      </c>
      <c r="C31" s="12">
        <v>18</v>
      </c>
      <c r="D31" s="8">
        <v>4.0999999999999996</v>
      </c>
      <c r="E31" s="12">
        <v>13</v>
      </c>
      <c r="F31" s="8">
        <v>5.2</v>
      </c>
      <c r="G31" s="12">
        <v>5</v>
      </c>
      <c r="H31" s="8">
        <v>2.84</v>
      </c>
      <c r="I31" s="12">
        <v>0</v>
      </c>
    </row>
    <row r="32" spans="2:9" ht="15" customHeight="1" x14ac:dyDescent="0.2">
      <c r="B32" t="s">
        <v>215</v>
      </c>
      <c r="C32" s="12">
        <v>15</v>
      </c>
      <c r="D32" s="8">
        <v>3.42</v>
      </c>
      <c r="E32" s="12">
        <v>6</v>
      </c>
      <c r="F32" s="8">
        <v>2.4</v>
      </c>
      <c r="G32" s="12">
        <v>9</v>
      </c>
      <c r="H32" s="8">
        <v>5.1100000000000003</v>
      </c>
      <c r="I32" s="12">
        <v>0</v>
      </c>
    </row>
    <row r="33" spans="2:9" ht="15" customHeight="1" x14ac:dyDescent="0.2">
      <c r="B33" t="s">
        <v>222</v>
      </c>
      <c r="C33" s="12">
        <v>13</v>
      </c>
      <c r="D33" s="8">
        <v>2.96</v>
      </c>
      <c r="E33" s="12">
        <v>8</v>
      </c>
      <c r="F33" s="8">
        <v>3.2</v>
      </c>
      <c r="G33" s="12">
        <v>5</v>
      </c>
      <c r="H33" s="8">
        <v>2.84</v>
      </c>
      <c r="I33" s="12">
        <v>0</v>
      </c>
    </row>
    <row r="34" spans="2:9" ht="15" customHeight="1" x14ac:dyDescent="0.2">
      <c r="B34" t="s">
        <v>221</v>
      </c>
      <c r="C34" s="12">
        <v>12</v>
      </c>
      <c r="D34" s="8">
        <v>2.73</v>
      </c>
      <c r="E34" s="12">
        <v>7</v>
      </c>
      <c r="F34" s="8">
        <v>2.8</v>
      </c>
      <c r="G34" s="12">
        <v>5</v>
      </c>
      <c r="H34" s="8">
        <v>2.84</v>
      </c>
      <c r="I34" s="12">
        <v>0</v>
      </c>
    </row>
    <row r="35" spans="2:9" ht="15" customHeight="1" x14ac:dyDescent="0.2">
      <c r="B35" t="s">
        <v>243</v>
      </c>
      <c r="C35" s="12">
        <v>12</v>
      </c>
      <c r="D35" s="8">
        <v>2.73</v>
      </c>
      <c r="E35" s="12">
        <v>7</v>
      </c>
      <c r="F35" s="8">
        <v>2.8</v>
      </c>
      <c r="G35" s="12">
        <v>5</v>
      </c>
      <c r="H35" s="8">
        <v>2.84</v>
      </c>
      <c r="I35" s="12">
        <v>0</v>
      </c>
    </row>
    <row r="36" spans="2:9" ht="15" customHeight="1" x14ac:dyDescent="0.2">
      <c r="B36" t="s">
        <v>232</v>
      </c>
      <c r="C36" s="12">
        <v>10</v>
      </c>
      <c r="D36" s="8">
        <v>2.2799999999999998</v>
      </c>
      <c r="E36" s="12">
        <v>0</v>
      </c>
      <c r="F36" s="8">
        <v>0</v>
      </c>
      <c r="G36" s="12">
        <v>8</v>
      </c>
      <c r="H36" s="8">
        <v>4.55</v>
      </c>
      <c r="I36" s="12">
        <v>0</v>
      </c>
    </row>
    <row r="37" spans="2:9" ht="15" customHeight="1" x14ac:dyDescent="0.2">
      <c r="B37" t="s">
        <v>240</v>
      </c>
      <c r="C37" s="12">
        <v>8</v>
      </c>
      <c r="D37" s="8">
        <v>1.82</v>
      </c>
      <c r="E37" s="12">
        <v>5</v>
      </c>
      <c r="F37" s="8">
        <v>2</v>
      </c>
      <c r="G37" s="12">
        <v>3</v>
      </c>
      <c r="H37" s="8">
        <v>1.7</v>
      </c>
      <c r="I37" s="12">
        <v>0</v>
      </c>
    </row>
    <row r="38" spans="2:9" ht="15" customHeight="1" x14ac:dyDescent="0.2">
      <c r="B38" t="s">
        <v>218</v>
      </c>
      <c r="C38" s="12">
        <v>7</v>
      </c>
      <c r="D38" s="8">
        <v>1.59</v>
      </c>
      <c r="E38" s="12">
        <v>1</v>
      </c>
      <c r="F38" s="8">
        <v>0.4</v>
      </c>
      <c r="G38" s="12">
        <v>6</v>
      </c>
      <c r="H38" s="8">
        <v>3.41</v>
      </c>
      <c r="I38" s="12">
        <v>0</v>
      </c>
    </row>
    <row r="39" spans="2:9" ht="15" customHeight="1" x14ac:dyDescent="0.2">
      <c r="B39" t="s">
        <v>225</v>
      </c>
      <c r="C39" s="12">
        <v>7</v>
      </c>
      <c r="D39" s="8">
        <v>1.59</v>
      </c>
      <c r="E39" s="12">
        <v>7</v>
      </c>
      <c r="F39" s="8">
        <v>2.8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244</v>
      </c>
      <c r="C40" s="12">
        <v>6</v>
      </c>
      <c r="D40" s="8">
        <v>1.37</v>
      </c>
      <c r="E40" s="12">
        <v>1</v>
      </c>
      <c r="F40" s="8">
        <v>0.4</v>
      </c>
      <c r="G40" s="12">
        <v>5</v>
      </c>
      <c r="H40" s="8">
        <v>2.84</v>
      </c>
      <c r="I40" s="12">
        <v>0</v>
      </c>
    </row>
    <row r="41" spans="2:9" ht="15" customHeight="1" x14ac:dyDescent="0.2">
      <c r="B41" t="s">
        <v>220</v>
      </c>
      <c r="C41" s="12">
        <v>6</v>
      </c>
      <c r="D41" s="8">
        <v>1.37</v>
      </c>
      <c r="E41" s="12">
        <v>2</v>
      </c>
      <c r="F41" s="8">
        <v>0.8</v>
      </c>
      <c r="G41" s="12">
        <v>4</v>
      </c>
      <c r="H41" s="8">
        <v>2.27</v>
      </c>
      <c r="I41" s="12">
        <v>0</v>
      </c>
    </row>
    <row r="42" spans="2:9" ht="15" customHeight="1" x14ac:dyDescent="0.2">
      <c r="B42" t="s">
        <v>226</v>
      </c>
      <c r="C42" s="12">
        <v>6</v>
      </c>
      <c r="D42" s="8">
        <v>1.37</v>
      </c>
      <c r="E42" s="12">
        <v>3</v>
      </c>
      <c r="F42" s="8">
        <v>1.2</v>
      </c>
      <c r="G42" s="12">
        <v>2</v>
      </c>
      <c r="H42" s="8">
        <v>1.1399999999999999</v>
      </c>
      <c r="I42" s="12">
        <v>0</v>
      </c>
    </row>
    <row r="43" spans="2:9" ht="15" customHeight="1" x14ac:dyDescent="0.2">
      <c r="B43" t="s">
        <v>241</v>
      </c>
      <c r="C43" s="12">
        <v>5</v>
      </c>
      <c r="D43" s="8">
        <v>1.1399999999999999</v>
      </c>
      <c r="E43" s="12">
        <v>1</v>
      </c>
      <c r="F43" s="8">
        <v>0.4</v>
      </c>
      <c r="G43" s="12">
        <v>4</v>
      </c>
      <c r="H43" s="8">
        <v>2.27</v>
      </c>
      <c r="I43" s="12">
        <v>0</v>
      </c>
    </row>
    <row r="44" spans="2:9" ht="15" customHeight="1" x14ac:dyDescent="0.2">
      <c r="B44" t="s">
        <v>252</v>
      </c>
      <c r="C44" s="12">
        <v>5</v>
      </c>
      <c r="D44" s="8">
        <v>1.1399999999999999</v>
      </c>
      <c r="E44" s="12">
        <v>1</v>
      </c>
      <c r="F44" s="8">
        <v>0.4</v>
      </c>
      <c r="G44" s="12">
        <v>4</v>
      </c>
      <c r="H44" s="8">
        <v>2.27</v>
      </c>
      <c r="I44" s="12">
        <v>0</v>
      </c>
    </row>
    <row r="45" spans="2:9" ht="15" customHeight="1" x14ac:dyDescent="0.2">
      <c r="B45" t="s">
        <v>248</v>
      </c>
      <c r="C45" s="12">
        <v>5</v>
      </c>
      <c r="D45" s="8">
        <v>1.1399999999999999</v>
      </c>
      <c r="E45" s="12">
        <v>2</v>
      </c>
      <c r="F45" s="8">
        <v>0.8</v>
      </c>
      <c r="G45" s="12">
        <v>3</v>
      </c>
      <c r="H45" s="8">
        <v>1.7</v>
      </c>
      <c r="I45" s="12">
        <v>0</v>
      </c>
    </row>
    <row r="46" spans="2:9" ht="15" customHeight="1" x14ac:dyDescent="0.2">
      <c r="B46" t="s">
        <v>219</v>
      </c>
      <c r="C46" s="12">
        <v>5</v>
      </c>
      <c r="D46" s="8">
        <v>1.1399999999999999</v>
      </c>
      <c r="E46" s="12">
        <v>1</v>
      </c>
      <c r="F46" s="8">
        <v>0.4</v>
      </c>
      <c r="G46" s="12">
        <v>4</v>
      </c>
      <c r="H46" s="8">
        <v>2.27</v>
      </c>
      <c r="I46" s="12">
        <v>0</v>
      </c>
    </row>
    <row r="47" spans="2:9" ht="15" customHeight="1" x14ac:dyDescent="0.2">
      <c r="B47" t="s">
        <v>237</v>
      </c>
      <c r="C47" s="12">
        <v>5</v>
      </c>
      <c r="D47" s="8">
        <v>1.1399999999999999</v>
      </c>
      <c r="E47" s="12">
        <v>0</v>
      </c>
      <c r="F47" s="8">
        <v>0</v>
      </c>
      <c r="G47" s="12">
        <v>5</v>
      </c>
      <c r="H47" s="8">
        <v>2.84</v>
      </c>
      <c r="I47" s="12">
        <v>0</v>
      </c>
    </row>
    <row r="48" spans="2:9" ht="15" customHeight="1" x14ac:dyDescent="0.2">
      <c r="B48" t="s">
        <v>229</v>
      </c>
      <c r="C48" s="12">
        <v>5</v>
      </c>
      <c r="D48" s="8">
        <v>1.1399999999999999</v>
      </c>
      <c r="E48" s="12">
        <v>5</v>
      </c>
      <c r="F48" s="8">
        <v>2</v>
      </c>
      <c r="G48" s="12">
        <v>0</v>
      </c>
      <c r="H48" s="8">
        <v>0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304</v>
      </c>
      <c r="C52" s="12">
        <v>34</v>
      </c>
      <c r="D52" s="8">
        <v>7.74</v>
      </c>
      <c r="E52" s="12">
        <v>33</v>
      </c>
      <c r="F52" s="8">
        <v>13.2</v>
      </c>
      <c r="G52" s="12">
        <v>1</v>
      </c>
      <c r="H52" s="8">
        <v>0.56999999999999995</v>
      </c>
      <c r="I52" s="12">
        <v>0</v>
      </c>
    </row>
    <row r="53" spans="2:9" ht="15" customHeight="1" x14ac:dyDescent="0.2">
      <c r="B53" t="s">
        <v>303</v>
      </c>
      <c r="C53" s="12">
        <v>20</v>
      </c>
      <c r="D53" s="8">
        <v>4.5599999999999996</v>
      </c>
      <c r="E53" s="12">
        <v>20</v>
      </c>
      <c r="F53" s="8">
        <v>8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301</v>
      </c>
      <c r="C54" s="12">
        <v>19</v>
      </c>
      <c r="D54" s="8">
        <v>4.33</v>
      </c>
      <c r="E54" s="12">
        <v>19</v>
      </c>
      <c r="F54" s="8">
        <v>7.6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295</v>
      </c>
      <c r="C55" s="12">
        <v>15</v>
      </c>
      <c r="D55" s="8">
        <v>3.42</v>
      </c>
      <c r="E55" s="12">
        <v>7</v>
      </c>
      <c r="F55" s="8">
        <v>2.8</v>
      </c>
      <c r="G55" s="12">
        <v>8</v>
      </c>
      <c r="H55" s="8">
        <v>4.55</v>
      </c>
      <c r="I55" s="12">
        <v>0</v>
      </c>
    </row>
    <row r="56" spans="2:9" ht="15" customHeight="1" x14ac:dyDescent="0.2">
      <c r="B56" t="s">
        <v>306</v>
      </c>
      <c r="C56" s="12">
        <v>13</v>
      </c>
      <c r="D56" s="8">
        <v>2.96</v>
      </c>
      <c r="E56" s="12">
        <v>12</v>
      </c>
      <c r="F56" s="8">
        <v>4.8</v>
      </c>
      <c r="G56" s="12">
        <v>1</v>
      </c>
      <c r="H56" s="8">
        <v>0.56999999999999995</v>
      </c>
      <c r="I56" s="12">
        <v>0</v>
      </c>
    </row>
    <row r="57" spans="2:9" ht="15" customHeight="1" x14ac:dyDescent="0.2">
      <c r="B57" t="s">
        <v>297</v>
      </c>
      <c r="C57" s="12">
        <v>12</v>
      </c>
      <c r="D57" s="8">
        <v>2.73</v>
      </c>
      <c r="E57" s="12">
        <v>11</v>
      </c>
      <c r="F57" s="8">
        <v>4.4000000000000004</v>
      </c>
      <c r="G57" s="12">
        <v>1</v>
      </c>
      <c r="H57" s="8">
        <v>0.56999999999999995</v>
      </c>
      <c r="I57" s="12">
        <v>0</v>
      </c>
    </row>
    <row r="58" spans="2:9" ht="15" customHeight="1" x14ac:dyDescent="0.2">
      <c r="B58" t="s">
        <v>300</v>
      </c>
      <c r="C58" s="12">
        <v>12</v>
      </c>
      <c r="D58" s="8">
        <v>2.73</v>
      </c>
      <c r="E58" s="12">
        <v>12</v>
      </c>
      <c r="F58" s="8">
        <v>4.8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323</v>
      </c>
      <c r="C59" s="12">
        <v>11</v>
      </c>
      <c r="D59" s="8">
        <v>2.5099999999999998</v>
      </c>
      <c r="E59" s="12">
        <v>4</v>
      </c>
      <c r="F59" s="8">
        <v>1.6</v>
      </c>
      <c r="G59" s="12">
        <v>7</v>
      </c>
      <c r="H59" s="8">
        <v>3.98</v>
      </c>
      <c r="I59" s="12">
        <v>0</v>
      </c>
    </row>
    <row r="60" spans="2:9" ht="15" customHeight="1" x14ac:dyDescent="0.2">
      <c r="B60" t="s">
        <v>288</v>
      </c>
      <c r="C60" s="12">
        <v>10</v>
      </c>
      <c r="D60" s="8">
        <v>2.2799999999999998</v>
      </c>
      <c r="E60" s="12">
        <v>0</v>
      </c>
      <c r="F60" s="8">
        <v>0</v>
      </c>
      <c r="G60" s="12">
        <v>10</v>
      </c>
      <c r="H60" s="8">
        <v>5.68</v>
      </c>
      <c r="I60" s="12">
        <v>0</v>
      </c>
    </row>
    <row r="61" spans="2:9" ht="15" customHeight="1" x14ac:dyDescent="0.2">
      <c r="B61" t="s">
        <v>299</v>
      </c>
      <c r="C61" s="12">
        <v>10</v>
      </c>
      <c r="D61" s="8">
        <v>2.2799999999999998</v>
      </c>
      <c r="E61" s="12">
        <v>8</v>
      </c>
      <c r="F61" s="8">
        <v>3.2</v>
      </c>
      <c r="G61" s="12">
        <v>1</v>
      </c>
      <c r="H61" s="8">
        <v>0.56999999999999995</v>
      </c>
      <c r="I61" s="12">
        <v>1</v>
      </c>
    </row>
    <row r="62" spans="2:9" ht="15" customHeight="1" x14ac:dyDescent="0.2">
      <c r="B62" t="s">
        <v>291</v>
      </c>
      <c r="C62" s="12">
        <v>9</v>
      </c>
      <c r="D62" s="8">
        <v>2.0499999999999998</v>
      </c>
      <c r="E62" s="12">
        <v>5</v>
      </c>
      <c r="F62" s="8">
        <v>2</v>
      </c>
      <c r="G62" s="12">
        <v>4</v>
      </c>
      <c r="H62" s="8">
        <v>2.27</v>
      </c>
      <c r="I62" s="12">
        <v>0</v>
      </c>
    </row>
    <row r="63" spans="2:9" ht="15" customHeight="1" x14ac:dyDescent="0.2">
      <c r="B63" t="s">
        <v>293</v>
      </c>
      <c r="C63" s="12">
        <v>9</v>
      </c>
      <c r="D63" s="8">
        <v>2.0499999999999998</v>
      </c>
      <c r="E63" s="12">
        <v>6</v>
      </c>
      <c r="F63" s="8">
        <v>2.4</v>
      </c>
      <c r="G63" s="12">
        <v>3</v>
      </c>
      <c r="H63" s="8">
        <v>1.7</v>
      </c>
      <c r="I63" s="12">
        <v>0</v>
      </c>
    </row>
    <row r="64" spans="2:9" ht="15" customHeight="1" x14ac:dyDescent="0.2">
      <c r="B64" t="s">
        <v>334</v>
      </c>
      <c r="C64" s="12">
        <v>8</v>
      </c>
      <c r="D64" s="8">
        <v>1.82</v>
      </c>
      <c r="E64" s="12">
        <v>6</v>
      </c>
      <c r="F64" s="8">
        <v>2.4</v>
      </c>
      <c r="G64" s="12">
        <v>2</v>
      </c>
      <c r="H64" s="8">
        <v>1.1399999999999999</v>
      </c>
      <c r="I64" s="12">
        <v>0</v>
      </c>
    </row>
    <row r="65" spans="2:9" ht="15" customHeight="1" x14ac:dyDescent="0.2">
      <c r="B65" t="s">
        <v>312</v>
      </c>
      <c r="C65" s="12">
        <v>8</v>
      </c>
      <c r="D65" s="8">
        <v>1.82</v>
      </c>
      <c r="E65" s="12">
        <v>7</v>
      </c>
      <c r="F65" s="8">
        <v>2.8</v>
      </c>
      <c r="G65" s="12">
        <v>1</v>
      </c>
      <c r="H65" s="8">
        <v>0.56999999999999995</v>
      </c>
      <c r="I65" s="12">
        <v>0</v>
      </c>
    </row>
    <row r="66" spans="2:9" ht="15" customHeight="1" x14ac:dyDescent="0.2">
      <c r="B66" t="s">
        <v>307</v>
      </c>
      <c r="C66" s="12">
        <v>8</v>
      </c>
      <c r="D66" s="8">
        <v>1.82</v>
      </c>
      <c r="E66" s="12">
        <v>5</v>
      </c>
      <c r="F66" s="8">
        <v>2</v>
      </c>
      <c r="G66" s="12">
        <v>3</v>
      </c>
      <c r="H66" s="8">
        <v>1.7</v>
      </c>
      <c r="I66" s="12">
        <v>0</v>
      </c>
    </row>
    <row r="67" spans="2:9" ht="15" customHeight="1" x14ac:dyDescent="0.2">
      <c r="B67" t="s">
        <v>289</v>
      </c>
      <c r="C67" s="12">
        <v>7</v>
      </c>
      <c r="D67" s="8">
        <v>1.59</v>
      </c>
      <c r="E67" s="12">
        <v>2</v>
      </c>
      <c r="F67" s="8">
        <v>0.8</v>
      </c>
      <c r="G67" s="12">
        <v>5</v>
      </c>
      <c r="H67" s="8">
        <v>2.84</v>
      </c>
      <c r="I67" s="12">
        <v>0</v>
      </c>
    </row>
    <row r="68" spans="2:9" ht="15" customHeight="1" x14ac:dyDescent="0.2">
      <c r="B68" t="s">
        <v>333</v>
      </c>
      <c r="C68" s="12">
        <v>7</v>
      </c>
      <c r="D68" s="8">
        <v>1.59</v>
      </c>
      <c r="E68" s="12">
        <v>5</v>
      </c>
      <c r="F68" s="8">
        <v>2</v>
      </c>
      <c r="G68" s="12">
        <v>2</v>
      </c>
      <c r="H68" s="8">
        <v>1.1399999999999999</v>
      </c>
      <c r="I68" s="12">
        <v>0</v>
      </c>
    </row>
    <row r="69" spans="2:9" ht="15" customHeight="1" x14ac:dyDescent="0.2">
      <c r="B69" t="s">
        <v>330</v>
      </c>
      <c r="C69" s="12">
        <v>7</v>
      </c>
      <c r="D69" s="8">
        <v>1.59</v>
      </c>
      <c r="E69" s="12">
        <v>0</v>
      </c>
      <c r="F69" s="8">
        <v>0</v>
      </c>
      <c r="G69" s="12">
        <v>7</v>
      </c>
      <c r="H69" s="8">
        <v>3.98</v>
      </c>
      <c r="I69" s="12">
        <v>0</v>
      </c>
    </row>
    <row r="70" spans="2:9" ht="15" customHeight="1" x14ac:dyDescent="0.2">
      <c r="B70" t="s">
        <v>305</v>
      </c>
      <c r="C70" s="12">
        <v>7</v>
      </c>
      <c r="D70" s="8">
        <v>1.59</v>
      </c>
      <c r="E70" s="12">
        <v>5</v>
      </c>
      <c r="F70" s="8">
        <v>2</v>
      </c>
      <c r="G70" s="12">
        <v>2</v>
      </c>
      <c r="H70" s="8">
        <v>1.1399999999999999</v>
      </c>
      <c r="I70" s="12">
        <v>0</v>
      </c>
    </row>
    <row r="71" spans="2:9" ht="15" customHeight="1" x14ac:dyDescent="0.2">
      <c r="B71" t="s">
        <v>290</v>
      </c>
      <c r="C71" s="12">
        <v>6</v>
      </c>
      <c r="D71" s="8">
        <v>1.37</v>
      </c>
      <c r="E71" s="12">
        <v>1</v>
      </c>
      <c r="F71" s="8">
        <v>0.4</v>
      </c>
      <c r="G71" s="12">
        <v>5</v>
      </c>
      <c r="H71" s="8">
        <v>2.84</v>
      </c>
      <c r="I71" s="12">
        <v>0</v>
      </c>
    </row>
    <row r="72" spans="2:9" ht="15" customHeight="1" x14ac:dyDescent="0.2">
      <c r="B72" t="s">
        <v>294</v>
      </c>
      <c r="C72" s="12">
        <v>6</v>
      </c>
      <c r="D72" s="8">
        <v>1.37</v>
      </c>
      <c r="E72" s="12">
        <v>1</v>
      </c>
      <c r="F72" s="8">
        <v>0.4</v>
      </c>
      <c r="G72" s="12">
        <v>5</v>
      </c>
      <c r="H72" s="8">
        <v>2.84</v>
      </c>
      <c r="I72" s="12">
        <v>0</v>
      </c>
    </row>
    <row r="73" spans="2:9" ht="15" customHeight="1" x14ac:dyDescent="0.2">
      <c r="B73" t="s">
        <v>296</v>
      </c>
      <c r="C73" s="12">
        <v>6</v>
      </c>
      <c r="D73" s="8">
        <v>1.37</v>
      </c>
      <c r="E73" s="12">
        <v>2</v>
      </c>
      <c r="F73" s="8">
        <v>0.8</v>
      </c>
      <c r="G73" s="12">
        <v>4</v>
      </c>
      <c r="H73" s="8">
        <v>2.27</v>
      </c>
      <c r="I73" s="12">
        <v>0</v>
      </c>
    </row>
    <row r="74" spans="2:9" ht="15" customHeight="1" x14ac:dyDescent="0.2">
      <c r="B74" t="s">
        <v>339</v>
      </c>
      <c r="C74" s="12">
        <v>6</v>
      </c>
      <c r="D74" s="8">
        <v>1.37</v>
      </c>
      <c r="E74" s="12">
        <v>4</v>
      </c>
      <c r="F74" s="8">
        <v>1.6</v>
      </c>
      <c r="G74" s="12">
        <v>2</v>
      </c>
      <c r="H74" s="8">
        <v>1.1399999999999999</v>
      </c>
      <c r="I74" s="12">
        <v>0</v>
      </c>
    </row>
    <row r="76" spans="2:9" ht="15" customHeight="1" x14ac:dyDescent="0.2">
      <c r="B7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BA442-A27D-4FE8-873C-CAA6400B437D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29</v>
      </c>
      <c r="D6" s="8">
        <v>11.55</v>
      </c>
      <c r="E6" s="12">
        <v>10</v>
      </c>
      <c r="F6" s="8">
        <v>7.09</v>
      </c>
      <c r="G6" s="12">
        <v>19</v>
      </c>
      <c r="H6" s="8">
        <v>18.63</v>
      </c>
      <c r="I6" s="12">
        <v>0</v>
      </c>
    </row>
    <row r="7" spans="2:9" ht="15" customHeight="1" x14ac:dyDescent="0.2">
      <c r="B7" t="s">
        <v>192</v>
      </c>
      <c r="C7" s="12">
        <v>33</v>
      </c>
      <c r="D7" s="8">
        <v>13.15</v>
      </c>
      <c r="E7" s="12">
        <v>14</v>
      </c>
      <c r="F7" s="8">
        <v>9.93</v>
      </c>
      <c r="G7" s="12">
        <v>19</v>
      </c>
      <c r="H7" s="8">
        <v>18.63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0.4</v>
      </c>
      <c r="E9" s="12">
        <v>0</v>
      </c>
      <c r="F9" s="8">
        <v>0</v>
      </c>
      <c r="G9" s="12">
        <v>1</v>
      </c>
      <c r="H9" s="8">
        <v>0.98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1.99</v>
      </c>
      <c r="E10" s="12">
        <v>3</v>
      </c>
      <c r="F10" s="8">
        <v>2.13</v>
      </c>
      <c r="G10" s="12">
        <v>1</v>
      </c>
      <c r="H10" s="8">
        <v>0.98</v>
      </c>
      <c r="I10" s="12">
        <v>1</v>
      </c>
    </row>
    <row r="11" spans="2:9" ht="15" customHeight="1" x14ac:dyDescent="0.2">
      <c r="B11" t="s">
        <v>196</v>
      </c>
      <c r="C11" s="12">
        <v>64</v>
      </c>
      <c r="D11" s="8">
        <v>25.5</v>
      </c>
      <c r="E11" s="12">
        <v>30</v>
      </c>
      <c r="F11" s="8">
        <v>21.28</v>
      </c>
      <c r="G11" s="12">
        <v>34</v>
      </c>
      <c r="H11" s="8">
        <v>33.33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12</v>
      </c>
      <c r="D13" s="8">
        <v>4.78</v>
      </c>
      <c r="E13" s="12">
        <v>8</v>
      </c>
      <c r="F13" s="8">
        <v>5.67</v>
      </c>
      <c r="G13" s="12">
        <v>4</v>
      </c>
      <c r="H13" s="8">
        <v>3.92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1.99</v>
      </c>
      <c r="E14" s="12">
        <v>4</v>
      </c>
      <c r="F14" s="8">
        <v>2.84</v>
      </c>
      <c r="G14" s="12">
        <v>1</v>
      </c>
      <c r="H14" s="8">
        <v>0.98</v>
      </c>
      <c r="I14" s="12">
        <v>0</v>
      </c>
    </row>
    <row r="15" spans="2:9" ht="15" customHeight="1" x14ac:dyDescent="0.2">
      <c r="B15" t="s">
        <v>200</v>
      </c>
      <c r="C15" s="12">
        <v>36</v>
      </c>
      <c r="D15" s="8">
        <v>14.34</v>
      </c>
      <c r="E15" s="12">
        <v>26</v>
      </c>
      <c r="F15" s="8">
        <v>18.440000000000001</v>
      </c>
      <c r="G15" s="12">
        <v>8</v>
      </c>
      <c r="H15" s="8">
        <v>7.84</v>
      </c>
      <c r="I15" s="12">
        <v>1</v>
      </c>
    </row>
    <row r="16" spans="2:9" ht="15" customHeight="1" x14ac:dyDescent="0.2">
      <c r="B16" t="s">
        <v>201</v>
      </c>
      <c r="C16" s="12">
        <v>34</v>
      </c>
      <c r="D16" s="8">
        <v>13.55</v>
      </c>
      <c r="E16" s="12">
        <v>27</v>
      </c>
      <c r="F16" s="8">
        <v>19.149999999999999</v>
      </c>
      <c r="G16" s="12">
        <v>6</v>
      </c>
      <c r="H16" s="8">
        <v>5.88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2.79</v>
      </c>
      <c r="E17" s="12">
        <v>5</v>
      </c>
      <c r="F17" s="8">
        <v>3.55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15</v>
      </c>
      <c r="D18" s="8">
        <v>5.98</v>
      </c>
      <c r="E18" s="12">
        <v>11</v>
      </c>
      <c r="F18" s="8">
        <v>7.8</v>
      </c>
      <c r="G18" s="12">
        <v>4</v>
      </c>
      <c r="H18" s="8">
        <v>3.92</v>
      </c>
      <c r="I18" s="12">
        <v>0</v>
      </c>
    </row>
    <row r="19" spans="2:9" ht="15" customHeight="1" x14ac:dyDescent="0.2">
      <c r="B19" t="s">
        <v>204</v>
      </c>
      <c r="C19" s="12">
        <v>10</v>
      </c>
      <c r="D19" s="8">
        <v>3.98</v>
      </c>
      <c r="E19" s="12">
        <v>3</v>
      </c>
      <c r="F19" s="8">
        <v>2.13</v>
      </c>
      <c r="G19" s="12">
        <v>5</v>
      </c>
      <c r="H19" s="8">
        <v>4.9000000000000004</v>
      </c>
      <c r="I19" s="12">
        <v>2</v>
      </c>
    </row>
    <row r="20" spans="2:9" ht="15" customHeight="1" x14ac:dyDescent="0.2">
      <c r="B20" s="9" t="s">
        <v>529</v>
      </c>
      <c r="C20" s="12">
        <f>SUM(LTBL_01559[総数／事業所数])</f>
        <v>251</v>
      </c>
      <c r="E20" s="12">
        <f>SUBTOTAL(109,LTBL_01559[個人／事業所数])</f>
        <v>141</v>
      </c>
      <c r="G20" s="12">
        <f>SUBTOTAL(109,LTBL_01559[法人／事業所数])</f>
        <v>102</v>
      </c>
      <c r="I20" s="12">
        <f>SUBTOTAL(109,LTBL_01559[法人以外の団体／事業所数])</f>
        <v>4</v>
      </c>
    </row>
    <row r="21" spans="2:9" ht="15" customHeight="1" x14ac:dyDescent="0.2">
      <c r="E21" s="11">
        <f>LTBL_01559[[#Totals],[個人／事業所数]]/LTBL_01559[[#Totals],[総数／事業所数]]</f>
        <v>0.56175298804780871</v>
      </c>
      <c r="G21" s="11">
        <f>LTBL_01559[[#Totals],[法人／事業所数]]/LTBL_01559[[#Totals],[総数／事業所数]]</f>
        <v>0.4063745019920319</v>
      </c>
      <c r="I21" s="11">
        <f>LTBL_01559[[#Totals],[法人以外の団体／事業所数]]/LTBL_01559[[#Totals],[総数／事業所数]]</f>
        <v>1.5936254980079681E-2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26</v>
      </c>
      <c r="D24" s="8">
        <v>10.36</v>
      </c>
      <c r="E24" s="12">
        <v>11</v>
      </c>
      <c r="F24" s="8">
        <v>7.8</v>
      </c>
      <c r="G24" s="12">
        <v>15</v>
      </c>
      <c r="H24" s="8">
        <v>14.71</v>
      </c>
      <c r="I24" s="12">
        <v>0</v>
      </c>
    </row>
    <row r="25" spans="2:9" ht="15" customHeight="1" x14ac:dyDescent="0.2">
      <c r="B25" t="s">
        <v>228</v>
      </c>
      <c r="C25" s="12">
        <v>25</v>
      </c>
      <c r="D25" s="8">
        <v>9.9600000000000009</v>
      </c>
      <c r="E25" s="12">
        <v>24</v>
      </c>
      <c r="F25" s="8">
        <v>17.02</v>
      </c>
      <c r="G25" s="12">
        <v>1</v>
      </c>
      <c r="H25" s="8">
        <v>0.98</v>
      </c>
      <c r="I25" s="12">
        <v>0</v>
      </c>
    </row>
    <row r="26" spans="2:9" ht="15" customHeight="1" x14ac:dyDescent="0.2">
      <c r="B26" t="s">
        <v>227</v>
      </c>
      <c r="C26" s="12">
        <v>23</v>
      </c>
      <c r="D26" s="8">
        <v>9.16</v>
      </c>
      <c r="E26" s="12">
        <v>21</v>
      </c>
      <c r="F26" s="8">
        <v>14.89</v>
      </c>
      <c r="G26" s="12">
        <v>2</v>
      </c>
      <c r="H26" s="8">
        <v>1.96</v>
      </c>
      <c r="I26" s="12">
        <v>0</v>
      </c>
    </row>
    <row r="27" spans="2:9" ht="15" customHeight="1" x14ac:dyDescent="0.2">
      <c r="B27" t="s">
        <v>221</v>
      </c>
      <c r="C27" s="12">
        <v>17</v>
      </c>
      <c r="D27" s="8">
        <v>6.77</v>
      </c>
      <c r="E27" s="12">
        <v>11</v>
      </c>
      <c r="F27" s="8">
        <v>7.8</v>
      </c>
      <c r="G27" s="12">
        <v>6</v>
      </c>
      <c r="H27" s="8">
        <v>5.88</v>
      </c>
      <c r="I27" s="12">
        <v>0</v>
      </c>
    </row>
    <row r="28" spans="2:9" ht="15" customHeight="1" x14ac:dyDescent="0.2">
      <c r="B28" t="s">
        <v>213</v>
      </c>
      <c r="C28" s="12">
        <v>15</v>
      </c>
      <c r="D28" s="8">
        <v>5.98</v>
      </c>
      <c r="E28" s="12">
        <v>5</v>
      </c>
      <c r="F28" s="8">
        <v>3.55</v>
      </c>
      <c r="G28" s="12">
        <v>10</v>
      </c>
      <c r="H28" s="8">
        <v>9.8000000000000007</v>
      </c>
      <c r="I28" s="12">
        <v>0</v>
      </c>
    </row>
    <row r="29" spans="2:9" ht="15" customHeight="1" x14ac:dyDescent="0.2">
      <c r="B29" t="s">
        <v>231</v>
      </c>
      <c r="C29" s="12">
        <v>11</v>
      </c>
      <c r="D29" s="8">
        <v>4.38</v>
      </c>
      <c r="E29" s="12">
        <v>11</v>
      </c>
      <c r="F29" s="8">
        <v>7.8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220</v>
      </c>
      <c r="C30" s="12">
        <v>9</v>
      </c>
      <c r="D30" s="8">
        <v>3.59</v>
      </c>
      <c r="E30" s="12">
        <v>5</v>
      </c>
      <c r="F30" s="8">
        <v>3.55</v>
      </c>
      <c r="G30" s="12">
        <v>4</v>
      </c>
      <c r="H30" s="8">
        <v>3.92</v>
      </c>
      <c r="I30" s="12">
        <v>0</v>
      </c>
    </row>
    <row r="31" spans="2:9" ht="15" customHeight="1" x14ac:dyDescent="0.2">
      <c r="B31" t="s">
        <v>215</v>
      </c>
      <c r="C31" s="12">
        <v>8</v>
      </c>
      <c r="D31" s="8">
        <v>3.19</v>
      </c>
      <c r="E31" s="12">
        <v>2</v>
      </c>
      <c r="F31" s="8">
        <v>1.42</v>
      </c>
      <c r="G31" s="12">
        <v>6</v>
      </c>
      <c r="H31" s="8">
        <v>5.88</v>
      </c>
      <c r="I31" s="12">
        <v>0</v>
      </c>
    </row>
    <row r="32" spans="2:9" ht="15" customHeight="1" x14ac:dyDescent="0.2">
      <c r="B32" t="s">
        <v>243</v>
      </c>
      <c r="C32" s="12">
        <v>7</v>
      </c>
      <c r="D32" s="8">
        <v>2.79</v>
      </c>
      <c r="E32" s="12">
        <v>2</v>
      </c>
      <c r="F32" s="8">
        <v>1.42</v>
      </c>
      <c r="G32" s="12">
        <v>4</v>
      </c>
      <c r="H32" s="8">
        <v>3.92</v>
      </c>
      <c r="I32" s="12">
        <v>1</v>
      </c>
    </row>
    <row r="33" spans="2:9" ht="15" customHeight="1" x14ac:dyDescent="0.2">
      <c r="B33" t="s">
        <v>230</v>
      </c>
      <c r="C33" s="12">
        <v>7</v>
      </c>
      <c r="D33" s="8">
        <v>2.79</v>
      </c>
      <c r="E33" s="12">
        <v>5</v>
      </c>
      <c r="F33" s="8">
        <v>3.55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214</v>
      </c>
      <c r="C34" s="12">
        <v>6</v>
      </c>
      <c r="D34" s="8">
        <v>2.39</v>
      </c>
      <c r="E34" s="12">
        <v>3</v>
      </c>
      <c r="F34" s="8">
        <v>2.13</v>
      </c>
      <c r="G34" s="12">
        <v>3</v>
      </c>
      <c r="H34" s="8">
        <v>2.94</v>
      </c>
      <c r="I34" s="12">
        <v>0</v>
      </c>
    </row>
    <row r="35" spans="2:9" ht="15" customHeight="1" x14ac:dyDescent="0.2">
      <c r="B35" t="s">
        <v>241</v>
      </c>
      <c r="C35" s="12">
        <v>6</v>
      </c>
      <c r="D35" s="8">
        <v>2.39</v>
      </c>
      <c r="E35" s="12">
        <v>3</v>
      </c>
      <c r="F35" s="8">
        <v>2.13</v>
      </c>
      <c r="G35" s="12">
        <v>3</v>
      </c>
      <c r="H35" s="8">
        <v>2.94</v>
      </c>
      <c r="I35" s="12">
        <v>0</v>
      </c>
    </row>
    <row r="36" spans="2:9" ht="15" customHeight="1" x14ac:dyDescent="0.2">
      <c r="B36" t="s">
        <v>254</v>
      </c>
      <c r="C36" s="12">
        <v>6</v>
      </c>
      <c r="D36" s="8">
        <v>2.39</v>
      </c>
      <c r="E36" s="12">
        <v>1</v>
      </c>
      <c r="F36" s="8">
        <v>0.71</v>
      </c>
      <c r="G36" s="12">
        <v>5</v>
      </c>
      <c r="H36" s="8">
        <v>4.9000000000000004</v>
      </c>
      <c r="I36" s="12">
        <v>0</v>
      </c>
    </row>
    <row r="37" spans="2:9" ht="15" customHeight="1" x14ac:dyDescent="0.2">
      <c r="B37" t="s">
        <v>239</v>
      </c>
      <c r="C37" s="12">
        <v>6</v>
      </c>
      <c r="D37" s="8">
        <v>2.39</v>
      </c>
      <c r="E37" s="12">
        <v>3</v>
      </c>
      <c r="F37" s="8">
        <v>2.13</v>
      </c>
      <c r="G37" s="12">
        <v>2</v>
      </c>
      <c r="H37" s="8">
        <v>1.96</v>
      </c>
      <c r="I37" s="12">
        <v>0</v>
      </c>
    </row>
    <row r="38" spans="2:9" ht="15" customHeight="1" x14ac:dyDescent="0.2">
      <c r="B38" t="s">
        <v>224</v>
      </c>
      <c r="C38" s="12">
        <v>5</v>
      </c>
      <c r="D38" s="8">
        <v>1.99</v>
      </c>
      <c r="E38" s="12">
        <v>3</v>
      </c>
      <c r="F38" s="8">
        <v>2.13</v>
      </c>
      <c r="G38" s="12">
        <v>2</v>
      </c>
      <c r="H38" s="8">
        <v>1.96</v>
      </c>
      <c r="I38" s="12">
        <v>0</v>
      </c>
    </row>
    <row r="39" spans="2:9" ht="15" customHeight="1" x14ac:dyDescent="0.2">
      <c r="B39" t="s">
        <v>247</v>
      </c>
      <c r="C39" s="12">
        <v>5</v>
      </c>
      <c r="D39" s="8">
        <v>1.99</v>
      </c>
      <c r="E39" s="12">
        <v>0</v>
      </c>
      <c r="F39" s="8">
        <v>0</v>
      </c>
      <c r="G39" s="12">
        <v>4</v>
      </c>
      <c r="H39" s="8">
        <v>3.92</v>
      </c>
      <c r="I39" s="12">
        <v>0</v>
      </c>
    </row>
    <row r="40" spans="2:9" ht="15" customHeight="1" x14ac:dyDescent="0.2">
      <c r="B40" t="s">
        <v>252</v>
      </c>
      <c r="C40" s="12">
        <v>4</v>
      </c>
      <c r="D40" s="8">
        <v>1.59</v>
      </c>
      <c r="E40" s="12">
        <v>2</v>
      </c>
      <c r="F40" s="8">
        <v>1.42</v>
      </c>
      <c r="G40" s="12">
        <v>2</v>
      </c>
      <c r="H40" s="8">
        <v>1.96</v>
      </c>
      <c r="I40" s="12">
        <v>0</v>
      </c>
    </row>
    <row r="41" spans="2:9" ht="15" customHeight="1" x14ac:dyDescent="0.2">
      <c r="B41" t="s">
        <v>222</v>
      </c>
      <c r="C41" s="12">
        <v>4</v>
      </c>
      <c r="D41" s="8">
        <v>1.59</v>
      </c>
      <c r="E41" s="12">
        <v>1</v>
      </c>
      <c r="F41" s="8">
        <v>0.71</v>
      </c>
      <c r="G41" s="12">
        <v>3</v>
      </c>
      <c r="H41" s="8">
        <v>2.94</v>
      </c>
      <c r="I41" s="12">
        <v>0</v>
      </c>
    </row>
    <row r="42" spans="2:9" ht="15" customHeight="1" x14ac:dyDescent="0.2">
      <c r="B42" t="s">
        <v>233</v>
      </c>
      <c r="C42" s="12">
        <v>4</v>
      </c>
      <c r="D42" s="8">
        <v>1.59</v>
      </c>
      <c r="E42" s="12">
        <v>3</v>
      </c>
      <c r="F42" s="8">
        <v>2.13</v>
      </c>
      <c r="G42" s="12">
        <v>1</v>
      </c>
      <c r="H42" s="8">
        <v>0.98</v>
      </c>
      <c r="I42" s="12">
        <v>0</v>
      </c>
    </row>
    <row r="43" spans="2:9" ht="15" customHeight="1" x14ac:dyDescent="0.2">
      <c r="B43" t="s">
        <v>226</v>
      </c>
      <c r="C43" s="12">
        <v>4</v>
      </c>
      <c r="D43" s="8">
        <v>1.59</v>
      </c>
      <c r="E43" s="12">
        <v>3</v>
      </c>
      <c r="F43" s="8">
        <v>2.13</v>
      </c>
      <c r="G43" s="12">
        <v>1</v>
      </c>
      <c r="H43" s="8">
        <v>0.98</v>
      </c>
      <c r="I43" s="12">
        <v>0</v>
      </c>
    </row>
    <row r="44" spans="2:9" ht="15" customHeight="1" x14ac:dyDescent="0.2">
      <c r="B44" t="s">
        <v>229</v>
      </c>
      <c r="C44" s="12">
        <v>4</v>
      </c>
      <c r="D44" s="8">
        <v>1.59</v>
      </c>
      <c r="E44" s="12">
        <v>3</v>
      </c>
      <c r="F44" s="8">
        <v>2.13</v>
      </c>
      <c r="G44" s="12">
        <v>1</v>
      </c>
      <c r="H44" s="8">
        <v>0.98</v>
      </c>
      <c r="I44" s="12">
        <v>0</v>
      </c>
    </row>
    <row r="45" spans="2:9" ht="15" customHeight="1" x14ac:dyDescent="0.2">
      <c r="B45" t="s">
        <v>232</v>
      </c>
      <c r="C45" s="12">
        <v>4</v>
      </c>
      <c r="D45" s="8">
        <v>1.59</v>
      </c>
      <c r="E45" s="12">
        <v>0</v>
      </c>
      <c r="F45" s="8">
        <v>0</v>
      </c>
      <c r="G45" s="12">
        <v>4</v>
      </c>
      <c r="H45" s="8">
        <v>3.92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304</v>
      </c>
      <c r="C49" s="12">
        <v>13</v>
      </c>
      <c r="D49" s="8">
        <v>5.18</v>
      </c>
      <c r="E49" s="12">
        <v>13</v>
      </c>
      <c r="F49" s="8">
        <v>9.2200000000000006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303</v>
      </c>
      <c r="C50" s="12">
        <v>10</v>
      </c>
      <c r="D50" s="8">
        <v>3.98</v>
      </c>
      <c r="E50" s="12">
        <v>10</v>
      </c>
      <c r="F50" s="8">
        <v>7.09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330</v>
      </c>
      <c r="C51" s="12">
        <v>9</v>
      </c>
      <c r="D51" s="8">
        <v>3.59</v>
      </c>
      <c r="E51" s="12">
        <v>1</v>
      </c>
      <c r="F51" s="8">
        <v>0.71</v>
      </c>
      <c r="G51" s="12">
        <v>8</v>
      </c>
      <c r="H51" s="8">
        <v>7.84</v>
      </c>
      <c r="I51" s="12">
        <v>0</v>
      </c>
    </row>
    <row r="52" spans="2:9" ht="15" customHeight="1" x14ac:dyDescent="0.2">
      <c r="B52" t="s">
        <v>306</v>
      </c>
      <c r="C52" s="12">
        <v>8</v>
      </c>
      <c r="D52" s="8">
        <v>3.19</v>
      </c>
      <c r="E52" s="12">
        <v>8</v>
      </c>
      <c r="F52" s="8">
        <v>5.67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292</v>
      </c>
      <c r="C53" s="12">
        <v>6</v>
      </c>
      <c r="D53" s="8">
        <v>2.39</v>
      </c>
      <c r="E53" s="12">
        <v>1</v>
      </c>
      <c r="F53" s="8">
        <v>0.71</v>
      </c>
      <c r="G53" s="12">
        <v>5</v>
      </c>
      <c r="H53" s="8">
        <v>4.9000000000000004</v>
      </c>
      <c r="I53" s="12">
        <v>0</v>
      </c>
    </row>
    <row r="54" spans="2:9" ht="15" customHeight="1" x14ac:dyDescent="0.2">
      <c r="B54" t="s">
        <v>295</v>
      </c>
      <c r="C54" s="12">
        <v>6</v>
      </c>
      <c r="D54" s="8">
        <v>2.39</v>
      </c>
      <c r="E54" s="12">
        <v>6</v>
      </c>
      <c r="F54" s="8">
        <v>4.26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334</v>
      </c>
      <c r="C55" s="12">
        <v>6</v>
      </c>
      <c r="D55" s="8">
        <v>2.39</v>
      </c>
      <c r="E55" s="12">
        <v>6</v>
      </c>
      <c r="F55" s="8">
        <v>4.26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328</v>
      </c>
      <c r="C56" s="12">
        <v>5</v>
      </c>
      <c r="D56" s="8">
        <v>1.99</v>
      </c>
      <c r="E56" s="12">
        <v>2</v>
      </c>
      <c r="F56" s="8">
        <v>1.42</v>
      </c>
      <c r="G56" s="12">
        <v>3</v>
      </c>
      <c r="H56" s="8">
        <v>2.94</v>
      </c>
      <c r="I56" s="12">
        <v>0</v>
      </c>
    </row>
    <row r="57" spans="2:9" ht="15" customHeight="1" x14ac:dyDescent="0.2">
      <c r="B57" t="s">
        <v>299</v>
      </c>
      <c r="C57" s="12">
        <v>5</v>
      </c>
      <c r="D57" s="8">
        <v>1.99</v>
      </c>
      <c r="E57" s="12">
        <v>4</v>
      </c>
      <c r="F57" s="8">
        <v>2.84</v>
      </c>
      <c r="G57" s="12">
        <v>1</v>
      </c>
      <c r="H57" s="8">
        <v>0.98</v>
      </c>
      <c r="I57" s="12">
        <v>0</v>
      </c>
    </row>
    <row r="58" spans="2:9" ht="15" customHeight="1" x14ac:dyDescent="0.2">
      <c r="B58" t="s">
        <v>325</v>
      </c>
      <c r="C58" s="12">
        <v>5</v>
      </c>
      <c r="D58" s="8">
        <v>1.99</v>
      </c>
      <c r="E58" s="12">
        <v>2</v>
      </c>
      <c r="F58" s="8">
        <v>1.42</v>
      </c>
      <c r="G58" s="12">
        <v>2</v>
      </c>
      <c r="H58" s="8">
        <v>1.96</v>
      </c>
      <c r="I58" s="12">
        <v>0</v>
      </c>
    </row>
    <row r="59" spans="2:9" ht="15" customHeight="1" x14ac:dyDescent="0.2">
      <c r="B59" t="s">
        <v>288</v>
      </c>
      <c r="C59" s="12">
        <v>4</v>
      </c>
      <c r="D59" s="8">
        <v>1.59</v>
      </c>
      <c r="E59" s="12">
        <v>1</v>
      </c>
      <c r="F59" s="8">
        <v>0.71</v>
      </c>
      <c r="G59" s="12">
        <v>3</v>
      </c>
      <c r="H59" s="8">
        <v>2.94</v>
      </c>
      <c r="I59" s="12">
        <v>0</v>
      </c>
    </row>
    <row r="60" spans="2:9" ht="15" customHeight="1" x14ac:dyDescent="0.2">
      <c r="B60" t="s">
        <v>290</v>
      </c>
      <c r="C60" s="12">
        <v>4</v>
      </c>
      <c r="D60" s="8">
        <v>1.59</v>
      </c>
      <c r="E60" s="12">
        <v>1</v>
      </c>
      <c r="F60" s="8">
        <v>0.71</v>
      </c>
      <c r="G60" s="12">
        <v>3</v>
      </c>
      <c r="H60" s="8">
        <v>2.94</v>
      </c>
      <c r="I60" s="12">
        <v>0</v>
      </c>
    </row>
    <row r="61" spans="2:9" ht="15" customHeight="1" x14ac:dyDescent="0.2">
      <c r="B61" t="s">
        <v>399</v>
      </c>
      <c r="C61" s="12">
        <v>4</v>
      </c>
      <c r="D61" s="8">
        <v>1.59</v>
      </c>
      <c r="E61" s="12">
        <v>2</v>
      </c>
      <c r="F61" s="8">
        <v>1.42</v>
      </c>
      <c r="G61" s="12">
        <v>2</v>
      </c>
      <c r="H61" s="8">
        <v>1.96</v>
      </c>
      <c r="I61" s="12">
        <v>0</v>
      </c>
    </row>
    <row r="62" spans="2:9" ht="15" customHeight="1" x14ac:dyDescent="0.2">
      <c r="B62" t="s">
        <v>400</v>
      </c>
      <c r="C62" s="12">
        <v>4</v>
      </c>
      <c r="D62" s="8">
        <v>1.59</v>
      </c>
      <c r="E62" s="12">
        <v>2</v>
      </c>
      <c r="F62" s="8">
        <v>1.42</v>
      </c>
      <c r="G62" s="12">
        <v>2</v>
      </c>
      <c r="H62" s="8">
        <v>1.96</v>
      </c>
      <c r="I62" s="12">
        <v>0</v>
      </c>
    </row>
    <row r="63" spans="2:9" ht="15" customHeight="1" x14ac:dyDescent="0.2">
      <c r="B63" t="s">
        <v>314</v>
      </c>
      <c r="C63" s="12">
        <v>4</v>
      </c>
      <c r="D63" s="8">
        <v>1.59</v>
      </c>
      <c r="E63" s="12">
        <v>3</v>
      </c>
      <c r="F63" s="8">
        <v>2.13</v>
      </c>
      <c r="G63" s="12">
        <v>1</v>
      </c>
      <c r="H63" s="8">
        <v>0.98</v>
      </c>
      <c r="I63" s="12">
        <v>0</v>
      </c>
    </row>
    <row r="64" spans="2:9" ht="15" customHeight="1" x14ac:dyDescent="0.2">
      <c r="B64" t="s">
        <v>329</v>
      </c>
      <c r="C64" s="12">
        <v>4</v>
      </c>
      <c r="D64" s="8">
        <v>1.59</v>
      </c>
      <c r="E64" s="12">
        <v>4</v>
      </c>
      <c r="F64" s="8">
        <v>2.84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310</v>
      </c>
      <c r="C65" s="12">
        <v>4</v>
      </c>
      <c r="D65" s="8">
        <v>1.59</v>
      </c>
      <c r="E65" s="12">
        <v>3</v>
      </c>
      <c r="F65" s="8">
        <v>2.13</v>
      </c>
      <c r="G65" s="12">
        <v>1</v>
      </c>
      <c r="H65" s="8">
        <v>0.98</v>
      </c>
      <c r="I65" s="12">
        <v>0</v>
      </c>
    </row>
    <row r="66" spans="2:9" ht="15" customHeight="1" x14ac:dyDescent="0.2">
      <c r="B66" t="s">
        <v>339</v>
      </c>
      <c r="C66" s="12">
        <v>4</v>
      </c>
      <c r="D66" s="8">
        <v>1.59</v>
      </c>
      <c r="E66" s="12">
        <v>2</v>
      </c>
      <c r="F66" s="8">
        <v>1.42</v>
      </c>
      <c r="G66" s="12">
        <v>2</v>
      </c>
      <c r="H66" s="8">
        <v>1.96</v>
      </c>
      <c r="I66" s="12">
        <v>0</v>
      </c>
    </row>
    <row r="67" spans="2:9" ht="15" customHeight="1" x14ac:dyDescent="0.2">
      <c r="B67" t="s">
        <v>300</v>
      </c>
      <c r="C67" s="12">
        <v>4</v>
      </c>
      <c r="D67" s="8">
        <v>1.59</v>
      </c>
      <c r="E67" s="12">
        <v>3</v>
      </c>
      <c r="F67" s="8">
        <v>2.13</v>
      </c>
      <c r="G67" s="12">
        <v>1</v>
      </c>
      <c r="H67" s="8">
        <v>0.98</v>
      </c>
      <c r="I67" s="12">
        <v>0</v>
      </c>
    </row>
    <row r="68" spans="2:9" ht="15" customHeight="1" x14ac:dyDescent="0.2">
      <c r="B68" t="s">
        <v>368</v>
      </c>
      <c r="C68" s="12">
        <v>4</v>
      </c>
      <c r="D68" s="8">
        <v>1.59</v>
      </c>
      <c r="E68" s="12">
        <v>0</v>
      </c>
      <c r="F68" s="8">
        <v>0</v>
      </c>
      <c r="G68" s="12">
        <v>4</v>
      </c>
      <c r="H68" s="8">
        <v>3.92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57A7D-0D42-4F11-84E7-1086A3B23D99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9</v>
      </c>
      <c r="D6" s="8">
        <v>10.98</v>
      </c>
      <c r="E6" s="12">
        <v>3</v>
      </c>
      <c r="F6" s="8">
        <v>6.98</v>
      </c>
      <c r="G6" s="12">
        <v>6</v>
      </c>
      <c r="H6" s="8">
        <v>20.69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9.76</v>
      </c>
      <c r="E7" s="12">
        <v>3</v>
      </c>
      <c r="F7" s="8">
        <v>6.98</v>
      </c>
      <c r="G7" s="12">
        <v>5</v>
      </c>
      <c r="H7" s="8">
        <v>17.239999999999998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1.22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1.22</v>
      </c>
      <c r="E9" s="12">
        <v>1</v>
      </c>
      <c r="F9" s="8">
        <v>2.33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3.66</v>
      </c>
      <c r="E10" s="12">
        <v>1</v>
      </c>
      <c r="F10" s="8">
        <v>2.33</v>
      </c>
      <c r="G10" s="12">
        <v>2</v>
      </c>
      <c r="H10" s="8">
        <v>6.9</v>
      </c>
      <c r="I10" s="12">
        <v>0</v>
      </c>
    </row>
    <row r="11" spans="2:9" ht="15" customHeight="1" x14ac:dyDescent="0.2">
      <c r="B11" t="s">
        <v>196</v>
      </c>
      <c r="C11" s="12">
        <v>25</v>
      </c>
      <c r="D11" s="8">
        <v>30.49</v>
      </c>
      <c r="E11" s="12">
        <v>13</v>
      </c>
      <c r="F11" s="8">
        <v>30.23</v>
      </c>
      <c r="G11" s="12">
        <v>12</v>
      </c>
      <c r="H11" s="8">
        <v>41.38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2.44</v>
      </c>
      <c r="E13" s="12">
        <v>1</v>
      </c>
      <c r="F13" s="8">
        <v>2.33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1.22</v>
      </c>
      <c r="E14" s="12">
        <v>1</v>
      </c>
      <c r="F14" s="8">
        <v>2.33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9</v>
      </c>
      <c r="D15" s="8">
        <v>10.98</v>
      </c>
      <c r="E15" s="12">
        <v>7</v>
      </c>
      <c r="F15" s="8">
        <v>16.28</v>
      </c>
      <c r="G15" s="12">
        <v>2</v>
      </c>
      <c r="H15" s="8">
        <v>6.9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17.07</v>
      </c>
      <c r="E16" s="12">
        <v>10</v>
      </c>
      <c r="F16" s="8">
        <v>23.26</v>
      </c>
      <c r="G16" s="12">
        <v>2</v>
      </c>
      <c r="H16" s="8">
        <v>6.9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4.88</v>
      </c>
      <c r="E17" s="12">
        <v>1</v>
      </c>
      <c r="F17" s="8">
        <v>2.33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3.66</v>
      </c>
      <c r="E18" s="12">
        <v>1</v>
      </c>
      <c r="F18" s="8">
        <v>2.33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2.44</v>
      </c>
      <c r="E19" s="12">
        <v>1</v>
      </c>
      <c r="F19" s="8">
        <v>2.33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SUM(LTBL_01560[総数／事業所数])</f>
        <v>82</v>
      </c>
      <c r="E20" s="12">
        <f>SUBTOTAL(109,LTBL_01560[個人／事業所数])</f>
        <v>43</v>
      </c>
      <c r="G20" s="12">
        <f>SUBTOTAL(109,LTBL_01560[法人／事業所数])</f>
        <v>29</v>
      </c>
      <c r="I20" s="12">
        <f>SUBTOTAL(109,LTBL_01560[法人以外の団体／事業所数])</f>
        <v>0</v>
      </c>
    </row>
    <row r="21" spans="2:9" ht="15" customHeight="1" x14ac:dyDescent="0.2">
      <c r="E21" s="11">
        <f>LTBL_01560[[#Totals],[個人／事業所数]]/LTBL_01560[[#Totals],[総数／事業所数]]</f>
        <v>0.52439024390243905</v>
      </c>
      <c r="G21" s="11">
        <f>LTBL_01560[[#Totals],[法人／事業所数]]/LTBL_01560[[#Totals],[総数／事業所数]]</f>
        <v>0.35365853658536583</v>
      </c>
      <c r="I21" s="11">
        <f>LTBL_01560[[#Totals],[法人以外の団体／事業所数]]/LTBL_01560[[#Totals],[総数／事業所数]]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9</v>
      </c>
      <c r="D24" s="8">
        <v>10.98</v>
      </c>
      <c r="E24" s="12">
        <v>9</v>
      </c>
      <c r="F24" s="8">
        <v>20.93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221</v>
      </c>
      <c r="C25" s="12">
        <v>6</v>
      </c>
      <c r="D25" s="8">
        <v>7.32</v>
      </c>
      <c r="E25" s="12">
        <v>3</v>
      </c>
      <c r="F25" s="8">
        <v>6.98</v>
      </c>
      <c r="G25" s="12">
        <v>3</v>
      </c>
      <c r="H25" s="8">
        <v>10.34</v>
      </c>
      <c r="I25" s="12">
        <v>0</v>
      </c>
    </row>
    <row r="26" spans="2:9" ht="15" customHeight="1" x14ac:dyDescent="0.2">
      <c r="B26" t="s">
        <v>222</v>
      </c>
      <c r="C26" s="12">
        <v>6</v>
      </c>
      <c r="D26" s="8">
        <v>7.32</v>
      </c>
      <c r="E26" s="12">
        <v>5</v>
      </c>
      <c r="F26" s="8">
        <v>11.63</v>
      </c>
      <c r="G26" s="12">
        <v>1</v>
      </c>
      <c r="H26" s="8">
        <v>3.45</v>
      </c>
      <c r="I26" s="12">
        <v>0</v>
      </c>
    </row>
    <row r="27" spans="2:9" ht="15" customHeight="1" x14ac:dyDescent="0.2">
      <c r="B27" t="s">
        <v>227</v>
      </c>
      <c r="C27" s="12">
        <v>6</v>
      </c>
      <c r="D27" s="8">
        <v>7.32</v>
      </c>
      <c r="E27" s="12">
        <v>5</v>
      </c>
      <c r="F27" s="8">
        <v>11.63</v>
      </c>
      <c r="G27" s="12">
        <v>1</v>
      </c>
      <c r="H27" s="8">
        <v>3.45</v>
      </c>
      <c r="I27" s="12">
        <v>0</v>
      </c>
    </row>
    <row r="28" spans="2:9" ht="15" customHeight="1" x14ac:dyDescent="0.2">
      <c r="B28" t="s">
        <v>213</v>
      </c>
      <c r="C28" s="12">
        <v>5</v>
      </c>
      <c r="D28" s="8">
        <v>6.1</v>
      </c>
      <c r="E28" s="12">
        <v>0</v>
      </c>
      <c r="F28" s="8">
        <v>0</v>
      </c>
      <c r="G28" s="12">
        <v>5</v>
      </c>
      <c r="H28" s="8">
        <v>17.239999999999998</v>
      </c>
      <c r="I28" s="12">
        <v>0</v>
      </c>
    </row>
    <row r="29" spans="2:9" ht="15" customHeight="1" x14ac:dyDescent="0.2">
      <c r="B29" t="s">
        <v>220</v>
      </c>
      <c r="C29" s="12">
        <v>5</v>
      </c>
      <c r="D29" s="8">
        <v>6.1</v>
      </c>
      <c r="E29" s="12">
        <v>4</v>
      </c>
      <c r="F29" s="8">
        <v>9.3000000000000007</v>
      </c>
      <c r="G29" s="12">
        <v>1</v>
      </c>
      <c r="H29" s="8">
        <v>3.45</v>
      </c>
      <c r="I29" s="12">
        <v>0</v>
      </c>
    </row>
    <row r="30" spans="2:9" ht="15" customHeight="1" x14ac:dyDescent="0.2">
      <c r="B30" t="s">
        <v>229</v>
      </c>
      <c r="C30" s="12">
        <v>5</v>
      </c>
      <c r="D30" s="8">
        <v>6.1</v>
      </c>
      <c r="E30" s="12">
        <v>1</v>
      </c>
      <c r="F30" s="8">
        <v>2.33</v>
      </c>
      <c r="G30" s="12">
        <v>2</v>
      </c>
      <c r="H30" s="8">
        <v>6.9</v>
      </c>
      <c r="I30" s="12">
        <v>0</v>
      </c>
    </row>
    <row r="31" spans="2:9" ht="15" customHeight="1" x14ac:dyDescent="0.2">
      <c r="B31" t="s">
        <v>223</v>
      </c>
      <c r="C31" s="12">
        <v>4</v>
      </c>
      <c r="D31" s="8">
        <v>4.88</v>
      </c>
      <c r="E31" s="12">
        <v>1</v>
      </c>
      <c r="F31" s="8">
        <v>2.33</v>
      </c>
      <c r="G31" s="12">
        <v>3</v>
      </c>
      <c r="H31" s="8">
        <v>10.34</v>
      </c>
      <c r="I31" s="12">
        <v>0</v>
      </c>
    </row>
    <row r="32" spans="2:9" ht="15" customHeight="1" x14ac:dyDescent="0.2">
      <c r="B32" t="s">
        <v>230</v>
      </c>
      <c r="C32" s="12">
        <v>4</v>
      </c>
      <c r="D32" s="8">
        <v>4.88</v>
      </c>
      <c r="E32" s="12">
        <v>1</v>
      </c>
      <c r="F32" s="8">
        <v>2.33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214</v>
      </c>
      <c r="C33" s="12">
        <v>3</v>
      </c>
      <c r="D33" s="8">
        <v>3.66</v>
      </c>
      <c r="E33" s="12">
        <v>3</v>
      </c>
      <c r="F33" s="8">
        <v>6.98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244</v>
      </c>
      <c r="C34" s="12">
        <v>3</v>
      </c>
      <c r="D34" s="8">
        <v>3.66</v>
      </c>
      <c r="E34" s="12">
        <v>1</v>
      </c>
      <c r="F34" s="8">
        <v>2.33</v>
      </c>
      <c r="G34" s="12">
        <v>2</v>
      </c>
      <c r="H34" s="8">
        <v>6.9</v>
      </c>
      <c r="I34" s="12">
        <v>0</v>
      </c>
    </row>
    <row r="35" spans="2:9" ht="15" customHeight="1" x14ac:dyDescent="0.2">
      <c r="B35" t="s">
        <v>243</v>
      </c>
      <c r="C35" s="12">
        <v>3</v>
      </c>
      <c r="D35" s="8">
        <v>3.66</v>
      </c>
      <c r="E35" s="12">
        <v>2</v>
      </c>
      <c r="F35" s="8">
        <v>4.6500000000000004</v>
      </c>
      <c r="G35" s="12">
        <v>1</v>
      </c>
      <c r="H35" s="8">
        <v>3.45</v>
      </c>
      <c r="I35" s="12">
        <v>0</v>
      </c>
    </row>
    <row r="36" spans="2:9" ht="15" customHeight="1" x14ac:dyDescent="0.2">
      <c r="B36" t="s">
        <v>252</v>
      </c>
      <c r="C36" s="12">
        <v>2</v>
      </c>
      <c r="D36" s="8">
        <v>2.44</v>
      </c>
      <c r="E36" s="12">
        <v>1</v>
      </c>
      <c r="F36" s="8">
        <v>2.33</v>
      </c>
      <c r="G36" s="12">
        <v>1</v>
      </c>
      <c r="H36" s="8">
        <v>3.45</v>
      </c>
      <c r="I36" s="12">
        <v>0</v>
      </c>
    </row>
    <row r="37" spans="2:9" ht="15" customHeight="1" x14ac:dyDescent="0.2">
      <c r="B37" t="s">
        <v>217</v>
      </c>
      <c r="C37" s="12">
        <v>2</v>
      </c>
      <c r="D37" s="8">
        <v>2.44</v>
      </c>
      <c r="E37" s="12">
        <v>0</v>
      </c>
      <c r="F37" s="8">
        <v>0</v>
      </c>
      <c r="G37" s="12">
        <v>2</v>
      </c>
      <c r="H37" s="8">
        <v>6.9</v>
      </c>
      <c r="I37" s="12">
        <v>0</v>
      </c>
    </row>
    <row r="38" spans="2:9" ht="15" customHeight="1" x14ac:dyDescent="0.2">
      <c r="B38" t="s">
        <v>224</v>
      </c>
      <c r="C38" s="12">
        <v>2</v>
      </c>
      <c r="D38" s="8">
        <v>2.44</v>
      </c>
      <c r="E38" s="12">
        <v>1</v>
      </c>
      <c r="F38" s="8">
        <v>2.33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232</v>
      </c>
      <c r="C39" s="12">
        <v>2</v>
      </c>
      <c r="D39" s="8">
        <v>2.44</v>
      </c>
      <c r="E39" s="12">
        <v>0</v>
      </c>
      <c r="F39" s="8">
        <v>0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215</v>
      </c>
      <c r="C40" s="12">
        <v>1</v>
      </c>
      <c r="D40" s="8">
        <v>1.22</v>
      </c>
      <c r="E40" s="12">
        <v>0</v>
      </c>
      <c r="F40" s="8">
        <v>0</v>
      </c>
      <c r="G40" s="12">
        <v>1</v>
      </c>
      <c r="H40" s="8">
        <v>3.45</v>
      </c>
      <c r="I40" s="12">
        <v>0</v>
      </c>
    </row>
    <row r="41" spans="2:9" ht="15" customHeight="1" x14ac:dyDescent="0.2">
      <c r="B41" t="s">
        <v>241</v>
      </c>
      <c r="C41" s="12">
        <v>1</v>
      </c>
      <c r="D41" s="8">
        <v>1.22</v>
      </c>
      <c r="E41" s="12">
        <v>0</v>
      </c>
      <c r="F41" s="8">
        <v>0</v>
      </c>
      <c r="G41" s="12">
        <v>1</v>
      </c>
      <c r="H41" s="8">
        <v>3.45</v>
      </c>
      <c r="I41" s="12">
        <v>0</v>
      </c>
    </row>
    <row r="42" spans="2:9" ht="15" customHeight="1" x14ac:dyDescent="0.2">
      <c r="B42" t="s">
        <v>262</v>
      </c>
      <c r="C42" s="12">
        <v>1</v>
      </c>
      <c r="D42" s="8">
        <v>1.22</v>
      </c>
      <c r="E42" s="12">
        <v>1</v>
      </c>
      <c r="F42" s="8">
        <v>2.33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253</v>
      </c>
      <c r="C43" s="12">
        <v>1</v>
      </c>
      <c r="D43" s="8">
        <v>1.22</v>
      </c>
      <c r="E43" s="12">
        <v>0</v>
      </c>
      <c r="F43" s="8">
        <v>0</v>
      </c>
      <c r="G43" s="12">
        <v>1</v>
      </c>
      <c r="H43" s="8">
        <v>3.45</v>
      </c>
      <c r="I43" s="12">
        <v>0</v>
      </c>
    </row>
    <row r="44" spans="2:9" ht="15" customHeight="1" x14ac:dyDescent="0.2">
      <c r="B44" t="s">
        <v>255</v>
      </c>
      <c r="C44" s="12">
        <v>1</v>
      </c>
      <c r="D44" s="8">
        <v>1.22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281</v>
      </c>
      <c r="C45" s="12">
        <v>1</v>
      </c>
      <c r="D45" s="8">
        <v>1.22</v>
      </c>
      <c r="E45" s="12">
        <v>1</v>
      </c>
      <c r="F45" s="8">
        <v>2.33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238</v>
      </c>
      <c r="C46" s="12">
        <v>1</v>
      </c>
      <c r="D46" s="8">
        <v>1.22</v>
      </c>
      <c r="E46" s="12">
        <v>0</v>
      </c>
      <c r="F46" s="8">
        <v>0</v>
      </c>
      <c r="G46" s="12">
        <v>1</v>
      </c>
      <c r="H46" s="8">
        <v>3.45</v>
      </c>
      <c r="I46" s="12">
        <v>0</v>
      </c>
    </row>
    <row r="47" spans="2:9" ht="15" customHeight="1" x14ac:dyDescent="0.2">
      <c r="B47" t="s">
        <v>248</v>
      </c>
      <c r="C47" s="12">
        <v>1</v>
      </c>
      <c r="D47" s="8">
        <v>1.22</v>
      </c>
      <c r="E47" s="12">
        <v>0</v>
      </c>
      <c r="F47" s="8">
        <v>0</v>
      </c>
      <c r="G47" s="12">
        <v>1</v>
      </c>
      <c r="H47" s="8">
        <v>3.45</v>
      </c>
      <c r="I47" s="12">
        <v>0</v>
      </c>
    </row>
    <row r="48" spans="2:9" ht="15" customHeight="1" x14ac:dyDescent="0.2">
      <c r="B48" t="s">
        <v>282</v>
      </c>
      <c r="C48" s="12">
        <v>1</v>
      </c>
      <c r="D48" s="8">
        <v>1.22</v>
      </c>
      <c r="E48" s="12">
        <v>1</v>
      </c>
      <c r="F48" s="8">
        <v>2.33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216</v>
      </c>
      <c r="C49" s="12">
        <v>1</v>
      </c>
      <c r="D49" s="8">
        <v>1.22</v>
      </c>
      <c r="E49" s="12">
        <v>0</v>
      </c>
      <c r="F49" s="8">
        <v>0</v>
      </c>
      <c r="G49" s="12">
        <v>1</v>
      </c>
      <c r="H49" s="8">
        <v>3.45</v>
      </c>
      <c r="I49" s="12">
        <v>0</v>
      </c>
    </row>
    <row r="50" spans="2:9" ht="15" customHeight="1" x14ac:dyDescent="0.2">
      <c r="B50" t="s">
        <v>219</v>
      </c>
      <c r="C50" s="12">
        <v>1</v>
      </c>
      <c r="D50" s="8">
        <v>1.22</v>
      </c>
      <c r="E50" s="12">
        <v>0</v>
      </c>
      <c r="F50" s="8">
        <v>0</v>
      </c>
      <c r="G50" s="12">
        <v>1</v>
      </c>
      <c r="H50" s="8">
        <v>3.45</v>
      </c>
      <c r="I50" s="12">
        <v>0</v>
      </c>
    </row>
    <row r="51" spans="2:9" ht="15" customHeight="1" x14ac:dyDescent="0.2">
      <c r="B51" t="s">
        <v>226</v>
      </c>
      <c r="C51" s="12">
        <v>1</v>
      </c>
      <c r="D51" s="8">
        <v>1.22</v>
      </c>
      <c r="E51" s="12">
        <v>1</v>
      </c>
      <c r="F51" s="8">
        <v>2.33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231</v>
      </c>
      <c r="C52" s="12">
        <v>1</v>
      </c>
      <c r="D52" s="8">
        <v>1.22</v>
      </c>
      <c r="E52" s="12">
        <v>1</v>
      </c>
      <c r="F52" s="8">
        <v>2.33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240</v>
      </c>
      <c r="C53" s="12">
        <v>1</v>
      </c>
      <c r="D53" s="8">
        <v>1.22</v>
      </c>
      <c r="E53" s="12">
        <v>1</v>
      </c>
      <c r="F53" s="8">
        <v>2.33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250</v>
      </c>
      <c r="C54" s="12">
        <v>1</v>
      </c>
      <c r="D54" s="8">
        <v>1.22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7" spans="2:9" ht="33" customHeight="1" x14ac:dyDescent="0.2">
      <c r="B57" t="s">
        <v>531</v>
      </c>
      <c r="C57" s="10" t="s">
        <v>206</v>
      </c>
      <c r="D57" s="10" t="s">
        <v>207</v>
      </c>
      <c r="E57" s="10" t="s">
        <v>208</v>
      </c>
      <c r="F57" s="10" t="s">
        <v>209</v>
      </c>
      <c r="G57" s="10" t="s">
        <v>210</v>
      </c>
      <c r="H57" s="10" t="s">
        <v>211</v>
      </c>
      <c r="I57" s="10" t="s">
        <v>212</v>
      </c>
    </row>
    <row r="58" spans="2:9" ht="15" customHeight="1" x14ac:dyDescent="0.2">
      <c r="B58" t="s">
        <v>304</v>
      </c>
      <c r="C58" s="12">
        <v>5</v>
      </c>
      <c r="D58" s="8">
        <v>6.1</v>
      </c>
      <c r="E58" s="12">
        <v>5</v>
      </c>
      <c r="F58" s="8">
        <v>11.63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314</v>
      </c>
      <c r="C59" s="12">
        <v>4</v>
      </c>
      <c r="D59" s="8">
        <v>4.88</v>
      </c>
      <c r="E59" s="12">
        <v>3</v>
      </c>
      <c r="F59" s="8">
        <v>6.98</v>
      </c>
      <c r="G59" s="12">
        <v>1</v>
      </c>
      <c r="H59" s="8">
        <v>3.45</v>
      </c>
      <c r="I59" s="12">
        <v>0</v>
      </c>
    </row>
    <row r="60" spans="2:9" ht="15" customHeight="1" x14ac:dyDescent="0.2">
      <c r="B60" t="s">
        <v>335</v>
      </c>
      <c r="C60" s="12">
        <v>4</v>
      </c>
      <c r="D60" s="8">
        <v>4.88</v>
      </c>
      <c r="E60" s="12">
        <v>3</v>
      </c>
      <c r="F60" s="8">
        <v>6.98</v>
      </c>
      <c r="G60" s="12">
        <v>1</v>
      </c>
      <c r="H60" s="8">
        <v>3.45</v>
      </c>
      <c r="I60" s="12">
        <v>0</v>
      </c>
    </row>
    <row r="61" spans="2:9" ht="15" customHeight="1" x14ac:dyDescent="0.2">
      <c r="B61" t="s">
        <v>340</v>
      </c>
      <c r="C61" s="12">
        <v>4</v>
      </c>
      <c r="D61" s="8">
        <v>4.88</v>
      </c>
      <c r="E61" s="12">
        <v>1</v>
      </c>
      <c r="F61" s="8">
        <v>2.33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289</v>
      </c>
      <c r="C62" s="12">
        <v>3</v>
      </c>
      <c r="D62" s="8">
        <v>3.66</v>
      </c>
      <c r="E62" s="12">
        <v>0</v>
      </c>
      <c r="F62" s="8">
        <v>0</v>
      </c>
      <c r="G62" s="12">
        <v>3</v>
      </c>
      <c r="H62" s="8">
        <v>10.34</v>
      </c>
      <c r="I62" s="12">
        <v>0</v>
      </c>
    </row>
    <row r="63" spans="2:9" ht="15" customHeight="1" x14ac:dyDescent="0.2">
      <c r="B63" t="s">
        <v>339</v>
      </c>
      <c r="C63" s="12">
        <v>3</v>
      </c>
      <c r="D63" s="8">
        <v>3.66</v>
      </c>
      <c r="E63" s="12">
        <v>2</v>
      </c>
      <c r="F63" s="8">
        <v>4.6500000000000004</v>
      </c>
      <c r="G63" s="12">
        <v>1</v>
      </c>
      <c r="H63" s="8">
        <v>3.45</v>
      </c>
      <c r="I63" s="12">
        <v>0</v>
      </c>
    </row>
    <row r="64" spans="2:9" ht="15" customHeight="1" x14ac:dyDescent="0.2">
      <c r="B64" t="s">
        <v>299</v>
      </c>
      <c r="C64" s="12">
        <v>3</v>
      </c>
      <c r="D64" s="8">
        <v>3.66</v>
      </c>
      <c r="E64" s="12">
        <v>3</v>
      </c>
      <c r="F64" s="8">
        <v>6.98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352</v>
      </c>
      <c r="C65" s="12">
        <v>3</v>
      </c>
      <c r="D65" s="8">
        <v>3.66</v>
      </c>
      <c r="E65" s="12">
        <v>1</v>
      </c>
      <c r="F65" s="8">
        <v>2.33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343</v>
      </c>
      <c r="C66" s="12">
        <v>2</v>
      </c>
      <c r="D66" s="8">
        <v>2.44</v>
      </c>
      <c r="E66" s="12">
        <v>2</v>
      </c>
      <c r="F66" s="8">
        <v>4.6500000000000004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384</v>
      </c>
      <c r="C67" s="12">
        <v>2</v>
      </c>
      <c r="D67" s="8">
        <v>2.44</v>
      </c>
      <c r="E67" s="12">
        <v>0</v>
      </c>
      <c r="F67" s="8">
        <v>0</v>
      </c>
      <c r="G67" s="12">
        <v>2</v>
      </c>
      <c r="H67" s="8">
        <v>6.9</v>
      </c>
      <c r="I67" s="12">
        <v>0</v>
      </c>
    </row>
    <row r="68" spans="2:9" ht="15" customHeight="1" x14ac:dyDescent="0.2">
      <c r="B68" t="s">
        <v>399</v>
      </c>
      <c r="C68" s="12">
        <v>2</v>
      </c>
      <c r="D68" s="8">
        <v>2.44</v>
      </c>
      <c r="E68" s="12">
        <v>1</v>
      </c>
      <c r="F68" s="8">
        <v>2.33</v>
      </c>
      <c r="G68" s="12">
        <v>1</v>
      </c>
      <c r="H68" s="8">
        <v>3.45</v>
      </c>
      <c r="I68" s="12">
        <v>0</v>
      </c>
    </row>
    <row r="69" spans="2:9" ht="15" customHeight="1" x14ac:dyDescent="0.2">
      <c r="B69" t="s">
        <v>354</v>
      </c>
      <c r="C69" s="12">
        <v>2</v>
      </c>
      <c r="D69" s="8">
        <v>2.44</v>
      </c>
      <c r="E69" s="12">
        <v>0</v>
      </c>
      <c r="F69" s="8">
        <v>0</v>
      </c>
      <c r="G69" s="12">
        <v>2</v>
      </c>
      <c r="H69" s="8">
        <v>6.9</v>
      </c>
      <c r="I69" s="12">
        <v>0</v>
      </c>
    </row>
    <row r="70" spans="2:9" ht="15" customHeight="1" x14ac:dyDescent="0.2">
      <c r="B70" t="s">
        <v>292</v>
      </c>
      <c r="C70" s="12">
        <v>2</v>
      </c>
      <c r="D70" s="8">
        <v>2.44</v>
      </c>
      <c r="E70" s="12">
        <v>1</v>
      </c>
      <c r="F70" s="8">
        <v>2.33</v>
      </c>
      <c r="G70" s="12">
        <v>1</v>
      </c>
      <c r="H70" s="8">
        <v>3.45</v>
      </c>
      <c r="I70" s="12">
        <v>0</v>
      </c>
    </row>
    <row r="71" spans="2:9" ht="15" customHeight="1" x14ac:dyDescent="0.2">
      <c r="B71" t="s">
        <v>337</v>
      </c>
      <c r="C71" s="12">
        <v>2</v>
      </c>
      <c r="D71" s="8">
        <v>2.44</v>
      </c>
      <c r="E71" s="12">
        <v>1</v>
      </c>
      <c r="F71" s="8">
        <v>2.33</v>
      </c>
      <c r="G71" s="12">
        <v>1</v>
      </c>
      <c r="H71" s="8">
        <v>3.45</v>
      </c>
      <c r="I71" s="12">
        <v>0</v>
      </c>
    </row>
    <row r="72" spans="2:9" ht="15" customHeight="1" x14ac:dyDescent="0.2">
      <c r="B72" t="s">
        <v>297</v>
      </c>
      <c r="C72" s="12">
        <v>2</v>
      </c>
      <c r="D72" s="8">
        <v>2.44</v>
      </c>
      <c r="E72" s="12">
        <v>1</v>
      </c>
      <c r="F72" s="8">
        <v>2.33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301</v>
      </c>
      <c r="C73" s="12">
        <v>2</v>
      </c>
      <c r="D73" s="8">
        <v>2.44</v>
      </c>
      <c r="E73" s="12">
        <v>1</v>
      </c>
      <c r="F73" s="8">
        <v>2.33</v>
      </c>
      <c r="G73" s="12">
        <v>1</v>
      </c>
      <c r="H73" s="8">
        <v>3.45</v>
      </c>
      <c r="I73" s="12">
        <v>0</v>
      </c>
    </row>
    <row r="74" spans="2:9" ht="15" customHeight="1" x14ac:dyDescent="0.2">
      <c r="B74" t="s">
        <v>323</v>
      </c>
      <c r="C74" s="12">
        <v>2</v>
      </c>
      <c r="D74" s="8">
        <v>2.44</v>
      </c>
      <c r="E74" s="12">
        <v>2</v>
      </c>
      <c r="F74" s="8">
        <v>4.6500000000000004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303</v>
      </c>
      <c r="C75" s="12">
        <v>2</v>
      </c>
      <c r="D75" s="8">
        <v>2.44</v>
      </c>
      <c r="E75" s="12">
        <v>2</v>
      </c>
      <c r="F75" s="8">
        <v>4.6500000000000004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391</v>
      </c>
      <c r="C76" s="12">
        <v>2</v>
      </c>
      <c r="D76" s="8">
        <v>2.44</v>
      </c>
      <c r="E76" s="12">
        <v>0</v>
      </c>
      <c r="F76" s="8">
        <v>0</v>
      </c>
      <c r="G76" s="12">
        <v>2</v>
      </c>
      <c r="H76" s="8">
        <v>6.9</v>
      </c>
      <c r="I76" s="12">
        <v>0</v>
      </c>
    </row>
    <row r="77" spans="2:9" ht="15" customHeight="1" x14ac:dyDescent="0.2">
      <c r="B77" t="s">
        <v>331</v>
      </c>
      <c r="C77" s="12">
        <v>2</v>
      </c>
      <c r="D77" s="8">
        <v>2.44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C57B4-F221-45AA-8203-A17ECE169EF9}">
  <sheetPr>
    <pageSetUpPr fitToPage="1"/>
  </sheetPr>
  <dimension ref="B2:I8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6</v>
      </c>
      <c r="D6" s="8">
        <v>6.38</v>
      </c>
      <c r="E6" s="12">
        <v>1</v>
      </c>
      <c r="F6" s="8">
        <v>1.82</v>
      </c>
      <c r="G6" s="12">
        <v>5</v>
      </c>
      <c r="H6" s="8">
        <v>14.29</v>
      </c>
      <c r="I6" s="12">
        <v>0</v>
      </c>
    </row>
    <row r="7" spans="2:9" ht="15" customHeight="1" x14ac:dyDescent="0.2">
      <c r="B7" t="s">
        <v>192</v>
      </c>
      <c r="C7" s="12">
        <v>17</v>
      </c>
      <c r="D7" s="8">
        <v>18.09</v>
      </c>
      <c r="E7" s="12">
        <v>5</v>
      </c>
      <c r="F7" s="8">
        <v>9.09</v>
      </c>
      <c r="G7" s="12">
        <v>12</v>
      </c>
      <c r="H7" s="8">
        <v>34.29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25</v>
      </c>
      <c r="D11" s="8">
        <v>26.6</v>
      </c>
      <c r="E11" s="12">
        <v>15</v>
      </c>
      <c r="F11" s="8">
        <v>27.27</v>
      </c>
      <c r="G11" s="12">
        <v>9</v>
      </c>
      <c r="H11" s="8">
        <v>25.71</v>
      </c>
      <c r="I11" s="12">
        <v>1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2.13</v>
      </c>
      <c r="E13" s="12">
        <v>0</v>
      </c>
      <c r="F13" s="8">
        <v>0</v>
      </c>
      <c r="G13" s="12">
        <v>2</v>
      </c>
      <c r="H13" s="8">
        <v>5.71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5.32</v>
      </c>
      <c r="E14" s="12">
        <v>2</v>
      </c>
      <c r="F14" s="8">
        <v>3.64</v>
      </c>
      <c r="G14" s="12">
        <v>3</v>
      </c>
      <c r="H14" s="8">
        <v>8.57</v>
      </c>
      <c r="I14" s="12">
        <v>0</v>
      </c>
    </row>
    <row r="15" spans="2:9" ht="15" customHeight="1" x14ac:dyDescent="0.2">
      <c r="B15" t="s">
        <v>200</v>
      </c>
      <c r="C15" s="12">
        <v>15</v>
      </c>
      <c r="D15" s="8">
        <v>15.96</v>
      </c>
      <c r="E15" s="12">
        <v>13</v>
      </c>
      <c r="F15" s="8">
        <v>23.64</v>
      </c>
      <c r="G15" s="12">
        <v>2</v>
      </c>
      <c r="H15" s="8">
        <v>5.71</v>
      </c>
      <c r="I15" s="12">
        <v>0</v>
      </c>
    </row>
    <row r="16" spans="2:9" ht="15" customHeight="1" x14ac:dyDescent="0.2">
      <c r="B16" t="s">
        <v>201</v>
      </c>
      <c r="C16" s="12">
        <v>12</v>
      </c>
      <c r="D16" s="8">
        <v>12.77</v>
      </c>
      <c r="E16" s="12">
        <v>12</v>
      </c>
      <c r="F16" s="8">
        <v>21.82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6</v>
      </c>
      <c r="D17" s="8">
        <v>6.38</v>
      </c>
      <c r="E17" s="12">
        <v>5</v>
      </c>
      <c r="F17" s="8">
        <v>9.09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0</v>
      </c>
      <c r="D18" s="8">
        <v>0</v>
      </c>
      <c r="E18" s="12">
        <v>0</v>
      </c>
      <c r="F18" s="8">
        <v>0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6.38</v>
      </c>
      <c r="E19" s="12">
        <v>2</v>
      </c>
      <c r="F19" s="8">
        <v>3.64</v>
      </c>
      <c r="G19" s="12">
        <v>2</v>
      </c>
      <c r="H19" s="8">
        <v>5.71</v>
      </c>
      <c r="I19" s="12">
        <v>0</v>
      </c>
    </row>
    <row r="20" spans="2:9" ht="15" customHeight="1" x14ac:dyDescent="0.2">
      <c r="B20" s="9" t="s">
        <v>529</v>
      </c>
      <c r="C20" s="12">
        <f>SUM(LTBL_01561[総数／事業所数])</f>
        <v>94</v>
      </c>
      <c r="E20" s="12">
        <f>SUBTOTAL(109,LTBL_01561[個人／事業所数])</f>
        <v>55</v>
      </c>
      <c r="G20" s="12">
        <f>SUBTOTAL(109,LTBL_01561[法人／事業所数])</f>
        <v>35</v>
      </c>
      <c r="I20" s="12">
        <f>SUBTOTAL(109,LTBL_01561[法人以外の団体／事業所数])</f>
        <v>1</v>
      </c>
    </row>
    <row r="21" spans="2:9" ht="15" customHeight="1" x14ac:dyDescent="0.2">
      <c r="E21" s="11">
        <f>LTBL_01561[[#Totals],[個人／事業所数]]/LTBL_01561[[#Totals],[総数／事業所数]]</f>
        <v>0.58510638297872342</v>
      </c>
      <c r="G21" s="11">
        <f>LTBL_01561[[#Totals],[法人／事業所数]]/LTBL_01561[[#Totals],[総数／事業所数]]</f>
        <v>0.37234042553191488</v>
      </c>
      <c r="I21" s="11">
        <f>LTBL_01561[[#Totals],[法人以外の団体／事業所数]]/LTBL_01561[[#Totals],[総数／事業所数]]</f>
        <v>1.0638297872340425E-2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12</v>
      </c>
      <c r="D24" s="8">
        <v>12.77</v>
      </c>
      <c r="E24" s="12">
        <v>10</v>
      </c>
      <c r="F24" s="8">
        <v>18.18</v>
      </c>
      <c r="G24" s="12">
        <v>2</v>
      </c>
      <c r="H24" s="8">
        <v>5.71</v>
      </c>
      <c r="I24" s="12">
        <v>0</v>
      </c>
    </row>
    <row r="25" spans="2:9" ht="15" customHeight="1" x14ac:dyDescent="0.2">
      <c r="B25" t="s">
        <v>228</v>
      </c>
      <c r="C25" s="12">
        <v>11</v>
      </c>
      <c r="D25" s="8">
        <v>11.7</v>
      </c>
      <c r="E25" s="12">
        <v>11</v>
      </c>
      <c r="F25" s="8">
        <v>20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223</v>
      </c>
      <c r="C26" s="12">
        <v>6</v>
      </c>
      <c r="D26" s="8">
        <v>6.38</v>
      </c>
      <c r="E26" s="12">
        <v>4</v>
      </c>
      <c r="F26" s="8">
        <v>7.27</v>
      </c>
      <c r="G26" s="12">
        <v>2</v>
      </c>
      <c r="H26" s="8">
        <v>5.71</v>
      </c>
      <c r="I26" s="12">
        <v>0</v>
      </c>
    </row>
    <row r="27" spans="2:9" ht="15" customHeight="1" x14ac:dyDescent="0.2">
      <c r="B27" t="s">
        <v>230</v>
      </c>
      <c r="C27" s="12">
        <v>6</v>
      </c>
      <c r="D27" s="8">
        <v>6.38</v>
      </c>
      <c r="E27" s="12">
        <v>5</v>
      </c>
      <c r="F27" s="8">
        <v>9.09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216</v>
      </c>
      <c r="C28" s="12">
        <v>5</v>
      </c>
      <c r="D28" s="8">
        <v>5.32</v>
      </c>
      <c r="E28" s="12">
        <v>0</v>
      </c>
      <c r="F28" s="8">
        <v>0</v>
      </c>
      <c r="G28" s="12">
        <v>5</v>
      </c>
      <c r="H28" s="8">
        <v>14.29</v>
      </c>
      <c r="I28" s="12">
        <v>0</v>
      </c>
    </row>
    <row r="29" spans="2:9" ht="15" customHeight="1" x14ac:dyDescent="0.2">
      <c r="B29" t="s">
        <v>221</v>
      </c>
      <c r="C29" s="12">
        <v>5</v>
      </c>
      <c r="D29" s="8">
        <v>5.32</v>
      </c>
      <c r="E29" s="12">
        <v>4</v>
      </c>
      <c r="F29" s="8">
        <v>7.27</v>
      </c>
      <c r="G29" s="12">
        <v>0</v>
      </c>
      <c r="H29" s="8">
        <v>0</v>
      </c>
      <c r="I29" s="12">
        <v>1</v>
      </c>
    </row>
    <row r="30" spans="2:9" ht="15" customHeight="1" x14ac:dyDescent="0.2">
      <c r="B30" t="s">
        <v>213</v>
      </c>
      <c r="C30" s="12">
        <v>4</v>
      </c>
      <c r="D30" s="8">
        <v>4.26</v>
      </c>
      <c r="E30" s="12">
        <v>0</v>
      </c>
      <c r="F30" s="8">
        <v>0</v>
      </c>
      <c r="G30" s="12">
        <v>4</v>
      </c>
      <c r="H30" s="8">
        <v>11.43</v>
      </c>
      <c r="I30" s="12">
        <v>0</v>
      </c>
    </row>
    <row r="31" spans="2:9" ht="15" customHeight="1" x14ac:dyDescent="0.2">
      <c r="B31" t="s">
        <v>241</v>
      </c>
      <c r="C31" s="12">
        <v>4</v>
      </c>
      <c r="D31" s="8">
        <v>4.26</v>
      </c>
      <c r="E31" s="12">
        <v>0</v>
      </c>
      <c r="F31" s="8">
        <v>0</v>
      </c>
      <c r="G31" s="12">
        <v>4</v>
      </c>
      <c r="H31" s="8">
        <v>11.43</v>
      </c>
      <c r="I31" s="12">
        <v>0</v>
      </c>
    </row>
    <row r="32" spans="2:9" ht="15" customHeight="1" x14ac:dyDescent="0.2">
      <c r="B32" t="s">
        <v>262</v>
      </c>
      <c r="C32" s="12">
        <v>4</v>
      </c>
      <c r="D32" s="8">
        <v>4.26</v>
      </c>
      <c r="E32" s="12">
        <v>0</v>
      </c>
      <c r="F32" s="8">
        <v>0</v>
      </c>
      <c r="G32" s="12">
        <v>4</v>
      </c>
      <c r="H32" s="8">
        <v>11.43</v>
      </c>
      <c r="I32" s="12">
        <v>0</v>
      </c>
    </row>
    <row r="33" spans="2:9" ht="15" customHeight="1" x14ac:dyDescent="0.2">
      <c r="B33" t="s">
        <v>220</v>
      </c>
      <c r="C33" s="12">
        <v>4</v>
      </c>
      <c r="D33" s="8">
        <v>4.26</v>
      </c>
      <c r="E33" s="12">
        <v>4</v>
      </c>
      <c r="F33" s="8">
        <v>7.27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226</v>
      </c>
      <c r="C34" s="12">
        <v>3</v>
      </c>
      <c r="D34" s="8">
        <v>3.19</v>
      </c>
      <c r="E34" s="12">
        <v>1</v>
      </c>
      <c r="F34" s="8">
        <v>1.82</v>
      </c>
      <c r="G34" s="12">
        <v>2</v>
      </c>
      <c r="H34" s="8">
        <v>5.71</v>
      </c>
      <c r="I34" s="12">
        <v>0</v>
      </c>
    </row>
    <row r="35" spans="2:9" ht="15" customHeight="1" x14ac:dyDescent="0.2">
      <c r="B35" t="s">
        <v>243</v>
      </c>
      <c r="C35" s="12">
        <v>3</v>
      </c>
      <c r="D35" s="8">
        <v>3.19</v>
      </c>
      <c r="E35" s="12">
        <v>3</v>
      </c>
      <c r="F35" s="8">
        <v>5.45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258</v>
      </c>
      <c r="C36" s="12">
        <v>2</v>
      </c>
      <c r="D36" s="8">
        <v>2.13</v>
      </c>
      <c r="E36" s="12">
        <v>2</v>
      </c>
      <c r="F36" s="8">
        <v>3.64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257</v>
      </c>
      <c r="C37" s="12">
        <v>2</v>
      </c>
      <c r="D37" s="8">
        <v>2.13</v>
      </c>
      <c r="E37" s="12">
        <v>2</v>
      </c>
      <c r="F37" s="8">
        <v>3.64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236</v>
      </c>
      <c r="C38" s="12">
        <v>2</v>
      </c>
      <c r="D38" s="8">
        <v>2.13</v>
      </c>
      <c r="E38" s="12">
        <v>1</v>
      </c>
      <c r="F38" s="8">
        <v>1.82</v>
      </c>
      <c r="G38" s="12">
        <v>1</v>
      </c>
      <c r="H38" s="8">
        <v>2.86</v>
      </c>
      <c r="I38" s="12">
        <v>0</v>
      </c>
    </row>
    <row r="39" spans="2:9" ht="15" customHeight="1" x14ac:dyDescent="0.2">
      <c r="B39" t="s">
        <v>225</v>
      </c>
      <c r="C39" s="12">
        <v>2</v>
      </c>
      <c r="D39" s="8">
        <v>2.13</v>
      </c>
      <c r="E39" s="12">
        <v>1</v>
      </c>
      <c r="F39" s="8">
        <v>1.82</v>
      </c>
      <c r="G39" s="12">
        <v>1</v>
      </c>
      <c r="H39" s="8">
        <v>2.86</v>
      </c>
      <c r="I39" s="12">
        <v>0</v>
      </c>
    </row>
    <row r="40" spans="2:9" ht="15" customHeight="1" x14ac:dyDescent="0.2">
      <c r="B40" t="s">
        <v>249</v>
      </c>
      <c r="C40" s="12">
        <v>2</v>
      </c>
      <c r="D40" s="8">
        <v>2.13</v>
      </c>
      <c r="E40" s="12">
        <v>0</v>
      </c>
      <c r="F40" s="8">
        <v>0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242</v>
      </c>
      <c r="C41" s="12">
        <v>2</v>
      </c>
      <c r="D41" s="8">
        <v>2.13</v>
      </c>
      <c r="E41" s="12">
        <v>1</v>
      </c>
      <c r="F41" s="8">
        <v>1.82</v>
      </c>
      <c r="G41" s="12">
        <v>1</v>
      </c>
      <c r="H41" s="8">
        <v>2.86</v>
      </c>
      <c r="I41" s="12">
        <v>0</v>
      </c>
    </row>
    <row r="42" spans="2:9" ht="15" customHeight="1" x14ac:dyDescent="0.2">
      <c r="B42" t="s">
        <v>214</v>
      </c>
      <c r="C42" s="12">
        <v>1</v>
      </c>
      <c r="D42" s="8">
        <v>1.06</v>
      </c>
      <c r="E42" s="12">
        <v>1</v>
      </c>
      <c r="F42" s="8">
        <v>1.82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215</v>
      </c>
      <c r="C43" s="12">
        <v>1</v>
      </c>
      <c r="D43" s="8">
        <v>1.06</v>
      </c>
      <c r="E43" s="12">
        <v>0</v>
      </c>
      <c r="F43" s="8">
        <v>0</v>
      </c>
      <c r="G43" s="12">
        <v>1</v>
      </c>
      <c r="H43" s="8">
        <v>2.86</v>
      </c>
      <c r="I43" s="12">
        <v>0</v>
      </c>
    </row>
    <row r="44" spans="2:9" ht="15" customHeight="1" x14ac:dyDescent="0.2">
      <c r="B44" t="s">
        <v>244</v>
      </c>
      <c r="C44" s="12">
        <v>1</v>
      </c>
      <c r="D44" s="8">
        <v>1.06</v>
      </c>
      <c r="E44" s="12">
        <v>0</v>
      </c>
      <c r="F44" s="8">
        <v>0</v>
      </c>
      <c r="G44" s="12">
        <v>1</v>
      </c>
      <c r="H44" s="8">
        <v>2.86</v>
      </c>
      <c r="I44" s="12">
        <v>0</v>
      </c>
    </row>
    <row r="45" spans="2:9" ht="15" customHeight="1" x14ac:dyDescent="0.2">
      <c r="B45" t="s">
        <v>252</v>
      </c>
      <c r="C45" s="12">
        <v>1</v>
      </c>
      <c r="D45" s="8">
        <v>1.06</v>
      </c>
      <c r="E45" s="12">
        <v>0</v>
      </c>
      <c r="F45" s="8">
        <v>0</v>
      </c>
      <c r="G45" s="12">
        <v>1</v>
      </c>
      <c r="H45" s="8">
        <v>2.86</v>
      </c>
      <c r="I45" s="12">
        <v>0</v>
      </c>
    </row>
    <row r="46" spans="2:9" ht="15" customHeight="1" x14ac:dyDescent="0.2">
      <c r="B46" t="s">
        <v>272</v>
      </c>
      <c r="C46" s="12">
        <v>1</v>
      </c>
      <c r="D46" s="8">
        <v>1.06</v>
      </c>
      <c r="E46" s="12">
        <v>0</v>
      </c>
      <c r="F46" s="8">
        <v>0</v>
      </c>
      <c r="G46" s="12">
        <v>1</v>
      </c>
      <c r="H46" s="8">
        <v>2.86</v>
      </c>
      <c r="I46" s="12">
        <v>0</v>
      </c>
    </row>
    <row r="47" spans="2:9" ht="15" customHeight="1" x14ac:dyDescent="0.2">
      <c r="B47" t="s">
        <v>253</v>
      </c>
      <c r="C47" s="12">
        <v>1</v>
      </c>
      <c r="D47" s="8">
        <v>1.06</v>
      </c>
      <c r="E47" s="12">
        <v>0</v>
      </c>
      <c r="F47" s="8">
        <v>0</v>
      </c>
      <c r="G47" s="12">
        <v>1</v>
      </c>
      <c r="H47" s="8">
        <v>2.86</v>
      </c>
      <c r="I47" s="12">
        <v>0</v>
      </c>
    </row>
    <row r="48" spans="2:9" ht="15" customHeight="1" x14ac:dyDescent="0.2">
      <c r="B48" t="s">
        <v>268</v>
      </c>
      <c r="C48" s="12">
        <v>1</v>
      </c>
      <c r="D48" s="8">
        <v>1.06</v>
      </c>
      <c r="E48" s="12">
        <v>1</v>
      </c>
      <c r="F48" s="8">
        <v>1.82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217</v>
      </c>
      <c r="C49" s="12">
        <v>1</v>
      </c>
      <c r="D49" s="8">
        <v>1.06</v>
      </c>
      <c r="E49" s="12">
        <v>1</v>
      </c>
      <c r="F49" s="8">
        <v>1.82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218</v>
      </c>
      <c r="C50" s="12">
        <v>1</v>
      </c>
      <c r="D50" s="8">
        <v>1.06</v>
      </c>
      <c r="E50" s="12">
        <v>0</v>
      </c>
      <c r="F50" s="8">
        <v>0</v>
      </c>
      <c r="G50" s="12">
        <v>1</v>
      </c>
      <c r="H50" s="8">
        <v>2.86</v>
      </c>
      <c r="I50" s="12">
        <v>0</v>
      </c>
    </row>
    <row r="51" spans="2:9" ht="15" customHeight="1" x14ac:dyDescent="0.2">
      <c r="B51" t="s">
        <v>222</v>
      </c>
      <c r="C51" s="12">
        <v>1</v>
      </c>
      <c r="D51" s="8">
        <v>1.06</v>
      </c>
      <c r="E51" s="12">
        <v>1</v>
      </c>
      <c r="F51" s="8">
        <v>1.82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224</v>
      </c>
      <c r="C52" s="12">
        <v>1</v>
      </c>
      <c r="D52" s="8">
        <v>1.06</v>
      </c>
      <c r="E52" s="12">
        <v>0</v>
      </c>
      <c r="F52" s="8">
        <v>0</v>
      </c>
      <c r="G52" s="12">
        <v>1</v>
      </c>
      <c r="H52" s="8">
        <v>2.86</v>
      </c>
      <c r="I52" s="12">
        <v>0</v>
      </c>
    </row>
    <row r="53" spans="2:9" ht="15" customHeight="1" x14ac:dyDescent="0.2">
      <c r="B53" t="s">
        <v>246</v>
      </c>
      <c r="C53" s="12">
        <v>1</v>
      </c>
      <c r="D53" s="8">
        <v>1.06</v>
      </c>
      <c r="E53" s="12">
        <v>0</v>
      </c>
      <c r="F53" s="8">
        <v>0</v>
      </c>
      <c r="G53" s="12">
        <v>1</v>
      </c>
      <c r="H53" s="8">
        <v>2.86</v>
      </c>
      <c r="I53" s="12">
        <v>0</v>
      </c>
    </row>
    <row r="54" spans="2:9" ht="15" customHeight="1" x14ac:dyDescent="0.2">
      <c r="B54" t="s">
        <v>229</v>
      </c>
      <c r="C54" s="12">
        <v>1</v>
      </c>
      <c r="D54" s="8">
        <v>1.06</v>
      </c>
      <c r="E54" s="12">
        <v>1</v>
      </c>
      <c r="F54" s="8">
        <v>1.82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240</v>
      </c>
      <c r="C55" s="12">
        <v>1</v>
      </c>
      <c r="D55" s="8">
        <v>1.06</v>
      </c>
      <c r="E55" s="12">
        <v>1</v>
      </c>
      <c r="F55" s="8">
        <v>1.82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234</v>
      </c>
      <c r="C56" s="12">
        <v>1</v>
      </c>
      <c r="D56" s="8">
        <v>1.06</v>
      </c>
      <c r="E56" s="12">
        <v>0</v>
      </c>
      <c r="F56" s="8">
        <v>0</v>
      </c>
      <c r="G56" s="12">
        <v>1</v>
      </c>
      <c r="H56" s="8">
        <v>2.86</v>
      </c>
      <c r="I56" s="12">
        <v>0</v>
      </c>
    </row>
    <row r="59" spans="2:9" ht="33" customHeight="1" x14ac:dyDescent="0.2">
      <c r="B59" t="s">
        <v>531</v>
      </c>
      <c r="C59" s="10" t="s">
        <v>206</v>
      </c>
      <c r="D59" s="10" t="s">
        <v>207</v>
      </c>
      <c r="E59" s="10" t="s">
        <v>208</v>
      </c>
      <c r="F59" s="10" t="s">
        <v>209</v>
      </c>
      <c r="G59" s="10" t="s">
        <v>210</v>
      </c>
      <c r="H59" s="10" t="s">
        <v>211</v>
      </c>
      <c r="I59" s="10" t="s">
        <v>212</v>
      </c>
    </row>
    <row r="60" spans="2:9" ht="15" customHeight="1" x14ac:dyDescent="0.2">
      <c r="B60" t="s">
        <v>303</v>
      </c>
      <c r="C60" s="12">
        <v>5</v>
      </c>
      <c r="D60" s="8">
        <v>5.32</v>
      </c>
      <c r="E60" s="12">
        <v>5</v>
      </c>
      <c r="F60" s="8">
        <v>9.09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304</v>
      </c>
      <c r="C61" s="12">
        <v>5</v>
      </c>
      <c r="D61" s="8">
        <v>5.32</v>
      </c>
      <c r="E61" s="12">
        <v>5</v>
      </c>
      <c r="F61" s="8">
        <v>9.09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378</v>
      </c>
      <c r="C62" s="12">
        <v>4</v>
      </c>
      <c r="D62" s="8">
        <v>4.26</v>
      </c>
      <c r="E62" s="12">
        <v>0</v>
      </c>
      <c r="F62" s="8">
        <v>0</v>
      </c>
      <c r="G62" s="12">
        <v>4</v>
      </c>
      <c r="H62" s="8">
        <v>11.43</v>
      </c>
      <c r="I62" s="12">
        <v>0</v>
      </c>
    </row>
    <row r="63" spans="2:9" ht="15" customHeight="1" x14ac:dyDescent="0.2">
      <c r="B63" t="s">
        <v>299</v>
      </c>
      <c r="C63" s="12">
        <v>4</v>
      </c>
      <c r="D63" s="8">
        <v>4.26</v>
      </c>
      <c r="E63" s="12">
        <v>3</v>
      </c>
      <c r="F63" s="8">
        <v>5.45</v>
      </c>
      <c r="G63" s="12">
        <v>1</v>
      </c>
      <c r="H63" s="8">
        <v>2.86</v>
      </c>
      <c r="I63" s="12">
        <v>0</v>
      </c>
    </row>
    <row r="64" spans="2:9" ht="15" customHeight="1" x14ac:dyDescent="0.2">
      <c r="B64" t="s">
        <v>305</v>
      </c>
      <c r="C64" s="12">
        <v>4</v>
      </c>
      <c r="D64" s="8">
        <v>4.26</v>
      </c>
      <c r="E64" s="12">
        <v>4</v>
      </c>
      <c r="F64" s="8">
        <v>7.27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413</v>
      </c>
      <c r="C65" s="12">
        <v>3</v>
      </c>
      <c r="D65" s="8">
        <v>3.19</v>
      </c>
      <c r="E65" s="12">
        <v>0</v>
      </c>
      <c r="F65" s="8">
        <v>0</v>
      </c>
      <c r="G65" s="12">
        <v>3</v>
      </c>
      <c r="H65" s="8">
        <v>8.57</v>
      </c>
      <c r="I65" s="12">
        <v>0</v>
      </c>
    </row>
    <row r="66" spans="2:9" ht="15" customHeight="1" x14ac:dyDescent="0.2">
      <c r="B66" t="s">
        <v>324</v>
      </c>
      <c r="C66" s="12">
        <v>3</v>
      </c>
      <c r="D66" s="8">
        <v>3.19</v>
      </c>
      <c r="E66" s="12">
        <v>0</v>
      </c>
      <c r="F66" s="8">
        <v>0</v>
      </c>
      <c r="G66" s="12">
        <v>3</v>
      </c>
      <c r="H66" s="8">
        <v>8.57</v>
      </c>
      <c r="I66" s="12">
        <v>0</v>
      </c>
    </row>
    <row r="67" spans="2:9" ht="15" customHeight="1" x14ac:dyDescent="0.2">
      <c r="B67" t="s">
        <v>314</v>
      </c>
      <c r="C67" s="12">
        <v>3</v>
      </c>
      <c r="D67" s="8">
        <v>3.19</v>
      </c>
      <c r="E67" s="12">
        <v>3</v>
      </c>
      <c r="F67" s="8">
        <v>5.45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301</v>
      </c>
      <c r="C68" s="12">
        <v>3</v>
      </c>
      <c r="D68" s="8">
        <v>3.19</v>
      </c>
      <c r="E68" s="12">
        <v>3</v>
      </c>
      <c r="F68" s="8">
        <v>5.45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288</v>
      </c>
      <c r="C69" s="12">
        <v>2</v>
      </c>
      <c r="D69" s="8">
        <v>2.13</v>
      </c>
      <c r="E69" s="12">
        <v>0</v>
      </c>
      <c r="F69" s="8">
        <v>0</v>
      </c>
      <c r="G69" s="12">
        <v>2</v>
      </c>
      <c r="H69" s="8">
        <v>5.71</v>
      </c>
      <c r="I69" s="12">
        <v>0</v>
      </c>
    </row>
    <row r="70" spans="2:9" ht="15" customHeight="1" x14ac:dyDescent="0.2">
      <c r="B70" t="s">
        <v>289</v>
      </c>
      <c r="C70" s="12">
        <v>2</v>
      </c>
      <c r="D70" s="8">
        <v>2.13</v>
      </c>
      <c r="E70" s="12">
        <v>0</v>
      </c>
      <c r="F70" s="8">
        <v>0</v>
      </c>
      <c r="G70" s="12">
        <v>2</v>
      </c>
      <c r="H70" s="8">
        <v>5.71</v>
      </c>
      <c r="I70" s="12">
        <v>0</v>
      </c>
    </row>
    <row r="71" spans="2:9" ht="15" customHeight="1" x14ac:dyDescent="0.2">
      <c r="B71" t="s">
        <v>357</v>
      </c>
      <c r="C71" s="12">
        <v>2</v>
      </c>
      <c r="D71" s="8">
        <v>2.13</v>
      </c>
      <c r="E71" s="12">
        <v>2</v>
      </c>
      <c r="F71" s="8">
        <v>3.64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358</v>
      </c>
      <c r="C72" s="12">
        <v>2</v>
      </c>
      <c r="D72" s="8">
        <v>2.13</v>
      </c>
      <c r="E72" s="12">
        <v>0</v>
      </c>
      <c r="F72" s="8">
        <v>0</v>
      </c>
      <c r="G72" s="12">
        <v>2</v>
      </c>
      <c r="H72" s="8">
        <v>5.71</v>
      </c>
      <c r="I72" s="12">
        <v>0</v>
      </c>
    </row>
    <row r="73" spans="2:9" ht="15" customHeight="1" x14ac:dyDescent="0.2">
      <c r="B73" t="s">
        <v>329</v>
      </c>
      <c r="C73" s="12">
        <v>2</v>
      </c>
      <c r="D73" s="8">
        <v>2.13</v>
      </c>
      <c r="E73" s="12">
        <v>1</v>
      </c>
      <c r="F73" s="8">
        <v>1.82</v>
      </c>
      <c r="G73" s="12">
        <v>0</v>
      </c>
      <c r="H73" s="8">
        <v>0</v>
      </c>
      <c r="I73" s="12">
        <v>1</v>
      </c>
    </row>
    <row r="74" spans="2:9" ht="15" customHeight="1" x14ac:dyDescent="0.2">
      <c r="B74" t="s">
        <v>330</v>
      </c>
      <c r="C74" s="12">
        <v>2</v>
      </c>
      <c r="D74" s="8">
        <v>2.13</v>
      </c>
      <c r="E74" s="12">
        <v>1</v>
      </c>
      <c r="F74" s="8">
        <v>1.82</v>
      </c>
      <c r="G74" s="12">
        <v>1</v>
      </c>
      <c r="H74" s="8">
        <v>2.86</v>
      </c>
      <c r="I74" s="12">
        <v>0</v>
      </c>
    </row>
    <row r="75" spans="2:9" ht="15" customHeight="1" x14ac:dyDescent="0.2">
      <c r="B75" t="s">
        <v>295</v>
      </c>
      <c r="C75" s="12">
        <v>2</v>
      </c>
      <c r="D75" s="8">
        <v>2.13</v>
      </c>
      <c r="E75" s="12">
        <v>1</v>
      </c>
      <c r="F75" s="8">
        <v>1.82</v>
      </c>
      <c r="G75" s="12">
        <v>1</v>
      </c>
      <c r="H75" s="8">
        <v>2.86</v>
      </c>
      <c r="I75" s="12">
        <v>0</v>
      </c>
    </row>
    <row r="76" spans="2:9" ht="15" customHeight="1" x14ac:dyDescent="0.2">
      <c r="B76" t="s">
        <v>344</v>
      </c>
      <c r="C76" s="12">
        <v>2</v>
      </c>
      <c r="D76" s="8">
        <v>2.13</v>
      </c>
      <c r="E76" s="12">
        <v>1</v>
      </c>
      <c r="F76" s="8">
        <v>1.82</v>
      </c>
      <c r="G76" s="12">
        <v>1</v>
      </c>
      <c r="H76" s="8">
        <v>2.86</v>
      </c>
      <c r="I76" s="12">
        <v>0</v>
      </c>
    </row>
    <row r="77" spans="2:9" ht="15" customHeight="1" x14ac:dyDescent="0.2">
      <c r="B77" t="s">
        <v>339</v>
      </c>
      <c r="C77" s="12">
        <v>2</v>
      </c>
      <c r="D77" s="8">
        <v>2.13</v>
      </c>
      <c r="E77" s="12">
        <v>2</v>
      </c>
      <c r="F77" s="8">
        <v>3.64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334</v>
      </c>
      <c r="C78" s="12">
        <v>2</v>
      </c>
      <c r="D78" s="8">
        <v>2.13</v>
      </c>
      <c r="E78" s="12">
        <v>2</v>
      </c>
      <c r="F78" s="8">
        <v>3.64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370</v>
      </c>
      <c r="C79" s="12">
        <v>2</v>
      </c>
      <c r="D79" s="8">
        <v>2.13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371</v>
      </c>
      <c r="C80" s="12">
        <v>2</v>
      </c>
      <c r="D80" s="8">
        <v>2.13</v>
      </c>
      <c r="E80" s="12">
        <v>1</v>
      </c>
      <c r="F80" s="8">
        <v>1.82</v>
      </c>
      <c r="G80" s="12">
        <v>1</v>
      </c>
      <c r="H80" s="8">
        <v>2.86</v>
      </c>
      <c r="I80" s="12">
        <v>0</v>
      </c>
    </row>
    <row r="82" spans="2:2" ht="15" customHeight="1" x14ac:dyDescent="0.2">
      <c r="B8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1FC30-CA12-4DBA-BD8D-8B8C9524B5C5}">
  <sheetPr>
    <pageSetUpPr fitToPage="1"/>
  </sheetPr>
  <dimension ref="B2:I8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</v>
      </c>
      <c r="D6" s="8">
        <v>7.14</v>
      </c>
      <c r="E6" s="12">
        <v>3</v>
      </c>
      <c r="F6" s="8">
        <v>13.64</v>
      </c>
      <c r="G6" s="12">
        <v>0</v>
      </c>
      <c r="H6" s="8">
        <v>0</v>
      </c>
      <c r="I6" s="12">
        <v>0</v>
      </c>
    </row>
    <row r="7" spans="2:9" ht="15" customHeight="1" x14ac:dyDescent="0.2">
      <c r="B7" t="s">
        <v>192</v>
      </c>
      <c r="C7" s="12">
        <v>2</v>
      </c>
      <c r="D7" s="8">
        <v>4.76</v>
      </c>
      <c r="E7" s="12">
        <v>2</v>
      </c>
      <c r="F7" s="8">
        <v>9.09</v>
      </c>
      <c r="G7" s="12">
        <v>0</v>
      </c>
      <c r="H7" s="8">
        <v>0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4.76</v>
      </c>
      <c r="E8" s="12">
        <v>0</v>
      </c>
      <c r="F8" s="8">
        <v>0</v>
      </c>
      <c r="G8" s="12">
        <v>1</v>
      </c>
      <c r="H8" s="8">
        <v>12.5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2.38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2.38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9</v>
      </c>
      <c r="D11" s="8">
        <v>21.43</v>
      </c>
      <c r="E11" s="12">
        <v>8</v>
      </c>
      <c r="F11" s="8">
        <v>36.36</v>
      </c>
      <c r="G11" s="12">
        <v>1</v>
      </c>
      <c r="H11" s="8">
        <v>12.5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4.76</v>
      </c>
      <c r="E14" s="12">
        <v>1</v>
      </c>
      <c r="F14" s="8">
        <v>4.55</v>
      </c>
      <c r="G14" s="12">
        <v>1</v>
      </c>
      <c r="H14" s="8">
        <v>12.5</v>
      </c>
      <c r="I14" s="12">
        <v>0</v>
      </c>
    </row>
    <row r="15" spans="2:9" ht="15" customHeight="1" x14ac:dyDescent="0.2">
      <c r="B15" t="s">
        <v>200</v>
      </c>
      <c r="C15" s="12">
        <v>7</v>
      </c>
      <c r="D15" s="8">
        <v>16.670000000000002</v>
      </c>
      <c r="E15" s="12">
        <v>4</v>
      </c>
      <c r="F15" s="8">
        <v>18.18</v>
      </c>
      <c r="G15" s="12">
        <v>3</v>
      </c>
      <c r="H15" s="8">
        <v>37.5</v>
      </c>
      <c r="I15" s="12">
        <v>0</v>
      </c>
    </row>
    <row r="16" spans="2:9" ht="15" customHeight="1" x14ac:dyDescent="0.2">
      <c r="B16" t="s">
        <v>201</v>
      </c>
      <c r="C16" s="12">
        <v>8</v>
      </c>
      <c r="D16" s="8">
        <v>19.05</v>
      </c>
      <c r="E16" s="12">
        <v>2</v>
      </c>
      <c r="F16" s="8">
        <v>9.09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4.76</v>
      </c>
      <c r="E17" s="12">
        <v>1</v>
      </c>
      <c r="F17" s="8">
        <v>4.55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7.14</v>
      </c>
      <c r="E18" s="12">
        <v>1</v>
      </c>
      <c r="F18" s="8">
        <v>4.55</v>
      </c>
      <c r="G18" s="12">
        <v>2</v>
      </c>
      <c r="H18" s="8">
        <v>25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4.76</v>
      </c>
      <c r="E19" s="12">
        <v>0</v>
      </c>
      <c r="F19" s="8">
        <v>0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SUM(LTBL_01562[総数／事業所数])</f>
        <v>42</v>
      </c>
      <c r="E20" s="12">
        <f>SUBTOTAL(109,LTBL_01562[個人／事業所数])</f>
        <v>22</v>
      </c>
      <c r="G20" s="12">
        <f>SUBTOTAL(109,LTBL_01562[法人／事業所数])</f>
        <v>8</v>
      </c>
      <c r="I20" s="12">
        <f>SUBTOTAL(109,LTBL_01562[法人以外の団体／事業所数])</f>
        <v>0</v>
      </c>
    </row>
    <row r="21" spans="2:9" ht="15" customHeight="1" x14ac:dyDescent="0.2">
      <c r="E21" s="11">
        <f>LTBL_01562[[#Totals],[個人／事業所数]]/LTBL_01562[[#Totals],[総数／事業所数]]</f>
        <v>0.52380952380952384</v>
      </c>
      <c r="G21" s="11">
        <f>LTBL_01562[[#Totals],[法人／事業所数]]/LTBL_01562[[#Totals],[総数／事業所数]]</f>
        <v>0.19047619047619047</v>
      </c>
      <c r="I21" s="11">
        <f>LTBL_01562[[#Totals],[法人以外の団体／事業所数]]/LTBL_01562[[#Totals],[総数／事業所数]]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247</v>
      </c>
      <c r="C24" s="12">
        <v>6</v>
      </c>
      <c r="D24" s="8">
        <v>14.29</v>
      </c>
      <c r="E24" s="12">
        <v>0</v>
      </c>
      <c r="F24" s="8">
        <v>0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223</v>
      </c>
      <c r="C25" s="12">
        <v>4</v>
      </c>
      <c r="D25" s="8">
        <v>9.52</v>
      </c>
      <c r="E25" s="12">
        <v>4</v>
      </c>
      <c r="F25" s="8">
        <v>18.18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221</v>
      </c>
      <c r="C26" s="12">
        <v>3</v>
      </c>
      <c r="D26" s="8">
        <v>7.14</v>
      </c>
      <c r="E26" s="12">
        <v>3</v>
      </c>
      <c r="F26" s="8">
        <v>13.64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227</v>
      </c>
      <c r="C27" s="12">
        <v>3</v>
      </c>
      <c r="D27" s="8">
        <v>7.14</v>
      </c>
      <c r="E27" s="12">
        <v>3</v>
      </c>
      <c r="F27" s="8">
        <v>13.64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239</v>
      </c>
      <c r="C28" s="12">
        <v>3</v>
      </c>
      <c r="D28" s="8">
        <v>7.14</v>
      </c>
      <c r="E28" s="12">
        <v>0</v>
      </c>
      <c r="F28" s="8">
        <v>0</v>
      </c>
      <c r="G28" s="12">
        <v>3</v>
      </c>
      <c r="H28" s="8">
        <v>37.5</v>
      </c>
      <c r="I28" s="12">
        <v>0</v>
      </c>
    </row>
    <row r="29" spans="2:9" ht="15" customHeight="1" x14ac:dyDescent="0.2">
      <c r="B29" t="s">
        <v>215</v>
      </c>
      <c r="C29" s="12">
        <v>2</v>
      </c>
      <c r="D29" s="8">
        <v>4.76</v>
      </c>
      <c r="E29" s="12">
        <v>2</v>
      </c>
      <c r="F29" s="8">
        <v>9.09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228</v>
      </c>
      <c r="C30" s="12">
        <v>2</v>
      </c>
      <c r="D30" s="8">
        <v>4.76</v>
      </c>
      <c r="E30" s="12">
        <v>2</v>
      </c>
      <c r="F30" s="8">
        <v>9.09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230</v>
      </c>
      <c r="C31" s="12">
        <v>2</v>
      </c>
      <c r="D31" s="8">
        <v>4.76</v>
      </c>
      <c r="E31" s="12">
        <v>1</v>
      </c>
      <c r="F31" s="8">
        <v>4.55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232</v>
      </c>
      <c r="C32" s="12">
        <v>2</v>
      </c>
      <c r="D32" s="8">
        <v>4.76</v>
      </c>
      <c r="E32" s="12">
        <v>0</v>
      </c>
      <c r="F32" s="8">
        <v>0</v>
      </c>
      <c r="G32" s="12">
        <v>2</v>
      </c>
      <c r="H32" s="8">
        <v>25</v>
      </c>
      <c r="I32" s="12">
        <v>0</v>
      </c>
    </row>
    <row r="33" spans="2:9" ht="15" customHeight="1" x14ac:dyDescent="0.2">
      <c r="B33" t="s">
        <v>214</v>
      </c>
      <c r="C33" s="12">
        <v>1</v>
      </c>
      <c r="D33" s="8">
        <v>2.38</v>
      </c>
      <c r="E33" s="12">
        <v>1</v>
      </c>
      <c r="F33" s="8">
        <v>4.55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241</v>
      </c>
      <c r="C34" s="12">
        <v>1</v>
      </c>
      <c r="D34" s="8">
        <v>2.38</v>
      </c>
      <c r="E34" s="12">
        <v>1</v>
      </c>
      <c r="F34" s="8">
        <v>4.55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258</v>
      </c>
      <c r="C35" s="12">
        <v>1</v>
      </c>
      <c r="D35" s="8">
        <v>2.38</v>
      </c>
      <c r="E35" s="12">
        <v>1</v>
      </c>
      <c r="F35" s="8">
        <v>4.55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265</v>
      </c>
      <c r="C36" s="12">
        <v>1</v>
      </c>
      <c r="D36" s="8">
        <v>2.38</v>
      </c>
      <c r="E36" s="12">
        <v>0</v>
      </c>
      <c r="F36" s="8">
        <v>0</v>
      </c>
      <c r="G36" s="12">
        <v>1</v>
      </c>
      <c r="H36" s="8">
        <v>12.5</v>
      </c>
      <c r="I36" s="12">
        <v>0</v>
      </c>
    </row>
    <row r="37" spans="2:9" ht="15" customHeight="1" x14ac:dyDescent="0.2">
      <c r="B37" t="s">
        <v>255</v>
      </c>
      <c r="C37" s="12">
        <v>1</v>
      </c>
      <c r="D37" s="8">
        <v>2.38</v>
      </c>
      <c r="E37" s="12">
        <v>0</v>
      </c>
      <c r="F37" s="8">
        <v>0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283</v>
      </c>
      <c r="C38" s="12">
        <v>1</v>
      </c>
      <c r="D38" s="8">
        <v>2.38</v>
      </c>
      <c r="E38" s="12">
        <v>0</v>
      </c>
      <c r="F38" s="8">
        <v>0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261</v>
      </c>
      <c r="C39" s="12">
        <v>1</v>
      </c>
      <c r="D39" s="8">
        <v>2.38</v>
      </c>
      <c r="E39" s="12">
        <v>0</v>
      </c>
      <c r="F39" s="8">
        <v>0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217</v>
      </c>
      <c r="C40" s="12">
        <v>1</v>
      </c>
      <c r="D40" s="8">
        <v>2.38</v>
      </c>
      <c r="E40" s="12">
        <v>0</v>
      </c>
      <c r="F40" s="8">
        <v>0</v>
      </c>
      <c r="G40" s="12">
        <v>1</v>
      </c>
      <c r="H40" s="8">
        <v>12.5</v>
      </c>
      <c r="I40" s="12">
        <v>0</v>
      </c>
    </row>
    <row r="41" spans="2:9" ht="15" customHeight="1" x14ac:dyDescent="0.2">
      <c r="B41" t="s">
        <v>220</v>
      </c>
      <c r="C41" s="12">
        <v>1</v>
      </c>
      <c r="D41" s="8">
        <v>2.38</v>
      </c>
      <c r="E41" s="12">
        <v>1</v>
      </c>
      <c r="F41" s="8">
        <v>4.55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225</v>
      </c>
      <c r="C42" s="12">
        <v>1</v>
      </c>
      <c r="D42" s="8">
        <v>2.38</v>
      </c>
      <c r="E42" s="12">
        <v>0</v>
      </c>
      <c r="F42" s="8">
        <v>0</v>
      </c>
      <c r="G42" s="12">
        <v>1</v>
      </c>
      <c r="H42" s="8">
        <v>12.5</v>
      </c>
      <c r="I42" s="12">
        <v>0</v>
      </c>
    </row>
    <row r="43" spans="2:9" ht="15" customHeight="1" x14ac:dyDescent="0.2">
      <c r="B43" t="s">
        <v>226</v>
      </c>
      <c r="C43" s="12">
        <v>1</v>
      </c>
      <c r="D43" s="8">
        <v>2.38</v>
      </c>
      <c r="E43" s="12">
        <v>1</v>
      </c>
      <c r="F43" s="8">
        <v>4.55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243</v>
      </c>
      <c r="C44" s="12">
        <v>1</v>
      </c>
      <c r="D44" s="8">
        <v>2.38</v>
      </c>
      <c r="E44" s="12">
        <v>1</v>
      </c>
      <c r="F44" s="8">
        <v>4.55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231</v>
      </c>
      <c r="C45" s="12">
        <v>1</v>
      </c>
      <c r="D45" s="8">
        <v>2.38</v>
      </c>
      <c r="E45" s="12">
        <v>1</v>
      </c>
      <c r="F45" s="8">
        <v>4.55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249</v>
      </c>
      <c r="C46" s="12">
        <v>1</v>
      </c>
      <c r="D46" s="8">
        <v>2.38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250</v>
      </c>
      <c r="C47" s="12">
        <v>1</v>
      </c>
      <c r="D47" s="8">
        <v>2.38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325</v>
      </c>
      <c r="C51" s="12">
        <v>3</v>
      </c>
      <c r="D51" s="8">
        <v>7.14</v>
      </c>
      <c r="E51" s="12">
        <v>0</v>
      </c>
      <c r="F51" s="8">
        <v>0</v>
      </c>
      <c r="G51" s="12">
        <v>3</v>
      </c>
      <c r="H51" s="8">
        <v>37.5</v>
      </c>
      <c r="I51" s="12">
        <v>0</v>
      </c>
    </row>
    <row r="52" spans="2:9" ht="15" customHeight="1" x14ac:dyDescent="0.2">
      <c r="B52" t="s">
        <v>368</v>
      </c>
      <c r="C52" s="12">
        <v>3</v>
      </c>
      <c r="D52" s="8">
        <v>7.14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459</v>
      </c>
      <c r="C53" s="12">
        <v>3</v>
      </c>
      <c r="D53" s="8">
        <v>7.14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292</v>
      </c>
      <c r="C54" s="12">
        <v>2</v>
      </c>
      <c r="D54" s="8">
        <v>4.76</v>
      </c>
      <c r="E54" s="12">
        <v>2</v>
      </c>
      <c r="F54" s="8">
        <v>9.09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330</v>
      </c>
      <c r="C55" s="12">
        <v>2</v>
      </c>
      <c r="D55" s="8">
        <v>4.76</v>
      </c>
      <c r="E55" s="12">
        <v>2</v>
      </c>
      <c r="F55" s="8">
        <v>9.09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302</v>
      </c>
      <c r="C56" s="12">
        <v>2</v>
      </c>
      <c r="D56" s="8">
        <v>4.76</v>
      </c>
      <c r="E56" s="12">
        <v>2</v>
      </c>
      <c r="F56" s="8">
        <v>9.09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303</v>
      </c>
      <c r="C57" s="12">
        <v>2</v>
      </c>
      <c r="D57" s="8">
        <v>4.76</v>
      </c>
      <c r="E57" s="12">
        <v>2</v>
      </c>
      <c r="F57" s="8">
        <v>9.09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331</v>
      </c>
      <c r="C58" s="12">
        <v>2</v>
      </c>
      <c r="D58" s="8">
        <v>4.76</v>
      </c>
      <c r="E58" s="12">
        <v>0</v>
      </c>
      <c r="F58" s="8">
        <v>0</v>
      </c>
      <c r="G58" s="12">
        <v>2</v>
      </c>
      <c r="H58" s="8">
        <v>25</v>
      </c>
      <c r="I58" s="12">
        <v>0</v>
      </c>
    </row>
    <row r="59" spans="2:9" ht="15" customHeight="1" x14ac:dyDescent="0.2">
      <c r="B59" t="s">
        <v>343</v>
      </c>
      <c r="C59" s="12">
        <v>1</v>
      </c>
      <c r="D59" s="8">
        <v>2.38</v>
      </c>
      <c r="E59" s="12">
        <v>1</v>
      </c>
      <c r="F59" s="8">
        <v>4.55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290</v>
      </c>
      <c r="C60" s="12">
        <v>1</v>
      </c>
      <c r="D60" s="8">
        <v>2.38</v>
      </c>
      <c r="E60" s="12">
        <v>1</v>
      </c>
      <c r="F60" s="8">
        <v>4.55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291</v>
      </c>
      <c r="C61" s="12">
        <v>1</v>
      </c>
      <c r="D61" s="8">
        <v>2.38</v>
      </c>
      <c r="E61" s="12">
        <v>1</v>
      </c>
      <c r="F61" s="8">
        <v>4.55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413</v>
      </c>
      <c r="C62" s="12">
        <v>1</v>
      </c>
      <c r="D62" s="8">
        <v>2.38</v>
      </c>
      <c r="E62" s="12">
        <v>1</v>
      </c>
      <c r="F62" s="8">
        <v>4.55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359</v>
      </c>
      <c r="C63" s="12">
        <v>1</v>
      </c>
      <c r="D63" s="8">
        <v>2.38</v>
      </c>
      <c r="E63" s="12">
        <v>1</v>
      </c>
      <c r="F63" s="8">
        <v>4.55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387</v>
      </c>
      <c r="C64" s="12">
        <v>1</v>
      </c>
      <c r="D64" s="8">
        <v>2.38</v>
      </c>
      <c r="E64" s="12">
        <v>0</v>
      </c>
      <c r="F64" s="8">
        <v>0</v>
      </c>
      <c r="G64" s="12">
        <v>1</v>
      </c>
      <c r="H64" s="8">
        <v>12.5</v>
      </c>
      <c r="I64" s="12">
        <v>0</v>
      </c>
    </row>
    <row r="65" spans="2:9" ht="15" customHeight="1" x14ac:dyDescent="0.2">
      <c r="B65" t="s">
        <v>361</v>
      </c>
      <c r="C65" s="12">
        <v>1</v>
      </c>
      <c r="D65" s="8">
        <v>2.38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509</v>
      </c>
      <c r="C66" s="12">
        <v>1</v>
      </c>
      <c r="D66" s="8">
        <v>2.38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364</v>
      </c>
      <c r="C67" s="12">
        <v>1</v>
      </c>
      <c r="D67" s="8">
        <v>2.38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452</v>
      </c>
      <c r="C68" s="12">
        <v>1</v>
      </c>
      <c r="D68" s="8">
        <v>2.38</v>
      </c>
      <c r="E68" s="12">
        <v>0</v>
      </c>
      <c r="F68" s="8">
        <v>0</v>
      </c>
      <c r="G68" s="12">
        <v>1</v>
      </c>
      <c r="H68" s="8">
        <v>12.5</v>
      </c>
      <c r="I68" s="12">
        <v>0</v>
      </c>
    </row>
    <row r="69" spans="2:9" ht="15" customHeight="1" x14ac:dyDescent="0.2">
      <c r="B69" t="s">
        <v>314</v>
      </c>
      <c r="C69" s="12">
        <v>1</v>
      </c>
      <c r="D69" s="8">
        <v>2.38</v>
      </c>
      <c r="E69" s="12">
        <v>1</v>
      </c>
      <c r="F69" s="8">
        <v>4.55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332</v>
      </c>
      <c r="C70" s="12">
        <v>1</v>
      </c>
      <c r="D70" s="8">
        <v>2.38</v>
      </c>
      <c r="E70" s="12">
        <v>1</v>
      </c>
      <c r="F70" s="8">
        <v>4.55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401</v>
      </c>
      <c r="C71" s="12">
        <v>1</v>
      </c>
      <c r="D71" s="8">
        <v>2.38</v>
      </c>
      <c r="E71" s="12">
        <v>1</v>
      </c>
      <c r="F71" s="8">
        <v>4.55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337</v>
      </c>
      <c r="C72" s="12">
        <v>1</v>
      </c>
      <c r="D72" s="8">
        <v>2.38</v>
      </c>
      <c r="E72" s="12">
        <v>1</v>
      </c>
      <c r="F72" s="8">
        <v>4.55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495</v>
      </c>
      <c r="C73" s="12">
        <v>1</v>
      </c>
      <c r="D73" s="8">
        <v>2.38</v>
      </c>
      <c r="E73" s="12">
        <v>0</v>
      </c>
      <c r="F73" s="8">
        <v>0</v>
      </c>
      <c r="G73" s="12">
        <v>1</v>
      </c>
      <c r="H73" s="8">
        <v>12.5</v>
      </c>
      <c r="I73" s="12">
        <v>0</v>
      </c>
    </row>
    <row r="74" spans="2:9" ht="15" customHeight="1" x14ac:dyDescent="0.2">
      <c r="B74" t="s">
        <v>482</v>
      </c>
      <c r="C74" s="12">
        <v>1</v>
      </c>
      <c r="D74" s="8">
        <v>2.38</v>
      </c>
      <c r="E74" s="12">
        <v>1</v>
      </c>
      <c r="F74" s="8">
        <v>4.55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339</v>
      </c>
      <c r="C75" s="12">
        <v>1</v>
      </c>
      <c r="D75" s="8">
        <v>2.38</v>
      </c>
      <c r="E75" s="12">
        <v>1</v>
      </c>
      <c r="F75" s="8">
        <v>4.55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300</v>
      </c>
      <c r="C76" s="12">
        <v>1</v>
      </c>
      <c r="D76" s="8">
        <v>2.38</v>
      </c>
      <c r="E76" s="12">
        <v>1</v>
      </c>
      <c r="F76" s="8">
        <v>4.55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340</v>
      </c>
      <c r="C77" s="12">
        <v>1</v>
      </c>
      <c r="D77" s="8">
        <v>2.38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305</v>
      </c>
      <c r="C78" s="12">
        <v>1</v>
      </c>
      <c r="D78" s="8">
        <v>2.38</v>
      </c>
      <c r="E78" s="12">
        <v>1</v>
      </c>
      <c r="F78" s="8">
        <v>4.55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312</v>
      </c>
      <c r="C79" s="12">
        <v>1</v>
      </c>
      <c r="D79" s="8">
        <v>2.38</v>
      </c>
      <c r="E79" s="12">
        <v>1</v>
      </c>
      <c r="F79" s="8">
        <v>4.55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370</v>
      </c>
      <c r="C80" s="12">
        <v>1</v>
      </c>
      <c r="D80" s="8">
        <v>2.38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345</v>
      </c>
      <c r="C81" s="12">
        <v>1</v>
      </c>
      <c r="D81" s="8">
        <v>2.38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3" spans="2:9" ht="15" customHeight="1" x14ac:dyDescent="0.2">
      <c r="B8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35605-7DF8-45D0-93F3-691209EBCD11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0.11</v>
      </c>
      <c r="E5" s="12">
        <v>0</v>
      </c>
      <c r="F5" s="8">
        <v>0</v>
      </c>
      <c r="G5" s="12">
        <v>2</v>
      </c>
      <c r="H5" s="8">
        <v>0.18</v>
      </c>
      <c r="I5" s="12">
        <v>0</v>
      </c>
    </row>
    <row r="6" spans="2:9" ht="15" customHeight="1" x14ac:dyDescent="0.2">
      <c r="B6" t="s">
        <v>191</v>
      </c>
      <c r="C6" s="12">
        <v>339</v>
      </c>
      <c r="D6" s="8">
        <v>17.86</v>
      </c>
      <c r="E6" s="12">
        <v>37</v>
      </c>
      <c r="F6" s="8">
        <v>4.91</v>
      </c>
      <c r="G6" s="12">
        <v>302</v>
      </c>
      <c r="H6" s="8">
        <v>26.49</v>
      </c>
      <c r="I6" s="12">
        <v>0</v>
      </c>
    </row>
    <row r="7" spans="2:9" ht="15" customHeight="1" x14ac:dyDescent="0.2">
      <c r="B7" t="s">
        <v>192</v>
      </c>
      <c r="C7" s="12">
        <v>112</v>
      </c>
      <c r="D7" s="8">
        <v>5.9</v>
      </c>
      <c r="E7" s="12">
        <v>16</v>
      </c>
      <c r="F7" s="8">
        <v>2.12</v>
      </c>
      <c r="G7" s="12">
        <v>96</v>
      </c>
      <c r="H7" s="8">
        <v>8.42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9</v>
      </c>
      <c r="D9" s="8">
        <v>0.47</v>
      </c>
      <c r="E9" s="12">
        <v>0</v>
      </c>
      <c r="F9" s="8">
        <v>0</v>
      </c>
      <c r="G9" s="12">
        <v>9</v>
      </c>
      <c r="H9" s="8">
        <v>0.79</v>
      </c>
      <c r="I9" s="12">
        <v>0</v>
      </c>
    </row>
    <row r="10" spans="2:9" ht="15" customHeight="1" x14ac:dyDescent="0.2">
      <c r="B10" t="s">
        <v>195</v>
      </c>
      <c r="C10" s="12">
        <v>62</v>
      </c>
      <c r="D10" s="8">
        <v>3.27</v>
      </c>
      <c r="E10" s="12">
        <v>51</v>
      </c>
      <c r="F10" s="8">
        <v>6.76</v>
      </c>
      <c r="G10" s="12">
        <v>11</v>
      </c>
      <c r="H10" s="8">
        <v>0.96</v>
      </c>
      <c r="I10" s="12">
        <v>0</v>
      </c>
    </row>
    <row r="11" spans="2:9" ht="15" customHeight="1" x14ac:dyDescent="0.2">
      <c r="B11" t="s">
        <v>196</v>
      </c>
      <c r="C11" s="12">
        <v>352</v>
      </c>
      <c r="D11" s="8">
        <v>18.55</v>
      </c>
      <c r="E11" s="12">
        <v>83</v>
      </c>
      <c r="F11" s="8">
        <v>11.01</v>
      </c>
      <c r="G11" s="12">
        <v>269</v>
      </c>
      <c r="H11" s="8">
        <v>23.6</v>
      </c>
      <c r="I11" s="12">
        <v>0</v>
      </c>
    </row>
    <row r="12" spans="2:9" ht="15" customHeight="1" x14ac:dyDescent="0.2">
      <c r="B12" t="s">
        <v>197</v>
      </c>
      <c r="C12" s="12">
        <v>12</v>
      </c>
      <c r="D12" s="8">
        <v>0.63</v>
      </c>
      <c r="E12" s="12">
        <v>0</v>
      </c>
      <c r="F12" s="8">
        <v>0</v>
      </c>
      <c r="G12" s="12">
        <v>12</v>
      </c>
      <c r="H12" s="8">
        <v>1.05</v>
      </c>
      <c r="I12" s="12">
        <v>0</v>
      </c>
    </row>
    <row r="13" spans="2:9" ht="15" customHeight="1" x14ac:dyDescent="0.2">
      <c r="B13" t="s">
        <v>198</v>
      </c>
      <c r="C13" s="12">
        <v>180</v>
      </c>
      <c r="D13" s="8">
        <v>9.48</v>
      </c>
      <c r="E13" s="12">
        <v>48</v>
      </c>
      <c r="F13" s="8">
        <v>6.37</v>
      </c>
      <c r="G13" s="12">
        <v>132</v>
      </c>
      <c r="H13" s="8">
        <v>11.58</v>
      </c>
      <c r="I13" s="12">
        <v>0</v>
      </c>
    </row>
    <row r="14" spans="2:9" ht="15" customHeight="1" x14ac:dyDescent="0.2">
      <c r="B14" t="s">
        <v>199</v>
      </c>
      <c r="C14" s="12">
        <v>88</v>
      </c>
      <c r="D14" s="8">
        <v>4.6399999999999997</v>
      </c>
      <c r="E14" s="12">
        <v>31</v>
      </c>
      <c r="F14" s="8">
        <v>4.1100000000000003</v>
      </c>
      <c r="G14" s="12">
        <v>57</v>
      </c>
      <c r="H14" s="8">
        <v>5</v>
      </c>
      <c r="I14" s="12">
        <v>0</v>
      </c>
    </row>
    <row r="15" spans="2:9" ht="15" customHeight="1" x14ac:dyDescent="0.2">
      <c r="B15" t="s">
        <v>200</v>
      </c>
      <c r="C15" s="12">
        <v>183</v>
      </c>
      <c r="D15" s="8">
        <v>9.64</v>
      </c>
      <c r="E15" s="12">
        <v>123</v>
      </c>
      <c r="F15" s="8">
        <v>16.309999999999999</v>
      </c>
      <c r="G15" s="12">
        <v>60</v>
      </c>
      <c r="H15" s="8">
        <v>5.26</v>
      </c>
      <c r="I15" s="12">
        <v>0</v>
      </c>
    </row>
    <row r="16" spans="2:9" ht="15" customHeight="1" x14ac:dyDescent="0.2">
      <c r="B16" t="s">
        <v>201</v>
      </c>
      <c r="C16" s="12">
        <v>259</v>
      </c>
      <c r="D16" s="8">
        <v>13.65</v>
      </c>
      <c r="E16" s="12">
        <v>185</v>
      </c>
      <c r="F16" s="8">
        <v>24.54</v>
      </c>
      <c r="G16" s="12">
        <v>74</v>
      </c>
      <c r="H16" s="8">
        <v>6.49</v>
      </c>
      <c r="I16" s="12">
        <v>0</v>
      </c>
    </row>
    <row r="17" spans="2:9" ht="15" customHeight="1" x14ac:dyDescent="0.2">
      <c r="B17" t="s">
        <v>202</v>
      </c>
      <c r="C17" s="12">
        <v>91</v>
      </c>
      <c r="D17" s="8">
        <v>4.79</v>
      </c>
      <c r="E17" s="12">
        <v>66</v>
      </c>
      <c r="F17" s="8">
        <v>8.75</v>
      </c>
      <c r="G17" s="12">
        <v>25</v>
      </c>
      <c r="H17" s="8">
        <v>2.19</v>
      </c>
      <c r="I17" s="12">
        <v>0</v>
      </c>
    </row>
    <row r="18" spans="2:9" ht="15" customHeight="1" x14ac:dyDescent="0.2">
      <c r="B18" t="s">
        <v>203</v>
      </c>
      <c r="C18" s="12">
        <v>145</v>
      </c>
      <c r="D18" s="8">
        <v>7.64</v>
      </c>
      <c r="E18" s="12">
        <v>98</v>
      </c>
      <c r="F18" s="8">
        <v>13</v>
      </c>
      <c r="G18" s="12">
        <v>46</v>
      </c>
      <c r="H18" s="8">
        <v>4.04</v>
      </c>
      <c r="I18" s="12">
        <v>1</v>
      </c>
    </row>
    <row r="19" spans="2:9" ht="15" customHeight="1" x14ac:dyDescent="0.2">
      <c r="B19" t="s">
        <v>204</v>
      </c>
      <c r="C19" s="12">
        <v>64</v>
      </c>
      <c r="D19" s="8">
        <v>3.37</v>
      </c>
      <c r="E19" s="12">
        <v>16</v>
      </c>
      <c r="F19" s="8">
        <v>2.12</v>
      </c>
      <c r="G19" s="12">
        <v>45</v>
      </c>
      <c r="H19" s="8">
        <v>3.95</v>
      </c>
      <c r="I19" s="12">
        <v>3</v>
      </c>
    </row>
    <row r="20" spans="2:9" ht="15" customHeight="1" x14ac:dyDescent="0.2">
      <c r="B20" s="9" t="s">
        <v>529</v>
      </c>
      <c r="C20" s="12">
        <f>SUM(LTBL_01109[総数／事業所数])</f>
        <v>1898</v>
      </c>
      <c r="E20" s="12">
        <f>SUBTOTAL(109,LTBL_01109[個人／事業所数])</f>
        <v>754</v>
      </c>
      <c r="G20" s="12">
        <f>SUBTOTAL(109,LTBL_01109[法人／事業所数])</f>
        <v>1140</v>
      </c>
      <c r="I20" s="12">
        <f>SUBTOTAL(109,LTBL_01109[法人以外の団体／事業所数])</f>
        <v>4</v>
      </c>
    </row>
    <row r="21" spans="2:9" ht="15" customHeight="1" x14ac:dyDescent="0.2">
      <c r="E21" s="11">
        <f>LTBL_01109[[#Totals],[個人／事業所数]]/LTBL_01109[[#Totals],[総数／事業所数]]</f>
        <v>0.39726027397260272</v>
      </c>
      <c r="G21" s="11">
        <f>LTBL_01109[[#Totals],[法人／事業所数]]/LTBL_01109[[#Totals],[総数／事業所数]]</f>
        <v>0.6006322444678609</v>
      </c>
      <c r="I21" s="11">
        <f>LTBL_01109[[#Totals],[法人以外の団体／事業所数]]/LTBL_01109[[#Totals],[総数／事業所数]]</f>
        <v>2.1074815595363539E-3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221</v>
      </c>
      <c r="D24" s="8">
        <v>11.64</v>
      </c>
      <c r="E24" s="12">
        <v>177</v>
      </c>
      <c r="F24" s="8">
        <v>23.47</v>
      </c>
      <c r="G24" s="12">
        <v>44</v>
      </c>
      <c r="H24" s="8">
        <v>3.86</v>
      </c>
      <c r="I24" s="12">
        <v>0</v>
      </c>
    </row>
    <row r="25" spans="2:9" ht="15" customHeight="1" x14ac:dyDescent="0.2">
      <c r="B25" t="s">
        <v>224</v>
      </c>
      <c r="C25" s="12">
        <v>148</v>
      </c>
      <c r="D25" s="8">
        <v>7.8</v>
      </c>
      <c r="E25" s="12">
        <v>46</v>
      </c>
      <c r="F25" s="8">
        <v>6.1</v>
      </c>
      <c r="G25" s="12">
        <v>102</v>
      </c>
      <c r="H25" s="8">
        <v>8.9499999999999993</v>
      </c>
      <c r="I25" s="12">
        <v>0</v>
      </c>
    </row>
    <row r="26" spans="2:9" ht="15" customHeight="1" x14ac:dyDescent="0.2">
      <c r="B26" t="s">
        <v>227</v>
      </c>
      <c r="C26" s="12">
        <v>145</v>
      </c>
      <c r="D26" s="8">
        <v>7.64</v>
      </c>
      <c r="E26" s="12">
        <v>115</v>
      </c>
      <c r="F26" s="8">
        <v>15.25</v>
      </c>
      <c r="G26" s="12">
        <v>30</v>
      </c>
      <c r="H26" s="8">
        <v>2.63</v>
      </c>
      <c r="I26" s="12">
        <v>0</v>
      </c>
    </row>
    <row r="27" spans="2:9" ht="15" customHeight="1" x14ac:dyDescent="0.2">
      <c r="B27" t="s">
        <v>214</v>
      </c>
      <c r="C27" s="12">
        <v>124</v>
      </c>
      <c r="D27" s="8">
        <v>6.53</v>
      </c>
      <c r="E27" s="12">
        <v>15</v>
      </c>
      <c r="F27" s="8">
        <v>1.99</v>
      </c>
      <c r="G27" s="12">
        <v>109</v>
      </c>
      <c r="H27" s="8">
        <v>9.56</v>
      </c>
      <c r="I27" s="12">
        <v>0</v>
      </c>
    </row>
    <row r="28" spans="2:9" ht="15" customHeight="1" x14ac:dyDescent="0.2">
      <c r="B28" t="s">
        <v>213</v>
      </c>
      <c r="C28" s="12">
        <v>117</v>
      </c>
      <c r="D28" s="8">
        <v>6.16</v>
      </c>
      <c r="E28" s="12">
        <v>13</v>
      </c>
      <c r="F28" s="8">
        <v>1.72</v>
      </c>
      <c r="G28" s="12">
        <v>104</v>
      </c>
      <c r="H28" s="8">
        <v>9.1199999999999992</v>
      </c>
      <c r="I28" s="12">
        <v>0</v>
      </c>
    </row>
    <row r="29" spans="2:9" ht="15" customHeight="1" x14ac:dyDescent="0.2">
      <c r="B29" t="s">
        <v>231</v>
      </c>
      <c r="C29" s="12">
        <v>111</v>
      </c>
      <c r="D29" s="8">
        <v>5.85</v>
      </c>
      <c r="E29" s="12">
        <v>97</v>
      </c>
      <c r="F29" s="8">
        <v>12.86</v>
      </c>
      <c r="G29" s="12">
        <v>14</v>
      </c>
      <c r="H29" s="8">
        <v>1.23</v>
      </c>
      <c r="I29" s="12">
        <v>0</v>
      </c>
    </row>
    <row r="30" spans="2:9" ht="15" customHeight="1" x14ac:dyDescent="0.2">
      <c r="B30" t="s">
        <v>215</v>
      </c>
      <c r="C30" s="12">
        <v>98</v>
      </c>
      <c r="D30" s="8">
        <v>5.16</v>
      </c>
      <c r="E30" s="12">
        <v>9</v>
      </c>
      <c r="F30" s="8">
        <v>1.19</v>
      </c>
      <c r="G30" s="12">
        <v>89</v>
      </c>
      <c r="H30" s="8">
        <v>7.81</v>
      </c>
      <c r="I30" s="12">
        <v>0</v>
      </c>
    </row>
    <row r="31" spans="2:9" ht="15" customHeight="1" x14ac:dyDescent="0.2">
      <c r="B31" t="s">
        <v>223</v>
      </c>
      <c r="C31" s="12">
        <v>94</v>
      </c>
      <c r="D31" s="8">
        <v>4.95</v>
      </c>
      <c r="E31" s="12">
        <v>22</v>
      </c>
      <c r="F31" s="8">
        <v>2.92</v>
      </c>
      <c r="G31" s="12">
        <v>72</v>
      </c>
      <c r="H31" s="8">
        <v>6.32</v>
      </c>
      <c r="I31" s="12">
        <v>0</v>
      </c>
    </row>
    <row r="32" spans="2:9" ht="15" customHeight="1" x14ac:dyDescent="0.2">
      <c r="B32" t="s">
        <v>230</v>
      </c>
      <c r="C32" s="12">
        <v>91</v>
      </c>
      <c r="D32" s="8">
        <v>4.79</v>
      </c>
      <c r="E32" s="12">
        <v>66</v>
      </c>
      <c r="F32" s="8">
        <v>8.75</v>
      </c>
      <c r="G32" s="12">
        <v>25</v>
      </c>
      <c r="H32" s="8">
        <v>2.19</v>
      </c>
      <c r="I32" s="12">
        <v>0</v>
      </c>
    </row>
    <row r="33" spans="2:9" ht="15" customHeight="1" x14ac:dyDescent="0.2">
      <c r="B33" t="s">
        <v>222</v>
      </c>
      <c r="C33" s="12">
        <v>64</v>
      </c>
      <c r="D33" s="8">
        <v>3.37</v>
      </c>
      <c r="E33" s="12">
        <v>21</v>
      </c>
      <c r="F33" s="8">
        <v>2.79</v>
      </c>
      <c r="G33" s="12">
        <v>43</v>
      </c>
      <c r="H33" s="8">
        <v>3.77</v>
      </c>
      <c r="I33" s="12">
        <v>0</v>
      </c>
    </row>
    <row r="34" spans="2:9" ht="15" customHeight="1" x14ac:dyDescent="0.2">
      <c r="B34" t="s">
        <v>226</v>
      </c>
      <c r="C34" s="12">
        <v>52</v>
      </c>
      <c r="D34" s="8">
        <v>2.74</v>
      </c>
      <c r="E34" s="12">
        <v>12</v>
      </c>
      <c r="F34" s="8">
        <v>1.59</v>
      </c>
      <c r="G34" s="12">
        <v>40</v>
      </c>
      <c r="H34" s="8">
        <v>3.51</v>
      </c>
      <c r="I34" s="12">
        <v>0</v>
      </c>
    </row>
    <row r="35" spans="2:9" ht="15" customHeight="1" x14ac:dyDescent="0.2">
      <c r="B35" t="s">
        <v>238</v>
      </c>
      <c r="C35" s="12">
        <v>48</v>
      </c>
      <c r="D35" s="8">
        <v>2.5299999999999998</v>
      </c>
      <c r="E35" s="12">
        <v>47</v>
      </c>
      <c r="F35" s="8">
        <v>6.23</v>
      </c>
      <c r="G35" s="12">
        <v>1</v>
      </c>
      <c r="H35" s="8">
        <v>0.09</v>
      </c>
      <c r="I35" s="12">
        <v>0</v>
      </c>
    </row>
    <row r="36" spans="2:9" ht="15" customHeight="1" x14ac:dyDescent="0.2">
      <c r="B36" t="s">
        <v>221</v>
      </c>
      <c r="C36" s="12">
        <v>46</v>
      </c>
      <c r="D36" s="8">
        <v>2.42</v>
      </c>
      <c r="E36" s="12">
        <v>26</v>
      </c>
      <c r="F36" s="8">
        <v>3.45</v>
      </c>
      <c r="G36" s="12">
        <v>20</v>
      </c>
      <c r="H36" s="8">
        <v>1.75</v>
      </c>
      <c r="I36" s="12">
        <v>0</v>
      </c>
    </row>
    <row r="37" spans="2:9" ht="15" customHeight="1" x14ac:dyDescent="0.2">
      <c r="B37" t="s">
        <v>225</v>
      </c>
      <c r="C37" s="12">
        <v>34</v>
      </c>
      <c r="D37" s="8">
        <v>1.79</v>
      </c>
      <c r="E37" s="12">
        <v>19</v>
      </c>
      <c r="F37" s="8">
        <v>2.52</v>
      </c>
      <c r="G37" s="12">
        <v>15</v>
      </c>
      <c r="H37" s="8">
        <v>1.32</v>
      </c>
      <c r="I37" s="12">
        <v>0</v>
      </c>
    </row>
    <row r="38" spans="2:9" ht="15" customHeight="1" x14ac:dyDescent="0.2">
      <c r="B38" t="s">
        <v>232</v>
      </c>
      <c r="C38" s="12">
        <v>34</v>
      </c>
      <c r="D38" s="8">
        <v>1.79</v>
      </c>
      <c r="E38" s="12">
        <v>1</v>
      </c>
      <c r="F38" s="8">
        <v>0.13</v>
      </c>
      <c r="G38" s="12">
        <v>32</v>
      </c>
      <c r="H38" s="8">
        <v>2.81</v>
      </c>
      <c r="I38" s="12">
        <v>1</v>
      </c>
    </row>
    <row r="39" spans="2:9" ht="15" customHeight="1" x14ac:dyDescent="0.2">
      <c r="B39" t="s">
        <v>229</v>
      </c>
      <c r="C39" s="12">
        <v>31</v>
      </c>
      <c r="D39" s="8">
        <v>1.63</v>
      </c>
      <c r="E39" s="12">
        <v>8</v>
      </c>
      <c r="F39" s="8">
        <v>1.06</v>
      </c>
      <c r="G39" s="12">
        <v>23</v>
      </c>
      <c r="H39" s="8">
        <v>2.02</v>
      </c>
      <c r="I39" s="12">
        <v>0</v>
      </c>
    </row>
    <row r="40" spans="2:9" ht="15" customHeight="1" x14ac:dyDescent="0.2">
      <c r="B40" t="s">
        <v>219</v>
      </c>
      <c r="C40" s="12">
        <v>27</v>
      </c>
      <c r="D40" s="8">
        <v>1.42</v>
      </c>
      <c r="E40" s="12">
        <v>1</v>
      </c>
      <c r="F40" s="8">
        <v>0.13</v>
      </c>
      <c r="G40" s="12">
        <v>26</v>
      </c>
      <c r="H40" s="8">
        <v>2.2799999999999998</v>
      </c>
      <c r="I40" s="12">
        <v>0</v>
      </c>
    </row>
    <row r="41" spans="2:9" ht="15" customHeight="1" x14ac:dyDescent="0.2">
      <c r="B41" t="s">
        <v>220</v>
      </c>
      <c r="C41" s="12">
        <v>26</v>
      </c>
      <c r="D41" s="8">
        <v>1.37</v>
      </c>
      <c r="E41" s="12">
        <v>6</v>
      </c>
      <c r="F41" s="8">
        <v>0.8</v>
      </c>
      <c r="G41" s="12">
        <v>20</v>
      </c>
      <c r="H41" s="8">
        <v>1.75</v>
      </c>
      <c r="I41" s="12">
        <v>0</v>
      </c>
    </row>
    <row r="42" spans="2:9" ht="15" customHeight="1" x14ac:dyDescent="0.2">
      <c r="B42" t="s">
        <v>239</v>
      </c>
      <c r="C42" s="12">
        <v>26</v>
      </c>
      <c r="D42" s="8">
        <v>1.37</v>
      </c>
      <c r="E42" s="12">
        <v>1</v>
      </c>
      <c r="F42" s="8">
        <v>0.13</v>
      </c>
      <c r="G42" s="12">
        <v>25</v>
      </c>
      <c r="H42" s="8">
        <v>2.19</v>
      </c>
      <c r="I42" s="12">
        <v>0</v>
      </c>
    </row>
    <row r="43" spans="2:9" ht="15" customHeight="1" x14ac:dyDescent="0.2">
      <c r="B43" t="s">
        <v>234</v>
      </c>
      <c r="C43" s="12">
        <v>25</v>
      </c>
      <c r="D43" s="8">
        <v>1.32</v>
      </c>
      <c r="E43" s="12">
        <v>4</v>
      </c>
      <c r="F43" s="8">
        <v>0.53</v>
      </c>
      <c r="G43" s="12">
        <v>21</v>
      </c>
      <c r="H43" s="8">
        <v>1.84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106</v>
      </c>
      <c r="D47" s="8">
        <v>5.58</v>
      </c>
      <c r="E47" s="12">
        <v>92</v>
      </c>
      <c r="F47" s="8">
        <v>12.2</v>
      </c>
      <c r="G47" s="12">
        <v>14</v>
      </c>
      <c r="H47" s="8">
        <v>1.23</v>
      </c>
      <c r="I47" s="12">
        <v>0</v>
      </c>
    </row>
    <row r="48" spans="2:9" ht="15" customHeight="1" x14ac:dyDescent="0.2">
      <c r="B48" t="s">
        <v>297</v>
      </c>
      <c r="C48" s="12">
        <v>103</v>
      </c>
      <c r="D48" s="8">
        <v>5.43</v>
      </c>
      <c r="E48" s="12">
        <v>43</v>
      </c>
      <c r="F48" s="8">
        <v>5.7</v>
      </c>
      <c r="G48" s="12">
        <v>60</v>
      </c>
      <c r="H48" s="8">
        <v>5.26</v>
      </c>
      <c r="I48" s="12">
        <v>0</v>
      </c>
    </row>
    <row r="49" spans="2:9" ht="15" customHeight="1" x14ac:dyDescent="0.2">
      <c r="B49" t="s">
        <v>303</v>
      </c>
      <c r="C49" s="12">
        <v>77</v>
      </c>
      <c r="D49" s="8">
        <v>4.0599999999999996</v>
      </c>
      <c r="E49" s="12">
        <v>72</v>
      </c>
      <c r="F49" s="8">
        <v>9.5500000000000007</v>
      </c>
      <c r="G49" s="12">
        <v>5</v>
      </c>
      <c r="H49" s="8">
        <v>0.44</v>
      </c>
      <c r="I49" s="12">
        <v>0</v>
      </c>
    </row>
    <row r="50" spans="2:9" ht="15" customHeight="1" x14ac:dyDescent="0.2">
      <c r="B50" t="s">
        <v>306</v>
      </c>
      <c r="C50" s="12">
        <v>70</v>
      </c>
      <c r="D50" s="8">
        <v>3.69</v>
      </c>
      <c r="E50" s="12">
        <v>64</v>
      </c>
      <c r="F50" s="8">
        <v>8.49</v>
      </c>
      <c r="G50" s="12">
        <v>6</v>
      </c>
      <c r="H50" s="8">
        <v>0.53</v>
      </c>
      <c r="I50" s="12">
        <v>0</v>
      </c>
    </row>
    <row r="51" spans="2:9" ht="15" customHeight="1" x14ac:dyDescent="0.2">
      <c r="B51" t="s">
        <v>305</v>
      </c>
      <c r="C51" s="12">
        <v>56</v>
      </c>
      <c r="D51" s="8">
        <v>2.95</v>
      </c>
      <c r="E51" s="12">
        <v>47</v>
      </c>
      <c r="F51" s="8">
        <v>6.23</v>
      </c>
      <c r="G51" s="12">
        <v>9</v>
      </c>
      <c r="H51" s="8">
        <v>0.79</v>
      </c>
      <c r="I51" s="12">
        <v>0</v>
      </c>
    </row>
    <row r="52" spans="2:9" ht="15" customHeight="1" x14ac:dyDescent="0.2">
      <c r="B52" t="s">
        <v>326</v>
      </c>
      <c r="C52" s="12">
        <v>48</v>
      </c>
      <c r="D52" s="8">
        <v>2.5299999999999998</v>
      </c>
      <c r="E52" s="12">
        <v>47</v>
      </c>
      <c r="F52" s="8">
        <v>6.23</v>
      </c>
      <c r="G52" s="12">
        <v>1</v>
      </c>
      <c r="H52" s="8">
        <v>0.09</v>
      </c>
      <c r="I52" s="12">
        <v>0</v>
      </c>
    </row>
    <row r="53" spans="2:9" ht="15" customHeight="1" x14ac:dyDescent="0.2">
      <c r="B53" t="s">
        <v>293</v>
      </c>
      <c r="C53" s="12">
        <v>44</v>
      </c>
      <c r="D53" s="8">
        <v>2.3199999999999998</v>
      </c>
      <c r="E53" s="12">
        <v>12</v>
      </c>
      <c r="F53" s="8">
        <v>1.59</v>
      </c>
      <c r="G53" s="12">
        <v>32</v>
      </c>
      <c r="H53" s="8">
        <v>2.81</v>
      </c>
      <c r="I53" s="12">
        <v>0</v>
      </c>
    </row>
    <row r="54" spans="2:9" ht="15" customHeight="1" x14ac:dyDescent="0.2">
      <c r="B54" t="s">
        <v>319</v>
      </c>
      <c r="C54" s="12">
        <v>42</v>
      </c>
      <c r="D54" s="8">
        <v>2.21</v>
      </c>
      <c r="E54" s="12">
        <v>4</v>
      </c>
      <c r="F54" s="8">
        <v>0.53</v>
      </c>
      <c r="G54" s="12">
        <v>38</v>
      </c>
      <c r="H54" s="8">
        <v>3.33</v>
      </c>
      <c r="I54" s="12">
        <v>0</v>
      </c>
    </row>
    <row r="55" spans="2:9" ht="15" customHeight="1" x14ac:dyDescent="0.2">
      <c r="B55" t="s">
        <v>299</v>
      </c>
      <c r="C55" s="12">
        <v>41</v>
      </c>
      <c r="D55" s="8">
        <v>2.16</v>
      </c>
      <c r="E55" s="12">
        <v>30</v>
      </c>
      <c r="F55" s="8">
        <v>3.98</v>
      </c>
      <c r="G55" s="12">
        <v>11</v>
      </c>
      <c r="H55" s="8">
        <v>0.96</v>
      </c>
      <c r="I55" s="12">
        <v>0</v>
      </c>
    </row>
    <row r="56" spans="2:9" ht="15" customHeight="1" x14ac:dyDescent="0.2">
      <c r="B56" t="s">
        <v>290</v>
      </c>
      <c r="C56" s="12">
        <v>37</v>
      </c>
      <c r="D56" s="8">
        <v>1.95</v>
      </c>
      <c r="E56" s="12">
        <v>3</v>
      </c>
      <c r="F56" s="8">
        <v>0.4</v>
      </c>
      <c r="G56" s="12">
        <v>34</v>
      </c>
      <c r="H56" s="8">
        <v>2.98</v>
      </c>
      <c r="I56" s="12">
        <v>0</v>
      </c>
    </row>
    <row r="57" spans="2:9" ht="15" customHeight="1" x14ac:dyDescent="0.2">
      <c r="B57" t="s">
        <v>291</v>
      </c>
      <c r="C57" s="12">
        <v>37</v>
      </c>
      <c r="D57" s="8">
        <v>1.95</v>
      </c>
      <c r="E57" s="12">
        <v>5</v>
      </c>
      <c r="F57" s="8">
        <v>0.66</v>
      </c>
      <c r="G57" s="12">
        <v>32</v>
      </c>
      <c r="H57" s="8">
        <v>2.81</v>
      </c>
      <c r="I57" s="12">
        <v>0</v>
      </c>
    </row>
    <row r="58" spans="2:9" ht="15" customHeight="1" x14ac:dyDescent="0.2">
      <c r="B58" t="s">
        <v>301</v>
      </c>
      <c r="C58" s="12">
        <v>36</v>
      </c>
      <c r="D58" s="8">
        <v>1.9</v>
      </c>
      <c r="E58" s="12">
        <v>33</v>
      </c>
      <c r="F58" s="8">
        <v>4.38</v>
      </c>
      <c r="G58" s="12">
        <v>3</v>
      </c>
      <c r="H58" s="8">
        <v>0.26</v>
      </c>
      <c r="I58" s="12">
        <v>0</v>
      </c>
    </row>
    <row r="59" spans="2:9" ht="15" customHeight="1" x14ac:dyDescent="0.2">
      <c r="B59" t="s">
        <v>294</v>
      </c>
      <c r="C59" s="12">
        <v>31</v>
      </c>
      <c r="D59" s="8">
        <v>1.63</v>
      </c>
      <c r="E59" s="12">
        <v>4</v>
      </c>
      <c r="F59" s="8">
        <v>0.53</v>
      </c>
      <c r="G59" s="12">
        <v>27</v>
      </c>
      <c r="H59" s="8">
        <v>2.37</v>
      </c>
      <c r="I59" s="12">
        <v>0</v>
      </c>
    </row>
    <row r="60" spans="2:9" ht="15" customHeight="1" x14ac:dyDescent="0.2">
      <c r="B60" t="s">
        <v>327</v>
      </c>
      <c r="C60" s="12">
        <v>31</v>
      </c>
      <c r="D60" s="8">
        <v>1.63</v>
      </c>
      <c r="E60" s="12">
        <v>18</v>
      </c>
      <c r="F60" s="8">
        <v>2.39</v>
      </c>
      <c r="G60" s="12">
        <v>13</v>
      </c>
      <c r="H60" s="8">
        <v>1.1399999999999999</v>
      </c>
      <c r="I60" s="12">
        <v>0</v>
      </c>
    </row>
    <row r="61" spans="2:9" ht="15" customHeight="1" x14ac:dyDescent="0.2">
      <c r="B61" t="s">
        <v>289</v>
      </c>
      <c r="C61" s="12">
        <v>30</v>
      </c>
      <c r="D61" s="8">
        <v>1.58</v>
      </c>
      <c r="E61" s="12">
        <v>4</v>
      </c>
      <c r="F61" s="8">
        <v>0.53</v>
      </c>
      <c r="G61" s="12">
        <v>26</v>
      </c>
      <c r="H61" s="8">
        <v>2.2799999999999998</v>
      </c>
      <c r="I61" s="12">
        <v>0</v>
      </c>
    </row>
    <row r="62" spans="2:9" ht="15" customHeight="1" x14ac:dyDescent="0.2">
      <c r="B62" t="s">
        <v>308</v>
      </c>
      <c r="C62" s="12">
        <v>30</v>
      </c>
      <c r="D62" s="8">
        <v>1.58</v>
      </c>
      <c r="E62" s="12">
        <v>4</v>
      </c>
      <c r="F62" s="8">
        <v>0.53</v>
      </c>
      <c r="G62" s="12">
        <v>26</v>
      </c>
      <c r="H62" s="8">
        <v>2.2799999999999998</v>
      </c>
      <c r="I62" s="12">
        <v>0</v>
      </c>
    </row>
    <row r="63" spans="2:9" ht="15" customHeight="1" x14ac:dyDescent="0.2">
      <c r="B63" t="s">
        <v>298</v>
      </c>
      <c r="C63" s="12">
        <v>28</v>
      </c>
      <c r="D63" s="8">
        <v>1.48</v>
      </c>
      <c r="E63" s="12">
        <v>4</v>
      </c>
      <c r="F63" s="8">
        <v>0.53</v>
      </c>
      <c r="G63" s="12">
        <v>24</v>
      </c>
      <c r="H63" s="8">
        <v>2.11</v>
      </c>
      <c r="I63" s="12">
        <v>0</v>
      </c>
    </row>
    <row r="64" spans="2:9" ht="15" customHeight="1" x14ac:dyDescent="0.2">
      <c r="B64" t="s">
        <v>312</v>
      </c>
      <c r="C64" s="12">
        <v>28</v>
      </c>
      <c r="D64" s="8">
        <v>1.48</v>
      </c>
      <c r="E64" s="12">
        <v>27</v>
      </c>
      <c r="F64" s="8">
        <v>3.58</v>
      </c>
      <c r="G64" s="12">
        <v>1</v>
      </c>
      <c r="H64" s="8">
        <v>0.09</v>
      </c>
      <c r="I64" s="12">
        <v>0</v>
      </c>
    </row>
    <row r="65" spans="2:9" ht="15" customHeight="1" x14ac:dyDescent="0.2">
      <c r="B65" t="s">
        <v>296</v>
      </c>
      <c r="C65" s="12">
        <v>26</v>
      </c>
      <c r="D65" s="8">
        <v>1.37</v>
      </c>
      <c r="E65" s="12">
        <v>2</v>
      </c>
      <c r="F65" s="8">
        <v>0.27</v>
      </c>
      <c r="G65" s="12">
        <v>24</v>
      </c>
      <c r="H65" s="8">
        <v>2.11</v>
      </c>
      <c r="I65" s="12">
        <v>0</v>
      </c>
    </row>
    <row r="66" spans="2:9" ht="15" customHeight="1" x14ac:dyDescent="0.2">
      <c r="B66" t="s">
        <v>325</v>
      </c>
      <c r="C66" s="12">
        <v>25</v>
      </c>
      <c r="D66" s="8">
        <v>1.32</v>
      </c>
      <c r="E66" s="12">
        <v>0</v>
      </c>
      <c r="F66" s="8">
        <v>0</v>
      </c>
      <c r="G66" s="12">
        <v>25</v>
      </c>
      <c r="H66" s="8">
        <v>2.19</v>
      </c>
      <c r="I66" s="12">
        <v>0</v>
      </c>
    </row>
    <row r="67" spans="2:9" ht="15" customHeight="1" x14ac:dyDescent="0.2">
      <c r="B67" t="s">
        <v>323</v>
      </c>
      <c r="C67" s="12">
        <v>25</v>
      </c>
      <c r="D67" s="8">
        <v>1.32</v>
      </c>
      <c r="E67" s="12">
        <v>7</v>
      </c>
      <c r="F67" s="8">
        <v>0.93</v>
      </c>
      <c r="G67" s="12">
        <v>18</v>
      </c>
      <c r="H67" s="8">
        <v>1.58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5D3C8-D39C-44C8-917A-E309DC40CD2C}">
  <sheetPr>
    <pageSetUpPr fitToPage="1"/>
  </sheetPr>
  <dimension ref="B2:I8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13</v>
      </c>
      <c r="D6" s="8">
        <v>10.57</v>
      </c>
      <c r="E6" s="12">
        <v>6</v>
      </c>
      <c r="F6" s="8">
        <v>7.59</v>
      </c>
      <c r="G6" s="12">
        <v>7</v>
      </c>
      <c r="H6" s="8">
        <v>17.5</v>
      </c>
      <c r="I6" s="12">
        <v>0</v>
      </c>
    </row>
    <row r="7" spans="2:9" ht="15" customHeight="1" x14ac:dyDescent="0.2">
      <c r="B7" t="s">
        <v>192</v>
      </c>
      <c r="C7" s="12">
        <v>14</v>
      </c>
      <c r="D7" s="8">
        <v>11.38</v>
      </c>
      <c r="E7" s="12">
        <v>6</v>
      </c>
      <c r="F7" s="8">
        <v>7.59</v>
      </c>
      <c r="G7" s="12">
        <v>8</v>
      </c>
      <c r="H7" s="8">
        <v>20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1.63</v>
      </c>
      <c r="E10" s="12">
        <v>0</v>
      </c>
      <c r="F10" s="8">
        <v>0</v>
      </c>
      <c r="G10" s="12">
        <v>2</v>
      </c>
      <c r="H10" s="8">
        <v>5</v>
      </c>
      <c r="I10" s="12">
        <v>0</v>
      </c>
    </row>
    <row r="11" spans="2:9" ht="15" customHeight="1" x14ac:dyDescent="0.2">
      <c r="B11" t="s">
        <v>196</v>
      </c>
      <c r="C11" s="12">
        <v>30</v>
      </c>
      <c r="D11" s="8">
        <v>24.39</v>
      </c>
      <c r="E11" s="12">
        <v>15</v>
      </c>
      <c r="F11" s="8">
        <v>18.989999999999998</v>
      </c>
      <c r="G11" s="12">
        <v>14</v>
      </c>
      <c r="H11" s="8">
        <v>35</v>
      </c>
      <c r="I11" s="12">
        <v>1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1.63</v>
      </c>
      <c r="E13" s="12">
        <v>0</v>
      </c>
      <c r="F13" s="8">
        <v>0</v>
      </c>
      <c r="G13" s="12">
        <v>2</v>
      </c>
      <c r="H13" s="8">
        <v>5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2.44</v>
      </c>
      <c r="E14" s="12">
        <v>1</v>
      </c>
      <c r="F14" s="8">
        <v>1.27</v>
      </c>
      <c r="G14" s="12">
        <v>2</v>
      </c>
      <c r="H14" s="8">
        <v>5</v>
      </c>
      <c r="I14" s="12">
        <v>0</v>
      </c>
    </row>
    <row r="15" spans="2:9" ht="15" customHeight="1" x14ac:dyDescent="0.2">
      <c r="B15" t="s">
        <v>200</v>
      </c>
      <c r="C15" s="12">
        <v>29</v>
      </c>
      <c r="D15" s="8">
        <v>23.58</v>
      </c>
      <c r="E15" s="12">
        <v>26</v>
      </c>
      <c r="F15" s="8">
        <v>32.909999999999997</v>
      </c>
      <c r="G15" s="12">
        <v>2</v>
      </c>
      <c r="H15" s="8">
        <v>5</v>
      </c>
      <c r="I15" s="12">
        <v>0</v>
      </c>
    </row>
    <row r="16" spans="2:9" ht="15" customHeight="1" x14ac:dyDescent="0.2">
      <c r="B16" t="s">
        <v>201</v>
      </c>
      <c r="C16" s="12">
        <v>19</v>
      </c>
      <c r="D16" s="8">
        <v>15.45</v>
      </c>
      <c r="E16" s="12">
        <v>17</v>
      </c>
      <c r="F16" s="8">
        <v>21.52</v>
      </c>
      <c r="G16" s="12">
        <v>2</v>
      </c>
      <c r="H16" s="8">
        <v>5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1.63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1.63</v>
      </c>
      <c r="E18" s="12">
        <v>2</v>
      </c>
      <c r="F18" s="8">
        <v>2.5299999999999998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5.69</v>
      </c>
      <c r="E19" s="12">
        <v>6</v>
      </c>
      <c r="F19" s="8">
        <v>7.59</v>
      </c>
      <c r="G19" s="12">
        <v>1</v>
      </c>
      <c r="H19" s="8">
        <v>2.5</v>
      </c>
      <c r="I19" s="12">
        <v>0</v>
      </c>
    </row>
    <row r="20" spans="2:9" ht="15" customHeight="1" x14ac:dyDescent="0.2">
      <c r="B20" s="9" t="s">
        <v>529</v>
      </c>
      <c r="C20" s="12">
        <f>SUM(LTBL_01563[総数／事業所数])</f>
        <v>123</v>
      </c>
      <c r="E20" s="12">
        <f>SUBTOTAL(109,LTBL_01563[個人／事業所数])</f>
        <v>79</v>
      </c>
      <c r="G20" s="12">
        <f>SUBTOTAL(109,LTBL_01563[法人／事業所数])</f>
        <v>40</v>
      </c>
      <c r="I20" s="12">
        <f>SUBTOTAL(109,LTBL_01563[法人以外の団体／事業所数])</f>
        <v>1</v>
      </c>
    </row>
    <row r="21" spans="2:9" ht="15" customHeight="1" x14ac:dyDescent="0.2">
      <c r="E21" s="11">
        <f>LTBL_01563[[#Totals],[個人／事業所数]]/LTBL_01563[[#Totals],[総数／事業所数]]</f>
        <v>0.64227642276422769</v>
      </c>
      <c r="G21" s="11">
        <f>LTBL_01563[[#Totals],[法人／事業所数]]/LTBL_01563[[#Totals],[総数／事業所数]]</f>
        <v>0.32520325203252032</v>
      </c>
      <c r="I21" s="11">
        <f>LTBL_01563[[#Totals],[法人以外の団体／事業所数]]/LTBL_01563[[#Totals],[総数／事業所数]]</f>
        <v>8.130081300813009E-3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25</v>
      </c>
      <c r="D24" s="8">
        <v>20.329999999999998</v>
      </c>
      <c r="E24" s="12">
        <v>24</v>
      </c>
      <c r="F24" s="8">
        <v>30.38</v>
      </c>
      <c r="G24" s="12">
        <v>1</v>
      </c>
      <c r="H24" s="8">
        <v>2.5</v>
      </c>
      <c r="I24" s="12">
        <v>0</v>
      </c>
    </row>
    <row r="25" spans="2:9" ht="15" customHeight="1" x14ac:dyDescent="0.2">
      <c r="B25" t="s">
        <v>228</v>
      </c>
      <c r="C25" s="12">
        <v>16</v>
      </c>
      <c r="D25" s="8">
        <v>13.01</v>
      </c>
      <c r="E25" s="12">
        <v>16</v>
      </c>
      <c r="F25" s="8">
        <v>20.25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223</v>
      </c>
      <c r="C26" s="12">
        <v>10</v>
      </c>
      <c r="D26" s="8">
        <v>8.1300000000000008</v>
      </c>
      <c r="E26" s="12">
        <v>4</v>
      </c>
      <c r="F26" s="8">
        <v>5.0599999999999996</v>
      </c>
      <c r="G26" s="12">
        <v>6</v>
      </c>
      <c r="H26" s="8">
        <v>15</v>
      </c>
      <c r="I26" s="12">
        <v>0</v>
      </c>
    </row>
    <row r="27" spans="2:9" ht="15" customHeight="1" x14ac:dyDescent="0.2">
      <c r="B27" t="s">
        <v>214</v>
      </c>
      <c r="C27" s="12">
        <v>7</v>
      </c>
      <c r="D27" s="8">
        <v>5.69</v>
      </c>
      <c r="E27" s="12">
        <v>5</v>
      </c>
      <c r="F27" s="8">
        <v>6.33</v>
      </c>
      <c r="G27" s="12">
        <v>2</v>
      </c>
      <c r="H27" s="8">
        <v>5</v>
      </c>
      <c r="I27" s="12">
        <v>0</v>
      </c>
    </row>
    <row r="28" spans="2:9" ht="15" customHeight="1" x14ac:dyDescent="0.2">
      <c r="B28" t="s">
        <v>221</v>
      </c>
      <c r="C28" s="12">
        <v>7</v>
      </c>
      <c r="D28" s="8">
        <v>5.69</v>
      </c>
      <c r="E28" s="12">
        <v>4</v>
      </c>
      <c r="F28" s="8">
        <v>5.0599999999999996</v>
      </c>
      <c r="G28" s="12">
        <v>2</v>
      </c>
      <c r="H28" s="8">
        <v>5</v>
      </c>
      <c r="I28" s="12">
        <v>1</v>
      </c>
    </row>
    <row r="29" spans="2:9" ht="15" customHeight="1" x14ac:dyDescent="0.2">
      <c r="B29" t="s">
        <v>213</v>
      </c>
      <c r="C29" s="12">
        <v>5</v>
      </c>
      <c r="D29" s="8">
        <v>4.07</v>
      </c>
      <c r="E29" s="12">
        <v>1</v>
      </c>
      <c r="F29" s="8">
        <v>1.27</v>
      </c>
      <c r="G29" s="12">
        <v>4</v>
      </c>
      <c r="H29" s="8">
        <v>10</v>
      </c>
      <c r="I29" s="12">
        <v>0</v>
      </c>
    </row>
    <row r="30" spans="2:9" ht="15" customHeight="1" x14ac:dyDescent="0.2">
      <c r="B30" t="s">
        <v>241</v>
      </c>
      <c r="C30" s="12">
        <v>4</v>
      </c>
      <c r="D30" s="8">
        <v>3.25</v>
      </c>
      <c r="E30" s="12">
        <v>1</v>
      </c>
      <c r="F30" s="8">
        <v>1.27</v>
      </c>
      <c r="G30" s="12">
        <v>3</v>
      </c>
      <c r="H30" s="8">
        <v>7.5</v>
      </c>
      <c r="I30" s="12">
        <v>0</v>
      </c>
    </row>
    <row r="31" spans="2:9" ht="15" customHeight="1" x14ac:dyDescent="0.2">
      <c r="B31" t="s">
        <v>220</v>
      </c>
      <c r="C31" s="12">
        <v>4</v>
      </c>
      <c r="D31" s="8">
        <v>3.25</v>
      </c>
      <c r="E31" s="12">
        <v>2</v>
      </c>
      <c r="F31" s="8">
        <v>2.5299999999999998</v>
      </c>
      <c r="G31" s="12">
        <v>2</v>
      </c>
      <c r="H31" s="8">
        <v>5</v>
      </c>
      <c r="I31" s="12">
        <v>0</v>
      </c>
    </row>
    <row r="32" spans="2:9" ht="15" customHeight="1" x14ac:dyDescent="0.2">
      <c r="B32" t="s">
        <v>222</v>
      </c>
      <c r="C32" s="12">
        <v>4</v>
      </c>
      <c r="D32" s="8">
        <v>3.25</v>
      </c>
      <c r="E32" s="12">
        <v>4</v>
      </c>
      <c r="F32" s="8">
        <v>5.0599999999999996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240</v>
      </c>
      <c r="C33" s="12">
        <v>4</v>
      </c>
      <c r="D33" s="8">
        <v>3.25</v>
      </c>
      <c r="E33" s="12">
        <v>4</v>
      </c>
      <c r="F33" s="8">
        <v>5.0599999999999996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257</v>
      </c>
      <c r="C34" s="12">
        <v>3</v>
      </c>
      <c r="D34" s="8">
        <v>2.44</v>
      </c>
      <c r="E34" s="12">
        <v>2</v>
      </c>
      <c r="F34" s="8">
        <v>2.5299999999999998</v>
      </c>
      <c r="G34" s="12">
        <v>1</v>
      </c>
      <c r="H34" s="8">
        <v>2.5</v>
      </c>
      <c r="I34" s="12">
        <v>0</v>
      </c>
    </row>
    <row r="35" spans="2:9" ht="15" customHeight="1" x14ac:dyDescent="0.2">
      <c r="B35" t="s">
        <v>226</v>
      </c>
      <c r="C35" s="12">
        <v>3</v>
      </c>
      <c r="D35" s="8">
        <v>2.44</v>
      </c>
      <c r="E35" s="12">
        <v>1</v>
      </c>
      <c r="F35" s="8">
        <v>1.27</v>
      </c>
      <c r="G35" s="12">
        <v>2</v>
      </c>
      <c r="H35" s="8">
        <v>5</v>
      </c>
      <c r="I35" s="12">
        <v>0</v>
      </c>
    </row>
    <row r="36" spans="2:9" ht="15" customHeight="1" x14ac:dyDescent="0.2">
      <c r="B36" t="s">
        <v>242</v>
      </c>
      <c r="C36" s="12">
        <v>3</v>
      </c>
      <c r="D36" s="8">
        <v>2.44</v>
      </c>
      <c r="E36" s="12">
        <v>2</v>
      </c>
      <c r="F36" s="8">
        <v>2.5299999999999998</v>
      </c>
      <c r="G36" s="12">
        <v>1</v>
      </c>
      <c r="H36" s="8">
        <v>2.5</v>
      </c>
      <c r="I36" s="12">
        <v>0</v>
      </c>
    </row>
    <row r="37" spans="2:9" ht="15" customHeight="1" x14ac:dyDescent="0.2">
      <c r="B37" t="s">
        <v>216</v>
      </c>
      <c r="C37" s="12">
        <v>2</v>
      </c>
      <c r="D37" s="8">
        <v>1.63</v>
      </c>
      <c r="E37" s="12">
        <v>0</v>
      </c>
      <c r="F37" s="8">
        <v>0</v>
      </c>
      <c r="G37" s="12">
        <v>2</v>
      </c>
      <c r="H37" s="8">
        <v>5</v>
      </c>
      <c r="I37" s="12">
        <v>0</v>
      </c>
    </row>
    <row r="38" spans="2:9" ht="15" customHeight="1" x14ac:dyDescent="0.2">
      <c r="B38" t="s">
        <v>243</v>
      </c>
      <c r="C38" s="12">
        <v>2</v>
      </c>
      <c r="D38" s="8">
        <v>1.63</v>
      </c>
      <c r="E38" s="12">
        <v>2</v>
      </c>
      <c r="F38" s="8">
        <v>2.5299999999999998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239</v>
      </c>
      <c r="C39" s="12">
        <v>2</v>
      </c>
      <c r="D39" s="8">
        <v>1.63</v>
      </c>
      <c r="E39" s="12">
        <v>0</v>
      </c>
      <c r="F39" s="8">
        <v>0</v>
      </c>
      <c r="G39" s="12">
        <v>1</v>
      </c>
      <c r="H39" s="8">
        <v>2.5</v>
      </c>
      <c r="I39" s="12">
        <v>0</v>
      </c>
    </row>
    <row r="40" spans="2:9" ht="15" customHeight="1" x14ac:dyDescent="0.2">
      <c r="B40" t="s">
        <v>247</v>
      </c>
      <c r="C40" s="12">
        <v>2</v>
      </c>
      <c r="D40" s="8">
        <v>1.63</v>
      </c>
      <c r="E40" s="12">
        <v>0</v>
      </c>
      <c r="F40" s="8">
        <v>0</v>
      </c>
      <c r="G40" s="12">
        <v>2</v>
      </c>
      <c r="H40" s="8">
        <v>5</v>
      </c>
      <c r="I40" s="12">
        <v>0</v>
      </c>
    </row>
    <row r="41" spans="2:9" ht="15" customHeight="1" x14ac:dyDescent="0.2">
      <c r="B41" t="s">
        <v>230</v>
      </c>
      <c r="C41" s="12">
        <v>2</v>
      </c>
      <c r="D41" s="8">
        <v>1.63</v>
      </c>
      <c r="E41" s="12">
        <v>0</v>
      </c>
      <c r="F41" s="8">
        <v>0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231</v>
      </c>
      <c r="C42" s="12">
        <v>2</v>
      </c>
      <c r="D42" s="8">
        <v>1.63</v>
      </c>
      <c r="E42" s="12">
        <v>2</v>
      </c>
      <c r="F42" s="8">
        <v>2.5299999999999998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215</v>
      </c>
      <c r="C43" s="12">
        <v>1</v>
      </c>
      <c r="D43" s="8">
        <v>0.81</v>
      </c>
      <c r="E43" s="12">
        <v>0</v>
      </c>
      <c r="F43" s="8">
        <v>0</v>
      </c>
      <c r="G43" s="12">
        <v>1</v>
      </c>
      <c r="H43" s="8">
        <v>2.5</v>
      </c>
      <c r="I43" s="12">
        <v>0</v>
      </c>
    </row>
    <row r="44" spans="2:9" ht="15" customHeight="1" x14ac:dyDescent="0.2">
      <c r="B44" t="s">
        <v>258</v>
      </c>
      <c r="C44" s="12">
        <v>1</v>
      </c>
      <c r="D44" s="8">
        <v>0.81</v>
      </c>
      <c r="E44" s="12">
        <v>1</v>
      </c>
      <c r="F44" s="8">
        <v>1.27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252</v>
      </c>
      <c r="C45" s="12">
        <v>1</v>
      </c>
      <c r="D45" s="8">
        <v>0.81</v>
      </c>
      <c r="E45" s="12">
        <v>0</v>
      </c>
      <c r="F45" s="8">
        <v>0</v>
      </c>
      <c r="G45" s="12">
        <v>1</v>
      </c>
      <c r="H45" s="8">
        <v>2.5</v>
      </c>
      <c r="I45" s="12">
        <v>0</v>
      </c>
    </row>
    <row r="46" spans="2:9" ht="15" customHeight="1" x14ac:dyDescent="0.2">
      <c r="B46" t="s">
        <v>253</v>
      </c>
      <c r="C46" s="12">
        <v>1</v>
      </c>
      <c r="D46" s="8">
        <v>0.81</v>
      </c>
      <c r="E46" s="12">
        <v>1</v>
      </c>
      <c r="F46" s="8">
        <v>1.27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267</v>
      </c>
      <c r="C47" s="12">
        <v>1</v>
      </c>
      <c r="D47" s="8">
        <v>0.81</v>
      </c>
      <c r="E47" s="12">
        <v>0</v>
      </c>
      <c r="F47" s="8">
        <v>0</v>
      </c>
      <c r="G47" s="12">
        <v>1</v>
      </c>
      <c r="H47" s="8">
        <v>2.5</v>
      </c>
      <c r="I47" s="12">
        <v>0</v>
      </c>
    </row>
    <row r="48" spans="2:9" ht="15" customHeight="1" x14ac:dyDescent="0.2">
      <c r="B48" t="s">
        <v>245</v>
      </c>
      <c r="C48" s="12">
        <v>1</v>
      </c>
      <c r="D48" s="8">
        <v>0.81</v>
      </c>
      <c r="E48" s="12">
        <v>0</v>
      </c>
      <c r="F48" s="8">
        <v>0</v>
      </c>
      <c r="G48" s="12">
        <v>1</v>
      </c>
      <c r="H48" s="8">
        <v>2.5</v>
      </c>
      <c r="I48" s="12">
        <v>0</v>
      </c>
    </row>
    <row r="49" spans="2:9" ht="15" customHeight="1" x14ac:dyDescent="0.2">
      <c r="B49" t="s">
        <v>284</v>
      </c>
      <c r="C49" s="12">
        <v>1</v>
      </c>
      <c r="D49" s="8">
        <v>0.81</v>
      </c>
      <c r="E49" s="12">
        <v>0</v>
      </c>
      <c r="F49" s="8">
        <v>0</v>
      </c>
      <c r="G49" s="12">
        <v>1</v>
      </c>
      <c r="H49" s="8">
        <v>2.5</v>
      </c>
      <c r="I49" s="12">
        <v>0</v>
      </c>
    </row>
    <row r="50" spans="2:9" ht="15" customHeight="1" x14ac:dyDescent="0.2">
      <c r="B50" t="s">
        <v>268</v>
      </c>
      <c r="C50" s="12">
        <v>1</v>
      </c>
      <c r="D50" s="8">
        <v>0.81</v>
      </c>
      <c r="E50" s="12">
        <v>1</v>
      </c>
      <c r="F50" s="8">
        <v>1.27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260</v>
      </c>
      <c r="C51" s="12">
        <v>1</v>
      </c>
      <c r="D51" s="8">
        <v>0.81</v>
      </c>
      <c r="E51" s="12">
        <v>0</v>
      </c>
      <c r="F51" s="8">
        <v>0</v>
      </c>
      <c r="G51" s="12">
        <v>1</v>
      </c>
      <c r="H51" s="8">
        <v>2.5</v>
      </c>
      <c r="I51" s="12">
        <v>0</v>
      </c>
    </row>
    <row r="52" spans="2:9" ht="15" customHeight="1" x14ac:dyDescent="0.2">
      <c r="B52" t="s">
        <v>261</v>
      </c>
      <c r="C52" s="12">
        <v>1</v>
      </c>
      <c r="D52" s="8">
        <v>0.81</v>
      </c>
      <c r="E52" s="12">
        <v>0</v>
      </c>
      <c r="F52" s="8">
        <v>0</v>
      </c>
      <c r="G52" s="12">
        <v>1</v>
      </c>
      <c r="H52" s="8">
        <v>2.5</v>
      </c>
      <c r="I52" s="12">
        <v>0</v>
      </c>
    </row>
    <row r="53" spans="2:9" ht="15" customHeight="1" x14ac:dyDescent="0.2">
      <c r="B53" t="s">
        <v>217</v>
      </c>
      <c r="C53" s="12">
        <v>1</v>
      </c>
      <c r="D53" s="8">
        <v>0.81</v>
      </c>
      <c r="E53" s="12">
        <v>0</v>
      </c>
      <c r="F53" s="8">
        <v>0</v>
      </c>
      <c r="G53" s="12">
        <v>1</v>
      </c>
      <c r="H53" s="8">
        <v>2.5</v>
      </c>
      <c r="I53" s="12">
        <v>0</v>
      </c>
    </row>
    <row r="54" spans="2:9" ht="15" customHeight="1" x14ac:dyDescent="0.2">
      <c r="B54" t="s">
        <v>218</v>
      </c>
      <c r="C54" s="12">
        <v>1</v>
      </c>
      <c r="D54" s="8">
        <v>0.81</v>
      </c>
      <c r="E54" s="12">
        <v>1</v>
      </c>
      <c r="F54" s="8">
        <v>1.27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236</v>
      </c>
      <c r="C55" s="12">
        <v>1</v>
      </c>
      <c r="D55" s="8">
        <v>0.81</v>
      </c>
      <c r="E55" s="12">
        <v>0</v>
      </c>
      <c r="F55" s="8">
        <v>0</v>
      </c>
      <c r="G55" s="12">
        <v>1</v>
      </c>
      <c r="H55" s="8">
        <v>2.5</v>
      </c>
      <c r="I55" s="12">
        <v>0</v>
      </c>
    </row>
    <row r="56" spans="2:9" ht="15" customHeight="1" x14ac:dyDescent="0.2">
      <c r="B56" t="s">
        <v>224</v>
      </c>
      <c r="C56" s="12">
        <v>1</v>
      </c>
      <c r="D56" s="8">
        <v>0.81</v>
      </c>
      <c r="E56" s="12">
        <v>0</v>
      </c>
      <c r="F56" s="8">
        <v>0</v>
      </c>
      <c r="G56" s="12">
        <v>1</v>
      </c>
      <c r="H56" s="8">
        <v>2.5</v>
      </c>
      <c r="I56" s="12">
        <v>0</v>
      </c>
    </row>
    <row r="57" spans="2:9" ht="15" customHeight="1" x14ac:dyDescent="0.2">
      <c r="B57" t="s">
        <v>246</v>
      </c>
      <c r="C57" s="12">
        <v>1</v>
      </c>
      <c r="D57" s="8">
        <v>0.81</v>
      </c>
      <c r="E57" s="12">
        <v>0</v>
      </c>
      <c r="F57" s="8">
        <v>0</v>
      </c>
      <c r="G57" s="12">
        <v>1</v>
      </c>
      <c r="H57" s="8">
        <v>2.5</v>
      </c>
      <c r="I57" s="12">
        <v>0</v>
      </c>
    </row>
    <row r="58" spans="2:9" ht="15" customHeight="1" x14ac:dyDescent="0.2">
      <c r="B58" t="s">
        <v>229</v>
      </c>
      <c r="C58" s="12">
        <v>1</v>
      </c>
      <c r="D58" s="8">
        <v>0.81</v>
      </c>
      <c r="E58" s="12">
        <v>1</v>
      </c>
      <c r="F58" s="8">
        <v>1.27</v>
      </c>
      <c r="G58" s="12">
        <v>0</v>
      </c>
      <c r="H58" s="8">
        <v>0</v>
      </c>
      <c r="I58" s="12">
        <v>0</v>
      </c>
    </row>
    <row r="61" spans="2:9" ht="33" customHeight="1" x14ac:dyDescent="0.2">
      <c r="B61" t="s">
        <v>531</v>
      </c>
      <c r="C61" s="10" t="s">
        <v>206</v>
      </c>
      <c r="D61" s="10" t="s">
        <v>207</v>
      </c>
      <c r="E61" s="10" t="s">
        <v>208</v>
      </c>
      <c r="F61" s="10" t="s">
        <v>209</v>
      </c>
      <c r="G61" s="10" t="s">
        <v>210</v>
      </c>
      <c r="H61" s="10" t="s">
        <v>211</v>
      </c>
      <c r="I61" s="10" t="s">
        <v>212</v>
      </c>
    </row>
    <row r="62" spans="2:9" ht="15" customHeight="1" x14ac:dyDescent="0.2">
      <c r="B62" t="s">
        <v>301</v>
      </c>
      <c r="C62" s="12">
        <v>10</v>
      </c>
      <c r="D62" s="8">
        <v>8.1300000000000008</v>
      </c>
      <c r="E62" s="12">
        <v>10</v>
      </c>
      <c r="F62" s="8">
        <v>12.66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304</v>
      </c>
      <c r="C63" s="12">
        <v>9</v>
      </c>
      <c r="D63" s="8">
        <v>7.32</v>
      </c>
      <c r="E63" s="12">
        <v>9</v>
      </c>
      <c r="F63" s="8">
        <v>11.39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303</v>
      </c>
      <c r="C64" s="12">
        <v>6</v>
      </c>
      <c r="D64" s="8">
        <v>4.88</v>
      </c>
      <c r="E64" s="12">
        <v>6</v>
      </c>
      <c r="F64" s="8">
        <v>7.59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342</v>
      </c>
      <c r="C65" s="12">
        <v>4</v>
      </c>
      <c r="D65" s="8">
        <v>3.25</v>
      </c>
      <c r="E65" s="12">
        <v>1</v>
      </c>
      <c r="F65" s="8">
        <v>1.27</v>
      </c>
      <c r="G65" s="12">
        <v>3</v>
      </c>
      <c r="H65" s="8">
        <v>7.5</v>
      </c>
      <c r="I65" s="12">
        <v>0</v>
      </c>
    </row>
    <row r="66" spans="2:9" ht="15" customHeight="1" x14ac:dyDescent="0.2">
      <c r="B66" t="s">
        <v>330</v>
      </c>
      <c r="C66" s="12">
        <v>4</v>
      </c>
      <c r="D66" s="8">
        <v>3.25</v>
      </c>
      <c r="E66" s="12">
        <v>1</v>
      </c>
      <c r="F66" s="8">
        <v>1.27</v>
      </c>
      <c r="G66" s="12">
        <v>3</v>
      </c>
      <c r="H66" s="8">
        <v>7.5</v>
      </c>
      <c r="I66" s="12">
        <v>0</v>
      </c>
    </row>
    <row r="67" spans="2:9" ht="15" customHeight="1" x14ac:dyDescent="0.2">
      <c r="B67" t="s">
        <v>299</v>
      </c>
      <c r="C67" s="12">
        <v>4</v>
      </c>
      <c r="D67" s="8">
        <v>3.25</v>
      </c>
      <c r="E67" s="12">
        <v>3</v>
      </c>
      <c r="F67" s="8">
        <v>3.8</v>
      </c>
      <c r="G67" s="12">
        <v>1</v>
      </c>
      <c r="H67" s="8">
        <v>2.5</v>
      </c>
      <c r="I67" s="12">
        <v>0</v>
      </c>
    </row>
    <row r="68" spans="2:9" ht="15" customHeight="1" x14ac:dyDescent="0.2">
      <c r="B68" t="s">
        <v>300</v>
      </c>
      <c r="C68" s="12">
        <v>4</v>
      </c>
      <c r="D68" s="8">
        <v>3.25</v>
      </c>
      <c r="E68" s="12">
        <v>4</v>
      </c>
      <c r="F68" s="8">
        <v>5.0599999999999996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307</v>
      </c>
      <c r="C69" s="12">
        <v>4</v>
      </c>
      <c r="D69" s="8">
        <v>3.25</v>
      </c>
      <c r="E69" s="12">
        <v>4</v>
      </c>
      <c r="F69" s="8">
        <v>5.0599999999999996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357</v>
      </c>
      <c r="C70" s="12">
        <v>3</v>
      </c>
      <c r="D70" s="8">
        <v>2.44</v>
      </c>
      <c r="E70" s="12">
        <v>2</v>
      </c>
      <c r="F70" s="8">
        <v>2.5299999999999998</v>
      </c>
      <c r="G70" s="12">
        <v>1</v>
      </c>
      <c r="H70" s="8">
        <v>2.5</v>
      </c>
      <c r="I70" s="12">
        <v>0</v>
      </c>
    </row>
    <row r="71" spans="2:9" ht="15" customHeight="1" x14ac:dyDescent="0.2">
      <c r="B71" t="s">
        <v>294</v>
      </c>
      <c r="C71" s="12">
        <v>3</v>
      </c>
      <c r="D71" s="8">
        <v>2.44</v>
      </c>
      <c r="E71" s="12">
        <v>1</v>
      </c>
      <c r="F71" s="8">
        <v>1.27</v>
      </c>
      <c r="G71" s="12">
        <v>2</v>
      </c>
      <c r="H71" s="8">
        <v>5</v>
      </c>
      <c r="I71" s="12">
        <v>0</v>
      </c>
    </row>
    <row r="72" spans="2:9" ht="15" customHeight="1" x14ac:dyDescent="0.2">
      <c r="B72" t="s">
        <v>334</v>
      </c>
      <c r="C72" s="12">
        <v>3</v>
      </c>
      <c r="D72" s="8">
        <v>2.44</v>
      </c>
      <c r="E72" s="12">
        <v>3</v>
      </c>
      <c r="F72" s="8">
        <v>3.8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328</v>
      </c>
      <c r="C73" s="12">
        <v>2</v>
      </c>
      <c r="D73" s="8">
        <v>1.63</v>
      </c>
      <c r="E73" s="12">
        <v>1</v>
      </c>
      <c r="F73" s="8">
        <v>1.27</v>
      </c>
      <c r="G73" s="12">
        <v>1</v>
      </c>
      <c r="H73" s="8">
        <v>2.5</v>
      </c>
      <c r="I73" s="12">
        <v>0</v>
      </c>
    </row>
    <row r="74" spans="2:9" ht="15" customHeight="1" x14ac:dyDescent="0.2">
      <c r="B74" t="s">
        <v>353</v>
      </c>
      <c r="C74" s="12">
        <v>2</v>
      </c>
      <c r="D74" s="8">
        <v>1.63</v>
      </c>
      <c r="E74" s="12">
        <v>2</v>
      </c>
      <c r="F74" s="8">
        <v>2.5299999999999998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333</v>
      </c>
      <c r="C75" s="12">
        <v>2</v>
      </c>
      <c r="D75" s="8">
        <v>1.63</v>
      </c>
      <c r="E75" s="12">
        <v>1</v>
      </c>
      <c r="F75" s="8">
        <v>1.27</v>
      </c>
      <c r="G75" s="12">
        <v>1</v>
      </c>
      <c r="H75" s="8">
        <v>2.5</v>
      </c>
      <c r="I75" s="12">
        <v>0</v>
      </c>
    </row>
    <row r="76" spans="2:9" ht="15" customHeight="1" x14ac:dyDescent="0.2">
      <c r="B76" t="s">
        <v>324</v>
      </c>
      <c r="C76" s="12">
        <v>2</v>
      </c>
      <c r="D76" s="8">
        <v>1.63</v>
      </c>
      <c r="E76" s="12">
        <v>0</v>
      </c>
      <c r="F76" s="8">
        <v>0</v>
      </c>
      <c r="G76" s="12">
        <v>2</v>
      </c>
      <c r="H76" s="8">
        <v>5</v>
      </c>
      <c r="I76" s="12">
        <v>0</v>
      </c>
    </row>
    <row r="77" spans="2:9" ht="15" customHeight="1" x14ac:dyDescent="0.2">
      <c r="B77" t="s">
        <v>314</v>
      </c>
      <c r="C77" s="12">
        <v>2</v>
      </c>
      <c r="D77" s="8">
        <v>1.63</v>
      </c>
      <c r="E77" s="12">
        <v>0</v>
      </c>
      <c r="F77" s="8">
        <v>0</v>
      </c>
      <c r="G77" s="12">
        <v>2</v>
      </c>
      <c r="H77" s="8">
        <v>5</v>
      </c>
      <c r="I77" s="12">
        <v>0</v>
      </c>
    </row>
    <row r="78" spans="2:9" ht="15" customHeight="1" x14ac:dyDescent="0.2">
      <c r="B78" t="s">
        <v>336</v>
      </c>
      <c r="C78" s="12">
        <v>2</v>
      </c>
      <c r="D78" s="8">
        <v>1.63</v>
      </c>
      <c r="E78" s="12">
        <v>1</v>
      </c>
      <c r="F78" s="8">
        <v>1.27</v>
      </c>
      <c r="G78" s="12">
        <v>1</v>
      </c>
      <c r="H78" s="8">
        <v>2.5</v>
      </c>
      <c r="I78" s="12">
        <v>0</v>
      </c>
    </row>
    <row r="79" spans="2:9" ht="15" customHeight="1" x14ac:dyDescent="0.2">
      <c r="B79" t="s">
        <v>329</v>
      </c>
      <c r="C79" s="12">
        <v>2</v>
      </c>
      <c r="D79" s="8">
        <v>1.63</v>
      </c>
      <c r="E79" s="12">
        <v>1</v>
      </c>
      <c r="F79" s="8">
        <v>1.27</v>
      </c>
      <c r="G79" s="12">
        <v>1</v>
      </c>
      <c r="H79" s="8">
        <v>2.5</v>
      </c>
      <c r="I79" s="12">
        <v>0</v>
      </c>
    </row>
    <row r="80" spans="2:9" ht="15" customHeight="1" x14ac:dyDescent="0.2">
      <c r="B80" t="s">
        <v>293</v>
      </c>
      <c r="C80" s="12">
        <v>2</v>
      </c>
      <c r="D80" s="8">
        <v>1.63</v>
      </c>
      <c r="E80" s="12">
        <v>2</v>
      </c>
      <c r="F80" s="8">
        <v>2.5299999999999998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335</v>
      </c>
      <c r="C81" s="12">
        <v>2</v>
      </c>
      <c r="D81" s="8">
        <v>1.63</v>
      </c>
      <c r="E81" s="12">
        <v>2</v>
      </c>
      <c r="F81" s="8">
        <v>2.5299999999999998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337</v>
      </c>
      <c r="C82" s="12">
        <v>2</v>
      </c>
      <c r="D82" s="8">
        <v>1.63</v>
      </c>
      <c r="E82" s="12">
        <v>1</v>
      </c>
      <c r="F82" s="8">
        <v>1.27</v>
      </c>
      <c r="G82" s="12">
        <v>1</v>
      </c>
      <c r="H82" s="8">
        <v>2.5</v>
      </c>
      <c r="I82" s="12">
        <v>0</v>
      </c>
    </row>
    <row r="83" spans="2:9" ht="15" customHeight="1" x14ac:dyDescent="0.2">
      <c r="B83" t="s">
        <v>339</v>
      </c>
      <c r="C83" s="12">
        <v>2</v>
      </c>
      <c r="D83" s="8">
        <v>1.63</v>
      </c>
      <c r="E83" s="12">
        <v>2</v>
      </c>
      <c r="F83" s="8">
        <v>2.5299999999999998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419</v>
      </c>
      <c r="C84" s="12">
        <v>2</v>
      </c>
      <c r="D84" s="8">
        <v>1.63</v>
      </c>
      <c r="E84" s="12">
        <v>2</v>
      </c>
      <c r="F84" s="8">
        <v>2.5299999999999998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325</v>
      </c>
      <c r="C85" s="12">
        <v>2</v>
      </c>
      <c r="D85" s="8">
        <v>1.63</v>
      </c>
      <c r="E85" s="12">
        <v>0</v>
      </c>
      <c r="F85" s="8">
        <v>0</v>
      </c>
      <c r="G85" s="12">
        <v>1</v>
      </c>
      <c r="H85" s="8">
        <v>2.5</v>
      </c>
      <c r="I85" s="12">
        <v>0</v>
      </c>
    </row>
    <row r="86" spans="2:9" ht="15" customHeight="1" x14ac:dyDescent="0.2">
      <c r="B86" t="s">
        <v>306</v>
      </c>
      <c r="C86" s="12">
        <v>2</v>
      </c>
      <c r="D86" s="8">
        <v>1.63</v>
      </c>
      <c r="E86" s="12">
        <v>2</v>
      </c>
      <c r="F86" s="8">
        <v>2.5299999999999998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371</v>
      </c>
      <c r="C87" s="12">
        <v>2</v>
      </c>
      <c r="D87" s="8">
        <v>1.63</v>
      </c>
      <c r="E87" s="12">
        <v>2</v>
      </c>
      <c r="F87" s="8">
        <v>2.5299999999999998</v>
      </c>
      <c r="G87" s="12">
        <v>0</v>
      </c>
      <c r="H87" s="8">
        <v>0</v>
      </c>
      <c r="I87" s="12">
        <v>0</v>
      </c>
    </row>
    <row r="89" spans="2:9" ht="15" customHeight="1" x14ac:dyDescent="0.2">
      <c r="B8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FD06F-2E32-491D-9C67-E99529D4310F}">
  <sheetPr>
    <pageSetUpPr fitToPage="1"/>
  </sheetPr>
  <dimension ref="B2:I8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26</v>
      </c>
      <c r="D6" s="8">
        <v>14.94</v>
      </c>
      <c r="E6" s="12">
        <v>3</v>
      </c>
      <c r="F6" s="8">
        <v>3.95</v>
      </c>
      <c r="G6" s="12">
        <v>23</v>
      </c>
      <c r="H6" s="8">
        <v>25.27</v>
      </c>
      <c r="I6" s="12">
        <v>0</v>
      </c>
    </row>
    <row r="7" spans="2:9" ht="15" customHeight="1" x14ac:dyDescent="0.2">
      <c r="B7" t="s">
        <v>192</v>
      </c>
      <c r="C7" s="12">
        <v>12</v>
      </c>
      <c r="D7" s="8">
        <v>6.9</v>
      </c>
      <c r="E7" s="12">
        <v>3</v>
      </c>
      <c r="F7" s="8">
        <v>3.95</v>
      </c>
      <c r="G7" s="12">
        <v>9</v>
      </c>
      <c r="H7" s="8">
        <v>9.89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1.72</v>
      </c>
      <c r="E8" s="12">
        <v>0</v>
      </c>
      <c r="F8" s="8">
        <v>0</v>
      </c>
      <c r="G8" s="12">
        <v>1</v>
      </c>
      <c r="H8" s="8">
        <v>1.1000000000000001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1.72</v>
      </c>
      <c r="E10" s="12">
        <v>1</v>
      </c>
      <c r="F10" s="8">
        <v>1.32</v>
      </c>
      <c r="G10" s="12">
        <v>2</v>
      </c>
      <c r="H10" s="8">
        <v>2.2000000000000002</v>
      </c>
      <c r="I10" s="12">
        <v>0</v>
      </c>
    </row>
    <row r="11" spans="2:9" ht="15" customHeight="1" x14ac:dyDescent="0.2">
      <c r="B11" t="s">
        <v>196</v>
      </c>
      <c r="C11" s="12">
        <v>45</v>
      </c>
      <c r="D11" s="8">
        <v>25.86</v>
      </c>
      <c r="E11" s="12">
        <v>15</v>
      </c>
      <c r="F11" s="8">
        <v>19.739999999999998</v>
      </c>
      <c r="G11" s="12">
        <v>30</v>
      </c>
      <c r="H11" s="8">
        <v>32.97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4</v>
      </c>
      <c r="D13" s="8">
        <v>2.2999999999999998</v>
      </c>
      <c r="E13" s="12">
        <v>0</v>
      </c>
      <c r="F13" s="8">
        <v>0</v>
      </c>
      <c r="G13" s="12">
        <v>4</v>
      </c>
      <c r="H13" s="8">
        <v>4.4000000000000004</v>
      </c>
      <c r="I13" s="12">
        <v>0</v>
      </c>
    </row>
    <row r="14" spans="2:9" ht="15" customHeight="1" x14ac:dyDescent="0.2">
      <c r="B14" t="s">
        <v>199</v>
      </c>
      <c r="C14" s="12">
        <v>10</v>
      </c>
      <c r="D14" s="8">
        <v>5.75</v>
      </c>
      <c r="E14" s="12">
        <v>5</v>
      </c>
      <c r="F14" s="8">
        <v>6.58</v>
      </c>
      <c r="G14" s="12">
        <v>4</v>
      </c>
      <c r="H14" s="8">
        <v>4.4000000000000004</v>
      </c>
      <c r="I14" s="12">
        <v>1</v>
      </c>
    </row>
    <row r="15" spans="2:9" ht="15" customHeight="1" x14ac:dyDescent="0.2">
      <c r="B15" t="s">
        <v>200</v>
      </c>
      <c r="C15" s="12">
        <v>30</v>
      </c>
      <c r="D15" s="8">
        <v>17.239999999999998</v>
      </c>
      <c r="E15" s="12">
        <v>20</v>
      </c>
      <c r="F15" s="8">
        <v>26.32</v>
      </c>
      <c r="G15" s="12">
        <v>7</v>
      </c>
      <c r="H15" s="8">
        <v>7.69</v>
      </c>
      <c r="I15" s="12">
        <v>0</v>
      </c>
    </row>
    <row r="16" spans="2:9" ht="15" customHeight="1" x14ac:dyDescent="0.2">
      <c r="B16" t="s">
        <v>201</v>
      </c>
      <c r="C16" s="12">
        <v>19</v>
      </c>
      <c r="D16" s="8">
        <v>10.92</v>
      </c>
      <c r="E16" s="12">
        <v>17</v>
      </c>
      <c r="F16" s="8">
        <v>22.37</v>
      </c>
      <c r="G16" s="12">
        <v>2</v>
      </c>
      <c r="H16" s="8">
        <v>2.2000000000000002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2.87</v>
      </c>
      <c r="E17" s="12">
        <v>5</v>
      </c>
      <c r="F17" s="8">
        <v>6.58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2.87</v>
      </c>
      <c r="E18" s="12">
        <v>4</v>
      </c>
      <c r="F18" s="8">
        <v>5.26</v>
      </c>
      <c r="G18" s="12">
        <v>1</v>
      </c>
      <c r="H18" s="8">
        <v>1.1000000000000001</v>
      </c>
      <c r="I18" s="12">
        <v>0</v>
      </c>
    </row>
    <row r="19" spans="2:9" ht="15" customHeight="1" x14ac:dyDescent="0.2">
      <c r="B19" t="s">
        <v>204</v>
      </c>
      <c r="C19" s="12">
        <v>12</v>
      </c>
      <c r="D19" s="8">
        <v>6.9</v>
      </c>
      <c r="E19" s="12">
        <v>3</v>
      </c>
      <c r="F19" s="8">
        <v>3.95</v>
      </c>
      <c r="G19" s="12">
        <v>8</v>
      </c>
      <c r="H19" s="8">
        <v>8.7899999999999991</v>
      </c>
      <c r="I19" s="12">
        <v>1</v>
      </c>
    </row>
    <row r="20" spans="2:9" ht="15" customHeight="1" x14ac:dyDescent="0.2">
      <c r="B20" s="9" t="s">
        <v>529</v>
      </c>
      <c r="C20" s="12">
        <f>SUM(LTBL_01564[総数／事業所数])</f>
        <v>174</v>
      </c>
      <c r="E20" s="12">
        <f>SUBTOTAL(109,LTBL_01564[個人／事業所数])</f>
        <v>76</v>
      </c>
      <c r="G20" s="12">
        <f>SUBTOTAL(109,LTBL_01564[法人／事業所数])</f>
        <v>91</v>
      </c>
      <c r="I20" s="12">
        <f>SUBTOTAL(109,LTBL_01564[法人以外の団体／事業所数])</f>
        <v>2</v>
      </c>
    </row>
    <row r="21" spans="2:9" ht="15" customHeight="1" x14ac:dyDescent="0.2">
      <c r="E21" s="11">
        <f>LTBL_01564[[#Totals],[個人／事業所数]]/LTBL_01564[[#Totals],[総数／事業所数]]</f>
        <v>0.43678160919540232</v>
      </c>
      <c r="G21" s="11">
        <f>LTBL_01564[[#Totals],[法人／事業所数]]/LTBL_01564[[#Totals],[総数／事業所数]]</f>
        <v>0.52298850574712641</v>
      </c>
      <c r="I21" s="11">
        <f>LTBL_01564[[#Totals],[法人以外の団体／事業所数]]/LTBL_01564[[#Totals],[総数／事業所数]]</f>
        <v>1.1494252873563218E-2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23</v>
      </c>
      <c r="D24" s="8">
        <v>13.22</v>
      </c>
      <c r="E24" s="12">
        <v>17</v>
      </c>
      <c r="F24" s="8">
        <v>22.37</v>
      </c>
      <c r="G24" s="12">
        <v>6</v>
      </c>
      <c r="H24" s="8">
        <v>6.59</v>
      </c>
      <c r="I24" s="12">
        <v>0</v>
      </c>
    </row>
    <row r="25" spans="2:9" ht="15" customHeight="1" x14ac:dyDescent="0.2">
      <c r="B25" t="s">
        <v>228</v>
      </c>
      <c r="C25" s="12">
        <v>18</v>
      </c>
      <c r="D25" s="8">
        <v>10.34</v>
      </c>
      <c r="E25" s="12">
        <v>16</v>
      </c>
      <c r="F25" s="8">
        <v>21.05</v>
      </c>
      <c r="G25" s="12">
        <v>2</v>
      </c>
      <c r="H25" s="8">
        <v>2.2000000000000002</v>
      </c>
      <c r="I25" s="12">
        <v>0</v>
      </c>
    </row>
    <row r="26" spans="2:9" ht="15" customHeight="1" x14ac:dyDescent="0.2">
      <c r="B26" t="s">
        <v>213</v>
      </c>
      <c r="C26" s="12">
        <v>16</v>
      </c>
      <c r="D26" s="8">
        <v>9.1999999999999993</v>
      </c>
      <c r="E26" s="12">
        <v>0</v>
      </c>
      <c r="F26" s="8">
        <v>0</v>
      </c>
      <c r="G26" s="12">
        <v>16</v>
      </c>
      <c r="H26" s="8">
        <v>17.579999999999998</v>
      </c>
      <c r="I26" s="12">
        <v>0</v>
      </c>
    </row>
    <row r="27" spans="2:9" ht="15" customHeight="1" x14ac:dyDescent="0.2">
      <c r="B27" t="s">
        <v>223</v>
      </c>
      <c r="C27" s="12">
        <v>14</v>
      </c>
      <c r="D27" s="8">
        <v>8.0500000000000007</v>
      </c>
      <c r="E27" s="12">
        <v>5</v>
      </c>
      <c r="F27" s="8">
        <v>6.58</v>
      </c>
      <c r="G27" s="12">
        <v>9</v>
      </c>
      <c r="H27" s="8">
        <v>9.89</v>
      </c>
      <c r="I27" s="12">
        <v>0</v>
      </c>
    </row>
    <row r="28" spans="2:9" ht="15" customHeight="1" x14ac:dyDescent="0.2">
      <c r="B28" t="s">
        <v>221</v>
      </c>
      <c r="C28" s="12">
        <v>11</v>
      </c>
      <c r="D28" s="8">
        <v>6.32</v>
      </c>
      <c r="E28" s="12">
        <v>8</v>
      </c>
      <c r="F28" s="8">
        <v>10.53</v>
      </c>
      <c r="G28" s="12">
        <v>3</v>
      </c>
      <c r="H28" s="8">
        <v>3.3</v>
      </c>
      <c r="I28" s="12">
        <v>0</v>
      </c>
    </row>
    <row r="29" spans="2:9" ht="15" customHeight="1" x14ac:dyDescent="0.2">
      <c r="B29" t="s">
        <v>226</v>
      </c>
      <c r="C29" s="12">
        <v>7</v>
      </c>
      <c r="D29" s="8">
        <v>4.0199999999999996</v>
      </c>
      <c r="E29" s="12">
        <v>2</v>
      </c>
      <c r="F29" s="8">
        <v>2.63</v>
      </c>
      <c r="G29" s="12">
        <v>4</v>
      </c>
      <c r="H29" s="8">
        <v>4.4000000000000004</v>
      </c>
      <c r="I29" s="12">
        <v>1</v>
      </c>
    </row>
    <row r="30" spans="2:9" ht="15" customHeight="1" x14ac:dyDescent="0.2">
      <c r="B30" t="s">
        <v>214</v>
      </c>
      <c r="C30" s="12">
        <v>6</v>
      </c>
      <c r="D30" s="8">
        <v>3.45</v>
      </c>
      <c r="E30" s="12">
        <v>1</v>
      </c>
      <c r="F30" s="8">
        <v>1.32</v>
      </c>
      <c r="G30" s="12">
        <v>5</v>
      </c>
      <c r="H30" s="8">
        <v>5.49</v>
      </c>
      <c r="I30" s="12">
        <v>0</v>
      </c>
    </row>
    <row r="31" spans="2:9" ht="15" customHeight="1" x14ac:dyDescent="0.2">
      <c r="B31" t="s">
        <v>234</v>
      </c>
      <c r="C31" s="12">
        <v>6</v>
      </c>
      <c r="D31" s="8">
        <v>3.45</v>
      </c>
      <c r="E31" s="12">
        <v>0</v>
      </c>
      <c r="F31" s="8">
        <v>0</v>
      </c>
      <c r="G31" s="12">
        <v>5</v>
      </c>
      <c r="H31" s="8">
        <v>5.49</v>
      </c>
      <c r="I31" s="12">
        <v>1</v>
      </c>
    </row>
    <row r="32" spans="2:9" ht="15" customHeight="1" x14ac:dyDescent="0.2">
      <c r="B32" t="s">
        <v>241</v>
      </c>
      <c r="C32" s="12">
        <v>5</v>
      </c>
      <c r="D32" s="8">
        <v>2.87</v>
      </c>
      <c r="E32" s="12">
        <v>1</v>
      </c>
      <c r="F32" s="8">
        <v>1.32</v>
      </c>
      <c r="G32" s="12">
        <v>4</v>
      </c>
      <c r="H32" s="8">
        <v>4.4000000000000004</v>
      </c>
      <c r="I32" s="12">
        <v>0</v>
      </c>
    </row>
    <row r="33" spans="2:9" ht="15" customHeight="1" x14ac:dyDescent="0.2">
      <c r="B33" t="s">
        <v>222</v>
      </c>
      <c r="C33" s="12">
        <v>5</v>
      </c>
      <c r="D33" s="8">
        <v>2.87</v>
      </c>
      <c r="E33" s="12">
        <v>0</v>
      </c>
      <c r="F33" s="8">
        <v>0</v>
      </c>
      <c r="G33" s="12">
        <v>5</v>
      </c>
      <c r="H33" s="8">
        <v>5.49</v>
      </c>
      <c r="I33" s="12">
        <v>0</v>
      </c>
    </row>
    <row r="34" spans="2:9" ht="15" customHeight="1" x14ac:dyDescent="0.2">
      <c r="B34" t="s">
        <v>230</v>
      </c>
      <c r="C34" s="12">
        <v>5</v>
      </c>
      <c r="D34" s="8">
        <v>2.87</v>
      </c>
      <c r="E34" s="12">
        <v>5</v>
      </c>
      <c r="F34" s="8">
        <v>6.58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240</v>
      </c>
      <c r="C35" s="12">
        <v>5</v>
      </c>
      <c r="D35" s="8">
        <v>2.87</v>
      </c>
      <c r="E35" s="12">
        <v>2</v>
      </c>
      <c r="F35" s="8">
        <v>2.63</v>
      </c>
      <c r="G35" s="12">
        <v>3</v>
      </c>
      <c r="H35" s="8">
        <v>3.3</v>
      </c>
      <c r="I35" s="12">
        <v>0</v>
      </c>
    </row>
    <row r="36" spans="2:9" ht="15" customHeight="1" x14ac:dyDescent="0.2">
      <c r="B36" t="s">
        <v>215</v>
      </c>
      <c r="C36" s="12">
        <v>4</v>
      </c>
      <c r="D36" s="8">
        <v>2.2999999999999998</v>
      </c>
      <c r="E36" s="12">
        <v>2</v>
      </c>
      <c r="F36" s="8">
        <v>2.63</v>
      </c>
      <c r="G36" s="12">
        <v>2</v>
      </c>
      <c r="H36" s="8">
        <v>2.2000000000000002</v>
      </c>
      <c r="I36" s="12">
        <v>0</v>
      </c>
    </row>
    <row r="37" spans="2:9" ht="15" customHeight="1" x14ac:dyDescent="0.2">
      <c r="B37" t="s">
        <v>216</v>
      </c>
      <c r="C37" s="12">
        <v>4</v>
      </c>
      <c r="D37" s="8">
        <v>2.2999999999999998</v>
      </c>
      <c r="E37" s="12">
        <v>0</v>
      </c>
      <c r="F37" s="8">
        <v>0</v>
      </c>
      <c r="G37" s="12">
        <v>4</v>
      </c>
      <c r="H37" s="8">
        <v>4.4000000000000004</v>
      </c>
      <c r="I37" s="12">
        <v>0</v>
      </c>
    </row>
    <row r="38" spans="2:9" ht="15" customHeight="1" x14ac:dyDescent="0.2">
      <c r="B38" t="s">
        <v>217</v>
      </c>
      <c r="C38" s="12">
        <v>4</v>
      </c>
      <c r="D38" s="8">
        <v>2.2999999999999998</v>
      </c>
      <c r="E38" s="12">
        <v>0</v>
      </c>
      <c r="F38" s="8">
        <v>0</v>
      </c>
      <c r="G38" s="12">
        <v>4</v>
      </c>
      <c r="H38" s="8">
        <v>4.4000000000000004</v>
      </c>
      <c r="I38" s="12">
        <v>0</v>
      </c>
    </row>
    <row r="39" spans="2:9" ht="15" customHeight="1" x14ac:dyDescent="0.2">
      <c r="B39" t="s">
        <v>220</v>
      </c>
      <c r="C39" s="12">
        <v>4</v>
      </c>
      <c r="D39" s="8">
        <v>2.2999999999999998</v>
      </c>
      <c r="E39" s="12">
        <v>1</v>
      </c>
      <c r="F39" s="8">
        <v>1.32</v>
      </c>
      <c r="G39" s="12">
        <v>3</v>
      </c>
      <c r="H39" s="8">
        <v>3.3</v>
      </c>
      <c r="I39" s="12">
        <v>0</v>
      </c>
    </row>
    <row r="40" spans="2:9" ht="15" customHeight="1" x14ac:dyDescent="0.2">
      <c r="B40" t="s">
        <v>243</v>
      </c>
      <c r="C40" s="12">
        <v>4</v>
      </c>
      <c r="D40" s="8">
        <v>2.2999999999999998</v>
      </c>
      <c r="E40" s="12">
        <v>3</v>
      </c>
      <c r="F40" s="8">
        <v>3.95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231</v>
      </c>
      <c r="C41" s="12">
        <v>4</v>
      </c>
      <c r="D41" s="8">
        <v>2.2999999999999998</v>
      </c>
      <c r="E41" s="12">
        <v>4</v>
      </c>
      <c r="F41" s="8">
        <v>5.26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225</v>
      </c>
      <c r="C42" s="12">
        <v>3</v>
      </c>
      <c r="D42" s="8">
        <v>1.72</v>
      </c>
      <c r="E42" s="12">
        <v>3</v>
      </c>
      <c r="F42" s="8">
        <v>3.95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239</v>
      </c>
      <c r="C43" s="12">
        <v>3</v>
      </c>
      <c r="D43" s="8">
        <v>1.72</v>
      </c>
      <c r="E43" s="12">
        <v>0</v>
      </c>
      <c r="F43" s="8">
        <v>0</v>
      </c>
      <c r="G43" s="12">
        <v>1</v>
      </c>
      <c r="H43" s="8">
        <v>1.1000000000000001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299</v>
      </c>
      <c r="C47" s="12">
        <v>9</v>
      </c>
      <c r="D47" s="8">
        <v>5.17</v>
      </c>
      <c r="E47" s="12">
        <v>6</v>
      </c>
      <c r="F47" s="8">
        <v>7.89</v>
      </c>
      <c r="G47" s="12">
        <v>3</v>
      </c>
      <c r="H47" s="8">
        <v>3.3</v>
      </c>
      <c r="I47" s="12">
        <v>0</v>
      </c>
    </row>
    <row r="48" spans="2:9" ht="15" customHeight="1" x14ac:dyDescent="0.2">
      <c r="B48" t="s">
        <v>303</v>
      </c>
      <c r="C48" s="12">
        <v>8</v>
      </c>
      <c r="D48" s="8">
        <v>4.5999999999999996</v>
      </c>
      <c r="E48" s="12">
        <v>8</v>
      </c>
      <c r="F48" s="8">
        <v>10.53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304</v>
      </c>
      <c r="C49" s="12">
        <v>8</v>
      </c>
      <c r="D49" s="8">
        <v>4.5999999999999996</v>
      </c>
      <c r="E49" s="12">
        <v>8</v>
      </c>
      <c r="F49" s="8">
        <v>10.53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288</v>
      </c>
      <c r="C50" s="12">
        <v>7</v>
      </c>
      <c r="D50" s="8">
        <v>4.0199999999999996</v>
      </c>
      <c r="E50" s="12">
        <v>0</v>
      </c>
      <c r="F50" s="8">
        <v>0</v>
      </c>
      <c r="G50" s="12">
        <v>7</v>
      </c>
      <c r="H50" s="8">
        <v>7.69</v>
      </c>
      <c r="I50" s="12">
        <v>0</v>
      </c>
    </row>
    <row r="51" spans="2:9" ht="15" customHeight="1" x14ac:dyDescent="0.2">
      <c r="B51" t="s">
        <v>289</v>
      </c>
      <c r="C51" s="12">
        <v>6</v>
      </c>
      <c r="D51" s="8">
        <v>3.45</v>
      </c>
      <c r="E51" s="12">
        <v>0</v>
      </c>
      <c r="F51" s="8">
        <v>0</v>
      </c>
      <c r="G51" s="12">
        <v>6</v>
      </c>
      <c r="H51" s="8">
        <v>6.59</v>
      </c>
      <c r="I51" s="12">
        <v>0</v>
      </c>
    </row>
    <row r="52" spans="2:9" ht="15" customHeight="1" x14ac:dyDescent="0.2">
      <c r="B52" t="s">
        <v>330</v>
      </c>
      <c r="C52" s="12">
        <v>6</v>
      </c>
      <c r="D52" s="8">
        <v>3.45</v>
      </c>
      <c r="E52" s="12">
        <v>0</v>
      </c>
      <c r="F52" s="8">
        <v>0</v>
      </c>
      <c r="G52" s="12">
        <v>6</v>
      </c>
      <c r="H52" s="8">
        <v>6.59</v>
      </c>
      <c r="I52" s="12">
        <v>0</v>
      </c>
    </row>
    <row r="53" spans="2:9" ht="15" customHeight="1" x14ac:dyDescent="0.2">
      <c r="B53" t="s">
        <v>300</v>
      </c>
      <c r="C53" s="12">
        <v>6</v>
      </c>
      <c r="D53" s="8">
        <v>3.45</v>
      </c>
      <c r="E53" s="12">
        <v>6</v>
      </c>
      <c r="F53" s="8">
        <v>7.89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318</v>
      </c>
      <c r="C54" s="12">
        <v>6</v>
      </c>
      <c r="D54" s="8">
        <v>3.45</v>
      </c>
      <c r="E54" s="12">
        <v>0</v>
      </c>
      <c r="F54" s="8">
        <v>0</v>
      </c>
      <c r="G54" s="12">
        <v>5</v>
      </c>
      <c r="H54" s="8">
        <v>5.49</v>
      </c>
      <c r="I54" s="12">
        <v>1</v>
      </c>
    </row>
    <row r="55" spans="2:9" ht="15" customHeight="1" x14ac:dyDescent="0.2">
      <c r="B55" t="s">
        <v>307</v>
      </c>
      <c r="C55" s="12">
        <v>5</v>
      </c>
      <c r="D55" s="8">
        <v>2.87</v>
      </c>
      <c r="E55" s="12">
        <v>2</v>
      </c>
      <c r="F55" s="8">
        <v>2.63</v>
      </c>
      <c r="G55" s="12">
        <v>3</v>
      </c>
      <c r="H55" s="8">
        <v>3.3</v>
      </c>
      <c r="I55" s="12">
        <v>0</v>
      </c>
    </row>
    <row r="56" spans="2:9" ht="15" customHeight="1" x14ac:dyDescent="0.2">
      <c r="B56" t="s">
        <v>292</v>
      </c>
      <c r="C56" s="12">
        <v>4</v>
      </c>
      <c r="D56" s="8">
        <v>2.2999999999999998</v>
      </c>
      <c r="E56" s="12">
        <v>2</v>
      </c>
      <c r="F56" s="8">
        <v>2.63</v>
      </c>
      <c r="G56" s="12">
        <v>2</v>
      </c>
      <c r="H56" s="8">
        <v>2.2000000000000002</v>
      </c>
      <c r="I56" s="12">
        <v>0</v>
      </c>
    </row>
    <row r="57" spans="2:9" ht="15" customHeight="1" x14ac:dyDescent="0.2">
      <c r="B57" t="s">
        <v>418</v>
      </c>
      <c r="C57" s="12">
        <v>4</v>
      </c>
      <c r="D57" s="8">
        <v>2.2999999999999998</v>
      </c>
      <c r="E57" s="12">
        <v>0</v>
      </c>
      <c r="F57" s="8">
        <v>0</v>
      </c>
      <c r="G57" s="12">
        <v>3</v>
      </c>
      <c r="H57" s="8">
        <v>3.3</v>
      </c>
      <c r="I57" s="12">
        <v>1</v>
      </c>
    </row>
    <row r="58" spans="2:9" ht="15" customHeight="1" x14ac:dyDescent="0.2">
      <c r="B58" t="s">
        <v>301</v>
      </c>
      <c r="C58" s="12">
        <v>4</v>
      </c>
      <c r="D58" s="8">
        <v>2.2999999999999998</v>
      </c>
      <c r="E58" s="12">
        <v>2</v>
      </c>
      <c r="F58" s="8">
        <v>2.63</v>
      </c>
      <c r="G58" s="12">
        <v>2</v>
      </c>
      <c r="H58" s="8">
        <v>2.2000000000000002</v>
      </c>
      <c r="I58" s="12">
        <v>0</v>
      </c>
    </row>
    <row r="59" spans="2:9" ht="15" customHeight="1" x14ac:dyDescent="0.2">
      <c r="B59" t="s">
        <v>305</v>
      </c>
      <c r="C59" s="12">
        <v>4</v>
      </c>
      <c r="D59" s="8">
        <v>2.2999999999999998</v>
      </c>
      <c r="E59" s="12">
        <v>4</v>
      </c>
      <c r="F59" s="8">
        <v>5.26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333</v>
      </c>
      <c r="C60" s="12">
        <v>3</v>
      </c>
      <c r="D60" s="8">
        <v>1.72</v>
      </c>
      <c r="E60" s="12">
        <v>0</v>
      </c>
      <c r="F60" s="8">
        <v>0</v>
      </c>
      <c r="G60" s="12">
        <v>3</v>
      </c>
      <c r="H60" s="8">
        <v>3.3</v>
      </c>
      <c r="I60" s="12">
        <v>0</v>
      </c>
    </row>
    <row r="61" spans="2:9" ht="15" customHeight="1" x14ac:dyDescent="0.2">
      <c r="B61" t="s">
        <v>342</v>
      </c>
      <c r="C61" s="12">
        <v>3</v>
      </c>
      <c r="D61" s="8">
        <v>1.72</v>
      </c>
      <c r="E61" s="12">
        <v>1</v>
      </c>
      <c r="F61" s="8">
        <v>1.32</v>
      </c>
      <c r="G61" s="12">
        <v>2</v>
      </c>
      <c r="H61" s="8">
        <v>2.2000000000000002</v>
      </c>
      <c r="I61" s="12">
        <v>0</v>
      </c>
    </row>
    <row r="62" spans="2:9" ht="15" customHeight="1" x14ac:dyDescent="0.2">
      <c r="B62" t="s">
        <v>346</v>
      </c>
      <c r="C62" s="12">
        <v>3</v>
      </c>
      <c r="D62" s="8">
        <v>1.72</v>
      </c>
      <c r="E62" s="12">
        <v>0</v>
      </c>
      <c r="F62" s="8">
        <v>0</v>
      </c>
      <c r="G62" s="12">
        <v>3</v>
      </c>
      <c r="H62" s="8">
        <v>3.3</v>
      </c>
      <c r="I62" s="12">
        <v>0</v>
      </c>
    </row>
    <row r="63" spans="2:9" ht="15" customHeight="1" x14ac:dyDescent="0.2">
      <c r="B63" t="s">
        <v>329</v>
      </c>
      <c r="C63" s="12">
        <v>3</v>
      </c>
      <c r="D63" s="8">
        <v>1.72</v>
      </c>
      <c r="E63" s="12">
        <v>3</v>
      </c>
      <c r="F63" s="8">
        <v>3.95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335</v>
      </c>
      <c r="C64" s="12">
        <v>3</v>
      </c>
      <c r="D64" s="8">
        <v>1.72</v>
      </c>
      <c r="E64" s="12">
        <v>0</v>
      </c>
      <c r="F64" s="8">
        <v>0</v>
      </c>
      <c r="G64" s="12">
        <v>3</v>
      </c>
      <c r="H64" s="8">
        <v>3.3</v>
      </c>
      <c r="I64" s="12">
        <v>0</v>
      </c>
    </row>
    <row r="65" spans="2:9" ht="15" customHeight="1" x14ac:dyDescent="0.2">
      <c r="B65" t="s">
        <v>325</v>
      </c>
      <c r="C65" s="12">
        <v>3</v>
      </c>
      <c r="D65" s="8">
        <v>1.72</v>
      </c>
      <c r="E65" s="12">
        <v>0</v>
      </c>
      <c r="F65" s="8">
        <v>0</v>
      </c>
      <c r="G65" s="12">
        <v>1</v>
      </c>
      <c r="H65" s="8">
        <v>1.1000000000000001</v>
      </c>
      <c r="I65" s="12">
        <v>0</v>
      </c>
    </row>
    <row r="66" spans="2:9" ht="15" customHeight="1" x14ac:dyDescent="0.2">
      <c r="B66" t="s">
        <v>328</v>
      </c>
      <c r="C66" s="12">
        <v>2</v>
      </c>
      <c r="D66" s="8">
        <v>1.1499999999999999</v>
      </c>
      <c r="E66" s="12">
        <v>0</v>
      </c>
      <c r="F66" s="8">
        <v>0</v>
      </c>
      <c r="G66" s="12">
        <v>2</v>
      </c>
      <c r="H66" s="8">
        <v>2.2000000000000002</v>
      </c>
      <c r="I66" s="12">
        <v>0</v>
      </c>
    </row>
    <row r="67" spans="2:9" ht="15" customHeight="1" x14ac:dyDescent="0.2">
      <c r="B67" t="s">
        <v>290</v>
      </c>
      <c r="C67" s="12">
        <v>2</v>
      </c>
      <c r="D67" s="8">
        <v>1.1499999999999999</v>
      </c>
      <c r="E67" s="12">
        <v>0</v>
      </c>
      <c r="F67" s="8">
        <v>0</v>
      </c>
      <c r="G67" s="12">
        <v>2</v>
      </c>
      <c r="H67" s="8">
        <v>2.2000000000000002</v>
      </c>
      <c r="I67" s="12">
        <v>0</v>
      </c>
    </row>
    <row r="68" spans="2:9" ht="15" customHeight="1" x14ac:dyDescent="0.2">
      <c r="B68" t="s">
        <v>291</v>
      </c>
      <c r="C68" s="12">
        <v>2</v>
      </c>
      <c r="D68" s="8">
        <v>1.1499999999999999</v>
      </c>
      <c r="E68" s="12">
        <v>2</v>
      </c>
      <c r="F68" s="8">
        <v>2.63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413</v>
      </c>
      <c r="C69" s="12">
        <v>2</v>
      </c>
      <c r="D69" s="8">
        <v>1.1499999999999999</v>
      </c>
      <c r="E69" s="12">
        <v>0</v>
      </c>
      <c r="F69" s="8">
        <v>0</v>
      </c>
      <c r="G69" s="12">
        <v>2</v>
      </c>
      <c r="H69" s="8">
        <v>2.2000000000000002</v>
      </c>
      <c r="I69" s="12">
        <v>0</v>
      </c>
    </row>
    <row r="70" spans="2:9" ht="15" customHeight="1" x14ac:dyDescent="0.2">
      <c r="B70" t="s">
        <v>361</v>
      </c>
      <c r="C70" s="12">
        <v>2</v>
      </c>
      <c r="D70" s="8">
        <v>1.1499999999999999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326</v>
      </c>
      <c r="C71" s="12">
        <v>2</v>
      </c>
      <c r="D71" s="8">
        <v>1.1499999999999999</v>
      </c>
      <c r="E71" s="12">
        <v>1</v>
      </c>
      <c r="F71" s="8">
        <v>1.32</v>
      </c>
      <c r="G71" s="12">
        <v>1</v>
      </c>
      <c r="H71" s="8">
        <v>1.1000000000000001</v>
      </c>
      <c r="I71" s="12">
        <v>0</v>
      </c>
    </row>
    <row r="72" spans="2:9" ht="15" customHeight="1" x14ac:dyDescent="0.2">
      <c r="B72" t="s">
        <v>324</v>
      </c>
      <c r="C72" s="12">
        <v>2</v>
      </c>
      <c r="D72" s="8">
        <v>1.1499999999999999</v>
      </c>
      <c r="E72" s="12">
        <v>0</v>
      </c>
      <c r="F72" s="8">
        <v>0</v>
      </c>
      <c r="G72" s="12">
        <v>2</v>
      </c>
      <c r="H72" s="8">
        <v>2.2000000000000002</v>
      </c>
      <c r="I72" s="12">
        <v>0</v>
      </c>
    </row>
    <row r="73" spans="2:9" ht="15" customHeight="1" x14ac:dyDescent="0.2">
      <c r="B73" t="s">
        <v>358</v>
      </c>
      <c r="C73" s="12">
        <v>2</v>
      </c>
      <c r="D73" s="8">
        <v>1.1499999999999999</v>
      </c>
      <c r="E73" s="12">
        <v>0</v>
      </c>
      <c r="F73" s="8">
        <v>0</v>
      </c>
      <c r="G73" s="12">
        <v>2</v>
      </c>
      <c r="H73" s="8">
        <v>2.2000000000000002</v>
      </c>
      <c r="I73" s="12">
        <v>0</v>
      </c>
    </row>
    <row r="74" spans="2:9" ht="15" customHeight="1" x14ac:dyDescent="0.2">
      <c r="B74" t="s">
        <v>321</v>
      </c>
      <c r="C74" s="12">
        <v>2</v>
      </c>
      <c r="D74" s="8">
        <v>1.1499999999999999</v>
      </c>
      <c r="E74" s="12">
        <v>1</v>
      </c>
      <c r="F74" s="8">
        <v>1.32</v>
      </c>
      <c r="G74" s="12">
        <v>1</v>
      </c>
      <c r="H74" s="8">
        <v>1.1000000000000001</v>
      </c>
      <c r="I74" s="12">
        <v>0</v>
      </c>
    </row>
    <row r="75" spans="2:9" ht="15" customHeight="1" x14ac:dyDescent="0.2">
      <c r="B75" t="s">
        <v>314</v>
      </c>
      <c r="C75" s="12">
        <v>2</v>
      </c>
      <c r="D75" s="8">
        <v>1.1499999999999999</v>
      </c>
      <c r="E75" s="12">
        <v>0</v>
      </c>
      <c r="F75" s="8">
        <v>0</v>
      </c>
      <c r="G75" s="12">
        <v>2</v>
      </c>
      <c r="H75" s="8">
        <v>2.2000000000000002</v>
      </c>
      <c r="I75" s="12">
        <v>0</v>
      </c>
    </row>
    <row r="76" spans="2:9" ht="15" customHeight="1" x14ac:dyDescent="0.2">
      <c r="B76" t="s">
        <v>332</v>
      </c>
      <c r="C76" s="12">
        <v>2</v>
      </c>
      <c r="D76" s="8">
        <v>1.1499999999999999</v>
      </c>
      <c r="E76" s="12">
        <v>2</v>
      </c>
      <c r="F76" s="8">
        <v>2.63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293</v>
      </c>
      <c r="C77" s="12">
        <v>2</v>
      </c>
      <c r="D77" s="8">
        <v>1.1499999999999999</v>
      </c>
      <c r="E77" s="12">
        <v>0</v>
      </c>
      <c r="F77" s="8">
        <v>0</v>
      </c>
      <c r="G77" s="12">
        <v>2</v>
      </c>
      <c r="H77" s="8">
        <v>2.2000000000000002</v>
      </c>
      <c r="I77" s="12">
        <v>0</v>
      </c>
    </row>
    <row r="78" spans="2:9" ht="15" customHeight="1" x14ac:dyDescent="0.2">
      <c r="B78" t="s">
        <v>402</v>
      </c>
      <c r="C78" s="12">
        <v>2</v>
      </c>
      <c r="D78" s="8">
        <v>1.1499999999999999</v>
      </c>
      <c r="E78" s="12">
        <v>2</v>
      </c>
      <c r="F78" s="8">
        <v>2.63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294</v>
      </c>
      <c r="C79" s="12">
        <v>2</v>
      </c>
      <c r="D79" s="8">
        <v>1.1499999999999999</v>
      </c>
      <c r="E79" s="12">
        <v>1</v>
      </c>
      <c r="F79" s="8">
        <v>1.32</v>
      </c>
      <c r="G79" s="12">
        <v>1</v>
      </c>
      <c r="H79" s="8">
        <v>1.1000000000000001</v>
      </c>
      <c r="I79" s="12">
        <v>0</v>
      </c>
    </row>
    <row r="80" spans="2:9" ht="15" customHeight="1" x14ac:dyDescent="0.2">
      <c r="B80" t="s">
        <v>296</v>
      </c>
      <c r="C80" s="12">
        <v>2</v>
      </c>
      <c r="D80" s="8">
        <v>1.1499999999999999</v>
      </c>
      <c r="E80" s="12">
        <v>0</v>
      </c>
      <c r="F80" s="8">
        <v>0</v>
      </c>
      <c r="G80" s="12">
        <v>2</v>
      </c>
      <c r="H80" s="8">
        <v>2.2000000000000002</v>
      </c>
      <c r="I80" s="12">
        <v>0</v>
      </c>
    </row>
    <row r="81" spans="2:9" ht="15" customHeight="1" x14ac:dyDescent="0.2">
      <c r="B81" t="s">
        <v>409</v>
      </c>
      <c r="C81" s="12">
        <v>2</v>
      </c>
      <c r="D81" s="8">
        <v>1.1499999999999999</v>
      </c>
      <c r="E81" s="12">
        <v>1</v>
      </c>
      <c r="F81" s="8">
        <v>1.32</v>
      </c>
      <c r="G81" s="12">
        <v>1</v>
      </c>
      <c r="H81" s="8">
        <v>1.1000000000000001</v>
      </c>
      <c r="I81" s="12">
        <v>0</v>
      </c>
    </row>
    <row r="82" spans="2:9" ht="15" customHeight="1" x14ac:dyDescent="0.2">
      <c r="B82" t="s">
        <v>422</v>
      </c>
      <c r="C82" s="12">
        <v>2</v>
      </c>
      <c r="D82" s="8">
        <v>1.1499999999999999</v>
      </c>
      <c r="E82" s="12">
        <v>2</v>
      </c>
      <c r="F82" s="8">
        <v>2.63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302</v>
      </c>
      <c r="C83" s="12">
        <v>2</v>
      </c>
      <c r="D83" s="8">
        <v>1.1499999999999999</v>
      </c>
      <c r="E83" s="12">
        <v>2</v>
      </c>
      <c r="F83" s="8">
        <v>2.63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323</v>
      </c>
      <c r="C84" s="12">
        <v>2</v>
      </c>
      <c r="D84" s="8">
        <v>1.1499999999999999</v>
      </c>
      <c r="E84" s="12">
        <v>0</v>
      </c>
      <c r="F84" s="8">
        <v>0</v>
      </c>
      <c r="G84" s="12">
        <v>2</v>
      </c>
      <c r="H84" s="8">
        <v>2.2000000000000002</v>
      </c>
      <c r="I84" s="12">
        <v>0</v>
      </c>
    </row>
    <row r="85" spans="2:9" ht="15" customHeight="1" x14ac:dyDescent="0.2">
      <c r="B85" t="s">
        <v>312</v>
      </c>
      <c r="C85" s="12">
        <v>2</v>
      </c>
      <c r="D85" s="8">
        <v>1.1499999999999999</v>
      </c>
      <c r="E85" s="12">
        <v>2</v>
      </c>
      <c r="F85" s="8">
        <v>2.63</v>
      </c>
      <c r="G85" s="12">
        <v>0</v>
      </c>
      <c r="H85" s="8">
        <v>0</v>
      </c>
      <c r="I85" s="12">
        <v>0</v>
      </c>
    </row>
    <row r="87" spans="2:9" ht="15" customHeight="1" x14ac:dyDescent="0.2">
      <c r="B8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4DD69-7449-415E-ACBF-72E0AEF59C3F}">
  <sheetPr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679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18</v>
      </c>
      <c r="D6" s="8">
        <v>13.74</v>
      </c>
      <c r="E6" s="12">
        <v>6</v>
      </c>
      <c r="F6" s="8">
        <v>9.52</v>
      </c>
      <c r="G6" s="12">
        <v>12</v>
      </c>
      <c r="H6" s="8">
        <v>19.670000000000002</v>
      </c>
      <c r="I6" s="12">
        <v>0</v>
      </c>
    </row>
    <row r="7" spans="2:9" ht="15" customHeight="1" x14ac:dyDescent="0.2">
      <c r="B7" t="s">
        <v>192</v>
      </c>
      <c r="C7" s="12">
        <v>16</v>
      </c>
      <c r="D7" s="8">
        <v>12.21</v>
      </c>
      <c r="E7" s="12">
        <v>6</v>
      </c>
      <c r="F7" s="8">
        <v>9.52</v>
      </c>
      <c r="G7" s="12">
        <v>9</v>
      </c>
      <c r="H7" s="8">
        <v>14.75</v>
      </c>
      <c r="I7" s="12">
        <v>1</v>
      </c>
    </row>
    <row r="8" spans="2:9" ht="15" customHeight="1" x14ac:dyDescent="0.2">
      <c r="B8" t="s">
        <v>193</v>
      </c>
      <c r="C8" s="12">
        <v>2</v>
      </c>
      <c r="D8" s="8">
        <v>1.53</v>
      </c>
      <c r="E8" s="12">
        <v>0</v>
      </c>
      <c r="F8" s="8">
        <v>0</v>
      </c>
      <c r="G8" s="12">
        <v>1</v>
      </c>
      <c r="H8" s="8">
        <v>1.64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1.53</v>
      </c>
      <c r="E10" s="12">
        <v>0</v>
      </c>
      <c r="F10" s="8">
        <v>0</v>
      </c>
      <c r="G10" s="12">
        <v>2</v>
      </c>
      <c r="H10" s="8">
        <v>3.28</v>
      </c>
      <c r="I10" s="12">
        <v>0</v>
      </c>
    </row>
    <row r="11" spans="2:9" ht="15" customHeight="1" x14ac:dyDescent="0.2">
      <c r="B11" t="s">
        <v>196</v>
      </c>
      <c r="C11" s="12">
        <v>35</v>
      </c>
      <c r="D11" s="8">
        <v>26.72</v>
      </c>
      <c r="E11" s="12">
        <v>19</v>
      </c>
      <c r="F11" s="8">
        <v>30.16</v>
      </c>
      <c r="G11" s="12">
        <v>16</v>
      </c>
      <c r="H11" s="8">
        <v>26.23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6</v>
      </c>
      <c r="D13" s="8">
        <v>4.58</v>
      </c>
      <c r="E13" s="12">
        <v>0</v>
      </c>
      <c r="F13" s="8">
        <v>0</v>
      </c>
      <c r="G13" s="12">
        <v>5</v>
      </c>
      <c r="H13" s="8">
        <v>8.1999999999999993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3.82</v>
      </c>
      <c r="E14" s="12">
        <v>2</v>
      </c>
      <c r="F14" s="8">
        <v>3.17</v>
      </c>
      <c r="G14" s="12">
        <v>3</v>
      </c>
      <c r="H14" s="8">
        <v>4.92</v>
      </c>
      <c r="I14" s="12">
        <v>0</v>
      </c>
    </row>
    <row r="15" spans="2:9" ht="15" customHeight="1" x14ac:dyDescent="0.2">
      <c r="B15" t="s">
        <v>200</v>
      </c>
      <c r="C15" s="12">
        <v>20</v>
      </c>
      <c r="D15" s="8">
        <v>15.27</v>
      </c>
      <c r="E15" s="12">
        <v>13</v>
      </c>
      <c r="F15" s="8">
        <v>20.63</v>
      </c>
      <c r="G15" s="12">
        <v>6</v>
      </c>
      <c r="H15" s="8">
        <v>9.84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10.69</v>
      </c>
      <c r="E16" s="12">
        <v>11</v>
      </c>
      <c r="F16" s="8">
        <v>17.46</v>
      </c>
      <c r="G16" s="12">
        <v>1</v>
      </c>
      <c r="H16" s="8">
        <v>1.64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3.05</v>
      </c>
      <c r="E17" s="12">
        <v>2</v>
      </c>
      <c r="F17" s="8">
        <v>3.17</v>
      </c>
      <c r="G17" s="12">
        <v>1</v>
      </c>
      <c r="H17" s="8">
        <v>1.64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3.82</v>
      </c>
      <c r="E18" s="12">
        <v>2</v>
      </c>
      <c r="F18" s="8">
        <v>3.17</v>
      </c>
      <c r="G18" s="12">
        <v>3</v>
      </c>
      <c r="H18" s="8">
        <v>4.92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3.05</v>
      </c>
      <c r="E19" s="12">
        <v>2</v>
      </c>
      <c r="F19" s="8">
        <v>3.17</v>
      </c>
      <c r="G19" s="12">
        <v>2</v>
      </c>
      <c r="H19" s="8">
        <v>3.28</v>
      </c>
      <c r="I19" s="12">
        <v>0</v>
      </c>
    </row>
    <row r="20" spans="2:9" ht="15" customHeight="1" x14ac:dyDescent="0.2">
      <c r="B20" s="9" t="s">
        <v>529</v>
      </c>
      <c r="C20" s="12">
        <f>SUM(LTBL_01571[総数／事業所数])</f>
        <v>131</v>
      </c>
      <c r="E20" s="12">
        <f>SUBTOTAL(109,LTBL_01571[個人／事業所数])</f>
        <v>63</v>
      </c>
      <c r="G20" s="12">
        <f>SUBTOTAL(109,LTBL_01571[法人／事業所数])</f>
        <v>61</v>
      </c>
      <c r="I20" s="12">
        <f>SUBTOTAL(109,LTBL_01571[法人以外の団体／事業所数])</f>
        <v>1</v>
      </c>
    </row>
    <row r="21" spans="2:9" ht="15" customHeight="1" x14ac:dyDescent="0.2">
      <c r="E21" s="11">
        <f>LTBL_01571[[#Totals],[個人／事業所数]]/LTBL_01571[[#Totals],[総数／事業所数]]</f>
        <v>0.48091603053435117</v>
      </c>
      <c r="G21" s="11">
        <f>LTBL_01571[[#Totals],[法人／事業所数]]/LTBL_01571[[#Totals],[総数／事業所数]]</f>
        <v>0.46564885496183206</v>
      </c>
      <c r="I21" s="11">
        <f>LTBL_01571[[#Totals],[法人以外の団体／事業所数]]/LTBL_01571[[#Totals],[総数／事業所数]]</f>
        <v>7.6335877862595417E-3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14</v>
      </c>
      <c r="D24" s="8">
        <v>10.69</v>
      </c>
      <c r="E24" s="12">
        <v>7</v>
      </c>
      <c r="F24" s="8">
        <v>11.11</v>
      </c>
      <c r="G24" s="12">
        <v>7</v>
      </c>
      <c r="H24" s="8">
        <v>11.48</v>
      </c>
      <c r="I24" s="12">
        <v>0</v>
      </c>
    </row>
    <row r="25" spans="2:9" ht="15" customHeight="1" x14ac:dyDescent="0.2">
      <c r="B25" t="s">
        <v>227</v>
      </c>
      <c r="C25" s="12">
        <v>14</v>
      </c>
      <c r="D25" s="8">
        <v>10.69</v>
      </c>
      <c r="E25" s="12">
        <v>12</v>
      </c>
      <c r="F25" s="8">
        <v>19.05</v>
      </c>
      <c r="G25" s="12">
        <v>2</v>
      </c>
      <c r="H25" s="8">
        <v>3.28</v>
      </c>
      <c r="I25" s="12">
        <v>0</v>
      </c>
    </row>
    <row r="26" spans="2:9" ht="15" customHeight="1" x14ac:dyDescent="0.2">
      <c r="B26" t="s">
        <v>241</v>
      </c>
      <c r="C26" s="12">
        <v>10</v>
      </c>
      <c r="D26" s="8">
        <v>7.63</v>
      </c>
      <c r="E26" s="12">
        <v>6</v>
      </c>
      <c r="F26" s="8">
        <v>9.52</v>
      </c>
      <c r="G26" s="12">
        <v>4</v>
      </c>
      <c r="H26" s="8">
        <v>6.56</v>
      </c>
      <c r="I26" s="12">
        <v>0</v>
      </c>
    </row>
    <row r="27" spans="2:9" ht="15" customHeight="1" x14ac:dyDescent="0.2">
      <c r="B27" t="s">
        <v>228</v>
      </c>
      <c r="C27" s="12">
        <v>10</v>
      </c>
      <c r="D27" s="8">
        <v>7.63</v>
      </c>
      <c r="E27" s="12">
        <v>10</v>
      </c>
      <c r="F27" s="8">
        <v>15.87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213</v>
      </c>
      <c r="C28" s="12">
        <v>9</v>
      </c>
      <c r="D28" s="8">
        <v>6.87</v>
      </c>
      <c r="E28" s="12">
        <v>3</v>
      </c>
      <c r="F28" s="8">
        <v>4.76</v>
      </c>
      <c r="G28" s="12">
        <v>6</v>
      </c>
      <c r="H28" s="8">
        <v>9.84</v>
      </c>
      <c r="I28" s="12">
        <v>0</v>
      </c>
    </row>
    <row r="29" spans="2:9" ht="15" customHeight="1" x14ac:dyDescent="0.2">
      <c r="B29" t="s">
        <v>221</v>
      </c>
      <c r="C29" s="12">
        <v>8</v>
      </c>
      <c r="D29" s="8">
        <v>6.11</v>
      </c>
      <c r="E29" s="12">
        <v>5</v>
      </c>
      <c r="F29" s="8">
        <v>7.94</v>
      </c>
      <c r="G29" s="12">
        <v>3</v>
      </c>
      <c r="H29" s="8">
        <v>4.92</v>
      </c>
      <c r="I29" s="12">
        <v>0</v>
      </c>
    </row>
    <row r="30" spans="2:9" ht="15" customHeight="1" x14ac:dyDescent="0.2">
      <c r="B30" t="s">
        <v>214</v>
      </c>
      <c r="C30" s="12">
        <v>7</v>
      </c>
      <c r="D30" s="8">
        <v>5.34</v>
      </c>
      <c r="E30" s="12">
        <v>3</v>
      </c>
      <c r="F30" s="8">
        <v>4.76</v>
      </c>
      <c r="G30" s="12">
        <v>4</v>
      </c>
      <c r="H30" s="8">
        <v>6.56</v>
      </c>
      <c r="I30" s="12">
        <v>0</v>
      </c>
    </row>
    <row r="31" spans="2:9" ht="15" customHeight="1" x14ac:dyDescent="0.2">
      <c r="B31" t="s">
        <v>224</v>
      </c>
      <c r="C31" s="12">
        <v>6</v>
      </c>
      <c r="D31" s="8">
        <v>4.58</v>
      </c>
      <c r="E31" s="12">
        <v>0</v>
      </c>
      <c r="F31" s="8">
        <v>0</v>
      </c>
      <c r="G31" s="12">
        <v>5</v>
      </c>
      <c r="H31" s="8">
        <v>8.1999999999999993</v>
      </c>
      <c r="I31" s="12">
        <v>0</v>
      </c>
    </row>
    <row r="32" spans="2:9" ht="15" customHeight="1" x14ac:dyDescent="0.2">
      <c r="B32" t="s">
        <v>239</v>
      </c>
      <c r="C32" s="12">
        <v>5</v>
      </c>
      <c r="D32" s="8">
        <v>3.82</v>
      </c>
      <c r="E32" s="12">
        <v>0</v>
      </c>
      <c r="F32" s="8">
        <v>0</v>
      </c>
      <c r="G32" s="12">
        <v>4</v>
      </c>
      <c r="H32" s="8">
        <v>6.56</v>
      </c>
      <c r="I32" s="12">
        <v>0</v>
      </c>
    </row>
    <row r="33" spans="2:9" ht="15" customHeight="1" x14ac:dyDescent="0.2">
      <c r="B33" t="s">
        <v>222</v>
      </c>
      <c r="C33" s="12">
        <v>4</v>
      </c>
      <c r="D33" s="8">
        <v>3.05</v>
      </c>
      <c r="E33" s="12">
        <v>3</v>
      </c>
      <c r="F33" s="8">
        <v>4.76</v>
      </c>
      <c r="G33" s="12">
        <v>1</v>
      </c>
      <c r="H33" s="8">
        <v>1.64</v>
      </c>
      <c r="I33" s="12">
        <v>0</v>
      </c>
    </row>
    <row r="34" spans="2:9" ht="15" customHeight="1" x14ac:dyDescent="0.2">
      <c r="B34" t="s">
        <v>247</v>
      </c>
      <c r="C34" s="12">
        <v>4</v>
      </c>
      <c r="D34" s="8">
        <v>3.05</v>
      </c>
      <c r="E34" s="12">
        <v>1</v>
      </c>
      <c r="F34" s="8">
        <v>1.59</v>
      </c>
      <c r="G34" s="12">
        <v>1</v>
      </c>
      <c r="H34" s="8">
        <v>1.64</v>
      </c>
      <c r="I34" s="12">
        <v>0</v>
      </c>
    </row>
    <row r="35" spans="2:9" ht="15" customHeight="1" x14ac:dyDescent="0.2">
      <c r="B35" t="s">
        <v>230</v>
      </c>
      <c r="C35" s="12">
        <v>4</v>
      </c>
      <c r="D35" s="8">
        <v>3.05</v>
      </c>
      <c r="E35" s="12">
        <v>2</v>
      </c>
      <c r="F35" s="8">
        <v>3.17</v>
      </c>
      <c r="G35" s="12">
        <v>1</v>
      </c>
      <c r="H35" s="8">
        <v>1.64</v>
      </c>
      <c r="I35" s="12">
        <v>0</v>
      </c>
    </row>
    <row r="36" spans="2:9" ht="15" customHeight="1" x14ac:dyDescent="0.2">
      <c r="B36" t="s">
        <v>264</v>
      </c>
      <c r="C36" s="12">
        <v>3</v>
      </c>
      <c r="D36" s="8">
        <v>2.29</v>
      </c>
      <c r="E36" s="12">
        <v>0</v>
      </c>
      <c r="F36" s="8">
        <v>0</v>
      </c>
      <c r="G36" s="12">
        <v>2</v>
      </c>
      <c r="H36" s="8">
        <v>3.28</v>
      </c>
      <c r="I36" s="12">
        <v>1</v>
      </c>
    </row>
    <row r="37" spans="2:9" ht="15" customHeight="1" x14ac:dyDescent="0.2">
      <c r="B37" t="s">
        <v>220</v>
      </c>
      <c r="C37" s="12">
        <v>3</v>
      </c>
      <c r="D37" s="8">
        <v>2.29</v>
      </c>
      <c r="E37" s="12">
        <v>2</v>
      </c>
      <c r="F37" s="8">
        <v>3.17</v>
      </c>
      <c r="G37" s="12">
        <v>1</v>
      </c>
      <c r="H37" s="8">
        <v>1.64</v>
      </c>
      <c r="I37" s="12">
        <v>0</v>
      </c>
    </row>
    <row r="38" spans="2:9" ht="15" customHeight="1" x14ac:dyDescent="0.2">
      <c r="B38" t="s">
        <v>226</v>
      </c>
      <c r="C38" s="12">
        <v>3</v>
      </c>
      <c r="D38" s="8">
        <v>2.29</v>
      </c>
      <c r="E38" s="12">
        <v>1</v>
      </c>
      <c r="F38" s="8">
        <v>1.59</v>
      </c>
      <c r="G38" s="12">
        <v>2</v>
      </c>
      <c r="H38" s="8">
        <v>3.28</v>
      </c>
      <c r="I38" s="12">
        <v>0</v>
      </c>
    </row>
    <row r="39" spans="2:9" ht="15" customHeight="1" x14ac:dyDescent="0.2">
      <c r="B39" t="s">
        <v>231</v>
      </c>
      <c r="C39" s="12">
        <v>3</v>
      </c>
      <c r="D39" s="8">
        <v>2.29</v>
      </c>
      <c r="E39" s="12">
        <v>2</v>
      </c>
      <c r="F39" s="8">
        <v>3.17</v>
      </c>
      <c r="G39" s="12">
        <v>1</v>
      </c>
      <c r="H39" s="8">
        <v>1.64</v>
      </c>
      <c r="I39" s="12">
        <v>0</v>
      </c>
    </row>
    <row r="40" spans="2:9" ht="15" customHeight="1" x14ac:dyDescent="0.2">
      <c r="B40" t="s">
        <v>215</v>
      </c>
      <c r="C40" s="12">
        <v>2</v>
      </c>
      <c r="D40" s="8">
        <v>1.53</v>
      </c>
      <c r="E40" s="12">
        <v>0</v>
      </c>
      <c r="F40" s="8">
        <v>0</v>
      </c>
      <c r="G40" s="12">
        <v>2</v>
      </c>
      <c r="H40" s="8">
        <v>3.28</v>
      </c>
      <c r="I40" s="12">
        <v>0</v>
      </c>
    </row>
    <row r="41" spans="2:9" ht="15" customHeight="1" x14ac:dyDescent="0.2">
      <c r="B41" t="s">
        <v>255</v>
      </c>
      <c r="C41" s="12">
        <v>2</v>
      </c>
      <c r="D41" s="8">
        <v>1.53</v>
      </c>
      <c r="E41" s="12">
        <v>0</v>
      </c>
      <c r="F41" s="8">
        <v>0</v>
      </c>
      <c r="G41" s="12">
        <v>1</v>
      </c>
      <c r="H41" s="8">
        <v>1.64</v>
      </c>
      <c r="I41" s="12">
        <v>0</v>
      </c>
    </row>
    <row r="42" spans="2:9" ht="15" customHeight="1" x14ac:dyDescent="0.2">
      <c r="B42" t="s">
        <v>217</v>
      </c>
      <c r="C42" s="12">
        <v>2</v>
      </c>
      <c r="D42" s="8">
        <v>1.53</v>
      </c>
      <c r="E42" s="12">
        <v>0</v>
      </c>
      <c r="F42" s="8">
        <v>0</v>
      </c>
      <c r="G42" s="12">
        <v>2</v>
      </c>
      <c r="H42" s="8">
        <v>3.28</v>
      </c>
      <c r="I42" s="12">
        <v>0</v>
      </c>
    </row>
    <row r="43" spans="2:9" ht="15" customHeight="1" x14ac:dyDescent="0.2">
      <c r="B43" t="s">
        <v>236</v>
      </c>
      <c r="C43" s="12">
        <v>2</v>
      </c>
      <c r="D43" s="8">
        <v>1.53</v>
      </c>
      <c r="E43" s="12">
        <v>1</v>
      </c>
      <c r="F43" s="8">
        <v>1.59</v>
      </c>
      <c r="G43" s="12">
        <v>1</v>
      </c>
      <c r="H43" s="8">
        <v>1.64</v>
      </c>
      <c r="I43" s="12">
        <v>0</v>
      </c>
    </row>
    <row r="44" spans="2:9" ht="15" customHeight="1" x14ac:dyDescent="0.2">
      <c r="B44" t="s">
        <v>225</v>
      </c>
      <c r="C44" s="12">
        <v>2</v>
      </c>
      <c r="D44" s="8">
        <v>1.53</v>
      </c>
      <c r="E44" s="12">
        <v>1</v>
      </c>
      <c r="F44" s="8">
        <v>1.59</v>
      </c>
      <c r="G44" s="12">
        <v>1</v>
      </c>
      <c r="H44" s="8">
        <v>1.64</v>
      </c>
      <c r="I44" s="12">
        <v>0</v>
      </c>
    </row>
    <row r="45" spans="2:9" ht="15" customHeight="1" x14ac:dyDescent="0.2">
      <c r="B45" t="s">
        <v>232</v>
      </c>
      <c r="C45" s="12">
        <v>2</v>
      </c>
      <c r="D45" s="8">
        <v>1.53</v>
      </c>
      <c r="E45" s="12">
        <v>0</v>
      </c>
      <c r="F45" s="8">
        <v>0</v>
      </c>
      <c r="G45" s="12">
        <v>2</v>
      </c>
      <c r="H45" s="8">
        <v>3.28</v>
      </c>
      <c r="I45" s="12">
        <v>0</v>
      </c>
    </row>
    <row r="46" spans="2:9" ht="15" customHeight="1" x14ac:dyDescent="0.2">
      <c r="B46" t="s">
        <v>240</v>
      </c>
      <c r="C46" s="12">
        <v>2</v>
      </c>
      <c r="D46" s="8">
        <v>1.53</v>
      </c>
      <c r="E46" s="12">
        <v>1</v>
      </c>
      <c r="F46" s="8">
        <v>1.59</v>
      </c>
      <c r="G46" s="12">
        <v>1</v>
      </c>
      <c r="H46" s="8">
        <v>1.64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330</v>
      </c>
      <c r="C50" s="12">
        <v>7</v>
      </c>
      <c r="D50" s="8">
        <v>5.34</v>
      </c>
      <c r="E50" s="12">
        <v>1</v>
      </c>
      <c r="F50" s="8">
        <v>1.59</v>
      </c>
      <c r="G50" s="12">
        <v>6</v>
      </c>
      <c r="H50" s="8">
        <v>9.84</v>
      </c>
      <c r="I50" s="12">
        <v>0</v>
      </c>
    </row>
    <row r="51" spans="2:9" ht="15" customHeight="1" x14ac:dyDescent="0.2">
      <c r="B51" t="s">
        <v>297</v>
      </c>
      <c r="C51" s="12">
        <v>6</v>
      </c>
      <c r="D51" s="8">
        <v>4.58</v>
      </c>
      <c r="E51" s="12">
        <v>0</v>
      </c>
      <c r="F51" s="8">
        <v>0</v>
      </c>
      <c r="G51" s="12">
        <v>5</v>
      </c>
      <c r="H51" s="8">
        <v>8.1999999999999993</v>
      </c>
      <c r="I51" s="12">
        <v>0</v>
      </c>
    </row>
    <row r="52" spans="2:9" ht="15" customHeight="1" x14ac:dyDescent="0.2">
      <c r="B52" t="s">
        <v>300</v>
      </c>
      <c r="C52" s="12">
        <v>5</v>
      </c>
      <c r="D52" s="8">
        <v>3.82</v>
      </c>
      <c r="E52" s="12">
        <v>5</v>
      </c>
      <c r="F52" s="8">
        <v>7.94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304</v>
      </c>
      <c r="C53" s="12">
        <v>5</v>
      </c>
      <c r="D53" s="8">
        <v>3.82</v>
      </c>
      <c r="E53" s="12">
        <v>5</v>
      </c>
      <c r="F53" s="8">
        <v>7.94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328</v>
      </c>
      <c r="C54" s="12">
        <v>4</v>
      </c>
      <c r="D54" s="8">
        <v>3.05</v>
      </c>
      <c r="E54" s="12">
        <v>2</v>
      </c>
      <c r="F54" s="8">
        <v>3.17</v>
      </c>
      <c r="G54" s="12">
        <v>2</v>
      </c>
      <c r="H54" s="8">
        <v>3.28</v>
      </c>
      <c r="I54" s="12">
        <v>0</v>
      </c>
    </row>
    <row r="55" spans="2:9" ht="15" customHeight="1" x14ac:dyDescent="0.2">
      <c r="B55" t="s">
        <v>333</v>
      </c>
      <c r="C55" s="12">
        <v>4</v>
      </c>
      <c r="D55" s="8">
        <v>3.05</v>
      </c>
      <c r="E55" s="12">
        <v>2</v>
      </c>
      <c r="F55" s="8">
        <v>3.17</v>
      </c>
      <c r="G55" s="12">
        <v>2</v>
      </c>
      <c r="H55" s="8">
        <v>3.28</v>
      </c>
      <c r="I55" s="12">
        <v>0</v>
      </c>
    </row>
    <row r="56" spans="2:9" ht="15" customHeight="1" x14ac:dyDescent="0.2">
      <c r="B56" t="s">
        <v>376</v>
      </c>
      <c r="C56" s="12">
        <v>4</v>
      </c>
      <c r="D56" s="8">
        <v>3.05</v>
      </c>
      <c r="E56" s="12">
        <v>3</v>
      </c>
      <c r="F56" s="8">
        <v>4.76</v>
      </c>
      <c r="G56" s="12">
        <v>1</v>
      </c>
      <c r="H56" s="8">
        <v>1.64</v>
      </c>
      <c r="I56" s="12">
        <v>0</v>
      </c>
    </row>
    <row r="57" spans="2:9" ht="15" customHeight="1" x14ac:dyDescent="0.2">
      <c r="B57" t="s">
        <v>325</v>
      </c>
      <c r="C57" s="12">
        <v>4</v>
      </c>
      <c r="D57" s="8">
        <v>3.05</v>
      </c>
      <c r="E57" s="12">
        <v>0</v>
      </c>
      <c r="F57" s="8">
        <v>0</v>
      </c>
      <c r="G57" s="12">
        <v>3</v>
      </c>
      <c r="H57" s="8">
        <v>4.92</v>
      </c>
      <c r="I57" s="12">
        <v>0</v>
      </c>
    </row>
    <row r="58" spans="2:9" ht="15" customHeight="1" x14ac:dyDescent="0.2">
      <c r="B58" t="s">
        <v>303</v>
      </c>
      <c r="C58" s="12">
        <v>4</v>
      </c>
      <c r="D58" s="8">
        <v>3.05</v>
      </c>
      <c r="E58" s="12">
        <v>4</v>
      </c>
      <c r="F58" s="8">
        <v>6.35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434</v>
      </c>
      <c r="C59" s="12">
        <v>3</v>
      </c>
      <c r="D59" s="8">
        <v>2.29</v>
      </c>
      <c r="E59" s="12">
        <v>0</v>
      </c>
      <c r="F59" s="8">
        <v>0</v>
      </c>
      <c r="G59" s="12">
        <v>2</v>
      </c>
      <c r="H59" s="8">
        <v>3.28</v>
      </c>
      <c r="I59" s="12">
        <v>1</v>
      </c>
    </row>
    <row r="60" spans="2:9" ht="15" customHeight="1" x14ac:dyDescent="0.2">
      <c r="B60" t="s">
        <v>329</v>
      </c>
      <c r="C60" s="12">
        <v>3</v>
      </c>
      <c r="D60" s="8">
        <v>2.29</v>
      </c>
      <c r="E60" s="12">
        <v>2</v>
      </c>
      <c r="F60" s="8">
        <v>3.17</v>
      </c>
      <c r="G60" s="12">
        <v>1</v>
      </c>
      <c r="H60" s="8">
        <v>1.64</v>
      </c>
      <c r="I60" s="12">
        <v>0</v>
      </c>
    </row>
    <row r="61" spans="2:9" ht="15" customHeight="1" x14ac:dyDescent="0.2">
      <c r="B61" t="s">
        <v>292</v>
      </c>
      <c r="C61" s="12">
        <v>3</v>
      </c>
      <c r="D61" s="8">
        <v>2.29</v>
      </c>
      <c r="E61" s="12">
        <v>2</v>
      </c>
      <c r="F61" s="8">
        <v>3.17</v>
      </c>
      <c r="G61" s="12">
        <v>1</v>
      </c>
      <c r="H61" s="8">
        <v>1.64</v>
      </c>
      <c r="I61" s="12">
        <v>0</v>
      </c>
    </row>
    <row r="62" spans="2:9" ht="15" customHeight="1" x14ac:dyDescent="0.2">
      <c r="B62" t="s">
        <v>293</v>
      </c>
      <c r="C62" s="12">
        <v>3</v>
      </c>
      <c r="D62" s="8">
        <v>2.29</v>
      </c>
      <c r="E62" s="12">
        <v>2</v>
      </c>
      <c r="F62" s="8">
        <v>3.17</v>
      </c>
      <c r="G62" s="12">
        <v>1</v>
      </c>
      <c r="H62" s="8">
        <v>1.64</v>
      </c>
      <c r="I62" s="12">
        <v>0</v>
      </c>
    </row>
    <row r="63" spans="2:9" ht="15" customHeight="1" x14ac:dyDescent="0.2">
      <c r="B63" t="s">
        <v>337</v>
      </c>
      <c r="C63" s="12">
        <v>3</v>
      </c>
      <c r="D63" s="8">
        <v>2.29</v>
      </c>
      <c r="E63" s="12">
        <v>3</v>
      </c>
      <c r="F63" s="8">
        <v>4.76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298</v>
      </c>
      <c r="C64" s="12">
        <v>3</v>
      </c>
      <c r="D64" s="8">
        <v>2.29</v>
      </c>
      <c r="E64" s="12">
        <v>1</v>
      </c>
      <c r="F64" s="8">
        <v>1.59</v>
      </c>
      <c r="G64" s="12">
        <v>2</v>
      </c>
      <c r="H64" s="8">
        <v>3.28</v>
      </c>
      <c r="I64" s="12">
        <v>0</v>
      </c>
    </row>
    <row r="65" spans="2:9" ht="15" customHeight="1" x14ac:dyDescent="0.2">
      <c r="B65" t="s">
        <v>368</v>
      </c>
      <c r="C65" s="12">
        <v>3</v>
      </c>
      <c r="D65" s="8">
        <v>2.29</v>
      </c>
      <c r="E65" s="12">
        <v>0</v>
      </c>
      <c r="F65" s="8">
        <v>0</v>
      </c>
      <c r="G65" s="12">
        <v>1</v>
      </c>
      <c r="H65" s="8">
        <v>1.64</v>
      </c>
      <c r="I65" s="12">
        <v>0</v>
      </c>
    </row>
    <row r="66" spans="2:9" ht="15" customHeight="1" x14ac:dyDescent="0.2">
      <c r="B66" t="s">
        <v>289</v>
      </c>
      <c r="C66" s="12">
        <v>2</v>
      </c>
      <c r="D66" s="8">
        <v>1.53</v>
      </c>
      <c r="E66" s="12">
        <v>0</v>
      </c>
      <c r="F66" s="8">
        <v>0</v>
      </c>
      <c r="G66" s="12">
        <v>2</v>
      </c>
      <c r="H66" s="8">
        <v>3.28</v>
      </c>
      <c r="I66" s="12">
        <v>0</v>
      </c>
    </row>
    <row r="67" spans="2:9" ht="15" customHeight="1" x14ac:dyDescent="0.2">
      <c r="B67" t="s">
        <v>342</v>
      </c>
      <c r="C67" s="12">
        <v>2</v>
      </c>
      <c r="D67" s="8">
        <v>1.53</v>
      </c>
      <c r="E67" s="12">
        <v>0</v>
      </c>
      <c r="F67" s="8">
        <v>0</v>
      </c>
      <c r="G67" s="12">
        <v>2</v>
      </c>
      <c r="H67" s="8">
        <v>3.28</v>
      </c>
      <c r="I67" s="12">
        <v>0</v>
      </c>
    </row>
    <row r="68" spans="2:9" ht="15" customHeight="1" x14ac:dyDescent="0.2">
      <c r="B68" t="s">
        <v>394</v>
      </c>
      <c r="C68" s="12">
        <v>2</v>
      </c>
      <c r="D68" s="8">
        <v>1.53</v>
      </c>
      <c r="E68" s="12">
        <v>1</v>
      </c>
      <c r="F68" s="8">
        <v>1.59</v>
      </c>
      <c r="G68" s="12">
        <v>1</v>
      </c>
      <c r="H68" s="8">
        <v>1.64</v>
      </c>
      <c r="I68" s="12">
        <v>0</v>
      </c>
    </row>
    <row r="69" spans="2:9" ht="15" customHeight="1" x14ac:dyDescent="0.2">
      <c r="B69" t="s">
        <v>346</v>
      </c>
      <c r="C69" s="12">
        <v>2</v>
      </c>
      <c r="D69" s="8">
        <v>1.53</v>
      </c>
      <c r="E69" s="12">
        <v>0</v>
      </c>
      <c r="F69" s="8">
        <v>0</v>
      </c>
      <c r="G69" s="12">
        <v>2</v>
      </c>
      <c r="H69" s="8">
        <v>3.28</v>
      </c>
      <c r="I69" s="12">
        <v>0</v>
      </c>
    </row>
    <row r="70" spans="2:9" ht="15" customHeight="1" x14ac:dyDescent="0.2">
      <c r="B70" t="s">
        <v>344</v>
      </c>
      <c r="C70" s="12">
        <v>2</v>
      </c>
      <c r="D70" s="8">
        <v>1.53</v>
      </c>
      <c r="E70" s="12">
        <v>1</v>
      </c>
      <c r="F70" s="8">
        <v>1.59</v>
      </c>
      <c r="G70" s="12">
        <v>1</v>
      </c>
      <c r="H70" s="8">
        <v>1.64</v>
      </c>
      <c r="I70" s="12">
        <v>0</v>
      </c>
    </row>
    <row r="71" spans="2:9" ht="15" customHeight="1" x14ac:dyDescent="0.2">
      <c r="B71" t="s">
        <v>334</v>
      </c>
      <c r="C71" s="12">
        <v>2</v>
      </c>
      <c r="D71" s="8">
        <v>1.53</v>
      </c>
      <c r="E71" s="12">
        <v>2</v>
      </c>
      <c r="F71" s="8">
        <v>3.17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299</v>
      </c>
      <c r="C72" s="12">
        <v>2</v>
      </c>
      <c r="D72" s="8">
        <v>1.53</v>
      </c>
      <c r="E72" s="12">
        <v>2</v>
      </c>
      <c r="F72" s="8">
        <v>3.17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301</v>
      </c>
      <c r="C73" s="12">
        <v>2</v>
      </c>
      <c r="D73" s="8">
        <v>1.53</v>
      </c>
      <c r="E73" s="12">
        <v>2</v>
      </c>
      <c r="F73" s="8">
        <v>3.17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305</v>
      </c>
      <c r="C74" s="12">
        <v>2</v>
      </c>
      <c r="D74" s="8">
        <v>1.53</v>
      </c>
      <c r="E74" s="12">
        <v>2</v>
      </c>
      <c r="F74" s="8">
        <v>3.17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307</v>
      </c>
      <c r="C75" s="12">
        <v>2</v>
      </c>
      <c r="D75" s="8">
        <v>1.53</v>
      </c>
      <c r="E75" s="12">
        <v>1</v>
      </c>
      <c r="F75" s="8">
        <v>1.59</v>
      </c>
      <c r="G75" s="12">
        <v>1</v>
      </c>
      <c r="H75" s="8">
        <v>1.64</v>
      </c>
      <c r="I75" s="12">
        <v>0</v>
      </c>
    </row>
    <row r="77" spans="2:9" ht="15" customHeight="1" x14ac:dyDescent="0.2">
      <c r="B7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0FCF3-0B38-4BE6-A3BD-18D245AC0A7A}">
  <sheetPr>
    <pageSetUpPr fitToPage="1"/>
  </sheetPr>
  <dimension ref="B2:I11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6</v>
      </c>
      <c r="D6" s="8">
        <v>7.32</v>
      </c>
      <c r="E6" s="12">
        <v>1</v>
      </c>
      <c r="F6" s="8">
        <v>2.44</v>
      </c>
      <c r="G6" s="12">
        <v>5</v>
      </c>
      <c r="H6" s="8">
        <v>13.16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7.32</v>
      </c>
      <c r="E7" s="12">
        <v>1</v>
      </c>
      <c r="F7" s="8">
        <v>2.44</v>
      </c>
      <c r="G7" s="12">
        <v>5</v>
      </c>
      <c r="H7" s="8">
        <v>13.16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1.22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1.22</v>
      </c>
      <c r="E10" s="12">
        <v>0</v>
      </c>
      <c r="F10" s="8">
        <v>0</v>
      </c>
      <c r="G10" s="12">
        <v>1</v>
      </c>
      <c r="H10" s="8">
        <v>2.63</v>
      </c>
      <c r="I10" s="12">
        <v>0</v>
      </c>
    </row>
    <row r="11" spans="2:9" ht="15" customHeight="1" x14ac:dyDescent="0.2">
      <c r="B11" t="s">
        <v>196</v>
      </c>
      <c r="C11" s="12">
        <v>23</v>
      </c>
      <c r="D11" s="8">
        <v>28.05</v>
      </c>
      <c r="E11" s="12">
        <v>16</v>
      </c>
      <c r="F11" s="8">
        <v>39.020000000000003</v>
      </c>
      <c r="G11" s="12">
        <v>7</v>
      </c>
      <c r="H11" s="8">
        <v>18.420000000000002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1.22</v>
      </c>
      <c r="E12" s="12">
        <v>0</v>
      </c>
      <c r="F12" s="8">
        <v>0</v>
      </c>
      <c r="G12" s="12">
        <v>1</v>
      </c>
      <c r="H12" s="8">
        <v>2.63</v>
      </c>
      <c r="I12" s="12">
        <v>0</v>
      </c>
    </row>
    <row r="13" spans="2:9" ht="15" customHeight="1" x14ac:dyDescent="0.2">
      <c r="B13" t="s">
        <v>198</v>
      </c>
      <c r="C13" s="12">
        <v>8</v>
      </c>
      <c r="D13" s="8">
        <v>9.76</v>
      </c>
      <c r="E13" s="12">
        <v>4</v>
      </c>
      <c r="F13" s="8">
        <v>9.76</v>
      </c>
      <c r="G13" s="12">
        <v>3</v>
      </c>
      <c r="H13" s="8">
        <v>7.89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3.66</v>
      </c>
      <c r="E14" s="12">
        <v>0</v>
      </c>
      <c r="F14" s="8">
        <v>0</v>
      </c>
      <c r="G14" s="12">
        <v>3</v>
      </c>
      <c r="H14" s="8">
        <v>7.89</v>
      </c>
      <c r="I14" s="12">
        <v>0</v>
      </c>
    </row>
    <row r="15" spans="2:9" ht="15" customHeight="1" x14ac:dyDescent="0.2">
      <c r="B15" t="s">
        <v>200</v>
      </c>
      <c r="C15" s="12">
        <v>15</v>
      </c>
      <c r="D15" s="8">
        <v>18.29</v>
      </c>
      <c r="E15" s="12">
        <v>10</v>
      </c>
      <c r="F15" s="8">
        <v>24.39</v>
      </c>
      <c r="G15" s="12">
        <v>5</v>
      </c>
      <c r="H15" s="8">
        <v>13.16</v>
      </c>
      <c r="I15" s="12">
        <v>0</v>
      </c>
    </row>
    <row r="16" spans="2:9" ht="15" customHeight="1" x14ac:dyDescent="0.2">
      <c r="B16" t="s">
        <v>201</v>
      </c>
      <c r="C16" s="12">
        <v>6</v>
      </c>
      <c r="D16" s="8">
        <v>7.32</v>
      </c>
      <c r="E16" s="12">
        <v>6</v>
      </c>
      <c r="F16" s="8">
        <v>14.63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2.44</v>
      </c>
      <c r="E17" s="12">
        <v>1</v>
      </c>
      <c r="F17" s="8">
        <v>2.44</v>
      </c>
      <c r="G17" s="12">
        <v>1</v>
      </c>
      <c r="H17" s="8">
        <v>2.63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6.1</v>
      </c>
      <c r="E18" s="12">
        <v>0</v>
      </c>
      <c r="F18" s="8">
        <v>0</v>
      </c>
      <c r="G18" s="12">
        <v>4</v>
      </c>
      <c r="H18" s="8">
        <v>10.53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6.1</v>
      </c>
      <c r="E19" s="12">
        <v>2</v>
      </c>
      <c r="F19" s="8">
        <v>4.88</v>
      </c>
      <c r="G19" s="12">
        <v>3</v>
      </c>
      <c r="H19" s="8">
        <v>7.89</v>
      </c>
      <c r="I19" s="12">
        <v>0</v>
      </c>
    </row>
    <row r="20" spans="2:9" ht="15" customHeight="1" x14ac:dyDescent="0.2">
      <c r="B20" s="9" t="s">
        <v>529</v>
      </c>
      <c r="C20" s="12">
        <f>SUM(LTBL_01575[総数／事業所数])</f>
        <v>82</v>
      </c>
      <c r="E20" s="12">
        <f>SUBTOTAL(109,LTBL_01575[個人／事業所数])</f>
        <v>41</v>
      </c>
      <c r="G20" s="12">
        <f>SUBTOTAL(109,LTBL_01575[法人／事業所数])</f>
        <v>38</v>
      </c>
      <c r="I20" s="12">
        <f>SUBTOTAL(109,LTBL_01575[法人以外の団体／事業所数])</f>
        <v>0</v>
      </c>
    </row>
    <row r="21" spans="2:9" ht="15" customHeight="1" x14ac:dyDescent="0.2">
      <c r="E21" s="11">
        <f>LTBL_01575[[#Totals],[個人／事業所数]]/LTBL_01575[[#Totals],[総数／事業所数]]</f>
        <v>0.5</v>
      </c>
      <c r="G21" s="11">
        <f>LTBL_01575[[#Totals],[法人／事業所数]]/LTBL_01575[[#Totals],[総数／事業所数]]</f>
        <v>0.46341463414634149</v>
      </c>
      <c r="I21" s="11">
        <f>LTBL_01575[[#Totals],[法人以外の団体／事業所数]]/LTBL_01575[[#Totals],[総数／事業所数]]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11</v>
      </c>
      <c r="D24" s="8">
        <v>13.41</v>
      </c>
      <c r="E24" s="12">
        <v>9</v>
      </c>
      <c r="F24" s="8">
        <v>21.95</v>
      </c>
      <c r="G24" s="12">
        <v>2</v>
      </c>
      <c r="H24" s="8">
        <v>5.26</v>
      </c>
      <c r="I24" s="12">
        <v>0</v>
      </c>
    </row>
    <row r="25" spans="2:9" ht="15" customHeight="1" x14ac:dyDescent="0.2">
      <c r="B25" t="s">
        <v>227</v>
      </c>
      <c r="C25" s="12">
        <v>9</v>
      </c>
      <c r="D25" s="8">
        <v>10.98</v>
      </c>
      <c r="E25" s="12">
        <v>8</v>
      </c>
      <c r="F25" s="8">
        <v>19.510000000000002</v>
      </c>
      <c r="G25" s="12">
        <v>1</v>
      </c>
      <c r="H25" s="8">
        <v>2.63</v>
      </c>
      <c r="I25" s="12">
        <v>0</v>
      </c>
    </row>
    <row r="26" spans="2:9" ht="15" customHeight="1" x14ac:dyDescent="0.2">
      <c r="B26" t="s">
        <v>221</v>
      </c>
      <c r="C26" s="12">
        <v>8</v>
      </c>
      <c r="D26" s="8">
        <v>9.76</v>
      </c>
      <c r="E26" s="12">
        <v>6</v>
      </c>
      <c r="F26" s="8">
        <v>14.63</v>
      </c>
      <c r="G26" s="12">
        <v>2</v>
      </c>
      <c r="H26" s="8">
        <v>5.26</v>
      </c>
      <c r="I26" s="12">
        <v>0</v>
      </c>
    </row>
    <row r="27" spans="2:9" ht="15" customHeight="1" x14ac:dyDescent="0.2">
      <c r="B27" t="s">
        <v>224</v>
      </c>
      <c r="C27" s="12">
        <v>7</v>
      </c>
      <c r="D27" s="8">
        <v>8.5399999999999991</v>
      </c>
      <c r="E27" s="12">
        <v>3</v>
      </c>
      <c r="F27" s="8">
        <v>7.32</v>
      </c>
      <c r="G27" s="12">
        <v>3</v>
      </c>
      <c r="H27" s="8">
        <v>7.89</v>
      </c>
      <c r="I27" s="12">
        <v>0</v>
      </c>
    </row>
    <row r="28" spans="2:9" ht="15" customHeight="1" x14ac:dyDescent="0.2">
      <c r="B28" t="s">
        <v>243</v>
      </c>
      <c r="C28" s="12">
        <v>5</v>
      </c>
      <c r="D28" s="8">
        <v>6.1</v>
      </c>
      <c r="E28" s="12">
        <v>2</v>
      </c>
      <c r="F28" s="8">
        <v>4.88</v>
      </c>
      <c r="G28" s="12">
        <v>3</v>
      </c>
      <c r="H28" s="8">
        <v>7.89</v>
      </c>
      <c r="I28" s="12">
        <v>0</v>
      </c>
    </row>
    <row r="29" spans="2:9" ht="15" customHeight="1" x14ac:dyDescent="0.2">
      <c r="B29" t="s">
        <v>228</v>
      </c>
      <c r="C29" s="12">
        <v>5</v>
      </c>
      <c r="D29" s="8">
        <v>6.1</v>
      </c>
      <c r="E29" s="12">
        <v>5</v>
      </c>
      <c r="F29" s="8">
        <v>12.2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232</v>
      </c>
      <c r="C30" s="12">
        <v>4</v>
      </c>
      <c r="D30" s="8">
        <v>4.88</v>
      </c>
      <c r="E30" s="12">
        <v>0</v>
      </c>
      <c r="F30" s="8">
        <v>0</v>
      </c>
      <c r="G30" s="12">
        <v>3</v>
      </c>
      <c r="H30" s="8">
        <v>7.89</v>
      </c>
      <c r="I30" s="12">
        <v>0</v>
      </c>
    </row>
    <row r="31" spans="2:9" ht="15" customHeight="1" x14ac:dyDescent="0.2">
      <c r="B31" t="s">
        <v>215</v>
      </c>
      <c r="C31" s="12">
        <v>3</v>
      </c>
      <c r="D31" s="8">
        <v>3.66</v>
      </c>
      <c r="E31" s="12">
        <v>1</v>
      </c>
      <c r="F31" s="8">
        <v>2.44</v>
      </c>
      <c r="G31" s="12">
        <v>2</v>
      </c>
      <c r="H31" s="8">
        <v>5.26</v>
      </c>
      <c r="I31" s="12">
        <v>0</v>
      </c>
    </row>
    <row r="32" spans="2:9" ht="15" customHeight="1" x14ac:dyDescent="0.2">
      <c r="B32" t="s">
        <v>213</v>
      </c>
      <c r="C32" s="12">
        <v>2</v>
      </c>
      <c r="D32" s="8">
        <v>2.44</v>
      </c>
      <c r="E32" s="12">
        <v>0</v>
      </c>
      <c r="F32" s="8">
        <v>0</v>
      </c>
      <c r="G32" s="12">
        <v>2</v>
      </c>
      <c r="H32" s="8">
        <v>5.26</v>
      </c>
      <c r="I32" s="12">
        <v>0</v>
      </c>
    </row>
    <row r="33" spans="2:9" ht="15" customHeight="1" x14ac:dyDescent="0.2">
      <c r="B33" t="s">
        <v>262</v>
      </c>
      <c r="C33" s="12">
        <v>2</v>
      </c>
      <c r="D33" s="8">
        <v>2.44</v>
      </c>
      <c r="E33" s="12">
        <v>1</v>
      </c>
      <c r="F33" s="8">
        <v>2.44</v>
      </c>
      <c r="G33" s="12">
        <v>1</v>
      </c>
      <c r="H33" s="8">
        <v>2.63</v>
      </c>
      <c r="I33" s="12">
        <v>0</v>
      </c>
    </row>
    <row r="34" spans="2:9" ht="15" customHeight="1" x14ac:dyDescent="0.2">
      <c r="B34" t="s">
        <v>254</v>
      </c>
      <c r="C34" s="12">
        <v>2</v>
      </c>
      <c r="D34" s="8">
        <v>2.44</v>
      </c>
      <c r="E34" s="12">
        <v>0</v>
      </c>
      <c r="F34" s="8">
        <v>0</v>
      </c>
      <c r="G34" s="12">
        <v>2</v>
      </c>
      <c r="H34" s="8">
        <v>5.26</v>
      </c>
      <c r="I34" s="12">
        <v>0</v>
      </c>
    </row>
    <row r="35" spans="2:9" ht="15" customHeight="1" x14ac:dyDescent="0.2">
      <c r="B35" t="s">
        <v>230</v>
      </c>
      <c r="C35" s="12">
        <v>2</v>
      </c>
      <c r="D35" s="8">
        <v>2.44</v>
      </c>
      <c r="E35" s="12">
        <v>1</v>
      </c>
      <c r="F35" s="8">
        <v>2.44</v>
      </c>
      <c r="G35" s="12">
        <v>1</v>
      </c>
      <c r="H35" s="8">
        <v>2.63</v>
      </c>
      <c r="I35" s="12">
        <v>0</v>
      </c>
    </row>
    <row r="36" spans="2:9" ht="15" customHeight="1" x14ac:dyDescent="0.2">
      <c r="B36" t="s">
        <v>242</v>
      </c>
      <c r="C36" s="12">
        <v>2</v>
      </c>
      <c r="D36" s="8">
        <v>2.44</v>
      </c>
      <c r="E36" s="12">
        <v>2</v>
      </c>
      <c r="F36" s="8">
        <v>4.88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234</v>
      </c>
      <c r="C37" s="12">
        <v>2</v>
      </c>
      <c r="D37" s="8">
        <v>2.44</v>
      </c>
      <c r="E37" s="12">
        <v>0</v>
      </c>
      <c r="F37" s="8">
        <v>0</v>
      </c>
      <c r="G37" s="12">
        <v>2</v>
      </c>
      <c r="H37" s="8">
        <v>5.26</v>
      </c>
      <c r="I37" s="12">
        <v>0</v>
      </c>
    </row>
    <row r="38" spans="2:9" ht="15" customHeight="1" x14ac:dyDescent="0.2">
      <c r="B38" t="s">
        <v>214</v>
      </c>
      <c r="C38" s="12">
        <v>1</v>
      </c>
      <c r="D38" s="8">
        <v>1.22</v>
      </c>
      <c r="E38" s="12">
        <v>0</v>
      </c>
      <c r="F38" s="8">
        <v>0</v>
      </c>
      <c r="G38" s="12">
        <v>1</v>
      </c>
      <c r="H38" s="8">
        <v>2.63</v>
      </c>
      <c r="I38" s="12">
        <v>0</v>
      </c>
    </row>
    <row r="39" spans="2:9" ht="15" customHeight="1" x14ac:dyDescent="0.2">
      <c r="B39" t="s">
        <v>251</v>
      </c>
      <c r="C39" s="12">
        <v>1</v>
      </c>
      <c r="D39" s="8">
        <v>1.22</v>
      </c>
      <c r="E39" s="12">
        <v>0</v>
      </c>
      <c r="F39" s="8">
        <v>0</v>
      </c>
      <c r="G39" s="12">
        <v>1</v>
      </c>
      <c r="H39" s="8">
        <v>2.63</v>
      </c>
      <c r="I39" s="12">
        <v>0</v>
      </c>
    </row>
    <row r="40" spans="2:9" ht="15" customHeight="1" x14ac:dyDescent="0.2">
      <c r="B40" t="s">
        <v>244</v>
      </c>
      <c r="C40" s="12">
        <v>1</v>
      </c>
      <c r="D40" s="8">
        <v>1.22</v>
      </c>
      <c r="E40" s="12">
        <v>0</v>
      </c>
      <c r="F40" s="8">
        <v>0</v>
      </c>
      <c r="G40" s="12">
        <v>1</v>
      </c>
      <c r="H40" s="8">
        <v>2.63</v>
      </c>
      <c r="I40" s="12">
        <v>0</v>
      </c>
    </row>
    <row r="41" spans="2:9" ht="15" customHeight="1" x14ac:dyDescent="0.2">
      <c r="B41" t="s">
        <v>255</v>
      </c>
      <c r="C41" s="12">
        <v>1</v>
      </c>
      <c r="D41" s="8">
        <v>1.22</v>
      </c>
      <c r="E41" s="12">
        <v>0</v>
      </c>
      <c r="F41" s="8">
        <v>0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238</v>
      </c>
      <c r="C42" s="12">
        <v>1</v>
      </c>
      <c r="D42" s="8">
        <v>1.22</v>
      </c>
      <c r="E42" s="12">
        <v>0</v>
      </c>
      <c r="F42" s="8">
        <v>0</v>
      </c>
      <c r="G42" s="12">
        <v>1</v>
      </c>
      <c r="H42" s="8">
        <v>2.63</v>
      </c>
      <c r="I42" s="12">
        <v>0</v>
      </c>
    </row>
    <row r="43" spans="2:9" ht="15" customHeight="1" x14ac:dyDescent="0.2">
      <c r="B43" t="s">
        <v>216</v>
      </c>
      <c r="C43" s="12">
        <v>1</v>
      </c>
      <c r="D43" s="8">
        <v>1.22</v>
      </c>
      <c r="E43" s="12">
        <v>0</v>
      </c>
      <c r="F43" s="8">
        <v>0</v>
      </c>
      <c r="G43" s="12">
        <v>1</v>
      </c>
      <c r="H43" s="8">
        <v>2.63</v>
      </c>
      <c r="I43" s="12">
        <v>0</v>
      </c>
    </row>
    <row r="44" spans="2:9" ht="15" customHeight="1" x14ac:dyDescent="0.2">
      <c r="B44" t="s">
        <v>217</v>
      </c>
      <c r="C44" s="12">
        <v>1</v>
      </c>
      <c r="D44" s="8">
        <v>1.22</v>
      </c>
      <c r="E44" s="12">
        <v>0</v>
      </c>
      <c r="F44" s="8">
        <v>0</v>
      </c>
      <c r="G44" s="12">
        <v>1</v>
      </c>
      <c r="H44" s="8">
        <v>2.63</v>
      </c>
      <c r="I44" s="12">
        <v>0</v>
      </c>
    </row>
    <row r="45" spans="2:9" ht="15" customHeight="1" x14ac:dyDescent="0.2">
      <c r="B45" t="s">
        <v>220</v>
      </c>
      <c r="C45" s="12">
        <v>1</v>
      </c>
      <c r="D45" s="8">
        <v>1.22</v>
      </c>
      <c r="E45" s="12">
        <v>1</v>
      </c>
      <c r="F45" s="8">
        <v>2.44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236</v>
      </c>
      <c r="C46" s="12">
        <v>1</v>
      </c>
      <c r="D46" s="8">
        <v>1.22</v>
      </c>
      <c r="E46" s="12">
        <v>0</v>
      </c>
      <c r="F46" s="8">
        <v>0</v>
      </c>
      <c r="G46" s="12">
        <v>1</v>
      </c>
      <c r="H46" s="8">
        <v>2.63</v>
      </c>
      <c r="I46" s="12">
        <v>0</v>
      </c>
    </row>
    <row r="47" spans="2:9" ht="15" customHeight="1" x14ac:dyDescent="0.2">
      <c r="B47" t="s">
        <v>237</v>
      </c>
      <c r="C47" s="12">
        <v>1</v>
      </c>
      <c r="D47" s="8">
        <v>1.22</v>
      </c>
      <c r="E47" s="12">
        <v>0</v>
      </c>
      <c r="F47" s="8">
        <v>0</v>
      </c>
      <c r="G47" s="12">
        <v>1</v>
      </c>
      <c r="H47" s="8">
        <v>2.63</v>
      </c>
      <c r="I47" s="12">
        <v>0</v>
      </c>
    </row>
    <row r="48" spans="2:9" ht="15" customHeight="1" x14ac:dyDescent="0.2">
      <c r="B48" t="s">
        <v>246</v>
      </c>
      <c r="C48" s="12">
        <v>1</v>
      </c>
      <c r="D48" s="8">
        <v>1.22</v>
      </c>
      <c r="E48" s="12">
        <v>1</v>
      </c>
      <c r="F48" s="8">
        <v>2.44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256</v>
      </c>
      <c r="C49" s="12">
        <v>1</v>
      </c>
      <c r="D49" s="8">
        <v>1.22</v>
      </c>
      <c r="E49" s="12">
        <v>0</v>
      </c>
      <c r="F49" s="8">
        <v>0</v>
      </c>
      <c r="G49" s="12">
        <v>1</v>
      </c>
      <c r="H49" s="8">
        <v>2.63</v>
      </c>
      <c r="I49" s="12">
        <v>0</v>
      </c>
    </row>
    <row r="50" spans="2:9" ht="15" customHeight="1" x14ac:dyDescent="0.2">
      <c r="B50" t="s">
        <v>225</v>
      </c>
      <c r="C50" s="12">
        <v>1</v>
      </c>
      <c r="D50" s="8">
        <v>1.22</v>
      </c>
      <c r="E50" s="12">
        <v>0</v>
      </c>
      <c r="F50" s="8">
        <v>0</v>
      </c>
      <c r="G50" s="12">
        <v>1</v>
      </c>
      <c r="H50" s="8">
        <v>2.63</v>
      </c>
      <c r="I50" s="12">
        <v>0</v>
      </c>
    </row>
    <row r="51" spans="2:9" ht="15" customHeight="1" x14ac:dyDescent="0.2">
      <c r="B51" t="s">
        <v>226</v>
      </c>
      <c r="C51" s="12">
        <v>1</v>
      </c>
      <c r="D51" s="8">
        <v>1.22</v>
      </c>
      <c r="E51" s="12">
        <v>0</v>
      </c>
      <c r="F51" s="8">
        <v>0</v>
      </c>
      <c r="G51" s="12">
        <v>1</v>
      </c>
      <c r="H51" s="8">
        <v>2.63</v>
      </c>
      <c r="I51" s="12">
        <v>0</v>
      </c>
    </row>
    <row r="52" spans="2:9" ht="15" customHeight="1" x14ac:dyDescent="0.2">
      <c r="B52" t="s">
        <v>239</v>
      </c>
      <c r="C52" s="12">
        <v>1</v>
      </c>
      <c r="D52" s="8">
        <v>1.22</v>
      </c>
      <c r="E52" s="12">
        <v>0</v>
      </c>
      <c r="F52" s="8">
        <v>0</v>
      </c>
      <c r="G52" s="12">
        <v>1</v>
      </c>
      <c r="H52" s="8">
        <v>2.63</v>
      </c>
      <c r="I52" s="12">
        <v>0</v>
      </c>
    </row>
    <row r="53" spans="2:9" ht="15" customHeight="1" x14ac:dyDescent="0.2">
      <c r="B53" t="s">
        <v>229</v>
      </c>
      <c r="C53" s="12">
        <v>1</v>
      </c>
      <c r="D53" s="8">
        <v>1.22</v>
      </c>
      <c r="E53" s="12">
        <v>1</v>
      </c>
      <c r="F53" s="8">
        <v>2.44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231</v>
      </c>
      <c r="C54" s="12">
        <v>1</v>
      </c>
      <c r="D54" s="8">
        <v>1.22</v>
      </c>
      <c r="E54" s="12">
        <v>0</v>
      </c>
      <c r="F54" s="8">
        <v>0</v>
      </c>
      <c r="G54" s="12">
        <v>1</v>
      </c>
      <c r="H54" s="8">
        <v>2.63</v>
      </c>
      <c r="I54" s="12">
        <v>0</v>
      </c>
    </row>
    <row r="55" spans="2:9" ht="15" customHeight="1" x14ac:dyDescent="0.2">
      <c r="B55" t="s">
        <v>240</v>
      </c>
      <c r="C55" s="12">
        <v>1</v>
      </c>
      <c r="D55" s="8">
        <v>1.22</v>
      </c>
      <c r="E55" s="12">
        <v>0</v>
      </c>
      <c r="F55" s="8">
        <v>0</v>
      </c>
      <c r="G55" s="12">
        <v>1</v>
      </c>
      <c r="H55" s="8">
        <v>2.63</v>
      </c>
      <c r="I55" s="12">
        <v>0</v>
      </c>
    </row>
    <row r="58" spans="2:9" ht="33" customHeight="1" x14ac:dyDescent="0.2">
      <c r="B58" t="s">
        <v>531</v>
      </c>
      <c r="C58" s="10" t="s">
        <v>206</v>
      </c>
      <c r="D58" s="10" t="s">
        <v>207</v>
      </c>
      <c r="E58" s="10" t="s">
        <v>208</v>
      </c>
      <c r="F58" s="10" t="s">
        <v>209</v>
      </c>
      <c r="G58" s="10" t="s">
        <v>210</v>
      </c>
      <c r="H58" s="10" t="s">
        <v>211</v>
      </c>
      <c r="I58" s="10" t="s">
        <v>212</v>
      </c>
    </row>
    <row r="59" spans="2:9" ht="15" customHeight="1" x14ac:dyDescent="0.2">
      <c r="B59" t="s">
        <v>295</v>
      </c>
      <c r="C59" s="12">
        <v>6</v>
      </c>
      <c r="D59" s="8">
        <v>7.32</v>
      </c>
      <c r="E59" s="12">
        <v>4</v>
      </c>
      <c r="F59" s="8">
        <v>9.76</v>
      </c>
      <c r="G59" s="12">
        <v>2</v>
      </c>
      <c r="H59" s="8">
        <v>5.26</v>
      </c>
      <c r="I59" s="12">
        <v>0</v>
      </c>
    </row>
    <row r="60" spans="2:9" ht="15" customHeight="1" x14ac:dyDescent="0.2">
      <c r="B60" t="s">
        <v>297</v>
      </c>
      <c r="C60" s="12">
        <v>6</v>
      </c>
      <c r="D60" s="8">
        <v>7.32</v>
      </c>
      <c r="E60" s="12">
        <v>3</v>
      </c>
      <c r="F60" s="8">
        <v>7.32</v>
      </c>
      <c r="G60" s="12">
        <v>2</v>
      </c>
      <c r="H60" s="8">
        <v>5.26</v>
      </c>
      <c r="I60" s="12">
        <v>0</v>
      </c>
    </row>
    <row r="61" spans="2:9" ht="15" customHeight="1" x14ac:dyDescent="0.2">
      <c r="B61" t="s">
        <v>339</v>
      </c>
      <c r="C61" s="12">
        <v>5</v>
      </c>
      <c r="D61" s="8">
        <v>6.1</v>
      </c>
      <c r="E61" s="12">
        <v>2</v>
      </c>
      <c r="F61" s="8">
        <v>4.88</v>
      </c>
      <c r="G61" s="12">
        <v>3</v>
      </c>
      <c r="H61" s="8">
        <v>7.89</v>
      </c>
      <c r="I61" s="12">
        <v>0</v>
      </c>
    </row>
    <row r="62" spans="2:9" ht="15" customHeight="1" x14ac:dyDescent="0.2">
      <c r="B62" t="s">
        <v>299</v>
      </c>
      <c r="C62" s="12">
        <v>5</v>
      </c>
      <c r="D62" s="8">
        <v>6.1</v>
      </c>
      <c r="E62" s="12">
        <v>4</v>
      </c>
      <c r="F62" s="8">
        <v>9.76</v>
      </c>
      <c r="G62" s="12">
        <v>1</v>
      </c>
      <c r="H62" s="8">
        <v>2.63</v>
      </c>
      <c r="I62" s="12">
        <v>0</v>
      </c>
    </row>
    <row r="63" spans="2:9" ht="15" customHeight="1" x14ac:dyDescent="0.2">
      <c r="B63" t="s">
        <v>304</v>
      </c>
      <c r="C63" s="12">
        <v>3</v>
      </c>
      <c r="D63" s="8">
        <v>3.66</v>
      </c>
      <c r="E63" s="12">
        <v>3</v>
      </c>
      <c r="F63" s="8">
        <v>7.32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331</v>
      </c>
      <c r="C64" s="12">
        <v>3</v>
      </c>
      <c r="D64" s="8">
        <v>3.66</v>
      </c>
      <c r="E64" s="12">
        <v>0</v>
      </c>
      <c r="F64" s="8">
        <v>0</v>
      </c>
      <c r="G64" s="12">
        <v>2</v>
      </c>
      <c r="H64" s="8">
        <v>5.26</v>
      </c>
      <c r="I64" s="12">
        <v>0</v>
      </c>
    </row>
    <row r="65" spans="2:9" ht="15" customHeight="1" x14ac:dyDescent="0.2">
      <c r="B65" t="s">
        <v>289</v>
      </c>
      <c r="C65" s="12">
        <v>2</v>
      </c>
      <c r="D65" s="8">
        <v>2.44</v>
      </c>
      <c r="E65" s="12">
        <v>0</v>
      </c>
      <c r="F65" s="8">
        <v>0</v>
      </c>
      <c r="G65" s="12">
        <v>2</v>
      </c>
      <c r="H65" s="8">
        <v>5.26</v>
      </c>
      <c r="I65" s="12">
        <v>0</v>
      </c>
    </row>
    <row r="66" spans="2:9" ht="15" customHeight="1" x14ac:dyDescent="0.2">
      <c r="B66" t="s">
        <v>291</v>
      </c>
      <c r="C66" s="12">
        <v>2</v>
      </c>
      <c r="D66" s="8">
        <v>2.44</v>
      </c>
      <c r="E66" s="12">
        <v>1</v>
      </c>
      <c r="F66" s="8">
        <v>2.44</v>
      </c>
      <c r="G66" s="12">
        <v>1</v>
      </c>
      <c r="H66" s="8">
        <v>2.63</v>
      </c>
      <c r="I66" s="12">
        <v>0</v>
      </c>
    </row>
    <row r="67" spans="2:9" ht="15" customHeight="1" x14ac:dyDescent="0.2">
      <c r="B67" t="s">
        <v>336</v>
      </c>
      <c r="C67" s="12">
        <v>2</v>
      </c>
      <c r="D67" s="8">
        <v>2.44</v>
      </c>
      <c r="E67" s="12">
        <v>2</v>
      </c>
      <c r="F67" s="8">
        <v>4.88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329</v>
      </c>
      <c r="C68" s="12">
        <v>2</v>
      </c>
      <c r="D68" s="8">
        <v>2.44</v>
      </c>
      <c r="E68" s="12">
        <v>1</v>
      </c>
      <c r="F68" s="8">
        <v>2.44</v>
      </c>
      <c r="G68" s="12">
        <v>1</v>
      </c>
      <c r="H68" s="8">
        <v>2.63</v>
      </c>
      <c r="I68" s="12">
        <v>0</v>
      </c>
    </row>
    <row r="69" spans="2:9" ht="15" customHeight="1" x14ac:dyDescent="0.2">
      <c r="B69" t="s">
        <v>292</v>
      </c>
      <c r="C69" s="12">
        <v>2</v>
      </c>
      <c r="D69" s="8">
        <v>2.44</v>
      </c>
      <c r="E69" s="12">
        <v>1</v>
      </c>
      <c r="F69" s="8">
        <v>2.44</v>
      </c>
      <c r="G69" s="12">
        <v>1</v>
      </c>
      <c r="H69" s="8">
        <v>2.63</v>
      </c>
      <c r="I69" s="12">
        <v>0</v>
      </c>
    </row>
    <row r="70" spans="2:9" ht="15" customHeight="1" x14ac:dyDescent="0.2">
      <c r="B70" t="s">
        <v>330</v>
      </c>
      <c r="C70" s="12">
        <v>2</v>
      </c>
      <c r="D70" s="8">
        <v>2.44</v>
      </c>
      <c r="E70" s="12">
        <v>2</v>
      </c>
      <c r="F70" s="8">
        <v>4.88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337</v>
      </c>
      <c r="C71" s="12">
        <v>2</v>
      </c>
      <c r="D71" s="8">
        <v>2.44</v>
      </c>
      <c r="E71" s="12">
        <v>2</v>
      </c>
      <c r="F71" s="8">
        <v>4.88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303</v>
      </c>
      <c r="C72" s="12">
        <v>2</v>
      </c>
      <c r="D72" s="8">
        <v>2.44</v>
      </c>
      <c r="E72" s="12">
        <v>2</v>
      </c>
      <c r="F72" s="8">
        <v>4.88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371</v>
      </c>
      <c r="C73" s="12">
        <v>2</v>
      </c>
      <c r="D73" s="8">
        <v>2.44</v>
      </c>
      <c r="E73" s="12">
        <v>2</v>
      </c>
      <c r="F73" s="8">
        <v>4.88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318</v>
      </c>
      <c r="C74" s="12">
        <v>2</v>
      </c>
      <c r="D74" s="8">
        <v>2.44</v>
      </c>
      <c r="E74" s="12">
        <v>0</v>
      </c>
      <c r="F74" s="8">
        <v>0</v>
      </c>
      <c r="G74" s="12">
        <v>2</v>
      </c>
      <c r="H74" s="8">
        <v>5.26</v>
      </c>
      <c r="I74" s="12">
        <v>0</v>
      </c>
    </row>
    <row r="75" spans="2:9" ht="15" customHeight="1" x14ac:dyDescent="0.2">
      <c r="B75" t="s">
        <v>333</v>
      </c>
      <c r="C75" s="12">
        <v>1</v>
      </c>
      <c r="D75" s="8">
        <v>1.22</v>
      </c>
      <c r="E75" s="12">
        <v>0</v>
      </c>
      <c r="F75" s="8">
        <v>0</v>
      </c>
      <c r="G75" s="12">
        <v>1</v>
      </c>
      <c r="H75" s="8">
        <v>2.63</v>
      </c>
      <c r="I75" s="12">
        <v>0</v>
      </c>
    </row>
    <row r="76" spans="2:9" ht="15" customHeight="1" x14ac:dyDescent="0.2">
      <c r="B76" t="s">
        <v>290</v>
      </c>
      <c r="C76" s="12">
        <v>1</v>
      </c>
      <c r="D76" s="8">
        <v>1.22</v>
      </c>
      <c r="E76" s="12">
        <v>0</v>
      </c>
      <c r="F76" s="8">
        <v>0</v>
      </c>
      <c r="G76" s="12">
        <v>1</v>
      </c>
      <c r="H76" s="8">
        <v>2.63</v>
      </c>
      <c r="I76" s="12">
        <v>0</v>
      </c>
    </row>
    <row r="77" spans="2:9" ht="15" customHeight="1" x14ac:dyDescent="0.2">
      <c r="B77" t="s">
        <v>443</v>
      </c>
      <c r="C77" s="12">
        <v>1</v>
      </c>
      <c r="D77" s="8">
        <v>1.22</v>
      </c>
      <c r="E77" s="12">
        <v>0</v>
      </c>
      <c r="F77" s="8">
        <v>0</v>
      </c>
      <c r="G77" s="12">
        <v>1</v>
      </c>
      <c r="H77" s="8">
        <v>2.63</v>
      </c>
      <c r="I77" s="12">
        <v>0</v>
      </c>
    </row>
    <row r="78" spans="2:9" ht="15" customHeight="1" x14ac:dyDescent="0.2">
      <c r="B78" t="s">
        <v>510</v>
      </c>
      <c r="C78" s="12">
        <v>1</v>
      </c>
      <c r="D78" s="8">
        <v>1.22</v>
      </c>
      <c r="E78" s="12">
        <v>1</v>
      </c>
      <c r="F78" s="8">
        <v>2.44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511</v>
      </c>
      <c r="C79" s="12">
        <v>1</v>
      </c>
      <c r="D79" s="8">
        <v>1.22</v>
      </c>
      <c r="E79" s="12">
        <v>0</v>
      </c>
      <c r="F79" s="8">
        <v>0</v>
      </c>
      <c r="G79" s="12">
        <v>1</v>
      </c>
      <c r="H79" s="8">
        <v>2.63</v>
      </c>
      <c r="I79" s="12">
        <v>0</v>
      </c>
    </row>
    <row r="80" spans="2:9" ht="15" customHeight="1" x14ac:dyDescent="0.2">
      <c r="B80" t="s">
        <v>384</v>
      </c>
      <c r="C80" s="12">
        <v>1</v>
      </c>
      <c r="D80" s="8">
        <v>1.22</v>
      </c>
      <c r="E80" s="12">
        <v>0</v>
      </c>
      <c r="F80" s="8">
        <v>0</v>
      </c>
      <c r="G80" s="12">
        <v>1</v>
      </c>
      <c r="H80" s="8">
        <v>2.63</v>
      </c>
      <c r="I80" s="12">
        <v>0</v>
      </c>
    </row>
    <row r="81" spans="2:9" ht="15" customHeight="1" x14ac:dyDescent="0.2">
      <c r="B81" t="s">
        <v>512</v>
      </c>
      <c r="C81" s="12">
        <v>1</v>
      </c>
      <c r="D81" s="8">
        <v>1.22</v>
      </c>
      <c r="E81" s="12">
        <v>0</v>
      </c>
      <c r="F81" s="8">
        <v>0</v>
      </c>
      <c r="G81" s="12">
        <v>1</v>
      </c>
      <c r="H81" s="8">
        <v>2.63</v>
      </c>
      <c r="I81" s="12">
        <v>0</v>
      </c>
    </row>
    <row r="82" spans="2:9" ht="15" customHeight="1" x14ac:dyDescent="0.2">
      <c r="B82" t="s">
        <v>385</v>
      </c>
      <c r="C82" s="12">
        <v>1</v>
      </c>
      <c r="D82" s="8">
        <v>1.22</v>
      </c>
      <c r="E82" s="12">
        <v>0</v>
      </c>
      <c r="F82" s="8">
        <v>0</v>
      </c>
      <c r="G82" s="12">
        <v>1</v>
      </c>
      <c r="H82" s="8">
        <v>2.63</v>
      </c>
      <c r="I82" s="12">
        <v>0</v>
      </c>
    </row>
    <row r="83" spans="2:9" ht="15" customHeight="1" x14ac:dyDescent="0.2">
      <c r="B83" t="s">
        <v>362</v>
      </c>
      <c r="C83" s="12">
        <v>1</v>
      </c>
      <c r="D83" s="8">
        <v>1.22</v>
      </c>
      <c r="E83" s="12">
        <v>0</v>
      </c>
      <c r="F83" s="8">
        <v>0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326</v>
      </c>
      <c r="C84" s="12">
        <v>1</v>
      </c>
      <c r="D84" s="8">
        <v>1.22</v>
      </c>
      <c r="E84" s="12">
        <v>0</v>
      </c>
      <c r="F84" s="8">
        <v>0</v>
      </c>
      <c r="G84" s="12">
        <v>1</v>
      </c>
      <c r="H84" s="8">
        <v>2.63</v>
      </c>
      <c r="I84" s="12">
        <v>0</v>
      </c>
    </row>
    <row r="85" spans="2:9" ht="15" customHeight="1" x14ac:dyDescent="0.2">
      <c r="B85" t="s">
        <v>324</v>
      </c>
      <c r="C85" s="12">
        <v>1</v>
      </c>
      <c r="D85" s="8">
        <v>1.22</v>
      </c>
      <c r="E85" s="12">
        <v>0</v>
      </c>
      <c r="F85" s="8">
        <v>0</v>
      </c>
      <c r="G85" s="12">
        <v>1</v>
      </c>
      <c r="H85" s="8">
        <v>2.63</v>
      </c>
      <c r="I85" s="12">
        <v>0</v>
      </c>
    </row>
    <row r="86" spans="2:9" ht="15" customHeight="1" x14ac:dyDescent="0.2">
      <c r="B86" t="s">
        <v>452</v>
      </c>
      <c r="C86" s="12">
        <v>1</v>
      </c>
      <c r="D86" s="8">
        <v>1.22</v>
      </c>
      <c r="E86" s="12">
        <v>0</v>
      </c>
      <c r="F86" s="8">
        <v>0</v>
      </c>
      <c r="G86" s="12">
        <v>1</v>
      </c>
      <c r="H86" s="8">
        <v>2.63</v>
      </c>
      <c r="I86" s="12">
        <v>0</v>
      </c>
    </row>
    <row r="87" spans="2:9" ht="15" customHeight="1" x14ac:dyDescent="0.2">
      <c r="B87" t="s">
        <v>314</v>
      </c>
      <c r="C87" s="12">
        <v>1</v>
      </c>
      <c r="D87" s="8">
        <v>1.22</v>
      </c>
      <c r="E87" s="12">
        <v>1</v>
      </c>
      <c r="F87" s="8">
        <v>2.44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354</v>
      </c>
      <c r="C88" s="12">
        <v>1</v>
      </c>
      <c r="D88" s="8">
        <v>1.22</v>
      </c>
      <c r="E88" s="12">
        <v>1</v>
      </c>
      <c r="F88" s="8">
        <v>2.44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366</v>
      </c>
      <c r="C89" s="12">
        <v>1</v>
      </c>
      <c r="D89" s="8">
        <v>1.22</v>
      </c>
      <c r="E89" s="12">
        <v>1</v>
      </c>
      <c r="F89" s="8">
        <v>2.44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373</v>
      </c>
      <c r="C90" s="12">
        <v>1</v>
      </c>
      <c r="D90" s="8">
        <v>1.22</v>
      </c>
      <c r="E90" s="12">
        <v>1</v>
      </c>
      <c r="F90" s="8">
        <v>2.44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355</v>
      </c>
      <c r="C91" s="12">
        <v>1</v>
      </c>
      <c r="D91" s="8">
        <v>1.22</v>
      </c>
      <c r="E91" s="12">
        <v>0</v>
      </c>
      <c r="F91" s="8">
        <v>0</v>
      </c>
      <c r="G91" s="12">
        <v>1</v>
      </c>
      <c r="H91" s="8">
        <v>2.63</v>
      </c>
      <c r="I91" s="12">
        <v>0</v>
      </c>
    </row>
    <row r="92" spans="2:9" ht="15" customHeight="1" x14ac:dyDescent="0.2">
      <c r="B92" t="s">
        <v>322</v>
      </c>
      <c r="C92" s="12">
        <v>1</v>
      </c>
      <c r="D92" s="8">
        <v>1.22</v>
      </c>
      <c r="E92" s="12">
        <v>0</v>
      </c>
      <c r="F92" s="8">
        <v>0</v>
      </c>
      <c r="G92" s="12">
        <v>1</v>
      </c>
      <c r="H92" s="8">
        <v>2.63</v>
      </c>
      <c r="I92" s="12">
        <v>0</v>
      </c>
    </row>
    <row r="93" spans="2:9" ht="15" customHeight="1" x14ac:dyDescent="0.2">
      <c r="B93" t="s">
        <v>296</v>
      </c>
      <c r="C93" s="12">
        <v>1</v>
      </c>
      <c r="D93" s="8">
        <v>1.22</v>
      </c>
      <c r="E93" s="12">
        <v>0</v>
      </c>
      <c r="F93" s="8">
        <v>0</v>
      </c>
      <c r="G93" s="12">
        <v>1</v>
      </c>
      <c r="H93" s="8">
        <v>2.63</v>
      </c>
      <c r="I93" s="12">
        <v>0</v>
      </c>
    </row>
    <row r="94" spans="2:9" ht="15" customHeight="1" x14ac:dyDescent="0.2">
      <c r="B94" t="s">
        <v>513</v>
      </c>
      <c r="C94" s="12">
        <v>1</v>
      </c>
      <c r="D94" s="8">
        <v>1.22</v>
      </c>
      <c r="E94" s="12">
        <v>1</v>
      </c>
      <c r="F94" s="8">
        <v>2.44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403</v>
      </c>
      <c r="C95" s="12">
        <v>1</v>
      </c>
      <c r="D95" s="8">
        <v>1.22</v>
      </c>
      <c r="E95" s="12">
        <v>0</v>
      </c>
      <c r="F95" s="8">
        <v>0</v>
      </c>
      <c r="G95" s="12">
        <v>1</v>
      </c>
      <c r="H95" s="8">
        <v>2.63</v>
      </c>
      <c r="I95" s="12">
        <v>0</v>
      </c>
    </row>
    <row r="96" spans="2:9" ht="15" customHeight="1" x14ac:dyDescent="0.2">
      <c r="B96" t="s">
        <v>495</v>
      </c>
      <c r="C96" s="12">
        <v>1</v>
      </c>
      <c r="D96" s="8">
        <v>1.22</v>
      </c>
      <c r="E96" s="12">
        <v>0</v>
      </c>
      <c r="F96" s="8">
        <v>0</v>
      </c>
      <c r="G96" s="12">
        <v>1</v>
      </c>
      <c r="H96" s="8">
        <v>2.63</v>
      </c>
      <c r="I96" s="12">
        <v>0</v>
      </c>
    </row>
    <row r="97" spans="2:9" ht="15" customHeight="1" x14ac:dyDescent="0.2">
      <c r="B97" t="s">
        <v>418</v>
      </c>
      <c r="C97" s="12">
        <v>1</v>
      </c>
      <c r="D97" s="8">
        <v>1.22</v>
      </c>
      <c r="E97" s="12">
        <v>0</v>
      </c>
      <c r="F97" s="8">
        <v>0</v>
      </c>
      <c r="G97" s="12">
        <v>1</v>
      </c>
      <c r="H97" s="8">
        <v>2.63</v>
      </c>
      <c r="I97" s="12">
        <v>0</v>
      </c>
    </row>
    <row r="98" spans="2:9" ht="15" customHeight="1" x14ac:dyDescent="0.2">
      <c r="B98" t="s">
        <v>419</v>
      </c>
      <c r="C98" s="12">
        <v>1</v>
      </c>
      <c r="D98" s="8">
        <v>1.22</v>
      </c>
      <c r="E98" s="12">
        <v>1</v>
      </c>
      <c r="F98" s="8">
        <v>2.44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349</v>
      </c>
      <c r="C99" s="12">
        <v>1</v>
      </c>
      <c r="D99" s="8">
        <v>1.22</v>
      </c>
      <c r="E99" s="12">
        <v>1</v>
      </c>
      <c r="F99" s="8">
        <v>2.44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300</v>
      </c>
      <c r="C100" s="12">
        <v>1</v>
      </c>
      <c r="D100" s="8">
        <v>1.22</v>
      </c>
      <c r="E100" s="12">
        <v>1</v>
      </c>
      <c r="F100" s="8">
        <v>2.44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302</v>
      </c>
      <c r="C101" s="12">
        <v>1</v>
      </c>
      <c r="D101" s="8">
        <v>1.22</v>
      </c>
      <c r="E101" s="12">
        <v>1</v>
      </c>
      <c r="F101" s="8">
        <v>2.44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325</v>
      </c>
      <c r="C102" s="12">
        <v>1</v>
      </c>
      <c r="D102" s="8">
        <v>1.22</v>
      </c>
      <c r="E102" s="12">
        <v>0</v>
      </c>
      <c r="F102" s="8">
        <v>0</v>
      </c>
      <c r="G102" s="12">
        <v>1</v>
      </c>
      <c r="H102" s="8">
        <v>2.63</v>
      </c>
      <c r="I102" s="12">
        <v>0</v>
      </c>
    </row>
    <row r="103" spans="2:9" ht="15" customHeight="1" x14ac:dyDescent="0.2">
      <c r="B103" t="s">
        <v>352</v>
      </c>
      <c r="C103" s="12">
        <v>1</v>
      </c>
      <c r="D103" s="8">
        <v>1.22</v>
      </c>
      <c r="E103" s="12">
        <v>1</v>
      </c>
      <c r="F103" s="8">
        <v>2.44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340</v>
      </c>
      <c r="C104" s="12">
        <v>1</v>
      </c>
      <c r="D104" s="8">
        <v>1.22</v>
      </c>
      <c r="E104" s="12">
        <v>1</v>
      </c>
      <c r="F104" s="8">
        <v>2.44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305</v>
      </c>
      <c r="C105" s="12">
        <v>1</v>
      </c>
      <c r="D105" s="8">
        <v>1.22</v>
      </c>
      <c r="E105" s="12">
        <v>0</v>
      </c>
      <c r="F105" s="8">
        <v>0</v>
      </c>
      <c r="G105" s="12">
        <v>1</v>
      </c>
      <c r="H105" s="8">
        <v>2.63</v>
      </c>
      <c r="I105" s="12">
        <v>0</v>
      </c>
    </row>
    <row r="106" spans="2:9" ht="15" customHeight="1" x14ac:dyDescent="0.2">
      <c r="B106" t="s">
        <v>312</v>
      </c>
      <c r="C106" s="12">
        <v>1</v>
      </c>
      <c r="D106" s="8">
        <v>1.22</v>
      </c>
      <c r="E106" s="12">
        <v>0</v>
      </c>
      <c r="F106" s="8">
        <v>0</v>
      </c>
      <c r="G106" s="12">
        <v>1</v>
      </c>
      <c r="H106" s="8">
        <v>2.63</v>
      </c>
      <c r="I106" s="12">
        <v>0</v>
      </c>
    </row>
    <row r="107" spans="2:9" ht="15" customHeight="1" x14ac:dyDescent="0.2">
      <c r="B107" t="s">
        <v>369</v>
      </c>
      <c r="C107" s="12">
        <v>1</v>
      </c>
      <c r="D107" s="8">
        <v>1.22</v>
      </c>
      <c r="E107" s="12">
        <v>0</v>
      </c>
      <c r="F107" s="8">
        <v>0</v>
      </c>
      <c r="G107" s="12">
        <v>1</v>
      </c>
      <c r="H107" s="8">
        <v>2.63</v>
      </c>
      <c r="I107" s="12">
        <v>0</v>
      </c>
    </row>
    <row r="108" spans="2:9" ht="15" customHeight="1" x14ac:dyDescent="0.2">
      <c r="B108" t="s">
        <v>307</v>
      </c>
      <c r="C108" s="12">
        <v>1</v>
      </c>
      <c r="D108" s="8">
        <v>1.22</v>
      </c>
      <c r="E108" s="12">
        <v>0</v>
      </c>
      <c r="F108" s="8">
        <v>0</v>
      </c>
      <c r="G108" s="12">
        <v>1</v>
      </c>
      <c r="H108" s="8">
        <v>2.63</v>
      </c>
      <c r="I108" s="12">
        <v>0</v>
      </c>
    </row>
    <row r="110" spans="2:9" ht="15" customHeight="1" x14ac:dyDescent="0.2">
      <c r="B11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7634-9450-42E2-9351-0CD2228A52A5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0.25</v>
      </c>
      <c r="E5" s="12">
        <v>0</v>
      </c>
      <c r="F5" s="8">
        <v>0</v>
      </c>
      <c r="G5" s="12">
        <v>1</v>
      </c>
      <c r="H5" s="8">
        <v>0.51</v>
      </c>
      <c r="I5" s="12">
        <v>0</v>
      </c>
    </row>
    <row r="6" spans="2:9" ht="15" customHeight="1" x14ac:dyDescent="0.2">
      <c r="B6" t="s">
        <v>191</v>
      </c>
      <c r="C6" s="12">
        <v>55</v>
      </c>
      <c r="D6" s="8">
        <v>13.51</v>
      </c>
      <c r="E6" s="12">
        <v>22</v>
      </c>
      <c r="F6" s="8">
        <v>10.95</v>
      </c>
      <c r="G6" s="12">
        <v>33</v>
      </c>
      <c r="H6" s="8">
        <v>16.920000000000002</v>
      </c>
      <c r="I6" s="12">
        <v>0</v>
      </c>
    </row>
    <row r="7" spans="2:9" ht="15" customHeight="1" x14ac:dyDescent="0.2">
      <c r="B7" t="s">
        <v>192</v>
      </c>
      <c r="C7" s="12">
        <v>43</v>
      </c>
      <c r="D7" s="8">
        <v>10.57</v>
      </c>
      <c r="E7" s="12">
        <v>10</v>
      </c>
      <c r="F7" s="8">
        <v>4.9800000000000004</v>
      </c>
      <c r="G7" s="12">
        <v>33</v>
      </c>
      <c r="H7" s="8">
        <v>16.920000000000002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0.25</v>
      </c>
      <c r="E8" s="12">
        <v>0</v>
      </c>
      <c r="F8" s="8">
        <v>0</v>
      </c>
      <c r="G8" s="12">
        <v>1</v>
      </c>
      <c r="H8" s="8">
        <v>0.51</v>
      </c>
      <c r="I8" s="12">
        <v>0</v>
      </c>
    </row>
    <row r="9" spans="2:9" ht="15" customHeight="1" x14ac:dyDescent="0.2">
      <c r="B9" t="s">
        <v>194</v>
      </c>
      <c r="C9" s="12">
        <v>4</v>
      </c>
      <c r="D9" s="8">
        <v>0.98</v>
      </c>
      <c r="E9" s="12">
        <v>1</v>
      </c>
      <c r="F9" s="8">
        <v>0.5</v>
      </c>
      <c r="G9" s="12">
        <v>3</v>
      </c>
      <c r="H9" s="8">
        <v>1.54</v>
      </c>
      <c r="I9" s="12">
        <v>0</v>
      </c>
    </row>
    <row r="10" spans="2:9" ht="15" customHeight="1" x14ac:dyDescent="0.2">
      <c r="B10" t="s">
        <v>195</v>
      </c>
      <c r="C10" s="12">
        <v>8</v>
      </c>
      <c r="D10" s="8">
        <v>1.97</v>
      </c>
      <c r="E10" s="12">
        <v>1</v>
      </c>
      <c r="F10" s="8">
        <v>0.5</v>
      </c>
      <c r="G10" s="12">
        <v>7</v>
      </c>
      <c r="H10" s="8">
        <v>3.59</v>
      </c>
      <c r="I10" s="12">
        <v>0</v>
      </c>
    </row>
    <row r="11" spans="2:9" ht="15" customHeight="1" x14ac:dyDescent="0.2">
      <c r="B11" t="s">
        <v>196</v>
      </c>
      <c r="C11" s="12">
        <v>95</v>
      </c>
      <c r="D11" s="8">
        <v>23.34</v>
      </c>
      <c r="E11" s="12">
        <v>33</v>
      </c>
      <c r="F11" s="8">
        <v>16.420000000000002</v>
      </c>
      <c r="G11" s="12">
        <v>62</v>
      </c>
      <c r="H11" s="8">
        <v>31.79</v>
      </c>
      <c r="I11" s="12">
        <v>0</v>
      </c>
    </row>
    <row r="12" spans="2:9" ht="15" customHeight="1" x14ac:dyDescent="0.2">
      <c r="B12" t="s">
        <v>197</v>
      </c>
      <c r="C12" s="12">
        <v>3</v>
      </c>
      <c r="D12" s="8">
        <v>0.74</v>
      </c>
      <c r="E12" s="12">
        <v>1</v>
      </c>
      <c r="F12" s="8">
        <v>0.5</v>
      </c>
      <c r="G12" s="12">
        <v>2</v>
      </c>
      <c r="H12" s="8">
        <v>1.03</v>
      </c>
      <c r="I12" s="12">
        <v>0</v>
      </c>
    </row>
    <row r="13" spans="2:9" ht="15" customHeight="1" x14ac:dyDescent="0.2">
      <c r="B13" t="s">
        <v>198</v>
      </c>
      <c r="C13" s="12">
        <v>18</v>
      </c>
      <c r="D13" s="8">
        <v>4.42</v>
      </c>
      <c r="E13" s="12">
        <v>8</v>
      </c>
      <c r="F13" s="8">
        <v>3.98</v>
      </c>
      <c r="G13" s="12">
        <v>10</v>
      </c>
      <c r="H13" s="8">
        <v>5.13</v>
      </c>
      <c r="I13" s="12">
        <v>0</v>
      </c>
    </row>
    <row r="14" spans="2:9" ht="15" customHeight="1" x14ac:dyDescent="0.2">
      <c r="B14" t="s">
        <v>199</v>
      </c>
      <c r="C14" s="12">
        <v>7</v>
      </c>
      <c r="D14" s="8">
        <v>1.72</v>
      </c>
      <c r="E14" s="12">
        <v>4</v>
      </c>
      <c r="F14" s="8">
        <v>1.99</v>
      </c>
      <c r="G14" s="12">
        <v>3</v>
      </c>
      <c r="H14" s="8">
        <v>1.54</v>
      </c>
      <c r="I14" s="12">
        <v>0</v>
      </c>
    </row>
    <row r="15" spans="2:9" ht="15" customHeight="1" x14ac:dyDescent="0.2">
      <c r="B15" t="s">
        <v>200</v>
      </c>
      <c r="C15" s="12">
        <v>67</v>
      </c>
      <c r="D15" s="8">
        <v>16.46</v>
      </c>
      <c r="E15" s="12">
        <v>55</v>
      </c>
      <c r="F15" s="8">
        <v>27.36</v>
      </c>
      <c r="G15" s="12">
        <v>11</v>
      </c>
      <c r="H15" s="8">
        <v>5.64</v>
      </c>
      <c r="I15" s="12">
        <v>0</v>
      </c>
    </row>
    <row r="16" spans="2:9" ht="15" customHeight="1" x14ac:dyDescent="0.2">
      <c r="B16" t="s">
        <v>201</v>
      </c>
      <c r="C16" s="12">
        <v>54</v>
      </c>
      <c r="D16" s="8">
        <v>13.27</v>
      </c>
      <c r="E16" s="12">
        <v>45</v>
      </c>
      <c r="F16" s="8">
        <v>22.39</v>
      </c>
      <c r="G16" s="12">
        <v>7</v>
      </c>
      <c r="H16" s="8">
        <v>3.59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1.72</v>
      </c>
      <c r="E17" s="12">
        <v>4</v>
      </c>
      <c r="F17" s="8">
        <v>1.99</v>
      </c>
      <c r="G17" s="12">
        <v>1</v>
      </c>
      <c r="H17" s="8">
        <v>0.51</v>
      </c>
      <c r="I17" s="12">
        <v>0</v>
      </c>
    </row>
    <row r="18" spans="2:9" ht="15" customHeight="1" x14ac:dyDescent="0.2">
      <c r="B18" t="s">
        <v>203</v>
      </c>
      <c r="C18" s="12">
        <v>24</v>
      </c>
      <c r="D18" s="8">
        <v>5.9</v>
      </c>
      <c r="E18" s="12">
        <v>9</v>
      </c>
      <c r="F18" s="8">
        <v>4.4800000000000004</v>
      </c>
      <c r="G18" s="12">
        <v>10</v>
      </c>
      <c r="H18" s="8">
        <v>5.13</v>
      </c>
      <c r="I18" s="12">
        <v>0</v>
      </c>
    </row>
    <row r="19" spans="2:9" ht="15" customHeight="1" x14ac:dyDescent="0.2">
      <c r="B19" t="s">
        <v>204</v>
      </c>
      <c r="C19" s="12">
        <v>20</v>
      </c>
      <c r="D19" s="8">
        <v>4.91</v>
      </c>
      <c r="E19" s="12">
        <v>8</v>
      </c>
      <c r="F19" s="8">
        <v>3.98</v>
      </c>
      <c r="G19" s="12">
        <v>11</v>
      </c>
      <c r="H19" s="8">
        <v>5.64</v>
      </c>
      <c r="I19" s="12">
        <v>1</v>
      </c>
    </row>
    <row r="20" spans="2:9" ht="15" customHeight="1" x14ac:dyDescent="0.2">
      <c r="B20" s="9" t="s">
        <v>529</v>
      </c>
      <c r="C20" s="12">
        <f>SUM(LTBL_01578[総数／事業所数])</f>
        <v>407</v>
      </c>
      <c r="E20" s="12">
        <f>SUBTOTAL(109,LTBL_01578[個人／事業所数])</f>
        <v>201</v>
      </c>
      <c r="G20" s="12">
        <f>SUBTOTAL(109,LTBL_01578[法人／事業所数])</f>
        <v>195</v>
      </c>
      <c r="I20" s="12">
        <f>SUBTOTAL(109,LTBL_01578[法人以外の団体／事業所数])</f>
        <v>1</v>
      </c>
    </row>
    <row r="21" spans="2:9" ht="15" customHeight="1" x14ac:dyDescent="0.2">
      <c r="E21" s="11">
        <f>LTBL_01578[[#Totals],[個人／事業所数]]/LTBL_01578[[#Totals],[総数／事業所数]]</f>
        <v>0.49385749385749383</v>
      </c>
      <c r="G21" s="11">
        <f>LTBL_01578[[#Totals],[法人／事業所数]]/LTBL_01578[[#Totals],[総数／事業所数]]</f>
        <v>0.47911547911547914</v>
      </c>
      <c r="I21" s="11">
        <f>LTBL_01578[[#Totals],[法人以外の団体／事業所数]]/LTBL_01578[[#Totals],[総数／事業所数]]</f>
        <v>2.4570024570024569E-3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54</v>
      </c>
      <c r="D24" s="8">
        <v>13.27</v>
      </c>
      <c r="E24" s="12">
        <v>47</v>
      </c>
      <c r="F24" s="8">
        <v>23.38</v>
      </c>
      <c r="G24" s="12">
        <v>7</v>
      </c>
      <c r="H24" s="8">
        <v>3.59</v>
      </c>
      <c r="I24" s="12">
        <v>0</v>
      </c>
    </row>
    <row r="25" spans="2:9" ht="15" customHeight="1" x14ac:dyDescent="0.2">
      <c r="B25" t="s">
        <v>228</v>
      </c>
      <c r="C25" s="12">
        <v>48</v>
      </c>
      <c r="D25" s="8">
        <v>11.79</v>
      </c>
      <c r="E25" s="12">
        <v>43</v>
      </c>
      <c r="F25" s="8">
        <v>21.39</v>
      </c>
      <c r="G25" s="12">
        <v>5</v>
      </c>
      <c r="H25" s="8">
        <v>2.56</v>
      </c>
      <c r="I25" s="12">
        <v>0</v>
      </c>
    </row>
    <row r="26" spans="2:9" ht="15" customHeight="1" x14ac:dyDescent="0.2">
      <c r="B26" t="s">
        <v>213</v>
      </c>
      <c r="C26" s="12">
        <v>25</v>
      </c>
      <c r="D26" s="8">
        <v>6.14</v>
      </c>
      <c r="E26" s="12">
        <v>11</v>
      </c>
      <c r="F26" s="8">
        <v>5.47</v>
      </c>
      <c r="G26" s="12">
        <v>14</v>
      </c>
      <c r="H26" s="8">
        <v>7.18</v>
      </c>
      <c r="I26" s="12">
        <v>0</v>
      </c>
    </row>
    <row r="27" spans="2:9" ht="15" customHeight="1" x14ac:dyDescent="0.2">
      <c r="B27" t="s">
        <v>221</v>
      </c>
      <c r="C27" s="12">
        <v>22</v>
      </c>
      <c r="D27" s="8">
        <v>5.41</v>
      </c>
      <c r="E27" s="12">
        <v>10</v>
      </c>
      <c r="F27" s="8">
        <v>4.9800000000000004</v>
      </c>
      <c r="G27" s="12">
        <v>12</v>
      </c>
      <c r="H27" s="8">
        <v>6.15</v>
      </c>
      <c r="I27" s="12">
        <v>0</v>
      </c>
    </row>
    <row r="28" spans="2:9" ht="15" customHeight="1" x14ac:dyDescent="0.2">
      <c r="B28" t="s">
        <v>223</v>
      </c>
      <c r="C28" s="12">
        <v>20</v>
      </c>
      <c r="D28" s="8">
        <v>4.91</v>
      </c>
      <c r="E28" s="12">
        <v>10</v>
      </c>
      <c r="F28" s="8">
        <v>4.9800000000000004</v>
      </c>
      <c r="G28" s="12">
        <v>10</v>
      </c>
      <c r="H28" s="8">
        <v>5.13</v>
      </c>
      <c r="I28" s="12">
        <v>0</v>
      </c>
    </row>
    <row r="29" spans="2:9" ht="15" customHeight="1" x14ac:dyDescent="0.2">
      <c r="B29" t="s">
        <v>214</v>
      </c>
      <c r="C29" s="12">
        <v>18</v>
      </c>
      <c r="D29" s="8">
        <v>4.42</v>
      </c>
      <c r="E29" s="12">
        <v>8</v>
      </c>
      <c r="F29" s="8">
        <v>3.98</v>
      </c>
      <c r="G29" s="12">
        <v>10</v>
      </c>
      <c r="H29" s="8">
        <v>5.13</v>
      </c>
      <c r="I29" s="12">
        <v>0</v>
      </c>
    </row>
    <row r="30" spans="2:9" ht="15" customHeight="1" x14ac:dyDescent="0.2">
      <c r="B30" t="s">
        <v>232</v>
      </c>
      <c r="C30" s="12">
        <v>15</v>
      </c>
      <c r="D30" s="8">
        <v>3.69</v>
      </c>
      <c r="E30" s="12">
        <v>0</v>
      </c>
      <c r="F30" s="8">
        <v>0</v>
      </c>
      <c r="G30" s="12">
        <v>10</v>
      </c>
      <c r="H30" s="8">
        <v>5.13</v>
      </c>
      <c r="I30" s="12">
        <v>0</v>
      </c>
    </row>
    <row r="31" spans="2:9" ht="15" customHeight="1" x14ac:dyDescent="0.2">
      <c r="B31" t="s">
        <v>241</v>
      </c>
      <c r="C31" s="12">
        <v>14</v>
      </c>
      <c r="D31" s="8">
        <v>3.44</v>
      </c>
      <c r="E31" s="12">
        <v>5</v>
      </c>
      <c r="F31" s="8">
        <v>2.4900000000000002</v>
      </c>
      <c r="G31" s="12">
        <v>9</v>
      </c>
      <c r="H31" s="8">
        <v>4.62</v>
      </c>
      <c r="I31" s="12">
        <v>0</v>
      </c>
    </row>
    <row r="32" spans="2:9" ht="15" customHeight="1" x14ac:dyDescent="0.2">
      <c r="B32" t="s">
        <v>217</v>
      </c>
      <c r="C32" s="12">
        <v>14</v>
      </c>
      <c r="D32" s="8">
        <v>3.44</v>
      </c>
      <c r="E32" s="12">
        <v>2</v>
      </c>
      <c r="F32" s="8">
        <v>1</v>
      </c>
      <c r="G32" s="12">
        <v>12</v>
      </c>
      <c r="H32" s="8">
        <v>6.15</v>
      </c>
      <c r="I32" s="12">
        <v>0</v>
      </c>
    </row>
    <row r="33" spans="2:9" ht="15" customHeight="1" x14ac:dyDescent="0.2">
      <c r="B33" t="s">
        <v>224</v>
      </c>
      <c r="C33" s="12">
        <v>13</v>
      </c>
      <c r="D33" s="8">
        <v>3.19</v>
      </c>
      <c r="E33" s="12">
        <v>7</v>
      </c>
      <c r="F33" s="8">
        <v>3.48</v>
      </c>
      <c r="G33" s="12">
        <v>6</v>
      </c>
      <c r="H33" s="8">
        <v>3.08</v>
      </c>
      <c r="I33" s="12">
        <v>0</v>
      </c>
    </row>
    <row r="34" spans="2:9" ht="15" customHeight="1" x14ac:dyDescent="0.2">
      <c r="B34" t="s">
        <v>215</v>
      </c>
      <c r="C34" s="12">
        <v>12</v>
      </c>
      <c r="D34" s="8">
        <v>2.95</v>
      </c>
      <c r="E34" s="12">
        <v>3</v>
      </c>
      <c r="F34" s="8">
        <v>1.49</v>
      </c>
      <c r="G34" s="12">
        <v>9</v>
      </c>
      <c r="H34" s="8">
        <v>4.62</v>
      </c>
      <c r="I34" s="12">
        <v>0</v>
      </c>
    </row>
    <row r="35" spans="2:9" ht="15" customHeight="1" x14ac:dyDescent="0.2">
      <c r="B35" t="s">
        <v>222</v>
      </c>
      <c r="C35" s="12">
        <v>12</v>
      </c>
      <c r="D35" s="8">
        <v>2.95</v>
      </c>
      <c r="E35" s="12">
        <v>5</v>
      </c>
      <c r="F35" s="8">
        <v>2.4900000000000002</v>
      </c>
      <c r="G35" s="12">
        <v>7</v>
      </c>
      <c r="H35" s="8">
        <v>3.59</v>
      </c>
      <c r="I35" s="12">
        <v>0</v>
      </c>
    </row>
    <row r="36" spans="2:9" ht="15" customHeight="1" x14ac:dyDescent="0.2">
      <c r="B36" t="s">
        <v>240</v>
      </c>
      <c r="C36" s="12">
        <v>11</v>
      </c>
      <c r="D36" s="8">
        <v>2.7</v>
      </c>
      <c r="E36" s="12">
        <v>7</v>
      </c>
      <c r="F36" s="8">
        <v>3.48</v>
      </c>
      <c r="G36" s="12">
        <v>4</v>
      </c>
      <c r="H36" s="8">
        <v>2.0499999999999998</v>
      </c>
      <c r="I36" s="12">
        <v>0</v>
      </c>
    </row>
    <row r="37" spans="2:9" ht="15" customHeight="1" x14ac:dyDescent="0.2">
      <c r="B37" t="s">
        <v>243</v>
      </c>
      <c r="C37" s="12">
        <v>9</v>
      </c>
      <c r="D37" s="8">
        <v>2.21</v>
      </c>
      <c r="E37" s="12">
        <v>7</v>
      </c>
      <c r="F37" s="8">
        <v>3.48</v>
      </c>
      <c r="G37" s="12">
        <v>2</v>
      </c>
      <c r="H37" s="8">
        <v>1.03</v>
      </c>
      <c r="I37" s="12">
        <v>0</v>
      </c>
    </row>
    <row r="38" spans="2:9" ht="15" customHeight="1" x14ac:dyDescent="0.2">
      <c r="B38" t="s">
        <v>231</v>
      </c>
      <c r="C38" s="12">
        <v>9</v>
      </c>
      <c r="D38" s="8">
        <v>2.21</v>
      </c>
      <c r="E38" s="12">
        <v>9</v>
      </c>
      <c r="F38" s="8">
        <v>4.4800000000000004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254</v>
      </c>
      <c r="C39" s="12">
        <v>8</v>
      </c>
      <c r="D39" s="8">
        <v>1.97</v>
      </c>
      <c r="E39" s="12">
        <v>0</v>
      </c>
      <c r="F39" s="8">
        <v>0</v>
      </c>
      <c r="G39" s="12">
        <v>8</v>
      </c>
      <c r="H39" s="8">
        <v>4.0999999999999996</v>
      </c>
      <c r="I39" s="12">
        <v>0</v>
      </c>
    </row>
    <row r="40" spans="2:9" ht="15" customHeight="1" x14ac:dyDescent="0.2">
      <c r="B40" t="s">
        <v>218</v>
      </c>
      <c r="C40" s="12">
        <v>7</v>
      </c>
      <c r="D40" s="8">
        <v>1.72</v>
      </c>
      <c r="E40" s="12">
        <v>0</v>
      </c>
      <c r="F40" s="8">
        <v>0</v>
      </c>
      <c r="G40" s="12">
        <v>7</v>
      </c>
      <c r="H40" s="8">
        <v>3.59</v>
      </c>
      <c r="I40" s="12">
        <v>0</v>
      </c>
    </row>
    <row r="41" spans="2:9" ht="15" customHeight="1" x14ac:dyDescent="0.2">
      <c r="B41" t="s">
        <v>230</v>
      </c>
      <c r="C41" s="12">
        <v>7</v>
      </c>
      <c r="D41" s="8">
        <v>1.72</v>
      </c>
      <c r="E41" s="12">
        <v>4</v>
      </c>
      <c r="F41" s="8">
        <v>1.99</v>
      </c>
      <c r="G41" s="12">
        <v>1</v>
      </c>
      <c r="H41" s="8">
        <v>0.51</v>
      </c>
      <c r="I41" s="12">
        <v>0</v>
      </c>
    </row>
    <row r="42" spans="2:9" ht="15" customHeight="1" x14ac:dyDescent="0.2">
      <c r="B42" t="s">
        <v>244</v>
      </c>
      <c r="C42" s="12">
        <v>5</v>
      </c>
      <c r="D42" s="8">
        <v>1.23</v>
      </c>
      <c r="E42" s="12">
        <v>2</v>
      </c>
      <c r="F42" s="8">
        <v>1</v>
      </c>
      <c r="G42" s="12">
        <v>3</v>
      </c>
      <c r="H42" s="8">
        <v>1.54</v>
      </c>
      <c r="I42" s="12">
        <v>0</v>
      </c>
    </row>
    <row r="43" spans="2:9" ht="15" customHeight="1" x14ac:dyDescent="0.2">
      <c r="B43" t="s">
        <v>216</v>
      </c>
      <c r="C43" s="12">
        <v>5</v>
      </c>
      <c r="D43" s="8">
        <v>1.23</v>
      </c>
      <c r="E43" s="12">
        <v>0</v>
      </c>
      <c r="F43" s="8">
        <v>0</v>
      </c>
      <c r="G43" s="12">
        <v>5</v>
      </c>
      <c r="H43" s="8">
        <v>2.56</v>
      </c>
      <c r="I43" s="12">
        <v>0</v>
      </c>
    </row>
    <row r="44" spans="2:9" ht="15" customHeight="1" x14ac:dyDescent="0.2">
      <c r="B44" t="s">
        <v>219</v>
      </c>
      <c r="C44" s="12">
        <v>5</v>
      </c>
      <c r="D44" s="8">
        <v>1.23</v>
      </c>
      <c r="E44" s="12">
        <v>0</v>
      </c>
      <c r="F44" s="8">
        <v>0</v>
      </c>
      <c r="G44" s="12">
        <v>5</v>
      </c>
      <c r="H44" s="8">
        <v>2.56</v>
      </c>
      <c r="I44" s="12">
        <v>0</v>
      </c>
    </row>
    <row r="45" spans="2:9" ht="15" customHeight="1" x14ac:dyDescent="0.2">
      <c r="B45" t="s">
        <v>220</v>
      </c>
      <c r="C45" s="12">
        <v>5</v>
      </c>
      <c r="D45" s="8">
        <v>1.23</v>
      </c>
      <c r="E45" s="12">
        <v>4</v>
      </c>
      <c r="F45" s="8">
        <v>1.99</v>
      </c>
      <c r="G45" s="12">
        <v>1</v>
      </c>
      <c r="H45" s="8">
        <v>0.51</v>
      </c>
      <c r="I45" s="12">
        <v>0</v>
      </c>
    </row>
    <row r="46" spans="2:9" ht="15" customHeight="1" x14ac:dyDescent="0.2">
      <c r="B46" t="s">
        <v>236</v>
      </c>
      <c r="C46" s="12">
        <v>5</v>
      </c>
      <c r="D46" s="8">
        <v>1.23</v>
      </c>
      <c r="E46" s="12">
        <v>2</v>
      </c>
      <c r="F46" s="8">
        <v>1</v>
      </c>
      <c r="G46" s="12">
        <v>3</v>
      </c>
      <c r="H46" s="8">
        <v>1.54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304</v>
      </c>
      <c r="C50" s="12">
        <v>19</v>
      </c>
      <c r="D50" s="8">
        <v>4.67</v>
      </c>
      <c r="E50" s="12">
        <v>19</v>
      </c>
      <c r="F50" s="8">
        <v>9.4499999999999993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303</v>
      </c>
      <c r="C51" s="12">
        <v>18</v>
      </c>
      <c r="D51" s="8">
        <v>4.42</v>
      </c>
      <c r="E51" s="12">
        <v>17</v>
      </c>
      <c r="F51" s="8">
        <v>8.4600000000000009</v>
      </c>
      <c r="G51" s="12">
        <v>1</v>
      </c>
      <c r="H51" s="8">
        <v>0.51</v>
      </c>
      <c r="I51" s="12">
        <v>0</v>
      </c>
    </row>
    <row r="52" spans="2:9" ht="15" customHeight="1" x14ac:dyDescent="0.2">
      <c r="B52" t="s">
        <v>299</v>
      </c>
      <c r="C52" s="12">
        <v>17</v>
      </c>
      <c r="D52" s="8">
        <v>4.18</v>
      </c>
      <c r="E52" s="12">
        <v>14</v>
      </c>
      <c r="F52" s="8">
        <v>6.97</v>
      </c>
      <c r="G52" s="12">
        <v>3</v>
      </c>
      <c r="H52" s="8">
        <v>1.54</v>
      </c>
      <c r="I52" s="12">
        <v>0</v>
      </c>
    </row>
    <row r="53" spans="2:9" ht="15" customHeight="1" x14ac:dyDescent="0.2">
      <c r="B53" t="s">
        <v>301</v>
      </c>
      <c r="C53" s="12">
        <v>16</v>
      </c>
      <c r="D53" s="8">
        <v>3.93</v>
      </c>
      <c r="E53" s="12">
        <v>15</v>
      </c>
      <c r="F53" s="8">
        <v>7.46</v>
      </c>
      <c r="G53" s="12">
        <v>1</v>
      </c>
      <c r="H53" s="8">
        <v>0.51</v>
      </c>
      <c r="I53" s="12">
        <v>0</v>
      </c>
    </row>
    <row r="54" spans="2:9" ht="15" customHeight="1" x14ac:dyDescent="0.2">
      <c r="B54" t="s">
        <v>342</v>
      </c>
      <c r="C54" s="12">
        <v>12</v>
      </c>
      <c r="D54" s="8">
        <v>2.95</v>
      </c>
      <c r="E54" s="12">
        <v>5</v>
      </c>
      <c r="F54" s="8">
        <v>2.4900000000000002</v>
      </c>
      <c r="G54" s="12">
        <v>7</v>
      </c>
      <c r="H54" s="8">
        <v>3.59</v>
      </c>
      <c r="I54" s="12">
        <v>0</v>
      </c>
    </row>
    <row r="55" spans="2:9" ht="15" customHeight="1" x14ac:dyDescent="0.2">
      <c r="B55" t="s">
        <v>307</v>
      </c>
      <c r="C55" s="12">
        <v>11</v>
      </c>
      <c r="D55" s="8">
        <v>2.7</v>
      </c>
      <c r="E55" s="12">
        <v>7</v>
      </c>
      <c r="F55" s="8">
        <v>3.48</v>
      </c>
      <c r="G55" s="12">
        <v>4</v>
      </c>
      <c r="H55" s="8">
        <v>2.0499999999999998</v>
      </c>
      <c r="I55" s="12">
        <v>0</v>
      </c>
    </row>
    <row r="56" spans="2:9" ht="15" customHeight="1" x14ac:dyDescent="0.2">
      <c r="B56" t="s">
        <v>297</v>
      </c>
      <c r="C56" s="12">
        <v>10</v>
      </c>
      <c r="D56" s="8">
        <v>2.46</v>
      </c>
      <c r="E56" s="12">
        <v>7</v>
      </c>
      <c r="F56" s="8">
        <v>3.48</v>
      </c>
      <c r="G56" s="12">
        <v>3</v>
      </c>
      <c r="H56" s="8">
        <v>1.54</v>
      </c>
      <c r="I56" s="12">
        <v>0</v>
      </c>
    </row>
    <row r="57" spans="2:9" ht="15" customHeight="1" x14ac:dyDescent="0.2">
      <c r="B57" t="s">
        <v>292</v>
      </c>
      <c r="C57" s="12">
        <v>9</v>
      </c>
      <c r="D57" s="8">
        <v>2.21</v>
      </c>
      <c r="E57" s="12">
        <v>5</v>
      </c>
      <c r="F57" s="8">
        <v>2.4900000000000002</v>
      </c>
      <c r="G57" s="12">
        <v>4</v>
      </c>
      <c r="H57" s="8">
        <v>2.0499999999999998</v>
      </c>
      <c r="I57" s="12">
        <v>0</v>
      </c>
    </row>
    <row r="58" spans="2:9" ht="15" customHeight="1" x14ac:dyDescent="0.2">
      <c r="B58" t="s">
        <v>288</v>
      </c>
      <c r="C58" s="12">
        <v>8</v>
      </c>
      <c r="D58" s="8">
        <v>1.97</v>
      </c>
      <c r="E58" s="12">
        <v>1</v>
      </c>
      <c r="F58" s="8">
        <v>0.5</v>
      </c>
      <c r="G58" s="12">
        <v>7</v>
      </c>
      <c r="H58" s="8">
        <v>3.59</v>
      </c>
      <c r="I58" s="12">
        <v>0</v>
      </c>
    </row>
    <row r="59" spans="2:9" ht="15" customHeight="1" x14ac:dyDescent="0.2">
      <c r="B59" t="s">
        <v>328</v>
      </c>
      <c r="C59" s="12">
        <v>8</v>
      </c>
      <c r="D59" s="8">
        <v>1.97</v>
      </c>
      <c r="E59" s="12">
        <v>6</v>
      </c>
      <c r="F59" s="8">
        <v>2.99</v>
      </c>
      <c r="G59" s="12">
        <v>2</v>
      </c>
      <c r="H59" s="8">
        <v>1.03</v>
      </c>
      <c r="I59" s="12">
        <v>0</v>
      </c>
    </row>
    <row r="60" spans="2:9" ht="15" customHeight="1" x14ac:dyDescent="0.2">
      <c r="B60" t="s">
        <v>346</v>
      </c>
      <c r="C60" s="12">
        <v>8</v>
      </c>
      <c r="D60" s="8">
        <v>1.97</v>
      </c>
      <c r="E60" s="12">
        <v>1</v>
      </c>
      <c r="F60" s="8">
        <v>0.5</v>
      </c>
      <c r="G60" s="12">
        <v>7</v>
      </c>
      <c r="H60" s="8">
        <v>3.59</v>
      </c>
      <c r="I60" s="12">
        <v>0</v>
      </c>
    </row>
    <row r="61" spans="2:9" ht="15" customHeight="1" x14ac:dyDescent="0.2">
      <c r="B61" t="s">
        <v>339</v>
      </c>
      <c r="C61" s="12">
        <v>8</v>
      </c>
      <c r="D61" s="8">
        <v>1.97</v>
      </c>
      <c r="E61" s="12">
        <v>6</v>
      </c>
      <c r="F61" s="8">
        <v>2.99</v>
      </c>
      <c r="G61" s="12">
        <v>2</v>
      </c>
      <c r="H61" s="8">
        <v>1.03</v>
      </c>
      <c r="I61" s="12">
        <v>0</v>
      </c>
    </row>
    <row r="62" spans="2:9" ht="15" customHeight="1" x14ac:dyDescent="0.2">
      <c r="B62" t="s">
        <v>290</v>
      </c>
      <c r="C62" s="12">
        <v>7</v>
      </c>
      <c r="D62" s="8">
        <v>1.72</v>
      </c>
      <c r="E62" s="12">
        <v>2</v>
      </c>
      <c r="F62" s="8">
        <v>1</v>
      </c>
      <c r="G62" s="12">
        <v>5</v>
      </c>
      <c r="H62" s="8">
        <v>2.56</v>
      </c>
      <c r="I62" s="12">
        <v>0</v>
      </c>
    </row>
    <row r="63" spans="2:9" ht="15" customHeight="1" x14ac:dyDescent="0.2">
      <c r="B63" t="s">
        <v>329</v>
      </c>
      <c r="C63" s="12">
        <v>7</v>
      </c>
      <c r="D63" s="8">
        <v>1.72</v>
      </c>
      <c r="E63" s="12">
        <v>3</v>
      </c>
      <c r="F63" s="8">
        <v>1.49</v>
      </c>
      <c r="G63" s="12">
        <v>4</v>
      </c>
      <c r="H63" s="8">
        <v>2.0499999999999998</v>
      </c>
      <c r="I63" s="12">
        <v>0</v>
      </c>
    </row>
    <row r="64" spans="2:9" ht="15" customHeight="1" x14ac:dyDescent="0.2">
      <c r="B64" t="s">
        <v>330</v>
      </c>
      <c r="C64" s="12">
        <v>7</v>
      </c>
      <c r="D64" s="8">
        <v>1.72</v>
      </c>
      <c r="E64" s="12">
        <v>1</v>
      </c>
      <c r="F64" s="8">
        <v>0.5</v>
      </c>
      <c r="G64" s="12">
        <v>6</v>
      </c>
      <c r="H64" s="8">
        <v>3.08</v>
      </c>
      <c r="I64" s="12">
        <v>0</v>
      </c>
    </row>
    <row r="65" spans="2:9" ht="15" customHeight="1" x14ac:dyDescent="0.2">
      <c r="B65" t="s">
        <v>302</v>
      </c>
      <c r="C65" s="12">
        <v>7</v>
      </c>
      <c r="D65" s="8">
        <v>1.72</v>
      </c>
      <c r="E65" s="12">
        <v>5</v>
      </c>
      <c r="F65" s="8">
        <v>2.4900000000000002</v>
      </c>
      <c r="G65" s="12">
        <v>2</v>
      </c>
      <c r="H65" s="8">
        <v>1.03</v>
      </c>
      <c r="I65" s="12">
        <v>0</v>
      </c>
    </row>
    <row r="66" spans="2:9" ht="15" customHeight="1" x14ac:dyDescent="0.2">
      <c r="B66" t="s">
        <v>385</v>
      </c>
      <c r="C66" s="12">
        <v>6</v>
      </c>
      <c r="D66" s="8">
        <v>1.47</v>
      </c>
      <c r="E66" s="12">
        <v>0</v>
      </c>
      <c r="F66" s="8">
        <v>0</v>
      </c>
      <c r="G66" s="12">
        <v>6</v>
      </c>
      <c r="H66" s="8">
        <v>3.08</v>
      </c>
      <c r="I66" s="12">
        <v>0</v>
      </c>
    </row>
    <row r="67" spans="2:9" ht="15" customHeight="1" x14ac:dyDescent="0.2">
      <c r="B67" t="s">
        <v>293</v>
      </c>
      <c r="C67" s="12">
        <v>6</v>
      </c>
      <c r="D67" s="8">
        <v>1.47</v>
      </c>
      <c r="E67" s="12">
        <v>1</v>
      </c>
      <c r="F67" s="8">
        <v>0.5</v>
      </c>
      <c r="G67" s="12">
        <v>5</v>
      </c>
      <c r="H67" s="8">
        <v>2.56</v>
      </c>
      <c r="I67" s="12">
        <v>0</v>
      </c>
    </row>
    <row r="68" spans="2:9" ht="15" customHeight="1" x14ac:dyDescent="0.2">
      <c r="B68" t="s">
        <v>334</v>
      </c>
      <c r="C68" s="12">
        <v>6</v>
      </c>
      <c r="D68" s="8">
        <v>1.47</v>
      </c>
      <c r="E68" s="12">
        <v>5</v>
      </c>
      <c r="F68" s="8">
        <v>2.4900000000000002</v>
      </c>
      <c r="G68" s="12">
        <v>1</v>
      </c>
      <c r="H68" s="8">
        <v>0.51</v>
      </c>
      <c r="I68" s="12">
        <v>0</v>
      </c>
    </row>
    <row r="69" spans="2:9" ht="15" customHeight="1" x14ac:dyDescent="0.2">
      <c r="B69" t="s">
        <v>306</v>
      </c>
      <c r="C69" s="12">
        <v>6</v>
      </c>
      <c r="D69" s="8">
        <v>1.47</v>
      </c>
      <c r="E69" s="12">
        <v>6</v>
      </c>
      <c r="F69" s="8">
        <v>2.99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341</v>
      </c>
      <c r="C70" s="12">
        <v>6</v>
      </c>
      <c r="D70" s="8">
        <v>1.47</v>
      </c>
      <c r="E70" s="12">
        <v>0</v>
      </c>
      <c r="F70" s="8">
        <v>0</v>
      </c>
      <c r="G70" s="12">
        <v>1</v>
      </c>
      <c r="H70" s="8">
        <v>0.51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002D7-3B85-46E3-AD0A-9D7D066A215B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1.68</v>
      </c>
      <c r="E5" s="12">
        <v>0</v>
      </c>
      <c r="F5" s="8">
        <v>0</v>
      </c>
      <c r="G5" s="12">
        <v>2</v>
      </c>
      <c r="H5" s="8">
        <v>3.39</v>
      </c>
      <c r="I5" s="12">
        <v>0</v>
      </c>
    </row>
    <row r="6" spans="2:9" ht="15" customHeight="1" x14ac:dyDescent="0.2">
      <c r="B6" t="s">
        <v>191</v>
      </c>
      <c r="C6" s="12">
        <v>14</v>
      </c>
      <c r="D6" s="8">
        <v>11.76</v>
      </c>
      <c r="E6" s="12">
        <v>2</v>
      </c>
      <c r="F6" s="8">
        <v>3.77</v>
      </c>
      <c r="G6" s="12">
        <v>12</v>
      </c>
      <c r="H6" s="8">
        <v>20.34</v>
      </c>
      <c r="I6" s="12">
        <v>0</v>
      </c>
    </row>
    <row r="7" spans="2:9" ht="15" customHeight="1" x14ac:dyDescent="0.2">
      <c r="B7" t="s">
        <v>192</v>
      </c>
      <c r="C7" s="12">
        <v>10</v>
      </c>
      <c r="D7" s="8">
        <v>8.4</v>
      </c>
      <c r="E7" s="12">
        <v>4</v>
      </c>
      <c r="F7" s="8">
        <v>7.55</v>
      </c>
      <c r="G7" s="12">
        <v>6</v>
      </c>
      <c r="H7" s="8">
        <v>10.17</v>
      </c>
      <c r="I7" s="12">
        <v>0</v>
      </c>
    </row>
    <row r="8" spans="2:9" ht="15" customHeight="1" x14ac:dyDescent="0.2">
      <c r="B8" t="s">
        <v>193</v>
      </c>
      <c r="C8" s="12">
        <v>4</v>
      </c>
      <c r="D8" s="8">
        <v>3.36</v>
      </c>
      <c r="E8" s="12">
        <v>0</v>
      </c>
      <c r="F8" s="8">
        <v>0</v>
      </c>
      <c r="G8" s="12">
        <v>3</v>
      </c>
      <c r="H8" s="8">
        <v>5.08</v>
      </c>
      <c r="I8" s="12">
        <v>0</v>
      </c>
    </row>
    <row r="9" spans="2:9" ht="15" customHeight="1" x14ac:dyDescent="0.2">
      <c r="B9" t="s">
        <v>194</v>
      </c>
      <c r="C9" s="12">
        <v>4</v>
      </c>
      <c r="D9" s="8">
        <v>3.36</v>
      </c>
      <c r="E9" s="12">
        <v>3</v>
      </c>
      <c r="F9" s="8">
        <v>5.66</v>
      </c>
      <c r="G9" s="12">
        <v>1</v>
      </c>
      <c r="H9" s="8">
        <v>1.69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0.84</v>
      </c>
      <c r="E10" s="12">
        <v>0</v>
      </c>
      <c r="F10" s="8">
        <v>0</v>
      </c>
      <c r="G10" s="12">
        <v>1</v>
      </c>
      <c r="H10" s="8">
        <v>1.69</v>
      </c>
      <c r="I10" s="12">
        <v>0</v>
      </c>
    </row>
    <row r="11" spans="2:9" ht="15" customHeight="1" x14ac:dyDescent="0.2">
      <c r="B11" t="s">
        <v>196</v>
      </c>
      <c r="C11" s="12">
        <v>26</v>
      </c>
      <c r="D11" s="8">
        <v>21.85</v>
      </c>
      <c r="E11" s="12">
        <v>12</v>
      </c>
      <c r="F11" s="8">
        <v>22.64</v>
      </c>
      <c r="G11" s="12">
        <v>14</v>
      </c>
      <c r="H11" s="8">
        <v>23.73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0.84</v>
      </c>
      <c r="E12" s="12">
        <v>0</v>
      </c>
      <c r="F12" s="8">
        <v>0</v>
      </c>
      <c r="G12" s="12">
        <v>1</v>
      </c>
      <c r="H12" s="8">
        <v>1.69</v>
      </c>
      <c r="I12" s="12">
        <v>0</v>
      </c>
    </row>
    <row r="13" spans="2:9" ht="15" customHeight="1" x14ac:dyDescent="0.2">
      <c r="B13" t="s">
        <v>198</v>
      </c>
      <c r="C13" s="12">
        <v>6</v>
      </c>
      <c r="D13" s="8">
        <v>5.04</v>
      </c>
      <c r="E13" s="12">
        <v>1</v>
      </c>
      <c r="F13" s="8">
        <v>1.89</v>
      </c>
      <c r="G13" s="12">
        <v>5</v>
      </c>
      <c r="H13" s="8">
        <v>8.4700000000000006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3.36</v>
      </c>
      <c r="E14" s="12">
        <v>2</v>
      </c>
      <c r="F14" s="8">
        <v>3.77</v>
      </c>
      <c r="G14" s="12">
        <v>1</v>
      </c>
      <c r="H14" s="8">
        <v>1.69</v>
      </c>
      <c r="I14" s="12">
        <v>0</v>
      </c>
    </row>
    <row r="15" spans="2:9" ht="15" customHeight="1" x14ac:dyDescent="0.2">
      <c r="B15" t="s">
        <v>200</v>
      </c>
      <c r="C15" s="12">
        <v>18</v>
      </c>
      <c r="D15" s="8">
        <v>15.13</v>
      </c>
      <c r="E15" s="12">
        <v>15</v>
      </c>
      <c r="F15" s="8">
        <v>28.3</v>
      </c>
      <c r="G15" s="12">
        <v>3</v>
      </c>
      <c r="H15" s="8">
        <v>5.08</v>
      </c>
      <c r="I15" s="12">
        <v>0</v>
      </c>
    </row>
    <row r="16" spans="2:9" ht="15" customHeight="1" x14ac:dyDescent="0.2">
      <c r="B16" t="s">
        <v>201</v>
      </c>
      <c r="C16" s="12">
        <v>11</v>
      </c>
      <c r="D16" s="8">
        <v>9.24</v>
      </c>
      <c r="E16" s="12">
        <v>7</v>
      </c>
      <c r="F16" s="8">
        <v>13.21</v>
      </c>
      <c r="G16" s="12">
        <v>2</v>
      </c>
      <c r="H16" s="8">
        <v>3.39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0.84</v>
      </c>
      <c r="E17" s="12">
        <v>1</v>
      </c>
      <c r="F17" s="8">
        <v>1.89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9</v>
      </c>
      <c r="D18" s="8">
        <v>7.56</v>
      </c>
      <c r="E18" s="12">
        <v>4</v>
      </c>
      <c r="F18" s="8">
        <v>7.55</v>
      </c>
      <c r="G18" s="12">
        <v>3</v>
      </c>
      <c r="H18" s="8">
        <v>5.08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6.72</v>
      </c>
      <c r="E19" s="12">
        <v>2</v>
      </c>
      <c r="F19" s="8">
        <v>3.77</v>
      </c>
      <c r="G19" s="12">
        <v>5</v>
      </c>
      <c r="H19" s="8">
        <v>8.4700000000000006</v>
      </c>
      <c r="I19" s="12">
        <v>1</v>
      </c>
    </row>
    <row r="20" spans="2:9" ht="15" customHeight="1" x14ac:dyDescent="0.2">
      <c r="B20" s="9" t="s">
        <v>529</v>
      </c>
      <c r="C20" s="12">
        <f>SUM(LTBL_01581[総数／事業所数])</f>
        <v>119</v>
      </c>
      <c r="E20" s="12">
        <f>SUBTOTAL(109,LTBL_01581[個人／事業所数])</f>
        <v>53</v>
      </c>
      <c r="G20" s="12">
        <f>SUBTOTAL(109,LTBL_01581[法人／事業所数])</f>
        <v>59</v>
      </c>
      <c r="I20" s="12">
        <f>SUBTOTAL(109,LTBL_01581[法人以外の団体／事業所数])</f>
        <v>1</v>
      </c>
    </row>
    <row r="21" spans="2:9" ht="15" customHeight="1" x14ac:dyDescent="0.2">
      <c r="E21" s="11">
        <f>LTBL_01581[[#Totals],[個人／事業所数]]/LTBL_01581[[#Totals],[総数／事業所数]]</f>
        <v>0.44537815126050423</v>
      </c>
      <c r="G21" s="11">
        <f>LTBL_01581[[#Totals],[法人／事業所数]]/LTBL_01581[[#Totals],[総数／事業所数]]</f>
        <v>0.49579831932773111</v>
      </c>
      <c r="I21" s="11">
        <f>LTBL_01581[[#Totals],[法人以外の団体／事業所数]]/LTBL_01581[[#Totals],[総数／事業所数]]</f>
        <v>8.4033613445378148E-3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16</v>
      </c>
      <c r="D24" s="8">
        <v>13.45</v>
      </c>
      <c r="E24" s="12">
        <v>14</v>
      </c>
      <c r="F24" s="8">
        <v>26.42</v>
      </c>
      <c r="G24" s="12">
        <v>2</v>
      </c>
      <c r="H24" s="8">
        <v>3.39</v>
      </c>
      <c r="I24" s="12">
        <v>0</v>
      </c>
    </row>
    <row r="25" spans="2:9" ht="15" customHeight="1" x14ac:dyDescent="0.2">
      <c r="B25" t="s">
        <v>213</v>
      </c>
      <c r="C25" s="12">
        <v>10</v>
      </c>
      <c r="D25" s="8">
        <v>8.4</v>
      </c>
      <c r="E25" s="12">
        <v>0</v>
      </c>
      <c r="F25" s="8">
        <v>0</v>
      </c>
      <c r="G25" s="12">
        <v>10</v>
      </c>
      <c r="H25" s="8">
        <v>16.95</v>
      </c>
      <c r="I25" s="12">
        <v>0</v>
      </c>
    </row>
    <row r="26" spans="2:9" ht="15" customHeight="1" x14ac:dyDescent="0.2">
      <c r="B26" t="s">
        <v>221</v>
      </c>
      <c r="C26" s="12">
        <v>8</v>
      </c>
      <c r="D26" s="8">
        <v>6.72</v>
      </c>
      <c r="E26" s="12">
        <v>5</v>
      </c>
      <c r="F26" s="8">
        <v>9.43</v>
      </c>
      <c r="G26" s="12">
        <v>3</v>
      </c>
      <c r="H26" s="8">
        <v>5.08</v>
      </c>
      <c r="I26" s="12">
        <v>0</v>
      </c>
    </row>
    <row r="27" spans="2:9" ht="15" customHeight="1" x14ac:dyDescent="0.2">
      <c r="B27" t="s">
        <v>223</v>
      </c>
      <c r="C27" s="12">
        <v>8</v>
      </c>
      <c r="D27" s="8">
        <v>6.72</v>
      </c>
      <c r="E27" s="12">
        <v>4</v>
      </c>
      <c r="F27" s="8">
        <v>7.55</v>
      </c>
      <c r="G27" s="12">
        <v>4</v>
      </c>
      <c r="H27" s="8">
        <v>6.78</v>
      </c>
      <c r="I27" s="12">
        <v>0</v>
      </c>
    </row>
    <row r="28" spans="2:9" ht="15" customHeight="1" x14ac:dyDescent="0.2">
      <c r="B28" t="s">
        <v>228</v>
      </c>
      <c r="C28" s="12">
        <v>6</v>
      </c>
      <c r="D28" s="8">
        <v>5.04</v>
      </c>
      <c r="E28" s="12">
        <v>6</v>
      </c>
      <c r="F28" s="8">
        <v>11.32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232</v>
      </c>
      <c r="C29" s="12">
        <v>5</v>
      </c>
      <c r="D29" s="8">
        <v>4.2</v>
      </c>
      <c r="E29" s="12">
        <v>0</v>
      </c>
      <c r="F29" s="8">
        <v>0</v>
      </c>
      <c r="G29" s="12">
        <v>3</v>
      </c>
      <c r="H29" s="8">
        <v>5.08</v>
      </c>
      <c r="I29" s="12">
        <v>0</v>
      </c>
    </row>
    <row r="30" spans="2:9" ht="15" customHeight="1" x14ac:dyDescent="0.2">
      <c r="B30" t="s">
        <v>224</v>
      </c>
      <c r="C30" s="12">
        <v>4</v>
      </c>
      <c r="D30" s="8">
        <v>3.36</v>
      </c>
      <c r="E30" s="12">
        <v>1</v>
      </c>
      <c r="F30" s="8">
        <v>1.89</v>
      </c>
      <c r="G30" s="12">
        <v>3</v>
      </c>
      <c r="H30" s="8">
        <v>5.08</v>
      </c>
      <c r="I30" s="12">
        <v>0</v>
      </c>
    </row>
    <row r="31" spans="2:9" ht="15" customHeight="1" x14ac:dyDescent="0.2">
      <c r="B31" t="s">
        <v>229</v>
      </c>
      <c r="C31" s="12">
        <v>4</v>
      </c>
      <c r="D31" s="8">
        <v>3.36</v>
      </c>
      <c r="E31" s="12">
        <v>1</v>
      </c>
      <c r="F31" s="8">
        <v>1.89</v>
      </c>
      <c r="G31" s="12">
        <v>2</v>
      </c>
      <c r="H31" s="8">
        <v>3.39</v>
      </c>
      <c r="I31" s="12">
        <v>0</v>
      </c>
    </row>
    <row r="32" spans="2:9" ht="15" customHeight="1" x14ac:dyDescent="0.2">
      <c r="B32" t="s">
        <v>231</v>
      </c>
      <c r="C32" s="12">
        <v>4</v>
      </c>
      <c r="D32" s="8">
        <v>3.36</v>
      </c>
      <c r="E32" s="12">
        <v>4</v>
      </c>
      <c r="F32" s="8">
        <v>7.55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214</v>
      </c>
      <c r="C33" s="12">
        <v>3</v>
      </c>
      <c r="D33" s="8">
        <v>2.52</v>
      </c>
      <c r="E33" s="12">
        <v>2</v>
      </c>
      <c r="F33" s="8">
        <v>3.77</v>
      </c>
      <c r="G33" s="12">
        <v>1</v>
      </c>
      <c r="H33" s="8">
        <v>1.69</v>
      </c>
      <c r="I33" s="12">
        <v>0</v>
      </c>
    </row>
    <row r="34" spans="2:9" ht="15" customHeight="1" x14ac:dyDescent="0.2">
      <c r="B34" t="s">
        <v>255</v>
      </c>
      <c r="C34" s="12">
        <v>3</v>
      </c>
      <c r="D34" s="8">
        <v>2.52</v>
      </c>
      <c r="E34" s="12">
        <v>0</v>
      </c>
      <c r="F34" s="8">
        <v>0</v>
      </c>
      <c r="G34" s="12">
        <v>2</v>
      </c>
      <c r="H34" s="8">
        <v>3.39</v>
      </c>
      <c r="I34" s="12">
        <v>0</v>
      </c>
    </row>
    <row r="35" spans="2:9" ht="15" customHeight="1" x14ac:dyDescent="0.2">
      <c r="B35" t="s">
        <v>226</v>
      </c>
      <c r="C35" s="12">
        <v>3</v>
      </c>
      <c r="D35" s="8">
        <v>2.52</v>
      </c>
      <c r="E35" s="12">
        <v>1</v>
      </c>
      <c r="F35" s="8">
        <v>1.89</v>
      </c>
      <c r="G35" s="12">
        <v>1</v>
      </c>
      <c r="H35" s="8">
        <v>1.69</v>
      </c>
      <c r="I35" s="12">
        <v>0</v>
      </c>
    </row>
    <row r="36" spans="2:9" ht="15" customHeight="1" x14ac:dyDescent="0.2">
      <c r="B36" t="s">
        <v>240</v>
      </c>
      <c r="C36" s="12">
        <v>3</v>
      </c>
      <c r="D36" s="8">
        <v>2.52</v>
      </c>
      <c r="E36" s="12">
        <v>2</v>
      </c>
      <c r="F36" s="8">
        <v>3.77</v>
      </c>
      <c r="G36" s="12">
        <v>1</v>
      </c>
      <c r="H36" s="8">
        <v>1.69</v>
      </c>
      <c r="I36" s="12">
        <v>0</v>
      </c>
    </row>
    <row r="37" spans="2:9" ht="15" customHeight="1" x14ac:dyDescent="0.2">
      <c r="B37" t="s">
        <v>273</v>
      </c>
      <c r="C37" s="12">
        <v>2</v>
      </c>
      <c r="D37" s="8">
        <v>1.68</v>
      </c>
      <c r="E37" s="12">
        <v>0</v>
      </c>
      <c r="F37" s="8">
        <v>0</v>
      </c>
      <c r="G37" s="12">
        <v>2</v>
      </c>
      <c r="H37" s="8">
        <v>3.39</v>
      </c>
      <c r="I37" s="12">
        <v>0</v>
      </c>
    </row>
    <row r="38" spans="2:9" ht="15" customHeight="1" x14ac:dyDescent="0.2">
      <c r="B38" t="s">
        <v>244</v>
      </c>
      <c r="C38" s="12">
        <v>2</v>
      </c>
      <c r="D38" s="8">
        <v>1.68</v>
      </c>
      <c r="E38" s="12">
        <v>2</v>
      </c>
      <c r="F38" s="8">
        <v>3.77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252</v>
      </c>
      <c r="C39" s="12">
        <v>2</v>
      </c>
      <c r="D39" s="8">
        <v>1.68</v>
      </c>
      <c r="E39" s="12">
        <v>1</v>
      </c>
      <c r="F39" s="8">
        <v>1.89</v>
      </c>
      <c r="G39" s="12">
        <v>1</v>
      </c>
      <c r="H39" s="8">
        <v>1.69</v>
      </c>
      <c r="I39" s="12">
        <v>0</v>
      </c>
    </row>
    <row r="40" spans="2:9" ht="15" customHeight="1" x14ac:dyDescent="0.2">
      <c r="B40" t="s">
        <v>235</v>
      </c>
      <c r="C40" s="12">
        <v>2</v>
      </c>
      <c r="D40" s="8">
        <v>1.68</v>
      </c>
      <c r="E40" s="12">
        <v>2</v>
      </c>
      <c r="F40" s="8">
        <v>3.77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216</v>
      </c>
      <c r="C41" s="12">
        <v>2</v>
      </c>
      <c r="D41" s="8">
        <v>1.68</v>
      </c>
      <c r="E41" s="12">
        <v>0</v>
      </c>
      <c r="F41" s="8">
        <v>0</v>
      </c>
      <c r="G41" s="12">
        <v>2</v>
      </c>
      <c r="H41" s="8">
        <v>3.39</v>
      </c>
      <c r="I41" s="12">
        <v>0</v>
      </c>
    </row>
    <row r="42" spans="2:9" ht="15" customHeight="1" x14ac:dyDescent="0.2">
      <c r="B42" t="s">
        <v>222</v>
      </c>
      <c r="C42" s="12">
        <v>2</v>
      </c>
      <c r="D42" s="8">
        <v>1.68</v>
      </c>
      <c r="E42" s="12">
        <v>0</v>
      </c>
      <c r="F42" s="8">
        <v>0</v>
      </c>
      <c r="G42" s="12">
        <v>2</v>
      </c>
      <c r="H42" s="8">
        <v>3.39</v>
      </c>
      <c r="I42" s="12">
        <v>0</v>
      </c>
    </row>
    <row r="43" spans="2:9" ht="15" customHeight="1" x14ac:dyDescent="0.2">
      <c r="B43" t="s">
        <v>236</v>
      </c>
      <c r="C43" s="12">
        <v>2</v>
      </c>
      <c r="D43" s="8">
        <v>1.68</v>
      </c>
      <c r="E43" s="12">
        <v>0</v>
      </c>
      <c r="F43" s="8">
        <v>0</v>
      </c>
      <c r="G43" s="12">
        <v>2</v>
      </c>
      <c r="H43" s="8">
        <v>3.39</v>
      </c>
      <c r="I43" s="12">
        <v>0</v>
      </c>
    </row>
    <row r="44" spans="2:9" ht="15" customHeight="1" x14ac:dyDescent="0.2">
      <c r="B44" t="s">
        <v>243</v>
      </c>
      <c r="C44" s="12">
        <v>2</v>
      </c>
      <c r="D44" s="8">
        <v>1.68</v>
      </c>
      <c r="E44" s="12">
        <v>1</v>
      </c>
      <c r="F44" s="8">
        <v>1.89</v>
      </c>
      <c r="G44" s="12">
        <v>1</v>
      </c>
      <c r="H44" s="8">
        <v>1.69</v>
      </c>
      <c r="I44" s="12">
        <v>0</v>
      </c>
    </row>
    <row r="45" spans="2:9" ht="15" customHeight="1" x14ac:dyDescent="0.2">
      <c r="B45" t="s">
        <v>249</v>
      </c>
      <c r="C45" s="12">
        <v>2</v>
      </c>
      <c r="D45" s="8">
        <v>1.68</v>
      </c>
      <c r="E45" s="12">
        <v>0</v>
      </c>
      <c r="F45" s="8">
        <v>0</v>
      </c>
      <c r="G45" s="12">
        <v>2</v>
      </c>
      <c r="H45" s="8">
        <v>3.39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288</v>
      </c>
      <c r="C49" s="12">
        <v>6</v>
      </c>
      <c r="D49" s="8">
        <v>5.04</v>
      </c>
      <c r="E49" s="12">
        <v>0</v>
      </c>
      <c r="F49" s="8">
        <v>0</v>
      </c>
      <c r="G49" s="12">
        <v>6</v>
      </c>
      <c r="H49" s="8">
        <v>10.17</v>
      </c>
      <c r="I49" s="12">
        <v>0</v>
      </c>
    </row>
    <row r="50" spans="2:9" ht="15" customHeight="1" x14ac:dyDescent="0.2">
      <c r="B50" t="s">
        <v>292</v>
      </c>
      <c r="C50" s="12">
        <v>6</v>
      </c>
      <c r="D50" s="8">
        <v>5.04</v>
      </c>
      <c r="E50" s="12">
        <v>4</v>
      </c>
      <c r="F50" s="8">
        <v>7.55</v>
      </c>
      <c r="G50" s="12">
        <v>2</v>
      </c>
      <c r="H50" s="8">
        <v>3.39</v>
      </c>
      <c r="I50" s="12">
        <v>0</v>
      </c>
    </row>
    <row r="51" spans="2:9" ht="15" customHeight="1" x14ac:dyDescent="0.2">
      <c r="B51" t="s">
        <v>297</v>
      </c>
      <c r="C51" s="12">
        <v>4</v>
      </c>
      <c r="D51" s="8">
        <v>3.36</v>
      </c>
      <c r="E51" s="12">
        <v>1</v>
      </c>
      <c r="F51" s="8">
        <v>1.89</v>
      </c>
      <c r="G51" s="12">
        <v>3</v>
      </c>
      <c r="H51" s="8">
        <v>5.08</v>
      </c>
      <c r="I51" s="12">
        <v>0</v>
      </c>
    </row>
    <row r="52" spans="2:9" ht="15" customHeight="1" x14ac:dyDescent="0.2">
      <c r="B52" t="s">
        <v>300</v>
      </c>
      <c r="C52" s="12">
        <v>4</v>
      </c>
      <c r="D52" s="8">
        <v>3.36</v>
      </c>
      <c r="E52" s="12">
        <v>4</v>
      </c>
      <c r="F52" s="8">
        <v>7.55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302</v>
      </c>
      <c r="C53" s="12">
        <v>4</v>
      </c>
      <c r="D53" s="8">
        <v>3.36</v>
      </c>
      <c r="E53" s="12">
        <v>3</v>
      </c>
      <c r="F53" s="8">
        <v>5.66</v>
      </c>
      <c r="G53" s="12">
        <v>1</v>
      </c>
      <c r="H53" s="8">
        <v>1.69</v>
      </c>
      <c r="I53" s="12">
        <v>0</v>
      </c>
    </row>
    <row r="54" spans="2:9" ht="15" customHeight="1" x14ac:dyDescent="0.2">
      <c r="B54" t="s">
        <v>304</v>
      </c>
      <c r="C54" s="12">
        <v>4</v>
      </c>
      <c r="D54" s="8">
        <v>3.36</v>
      </c>
      <c r="E54" s="12">
        <v>4</v>
      </c>
      <c r="F54" s="8">
        <v>7.55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328</v>
      </c>
      <c r="C55" s="12">
        <v>3</v>
      </c>
      <c r="D55" s="8">
        <v>2.52</v>
      </c>
      <c r="E55" s="12">
        <v>0</v>
      </c>
      <c r="F55" s="8">
        <v>0</v>
      </c>
      <c r="G55" s="12">
        <v>3</v>
      </c>
      <c r="H55" s="8">
        <v>5.08</v>
      </c>
      <c r="I55" s="12">
        <v>0</v>
      </c>
    </row>
    <row r="56" spans="2:9" ht="15" customHeight="1" x14ac:dyDescent="0.2">
      <c r="B56" t="s">
        <v>334</v>
      </c>
      <c r="C56" s="12">
        <v>3</v>
      </c>
      <c r="D56" s="8">
        <v>2.52</v>
      </c>
      <c r="E56" s="12">
        <v>2</v>
      </c>
      <c r="F56" s="8">
        <v>3.77</v>
      </c>
      <c r="G56" s="12">
        <v>1</v>
      </c>
      <c r="H56" s="8">
        <v>1.69</v>
      </c>
      <c r="I56" s="12">
        <v>0</v>
      </c>
    </row>
    <row r="57" spans="2:9" ht="15" customHeight="1" x14ac:dyDescent="0.2">
      <c r="B57" t="s">
        <v>306</v>
      </c>
      <c r="C57" s="12">
        <v>3</v>
      </c>
      <c r="D57" s="8">
        <v>2.52</v>
      </c>
      <c r="E57" s="12">
        <v>3</v>
      </c>
      <c r="F57" s="8">
        <v>5.66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307</v>
      </c>
      <c r="C58" s="12">
        <v>3</v>
      </c>
      <c r="D58" s="8">
        <v>2.52</v>
      </c>
      <c r="E58" s="12">
        <v>2</v>
      </c>
      <c r="F58" s="8">
        <v>3.77</v>
      </c>
      <c r="G58" s="12">
        <v>1</v>
      </c>
      <c r="H58" s="8">
        <v>1.69</v>
      </c>
      <c r="I58" s="12">
        <v>0</v>
      </c>
    </row>
    <row r="59" spans="2:9" ht="15" customHeight="1" x14ac:dyDescent="0.2">
      <c r="B59" t="s">
        <v>427</v>
      </c>
      <c r="C59" s="12">
        <v>2</v>
      </c>
      <c r="D59" s="8">
        <v>1.68</v>
      </c>
      <c r="E59" s="12">
        <v>0</v>
      </c>
      <c r="F59" s="8">
        <v>0</v>
      </c>
      <c r="G59" s="12">
        <v>2</v>
      </c>
      <c r="H59" s="8">
        <v>3.39</v>
      </c>
      <c r="I59" s="12">
        <v>0</v>
      </c>
    </row>
    <row r="60" spans="2:9" ht="15" customHeight="1" x14ac:dyDescent="0.2">
      <c r="B60" t="s">
        <v>362</v>
      </c>
      <c r="C60" s="12">
        <v>2</v>
      </c>
      <c r="D60" s="8">
        <v>1.68</v>
      </c>
      <c r="E60" s="12">
        <v>0</v>
      </c>
      <c r="F60" s="8">
        <v>0</v>
      </c>
      <c r="G60" s="12">
        <v>1</v>
      </c>
      <c r="H60" s="8">
        <v>1.69</v>
      </c>
      <c r="I60" s="12">
        <v>0</v>
      </c>
    </row>
    <row r="61" spans="2:9" ht="15" customHeight="1" x14ac:dyDescent="0.2">
      <c r="B61" t="s">
        <v>294</v>
      </c>
      <c r="C61" s="12">
        <v>2</v>
      </c>
      <c r="D61" s="8">
        <v>1.68</v>
      </c>
      <c r="E61" s="12">
        <v>1</v>
      </c>
      <c r="F61" s="8">
        <v>1.89</v>
      </c>
      <c r="G61" s="12">
        <v>1</v>
      </c>
      <c r="H61" s="8">
        <v>1.69</v>
      </c>
      <c r="I61" s="12">
        <v>0</v>
      </c>
    </row>
    <row r="62" spans="2:9" ht="15" customHeight="1" x14ac:dyDescent="0.2">
      <c r="B62" t="s">
        <v>295</v>
      </c>
      <c r="C62" s="12">
        <v>2</v>
      </c>
      <c r="D62" s="8">
        <v>1.68</v>
      </c>
      <c r="E62" s="12">
        <v>0</v>
      </c>
      <c r="F62" s="8">
        <v>0</v>
      </c>
      <c r="G62" s="12">
        <v>2</v>
      </c>
      <c r="H62" s="8">
        <v>3.39</v>
      </c>
      <c r="I62" s="12">
        <v>0</v>
      </c>
    </row>
    <row r="63" spans="2:9" ht="15" customHeight="1" x14ac:dyDescent="0.2">
      <c r="B63" t="s">
        <v>418</v>
      </c>
      <c r="C63" s="12">
        <v>2</v>
      </c>
      <c r="D63" s="8">
        <v>1.68</v>
      </c>
      <c r="E63" s="12">
        <v>0</v>
      </c>
      <c r="F63" s="8">
        <v>0</v>
      </c>
      <c r="G63" s="12">
        <v>1</v>
      </c>
      <c r="H63" s="8">
        <v>1.69</v>
      </c>
      <c r="I63" s="12">
        <v>0</v>
      </c>
    </row>
    <row r="64" spans="2:9" ht="15" customHeight="1" x14ac:dyDescent="0.2">
      <c r="B64" t="s">
        <v>339</v>
      </c>
      <c r="C64" s="12">
        <v>2</v>
      </c>
      <c r="D64" s="8">
        <v>1.68</v>
      </c>
      <c r="E64" s="12">
        <v>1</v>
      </c>
      <c r="F64" s="8">
        <v>1.89</v>
      </c>
      <c r="G64" s="12">
        <v>1</v>
      </c>
      <c r="H64" s="8">
        <v>1.69</v>
      </c>
      <c r="I64" s="12">
        <v>0</v>
      </c>
    </row>
    <row r="65" spans="2:9" ht="15" customHeight="1" x14ac:dyDescent="0.2">
      <c r="B65" t="s">
        <v>301</v>
      </c>
      <c r="C65" s="12">
        <v>2</v>
      </c>
      <c r="D65" s="8">
        <v>1.68</v>
      </c>
      <c r="E65" s="12">
        <v>2</v>
      </c>
      <c r="F65" s="8">
        <v>3.77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303</v>
      </c>
      <c r="C66" s="12">
        <v>2</v>
      </c>
      <c r="D66" s="8">
        <v>1.68</v>
      </c>
      <c r="E66" s="12">
        <v>2</v>
      </c>
      <c r="F66" s="8">
        <v>3.77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341</v>
      </c>
      <c r="C67" s="12">
        <v>2</v>
      </c>
      <c r="D67" s="8">
        <v>1.68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331</v>
      </c>
      <c r="C68" s="12">
        <v>2</v>
      </c>
      <c r="D68" s="8">
        <v>1.68</v>
      </c>
      <c r="E68" s="12">
        <v>0</v>
      </c>
      <c r="F68" s="8">
        <v>0</v>
      </c>
      <c r="G68" s="12">
        <v>2</v>
      </c>
      <c r="H68" s="8">
        <v>3.39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737AB-651B-44EB-B600-EE939D2B8C88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0.69</v>
      </c>
      <c r="E5" s="12">
        <v>0</v>
      </c>
      <c r="F5" s="8">
        <v>0</v>
      </c>
      <c r="G5" s="12">
        <v>2</v>
      </c>
      <c r="H5" s="8">
        <v>1.63</v>
      </c>
      <c r="I5" s="12">
        <v>0</v>
      </c>
    </row>
    <row r="6" spans="2:9" ht="15" customHeight="1" x14ac:dyDescent="0.2">
      <c r="B6" t="s">
        <v>191</v>
      </c>
      <c r="C6" s="12">
        <v>36</v>
      </c>
      <c r="D6" s="8">
        <v>12.37</v>
      </c>
      <c r="E6" s="12">
        <v>15</v>
      </c>
      <c r="F6" s="8">
        <v>9.3800000000000008</v>
      </c>
      <c r="G6" s="12">
        <v>21</v>
      </c>
      <c r="H6" s="8">
        <v>17.07</v>
      </c>
      <c r="I6" s="12">
        <v>0</v>
      </c>
    </row>
    <row r="7" spans="2:9" ht="15" customHeight="1" x14ac:dyDescent="0.2">
      <c r="B7" t="s">
        <v>192</v>
      </c>
      <c r="C7" s="12">
        <v>20</v>
      </c>
      <c r="D7" s="8">
        <v>6.87</v>
      </c>
      <c r="E7" s="12">
        <v>5</v>
      </c>
      <c r="F7" s="8">
        <v>3.13</v>
      </c>
      <c r="G7" s="12">
        <v>15</v>
      </c>
      <c r="H7" s="8">
        <v>12.2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1.03</v>
      </c>
      <c r="E10" s="12">
        <v>1</v>
      </c>
      <c r="F10" s="8">
        <v>0.63</v>
      </c>
      <c r="G10" s="12">
        <v>2</v>
      </c>
      <c r="H10" s="8">
        <v>1.63</v>
      </c>
      <c r="I10" s="12">
        <v>0</v>
      </c>
    </row>
    <row r="11" spans="2:9" ht="15" customHeight="1" x14ac:dyDescent="0.2">
      <c r="B11" t="s">
        <v>196</v>
      </c>
      <c r="C11" s="12">
        <v>61</v>
      </c>
      <c r="D11" s="8">
        <v>20.96</v>
      </c>
      <c r="E11" s="12">
        <v>31</v>
      </c>
      <c r="F11" s="8">
        <v>19.38</v>
      </c>
      <c r="G11" s="12">
        <v>30</v>
      </c>
      <c r="H11" s="8">
        <v>24.39</v>
      </c>
      <c r="I11" s="12">
        <v>0</v>
      </c>
    </row>
    <row r="12" spans="2:9" ht="15" customHeight="1" x14ac:dyDescent="0.2">
      <c r="B12" t="s">
        <v>197</v>
      </c>
      <c r="C12" s="12">
        <v>2</v>
      </c>
      <c r="D12" s="8">
        <v>0.69</v>
      </c>
      <c r="E12" s="12">
        <v>0</v>
      </c>
      <c r="F12" s="8">
        <v>0</v>
      </c>
      <c r="G12" s="12">
        <v>2</v>
      </c>
      <c r="H12" s="8">
        <v>1.63</v>
      </c>
      <c r="I12" s="12">
        <v>0</v>
      </c>
    </row>
    <row r="13" spans="2:9" ht="15" customHeight="1" x14ac:dyDescent="0.2">
      <c r="B13" t="s">
        <v>198</v>
      </c>
      <c r="C13" s="12">
        <v>23</v>
      </c>
      <c r="D13" s="8">
        <v>7.9</v>
      </c>
      <c r="E13" s="12">
        <v>9</v>
      </c>
      <c r="F13" s="8">
        <v>5.63</v>
      </c>
      <c r="G13" s="12">
        <v>14</v>
      </c>
      <c r="H13" s="8">
        <v>11.38</v>
      </c>
      <c r="I13" s="12">
        <v>0</v>
      </c>
    </row>
    <row r="14" spans="2:9" ht="15" customHeight="1" x14ac:dyDescent="0.2">
      <c r="B14" t="s">
        <v>199</v>
      </c>
      <c r="C14" s="12">
        <v>11</v>
      </c>
      <c r="D14" s="8">
        <v>3.78</v>
      </c>
      <c r="E14" s="12">
        <v>8</v>
      </c>
      <c r="F14" s="8">
        <v>5</v>
      </c>
      <c r="G14" s="12">
        <v>3</v>
      </c>
      <c r="H14" s="8">
        <v>2.44</v>
      </c>
      <c r="I14" s="12">
        <v>0</v>
      </c>
    </row>
    <row r="15" spans="2:9" ht="15" customHeight="1" x14ac:dyDescent="0.2">
      <c r="B15" t="s">
        <v>200</v>
      </c>
      <c r="C15" s="12">
        <v>77</v>
      </c>
      <c r="D15" s="8">
        <v>26.46</v>
      </c>
      <c r="E15" s="12">
        <v>51</v>
      </c>
      <c r="F15" s="8">
        <v>31.88</v>
      </c>
      <c r="G15" s="12">
        <v>26</v>
      </c>
      <c r="H15" s="8">
        <v>21.14</v>
      </c>
      <c r="I15" s="12">
        <v>0</v>
      </c>
    </row>
    <row r="16" spans="2:9" ht="15" customHeight="1" x14ac:dyDescent="0.2">
      <c r="B16" t="s">
        <v>201</v>
      </c>
      <c r="C16" s="12">
        <v>32</v>
      </c>
      <c r="D16" s="8">
        <v>11</v>
      </c>
      <c r="E16" s="12">
        <v>28</v>
      </c>
      <c r="F16" s="8">
        <v>17.5</v>
      </c>
      <c r="G16" s="12">
        <v>2</v>
      </c>
      <c r="H16" s="8">
        <v>1.63</v>
      </c>
      <c r="I16" s="12">
        <v>0</v>
      </c>
    </row>
    <row r="17" spans="2:9" ht="15" customHeight="1" x14ac:dyDescent="0.2">
      <c r="B17" t="s">
        <v>202</v>
      </c>
      <c r="C17" s="12">
        <v>11</v>
      </c>
      <c r="D17" s="8">
        <v>3.78</v>
      </c>
      <c r="E17" s="12">
        <v>5</v>
      </c>
      <c r="F17" s="8">
        <v>3.13</v>
      </c>
      <c r="G17" s="12">
        <v>0</v>
      </c>
      <c r="H17" s="8">
        <v>0</v>
      </c>
      <c r="I17" s="12">
        <v>1</v>
      </c>
    </row>
    <row r="18" spans="2:9" ht="15" customHeight="1" x14ac:dyDescent="0.2">
      <c r="B18" t="s">
        <v>203</v>
      </c>
      <c r="C18" s="12">
        <v>9</v>
      </c>
      <c r="D18" s="8">
        <v>3.09</v>
      </c>
      <c r="E18" s="12">
        <v>5</v>
      </c>
      <c r="F18" s="8">
        <v>3.13</v>
      </c>
      <c r="G18" s="12">
        <v>4</v>
      </c>
      <c r="H18" s="8">
        <v>3.25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1.37</v>
      </c>
      <c r="E19" s="12">
        <v>2</v>
      </c>
      <c r="F19" s="8">
        <v>1.25</v>
      </c>
      <c r="G19" s="12">
        <v>2</v>
      </c>
      <c r="H19" s="8">
        <v>1.63</v>
      </c>
      <c r="I19" s="12">
        <v>0</v>
      </c>
    </row>
    <row r="20" spans="2:9" ht="15" customHeight="1" x14ac:dyDescent="0.2">
      <c r="B20" s="9" t="s">
        <v>529</v>
      </c>
      <c r="C20" s="12">
        <f>SUM(LTBL_01584[総数／事業所数])</f>
        <v>291</v>
      </c>
      <c r="E20" s="12">
        <f>SUBTOTAL(109,LTBL_01584[個人／事業所数])</f>
        <v>160</v>
      </c>
      <c r="G20" s="12">
        <f>SUBTOTAL(109,LTBL_01584[法人／事業所数])</f>
        <v>123</v>
      </c>
      <c r="I20" s="12">
        <f>SUBTOTAL(109,LTBL_01584[法人以外の団体／事業所数])</f>
        <v>1</v>
      </c>
    </row>
    <row r="21" spans="2:9" ht="15" customHeight="1" x14ac:dyDescent="0.2">
      <c r="E21" s="11">
        <f>LTBL_01584[[#Totals],[個人／事業所数]]/LTBL_01584[[#Totals],[総数／事業所数]]</f>
        <v>0.54982817869415812</v>
      </c>
      <c r="G21" s="11">
        <f>LTBL_01584[[#Totals],[法人／事業所数]]/LTBL_01584[[#Totals],[総数／事業所数]]</f>
        <v>0.42268041237113402</v>
      </c>
      <c r="I21" s="11">
        <f>LTBL_01584[[#Totals],[法人以外の団体／事業所数]]/LTBL_01584[[#Totals],[総数／事業所数]]</f>
        <v>3.4364261168384879E-3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60</v>
      </c>
      <c r="D24" s="8">
        <v>20.62</v>
      </c>
      <c r="E24" s="12">
        <v>49</v>
      </c>
      <c r="F24" s="8">
        <v>30.63</v>
      </c>
      <c r="G24" s="12">
        <v>11</v>
      </c>
      <c r="H24" s="8">
        <v>8.94</v>
      </c>
      <c r="I24" s="12">
        <v>0</v>
      </c>
    </row>
    <row r="25" spans="2:9" ht="15" customHeight="1" x14ac:dyDescent="0.2">
      <c r="B25" t="s">
        <v>228</v>
      </c>
      <c r="C25" s="12">
        <v>26</v>
      </c>
      <c r="D25" s="8">
        <v>8.93</v>
      </c>
      <c r="E25" s="12">
        <v>26</v>
      </c>
      <c r="F25" s="8">
        <v>16.25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221</v>
      </c>
      <c r="C26" s="12">
        <v>22</v>
      </c>
      <c r="D26" s="8">
        <v>7.56</v>
      </c>
      <c r="E26" s="12">
        <v>11</v>
      </c>
      <c r="F26" s="8">
        <v>6.88</v>
      </c>
      <c r="G26" s="12">
        <v>11</v>
      </c>
      <c r="H26" s="8">
        <v>8.94</v>
      </c>
      <c r="I26" s="12">
        <v>0</v>
      </c>
    </row>
    <row r="27" spans="2:9" ht="15" customHeight="1" x14ac:dyDescent="0.2">
      <c r="B27" t="s">
        <v>223</v>
      </c>
      <c r="C27" s="12">
        <v>22</v>
      </c>
      <c r="D27" s="8">
        <v>7.56</v>
      </c>
      <c r="E27" s="12">
        <v>12</v>
      </c>
      <c r="F27" s="8">
        <v>7.5</v>
      </c>
      <c r="G27" s="12">
        <v>10</v>
      </c>
      <c r="H27" s="8">
        <v>8.1300000000000008</v>
      </c>
      <c r="I27" s="12">
        <v>0</v>
      </c>
    </row>
    <row r="28" spans="2:9" ht="15" customHeight="1" x14ac:dyDescent="0.2">
      <c r="B28" t="s">
        <v>224</v>
      </c>
      <c r="C28" s="12">
        <v>17</v>
      </c>
      <c r="D28" s="8">
        <v>5.84</v>
      </c>
      <c r="E28" s="12">
        <v>7</v>
      </c>
      <c r="F28" s="8">
        <v>4.38</v>
      </c>
      <c r="G28" s="12">
        <v>10</v>
      </c>
      <c r="H28" s="8">
        <v>8.1300000000000008</v>
      </c>
      <c r="I28" s="12">
        <v>0</v>
      </c>
    </row>
    <row r="29" spans="2:9" ht="15" customHeight="1" x14ac:dyDescent="0.2">
      <c r="B29" t="s">
        <v>214</v>
      </c>
      <c r="C29" s="12">
        <v>16</v>
      </c>
      <c r="D29" s="8">
        <v>5.5</v>
      </c>
      <c r="E29" s="12">
        <v>10</v>
      </c>
      <c r="F29" s="8">
        <v>6.25</v>
      </c>
      <c r="G29" s="12">
        <v>6</v>
      </c>
      <c r="H29" s="8">
        <v>4.88</v>
      </c>
      <c r="I29" s="12">
        <v>0</v>
      </c>
    </row>
    <row r="30" spans="2:9" ht="15" customHeight="1" x14ac:dyDescent="0.2">
      <c r="B30" t="s">
        <v>213</v>
      </c>
      <c r="C30" s="12">
        <v>13</v>
      </c>
      <c r="D30" s="8">
        <v>4.47</v>
      </c>
      <c r="E30" s="12">
        <v>3</v>
      </c>
      <c r="F30" s="8">
        <v>1.88</v>
      </c>
      <c r="G30" s="12">
        <v>10</v>
      </c>
      <c r="H30" s="8">
        <v>8.1300000000000008</v>
      </c>
      <c r="I30" s="12">
        <v>0</v>
      </c>
    </row>
    <row r="31" spans="2:9" ht="15" customHeight="1" x14ac:dyDescent="0.2">
      <c r="B31" t="s">
        <v>239</v>
      </c>
      <c r="C31" s="12">
        <v>11</v>
      </c>
      <c r="D31" s="8">
        <v>3.78</v>
      </c>
      <c r="E31" s="12">
        <v>2</v>
      </c>
      <c r="F31" s="8">
        <v>1.25</v>
      </c>
      <c r="G31" s="12">
        <v>9</v>
      </c>
      <c r="H31" s="8">
        <v>7.32</v>
      </c>
      <c r="I31" s="12">
        <v>0</v>
      </c>
    </row>
    <row r="32" spans="2:9" ht="15" customHeight="1" x14ac:dyDescent="0.2">
      <c r="B32" t="s">
        <v>230</v>
      </c>
      <c r="C32" s="12">
        <v>11</v>
      </c>
      <c r="D32" s="8">
        <v>3.78</v>
      </c>
      <c r="E32" s="12">
        <v>5</v>
      </c>
      <c r="F32" s="8">
        <v>3.13</v>
      </c>
      <c r="G32" s="12">
        <v>0</v>
      </c>
      <c r="H32" s="8">
        <v>0</v>
      </c>
      <c r="I32" s="12">
        <v>1</v>
      </c>
    </row>
    <row r="33" spans="2:9" ht="15" customHeight="1" x14ac:dyDescent="0.2">
      <c r="B33" t="s">
        <v>241</v>
      </c>
      <c r="C33" s="12">
        <v>8</v>
      </c>
      <c r="D33" s="8">
        <v>2.75</v>
      </c>
      <c r="E33" s="12">
        <v>1</v>
      </c>
      <c r="F33" s="8">
        <v>0.63</v>
      </c>
      <c r="G33" s="12">
        <v>7</v>
      </c>
      <c r="H33" s="8">
        <v>5.69</v>
      </c>
      <c r="I33" s="12">
        <v>0</v>
      </c>
    </row>
    <row r="34" spans="2:9" ht="15" customHeight="1" x14ac:dyDescent="0.2">
      <c r="B34" t="s">
        <v>226</v>
      </c>
      <c r="C34" s="12">
        <v>8</v>
      </c>
      <c r="D34" s="8">
        <v>2.75</v>
      </c>
      <c r="E34" s="12">
        <v>6</v>
      </c>
      <c r="F34" s="8">
        <v>3.75</v>
      </c>
      <c r="G34" s="12">
        <v>2</v>
      </c>
      <c r="H34" s="8">
        <v>1.63</v>
      </c>
      <c r="I34" s="12">
        <v>0</v>
      </c>
    </row>
    <row r="35" spans="2:9" ht="15" customHeight="1" x14ac:dyDescent="0.2">
      <c r="B35" t="s">
        <v>215</v>
      </c>
      <c r="C35" s="12">
        <v>7</v>
      </c>
      <c r="D35" s="8">
        <v>2.41</v>
      </c>
      <c r="E35" s="12">
        <v>2</v>
      </c>
      <c r="F35" s="8">
        <v>1.25</v>
      </c>
      <c r="G35" s="12">
        <v>5</v>
      </c>
      <c r="H35" s="8">
        <v>4.07</v>
      </c>
      <c r="I35" s="12">
        <v>0</v>
      </c>
    </row>
    <row r="36" spans="2:9" ht="15" customHeight="1" x14ac:dyDescent="0.2">
      <c r="B36" t="s">
        <v>220</v>
      </c>
      <c r="C36" s="12">
        <v>7</v>
      </c>
      <c r="D36" s="8">
        <v>2.41</v>
      </c>
      <c r="E36" s="12">
        <v>4</v>
      </c>
      <c r="F36" s="8">
        <v>2.5</v>
      </c>
      <c r="G36" s="12">
        <v>3</v>
      </c>
      <c r="H36" s="8">
        <v>2.44</v>
      </c>
      <c r="I36" s="12">
        <v>0</v>
      </c>
    </row>
    <row r="37" spans="2:9" ht="15" customHeight="1" x14ac:dyDescent="0.2">
      <c r="B37" t="s">
        <v>243</v>
      </c>
      <c r="C37" s="12">
        <v>6</v>
      </c>
      <c r="D37" s="8">
        <v>2.06</v>
      </c>
      <c r="E37" s="12">
        <v>0</v>
      </c>
      <c r="F37" s="8">
        <v>0</v>
      </c>
      <c r="G37" s="12">
        <v>6</v>
      </c>
      <c r="H37" s="8">
        <v>4.88</v>
      </c>
      <c r="I37" s="12">
        <v>0</v>
      </c>
    </row>
    <row r="38" spans="2:9" ht="15" customHeight="1" x14ac:dyDescent="0.2">
      <c r="B38" t="s">
        <v>231</v>
      </c>
      <c r="C38" s="12">
        <v>6</v>
      </c>
      <c r="D38" s="8">
        <v>2.06</v>
      </c>
      <c r="E38" s="12">
        <v>5</v>
      </c>
      <c r="F38" s="8">
        <v>3.13</v>
      </c>
      <c r="G38" s="12">
        <v>1</v>
      </c>
      <c r="H38" s="8">
        <v>0.81</v>
      </c>
      <c r="I38" s="12">
        <v>0</v>
      </c>
    </row>
    <row r="39" spans="2:9" ht="15" customHeight="1" x14ac:dyDescent="0.2">
      <c r="B39" t="s">
        <v>222</v>
      </c>
      <c r="C39" s="12">
        <v>5</v>
      </c>
      <c r="D39" s="8">
        <v>1.72</v>
      </c>
      <c r="E39" s="12">
        <v>3</v>
      </c>
      <c r="F39" s="8">
        <v>1.88</v>
      </c>
      <c r="G39" s="12">
        <v>2</v>
      </c>
      <c r="H39" s="8">
        <v>1.63</v>
      </c>
      <c r="I39" s="12">
        <v>0</v>
      </c>
    </row>
    <row r="40" spans="2:9" ht="15" customHeight="1" x14ac:dyDescent="0.2">
      <c r="B40" t="s">
        <v>246</v>
      </c>
      <c r="C40" s="12">
        <v>5</v>
      </c>
      <c r="D40" s="8">
        <v>1.72</v>
      </c>
      <c r="E40" s="12">
        <v>2</v>
      </c>
      <c r="F40" s="8">
        <v>1.25</v>
      </c>
      <c r="G40" s="12">
        <v>3</v>
      </c>
      <c r="H40" s="8">
        <v>2.44</v>
      </c>
      <c r="I40" s="12">
        <v>0</v>
      </c>
    </row>
    <row r="41" spans="2:9" ht="15" customHeight="1" x14ac:dyDescent="0.2">
      <c r="B41" t="s">
        <v>262</v>
      </c>
      <c r="C41" s="12">
        <v>4</v>
      </c>
      <c r="D41" s="8">
        <v>1.37</v>
      </c>
      <c r="E41" s="12">
        <v>0</v>
      </c>
      <c r="F41" s="8">
        <v>0</v>
      </c>
      <c r="G41" s="12">
        <v>4</v>
      </c>
      <c r="H41" s="8">
        <v>3.25</v>
      </c>
      <c r="I41" s="12">
        <v>0</v>
      </c>
    </row>
    <row r="42" spans="2:9" ht="15" customHeight="1" x14ac:dyDescent="0.2">
      <c r="B42" t="s">
        <v>247</v>
      </c>
      <c r="C42" s="12">
        <v>4</v>
      </c>
      <c r="D42" s="8">
        <v>1.37</v>
      </c>
      <c r="E42" s="12">
        <v>1</v>
      </c>
      <c r="F42" s="8">
        <v>0.63</v>
      </c>
      <c r="G42" s="12">
        <v>1</v>
      </c>
      <c r="H42" s="8">
        <v>0.81</v>
      </c>
      <c r="I42" s="12">
        <v>0</v>
      </c>
    </row>
    <row r="43" spans="2:9" ht="15" customHeight="1" x14ac:dyDescent="0.2">
      <c r="B43" t="s">
        <v>232</v>
      </c>
      <c r="C43" s="12">
        <v>3</v>
      </c>
      <c r="D43" s="8">
        <v>1.03</v>
      </c>
      <c r="E43" s="12">
        <v>0</v>
      </c>
      <c r="F43" s="8">
        <v>0</v>
      </c>
      <c r="G43" s="12">
        <v>3</v>
      </c>
      <c r="H43" s="8">
        <v>2.44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301</v>
      </c>
      <c r="C47" s="12">
        <v>17</v>
      </c>
      <c r="D47" s="8">
        <v>5.84</v>
      </c>
      <c r="E47" s="12">
        <v>15</v>
      </c>
      <c r="F47" s="8">
        <v>9.3800000000000008</v>
      </c>
      <c r="G47" s="12">
        <v>2</v>
      </c>
      <c r="H47" s="8">
        <v>1.63</v>
      </c>
      <c r="I47" s="12">
        <v>0</v>
      </c>
    </row>
    <row r="48" spans="2:9" ht="15" customHeight="1" x14ac:dyDescent="0.2">
      <c r="B48" t="s">
        <v>304</v>
      </c>
      <c r="C48" s="12">
        <v>16</v>
      </c>
      <c r="D48" s="8">
        <v>5.5</v>
      </c>
      <c r="E48" s="12">
        <v>16</v>
      </c>
      <c r="F48" s="8">
        <v>10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297</v>
      </c>
      <c r="C49" s="12">
        <v>13</v>
      </c>
      <c r="D49" s="8">
        <v>4.47</v>
      </c>
      <c r="E49" s="12">
        <v>7</v>
      </c>
      <c r="F49" s="8">
        <v>4.38</v>
      </c>
      <c r="G49" s="12">
        <v>6</v>
      </c>
      <c r="H49" s="8">
        <v>4.88</v>
      </c>
      <c r="I49" s="12">
        <v>0</v>
      </c>
    </row>
    <row r="50" spans="2:9" ht="15" customHeight="1" x14ac:dyDescent="0.2">
      <c r="B50" t="s">
        <v>300</v>
      </c>
      <c r="C50" s="12">
        <v>12</v>
      </c>
      <c r="D50" s="8">
        <v>4.12</v>
      </c>
      <c r="E50" s="12">
        <v>12</v>
      </c>
      <c r="F50" s="8">
        <v>7.5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334</v>
      </c>
      <c r="C51" s="12">
        <v>11</v>
      </c>
      <c r="D51" s="8">
        <v>3.78</v>
      </c>
      <c r="E51" s="12">
        <v>8</v>
      </c>
      <c r="F51" s="8">
        <v>5</v>
      </c>
      <c r="G51" s="12">
        <v>3</v>
      </c>
      <c r="H51" s="8">
        <v>2.44</v>
      </c>
      <c r="I51" s="12">
        <v>0</v>
      </c>
    </row>
    <row r="52" spans="2:9" ht="15" customHeight="1" x14ac:dyDescent="0.2">
      <c r="B52" t="s">
        <v>302</v>
      </c>
      <c r="C52" s="12">
        <v>10</v>
      </c>
      <c r="D52" s="8">
        <v>3.44</v>
      </c>
      <c r="E52" s="12">
        <v>8</v>
      </c>
      <c r="F52" s="8">
        <v>5</v>
      </c>
      <c r="G52" s="12">
        <v>2</v>
      </c>
      <c r="H52" s="8">
        <v>1.63</v>
      </c>
      <c r="I52" s="12">
        <v>0</v>
      </c>
    </row>
    <row r="53" spans="2:9" ht="15" customHeight="1" x14ac:dyDescent="0.2">
      <c r="B53" t="s">
        <v>325</v>
      </c>
      <c r="C53" s="12">
        <v>10</v>
      </c>
      <c r="D53" s="8">
        <v>3.44</v>
      </c>
      <c r="E53" s="12">
        <v>1</v>
      </c>
      <c r="F53" s="8">
        <v>0.63</v>
      </c>
      <c r="G53" s="12">
        <v>9</v>
      </c>
      <c r="H53" s="8">
        <v>7.32</v>
      </c>
      <c r="I53" s="12">
        <v>0</v>
      </c>
    </row>
    <row r="54" spans="2:9" ht="15" customHeight="1" x14ac:dyDescent="0.2">
      <c r="B54" t="s">
        <v>303</v>
      </c>
      <c r="C54" s="12">
        <v>9</v>
      </c>
      <c r="D54" s="8">
        <v>3.09</v>
      </c>
      <c r="E54" s="12">
        <v>9</v>
      </c>
      <c r="F54" s="8">
        <v>5.63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329</v>
      </c>
      <c r="C55" s="12">
        <v>8</v>
      </c>
      <c r="D55" s="8">
        <v>2.75</v>
      </c>
      <c r="E55" s="12">
        <v>6</v>
      </c>
      <c r="F55" s="8">
        <v>3.75</v>
      </c>
      <c r="G55" s="12">
        <v>2</v>
      </c>
      <c r="H55" s="8">
        <v>1.63</v>
      </c>
      <c r="I55" s="12">
        <v>0</v>
      </c>
    </row>
    <row r="56" spans="2:9" ht="15" customHeight="1" x14ac:dyDescent="0.2">
      <c r="B56" t="s">
        <v>299</v>
      </c>
      <c r="C56" s="12">
        <v>7</v>
      </c>
      <c r="D56" s="8">
        <v>2.41</v>
      </c>
      <c r="E56" s="12">
        <v>4</v>
      </c>
      <c r="F56" s="8">
        <v>2.5</v>
      </c>
      <c r="G56" s="12">
        <v>3</v>
      </c>
      <c r="H56" s="8">
        <v>2.44</v>
      </c>
      <c r="I56" s="12">
        <v>0</v>
      </c>
    </row>
    <row r="57" spans="2:9" ht="15" customHeight="1" x14ac:dyDescent="0.2">
      <c r="B57" t="s">
        <v>332</v>
      </c>
      <c r="C57" s="12">
        <v>6</v>
      </c>
      <c r="D57" s="8">
        <v>2.06</v>
      </c>
      <c r="E57" s="12">
        <v>1</v>
      </c>
      <c r="F57" s="8">
        <v>0.63</v>
      </c>
      <c r="G57" s="12">
        <v>5</v>
      </c>
      <c r="H57" s="8">
        <v>4.07</v>
      </c>
      <c r="I57" s="12">
        <v>0</v>
      </c>
    </row>
    <row r="58" spans="2:9" ht="15" customHeight="1" x14ac:dyDescent="0.2">
      <c r="B58" t="s">
        <v>328</v>
      </c>
      <c r="C58" s="12">
        <v>5</v>
      </c>
      <c r="D58" s="8">
        <v>1.72</v>
      </c>
      <c r="E58" s="12">
        <v>1</v>
      </c>
      <c r="F58" s="8">
        <v>0.63</v>
      </c>
      <c r="G58" s="12">
        <v>4</v>
      </c>
      <c r="H58" s="8">
        <v>3.25</v>
      </c>
      <c r="I58" s="12">
        <v>0</v>
      </c>
    </row>
    <row r="59" spans="2:9" ht="15" customHeight="1" x14ac:dyDescent="0.2">
      <c r="B59" t="s">
        <v>292</v>
      </c>
      <c r="C59" s="12">
        <v>5</v>
      </c>
      <c r="D59" s="8">
        <v>1.72</v>
      </c>
      <c r="E59" s="12">
        <v>3</v>
      </c>
      <c r="F59" s="8">
        <v>1.88</v>
      </c>
      <c r="G59" s="12">
        <v>2</v>
      </c>
      <c r="H59" s="8">
        <v>1.63</v>
      </c>
      <c r="I59" s="12">
        <v>0</v>
      </c>
    </row>
    <row r="60" spans="2:9" ht="15" customHeight="1" x14ac:dyDescent="0.2">
      <c r="B60" t="s">
        <v>294</v>
      </c>
      <c r="C60" s="12">
        <v>5</v>
      </c>
      <c r="D60" s="8">
        <v>1.72</v>
      </c>
      <c r="E60" s="12">
        <v>3</v>
      </c>
      <c r="F60" s="8">
        <v>1.88</v>
      </c>
      <c r="G60" s="12">
        <v>2</v>
      </c>
      <c r="H60" s="8">
        <v>1.63</v>
      </c>
      <c r="I60" s="12">
        <v>0</v>
      </c>
    </row>
    <row r="61" spans="2:9" ht="15" customHeight="1" x14ac:dyDescent="0.2">
      <c r="B61" t="s">
        <v>330</v>
      </c>
      <c r="C61" s="12">
        <v>5</v>
      </c>
      <c r="D61" s="8">
        <v>1.72</v>
      </c>
      <c r="E61" s="12">
        <v>0</v>
      </c>
      <c r="F61" s="8">
        <v>0</v>
      </c>
      <c r="G61" s="12">
        <v>5</v>
      </c>
      <c r="H61" s="8">
        <v>4.07</v>
      </c>
      <c r="I61" s="12">
        <v>0</v>
      </c>
    </row>
    <row r="62" spans="2:9" ht="15" customHeight="1" x14ac:dyDescent="0.2">
      <c r="B62" t="s">
        <v>339</v>
      </c>
      <c r="C62" s="12">
        <v>5</v>
      </c>
      <c r="D62" s="8">
        <v>1.72</v>
      </c>
      <c r="E62" s="12">
        <v>0</v>
      </c>
      <c r="F62" s="8">
        <v>0</v>
      </c>
      <c r="G62" s="12">
        <v>5</v>
      </c>
      <c r="H62" s="8">
        <v>4.07</v>
      </c>
      <c r="I62" s="12">
        <v>0</v>
      </c>
    </row>
    <row r="63" spans="2:9" ht="15" customHeight="1" x14ac:dyDescent="0.2">
      <c r="B63" t="s">
        <v>340</v>
      </c>
      <c r="C63" s="12">
        <v>5</v>
      </c>
      <c r="D63" s="8">
        <v>1.72</v>
      </c>
      <c r="E63" s="12">
        <v>0</v>
      </c>
      <c r="F63" s="8">
        <v>0</v>
      </c>
      <c r="G63" s="12">
        <v>0</v>
      </c>
      <c r="H63" s="8">
        <v>0</v>
      </c>
      <c r="I63" s="12">
        <v>1</v>
      </c>
    </row>
    <row r="64" spans="2:9" ht="15" customHeight="1" x14ac:dyDescent="0.2">
      <c r="B64" t="s">
        <v>333</v>
      </c>
      <c r="C64" s="12">
        <v>4</v>
      </c>
      <c r="D64" s="8">
        <v>1.37</v>
      </c>
      <c r="E64" s="12">
        <v>3</v>
      </c>
      <c r="F64" s="8">
        <v>1.88</v>
      </c>
      <c r="G64" s="12">
        <v>1</v>
      </c>
      <c r="H64" s="8">
        <v>0.81</v>
      </c>
      <c r="I64" s="12">
        <v>0</v>
      </c>
    </row>
    <row r="65" spans="2:9" ht="15" customHeight="1" x14ac:dyDescent="0.2">
      <c r="B65" t="s">
        <v>291</v>
      </c>
      <c r="C65" s="12">
        <v>4</v>
      </c>
      <c r="D65" s="8">
        <v>1.37</v>
      </c>
      <c r="E65" s="12">
        <v>2</v>
      </c>
      <c r="F65" s="8">
        <v>1.25</v>
      </c>
      <c r="G65" s="12">
        <v>2</v>
      </c>
      <c r="H65" s="8">
        <v>1.63</v>
      </c>
      <c r="I65" s="12">
        <v>0</v>
      </c>
    </row>
    <row r="66" spans="2:9" ht="15" customHeight="1" x14ac:dyDescent="0.2">
      <c r="B66" t="s">
        <v>351</v>
      </c>
      <c r="C66" s="12">
        <v>4</v>
      </c>
      <c r="D66" s="8">
        <v>1.37</v>
      </c>
      <c r="E66" s="12">
        <v>0</v>
      </c>
      <c r="F66" s="8">
        <v>0</v>
      </c>
      <c r="G66" s="12">
        <v>4</v>
      </c>
      <c r="H66" s="8">
        <v>3.25</v>
      </c>
      <c r="I66" s="12">
        <v>0</v>
      </c>
    </row>
    <row r="67" spans="2:9" ht="15" customHeight="1" x14ac:dyDescent="0.2">
      <c r="B67" t="s">
        <v>314</v>
      </c>
      <c r="C67" s="12">
        <v>4</v>
      </c>
      <c r="D67" s="8">
        <v>1.37</v>
      </c>
      <c r="E67" s="12">
        <v>2</v>
      </c>
      <c r="F67" s="8">
        <v>1.25</v>
      </c>
      <c r="G67" s="12">
        <v>2</v>
      </c>
      <c r="H67" s="8">
        <v>1.63</v>
      </c>
      <c r="I67" s="12">
        <v>0</v>
      </c>
    </row>
    <row r="68" spans="2:9" ht="15" customHeight="1" x14ac:dyDescent="0.2">
      <c r="B68" t="s">
        <v>295</v>
      </c>
      <c r="C68" s="12">
        <v>4</v>
      </c>
      <c r="D68" s="8">
        <v>1.37</v>
      </c>
      <c r="E68" s="12">
        <v>3</v>
      </c>
      <c r="F68" s="8">
        <v>1.88</v>
      </c>
      <c r="G68" s="12">
        <v>1</v>
      </c>
      <c r="H68" s="8">
        <v>0.81</v>
      </c>
      <c r="I68" s="12">
        <v>0</v>
      </c>
    </row>
    <row r="69" spans="2:9" ht="15" customHeight="1" x14ac:dyDescent="0.2">
      <c r="B69" t="s">
        <v>296</v>
      </c>
      <c r="C69" s="12">
        <v>4</v>
      </c>
      <c r="D69" s="8">
        <v>1.37</v>
      </c>
      <c r="E69" s="12">
        <v>0</v>
      </c>
      <c r="F69" s="8">
        <v>0</v>
      </c>
      <c r="G69" s="12">
        <v>4</v>
      </c>
      <c r="H69" s="8">
        <v>3.25</v>
      </c>
      <c r="I69" s="12">
        <v>0</v>
      </c>
    </row>
    <row r="70" spans="2:9" ht="15" customHeight="1" x14ac:dyDescent="0.2">
      <c r="B70" t="s">
        <v>306</v>
      </c>
      <c r="C70" s="12">
        <v>4</v>
      </c>
      <c r="D70" s="8">
        <v>1.37</v>
      </c>
      <c r="E70" s="12">
        <v>3</v>
      </c>
      <c r="F70" s="8">
        <v>1.88</v>
      </c>
      <c r="G70" s="12">
        <v>1</v>
      </c>
      <c r="H70" s="8">
        <v>0.81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16996-4660-494A-9774-0FC37F22621B}">
  <sheetPr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30</v>
      </c>
      <c r="D6" s="8">
        <v>16.04</v>
      </c>
      <c r="E6" s="12">
        <v>5</v>
      </c>
      <c r="F6" s="8">
        <v>6.02</v>
      </c>
      <c r="G6" s="12">
        <v>25</v>
      </c>
      <c r="H6" s="8">
        <v>25.77</v>
      </c>
      <c r="I6" s="12">
        <v>0</v>
      </c>
    </row>
    <row r="7" spans="2:9" ht="15" customHeight="1" x14ac:dyDescent="0.2">
      <c r="B7" t="s">
        <v>192</v>
      </c>
      <c r="C7" s="12">
        <v>13</v>
      </c>
      <c r="D7" s="8">
        <v>6.95</v>
      </c>
      <c r="E7" s="12">
        <v>2</v>
      </c>
      <c r="F7" s="8">
        <v>2.41</v>
      </c>
      <c r="G7" s="12">
        <v>11</v>
      </c>
      <c r="H7" s="8">
        <v>11.34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0.53</v>
      </c>
      <c r="E8" s="12">
        <v>0</v>
      </c>
      <c r="F8" s="8">
        <v>0</v>
      </c>
      <c r="G8" s="12">
        <v>1</v>
      </c>
      <c r="H8" s="8">
        <v>1.03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0.53</v>
      </c>
      <c r="E10" s="12">
        <v>0</v>
      </c>
      <c r="F10" s="8">
        <v>0</v>
      </c>
      <c r="G10" s="12">
        <v>1</v>
      </c>
      <c r="H10" s="8">
        <v>1.03</v>
      </c>
      <c r="I10" s="12">
        <v>0</v>
      </c>
    </row>
    <row r="11" spans="2:9" ht="15" customHeight="1" x14ac:dyDescent="0.2">
      <c r="B11" t="s">
        <v>196</v>
      </c>
      <c r="C11" s="12">
        <v>46</v>
      </c>
      <c r="D11" s="8">
        <v>24.6</v>
      </c>
      <c r="E11" s="12">
        <v>21</v>
      </c>
      <c r="F11" s="8">
        <v>25.3</v>
      </c>
      <c r="G11" s="12">
        <v>25</v>
      </c>
      <c r="H11" s="8">
        <v>25.77</v>
      </c>
      <c r="I11" s="12">
        <v>0</v>
      </c>
    </row>
    <row r="12" spans="2:9" ht="15" customHeight="1" x14ac:dyDescent="0.2">
      <c r="B12" t="s">
        <v>197</v>
      </c>
      <c r="C12" s="12">
        <v>2</v>
      </c>
      <c r="D12" s="8">
        <v>1.07</v>
      </c>
      <c r="E12" s="12">
        <v>0</v>
      </c>
      <c r="F12" s="8">
        <v>0</v>
      </c>
      <c r="G12" s="12">
        <v>2</v>
      </c>
      <c r="H12" s="8">
        <v>2.06</v>
      </c>
      <c r="I12" s="12">
        <v>0</v>
      </c>
    </row>
    <row r="13" spans="2:9" ht="15" customHeight="1" x14ac:dyDescent="0.2">
      <c r="B13" t="s">
        <v>198</v>
      </c>
      <c r="C13" s="12">
        <v>5</v>
      </c>
      <c r="D13" s="8">
        <v>2.67</v>
      </c>
      <c r="E13" s="12">
        <v>2</v>
      </c>
      <c r="F13" s="8">
        <v>2.41</v>
      </c>
      <c r="G13" s="12">
        <v>3</v>
      </c>
      <c r="H13" s="8">
        <v>3.09</v>
      </c>
      <c r="I13" s="12">
        <v>0</v>
      </c>
    </row>
    <row r="14" spans="2:9" ht="15" customHeight="1" x14ac:dyDescent="0.2">
      <c r="B14" t="s">
        <v>199</v>
      </c>
      <c r="C14" s="12">
        <v>8</v>
      </c>
      <c r="D14" s="8">
        <v>4.28</v>
      </c>
      <c r="E14" s="12">
        <v>4</v>
      </c>
      <c r="F14" s="8">
        <v>4.82</v>
      </c>
      <c r="G14" s="12">
        <v>4</v>
      </c>
      <c r="H14" s="8">
        <v>4.12</v>
      </c>
      <c r="I14" s="12">
        <v>0</v>
      </c>
    </row>
    <row r="15" spans="2:9" ht="15" customHeight="1" x14ac:dyDescent="0.2">
      <c r="B15" t="s">
        <v>200</v>
      </c>
      <c r="C15" s="12">
        <v>30</v>
      </c>
      <c r="D15" s="8">
        <v>16.04</v>
      </c>
      <c r="E15" s="12">
        <v>22</v>
      </c>
      <c r="F15" s="8">
        <v>26.51</v>
      </c>
      <c r="G15" s="12">
        <v>7</v>
      </c>
      <c r="H15" s="8">
        <v>7.22</v>
      </c>
      <c r="I15" s="12">
        <v>0</v>
      </c>
    </row>
    <row r="16" spans="2:9" ht="15" customHeight="1" x14ac:dyDescent="0.2">
      <c r="B16" t="s">
        <v>201</v>
      </c>
      <c r="C16" s="12">
        <v>17</v>
      </c>
      <c r="D16" s="8">
        <v>9.09</v>
      </c>
      <c r="E16" s="12">
        <v>13</v>
      </c>
      <c r="F16" s="8">
        <v>15.66</v>
      </c>
      <c r="G16" s="12">
        <v>4</v>
      </c>
      <c r="H16" s="8">
        <v>4.12</v>
      </c>
      <c r="I16" s="12">
        <v>0</v>
      </c>
    </row>
    <row r="17" spans="2:9" ht="15" customHeight="1" x14ac:dyDescent="0.2">
      <c r="B17" t="s">
        <v>202</v>
      </c>
      <c r="C17" s="12">
        <v>8</v>
      </c>
      <c r="D17" s="8">
        <v>4.28</v>
      </c>
      <c r="E17" s="12">
        <v>3</v>
      </c>
      <c r="F17" s="8">
        <v>3.61</v>
      </c>
      <c r="G17" s="12">
        <v>1</v>
      </c>
      <c r="H17" s="8">
        <v>1.03</v>
      </c>
      <c r="I17" s="12">
        <v>0</v>
      </c>
    </row>
    <row r="18" spans="2:9" ht="15" customHeight="1" x14ac:dyDescent="0.2">
      <c r="B18" t="s">
        <v>203</v>
      </c>
      <c r="C18" s="12">
        <v>12</v>
      </c>
      <c r="D18" s="8">
        <v>6.42</v>
      </c>
      <c r="E18" s="12">
        <v>6</v>
      </c>
      <c r="F18" s="8">
        <v>7.23</v>
      </c>
      <c r="G18" s="12">
        <v>6</v>
      </c>
      <c r="H18" s="8">
        <v>6.19</v>
      </c>
      <c r="I18" s="12">
        <v>0</v>
      </c>
    </row>
    <row r="19" spans="2:9" ht="15" customHeight="1" x14ac:dyDescent="0.2">
      <c r="B19" t="s">
        <v>204</v>
      </c>
      <c r="C19" s="12">
        <v>14</v>
      </c>
      <c r="D19" s="8">
        <v>7.49</v>
      </c>
      <c r="E19" s="12">
        <v>5</v>
      </c>
      <c r="F19" s="8">
        <v>6.02</v>
      </c>
      <c r="G19" s="12">
        <v>7</v>
      </c>
      <c r="H19" s="8">
        <v>7.22</v>
      </c>
      <c r="I19" s="12">
        <v>0</v>
      </c>
    </row>
    <row r="20" spans="2:9" ht="15" customHeight="1" x14ac:dyDescent="0.2">
      <c r="B20" s="9" t="s">
        <v>529</v>
      </c>
      <c r="C20" s="12">
        <f>SUM(LTBL_01585[総数／事業所数])</f>
        <v>187</v>
      </c>
      <c r="E20" s="12">
        <f>SUBTOTAL(109,LTBL_01585[個人／事業所数])</f>
        <v>83</v>
      </c>
      <c r="G20" s="12">
        <f>SUBTOTAL(109,LTBL_01585[法人／事業所数])</f>
        <v>97</v>
      </c>
      <c r="I20" s="12">
        <f>SUBTOTAL(109,LTBL_01585[法人以外の団体／事業所数])</f>
        <v>0</v>
      </c>
    </row>
    <row r="21" spans="2:9" ht="15" customHeight="1" x14ac:dyDescent="0.2">
      <c r="E21" s="11">
        <f>LTBL_01585[[#Totals],[個人／事業所数]]/LTBL_01585[[#Totals],[総数／事業所数]]</f>
        <v>0.44385026737967914</v>
      </c>
      <c r="G21" s="11">
        <f>LTBL_01585[[#Totals],[法人／事業所数]]/LTBL_01585[[#Totals],[総数／事業所数]]</f>
        <v>0.51871657754010692</v>
      </c>
      <c r="I21" s="11">
        <f>LTBL_01585[[#Totals],[法人以外の団体／事業所数]]/LTBL_01585[[#Totals],[総数／事業所数]]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23</v>
      </c>
      <c r="D24" s="8">
        <v>12.3</v>
      </c>
      <c r="E24" s="12">
        <v>19</v>
      </c>
      <c r="F24" s="8">
        <v>22.89</v>
      </c>
      <c r="G24" s="12">
        <v>4</v>
      </c>
      <c r="H24" s="8">
        <v>4.12</v>
      </c>
      <c r="I24" s="12">
        <v>0</v>
      </c>
    </row>
    <row r="25" spans="2:9" ht="15" customHeight="1" x14ac:dyDescent="0.2">
      <c r="B25" t="s">
        <v>223</v>
      </c>
      <c r="C25" s="12">
        <v>18</v>
      </c>
      <c r="D25" s="8">
        <v>9.6300000000000008</v>
      </c>
      <c r="E25" s="12">
        <v>7</v>
      </c>
      <c r="F25" s="8">
        <v>8.43</v>
      </c>
      <c r="G25" s="12">
        <v>11</v>
      </c>
      <c r="H25" s="8">
        <v>11.34</v>
      </c>
      <c r="I25" s="12">
        <v>0</v>
      </c>
    </row>
    <row r="26" spans="2:9" ht="15" customHeight="1" x14ac:dyDescent="0.2">
      <c r="B26" t="s">
        <v>221</v>
      </c>
      <c r="C26" s="12">
        <v>17</v>
      </c>
      <c r="D26" s="8">
        <v>9.09</v>
      </c>
      <c r="E26" s="12">
        <v>10</v>
      </c>
      <c r="F26" s="8">
        <v>12.05</v>
      </c>
      <c r="G26" s="12">
        <v>7</v>
      </c>
      <c r="H26" s="8">
        <v>7.22</v>
      </c>
      <c r="I26" s="12">
        <v>0</v>
      </c>
    </row>
    <row r="27" spans="2:9" ht="15" customHeight="1" x14ac:dyDescent="0.2">
      <c r="B27" t="s">
        <v>213</v>
      </c>
      <c r="C27" s="12">
        <v>16</v>
      </c>
      <c r="D27" s="8">
        <v>8.56</v>
      </c>
      <c r="E27" s="12">
        <v>2</v>
      </c>
      <c r="F27" s="8">
        <v>2.41</v>
      </c>
      <c r="G27" s="12">
        <v>14</v>
      </c>
      <c r="H27" s="8">
        <v>14.43</v>
      </c>
      <c r="I27" s="12">
        <v>0</v>
      </c>
    </row>
    <row r="28" spans="2:9" ht="15" customHeight="1" x14ac:dyDescent="0.2">
      <c r="B28" t="s">
        <v>228</v>
      </c>
      <c r="C28" s="12">
        <v>14</v>
      </c>
      <c r="D28" s="8">
        <v>7.49</v>
      </c>
      <c r="E28" s="12">
        <v>12</v>
      </c>
      <c r="F28" s="8">
        <v>14.46</v>
      </c>
      <c r="G28" s="12">
        <v>2</v>
      </c>
      <c r="H28" s="8">
        <v>2.06</v>
      </c>
      <c r="I28" s="12">
        <v>0</v>
      </c>
    </row>
    <row r="29" spans="2:9" ht="15" customHeight="1" x14ac:dyDescent="0.2">
      <c r="B29" t="s">
        <v>230</v>
      </c>
      <c r="C29" s="12">
        <v>8</v>
      </c>
      <c r="D29" s="8">
        <v>4.28</v>
      </c>
      <c r="E29" s="12">
        <v>3</v>
      </c>
      <c r="F29" s="8">
        <v>3.61</v>
      </c>
      <c r="G29" s="12">
        <v>1</v>
      </c>
      <c r="H29" s="8">
        <v>1.03</v>
      </c>
      <c r="I29" s="12">
        <v>0</v>
      </c>
    </row>
    <row r="30" spans="2:9" ht="15" customHeight="1" x14ac:dyDescent="0.2">
      <c r="B30" t="s">
        <v>214</v>
      </c>
      <c r="C30" s="12">
        <v>7</v>
      </c>
      <c r="D30" s="8">
        <v>3.74</v>
      </c>
      <c r="E30" s="12">
        <v>2</v>
      </c>
      <c r="F30" s="8">
        <v>2.41</v>
      </c>
      <c r="G30" s="12">
        <v>5</v>
      </c>
      <c r="H30" s="8">
        <v>5.15</v>
      </c>
      <c r="I30" s="12">
        <v>0</v>
      </c>
    </row>
    <row r="31" spans="2:9" ht="15" customHeight="1" x14ac:dyDescent="0.2">
      <c r="B31" t="s">
        <v>215</v>
      </c>
      <c r="C31" s="12">
        <v>7</v>
      </c>
      <c r="D31" s="8">
        <v>3.74</v>
      </c>
      <c r="E31" s="12">
        <v>1</v>
      </c>
      <c r="F31" s="8">
        <v>1.2</v>
      </c>
      <c r="G31" s="12">
        <v>6</v>
      </c>
      <c r="H31" s="8">
        <v>6.19</v>
      </c>
      <c r="I31" s="12">
        <v>0</v>
      </c>
    </row>
    <row r="32" spans="2:9" ht="15" customHeight="1" x14ac:dyDescent="0.2">
      <c r="B32" t="s">
        <v>240</v>
      </c>
      <c r="C32" s="12">
        <v>7</v>
      </c>
      <c r="D32" s="8">
        <v>3.74</v>
      </c>
      <c r="E32" s="12">
        <v>4</v>
      </c>
      <c r="F32" s="8">
        <v>4.82</v>
      </c>
      <c r="G32" s="12">
        <v>3</v>
      </c>
      <c r="H32" s="8">
        <v>3.09</v>
      </c>
      <c r="I32" s="12">
        <v>0</v>
      </c>
    </row>
    <row r="33" spans="2:9" ht="15" customHeight="1" x14ac:dyDescent="0.2">
      <c r="B33" t="s">
        <v>241</v>
      </c>
      <c r="C33" s="12">
        <v>6</v>
      </c>
      <c r="D33" s="8">
        <v>3.21</v>
      </c>
      <c r="E33" s="12">
        <v>0</v>
      </c>
      <c r="F33" s="8">
        <v>0</v>
      </c>
      <c r="G33" s="12">
        <v>6</v>
      </c>
      <c r="H33" s="8">
        <v>6.19</v>
      </c>
      <c r="I33" s="12">
        <v>0</v>
      </c>
    </row>
    <row r="34" spans="2:9" ht="15" customHeight="1" x14ac:dyDescent="0.2">
      <c r="B34" t="s">
        <v>226</v>
      </c>
      <c r="C34" s="12">
        <v>6</v>
      </c>
      <c r="D34" s="8">
        <v>3.21</v>
      </c>
      <c r="E34" s="12">
        <v>2</v>
      </c>
      <c r="F34" s="8">
        <v>2.41</v>
      </c>
      <c r="G34" s="12">
        <v>4</v>
      </c>
      <c r="H34" s="8">
        <v>4.12</v>
      </c>
      <c r="I34" s="12">
        <v>0</v>
      </c>
    </row>
    <row r="35" spans="2:9" ht="15" customHeight="1" x14ac:dyDescent="0.2">
      <c r="B35" t="s">
        <v>231</v>
      </c>
      <c r="C35" s="12">
        <v>6</v>
      </c>
      <c r="D35" s="8">
        <v>3.21</v>
      </c>
      <c r="E35" s="12">
        <v>6</v>
      </c>
      <c r="F35" s="8">
        <v>7.23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232</v>
      </c>
      <c r="C36" s="12">
        <v>6</v>
      </c>
      <c r="D36" s="8">
        <v>3.21</v>
      </c>
      <c r="E36" s="12">
        <v>0</v>
      </c>
      <c r="F36" s="8">
        <v>0</v>
      </c>
      <c r="G36" s="12">
        <v>6</v>
      </c>
      <c r="H36" s="8">
        <v>6.19</v>
      </c>
      <c r="I36" s="12">
        <v>0</v>
      </c>
    </row>
    <row r="37" spans="2:9" ht="15" customHeight="1" x14ac:dyDescent="0.2">
      <c r="B37" t="s">
        <v>224</v>
      </c>
      <c r="C37" s="12">
        <v>5</v>
      </c>
      <c r="D37" s="8">
        <v>2.67</v>
      </c>
      <c r="E37" s="12">
        <v>2</v>
      </c>
      <c r="F37" s="8">
        <v>2.41</v>
      </c>
      <c r="G37" s="12">
        <v>3</v>
      </c>
      <c r="H37" s="8">
        <v>3.09</v>
      </c>
      <c r="I37" s="12">
        <v>0</v>
      </c>
    </row>
    <row r="38" spans="2:9" ht="15" customHeight="1" x14ac:dyDescent="0.2">
      <c r="B38" t="s">
        <v>222</v>
      </c>
      <c r="C38" s="12">
        <v>4</v>
      </c>
      <c r="D38" s="8">
        <v>2.14</v>
      </c>
      <c r="E38" s="12">
        <v>0</v>
      </c>
      <c r="F38" s="8">
        <v>0</v>
      </c>
      <c r="G38" s="12">
        <v>4</v>
      </c>
      <c r="H38" s="8">
        <v>4.12</v>
      </c>
      <c r="I38" s="12">
        <v>0</v>
      </c>
    </row>
    <row r="39" spans="2:9" ht="15" customHeight="1" x14ac:dyDescent="0.2">
      <c r="B39" t="s">
        <v>239</v>
      </c>
      <c r="C39" s="12">
        <v>4</v>
      </c>
      <c r="D39" s="8">
        <v>2.14</v>
      </c>
      <c r="E39" s="12">
        <v>1</v>
      </c>
      <c r="F39" s="8">
        <v>1.2</v>
      </c>
      <c r="G39" s="12">
        <v>2</v>
      </c>
      <c r="H39" s="8">
        <v>2.06</v>
      </c>
      <c r="I39" s="12">
        <v>0</v>
      </c>
    </row>
    <row r="40" spans="2:9" ht="15" customHeight="1" x14ac:dyDescent="0.2">
      <c r="B40" t="s">
        <v>249</v>
      </c>
      <c r="C40" s="12">
        <v>4</v>
      </c>
      <c r="D40" s="8">
        <v>2.14</v>
      </c>
      <c r="E40" s="12">
        <v>1</v>
      </c>
      <c r="F40" s="8">
        <v>1.2</v>
      </c>
      <c r="G40" s="12">
        <v>2</v>
      </c>
      <c r="H40" s="8">
        <v>2.06</v>
      </c>
      <c r="I40" s="12">
        <v>0</v>
      </c>
    </row>
    <row r="41" spans="2:9" ht="15" customHeight="1" x14ac:dyDescent="0.2">
      <c r="B41" t="s">
        <v>220</v>
      </c>
      <c r="C41" s="12">
        <v>3</v>
      </c>
      <c r="D41" s="8">
        <v>1.6</v>
      </c>
      <c r="E41" s="12">
        <v>2</v>
      </c>
      <c r="F41" s="8">
        <v>2.41</v>
      </c>
      <c r="G41" s="12">
        <v>1</v>
      </c>
      <c r="H41" s="8">
        <v>1.03</v>
      </c>
      <c r="I41" s="12">
        <v>0</v>
      </c>
    </row>
    <row r="42" spans="2:9" ht="15" customHeight="1" x14ac:dyDescent="0.2">
      <c r="B42" t="s">
        <v>243</v>
      </c>
      <c r="C42" s="12">
        <v>3</v>
      </c>
      <c r="D42" s="8">
        <v>1.6</v>
      </c>
      <c r="E42" s="12">
        <v>2</v>
      </c>
      <c r="F42" s="8">
        <v>2.41</v>
      </c>
      <c r="G42" s="12">
        <v>1</v>
      </c>
      <c r="H42" s="8">
        <v>1.03</v>
      </c>
      <c r="I42" s="12">
        <v>0</v>
      </c>
    </row>
    <row r="43" spans="2:9" ht="15" customHeight="1" x14ac:dyDescent="0.2">
      <c r="B43" t="s">
        <v>262</v>
      </c>
      <c r="C43" s="12">
        <v>2</v>
      </c>
      <c r="D43" s="8">
        <v>1.07</v>
      </c>
      <c r="E43" s="12">
        <v>0</v>
      </c>
      <c r="F43" s="8">
        <v>0</v>
      </c>
      <c r="G43" s="12">
        <v>2</v>
      </c>
      <c r="H43" s="8">
        <v>2.06</v>
      </c>
      <c r="I43" s="12">
        <v>0</v>
      </c>
    </row>
    <row r="44" spans="2:9" ht="15" customHeight="1" x14ac:dyDescent="0.2">
      <c r="B44" t="s">
        <v>244</v>
      </c>
      <c r="C44" s="12">
        <v>2</v>
      </c>
      <c r="D44" s="8">
        <v>1.07</v>
      </c>
      <c r="E44" s="12">
        <v>0</v>
      </c>
      <c r="F44" s="8">
        <v>0</v>
      </c>
      <c r="G44" s="12">
        <v>2</v>
      </c>
      <c r="H44" s="8">
        <v>2.06</v>
      </c>
      <c r="I44" s="12">
        <v>0</v>
      </c>
    </row>
    <row r="45" spans="2:9" ht="15" customHeight="1" x14ac:dyDescent="0.2">
      <c r="B45" t="s">
        <v>258</v>
      </c>
      <c r="C45" s="12">
        <v>2</v>
      </c>
      <c r="D45" s="8">
        <v>1.07</v>
      </c>
      <c r="E45" s="12">
        <v>1</v>
      </c>
      <c r="F45" s="8">
        <v>1.2</v>
      </c>
      <c r="G45" s="12">
        <v>1</v>
      </c>
      <c r="H45" s="8">
        <v>1.03</v>
      </c>
      <c r="I45" s="12">
        <v>0</v>
      </c>
    </row>
    <row r="46" spans="2:9" ht="15" customHeight="1" x14ac:dyDescent="0.2">
      <c r="B46" t="s">
        <v>237</v>
      </c>
      <c r="C46" s="12">
        <v>2</v>
      </c>
      <c r="D46" s="8">
        <v>1.07</v>
      </c>
      <c r="E46" s="12">
        <v>0</v>
      </c>
      <c r="F46" s="8">
        <v>0</v>
      </c>
      <c r="G46" s="12">
        <v>2</v>
      </c>
      <c r="H46" s="8">
        <v>2.06</v>
      </c>
      <c r="I46" s="12">
        <v>0</v>
      </c>
    </row>
    <row r="47" spans="2:9" ht="15" customHeight="1" x14ac:dyDescent="0.2">
      <c r="B47" t="s">
        <v>225</v>
      </c>
      <c r="C47" s="12">
        <v>2</v>
      </c>
      <c r="D47" s="8">
        <v>1.07</v>
      </c>
      <c r="E47" s="12">
        <v>2</v>
      </c>
      <c r="F47" s="8">
        <v>2.41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247</v>
      </c>
      <c r="C48" s="12">
        <v>2</v>
      </c>
      <c r="D48" s="8">
        <v>1.07</v>
      </c>
      <c r="E48" s="12">
        <v>1</v>
      </c>
      <c r="F48" s="8">
        <v>1.2</v>
      </c>
      <c r="G48" s="12">
        <v>1</v>
      </c>
      <c r="H48" s="8">
        <v>1.03</v>
      </c>
      <c r="I48" s="12">
        <v>0</v>
      </c>
    </row>
    <row r="49" spans="2:9" ht="15" customHeight="1" x14ac:dyDescent="0.2">
      <c r="B49" t="s">
        <v>234</v>
      </c>
      <c r="C49" s="12">
        <v>2</v>
      </c>
      <c r="D49" s="8">
        <v>1.07</v>
      </c>
      <c r="E49" s="12">
        <v>0</v>
      </c>
      <c r="F49" s="8">
        <v>0</v>
      </c>
      <c r="G49" s="12">
        <v>2</v>
      </c>
      <c r="H49" s="8">
        <v>2.06</v>
      </c>
      <c r="I49" s="12">
        <v>0</v>
      </c>
    </row>
    <row r="52" spans="2:9" ht="33" customHeight="1" x14ac:dyDescent="0.2">
      <c r="B52" t="s">
        <v>531</v>
      </c>
      <c r="C52" s="10" t="s">
        <v>206</v>
      </c>
      <c r="D52" s="10" t="s">
        <v>207</v>
      </c>
      <c r="E52" s="10" t="s">
        <v>208</v>
      </c>
      <c r="F52" s="10" t="s">
        <v>209</v>
      </c>
      <c r="G52" s="10" t="s">
        <v>210</v>
      </c>
      <c r="H52" s="10" t="s">
        <v>211</v>
      </c>
      <c r="I52" s="10" t="s">
        <v>212</v>
      </c>
    </row>
    <row r="53" spans="2:9" ht="15" customHeight="1" x14ac:dyDescent="0.2">
      <c r="B53" t="s">
        <v>288</v>
      </c>
      <c r="C53" s="12">
        <v>11</v>
      </c>
      <c r="D53" s="8">
        <v>5.88</v>
      </c>
      <c r="E53" s="12">
        <v>2</v>
      </c>
      <c r="F53" s="8">
        <v>2.41</v>
      </c>
      <c r="G53" s="12">
        <v>9</v>
      </c>
      <c r="H53" s="8">
        <v>9.2799999999999994</v>
      </c>
      <c r="I53" s="12">
        <v>0</v>
      </c>
    </row>
    <row r="54" spans="2:9" ht="15" customHeight="1" x14ac:dyDescent="0.2">
      <c r="B54" t="s">
        <v>303</v>
      </c>
      <c r="C54" s="12">
        <v>8</v>
      </c>
      <c r="D54" s="8">
        <v>4.28</v>
      </c>
      <c r="E54" s="12">
        <v>8</v>
      </c>
      <c r="F54" s="8">
        <v>9.64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330</v>
      </c>
      <c r="C55" s="12">
        <v>7</v>
      </c>
      <c r="D55" s="8">
        <v>3.74</v>
      </c>
      <c r="E55" s="12">
        <v>2</v>
      </c>
      <c r="F55" s="8">
        <v>2.41</v>
      </c>
      <c r="G55" s="12">
        <v>5</v>
      </c>
      <c r="H55" s="8">
        <v>5.15</v>
      </c>
      <c r="I55" s="12">
        <v>0</v>
      </c>
    </row>
    <row r="56" spans="2:9" ht="15" customHeight="1" x14ac:dyDescent="0.2">
      <c r="B56" t="s">
        <v>307</v>
      </c>
      <c r="C56" s="12">
        <v>7</v>
      </c>
      <c r="D56" s="8">
        <v>3.74</v>
      </c>
      <c r="E56" s="12">
        <v>4</v>
      </c>
      <c r="F56" s="8">
        <v>4.82</v>
      </c>
      <c r="G56" s="12">
        <v>3</v>
      </c>
      <c r="H56" s="8">
        <v>3.09</v>
      </c>
      <c r="I56" s="12">
        <v>0</v>
      </c>
    </row>
    <row r="57" spans="2:9" ht="15" customHeight="1" x14ac:dyDescent="0.2">
      <c r="B57" t="s">
        <v>329</v>
      </c>
      <c r="C57" s="12">
        <v>6</v>
      </c>
      <c r="D57" s="8">
        <v>3.21</v>
      </c>
      <c r="E57" s="12">
        <v>5</v>
      </c>
      <c r="F57" s="8">
        <v>6.02</v>
      </c>
      <c r="G57" s="12">
        <v>1</v>
      </c>
      <c r="H57" s="8">
        <v>1.03</v>
      </c>
      <c r="I57" s="12">
        <v>0</v>
      </c>
    </row>
    <row r="58" spans="2:9" ht="15" customHeight="1" x14ac:dyDescent="0.2">
      <c r="B58" t="s">
        <v>292</v>
      </c>
      <c r="C58" s="12">
        <v>6</v>
      </c>
      <c r="D58" s="8">
        <v>3.21</v>
      </c>
      <c r="E58" s="12">
        <v>2</v>
      </c>
      <c r="F58" s="8">
        <v>2.41</v>
      </c>
      <c r="G58" s="12">
        <v>4</v>
      </c>
      <c r="H58" s="8">
        <v>4.12</v>
      </c>
      <c r="I58" s="12">
        <v>0</v>
      </c>
    </row>
    <row r="59" spans="2:9" ht="15" customHeight="1" x14ac:dyDescent="0.2">
      <c r="B59" t="s">
        <v>299</v>
      </c>
      <c r="C59" s="12">
        <v>6</v>
      </c>
      <c r="D59" s="8">
        <v>3.21</v>
      </c>
      <c r="E59" s="12">
        <v>5</v>
      </c>
      <c r="F59" s="8">
        <v>6.02</v>
      </c>
      <c r="G59" s="12">
        <v>1</v>
      </c>
      <c r="H59" s="8">
        <v>1.03</v>
      </c>
      <c r="I59" s="12">
        <v>0</v>
      </c>
    </row>
    <row r="60" spans="2:9" ht="15" customHeight="1" x14ac:dyDescent="0.2">
      <c r="B60" t="s">
        <v>301</v>
      </c>
      <c r="C60" s="12">
        <v>6</v>
      </c>
      <c r="D60" s="8">
        <v>3.21</v>
      </c>
      <c r="E60" s="12">
        <v>6</v>
      </c>
      <c r="F60" s="8">
        <v>7.23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290</v>
      </c>
      <c r="C61" s="12">
        <v>5</v>
      </c>
      <c r="D61" s="8">
        <v>2.67</v>
      </c>
      <c r="E61" s="12">
        <v>0</v>
      </c>
      <c r="F61" s="8">
        <v>0</v>
      </c>
      <c r="G61" s="12">
        <v>5</v>
      </c>
      <c r="H61" s="8">
        <v>5.15</v>
      </c>
      <c r="I61" s="12">
        <v>0</v>
      </c>
    </row>
    <row r="62" spans="2:9" ht="15" customHeight="1" x14ac:dyDescent="0.2">
      <c r="B62" t="s">
        <v>304</v>
      </c>
      <c r="C62" s="12">
        <v>5</v>
      </c>
      <c r="D62" s="8">
        <v>2.67</v>
      </c>
      <c r="E62" s="12">
        <v>4</v>
      </c>
      <c r="F62" s="8">
        <v>4.82</v>
      </c>
      <c r="G62" s="12">
        <v>1</v>
      </c>
      <c r="H62" s="8">
        <v>1.03</v>
      </c>
      <c r="I62" s="12">
        <v>0</v>
      </c>
    </row>
    <row r="63" spans="2:9" ht="15" customHeight="1" x14ac:dyDescent="0.2">
      <c r="B63" t="s">
        <v>413</v>
      </c>
      <c r="C63" s="12">
        <v>4</v>
      </c>
      <c r="D63" s="8">
        <v>2.14</v>
      </c>
      <c r="E63" s="12">
        <v>0</v>
      </c>
      <c r="F63" s="8">
        <v>0</v>
      </c>
      <c r="G63" s="12">
        <v>4</v>
      </c>
      <c r="H63" s="8">
        <v>4.12</v>
      </c>
      <c r="I63" s="12">
        <v>0</v>
      </c>
    </row>
    <row r="64" spans="2:9" ht="15" customHeight="1" x14ac:dyDescent="0.2">
      <c r="B64" t="s">
        <v>334</v>
      </c>
      <c r="C64" s="12">
        <v>4</v>
      </c>
      <c r="D64" s="8">
        <v>2.14</v>
      </c>
      <c r="E64" s="12">
        <v>1</v>
      </c>
      <c r="F64" s="8">
        <v>1.2</v>
      </c>
      <c r="G64" s="12">
        <v>3</v>
      </c>
      <c r="H64" s="8">
        <v>3.09</v>
      </c>
      <c r="I64" s="12">
        <v>0</v>
      </c>
    </row>
    <row r="65" spans="2:9" ht="15" customHeight="1" x14ac:dyDescent="0.2">
      <c r="B65" t="s">
        <v>300</v>
      </c>
      <c r="C65" s="12">
        <v>4</v>
      </c>
      <c r="D65" s="8">
        <v>2.14</v>
      </c>
      <c r="E65" s="12">
        <v>4</v>
      </c>
      <c r="F65" s="8">
        <v>4.82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340</v>
      </c>
      <c r="C66" s="12">
        <v>4</v>
      </c>
      <c r="D66" s="8">
        <v>2.14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305</v>
      </c>
      <c r="C67" s="12">
        <v>4</v>
      </c>
      <c r="D67" s="8">
        <v>2.14</v>
      </c>
      <c r="E67" s="12">
        <v>3</v>
      </c>
      <c r="F67" s="8">
        <v>3.61</v>
      </c>
      <c r="G67" s="12">
        <v>1</v>
      </c>
      <c r="H67" s="8">
        <v>1.03</v>
      </c>
      <c r="I67" s="12">
        <v>0</v>
      </c>
    </row>
    <row r="68" spans="2:9" ht="15" customHeight="1" x14ac:dyDescent="0.2">
      <c r="B68" t="s">
        <v>306</v>
      </c>
      <c r="C68" s="12">
        <v>4</v>
      </c>
      <c r="D68" s="8">
        <v>2.14</v>
      </c>
      <c r="E68" s="12">
        <v>4</v>
      </c>
      <c r="F68" s="8">
        <v>4.82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328</v>
      </c>
      <c r="C69" s="12">
        <v>3</v>
      </c>
      <c r="D69" s="8">
        <v>1.6</v>
      </c>
      <c r="E69" s="12">
        <v>0</v>
      </c>
      <c r="F69" s="8">
        <v>0</v>
      </c>
      <c r="G69" s="12">
        <v>3</v>
      </c>
      <c r="H69" s="8">
        <v>3.09</v>
      </c>
      <c r="I69" s="12">
        <v>0</v>
      </c>
    </row>
    <row r="70" spans="2:9" ht="15" customHeight="1" x14ac:dyDescent="0.2">
      <c r="B70" t="s">
        <v>293</v>
      </c>
      <c r="C70" s="12">
        <v>3</v>
      </c>
      <c r="D70" s="8">
        <v>1.6</v>
      </c>
      <c r="E70" s="12">
        <v>0</v>
      </c>
      <c r="F70" s="8">
        <v>0</v>
      </c>
      <c r="G70" s="12">
        <v>3</v>
      </c>
      <c r="H70" s="8">
        <v>3.09</v>
      </c>
      <c r="I70" s="12">
        <v>0</v>
      </c>
    </row>
    <row r="71" spans="2:9" ht="15" customHeight="1" x14ac:dyDescent="0.2">
      <c r="B71" t="s">
        <v>372</v>
      </c>
      <c r="C71" s="12">
        <v>3</v>
      </c>
      <c r="D71" s="8">
        <v>1.6</v>
      </c>
      <c r="E71" s="12">
        <v>1</v>
      </c>
      <c r="F71" s="8">
        <v>1.2</v>
      </c>
      <c r="G71" s="12">
        <v>2</v>
      </c>
      <c r="H71" s="8">
        <v>2.06</v>
      </c>
      <c r="I71" s="12">
        <v>0</v>
      </c>
    </row>
    <row r="72" spans="2:9" ht="15" customHeight="1" x14ac:dyDescent="0.2">
      <c r="B72" t="s">
        <v>337</v>
      </c>
      <c r="C72" s="12">
        <v>3</v>
      </c>
      <c r="D72" s="8">
        <v>1.6</v>
      </c>
      <c r="E72" s="12">
        <v>3</v>
      </c>
      <c r="F72" s="8">
        <v>3.61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297</v>
      </c>
      <c r="C73" s="12">
        <v>3</v>
      </c>
      <c r="D73" s="8">
        <v>1.6</v>
      </c>
      <c r="E73" s="12">
        <v>2</v>
      </c>
      <c r="F73" s="8">
        <v>2.41</v>
      </c>
      <c r="G73" s="12">
        <v>1</v>
      </c>
      <c r="H73" s="8">
        <v>1.03</v>
      </c>
      <c r="I73" s="12">
        <v>0</v>
      </c>
    </row>
    <row r="74" spans="2:9" ht="15" customHeight="1" x14ac:dyDescent="0.2">
      <c r="B74" t="s">
        <v>325</v>
      </c>
      <c r="C74" s="12">
        <v>3</v>
      </c>
      <c r="D74" s="8">
        <v>1.6</v>
      </c>
      <c r="E74" s="12">
        <v>0</v>
      </c>
      <c r="F74" s="8">
        <v>0</v>
      </c>
      <c r="G74" s="12">
        <v>2</v>
      </c>
      <c r="H74" s="8">
        <v>2.06</v>
      </c>
      <c r="I74" s="12">
        <v>0</v>
      </c>
    </row>
    <row r="75" spans="2:9" ht="15" customHeight="1" x14ac:dyDescent="0.2">
      <c r="B75" t="s">
        <v>347</v>
      </c>
      <c r="C75" s="12">
        <v>3</v>
      </c>
      <c r="D75" s="8">
        <v>1.6</v>
      </c>
      <c r="E75" s="12">
        <v>0</v>
      </c>
      <c r="F75" s="8">
        <v>0</v>
      </c>
      <c r="G75" s="12">
        <v>3</v>
      </c>
      <c r="H75" s="8">
        <v>3.09</v>
      </c>
      <c r="I75" s="12">
        <v>0</v>
      </c>
    </row>
    <row r="77" spans="2:9" ht="15" customHeight="1" x14ac:dyDescent="0.2">
      <c r="B7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CFF6E-952F-44DB-ADC8-997F1C142DBB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3</v>
      </c>
      <c r="D5" s="8">
        <v>1.42</v>
      </c>
      <c r="E5" s="12">
        <v>0</v>
      </c>
      <c r="F5" s="8">
        <v>0</v>
      </c>
      <c r="G5" s="12">
        <v>3</v>
      </c>
      <c r="H5" s="8">
        <v>3.37</v>
      </c>
      <c r="I5" s="12">
        <v>0</v>
      </c>
    </row>
    <row r="6" spans="2:9" ht="15" customHeight="1" x14ac:dyDescent="0.2">
      <c r="B6" t="s">
        <v>191</v>
      </c>
      <c r="C6" s="12">
        <v>34</v>
      </c>
      <c r="D6" s="8">
        <v>16.11</v>
      </c>
      <c r="E6" s="12">
        <v>13</v>
      </c>
      <c r="F6" s="8">
        <v>11.4</v>
      </c>
      <c r="G6" s="12">
        <v>21</v>
      </c>
      <c r="H6" s="8">
        <v>23.6</v>
      </c>
      <c r="I6" s="12">
        <v>0</v>
      </c>
    </row>
    <row r="7" spans="2:9" ht="15" customHeight="1" x14ac:dyDescent="0.2">
      <c r="B7" t="s">
        <v>192</v>
      </c>
      <c r="C7" s="12">
        <v>20</v>
      </c>
      <c r="D7" s="8">
        <v>9.48</v>
      </c>
      <c r="E7" s="12">
        <v>7</v>
      </c>
      <c r="F7" s="8">
        <v>6.14</v>
      </c>
      <c r="G7" s="12">
        <v>13</v>
      </c>
      <c r="H7" s="8">
        <v>14.61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0.95</v>
      </c>
      <c r="E8" s="12">
        <v>0</v>
      </c>
      <c r="F8" s="8">
        <v>0</v>
      </c>
      <c r="G8" s="12">
        <v>1</v>
      </c>
      <c r="H8" s="8">
        <v>1.1200000000000001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1.9</v>
      </c>
      <c r="E10" s="12">
        <v>1</v>
      </c>
      <c r="F10" s="8">
        <v>0.88</v>
      </c>
      <c r="G10" s="12">
        <v>3</v>
      </c>
      <c r="H10" s="8">
        <v>3.37</v>
      </c>
      <c r="I10" s="12">
        <v>0</v>
      </c>
    </row>
    <row r="11" spans="2:9" ht="15" customHeight="1" x14ac:dyDescent="0.2">
      <c r="B11" t="s">
        <v>196</v>
      </c>
      <c r="C11" s="12">
        <v>42</v>
      </c>
      <c r="D11" s="8">
        <v>19.91</v>
      </c>
      <c r="E11" s="12">
        <v>22</v>
      </c>
      <c r="F11" s="8">
        <v>19.3</v>
      </c>
      <c r="G11" s="12">
        <v>20</v>
      </c>
      <c r="H11" s="8">
        <v>22.47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17</v>
      </c>
      <c r="D13" s="8">
        <v>8.06</v>
      </c>
      <c r="E13" s="12">
        <v>12</v>
      </c>
      <c r="F13" s="8">
        <v>10.53</v>
      </c>
      <c r="G13" s="12">
        <v>5</v>
      </c>
      <c r="H13" s="8">
        <v>5.62</v>
      </c>
      <c r="I13" s="12">
        <v>0</v>
      </c>
    </row>
    <row r="14" spans="2:9" ht="15" customHeight="1" x14ac:dyDescent="0.2">
      <c r="B14" t="s">
        <v>199</v>
      </c>
      <c r="C14" s="12">
        <v>7</v>
      </c>
      <c r="D14" s="8">
        <v>3.32</v>
      </c>
      <c r="E14" s="12">
        <v>3</v>
      </c>
      <c r="F14" s="8">
        <v>2.63</v>
      </c>
      <c r="G14" s="12">
        <v>4</v>
      </c>
      <c r="H14" s="8">
        <v>4.49</v>
      </c>
      <c r="I14" s="12">
        <v>0</v>
      </c>
    </row>
    <row r="15" spans="2:9" ht="15" customHeight="1" x14ac:dyDescent="0.2">
      <c r="B15" t="s">
        <v>200</v>
      </c>
      <c r="C15" s="12">
        <v>45</v>
      </c>
      <c r="D15" s="8">
        <v>21.33</v>
      </c>
      <c r="E15" s="12">
        <v>35</v>
      </c>
      <c r="F15" s="8">
        <v>30.7</v>
      </c>
      <c r="G15" s="12">
        <v>8</v>
      </c>
      <c r="H15" s="8">
        <v>8.99</v>
      </c>
      <c r="I15" s="12">
        <v>0</v>
      </c>
    </row>
    <row r="16" spans="2:9" ht="15" customHeight="1" x14ac:dyDescent="0.2">
      <c r="B16" t="s">
        <v>201</v>
      </c>
      <c r="C16" s="12">
        <v>16</v>
      </c>
      <c r="D16" s="8">
        <v>7.58</v>
      </c>
      <c r="E16" s="12">
        <v>14</v>
      </c>
      <c r="F16" s="8">
        <v>12.28</v>
      </c>
      <c r="G16" s="12">
        <v>2</v>
      </c>
      <c r="H16" s="8">
        <v>2.25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1.42</v>
      </c>
      <c r="E17" s="12">
        <v>1</v>
      </c>
      <c r="F17" s="8">
        <v>0.88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12</v>
      </c>
      <c r="D18" s="8">
        <v>5.69</v>
      </c>
      <c r="E18" s="12">
        <v>5</v>
      </c>
      <c r="F18" s="8">
        <v>4.3899999999999997</v>
      </c>
      <c r="G18" s="12">
        <v>5</v>
      </c>
      <c r="H18" s="8">
        <v>5.62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2.84</v>
      </c>
      <c r="E19" s="12">
        <v>1</v>
      </c>
      <c r="F19" s="8">
        <v>0.88</v>
      </c>
      <c r="G19" s="12">
        <v>4</v>
      </c>
      <c r="H19" s="8">
        <v>4.49</v>
      </c>
      <c r="I19" s="12">
        <v>1</v>
      </c>
    </row>
    <row r="20" spans="2:9" ht="15" customHeight="1" x14ac:dyDescent="0.2">
      <c r="B20" s="9" t="s">
        <v>529</v>
      </c>
      <c r="C20" s="12">
        <f>SUM(LTBL_01586[総数／事業所数])</f>
        <v>211</v>
      </c>
      <c r="E20" s="12">
        <f>SUBTOTAL(109,LTBL_01586[個人／事業所数])</f>
        <v>114</v>
      </c>
      <c r="G20" s="12">
        <f>SUBTOTAL(109,LTBL_01586[法人／事業所数])</f>
        <v>89</v>
      </c>
      <c r="I20" s="12">
        <f>SUBTOTAL(109,LTBL_01586[法人以外の団体／事業所数])</f>
        <v>1</v>
      </c>
    </row>
    <row r="21" spans="2:9" ht="15" customHeight="1" x14ac:dyDescent="0.2">
      <c r="E21" s="11">
        <f>LTBL_01586[[#Totals],[個人／事業所数]]/LTBL_01586[[#Totals],[総数／事業所数]]</f>
        <v>0.54028436018957349</v>
      </c>
      <c r="G21" s="11">
        <f>LTBL_01586[[#Totals],[法人／事業所数]]/LTBL_01586[[#Totals],[総数／事業所数]]</f>
        <v>0.4218009478672986</v>
      </c>
      <c r="I21" s="11">
        <f>LTBL_01586[[#Totals],[法人以外の団体／事業所数]]/LTBL_01586[[#Totals],[総数／事業所数]]</f>
        <v>4.7393364928909956E-3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37</v>
      </c>
      <c r="D24" s="8">
        <v>17.54</v>
      </c>
      <c r="E24" s="12">
        <v>33</v>
      </c>
      <c r="F24" s="8">
        <v>28.95</v>
      </c>
      <c r="G24" s="12">
        <v>4</v>
      </c>
      <c r="H24" s="8">
        <v>4.49</v>
      </c>
      <c r="I24" s="12">
        <v>0</v>
      </c>
    </row>
    <row r="25" spans="2:9" ht="15" customHeight="1" x14ac:dyDescent="0.2">
      <c r="B25" t="s">
        <v>213</v>
      </c>
      <c r="C25" s="12">
        <v>17</v>
      </c>
      <c r="D25" s="8">
        <v>8.06</v>
      </c>
      <c r="E25" s="12">
        <v>4</v>
      </c>
      <c r="F25" s="8">
        <v>3.51</v>
      </c>
      <c r="G25" s="12">
        <v>13</v>
      </c>
      <c r="H25" s="8">
        <v>14.61</v>
      </c>
      <c r="I25" s="12">
        <v>0</v>
      </c>
    </row>
    <row r="26" spans="2:9" ht="15" customHeight="1" x14ac:dyDescent="0.2">
      <c r="B26" t="s">
        <v>224</v>
      </c>
      <c r="C26" s="12">
        <v>16</v>
      </c>
      <c r="D26" s="8">
        <v>7.58</v>
      </c>
      <c r="E26" s="12">
        <v>12</v>
      </c>
      <c r="F26" s="8">
        <v>10.53</v>
      </c>
      <c r="G26" s="12">
        <v>4</v>
      </c>
      <c r="H26" s="8">
        <v>4.49</v>
      </c>
      <c r="I26" s="12">
        <v>0</v>
      </c>
    </row>
    <row r="27" spans="2:9" ht="15" customHeight="1" x14ac:dyDescent="0.2">
      <c r="B27" t="s">
        <v>228</v>
      </c>
      <c r="C27" s="12">
        <v>16</v>
      </c>
      <c r="D27" s="8">
        <v>7.58</v>
      </c>
      <c r="E27" s="12">
        <v>14</v>
      </c>
      <c r="F27" s="8">
        <v>12.28</v>
      </c>
      <c r="G27" s="12">
        <v>2</v>
      </c>
      <c r="H27" s="8">
        <v>2.25</v>
      </c>
      <c r="I27" s="12">
        <v>0</v>
      </c>
    </row>
    <row r="28" spans="2:9" ht="15" customHeight="1" x14ac:dyDescent="0.2">
      <c r="B28" t="s">
        <v>223</v>
      </c>
      <c r="C28" s="12">
        <v>13</v>
      </c>
      <c r="D28" s="8">
        <v>6.16</v>
      </c>
      <c r="E28" s="12">
        <v>6</v>
      </c>
      <c r="F28" s="8">
        <v>5.26</v>
      </c>
      <c r="G28" s="12">
        <v>7</v>
      </c>
      <c r="H28" s="8">
        <v>7.87</v>
      </c>
      <c r="I28" s="12">
        <v>0</v>
      </c>
    </row>
    <row r="29" spans="2:9" ht="15" customHeight="1" x14ac:dyDescent="0.2">
      <c r="B29" t="s">
        <v>221</v>
      </c>
      <c r="C29" s="12">
        <v>12</v>
      </c>
      <c r="D29" s="8">
        <v>5.69</v>
      </c>
      <c r="E29" s="12">
        <v>10</v>
      </c>
      <c r="F29" s="8">
        <v>8.77</v>
      </c>
      <c r="G29" s="12">
        <v>2</v>
      </c>
      <c r="H29" s="8">
        <v>2.25</v>
      </c>
      <c r="I29" s="12">
        <v>0</v>
      </c>
    </row>
    <row r="30" spans="2:9" ht="15" customHeight="1" x14ac:dyDescent="0.2">
      <c r="B30" t="s">
        <v>214</v>
      </c>
      <c r="C30" s="12">
        <v>10</v>
      </c>
      <c r="D30" s="8">
        <v>4.74</v>
      </c>
      <c r="E30" s="12">
        <v>6</v>
      </c>
      <c r="F30" s="8">
        <v>5.26</v>
      </c>
      <c r="G30" s="12">
        <v>4</v>
      </c>
      <c r="H30" s="8">
        <v>4.49</v>
      </c>
      <c r="I30" s="12">
        <v>0</v>
      </c>
    </row>
    <row r="31" spans="2:9" ht="15" customHeight="1" x14ac:dyDescent="0.2">
      <c r="B31" t="s">
        <v>215</v>
      </c>
      <c r="C31" s="12">
        <v>7</v>
      </c>
      <c r="D31" s="8">
        <v>3.32</v>
      </c>
      <c r="E31" s="12">
        <v>3</v>
      </c>
      <c r="F31" s="8">
        <v>2.63</v>
      </c>
      <c r="G31" s="12">
        <v>4</v>
      </c>
      <c r="H31" s="8">
        <v>4.49</v>
      </c>
      <c r="I31" s="12">
        <v>0</v>
      </c>
    </row>
    <row r="32" spans="2:9" ht="15" customHeight="1" x14ac:dyDescent="0.2">
      <c r="B32" t="s">
        <v>244</v>
      </c>
      <c r="C32" s="12">
        <v>7</v>
      </c>
      <c r="D32" s="8">
        <v>3.32</v>
      </c>
      <c r="E32" s="12">
        <v>0</v>
      </c>
      <c r="F32" s="8">
        <v>0</v>
      </c>
      <c r="G32" s="12">
        <v>7</v>
      </c>
      <c r="H32" s="8">
        <v>7.87</v>
      </c>
      <c r="I32" s="12">
        <v>0</v>
      </c>
    </row>
    <row r="33" spans="2:9" ht="15" customHeight="1" x14ac:dyDescent="0.2">
      <c r="B33" t="s">
        <v>232</v>
      </c>
      <c r="C33" s="12">
        <v>7</v>
      </c>
      <c r="D33" s="8">
        <v>3.32</v>
      </c>
      <c r="E33" s="12">
        <v>0</v>
      </c>
      <c r="F33" s="8">
        <v>0</v>
      </c>
      <c r="G33" s="12">
        <v>5</v>
      </c>
      <c r="H33" s="8">
        <v>5.62</v>
      </c>
      <c r="I33" s="12">
        <v>0</v>
      </c>
    </row>
    <row r="34" spans="2:9" ht="15" customHeight="1" x14ac:dyDescent="0.2">
      <c r="B34" t="s">
        <v>241</v>
      </c>
      <c r="C34" s="12">
        <v>6</v>
      </c>
      <c r="D34" s="8">
        <v>2.84</v>
      </c>
      <c r="E34" s="12">
        <v>4</v>
      </c>
      <c r="F34" s="8">
        <v>3.51</v>
      </c>
      <c r="G34" s="12">
        <v>2</v>
      </c>
      <c r="H34" s="8">
        <v>2.25</v>
      </c>
      <c r="I34" s="12">
        <v>0</v>
      </c>
    </row>
    <row r="35" spans="2:9" ht="15" customHeight="1" x14ac:dyDescent="0.2">
      <c r="B35" t="s">
        <v>222</v>
      </c>
      <c r="C35" s="12">
        <v>6</v>
      </c>
      <c r="D35" s="8">
        <v>2.84</v>
      </c>
      <c r="E35" s="12">
        <v>4</v>
      </c>
      <c r="F35" s="8">
        <v>3.51</v>
      </c>
      <c r="G35" s="12">
        <v>2</v>
      </c>
      <c r="H35" s="8">
        <v>2.25</v>
      </c>
      <c r="I35" s="12">
        <v>0</v>
      </c>
    </row>
    <row r="36" spans="2:9" ht="15" customHeight="1" x14ac:dyDescent="0.2">
      <c r="B36" t="s">
        <v>239</v>
      </c>
      <c r="C36" s="12">
        <v>6</v>
      </c>
      <c r="D36" s="8">
        <v>2.84</v>
      </c>
      <c r="E36" s="12">
        <v>1</v>
      </c>
      <c r="F36" s="8">
        <v>0.88</v>
      </c>
      <c r="G36" s="12">
        <v>3</v>
      </c>
      <c r="H36" s="8">
        <v>3.37</v>
      </c>
      <c r="I36" s="12">
        <v>0</v>
      </c>
    </row>
    <row r="37" spans="2:9" ht="15" customHeight="1" x14ac:dyDescent="0.2">
      <c r="B37" t="s">
        <v>226</v>
      </c>
      <c r="C37" s="12">
        <v>5</v>
      </c>
      <c r="D37" s="8">
        <v>2.37</v>
      </c>
      <c r="E37" s="12">
        <v>1</v>
      </c>
      <c r="F37" s="8">
        <v>0.88</v>
      </c>
      <c r="G37" s="12">
        <v>4</v>
      </c>
      <c r="H37" s="8">
        <v>4.49</v>
      </c>
      <c r="I37" s="12">
        <v>0</v>
      </c>
    </row>
    <row r="38" spans="2:9" ht="15" customHeight="1" x14ac:dyDescent="0.2">
      <c r="B38" t="s">
        <v>231</v>
      </c>
      <c r="C38" s="12">
        <v>5</v>
      </c>
      <c r="D38" s="8">
        <v>2.37</v>
      </c>
      <c r="E38" s="12">
        <v>5</v>
      </c>
      <c r="F38" s="8">
        <v>4.3899999999999997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219</v>
      </c>
      <c r="C39" s="12">
        <v>4</v>
      </c>
      <c r="D39" s="8">
        <v>1.9</v>
      </c>
      <c r="E39" s="12">
        <v>0</v>
      </c>
      <c r="F39" s="8">
        <v>0</v>
      </c>
      <c r="G39" s="12">
        <v>4</v>
      </c>
      <c r="H39" s="8">
        <v>4.49</v>
      </c>
      <c r="I39" s="12">
        <v>0</v>
      </c>
    </row>
    <row r="40" spans="2:9" ht="15" customHeight="1" x14ac:dyDescent="0.2">
      <c r="B40" t="s">
        <v>234</v>
      </c>
      <c r="C40" s="12">
        <v>4</v>
      </c>
      <c r="D40" s="8">
        <v>1.9</v>
      </c>
      <c r="E40" s="12">
        <v>0</v>
      </c>
      <c r="F40" s="8">
        <v>0</v>
      </c>
      <c r="G40" s="12">
        <v>3</v>
      </c>
      <c r="H40" s="8">
        <v>3.37</v>
      </c>
      <c r="I40" s="12">
        <v>1</v>
      </c>
    </row>
    <row r="41" spans="2:9" ht="15" customHeight="1" x14ac:dyDescent="0.2">
      <c r="B41" t="s">
        <v>273</v>
      </c>
      <c r="C41" s="12">
        <v>3</v>
      </c>
      <c r="D41" s="8">
        <v>1.42</v>
      </c>
      <c r="E41" s="12">
        <v>0</v>
      </c>
      <c r="F41" s="8">
        <v>0</v>
      </c>
      <c r="G41" s="12">
        <v>3</v>
      </c>
      <c r="H41" s="8">
        <v>3.37</v>
      </c>
      <c r="I41" s="12">
        <v>0</v>
      </c>
    </row>
    <row r="42" spans="2:9" ht="15" customHeight="1" x14ac:dyDescent="0.2">
      <c r="B42" t="s">
        <v>220</v>
      </c>
      <c r="C42" s="12">
        <v>3</v>
      </c>
      <c r="D42" s="8">
        <v>1.42</v>
      </c>
      <c r="E42" s="12">
        <v>2</v>
      </c>
      <c r="F42" s="8">
        <v>1.75</v>
      </c>
      <c r="G42" s="12">
        <v>1</v>
      </c>
      <c r="H42" s="8">
        <v>1.1200000000000001</v>
      </c>
      <c r="I42" s="12">
        <v>0</v>
      </c>
    </row>
    <row r="43" spans="2:9" ht="15" customHeight="1" x14ac:dyDescent="0.2">
      <c r="B43" t="s">
        <v>236</v>
      </c>
      <c r="C43" s="12">
        <v>3</v>
      </c>
      <c r="D43" s="8">
        <v>1.42</v>
      </c>
      <c r="E43" s="12">
        <v>0</v>
      </c>
      <c r="F43" s="8">
        <v>0</v>
      </c>
      <c r="G43" s="12">
        <v>3</v>
      </c>
      <c r="H43" s="8">
        <v>3.37</v>
      </c>
      <c r="I43" s="12">
        <v>0</v>
      </c>
    </row>
    <row r="44" spans="2:9" ht="15" customHeight="1" x14ac:dyDescent="0.2">
      <c r="B44" t="s">
        <v>230</v>
      </c>
      <c r="C44" s="12">
        <v>3</v>
      </c>
      <c r="D44" s="8">
        <v>1.42</v>
      </c>
      <c r="E44" s="12">
        <v>1</v>
      </c>
      <c r="F44" s="8">
        <v>0.88</v>
      </c>
      <c r="G44" s="12">
        <v>0</v>
      </c>
      <c r="H44" s="8">
        <v>0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297</v>
      </c>
      <c r="C48" s="12">
        <v>14</v>
      </c>
      <c r="D48" s="8">
        <v>6.64</v>
      </c>
      <c r="E48" s="12">
        <v>12</v>
      </c>
      <c r="F48" s="8">
        <v>10.53</v>
      </c>
      <c r="G48" s="12">
        <v>2</v>
      </c>
      <c r="H48" s="8">
        <v>2.25</v>
      </c>
      <c r="I48" s="12">
        <v>0</v>
      </c>
    </row>
    <row r="49" spans="2:9" ht="15" customHeight="1" x14ac:dyDescent="0.2">
      <c r="B49" t="s">
        <v>300</v>
      </c>
      <c r="C49" s="12">
        <v>10</v>
      </c>
      <c r="D49" s="8">
        <v>4.74</v>
      </c>
      <c r="E49" s="12">
        <v>9</v>
      </c>
      <c r="F49" s="8">
        <v>7.89</v>
      </c>
      <c r="G49" s="12">
        <v>1</v>
      </c>
      <c r="H49" s="8">
        <v>1.1200000000000001</v>
      </c>
      <c r="I49" s="12">
        <v>0</v>
      </c>
    </row>
    <row r="50" spans="2:9" ht="15" customHeight="1" x14ac:dyDescent="0.2">
      <c r="B50" t="s">
        <v>301</v>
      </c>
      <c r="C50" s="12">
        <v>10</v>
      </c>
      <c r="D50" s="8">
        <v>4.74</v>
      </c>
      <c r="E50" s="12">
        <v>10</v>
      </c>
      <c r="F50" s="8">
        <v>8.77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288</v>
      </c>
      <c r="C51" s="12">
        <v>8</v>
      </c>
      <c r="D51" s="8">
        <v>3.79</v>
      </c>
      <c r="E51" s="12">
        <v>1</v>
      </c>
      <c r="F51" s="8">
        <v>0.88</v>
      </c>
      <c r="G51" s="12">
        <v>7</v>
      </c>
      <c r="H51" s="8">
        <v>7.87</v>
      </c>
      <c r="I51" s="12">
        <v>0</v>
      </c>
    </row>
    <row r="52" spans="2:9" ht="15" customHeight="1" x14ac:dyDescent="0.2">
      <c r="B52" t="s">
        <v>303</v>
      </c>
      <c r="C52" s="12">
        <v>7</v>
      </c>
      <c r="D52" s="8">
        <v>3.32</v>
      </c>
      <c r="E52" s="12">
        <v>7</v>
      </c>
      <c r="F52" s="8">
        <v>6.14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304</v>
      </c>
      <c r="C53" s="12">
        <v>7</v>
      </c>
      <c r="D53" s="8">
        <v>3.32</v>
      </c>
      <c r="E53" s="12">
        <v>7</v>
      </c>
      <c r="F53" s="8">
        <v>6.14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333</v>
      </c>
      <c r="C54" s="12">
        <v>5</v>
      </c>
      <c r="D54" s="8">
        <v>2.37</v>
      </c>
      <c r="E54" s="12">
        <v>3</v>
      </c>
      <c r="F54" s="8">
        <v>2.63</v>
      </c>
      <c r="G54" s="12">
        <v>2</v>
      </c>
      <c r="H54" s="8">
        <v>2.25</v>
      </c>
      <c r="I54" s="12">
        <v>0</v>
      </c>
    </row>
    <row r="55" spans="2:9" ht="15" customHeight="1" x14ac:dyDescent="0.2">
      <c r="B55" t="s">
        <v>299</v>
      </c>
      <c r="C55" s="12">
        <v>5</v>
      </c>
      <c r="D55" s="8">
        <v>2.37</v>
      </c>
      <c r="E55" s="12">
        <v>5</v>
      </c>
      <c r="F55" s="8">
        <v>4.3899999999999997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325</v>
      </c>
      <c r="C56" s="12">
        <v>5</v>
      </c>
      <c r="D56" s="8">
        <v>2.37</v>
      </c>
      <c r="E56" s="12">
        <v>0</v>
      </c>
      <c r="F56" s="8">
        <v>0</v>
      </c>
      <c r="G56" s="12">
        <v>3</v>
      </c>
      <c r="H56" s="8">
        <v>3.37</v>
      </c>
      <c r="I56" s="12">
        <v>0</v>
      </c>
    </row>
    <row r="57" spans="2:9" ht="15" customHeight="1" x14ac:dyDescent="0.2">
      <c r="B57" t="s">
        <v>289</v>
      </c>
      <c r="C57" s="12">
        <v>4</v>
      </c>
      <c r="D57" s="8">
        <v>1.9</v>
      </c>
      <c r="E57" s="12">
        <v>1</v>
      </c>
      <c r="F57" s="8">
        <v>0.88</v>
      </c>
      <c r="G57" s="12">
        <v>3</v>
      </c>
      <c r="H57" s="8">
        <v>3.37</v>
      </c>
      <c r="I57" s="12">
        <v>0</v>
      </c>
    </row>
    <row r="58" spans="2:9" ht="15" customHeight="1" x14ac:dyDescent="0.2">
      <c r="B58" t="s">
        <v>328</v>
      </c>
      <c r="C58" s="12">
        <v>4</v>
      </c>
      <c r="D58" s="8">
        <v>1.9</v>
      </c>
      <c r="E58" s="12">
        <v>2</v>
      </c>
      <c r="F58" s="8">
        <v>1.75</v>
      </c>
      <c r="G58" s="12">
        <v>2</v>
      </c>
      <c r="H58" s="8">
        <v>2.25</v>
      </c>
      <c r="I58" s="12">
        <v>0</v>
      </c>
    </row>
    <row r="59" spans="2:9" ht="15" customHeight="1" x14ac:dyDescent="0.2">
      <c r="B59" t="s">
        <v>320</v>
      </c>
      <c r="C59" s="12">
        <v>4</v>
      </c>
      <c r="D59" s="8">
        <v>1.9</v>
      </c>
      <c r="E59" s="12">
        <v>3</v>
      </c>
      <c r="F59" s="8">
        <v>2.63</v>
      </c>
      <c r="G59" s="12">
        <v>1</v>
      </c>
      <c r="H59" s="8">
        <v>1.1200000000000001</v>
      </c>
      <c r="I59" s="12">
        <v>0</v>
      </c>
    </row>
    <row r="60" spans="2:9" ht="15" customHeight="1" x14ac:dyDescent="0.2">
      <c r="B60" t="s">
        <v>342</v>
      </c>
      <c r="C60" s="12">
        <v>4</v>
      </c>
      <c r="D60" s="8">
        <v>1.9</v>
      </c>
      <c r="E60" s="12">
        <v>2</v>
      </c>
      <c r="F60" s="8">
        <v>1.75</v>
      </c>
      <c r="G60" s="12">
        <v>2</v>
      </c>
      <c r="H60" s="8">
        <v>2.25</v>
      </c>
      <c r="I60" s="12">
        <v>0</v>
      </c>
    </row>
    <row r="61" spans="2:9" ht="15" customHeight="1" x14ac:dyDescent="0.2">
      <c r="B61" t="s">
        <v>384</v>
      </c>
      <c r="C61" s="12">
        <v>4</v>
      </c>
      <c r="D61" s="8">
        <v>1.9</v>
      </c>
      <c r="E61" s="12">
        <v>0</v>
      </c>
      <c r="F61" s="8">
        <v>0</v>
      </c>
      <c r="G61" s="12">
        <v>4</v>
      </c>
      <c r="H61" s="8">
        <v>4.49</v>
      </c>
      <c r="I61" s="12">
        <v>0</v>
      </c>
    </row>
    <row r="62" spans="2:9" ht="15" customHeight="1" x14ac:dyDescent="0.2">
      <c r="B62" t="s">
        <v>309</v>
      </c>
      <c r="C62" s="12">
        <v>4</v>
      </c>
      <c r="D62" s="8">
        <v>1.9</v>
      </c>
      <c r="E62" s="12">
        <v>0</v>
      </c>
      <c r="F62" s="8">
        <v>0</v>
      </c>
      <c r="G62" s="12">
        <v>4</v>
      </c>
      <c r="H62" s="8">
        <v>4.49</v>
      </c>
      <c r="I62" s="12">
        <v>0</v>
      </c>
    </row>
    <row r="63" spans="2:9" ht="15" customHeight="1" x14ac:dyDescent="0.2">
      <c r="B63" t="s">
        <v>293</v>
      </c>
      <c r="C63" s="12">
        <v>4</v>
      </c>
      <c r="D63" s="8">
        <v>1.9</v>
      </c>
      <c r="E63" s="12">
        <v>4</v>
      </c>
      <c r="F63" s="8">
        <v>3.51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349</v>
      </c>
      <c r="C64" s="12">
        <v>4</v>
      </c>
      <c r="D64" s="8">
        <v>1.9</v>
      </c>
      <c r="E64" s="12">
        <v>3</v>
      </c>
      <c r="F64" s="8">
        <v>2.63</v>
      </c>
      <c r="G64" s="12">
        <v>1</v>
      </c>
      <c r="H64" s="8">
        <v>1.1200000000000001</v>
      </c>
      <c r="I64" s="12">
        <v>0</v>
      </c>
    </row>
    <row r="65" spans="2:9" ht="15" customHeight="1" x14ac:dyDescent="0.2">
      <c r="B65" t="s">
        <v>318</v>
      </c>
      <c r="C65" s="12">
        <v>4</v>
      </c>
      <c r="D65" s="8">
        <v>1.9</v>
      </c>
      <c r="E65" s="12">
        <v>0</v>
      </c>
      <c r="F65" s="8">
        <v>0</v>
      </c>
      <c r="G65" s="12">
        <v>3</v>
      </c>
      <c r="H65" s="8">
        <v>3.37</v>
      </c>
      <c r="I65" s="12">
        <v>1</v>
      </c>
    </row>
    <row r="66" spans="2:9" ht="15" customHeight="1" x14ac:dyDescent="0.2">
      <c r="B66" t="s">
        <v>290</v>
      </c>
      <c r="C66" s="12">
        <v>3</v>
      </c>
      <c r="D66" s="8">
        <v>1.42</v>
      </c>
      <c r="E66" s="12">
        <v>1</v>
      </c>
      <c r="F66" s="8">
        <v>0.88</v>
      </c>
      <c r="G66" s="12">
        <v>2</v>
      </c>
      <c r="H66" s="8">
        <v>2.25</v>
      </c>
      <c r="I66" s="12">
        <v>0</v>
      </c>
    </row>
    <row r="67" spans="2:9" ht="15" customHeight="1" x14ac:dyDescent="0.2">
      <c r="B67" t="s">
        <v>291</v>
      </c>
      <c r="C67" s="12">
        <v>3</v>
      </c>
      <c r="D67" s="8">
        <v>1.42</v>
      </c>
      <c r="E67" s="12">
        <v>1</v>
      </c>
      <c r="F67" s="8">
        <v>0.88</v>
      </c>
      <c r="G67" s="12">
        <v>2</v>
      </c>
      <c r="H67" s="8">
        <v>2.25</v>
      </c>
      <c r="I67" s="12">
        <v>0</v>
      </c>
    </row>
    <row r="68" spans="2:9" ht="15" customHeight="1" x14ac:dyDescent="0.2">
      <c r="B68" t="s">
        <v>314</v>
      </c>
      <c r="C68" s="12">
        <v>3</v>
      </c>
      <c r="D68" s="8">
        <v>1.42</v>
      </c>
      <c r="E68" s="12">
        <v>2</v>
      </c>
      <c r="F68" s="8">
        <v>1.75</v>
      </c>
      <c r="G68" s="12">
        <v>1</v>
      </c>
      <c r="H68" s="8">
        <v>1.1200000000000001</v>
      </c>
      <c r="I68" s="12">
        <v>0</v>
      </c>
    </row>
    <row r="69" spans="2:9" ht="15" customHeight="1" x14ac:dyDescent="0.2">
      <c r="B69" t="s">
        <v>332</v>
      </c>
      <c r="C69" s="12">
        <v>3</v>
      </c>
      <c r="D69" s="8">
        <v>1.42</v>
      </c>
      <c r="E69" s="12">
        <v>3</v>
      </c>
      <c r="F69" s="8">
        <v>2.63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329</v>
      </c>
      <c r="C70" s="12">
        <v>3</v>
      </c>
      <c r="D70" s="8">
        <v>1.42</v>
      </c>
      <c r="E70" s="12">
        <v>3</v>
      </c>
      <c r="F70" s="8">
        <v>2.63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292</v>
      </c>
      <c r="C71" s="12">
        <v>3</v>
      </c>
      <c r="D71" s="8">
        <v>1.42</v>
      </c>
      <c r="E71" s="12">
        <v>2</v>
      </c>
      <c r="F71" s="8">
        <v>1.75</v>
      </c>
      <c r="G71" s="12">
        <v>1</v>
      </c>
      <c r="H71" s="8">
        <v>1.1200000000000001</v>
      </c>
      <c r="I71" s="12">
        <v>0</v>
      </c>
    </row>
    <row r="72" spans="2:9" ht="15" customHeight="1" x14ac:dyDescent="0.2">
      <c r="B72" t="s">
        <v>330</v>
      </c>
      <c r="C72" s="12">
        <v>3</v>
      </c>
      <c r="D72" s="8">
        <v>1.42</v>
      </c>
      <c r="E72" s="12">
        <v>1</v>
      </c>
      <c r="F72" s="8">
        <v>0.88</v>
      </c>
      <c r="G72" s="12">
        <v>2</v>
      </c>
      <c r="H72" s="8">
        <v>2.25</v>
      </c>
      <c r="I72" s="12">
        <v>0</v>
      </c>
    </row>
    <row r="73" spans="2:9" ht="15" customHeight="1" x14ac:dyDescent="0.2">
      <c r="B73" t="s">
        <v>355</v>
      </c>
      <c r="C73" s="12">
        <v>3</v>
      </c>
      <c r="D73" s="8">
        <v>1.42</v>
      </c>
      <c r="E73" s="12">
        <v>0</v>
      </c>
      <c r="F73" s="8">
        <v>0</v>
      </c>
      <c r="G73" s="12">
        <v>3</v>
      </c>
      <c r="H73" s="8">
        <v>3.37</v>
      </c>
      <c r="I73" s="12">
        <v>0</v>
      </c>
    </row>
    <row r="74" spans="2:9" ht="15" customHeight="1" x14ac:dyDescent="0.2">
      <c r="B74" t="s">
        <v>334</v>
      </c>
      <c r="C74" s="12">
        <v>3</v>
      </c>
      <c r="D74" s="8">
        <v>1.42</v>
      </c>
      <c r="E74" s="12">
        <v>1</v>
      </c>
      <c r="F74" s="8">
        <v>0.88</v>
      </c>
      <c r="G74" s="12">
        <v>2</v>
      </c>
      <c r="H74" s="8">
        <v>2.25</v>
      </c>
      <c r="I74" s="12">
        <v>0</v>
      </c>
    </row>
    <row r="75" spans="2:9" ht="15" customHeight="1" x14ac:dyDescent="0.2">
      <c r="B75" t="s">
        <v>302</v>
      </c>
      <c r="C75" s="12">
        <v>3</v>
      </c>
      <c r="D75" s="8">
        <v>1.42</v>
      </c>
      <c r="E75" s="12">
        <v>3</v>
      </c>
      <c r="F75" s="8">
        <v>2.63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312</v>
      </c>
      <c r="C76" s="12">
        <v>3</v>
      </c>
      <c r="D76" s="8">
        <v>1.42</v>
      </c>
      <c r="E76" s="12">
        <v>3</v>
      </c>
      <c r="F76" s="8">
        <v>2.63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331</v>
      </c>
      <c r="C77" s="12">
        <v>3</v>
      </c>
      <c r="D77" s="8">
        <v>1.42</v>
      </c>
      <c r="E77" s="12">
        <v>0</v>
      </c>
      <c r="F77" s="8">
        <v>0</v>
      </c>
      <c r="G77" s="12">
        <v>3</v>
      </c>
      <c r="H77" s="8">
        <v>3.37</v>
      </c>
      <c r="I77" s="12">
        <v>0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8008D-5B9A-4738-A979-39335BD876FA}">
  <sheetPr>
    <pageSetUpPr fitToPage="1"/>
  </sheetPr>
  <dimension ref="B2:I7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33</v>
      </c>
      <c r="D6" s="8">
        <v>11.15</v>
      </c>
      <c r="E6" s="12">
        <v>6</v>
      </c>
      <c r="F6" s="8">
        <v>4.1100000000000003</v>
      </c>
      <c r="G6" s="12">
        <v>27</v>
      </c>
      <c r="H6" s="8">
        <v>19.71</v>
      </c>
      <c r="I6" s="12">
        <v>0</v>
      </c>
    </row>
    <row r="7" spans="2:9" ht="15" customHeight="1" x14ac:dyDescent="0.2">
      <c r="B7" t="s">
        <v>192</v>
      </c>
      <c r="C7" s="12">
        <v>18</v>
      </c>
      <c r="D7" s="8">
        <v>6.08</v>
      </c>
      <c r="E7" s="12">
        <v>3</v>
      </c>
      <c r="F7" s="8">
        <v>2.0499999999999998</v>
      </c>
      <c r="G7" s="12">
        <v>15</v>
      </c>
      <c r="H7" s="8">
        <v>10.95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1.01</v>
      </c>
      <c r="E8" s="12">
        <v>0</v>
      </c>
      <c r="F8" s="8">
        <v>0</v>
      </c>
      <c r="G8" s="12">
        <v>2</v>
      </c>
      <c r="H8" s="8">
        <v>1.46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0.68</v>
      </c>
      <c r="E9" s="12">
        <v>0</v>
      </c>
      <c r="F9" s="8">
        <v>0</v>
      </c>
      <c r="G9" s="12">
        <v>2</v>
      </c>
      <c r="H9" s="8">
        <v>1.46</v>
      </c>
      <c r="I9" s="12">
        <v>0</v>
      </c>
    </row>
    <row r="10" spans="2:9" ht="15" customHeight="1" x14ac:dyDescent="0.2">
      <c r="B10" t="s">
        <v>195</v>
      </c>
      <c r="C10" s="12">
        <v>7</v>
      </c>
      <c r="D10" s="8">
        <v>2.36</v>
      </c>
      <c r="E10" s="12">
        <v>1</v>
      </c>
      <c r="F10" s="8">
        <v>0.68</v>
      </c>
      <c r="G10" s="12">
        <v>6</v>
      </c>
      <c r="H10" s="8">
        <v>4.38</v>
      </c>
      <c r="I10" s="12">
        <v>0</v>
      </c>
    </row>
    <row r="11" spans="2:9" ht="15" customHeight="1" x14ac:dyDescent="0.2">
      <c r="B11" t="s">
        <v>196</v>
      </c>
      <c r="C11" s="12">
        <v>69</v>
      </c>
      <c r="D11" s="8">
        <v>23.31</v>
      </c>
      <c r="E11" s="12">
        <v>26</v>
      </c>
      <c r="F11" s="8">
        <v>17.809999999999999</v>
      </c>
      <c r="G11" s="12">
        <v>43</v>
      </c>
      <c r="H11" s="8">
        <v>31.39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0.34</v>
      </c>
      <c r="E12" s="12">
        <v>0</v>
      </c>
      <c r="F12" s="8">
        <v>0</v>
      </c>
      <c r="G12" s="12">
        <v>1</v>
      </c>
      <c r="H12" s="8">
        <v>0.73</v>
      </c>
      <c r="I12" s="12">
        <v>0</v>
      </c>
    </row>
    <row r="13" spans="2:9" ht="15" customHeight="1" x14ac:dyDescent="0.2">
      <c r="B13" t="s">
        <v>198</v>
      </c>
      <c r="C13" s="12">
        <v>8</v>
      </c>
      <c r="D13" s="8">
        <v>2.7</v>
      </c>
      <c r="E13" s="12">
        <v>3</v>
      </c>
      <c r="F13" s="8">
        <v>2.0499999999999998</v>
      </c>
      <c r="G13" s="12">
        <v>5</v>
      </c>
      <c r="H13" s="8">
        <v>3.65</v>
      </c>
      <c r="I13" s="12">
        <v>0</v>
      </c>
    </row>
    <row r="14" spans="2:9" ht="15" customHeight="1" x14ac:dyDescent="0.2">
      <c r="B14" t="s">
        <v>199</v>
      </c>
      <c r="C14" s="12">
        <v>13</v>
      </c>
      <c r="D14" s="8">
        <v>4.3899999999999997</v>
      </c>
      <c r="E14" s="12">
        <v>5</v>
      </c>
      <c r="F14" s="8">
        <v>3.42</v>
      </c>
      <c r="G14" s="12">
        <v>8</v>
      </c>
      <c r="H14" s="8">
        <v>5.84</v>
      </c>
      <c r="I14" s="12">
        <v>0</v>
      </c>
    </row>
    <row r="15" spans="2:9" ht="15" customHeight="1" x14ac:dyDescent="0.2">
      <c r="B15" t="s">
        <v>200</v>
      </c>
      <c r="C15" s="12">
        <v>59</v>
      </c>
      <c r="D15" s="8">
        <v>19.93</v>
      </c>
      <c r="E15" s="12">
        <v>47</v>
      </c>
      <c r="F15" s="8">
        <v>32.19</v>
      </c>
      <c r="G15" s="12">
        <v>11</v>
      </c>
      <c r="H15" s="8">
        <v>8.0299999999999994</v>
      </c>
      <c r="I15" s="12">
        <v>0</v>
      </c>
    </row>
    <row r="16" spans="2:9" ht="15" customHeight="1" x14ac:dyDescent="0.2">
      <c r="B16" t="s">
        <v>201</v>
      </c>
      <c r="C16" s="12">
        <v>44</v>
      </c>
      <c r="D16" s="8">
        <v>14.86</v>
      </c>
      <c r="E16" s="12">
        <v>37</v>
      </c>
      <c r="F16" s="8">
        <v>25.34</v>
      </c>
      <c r="G16" s="12">
        <v>6</v>
      </c>
      <c r="H16" s="8">
        <v>4.38</v>
      </c>
      <c r="I16" s="12">
        <v>0</v>
      </c>
    </row>
    <row r="17" spans="2:9" ht="15" customHeight="1" x14ac:dyDescent="0.2">
      <c r="B17" t="s">
        <v>202</v>
      </c>
      <c r="C17" s="12">
        <v>10</v>
      </c>
      <c r="D17" s="8">
        <v>3.38</v>
      </c>
      <c r="E17" s="12">
        <v>8</v>
      </c>
      <c r="F17" s="8">
        <v>5.48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18</v>
      </c>
      <c r="D18" s="8">
        <v>6.08</v>
      </c>
      <c r="E18" s="12">
        <v>7</v>
      </c>
      <c r="F18" s="8">
        <v>4.79</v>
      </c>
      <c r="G18" s="12">
        <v>4</v>
      </c>
      <c r="H18" s="8">
        <v>2.92</v>
      </c>
      <c r="I18" s="12">
        <v>0</v>
      </c>
    </row>
    <row r="19" spans="2:9" ht="15" customHeight="1" x14ac:dyDescent="0.2">
      <c r="B19" t="s">
        <v>204</v>
      </c>
      <c r="C19" s="12">
        <v>11</v>
      </c>
      <c r="D19" s="8">
        <v>3.72</v>
      </c>
      <c r="E19" s="12">
        <v>3</v>
      </c>
      <c r="F19" s="8">
        <v>2.0499999999999998</v>
      </c>
      <c r="G19" s="12">
        <v>7</v>
      </c>
      <c r="H19" s="8">
        <v>5.1100000000000003</v>
      </c>
      <c r="I19" s="12">
        <v>1</v>
      </c>
    </row>
    <row r="20" spans="2:9" ht="15" customHeight="1" x14ac:dyDescent="0.2">
      <c r="B20" s="9" t="s">
        <v>529</v>
      </c>
      <c r="C20" s="12">
        <f>SUM(LTBL_01601[総数／事業所数])</f>
        <v>296</v>
      </c>
      <c r="E20" s="12">
        <f>SUBTOTAL(109,LTBL_01601[個人／事業所数])</f>
        <v>146</v>
      </c>
      <c r="G20" s="12">
        <f>SUBTOTAL(109,LTBL_01601[法人／事業所数])</f>
        <v>137</v>
      </c>
      <c r="I20" s="12">
        <f>SUBTOTAL(109,LTBL_01601[法人以外の団体／事業所数])</f>
        <v>1</v>
      </c>
    </row>
    <row r="21" spans="2:9" ht="15" customHeight="1" x14ac:dyDescent="0.2">
      <c r="E21" s="11">
        <f>LTBL_01601[[#Totals],[個人／事業所数]]/LTBL_01601[[#Totals],[総数／事業所数]]</f>
        <v>0.49324324324324326</v>
      </c>
      <c r="G21" s="11">
        <f>LTBL_01601[[#Totals],[法人／事業所数]]/LTBL_01601[[#Totals],[総数／事業所数]]</f>
        <v>0.46283783783783783</v>
      </c>
      <c r="I21" s="11">
        <f>LTBL_01601[[#Totals],[法人以外の団体／事業所数]]/LTBL_01601[[#Totals],[総数／事業所数]]</f>
        <v>3.3783783783783786E-3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44</v>
      </c>
      <c r="D24" s="8">
        <v>14.86</v>
      </c>
      <c r="E24" s="12">
        <v>37</v>
      </c>
      <c r="F24" s="8">
        <v>25.34</v>
      </c>
      <c r="G24" s="12">
        <v>7</v>
      </c>
      <c r="H24" s="8">
        <v>5.1100000000000003</v>
      </c>
      <c r="I24" s="12">
        <v>0</v>
      </c>
    </row>
    <row r="25" spans="2:9" ht="15" customHeight="1" x14ac:dyDescent="0.2">
      <c r="B25" t="s">
        <v>228</v>
      </c>
      <c r="C25" s="12">
        <v>34</v>
      </c>
      <c r="D25" s="8">
        <v>11.49</v>
      </c>
      <c r="E25" s="12">
        <v>32</v>
      </c>
      <c r="F25" s="8">
        <v>21.92</v>
      </c>
      <c r="G25" s="12">
        <v>2</v>
      </c>
      <c r="H25" s="8">
        <v>1.46</v>
      </c>
      <c r="I25" s="12">
        <v>0</v>
      </c>
    </row>
    <row r="26" spans="2:9" ht="15" customHeight="1" x14ac:dyDescent="0.2">
      <c r="B26" t="s">
        <v>223</v>
      </c>
      <c r="C26" s="12">
        <v>32</v>
      </c>
      <c r="D26" s="8">
        <v>10.81</v>
      </c>
      <c r="E26" s="12">
        <v>11</v>
      </c>
      <c r="F26" s="8">
        <v>7.53</v>
      </c>
      <c r="G26" s="12">
        <v>21</v>
      </c>
      <c r="H26" s="8">
        <v>15.33</v>
      </c>
      <c r="I26" s="12">
        <v>0</v>
      </c>
    </row>
    <row r="27" spans="2:9" ht="15" customHeight="1" x14ac:dyDescent="0.2">
      <c r="B27" t="s">
        <v>213</v>
      </c>
      <c r="C27" s="12">
        <v>13</v>
      </c>
      <c r="D27" s="8">
        <v>4.3899999999999997</v>
      </c>
      <c r="E27" s="12">
        <v>1</v>
      </c>
      <c r="F27" s="8">
        <v>0.68</v>
      </c>
      <c r="G27" s="12">
        <v>12</v>
      </c>
      <c r="H27" s="8">
        <v>8.76</v>
      </c>
      <c r="I27" s="12">
        <v>0</v>
      </c>
    </row>
    <row r="28" spans="2:9" ht="15" customHeight="1" x14ac:dyDescent="0.2">
      <c r="B28" t="s">
        <v>215</v>
      </c>
      <c r="C28" s="12">
        <v>13</v>
      </c>
      <c r="D28" s="8">
        <v>4.3899999999999997</v>
      </c>
      <c r="E28" s="12">
        <v>2</v>
      </c>
      <c r="F28" s="8">
        <v>1.37</v>
      </c>
      <c r="G28" s="12">
        <v>11</v>
      </c>
      <c r="H28" s="8">
        <v>8.0299999999999994</v>
      </c>
      <c r="I28" s="12">
        <v>0</v>
      </c>
    </row>
    <row r="29" spans="2:9" ht="15" customHeight="1" x14ac:dyDescent="0.2">
      <c r="B29" t="s">
        <v>221</v>
      </c>
      <c r="C29" s="12">
        <v>13</v>
      </c>
      <c r="D29" s="8">
        <v>4.3899999999999997</v>
      </c>
      <c r="E29" s="12">
        <v>8</v>
      </c>
      <c r="F29" s="8">
        <v>5.48</v>
      </c>
      <c r="G29" s="12">
        <v>5</v>
      </c>
      <c r="H29" s="8">
        <v>3.65</v>
      </c>
      <c r="I29" s="12">
        <v>0</v>
      </c>
    </row>
    <row r="30" spans="2:9" ht="15" customHeight="1" x14ac:dyDescent="0.2">
      <c r="B30" t="s">
        <v>243</v>
      </c>
      <c r="C30" s="12">
        <v>13</v>
      </c>
      <c r="D30" s="8">
        <v>4.3899999999999997</v>
      </c>
      <c r="E30" s="12">
        <v>10</v>
      </c>
      <c r="F30" s="8">
        <v>6.85</v>
      </c>
      <c r="G30" s="12">
        <v>2</v>
      </c>
      <c r="H30" s="8">
        <v>1.46</v>
      </c>
      <c r="I30" s="12">
        <v>0</v>
      </c>
    </row>
    <row r="31" spans="2:9" ht="15" customHeight="1" x14ac:dyDescent="0.2">
      <c r="B31" t="s">
        <v>232</v>
      </c>
      <c r="C31" s="12">
        <v>11</v>
      </c>
      <c r="D31" s="8">
        <v>3.72</v>
      </c>
      <c r="E31" s="12">
        <v>0</v>
      </c>
      <c r="F31" s="8">
        <v>0</v>
      </c>
      <c r="G31" s="12">
        <v>4</v>
      </c>
      <c r="H31" s="8">
        <v>2.92</v>
      </c>
      <c r="I31" s="12">
        <v>0</v>
      </c>
    </row>
    <row r="32" spans="2:9" ht="15" customHeight="1" x14ac:dyDescent="0.2">
      <c r="B32" t="s">
        <v>222</v>
      </c>
      <c r="C32" s="12">
        <v>10</v>
      </c>
      <c r="D32" s="8">
        <v>3.38</v>
      </c>
      <c r="E32" s="12">
        <v>6</v>
      </c>
      <c r="F32" s="8">
        <v>4.1100000000000003</v>
      </c>
      <c r="G32" s="12">
        <v>4</v>
      </c>
      <c r="H32" s="8">
        <v>2.92</v>
      </c>
      <c r="I32" s="12">
        <v>0</v>
      </c>
    </row>
    <row r="33" spans="2:9" ht="15" customHeight="1" x14ac:dyDescent="0.2">
      <c r="B33" t="s">
        <v>230</v>
      </c>
      <c r="C33" s="12">
        <v>10</v>
      </c>
      <c r="D33" s="8">
        <v>3.38</v>
      </c>
      <c r="E33" s="12">
        <v>8</v>
      </c>
      <c r="F33" s="8">
        <v>5.48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247</v>
      </c>
      <c r="C34" s="12">
        <v>9</v>
      </c>
      <c r="D34" s="8">
        <v>3.04</v>
      </c>
      <c r="E34" s="12">
        <v>5</v>
      </c>
      <c r="F34" s="8">
        <v>3.42</v>
      </c>
      <c r="G34" s="12">
        <v>3</v>
      </c>
      <c r="H34" s="8">
        <v>2.19</v>
      </c>
      <c r="I34" s="12">
        <v>0</v>
      </c>
    </row>
    <row r="35" spans="2:9" ht="15" customHeight="1" x14ac:dyDescent="0.2">
      <c r="B35" t="s">
        <v>226</v>
      </c>
      <c r="C35" s="12">
        <v>8</v>
      </c>
      <c r="D35" s="8">
        <v>2.7</v>
      </c>
      <c r="E35" s="12">
        <v>2</v>
      </c>
      <c r="F35" s="8">
        <v>1.37</v>
      </c>
      <c r="G35" s="12">
        <v>6</v>
      </c>
      <c r="H35" s="8">
        <v>4.38</v>
      </c>
      <c r="I35" s="12">
        <v>0</v>
      </c>
    </row>
    <row r="36" spans="2:9" ht="15" customHeight="1" x14ac:dyDescent="0.2">
      <c r="B36" t="s">
        <v>214</v>
      </c>
      <c r="C36" s="12">
        <v>7</v>
      </c>
      <c r="D36" s="8">
        <v>2.36</v>
      </c>
      <c r="E36" s="12">
        <v>3</v>
      </c>
      <c r="F36" s="8">
        <v>2.0499999999999998</v>
      </c>
      <c r="G36" s="12">
        <v>4</v>
      </c>
      <c r="H36" s="8">
        <v>2.92</v>
      </c>
      <c r="I36" s="12">
        <v>0</v>
      </c>
    </row>
    <row r="37" spans="2:9" ht="15" customHeight="1" x14ac:dyDescent="0.2">
      <c r="B37" t="s">
        <v>231</v>
      </c>
      <c r="C37" s="12">
        <v>7</v>
      </c>
      <c r="D37" s="8">
        <v>2.36</v>
      </c>
      <c r="E37" s="12">
        <v>7</v>
      </c>
      <c r="F37" s="8">
        <v>4.79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240</v>
      </c>
      <c r="C38" s="12">
        <v>7</v>
      </c>
      <c r="D38" s="8">
        <v>2.36</v>
      </c>
      <c r="E38" s="12">
        <v>2</v>
      </c>
      <c r="F38" s="8">
        <v>1.37</v>
      </c>
      <c r="G38" s="12">
        <v>5</v>
      </c>
      <c r="H38" s="8">
        <v>3.65</v>
      </c>
      <c r="I38" s="12">
        <v>0</v>
      </c>
    </row>
    <row r="39" spans="2:9" ht="15" customHeight="1" x14ac:dyDescent="0.2">
      <c r="B39" t="s">
        <v>224</v>
      </c>
      <c r="C39" s="12">
        <v>6</v>
      </c>
      <c r="D39" s="8">
        <v>2.0299999999999998</v>
      </c>
      <c r="E39" s="12">
        <v>2</v>
      </c>
      <c r="F39" s="8">
        <v>1.37</v>
      </c>
      <c r="G39" s="12">
        <v>4</v>
      </c>
      <c r="H39" s="8">
        <v>2.92</v>
      </c>
      <c r="I39" s="12">
        <v>0</v>
      </c>
    </row>
    <row r="40" spans="2:9" ht="15" customHeight="1" x14ac:dyDescent="0.2">
      <c r="B40" t="s">
        <v>241</v>
      </c>
      <c r="C40" s="12">
        <v>5</v>
      </c>
      <c r="D40" s="8">
        <v>1.69</v>
      </c>
      <c r="E40" s="12">
        <v>1</v>
      </c>
      <c r="F40" s="8">
        <v>0.68</v>
      </c>
      <c r="G40" s="12">
        <v>4</v>
      </c>
      <c r="H40" s="8">
        <v>2.92</v>
      </c>
      <c r="I40" s="12">
        <v>0</v>
      </c>
    </row>
    <row r="41" spans="2:9" ht="15" customHeight="1" x14ac:dyDescent="0.2">
      <c r="B41" t="s">
        <v>225</v>
      </c>
      <c r="C41" s="12">
        <v>5</v>
      </c>
      <c r="D41" s="8">
        <v>1.69</v>
      </c>
      <c r="E41" s="12">
        <v>3</v>
      </c>
      <c r="F41" s="8">
        <v>2.0499999999999998</v>
      </c>
      <c r="G41" s="12">
        <v>2</v>
      </c>
      <c r="H41" s="8">
        <v>1.46</v>
      </c>
      <c r="I41" s="12">
        <v>0</v>
      </c>
    </row>
    <row r="42" spans="2:9" ht="15" customHeight="1" x14ac:dyDescent="0.2">
      <c r="B42" t="s">
        <v>254</v>
      </c>
      <c r="C42" s="12">
        <v>4</v>
      </c>
      <c r="D42" s="8">
        <v>1.35</v>
      </c>
      <c r="E42" s="12">
        <v>0</v>
      </c>
      <c r="F42" s="8">
        <v>0</v>
      </c>
      <c r="G42" s="12">
        <v>4</v>
      </c>
      <c r="H42" s="8">
        <v>2.92</v>
      </c>
      <c r="I42" s="12">
        <v>0</v>
      </c>
    </row>
    <row r="43" spans="2:9" ht="15" customHeight="1" x14ac:dyDescent="0.2">
      <c r="B43" t="s">
        <v>248</v>
      </c>
      <c r="C43" s="12">
        <v>4</v>
      </c>
      <c r="D43" s="8">
        <v>1.35</v>
      </c>
      <c r="E43" s="12">
        <v>1</v>
      </c>
      <c r="F43" s="8">
        <v>0.68</v>
      </c>
      <c r="G43" s="12">
        <v>3</v>
      </c>
      <c r="H43" s="8">
        <v>2.19</v>
      </c>
      <c r="I43" s="12">
        <v>0</v>
      </c>
    </row>
    <row r="44" spans="2:9" ht="15" customHeight="1" x14ac:dyDescent="0.2">
      <c r="B44" t="s">
        <v>236</v>
      </c>
      <c r="C44" s="12">
        <v>4</v>
      </c>
      <c r="D44" s="8">
        <v>1.35</v>
      </c>
      <c r="E44" s="12">
        <v>0</v>
      </c>
      <c r="F44" s="8">
        <v>0</v>
      </c>
      <c r="G44" s="12">
        <v>4</v>
      </c>
      <c r="H44" s="8">
        <v>2.92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304</v>
      </c>
      <c r="C48" s="12">
        <v>17</v>
      </c>
      <c r="D48" s="8">
        <v>5.74</v>
      </c>
      <c r="E48" s="12">
        <v>17</v>
      </c>
      <c r="F48" s="8">
        <v>11.64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299</v>
      </c>
      <c r="C49" s="12">
        <v>14</v>
      </c>
      <c r="D49" s="8">
        <v>4.7300000000000004</v>
      </c>
      <c r="E49" s="12">
        <v>9</v>
      </c>
      <c r="F49" s="8">
        <v>6.16</v>
      </c>
      <c r="G49" s="12">
        <v>5</v>
      </c>
      <c r="H49" s="8">
        <v>3.65</v>
      </c>
      <c r="I49" s="12">
        <v>0</v>
      </c>
    </row>
    <row r="50" spans="2:9" ht="15" customHeight="1" x14ac:dyDescent="0.2">
      <c r="B50" t="s">
        <v>303</v>
      </c>
      <c r="C50" s="12">
        <v>14</v>
      </c>
      <c r="D50" s="8">
        <v>4.7300000000000004</v>
      </c>
      <c r="E50" s="12">
        <v>13</v>
      </c>
      <c r="F50" s="8">
        <v>8.9</v>
      </c>
      <c r="G50" s="12">
        <v>1</v>
      </c>
      <c r="H50" s="8">
        <v>0.73</v>
      </c>
      <c r="I50" s="12">
        <v>0</v>
      </c>
    </row>
    <row r="51" spans="2:9" ht="15" customHeight="1" x14ac:dyDescent="0.2">
      <c r="B51" t="s">
        <v>330</v>
      </c>
      <c r="C51" s="12">
        <v>10</v>
      </c>
      <c r="D51" s="8">
        <v>3.38</v>
      </c>
      <c r="E51" s="12">
        <v>1</v>
      </c>
      <c r="F51" s="8">
        <v>0.68</v>
      </c>
      <c r="G51" s="12">
        <v>9</v>
      </c>
      <c r="H51" s="8">
        <v>6.57</v>
      </c>
      <c r="I51" s="12">
        <v>0</v>
      </c>
    </row>
    <row r="52" spans="2:9" ht="15" customHeight="1" x14ac:dyDescent="0.2">
      <c r="B52" t="s">
        <v>339</v>
      </c>
      <c r="C52" s="12">
        <v>10</v>
      </c>
      <c r="D52" s="8">
        <v>3.38</v>
      </c>
      <c r="E52" s="12">
        <v>8</v>
      </c>
      <c r="F52" s="8">
        <v>5.48</v>
      </c>
      <c r="G52" s="12">
        <v>2</v>
      </c>
      <c r="H52" s="8">
        <v>1.46</v>
      </c>
      <c r="I52" s="12">
        <v>0</v>
      </c>
    </row>
    <row r="53" spans="2:9" ht="15" customHeight="1" x14ac:dyDescent="0.2">
      <c r="B53" t="s">
        <v>301</v>
      </c>
      <c r="C53" s="12">
        <v>10</v>
      </c>
      <c r="D53" s="8">
        <v>3.38</v>
      </c>
      <c r="E53" s="12">
        <v>10</v>
      </c>
      <c r="F53" s="8">
        <v>6.85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290</v>
      </c>
      <c r="C54" s="12">
        <v>8</v>
      </c>
      <c r="D54" s="8">
        <v>2.7</v>
      </c>
      <c r="E54" s="12">
        <v>1</v>
      </c>
      <c r="F54" s="8">
        <v>0.68</v>
      </c>
      <c r="G54" s="12">
        <v>7</v>
      </c>
      <c r="H54" s="8">
        <v>5.1100000000000003</v>
      </c>
      <c r="I54" s="12">
        <v>0</v>
      </c>
    </row>
    <row r="55" spans="2:9" ht="15" customHeight="1" x14ac:dyDescent="0.2">
      <c r="B55" t="s">
        <v>288</v>
      </c>
      <c r="C55" s="12">
        <v>7</v>
      </c>
      <c r="D55" s="8">
        <v>2.36</v>
      </c>
      <c r="E55" s="12">
        <v>0</v>
      </c>
      <c r="F55" s="8">
        <v>0</v>
      </c>
      <c r="G55" s="12">
        <v>7</v>
      </c>
      <c r="H55" s="8">
        <v>5.1100000000000003</v>
      </c>
      <c r="I55" s="12">
        <v>0</v>
      </c>
    </row>
    <row r="56" spans="2:9" ht="15" customHeight="1" x14ac:dyDescent="0.2">
      <c r="B56" t="s">
        <v>334</v>
      </c>
      <c r="C56" s="12">
        <v>7</v>
      </c>
      <c r="D56" s="8">
        <v>2.36</v>
      </c>
      <c r="E56" s="12">
        <v>6</v>
      </c>
      <c r="F56" s="8">
        <v>4.1100000000000003</v>
      </c>
      <c r="G56" s="12">
        <v>1</v>
      </c>
      <c r="H56" s="8">
        <v>0.73</v>
      </c>
      <c r="I56" s="12">
        <v>0</v>
      </c>
    </row>
    <row r="57" spans="2:9" ht="15" customHeight="1" x14ac:dyDescent="0.2">
      <c r="B57" t="s">
        <v>307</v>
      </c>
      <c r="C57" s="12">
        <v>7</v>
      </c>
      <c r="D57" s="8">
        <v>2.36</v>
      </c>
      <c r="E57" s="12">
        <v>2</v>
      </c>
      <c r="F57" s="8">
        <v>1.37</v>
      </c>
      <c r="G57" s="12">
        <v>5</v>
      </c>
      <c r="H57" s="8">
        <v>3.65</v>
      </c>
      <c r="I57" s="12">
        <v>0</v>
      </c>
    </row>
    <row r="58" spans="2:9" ht="15" customHeight="1" x14ac:dyDescent="0.2">
      <c r="B58" t="s">
        <v>332</v>
      </c>
      <c r="C58" s="12">
        <v>6</v>
      </c>
      <c r="D58" s="8">
        <v>2.0299999999999998</v>
      </c>
      <c r="E58" s="12">
        <v>3</v>
      </c>
      <c r="F58" s="8">
        <v>2.0499999999999998</v>
      </c>
      <c r="G58" s="12">
        <v>3</v>
      </c>
      <c r="H58" s="8">
        <v>2.19</v>
      </c>
      <c r="I58" s="12">
        <v>0</v>
      </c>
    </row>
    <row r="59" spans="2:9" ht="15" customHeight="1" x14ac:dyDescent="0.2">
      <c r="B59" t="s">
        <v>295</v>
      </c>
      <c r="C59" s="12">
        <v>6</v>
      </c>
      <c r="D59" s="8">
        <v>2.0299999999999998</v>
      </c>
      <c r="E59" s="12">
        <v>3</v>
      </c>
      <c r="F59" s="8">
        <v>2.0499999999999998</v>
      </c>
      <c r="G59" s="12">
        <v>3</v>
      </c>
      <c r="H59" s="8">
        <v>2.19</v>
      </c>
      <c r="I59" s="12">
        <v>0</v>
      </c>
    </row>
    <row r="60" spans="2:9" ht="15" customHeight="1" x14ac:dyDescent="0.2">
      <c r="B60" t="s">
        <v>297</v>
      </c>
      <c r="C60" s="12">
        <v>6</v>
      </c>
      <c r="D60" s="8">
        <v>2.0299999999999998</v>
      </c>
      <c r="E60" s="12">
        <v>2</v>
      </c>
      <c r="F60" s="8">
        <v>1.37</v>
      </c>
      <c r="G60" s="12">
        <v>4</v>
      </c>
      <c r="H60" s="8">
        <v>2.92</v>
      </c>
      <c r="I60" s="12">
        <v>0</v>
      </c>
    </row>
    <row r="61" spans="2:9" ht="15" customHeight="1" x14ac:dyDescent="0.2">
      <c r="B61" t="s">
        <v>300</v>
      </c>
      <c r="C61" s="12">
        <v>5</v>
      </c>
      <c r="D61" s="8">
        <v>1.69</v>
      </c>
      <c r="E61" s="12">
        <v>4</v>
      </c>
      <c r="F61" s="8">
        <v>2.74</v>
      </c>
      <c r="G61" s="12">
        <v>1</v>
      </c>
      <c r="H61" s="8">
        <v>0.73</v>
      </c>
      <c r="I61" s="12">
        <v>0</v>
      </c>
    </row>
    <row r="62" spans="2:9" ht="15" customHeight="1" x14ac:dyDescent="0.2">
      <c r="B62" t="s">
        <v>514</v>
      </c>
      <c r="C62" s="12">
        <v>5</v>
      </c>
      <c r="D62" s="8">
        <v>1.69</v>
      </c>
      <c r="E62" s="12">
        <v>4</v>
      </c>
      <c r="F62" s="8">
        <v>2.74</v>
      </c>
      <c r="G62" s="12">
        <v>1</v>
      </c>
      <c r="H62" s="8">
        <v>0.73</v>
      </c>
      <c r="I62" s="12">
        <v>0</v>
      </c>
    </row>
    <row r="63" spans="2:9" ht="15" customHeight="1" x14ac:dyDescent="0.2">
      <c r="B63" t="s">
        <v>305</v>
      </c>
      <c r="C63" s="12">
        <v>5</v>
      </c>
      <c r="D63" s="8">
        <v>1.69</v>
      </c>
      <c r="E63" s="12">
        <v>5</v>
      </c>
      <c r="F63" s="8">
        <v>3.42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341</v>
      </c>
      <c r="C64" s="12">
        <v>5</v>
      </c>
      <c r="D64" s="8">
        <v>1.69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291</v>
      </c>
      <c r="C65" s="12">
        <v>4</v>
      </c>
      <c r="D65" s="8">
        <v>1.35</v>
      </c>
      <c r="E65" s="12">
        <v>1</v>
      </c>
      <c r="F65" s="8">
        <v>0.68</v>
      </c>
      <c r="G65" s="12">
        <v>3</v>
      </c>
      <c r="H65" s="8">
        <v>2.19</v>
      </c>
      <c r="I65" s="12">
        <v>0</v>
      </c>
    </row>
    <row r="66" spans="2:9" ht="15" customHeight="1" x14ac:dyDescent="0.2">
      <c r="B66" t="s">
        <v>342</v>
      </c>
      <c r="C66" s="12">
        <v>4</v>
      </c>
      <c r="D66" s="8">
        <v>1.35</v>
      </c>
      <c r="E66" s="12">
        <v>0</v>
      </c>
      <c r="F66" s="8">
        <v>0</v>
      </c>
      <c r="G66" s="12">
        <v>4</v>
      </c>
      <c r="H66" s="8">
        <v>2.92</v>
      </c>
      <c r="I66" s="12">
        <v>0</v>
      </c>
    </row>
    <row r="67" spans="2:9" ht="15" customHeight="1" x14ac:dyDescent="0.2">
      <c r="B67" t="s">
        <v>350</v>
      </c>
      <c r="C67" s="12">
        <v>4</v>
      </c>
      <c r="D67" s="8">
        <v>1.35</v>
      </c>
      <c r="E67" s="12">
        <v>1</v>
      </c>
      <c r="F67" s="8">
        <v>0.68</v>
      </c>
      <c r="G67" s="12">
        <v>3</v>
      </c>
      <c r="H67" s="8">
        <v>2.19</v>
      </c>
      <c r="I67" s="12">
        <v>0</v>
      </c>
    </row>
    <row r="68" spans="2:9" ht="15" customHeight="1" x14ac:dyDescent="0.2">
      <c r="B68" t="s">
        <v>293</v>
      </c>
      <c r="C68" s="12">
        <v>4</v>
      </c>
      <c r="D68" s="8">
        <v>1.35</v>
      </c>
      <c r="E68" s="12">
        <v>2</v>
      </c>
      <c r="F68" s="8">
        <v>1.37</v>
      </c>
      <c r="G68" s="12">
        <v>2</v>
      </c>
      <c r="H68" s="8">
        <v>1.46</v>
      </c>
      <c r="I68" s="12">
        <v>0</v>
      </c>
    </row>
    <row r="69" spans="2:9" ht="15" customHeight="1" x14ac:dyDescent="0.2">
      <c r="B69" t="s">
        <v>335</v>
      </c>
      <c r="C69" s="12">
        <v>4</v>
      </c>
      <c r="D69" s="8">
        <v>1.35</v>
      </c>
      <c r="E69" s="12">
        <v>2</v>
      </c>
      <c r="F69" s="8">
        <v>1.37</v>
      </c>
      <c r="G69" s="12">
        <v>2</v>
      </c>
      <c r="H69" s="8">
        <v>1.46</v>
      </c>
      <c r="I69" s="12">
        <v>0</v>
      </c>
    </row>
    <row r="70" spans="2:9" ht="15" customHeight="1" x14ac:dyDescent="0.2">
      <c r="B70" t="s">
        <v>372</v>
      </c>
      <c r="C70" s="12">
        <v>4</v>
      </c>
      <c r="D70" s="8">
        <v>1.35</v>
      </c>
      <c r="E70" s="12">
        <v>1</v>
      </c>
      <c r="F70" s="8">
        <v>0.68</v>
      </c>
      <c r="G70" s="12">
        <v>3</v>
      </c>
      <c r="H70" s="8">
        <v>2.19</v>
      </c>
      <c r="I70" s="12">
        <v>0</v>
      </c>
    </row>
    <row r="71" spans="2:9" ht="15" customHeight="1" x14ac:dyDescent="0.2">
      <c r="B71" t="s">
        <v>349</v>
      </c>
      <c r="C71" s="12">
        <v>4</v>
      </c>
      <c r="D71" s="8">
        <v>1.35</v>
      </c>
      <c r="E71" s="12">
        <v>4</v>
      </c>
      <c r="F71" s="8">
        <v>2.74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312</v>
      </c>
      <c r="C72" s="12">
        <v>4</v>
      </c>
      <c r="D72" s="8">
        <v>1.35</v>
      </c>
      <c r="E72" s="12">
        <v>4</v>
      </c>
      <c r="F72" s="8">
        <v>2.74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331</v>
      </c>
      <c r="C73" s="12">
        <v>4</v>
      </c>
      <c r="D73" s="8">
        <v>1.35</v>
      </c>
      <c r="E73" s="12">
        <v>0</v>
      </c>
      <c r="F73" s="8">
        <v>0</v>
      </c>
      <c r="G73" s="12">
        <v>2</v>
      </c>
      <c r="H73" s="8">
        <v>1.46</v>
      </c>
      <c r="I73" s="12">
        <v>0</v>
      </c>
    </row>
    <row r="75" spans="2:9" ht="15" customHeight="1" x14ac:dyDescent="0.2">
      <c r="B7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75D8F-31CE-4FCC-A9EA-D1EB01CA3B8E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0.06</v>
      </c>
      <c r="E5" s="12">
        <v>0</v>
      </c>
      <c r="F5" s="8">
        <v>0</v>
      </c>
      <c r="G5" s="12">
        <v>1</v>
      </c>
      <c r="H5" s="8">
        <v>0.09</v>
      </c>
      <c r="I5" s="12">
        <v>0</v>
      </c>
    </row>
    <row r="6" spans="2:9" ht="15" customHeight="1" x14ac:dyDescent="0.2">
      <c r="B6" t="s">
        <v>191</v>
      </c>
      <c r="C6" s="12">
        <v>321</v>
      </c>
      <c r="D6" s="8">
        <v>19.63</v>
      </c>
      <c r="E6" s="12">
        <v>22</v>
      </c>
      <c r="F6" s="8">
        <v>3.81</v>
      </c>
      <c r="G6" s="12">
        <v>299</v>
      </c>
      <c r="H6" s="8">
        <v>28.34</v>
      </c>
      <c r="I6" s="12">
        <v>0</v>
      </c>
    </row>
    <row r="7" spans="2:9" ht="15" customHeight="1" x14ac:dyDescent="0.2">
      <c r="B7" t="s">
        <v>192</v>
      </c>
      <c r="C7" s="12">
        <v>50</v>
      </c>
      <c r="D7" s="8">
        <v>3.06</v>
      </c>
      <c r="E7" s="12">
        <v>9</v>
      </c>
      <c r="F7" s="8">
        <v>1.56</v>
      </c>
      <c r="G7" s="12">
        <v>41</v>
      </c>
      <c r="H7" s="8">
        <v>3.89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13</v>
      </c>
      <c r="D9" s="8">
        <v>0.8</v>
      </c>
      <c r="E9" s="12">
        <v>0</v>
      </c>
      <c r="F9" s="8">
        <v>0</v>
      </c>
      <c r="G9" s="12">
        <v>13</v>
      </c>
      <c r="H9" s="8">
        <v>1.23</v>
      </c>
      <c r="I9" s="12">
        <v>0</v>
      </c>
    </row>
    <row r="10" spans="2:9" ht="15" customHeight="1" x14ac:dyDescent="0.2">
      <c r="B10" t="s">
        <v>195</v>
      </c>
      <c r="C10" s="12">
        <v>61</v>
      </c>
      <c r="D10" s="8">
        <v>3.73</v>
      </c>
      <c r="E10" s="12">
        <v>44</v>
      </c>
      <c r="F10" s="8">
        <v>7.63</v>
      </c>
      <c r="G10" s="12">
        <v>17</v>
      </c>
      <c r="H10" s="8">
        <v>1.61</v>
      </c>
      <c r="I10" s="12">
        <v>0</v>
      </c>
    </row>
    <row r="11" spans="2:9" ht="15" customHeight="1" x14ac:dyDescent="0.2">
      <c r="B11" t="s">
        <v>196</v>
      </c>
      <c r="C11" s="12">
        <v>314</v>
      </c>
      <c r="D11" s="8">
        <v>19.2</v>
      </c>
      <c r="E11" s="12">
        <v>56</v>
      </c>
      <c r="F11" s="8">
        <v>9.7100000000000009</v>
      </c>
      <c r="G11" s="12">
        <v>258</v>
      </c>
      <c r="H11" s="8">
        <v>24.45</v>
      </c>
      <c r="I11" s="12">
        <v>0</v>
      </c>
    </row>
    <row r="12" spans="2:9" ht="15" customHeight="1" x14ac:dyDescent="0.2">
      <c r="B12" t="s">
        <v>197</v>
      </c>
      <c r="C12" s="12">
        <v>16</v>
      </c>
      <c r="D12" s="8">
        <v>0.98</v>
      </c>
      <c r="E12" s="12">
        <v>2</v>
      </c>
      <c r="F12" s="8">
        <v>0.35</v>
      </c>
      <c r="G12" s="12">
        <v>14</v>
      </c>
      <c r="H12" s="8">
        <v>1.33</v>
      </c>
      <c r="I12" s="12">
        <v>0</v>
      </c>
    </row>
    <row r="13" spans="2:9" ht="15" customHeight="1" x14ac:dyDescent="0.2">
      <c r="B13" t="s">
        <v>198</v>
      </c>
      <c r="C13" s="12">
        <v>169</v>
      </c>
      <c r="D13" s="8">
        <v>10.34</v>
      </c>
      <c r="E13" s="12">
        <v>33</v>
      </c>
      <c r="F13" s="8">
        <v>5.72</v>
      </c>
      <c r="G13" s="12">
        <v>136</v>
      </c>
      <c r="H13" s="8">
        <v>12.89</v>
      </c>
      <c r="I13" s="12">
        <v>0</v>
      </c>
    </row>
    <row r="14" spans="2:9" ht="15" customHeight="1" x14ac:dyDescent="0.2">
      <c r="B14" t="s">
        <v>199</v>
      </c>
      <c r="C14" s="12">
        <v>110</v>
      </c>
      <c r="D14" s="8">
        <v>6.73</v>
      </c>
      <c r="E14" s="12">
        <v>47</v>
      </c>
      <c r="F14" s="8">
        <v>8.15</v>
      </c>
      <c r="G14" s="12">
        <v>63</v>
      </c>
      <c r="H14" s="8">
        <v>5.97</v>
      </c>
      <c r="I14" s="12">
        <v>0</v>
      </c>
    </row>
    <row r="15" spans="2:9" ht="15" customHeight="1" x14ac:dyDescent="0.2">
      <c r="B15" t="s">
        <v>200</v>
      </c>
      <c r="C15" s="12">
        <v>136</v>
      </c>
      <c r="D15" s="8">
        <v>8.32</v>
      </c>
      <c r="E15" s="12">
        <v>102</v>
      </c>
      <c r="F15" s="8">
        <v>17.68</v>
      </c>
      <c r="G15" s="12">
        <v>34</v>
      </c>
      <c r="H15" s="8">
        <v>3.22</v>
      </c>
      <c r="I15" s="12">
        <v>0</v>
      </c>
    </row>
    <row r="16" spans="2:9" ht="15" customHeight="1" x14ac:dyDescent="0.2">
      <c r="B16" t="s">
        <v>201</v>
      </c>
      <c r="C16" s="12">
        <v>207</v>
      </c>
      <c r="D16" s="8">
        <v>12.66</v>
      </c>
      <c r="E16" s="12">
        <v>139</v>
      </c>
      <c r="F16" s="8">
        <v>24.09</v>
      </c>
      <c r="G16" s="12">
        <v>67</v>
      </c>
      <c r="H16" s="8">
        <v>6.35</v>
      </c>
      <c r="I16" s="12">
        <v>0</v>
      </c>
    </row>
    <row r="17" spans="2:9" ht="15" customHeight="1" x14ac:dyDescent="0.2">
      <c r="B17" t="s">
        <v>202</v>
      </c>
      <c r="C17" s="12">
        <v>76</v>
      </c>
      <c r="D17" s="8">
        <v>4.6500000000000004</v>
      </c>
      <c r="E17" s="12">
        <v>56</v>
      </c>
      <c r="F17" s="8">
        <v>9.7100000000000009</v>
      </c>
      <c r="G17" s="12">
        <v>20</v>
      </c>
      <c r="H17" s="8">
        <v>1.9</v>
      </c>
      <c r="I17" s="12">
        <v>0</v>
      </c>
    </row>
    <row r="18" spans="2:9" ht="15" customHeight="1" x14ac:dyDescent="0.2">
      <c r="B18" t="s">
        <v>203</v>
      </c>
      <c r="C18" s="12">
        <v>101</v>
      </c>
      <c r="D18" s="8">
        <v>6.18</v>
      </c>
      <c r="E18" s="12">
        <v>55</v>
      </c>
      <c r="F18" s="8">
        <v>9.5299999999999994</v>
      </c>
      <c r="G18" s="12">
        <v>45</v>
      </c>
      <c r="H18" s="8">
        <v>4.2699999999999996</v>
      </c>
      <c r="I18" s="12">
        <v>1</v>
      </c>
    </row>
    <row r="19" spans="2:9" ht="15" customHeight="1" x14ac:dyDescent="0.2">
      <c r="B19" t="s">
        <v>204</v>
      </c>
      <c r="C19" s="12">
        <v>60</v>
      </c>
      <c r="D19" s="8">
        <v>3.67</v>
      </c>
      <c r="E19" s="12">
        <v>12</v>
      </c>
      <c r="F19" s="8">
        <v>2.08</v>
      </c>
      <c r="G19" s="12">
        <v>47</v>
      </c>
      <c r="H19" s="8">
        <v>4.45</v>
      </c>
      <c r="I19" s="12">
        <v>1</v>
      </c>
    </row>
    <row r="20" spans="2:9" ht="15" customHeight="1" x14ac:dyDescent="0.2">
      <c r="B20" s="9" t="s">
        <v>529</v>
      </c>
      <c r="C20" s="12">
        <f>SUM(LTBL_01110[総数／事業所数])</f>
        <v>1635</v>
      </c>
      <c r="E20" s="12">
        <f>SUBTOTAL(109,LTBL_01110[個人／事業所数])</f>
        <v>577</v>
      </c>
      <c r="G20" s="12">
        <f>SUBTOTAL(109,LTBL_01110[法人／事業所数])</f>
        <v>1055</v>
      </c>
      <c r="I20" s="12">
        <f>SUBTOTAL(109,LTBL_01110[法人以外の団体／事業所数])</f>
        <v>2</v>
      </c>
    </row>
    <row r="21" spans="2:9" ht="15" customHeight="1" x14ac:dyDescent="0.2">
      <c r="E21" s="11">
        <f>LTBL_01110[[#Totals],[個人／事業所数]]/LTBL_01110[[#Totals],[総数／事業所数]]</f>
        <v>0.35290519877675841</v>
      </c>
      <c r="G21" s="11">
        <f>LTBL_01110[[#Totals],[法人／事業所数]]/LTBL_01110[[#Totals],[総数／事業所数]]</f>
        <v>0.64525993883792054</v>
      </c>
      <c r="I21" s="11">
        <f>LTBL_01110[[#Totals],[法人以外の団体／事業所数]]/LTBL_01110[[#Totals],[総数／事業所数]]</f>
        <v>1.2232415902140672E-3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172</v>
      </c>
      <c r="D24" s="8">
        <v>10.52</v>
      </c>
      <c r="E24" s="12">
        <v>129</v>
      </c>
      <c r="F24" s="8">
        <v>22.36</v>
      </c>
      <c r="G24" s="12">
        <v>43</v>
      </c>
      <c r="H24" s="8">
        <v>4.08</v>
      </c>
      <c r="I24" s="12">
        <v>0</v>
      </c>
    </row>
    <row r="25" spans="2:9" ht="15" customHeight="1" x14ac:dyDescent="0.2">
      <c r="B25" t="s">
        <v>224</v>
      </c>
      <c r="C25" s="12">
        <v>144</v>
      </c>
      <c r="D25" s="8">
        <v>8.81</v>
      </c>
      <c r="E25" s="12">
        <v>31</v>
      </c>
      <c r="F25" s="8">
        <v>5.37</v>
      </c>
      <c r="G25" s="12">
        <v>113</v>
      </c>
      <c r="H25" s="8">
        <v>10.71</v>
      </c>
      <c r="I25" s="12">
        <v>0</v>
      </c>
    </row>
    <row r="26" spans="2:9" ht="15" customHeight="1" x14ac:dyDescent="0.2">
      <c r="B26" t="s">
        <v>227</v>
      </c>
      <c r="C26" s="12">
        <v>121</v>
      </c>
      <c r="D26" s="8">
        <v>7.4</v>
      </c>
      <c r="E26" s="12">
        <v>101</v>
      </c>
      <c r="F26" s="8">
        <v>17.5</v>
      </c>
      <c r="G26" s="12">
        <v>20</v>
      </c>
      <c r="H26" s="8">
        <v>1.9</v>
      </c>
      <c r="I26" s="12">
        <v>0</v>
      </c>
    </row>
    <row r="27" spans="2:9" ht="15" customHeight="1" x14ac:dyDescent="0.2">
      <c r="B27" t="s">
        <v>214</v>
      </c>
      <c r="C27" s="12">
        <v>116</v>
      </c>
      <c r="D27" s="8">
        <v>7.09</v>
      </c>
      <c r="E27" s="12">
        <v>11</v>
      </c>
      <c r="F27" s="8">
        <v>1.91</v>
      </c>
      <c r="G27" s="12">
        <v>105</v>
      </c>
      <c r="H27" s="8">
        <v>9.9499999999999993</v>
      </c>
      <c r="I27" s="12">
        <v>0</v>
      </c>
    </row>
    <row r="28" spans="2:9" ht="15" customHeight="1" x14ac:dyDescent="0.2">
      <c r="B28" t="s">
        <v>213</v>
      </c>
      <c r="C28" s="12">
        <v>112</v>
      </c>
      <c r="D28" s="8">
        <v>6.85</v>
      </c>
      <c r="E28" s="12">
        <v>3</v>
      </c>
      <c r="F28" s="8">
        <v>0.52</v>
      </c>
      <c r="G28" s="12">
        <v>109</v>
      </c>
      <c r="H28" s="8">
        <v>10.33</v>
      </c>
      <c r="I28" s="12">
        <v>0</v>
      </c>
    </row>
    <row r="29" spans="2:9" ht="15" customHeight="1" x14ac:dyDescent="0.2">
      <c r="B29" t="s">
        <v>215</v>
      </c>
      <c r="C29" s="12">
        <v>93</v>
      </c>
      <c r="D29" s="8">
        <v>5.69</v>
      </c>
      <c r="E29" s="12">
        <v>8</v>
      </c>
      <c r="F29" s="8">
        <v>1.39</v>
      </c>
      <c r="G29" s="12">
        <v>85</v>
      </c>
      <c r="H29" s="8">
        <v>8.06</v>
      </c>
      <c r="I29" s="12">
        <v>0</v>
      </c>
    </row>
    <row r="30" spans="2:9" ht="15" customHeight="1" x14ac:dyDescent="0.2">
      <c r="B30" t="s">
        <v>223</v>
      </c>
      <c r="C30" s="12">
        <v>79</v>
      </c>
      <c r="D30" s="8">
        <v>4.83</v>
      </c>
      <c r="E30" s="12">
        <v>14</v>
      </c>
      <c r="F30" s="8">
        <v>2.4300000000000002</v>
      </c>
      <c r="G30" s="12">
        <v>65</v>
      </c>
      <c r="H30" s="8">
        <v>6.16</v>
      </c>
      <c r="I30" s="12">
        <v>0</v>
      </c>
    </row>
    <row r="31" spans="2:9" ht="15" customHeight="1" x14ac:dyDescent="0.2">
      <c r="B31" t="s">
        <v>230</v>
      </c>
      <c r="C31" s="12">
        <v>76</v>
      </c>
      <c r="D31" s="8">
        <v>4.6500000000000004</v>
      </c>
      <c r="E31" s="12">
        <v>56</v>
      </c>
      <c r="F31" s="8">
        <v>9.7100000000000009</v>
      </c>
      <c r="G31" s="12">
        <v>20</v>
      </c>
      <c r="H31" s="8">
        <v>1.9</v>
      </c>
      <c r="I31" s="12">
        <v>0</v>
      </c>
    </row>
    <row r="32" spans="2:9" ht="15" customHeight="1" x14ac:dyDescent="0.2">
      <c r="B32" t="s">
        <v>231</v>
      </c>
      <c r="C32" s="12">
        <v>72</v>
      </c>
      <c r="D32" s="8">
        <v>4.4000000000000004</v>
      </c>
      <c r="E32" s="12">
        <v>55</v>
      </c>
      <c r="F32" s="8">
        <v>9.5299999999999994</v>
      </c>
      <c r="G32" s="12">
        <v>17</v>
      </c>
      <c r="H32" s="8">
        <v>1.61</v>
      </c>
      <c r="I32" s="12">
        <v>0</v>
      </c>
    </row>
    <row r="33" spans="2:9" ht="15" customHeight="1" x14ac:dyDescent="0.2">
      <c r="B33" t="s">
        <v>222</v>
      </c>
      <c r="C33" s="12">
        <v>65</v>
      </c>
      <c r="D33" s="8">
        <v>3.98</v>
      </c>
      <c r="E33" s="12">
        <v>17</v>
      </c>
      <c r="F33" s="8">
        <v>2.95</v>
      </c>
      <c r="G33" s="12">
        <v>48</v>
      </c>
      <c r="H33" s="8">
        <v>4.55</v>
      </c>
      <c r="I33" s="12">
        <v>0</v>
      </c>
    </row>
    <row r="34" spans="2:9" ht="15" customHeight="1" x14ac:dyDescent="0.2">
      <c r="B34" t="s">
        <v>225</v>
      </c>
      <c r="C34" s="12">
        <v>55</v>
      </c>
      <c r="D34" s="8">
        <v>3.36</v>
      </c>
      <c r="E34" s="12">
        <v>35</v>
      </c>
      <c r="F34" s="8">
        <v>6.07</v>
      </c>
      <c r="G34" s="12">
        <v>20</v>
      </c>
      <c r="H34" s="8">
        <v>1.9</v>
      </c>
      <c r="I34" s="12">
        <v>0</v>
      </c>
    </row>
    <row r="35" spans="2:9" ht="15" customHeight="1" x14ac:dyDescent="0.2">
      <c r="B35" t="s">
        <v>226</v>
      </c>
      <c r="C35" s="12">
        <v>54</v>
      </c>
      <c r="D35" s="8">
        <v>3.3</v>
      </c>
      <c r="E35" s="12">
        <v>12</v>
      </c>
      <c r="F35" s="8">
        <v>2.08</v>
      </c>
      <c r="G35" s="12">
        <v>42</v>
      </c>
      <c r="H35" s="8">
        <v>3.98</v>
      </c>
      <c r="I35" s="12">
        <v>0</v>
      </c>
    </row>
    <row r="36" spans="2:9" ht="15" customHeight="1" x14ac:dyDescent="0.2">
      <c r="B36" t="s">
        <v>238</v>
      </c>
      <c r="C36" s="12">
        <v>43</v>
      </c>
      <c r="D36" s="8">
        <v>2.63</v>
      </c>
      <c r="E36" s="12">
        <v>41</v>
      </c>
      <c r="F36" s="8">
        <v>7.11</v>
      </c>
      <c r="G36" s="12">
        <v>2</v>
      </c>
      <c r="H36" s="8">
        <v>0.19</v>
      </c>
      <c r="I36" s="12">
        <v>0</v>
      </c>
    </row>
    <row r="37" spans="2:9" ht="15" customHeight="1" x14ac:dyDescent="0.2">
      <c r="B37" t="s">
        <v>221</v>
      </c>
      <c r="C37" s="12">
        <v>34</v>
      </c>
      <c r="D37" s="8">
        <v>2.08</v>
      </c>
      <c r="E37" s="12">
        <v>10</v>
      </c>
      <c r="F37" s="8">
        <v>1.73</v>
      </c>
      <c r="G37" s="12">
        <v>24</v>
      </c>
      <c r="H37" s="8">
        <v>2.27</v>
      </c>
      <c r="I37" s="12">
        <v>0</v>
      </c>
    </row>
    <row r="38" spans="2:9" ht="15" customHeight="1" x14ac:dyDescent="0.2">
      <c r="B38" t="s">
        <v>232</v>
      </c>
      <c r="C38" s="12">
        <v>29</v>
      </c>
      <c r="D38" s="8">
        <v>1.77</v>
      </c>
      <c r="E38" s="12">
        <v>0</v>
      </c>
      <c r="F38" s="8">
        <v>0</v>
      </c>
      <c r="G38" s="12">
        <v>28</v>
      </c>
      <c r="H38" s="8">
        <v>2.65</v>
      </c>
      <c r="I38" s="12">
        <v>1</v>
      </c>
    </row>
    <row r="39" spans="2:9" ht="15" customHeight="1" x14ac:dyDescent="0.2">
      <c r="B39" t="s">
        <v>236</v>
      </c>
      <c r="C39" s="12">
        <v>26</v>
      </c>
      <c r="D39" s="8">
        <v>1.59</v>
      </c>
      <c r="E39" s="12">
        <v>3</v>
      </c>
      <c r="F39" s="8">
        <v>0.52</v>
      </c>
      <c r="G39" s="12">
        <v>23</v>
      </c>
      <c r="H39" s="8">
        <v>2.1800000000000002</v>
      </c>
      <c r="I39" s="12">
        <v>0</v>
      </c>
    </row>
    <row r="40" spans="2:9" ht="15" customHeight="1" x14ac:dyDescent="0.2">
      <c r="B40" t="s">
        <v>229</v>
      </c>
      <c r="C40" s="12">
        <v>25</v>
      </c>
      <c r="D40" s="8">
        <v>1.53</v>
      </c>
      <c r="E40" s="12">
        <v>7</v>
      </c>
      <c r="F40" s="8">
        <v>1.21</v>
      </c>
      <c r="G40" s="12">
        <v>17</v>
      </c>
      <c r="H40" s="8">
        <v>1.61</v>
      </c>
      <c r="I40" s="12">
        <v>0</v>
      </c>
    </row>
    <row r="41" spans="2:9" ht="15" customHeight="1" x14ac:dyDescent="0.2">
      <c r="B41" t="s">
        <v>220</v>
      </c>
      <c r="C41" s="12">
        <v>24</v>
      </c>
      <c r="D41" s="8">
        <v>1.47</v>
      </c>
      <c r="E41" s="12">
        <v>6</v>
      </c>
      <c r="F41" s="8">
        <v>1.04</v>
      </c>
      <c r="G41" s="12">
        <v>18</v>
      </c>
      <c r="H41" s="8">
        <v>1.71</v>
      </c>
      <c r="I41" s="12">
        <v>0</v>
      </c>
    </row>
    <row r="42" spans="2:9" ht="15" customHeight="1" x14ac:dyDescent="0.2">
      <c r="B42" t="s">
        <v>219</v>
      </c>
      <c r="C42" s="12">
        <v>23</v>
      </c>
      <c r="D42" s="8">
        <v>1.41</v>
      </c>
      <c r="E42" s="12">
        <v>3</v>
      </c>
      <c r="F42" s="8">
        <v>0.52</v>
      </c>
      <c r="G42" s="12">
        <v>20</v>
      </c>
      <c r="H42" s="8">
        <v>1.9</v>
      </c>
      <c r="I42" s="12">
        <v>0</v>
      </c>
    </row>
    <row r="43" spans="2:9" ht="15" customHeight="1" x14ac:dyDescent="0.2">
      <c r="B43" t="s">
        <v>218</v>
      </c>
      <c r="C43" s="12">
        <v>22</v>
      </c>
      <c r="D43" s="8">
        <v>1.35</v>
      </c>
      <c r="E43" s="12">
        <v>0</v>
      </c>
      <c r="F43" s="8">
        <v>0</v>
      </c>
      <c r="G43" s="12">
        <v>22</v>
      </c>
      <c r="H43" s="8">
        <v>2.09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87</v>
      </c>
      <c r="D47" s="8">
        <v>5.32</v>
      </c>
      <c r="E47" s="12">
        <v>29</v>
      </c>
      <c r="F47" s="8">
        <v>5.03</v>
      </c>
      <c r="G47" s="12">
        <v>58</v>
      </c>
      <c r="H47" s="8">
        <v>5.5</v>
      </c>
      <c r="I47" s="12">
        <v>0</v>
      </c>
    </row>
    <row r="48" spans="2:9" ht="15" customHeight="1" x14ac:dyDescent="0.2">
      <c r="B48" t="s">
        <v>304</v>
      </c>
      <c r="C48" s="12">
        <v>86</v>
      </c>
      <c r="D48" s="8">
        <v>5.26</v>
      </c>
      <c r="E48" s="12">
        <v>66</v>
      </c>
      <c r="F48" s="8">
        <v>11.44</v>
      </c>
      <c r="G48" s="12">
        <v>20</v>
      </c>
      <c r="H48" s="8">
        <v>1.9</v>
      </c>
      <c r="I48" s="12">
        <v>0</v>
      </c>
    </row>
    <row r="49" spans="2:9" ht="15" customHeight="1" x14ac:dyDescent="0.2">
      <c r="B49" t="s">
        <v>303</v>
      </c>
      <c r="C49" s="12">
        <v>60</v>
      </c>
      <c r="D49" s="8">
        <v>3.67</v>
      </c>
      <c r="E49" s="12">
        <v>54</v>
      </c>
      <c r="F49" s="8">
        <v>9.36</v>
      </c>
      <c r="G49" s="12">
        <v>6</v>
      </c>
      <c r="H49" s="8">
        <v>0.56999999999999995</v>
      </c>
      <c r="I49" s="12">
        <v>0</v>
      </c>
    </row>
    <row r="50" spans="2:9" ht="15" customHeight="1" x14ac:dyDescent="0.2">
      <c r="B50" t="s">
        <v>305</v>
      </c>
      <c r="C50" s="12">
        <v>48</v>
      </c>
      <c r="D50" s="8">
        <v>2.94</v>
      </c>
      <c r="E50" s="12">
        <v>39</v>
      </c>
      <c r="F50" s="8">
        <v>6.76</v>
      </c>
      <c r="G50" s="12">
        <v>9</v>
      </c>
      <c r="H50" s="8">
        <v>0.85</v>
      </c>
      <c r="I50" s="12">
        <v>0</v>
      </c>
    </row>
    <row r="51" spans="2:9" ht="15" customHeight="1" x14ac:dyDescent="0.2">
      <c r="B51" t="s">
        <v>293</v>
      </c>
      <c r="C51" s="12">
        <v>45</v>
      </c>
      <c r="D51" s="8">
        <v>2.75</v>
      </c>
      <c r="E51" s="12">
        <v>6</v>
      </c>
      <c r="F51" s="8">
        <v>1.04</v>
      </c>
      <c r="G51" s="12">
        <v>39</v>
      </c>
      <c r="H51" s="8">
        <v>3.7</v>
      </c>
      <c r="I51" s="12">
        <v>0</v>
      </c>
    </row>
    <row r="52" spans="2:9" ht="15" customHeight="1" x14ac:dyDescent="0.2">
      <c r="B52" t="s">
        <v>306</v>
      </c>
      <c r="C52" s="12">
        <v>44</v>
      </c>
      <c r="D52" s="8">
        <v>2.69</v>
      </c>
      <c r="E52" s="12">
        <v>34</v>
      </c>
      <c r="F52" s="8">
        <v>5.89</v>
      </c>
      <c r="G52" s="12">
        <v>10</v>
      </c>
      <c r="H52" s="8">
        <v>0.95</v>
      </c>
      <c r="I52" s="12">
        <v>0</v>
      </c>
    </row>
    <row r="53" spans="2:9" ht="15" customHeight="1" x14ac:dyDescent="0.2">
      <c r="B53" t="s">
        <v>326</v>
      </c>
      <c r="C53" s="12">
        <v>42</v>
      </c>
      <c r="D53" s="8">
        <v>2.57</v>
      </c>
      <c r="E53" s="12">
        <v>41</v>
      </c>
      <c r="F53" s="8">
        <v>7.11</v>
      </c>
      <c r="G53" s="12">
        <v>1</v>
      </c>
      <c r="H53" s="8">
        <v>0.09</v>
      </c>
      <c r="I53" s="12">
        <v>0</v>
      </c>
    </row>
    <row r="54" spans="2:9" ht="15" customHeight="1" x14ac:dyDescent="0.2">
      <c r="B54" t="s">
        <v>296</v>
      </c>
      <c r="C54" s="12">
        <v>39</v>
      </c>
      <c r="D54" s="8">
        <v>2.39</v>
      </c>
      <c r="E54" s="12">
        <v>1</v>
      </c>
      <c r="F54" s="8">
        <v>0.17</v>
      </c>
      <c r="G54" s="12">
        <v>38</v>
      </c>
      <c r="H54" s="8">
        <v>3.6</v>
      </c>
      <c r="I54" s="12">
        <v>0</v>
      </c>
    </row>
    <row r="55" spans="2:9" ht="15" customHeight="1" x14ac:dyDescent="0.2">
      <c r="B55" t="s">
        <v>290</v>
      </c>
      <c r="C55" s="12">
        <v>38</v>
      </c>
      <c r="D55" s="8">
        <v>2.3199999999999998</v>
      </c>
      <c r="E55" s="12">
        <v>4</v>
      </c>
      <c r="F55" s="8">
        <v>0.69</v>
      </c>
      <c r="G55" s="12">
        <v>34</v>
      </c>
      <c r="H55" s="8">
        <v>3.22</v>
      </c>
      <c r="I55" s="12">
        <v>0</v>
      </c>
    </row>
    <row r="56" spans="2:9" ht="15" customHeight="1" x14ac:dyDescent="0.2">
      <c r="B56" t="s">
        <v>299</v>
      </c>
      <c r="C56" s="12">
        <v>36</v>
      </c>
      <c r="D56" s="8">
        <v>2.2000000000000002</v>
      </c>
      <c r="E56" s="12">
        <v>25</v>
      </c>
      <c r="F56" s="8">
        <v>4.33</v>
      </c>
      <c r="G56" s="12">
        <v>11</v>
      </c>
      <c r="H56" s="8">
        <v>1.04</v>
      </c>
      <c r="I56" s="12">
        <v>0</v>
      </c>
    </row>
    <row r="57" spans="2:9" ht="15" customHeight="1" x14ac:dyDescent="0.2">
      <c r="B57" t="s">
        <v>288</v>
      </c>
      <c r="C57" s="12">
        <v>35</v>
      </c>
      <c r="D57" s="8">
        <v>2.14</v>
      </c>
      <c r="E57" s="12">
        <v>1</v>
      </c>
      <c r="F57" s="8">
        <v>0.17</v>
      </c>
      <c r="G57" s="12">
        <v>34</v>
      </c>
      <c r="H57" s="8">
        <v>3.22</v>
      </c>
      <c r="I57" s="12">
        <v>0</v>
      </c>
    </row>
    <row r="58" spans="2:9" ht="15" customHeight="1" x14ac:dyDescent="0.2">
      <c r="B58" t="s">
        <v>291</v>
      </c>
      <c r="C58" s="12">
        <v>35</v>
      </c>
      <c r="D58" s="8">
        <v>2.14</v>
      </c>
      <c r="E58" s="12">
        <v>4</v>
      </c>
      <c r="F58" s="8">
        <v>0.69</v>
      </c>
      <c r="G58" s="12">
        <v>31</v>
      </c>
      <c r="H58" s="8">
        <v>2.94</v>
      </c>
      <c r="I58" s="12">
        <v>0</v>
      </c>
    </row>
    <row r="59" spans="2:9" ht="15" customHeight="1" x14ac:dyDescent="0.2">
      <c r="B59" t="s">
        <v>298</v>
      </c>
      <c r="C59" s="12">
        <v>32</v>
      </c>
      <c r="D59" s="8">
        <v>1.96</v>
      </c>
      <c r="E59" s="12">
        <v>4</v>
      </c>
      <c r="F59" s="8">
        <v>0.69</v>
      </c>
      <c r="G59" s="12">
        <v>28</v>
      </c>
      <c r="H59" s="8">
        <v>2.65</v>
      </c>
      <c r="I59" s="12">
        <v>0</v>
      </c>
    </row>
    <row r="60" spans="2:9" ht="15" customHeight="1" x14ac:dyDescent="0.2">
      <c r="B60" t="s">
        <v>319</v>
      </c>
      <c r="C60" s="12">
        <v>29</v>
      </c>
      <c r="D60" s="8">
        <v>1.77</v>
      </c>
      <c r="E60" s="12">
        <v>0</v>
      </c>
      <c r="F60" s="8">
        <v>0</v>
      </c>
      <c r="G60" s="12">
        <v>29</v>
      </c>
      <c r="H60" s="8">
        <v>2.75</v>
      </c>
      <c r="I60" s="12">
        <v>0</v>
      </c>
    </row>
    <row r="61" spans="2:9" ht="15" customHeight="1" x14ac:dyDescent="0.2">
      <c r="B61" t="s">
        <v>295</v>
      </c>
      <c r="C61" s="12">
        <v>28</v>
      </c>
      <c r="D61" s="8">
        <v>1.71</v>
      </c>
      <c r="E61" s="12">
        <v>4</v>
      </c>
      <c r="F61" s="8">
        <v>0.69</v>
      </c>
      <c r="G61" s="12">
        <v>24</v>
      </c>
      <c r="H61" s="8">
        <v>2.27</v>
      </c>
      <c r="I61" s="12">
        <v>0</v>
      </c>
    </row>
    <row r="62" spans="2:9" ht="15" customHeight="1" x14ac:dyDescent="0.2">
      <c r="B62" t="s">
        <v>327</v>
      </c>
      <c r="C62" s="12">
        <v>28</v>
      </c>
      <c r="D62" s="8">
        <v>1.71</v>
      </c>
      <c r="E62" s="12">
        <v>17</v>
      </c>
      <c r="F62" s="8">
        <v>2.95</v>
      </c>
      <c r="G62" s="12">
        <v>11</v>
      </c>
      <c r="H62" s="8">
        <v>1.04</v>
      </c>
      <c r="I62" s="12">
        <v>0</v>
      </c>
    </row>
    <row r="63" spans="2:9" ht="15" customHeight="1" x14ac:dyDescent="0.2">
      <c r="B63" t="s">
        <v>308</v>
      </c>
      <c r="C63" s="12">
        <v>26</v>
      </c>
      <c r="D63" s="8">
        <v>1.59</v>
      </c>
      <c r="E63" s="12">
        <v>2</v>
      </c>
      <c r="F63" s="8">
        <v>0.35</v>
      </c>
      <c r="G63" s="12">
        <v>24</v>
      </c>
      <c r="H63" s="8">
        <v>2.27</v>
      </c>
      <c r="I63" s="12">
        <v>0</v>
      </c>
    </row>
    <row r="64" spans="2:9" ht="15" customHeight="1" x14ac:dyDescent="0.2">
      <c r="B64" t="s">
        <v>300</v>
      </c>
      <c r="C64" s="12">
        <v>25</v>
      </c>
      <c r="D64" s="8">
        <v>1.53</v>
      </c>
      <c r="E64" s="12">
        <v>25</v>
      </c>
      <c r="F64" s="8">
        <v>4.33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328</v>
      </c>
      <c r="C65" s="12">
        <v>24</v>
      </c>
      <c r="D65" s="8">
        <v>1.47</v>
      </c>
      <c r="E65" s="12">
        <v>2</v>
      </c>
      <c r="F65" s="8">
        <v>0.35</v>
      </c>
      <c r="G65" s="12">
        <v>22</v>
      </c>
      <c r="H65" s="8">
        <v>2.09</v>
      </c>
      <c r="I65" s="12">
        <v>0</v>
      </c>
    </row>
    <row r="66" spans="2:9" ht="15" customHeight="1" x14ac:dyDescent="0.2">
      <c r="B66" t="s">
        <v>307</v>
      </c>
      <c r="C66" s="12">
        <v>21</v>
      </c>
      <c r="D66" s="8">
        <v>1.28</v>
      </c>
      <c r="E66" s="12">
        <v>4</v>
      </c>
      <c r="F66" s="8">
        <v>0.69</v>
      </c>
      <c r="G66" s="12">
        <v>17</v>
      </c>
      <c r="H66" s="8">
        <v>1.61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46312-0E3C-4F1F-ABEB-DEC6EAB7306F}">
  <sheetPr>
    <pageSetUpPr fitToPage="1"/>
  </sheetPr>
  <dimension ref="B2:I8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1.39</v>
      </c>
      <c r="E5" s="12">
        <v>0</v>
      </c>
      <c r="F5" s="8">
        <v>0</v>
      </c>
      <c r="G5" s="12">
        <v>2</v>
      </c>
      <c r="H5" s="8">
        <v>3.51</v>
      </c>
      <c r="I5" s="12">
        <v>0</v>
      </c>
    </row>
    <row r="6" spans="2:9" ht="15" customHeight="1" x14ac:dyDescent="0.2">
      <c r="B6" t="s">
        <v>191</v>
      </c>
      <c r="C6" s="12">
        <v>23</v>
      </c>
      <c r="D6" s="8">
        <v>15.97</v>
      </c>
      <c r="E6" s="12">
        <v>10</v>
      </c>
      <c r="F6" s="8">
        <v>13.16</v>
      </c>
      <c r="G6" s="12">
        <v>13</v>
      </c>
      <c r="H6" s="8">
        <v>22.81</v>
      </c>
      <c r="I6" s="12">
        <v>0</v>
      </c>
    </row>
    <row r="7" spans="2:9" ht="15" customHeight="1" x14ac:dyDescent="0.2">
      <c r="B7" t="s">
        <v>192</v>
      </c>
      <c r="C7" s="12">
        <v>7</v>
      </c>
      <c r="D7" s="8">
        <v>4.8600000000000003</v>
      </c>
      <c r="E7" s="12">
        <v>2</v>
      </c>
      <c r="F7" s="8">
        <v>2.63</v>
      </c>
      <c r="G7" s="12">
        <v>5</v>
      </c>
      <c r="H7" s="8">
        <v>8.77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0.69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2.78</v>
      </c>
      <c r="E10" s="12">
        <v>1</v>
      </c>
      <c r="F10" s="8">
        <v>1.32</v>
      </c>
      <c r="G10" s="12">
        <v>3</v>
      </c>
      <c r="H10" s="8">
        <v>5.26</v>
      </c>
      <c r="I10" s="12">
        <v>0</v>
      </c>
    </row>
    <row r="11" spans="2:9" ht="15" customHeight="1" x14ac:dyDescent="0.2">
      <c r="B11" t="s">
        <v>196</v>
      </c>
      <c r="C11" s="12">
        <v>38</v>
      </c>
      <c r="D11" s="8">
        <v>26.39</v>
      </c>
      <c r="E11" s="12">
        <v>16</v>
      </c>
      <c r="F11" s="8">
        <v>21.05</v>
      </c>
      <c r="G11" s="12">
        <v>22</v>
      </c>
      <c r="H11" s="8">
        <v>38.6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0.69</v>
      </c>
      <c r="E12" s="12">
        <v>1</v>
      </c>
      <c r="F12" s="8">
        <v>1.32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5</v>
      </c>
      <c r="D13" s="8">
        <v>3.47</v>
      </c>
      <c r="E13" s="12">
        <v>2</v>
      </c>
      <c r="F13" s="8">
        <v>2.63</v>
      </c>
      <c r="G13" s="12">
        <v>3</v>
      </c>
      <c r="H13" s="8">
        <v>5.26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2.78</v>
      </c>
      <c r="E14" s="12">
        <v>3</v>
      </c>
      <c r="F14" s="8">
        <v>3.95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22</v>
      </c>
      <c r="D15" s="8">
        <v>15.28</v>
      </c>
      <c r="E15" s="12">
        <v>18</v>
      </c>
      <c r="F15" s="8">
        <v>23.68</v>
      </c>
      <c r="G15" s="12">
        <v>4</v>
      </c>
      <c r="H15" s="8">
        <v>7.02</v>
      </c>
      <c r="I15" s="12">
        <v>0</v>
      </c>
    </row>
    <row r="16" spans="2:9" ht="15" customHeight="1" x14ac:dyDescent="0.2">
      <c r="B16" t="s">
        <v>201</v>
      </c>
      <c r="C16" s="12">
        <v>15</v>
      </c>
      <c r="D16" s="8">
        <v>10.42</v>
      </c>
      <c r="E16" s="12">
        <v>14</v>
      </c>
      <c r="F16" s="8">
        <v>18.420000000000002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3.47</v>
      </c>
      <c r="E17" s="12">
        <v>3</v>
      </c>
      <c r="F17" s="8">
        <v>3.95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11</v>
      </c>
      <c r="D18" s="8">
        <v>7.64</v>
      </c>
      <c r="E18" s="12">
        <v>3</v>
      </c>
      <c r="F18" s="8">
        <v>3.95</v>
      </c>
      <c r="G18" s="12">
        <v>3</v>
      </c>
      <c r="H18" s="8">
        <v>5.26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4.17</v>
      </c>
      <c r="E19" s="12">
        <v>3</v>
      </c>
      <c r="F19" s="8">
        <v>3.95</v>
      </c>
      <c r="G19" s="12">
        <v>2</v>
      </c>
      <c r="H19" s="8">
        <v>3.51</v>
      </c>
      <c r="I19" s="12">
        <v>0</v>
      </c>
    </row>
    <row r="20" spans="2:9" ht="15" customHeight="1" x14ac:dyDescent="0.2">
      <c r="B20" s="9" t="s">
        <v>529</v>
      </c>
      <c r="C20" s="12">
        <f>SUM(LTBL_01602[総数／事業所数])</f>
        <v>144</v>
      </c>
      <c r="E20" s="12">
        <f>SUBTOTAL(109,LTBL_01602[個人／事業所数])</f>
        <v>76</v>
      </c>
      <c r="G20" s="12">
        <f>SUBTOTAL(109,LTBL_01602[法人／事業所数])</f>
        <v>57</v>
      </c>
      <c r="I20" s="12">
        <f>SUBTOTAL(109,LTBL_01602[法人以外の団体／事業所数])</f>
        <v>0</v>
      </c>
    </row>
    <row r="21" spans="2:9" ht="15" customHeight="1" x14ac:dyDescent="0.2">
      <c r="E21" s="11">
        <f>LTBL_01602[[#Totals],[個人／事業所数]]/LTBL_01602[[#Totals],[総数／事業所数]]</f>
        <v>0.52777777777777779</v>
      </c>
      <c r="G21" s="11">
        <f>LTBL_01602[[#Totals],[法人／事業所数]]/LTBL_01602[[#Totals],[総数／事業所数]]</f>
        <v>0.39583333333333331</v>
      </c>
      <c r="I21" s="11">
        <f>LTBL_01602[[#Totals],[法人以外の団体／事業所数]]/LTBL_01602[[#Totals],[総数／事業所数]]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20</v>
      </c>
      <c r="D24" s="8">
        <v>13.89</v>
      </c>
      <c r="E24" s="12">
        <v>7</v>
      </c>
      <c r="F24" s="8">
        <v>9.2100000000000009</v>
      </c>
      <c r="G24" s="12">
        <v>13</v>
      </c>
      <c r="H24" s="8">
        <v>22.81</v>
      </c>
      <c r="I24" s="12">
        <v>0</v>
      </c>
    </row>
    <row r="25" spans="2:9" ht="15" customHeight="1" x14ac:dyDescent="0.2">
      <c r="B25" t="s">
        <v>227</v>
      </c>
      <c r="C25" s="12">
        <v>16</v>
      </c>
      <c r="D25" s="8">
        <v>11.11</v>
      </c>
      <c r="E25" s="12">
        <v>14</v>
      </c>
      <c r="F25" s="8">
        <v>18.420000000000002</v>
      </c>
      <c r="G25" s="12">
        <v>2</v>
      </c>
      <c r="H25" s="8">
        <v>3.51</v>
      </c>
      <c r="I25" s="12">
        <v>0</v>
      </c>
    </row>
    <row r="26" spans="2:9" ht="15" customHeight="1" x14ac:dyDescent="0.2">
      <c r="B26" t="s">
        <v>213</v>
      </c>
      <c r="C26" s="12">
        <v>13</v>
      </c>
      <c r="D26" s="8">
        <v>9.0299999999999994</v>
      </c>
      <c r="E26" s="12">
        <v>5</v>
      </c>
      <c r="F26" s="8">
        <v>6.58</v>
      </c>
      <c r="G26" s="12">
        <v>8</v>
      </c>
      <c r="H26" s="8">
        <v>14.04</v>
      </c>
      <c r="I26" s="12">
        <v>0</v>
      </c>
    </row>
    <row r="27" spans="2:9" ht="15" customHeight="1" x14ac:dyDescent="0.2">
      <c r="B27" t="s">
        <v>228</v>
      </c>
      <c r="C27" s="12">
        <v>13</v>
      </c>
      <c r="D27" s="8">
        <v>9.0299999999999994</v>
      </c>
      <c r="E27" s="12">
        <v>13</v>
      </c>
      <c r="F27" s="8">
        <v>17.11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221</v>
      </c>
      <c r="C28" s="12">
        <v>8</v>
      </c>
      <c r="D28" s="8">
        <v>5.56</v>
      </c>
      <c r="E28" s="12">
        <v>4</v>
      </c>
      <c r="F28" s="8">
        <v>5.26</v>
      </c>
      <c r="G28" s="12">
        <v>4</v>
      </c>
      <c r="H28" s="8">
        <v>7.02</v>
      </c>
      <c r="I28" s="12">
        <v>0</v>
      </c>
    </row>
    <row r="29" spans="2:9" ht="15" customHeight="1" x14ac:dyDescent="0.2">
      <c r="B29" t="s">
        <v>214</v>
      </c>
      <c r="C29" s="12">
        <v>7</v>
      </c>
      <c r="D29" s="8">
        <v>4.8600000000000003</v>
      </c>
      <c r="E29" s="12">
        <v>3</v>
      </c>
      <c r="F29" s="8">
        <v>3.95</v>
      </c>
      <c r="G29" s="12">
        <v>4</v>
      </c>
      <c r="H29" s="8">
        <v>7.02</v>
      </c>
      <c r="I29" s="12">
        <v>0</v>
      </c>
    </row>
    <row r="30" spans="2:9" ht="15" customHeight="1" x14ac:dyDescent="0.2">
      <c r="B30" t="s">
        <v>232</v>
      </c>
      <c r="C30" s="12">
        <v>7</v>
      </c>
      <c r="D30" s="8">
        <v>4.8600000000000003</v>
      </c>
      <c r="E30" s="12">
        <v>0</v>
      </c>
      <c r="F30" s="8">
        <v>0</v>
      </c>
      <c r="G30" s="12">
        <v>2</v>
      </c>
      <c r="H30" s="8">
        <v>3.51</v>
      </c>
      <c r="I30" s="12">
        <v>0</v>
      </c>
    </row>
    <row r="31" spans="2:9" ht="15" customHeight="1" x14ac:dyDescent="0.2">
      <c r="B31" t="s">
        <v>222</v>
      </c>
      <c r="C31" s="12">
        <v>6</v>
      </c>
      <c r="D31" s="8">
        <v>4.17</v>
      </c>
      <c r="E31" s="12">
        <v>2</v>
      </c>
      <c r="F31" s="8">
        <v>2.63</v>
      </c>
      <c r="G31" s="12">
        <v>4</v>
      </c>
      <c r="H31" s="8">
        <v>7.02</v>
      </c>
      <c r="I31" s="12">
        <v>0</v>
      </c>
    </row>
    <row r="32" spans="2:9" ht="15" customHeight="1" x14ac:dyDescent="0.2">
      <c r="B32" t="s">
        <v>230</v>
      </c>
      <c r="C32" s="12">
        <v>5</v>
      </c>
      <c r="D32" s="8">
        <v>3.47</v>
      </c>
      <c r="E32" s="12">
        <v>3</v>
      </c>
      <c r="F32" s="8">
        <v>3.95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240</v>
      </c>
      <c r="C33" s="12">
        <v>5</v>
      </c>
      <c r="D33" s="8">
        <v>3.47</v>
      </c>
      <c r="E33" s="12">
        <v>3</v>
      </c>
      <c r="F33" s="8">
        <v>3.95</v>
      </c>
      <c r="G33" s="12">
        <v>2</v>
      </c>
      <c r="H33" s="8">
        <v>3.51</v>
      </c>
      <c r="I33" s="12">
        <v>0</v>
      </c>
    </row>
    <row r="34" spans="2:9" ht="15" customHeight="1" x14ac:dyDescent="0.2">
      <c r="B34" t="s">
        <v>243</v>
      </c>
      <c r="C34" s="12">
        <v>4</v>
      </c>
      <c r="D34" s="8">
        <v>2.78</v>
      </c>
      <c r="E34" s="12">
        <v>4</v>
      </c>
      <c r="F34" s="8">
        <v>5.26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231</v>
      </c>
      <c r="C35" s="12">
        <v>4</v>
      </c>
      <c r="D35" s="8">
        <v>2.78</v>
      </c>
      <c r="E35" s="12">
        <v>3</v>
      </c>
      <c r="F35" s="8">
        <v>3.95</v>
      </c>
      <c r="G35" s="12">
        <v>1</v>
      </c>
      <c r="H35" s="8">
        <v>1.75</v>
      </c>
      <c r="I35" s="12">
        <v>0</v>
      </c>
    </row>
    <row r="36" spans="2:9" ht="15" customHeight="1" x14ac:dyDescent="0.2">
      <c r="B36" t="s">
        <v>215</v>
      </c>
      <c r="C36" s="12">
        <v>3</v>
      </c>
      <c r="D36" s="8">
        <v>2.08</v>
      </c>
      <c r="E36" s="12">
        <v>2</v>
      </c>
      <c r="F36" s="8">
        <v>2.63</v>
      </c>
      <c r="G36" s="12">
        <v>1</v>
      </c>
      <c r="H36" s="8">
        <v>1.75</v>
      </c>
      <c r="I36" s="12">
        <v>0</v>
      </c>
    </row>
    <row r="37" spans="2:9" ht="15" customHeight="1" x14ac:dyDescent="0.2">
      <c r="B37" t="s">
        <v>254</v>
      </c>
      <c r="C37" s="12">
        <v>3</v>
      </c>
      <c r="D37" s="8">
        <v>2.08</v>
      </c>
      <c r="E37" s="12">
        <v>1</v>
      </c>
      <c r="F37" s="8">
        <v>1.32</v>
      </c>
      <c r="G37" s="12">
        <v>2</v>
      </c>
      <c r="H37" s="8">
        <v>3.51</v>
      </c>
      <c r="I37" s="12">
        <v>0</v>
      </c>
    </row>
    <row r="38" spans="2:9" ht="15" customHeight="1" x14ac:dyDescent="0.2">
      <c r="B38" t="s">
        <v>219</v>
      </c>
      <c r="C38" s="12">
        <v>3</v>
      </c>
      <c r="D38" s="8">
        <v>2.08</v>
      </c>
      <c r="E38" s="12">
        <v>2</v>
      </c>
      <c r="F38" s="8">
        <v>2.63</v>
      </c>
      <c r="G38" s="12">
        <v>1</v>
      </c>
      <c r="H38" s="8">
        <v>1.75</v>
      </c>
      <c r="I38" s="12">
        <v>0</v>
      </c>
    </row>
    <row r="39" spans="2:9" ht="15" customHeight="1" x14ac:dyDescent="0.2">
      <c r="B39" t="s">
        <v>224</v>
      </c>
      <c r="C39" s="12">
        <v>3</v>
      </c>
      <c r="D39" s="8">
        <v>2.08</v>
      </c>
      <c r="E39" s="12">
        <v>2</v>
      </c>
      <c r="F39" s="8">
        <v>2.63</v>
      </c>
      <c r="G39" s="12">
        <v>1</v>
      </c>
      <c r="H39" s="8">
        <v>1.75</v>
      </c>
      <c r="I39" s="12">
        <v>0</v>
      </c>
    </row>
    <row r="40" spans="2:9" ht="15" customHeight="1" x14ac:dyDescent="0.2">
      <c r="B40" t="s">
        <v>226</v>
      </c>
      <c r="C40" s="12">
        <v>3</v>
      </c>
      <c r="D40" s="8">
        <v>2.08</v>
      </c>
      <c r="E40" s="12">
        <v>2</v>
      </c>
      <c r="F40" s="8">
        <v>2.63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273</v>
      </c>
      <c r="C41" s="12">
        <v>2</v>
      </c>
      <c r="D41" s="8">
        <v>1.39</v>
      </c>
      <c r="E41" s="12">
        <v>0</v>
      </c>
      <c r="F41" s="8">
        <v>0</v>
      </c>
      <c r="G41" s="12">
        <v>2</v>
      </c>
      <c r="H41" s="8">
        <v>3.51</v>
      </c>
      <c r="I41" s="12">
        <v>0</v>
      </c>
    </row>
    <row r="42" spans="2:9" ht="15" customHeight="1" x14ac:dyDescent="0.2">
      <c r="B42" t="s">
        <v>238</v>
      </c>
      <c r="C42" s="12">
        <v>2</v>
      </c>
      <c r="D42" s="8">
        <v>1.39</v>
      </c>
      <c r="E42" s="12">
        <v>1</v>
      </c>
      <c r="F42" s="8">
        <v>1.32</v>
      </c>
      <c r="G42" s="12">
        <v>1</v>
      </c>
      <c r="H42" s="8">
        <v>1.75</v>
      </c>
      <c r="I42" s="12">
        <v>0</v>
      </c>
    </row>
    <row r="43" spans="2:9" ht="15" customHeight="1" x14ac:dyDescent="0.2">
      <c r="B43" t="s">
        <v>246</v>
      </c>
      <c r="C43" s="12">
        <v>2</v>
      </c>
      <c r="D43" s="8">
        <v>1.39</v>
      </c>
      <c r="E43" s="12">
        <v>0</v>
      </c>
      <c r="F43" s="8">
        <v>0</v>
      </c>
      <c r="G43" s="12">
        <v>2</v>
      </c>
      <c r="H43" s="8">
        <v>3.51</v>
      </c>
      <c r="I43" s="12">
        <v>0</v>
      </c>
    </row>
    <row r="44" spans="2:9" ht="15" customHeight="1" x14ac:dyDescent="0.2">
      <c r="B44" t="s">
        <v>239</v>
      </c>
      <c r="C44" s="12">
        <v>2</v>
      </c>
      <c r="D44" s="8">
        <v>1.39</v>
      </c>
      <c r="E44" s="12">
        <v>0</v>
      </c>
      <c r="F44" s="8">
        <v>0</v>
      </c>
      <c r="G44" s="12">
        <v>2</v>
      </c>
      <c r="H44" s="8">
        <v>3.51</v>
      </c>
      <c r="I44" s="12">
        <v>0</v>
      </c>
    </row>
    <row r="45" spans="2:9" ht="15" customHeight="1" x14ac:dyDescent="0.2">
      <c r="B45" t="s">
        <v>247</v>
      </c>
      <c r="C45" s="12">
        <v>2</v>
      </c>
      <c r="D45" s="8">
        <v>1.39</v>
      </c>
      <c r="E45" s="12">
        <v>1</v>
      </c>
      <c r="F45" s="8">
        <v>1.32</v>
      </c>
      <c r="G45" s="12">
        <v>0</v>
      </c>
      <c r="H45" s="8">
        <v>0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288</v>
      </c>
      <c r="C49" s="12">
        <v>10</v>
      </c>
      <c r="D49" s="8">
        <v>6.94</v>
      </c>
      <c r="E49" s="12">
        <v>4</v>
      </c>
      <c r="F49" s="8">
        <v>5.26</v>
      </c>
      <c r="G49" s="12">
        <v>6</v>
      </c>
      <c r="H49" s="8">
        <v>10.53</v>
      </c>
      <c r="I49" s="12">
        <v>0</v>
      </c>
    </row>
    <row r="50" spans="2:9" ht="15" customHeight="1" x14ac:dyDescent="0.2">
      <c r="B50" t="s">
        <v>303</v>
      </c>
      <c r="C50" s="12">
        <v>7</v>
      </c>
      <c r="D50" s="8">
        <v>4.8600000000000003</v>
      </c>
      <c r="E50" s="12">
        <v>7</v>
      </c>
      <c r="F50" s="8">
        <v>9.2100000000000009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330</v>
      </c>
      <c r="C51" s="12">
        <v>6</v>
      </c>
      <c r="D51" s="8">
        <v>4.17</v>
      </c>
      <c r="E51" s="12">
        <v>0</v>
      </c>
      <c r="F51" s="8">
        <v>0</v>
      </c>
      <c r="G51" s="12">
        <v>6</v>
      </c>
      <c r="H51" s="8">
        <v>10.53</v>
      </c>
      <c r="I51" s="12">
        <v>0</v>
      </c>
    </row>
    <row r="52" spans="2:9" ht="15" customHeight="1" x14ac:dyDescent="0.2">
      <c r="B52" t="s">
        <v>304</v>
      </c>
      <c r="C52" s="12">
        <v>6</v>
      </c>
      <c r="D52" s="8">
        <v>4.17</v>
      </c>
      <c r="E52" s="12">
        <v>6</v>
      </c>
      <c r="F52" s="8">
        <v>7.89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334</v>
      </c>
      <c r="C53" s="12">
        <v>5</v>
      </c>
      <c r="D53" s="8">
        <v>3.47</v>
      </c>
      <c r="E53" s="12">
        <v>4</v>
      </c>
      <c r="F53" s="8">
        <v>5.26</v>
      </c>
      <c r="G53" s="12">
        <v>1</v>
      </c>
      <c r="H53" s="8">
        <v>1.75</v>
      </c>
      <c r="I53" s="12">
        <v>0</v>
      </c>
    </row>
    <row r="54" spans="2:9" ht="15" customHeight="1" x14ac:dyDescent="0.2">
      <c r="B54" t="s">
        <v>307</v>
      </c>
      <c r="C54" s="12">
        <v>5</v>
      </c>
      <c r="D54" s="8">
        <v>3.47</v>
      </c>
      <c r="E54" s="12">
        <v>3</v>
      </c>
      <c r="F54" s="8">
        <v>3.95</v>
      </c>
      <c r="G54" s="12">
        <v>2</v>
      </c>
      <c r="H54" s="8">
        <v>3.51</v>
      </c>
      <c r="I54" s="12">
        <v>0</v>
      </c>
    </row>
    <row r="55" spans="2:9" ht="15" customHeight="1" x14ac:dyDescent="0.2">
      <c r="B55" t="s">
        <v>354</v>
      </c>
      <c r="C55" s="12">
        <v>4</v>
      </c>
      <c r="D55" s="8">
        <v>2.78</v>
      </c>
      <c r="E55" s="12">
        <v>3</v>
      </c>
      <c r="F55" s="8">
        <v>3.95</v>
      </c>
      <c r="G55" s="12">
        <v>1</v>
      </c>
      <c r="H55" s="8">
        <v>1.75</v>
      </c>
      <c r="I55" s="12">
        <v>0</v>
      </c>
    </row>
    <row r="56" spans="2:9" ht="15" customHeight="1" x14ac:dyDescent="0.2">
      <c r="B56" t="s">
        <v>293</v>
      </c>
      <c r="C56" s="12">
        <v>4</v>
      </c>
      <c r="D56" s="8">
        <v>2.78</v>
      </c>
      <c r="E56" s="12">
        <v>2</v>
      </c>
      <c r="F56" s="8">
        <v>2.63</v>
      </c>
      <c r="G56" s="12">
        <v>2</v>
      </c>
      <c r="H56" s="8">
        <v>3.51</v>
      </c>
      <c r="I56" s="12">
        <v>0</v>
      </c>
    </row>
    <row r="57" spans="2:9" ht="15" customHeight="1" x14ac:dyDescent="0.2">
      <c r="B57" t="s">
        <v>372</v>
      </c>
      <c r="C57" s="12">
        <v>4</v>
      </c>
      <c r="D57" s="8">
        <v>2.78</v>
      </c>
      <c r="E57" s="12">
        <v>0</v>
      </c>
      <c r="F57" s="8">
        <v>0</v>
      </c>
      <c r="G57" s="12">
        <v>4</v>
      </c>
      <c r="H57" s="8">
        <v>7.02</v>
      </c>
      <c r="I57" s="12">
        <v>0</v>
      </c>
    </row>
    <row r="58" spans="2:9" ht="15" customHeight="1" x14ac:dyDescent="0.2">
      <c r="B58" t="s">
        <v>295</v>
      </c>
      <c r="C58" s="12">
        <v>4</v>
      </c>
      <c r="D58" s="8">
        <v>2.78</v>
      </c>
      <c r="E58" s="12">
        <v>4</v>
      </c>
      <c r="F58" s="8">
        <v>5.26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422</v>
      </c>
      <c r="C59" s="12">
        <v>4</v>
      </c>
      <c r="D59" s="8">
        <v>2.78</v>
      </c>
      <c r="E59" s="12">
        <v>4</v>
      </c>
      <c r="F59" s="8">
        <v>5.26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299</v>
      </c>
      <c r="C60" s="12">
        <v>4</v>
      </c>
      <c r="D60" s="8">
        <v>2.78</v>
      </c>
      <c r="E60" s="12">
        <v>4</v>
      </c>
      <c r="F60" s="8">
        <v>5.26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341</v>
      </c>
      <c r="C61" s="12">
        <v>4</v>
      </c>
      <c r="D61" s="8">
        <v>2.78</v>
      </c>
      <c r="E61" s="12">
        <v>0</v>
      </c>
      <c r="F61" s="8">
        <v>0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309</v>
      </c>
      <c r="C62" s="12">
        <v>3</v>
      </c>
      <c r="D62" s="8">
        <v>2.08</v>
      </c>
      <c r="E62" s="12">
        <v>2</v>
      </c>
      <c r="F62" s="8">
        <v>2.63</v>
      </c>
      <c r="G62" s="12">
        <v>1</v>
      </c>
      <c r="H62" s="8">
        <v>1.75</v>
      </c>
      <c r="I62" s="12">
        <v>0</v>
      </c>
    </row>
    <row r="63" spans="2:9" ht="15" customHeight="1" x14ac:dyDescent="0.2">
      <c r="B63" t="s">
        <v>337</v>
      </c>
      <c r="C63" s="12">
        <v>3</v>
      </c>
      <c r="D63" s="8">
        <v>2.08</v>
      </c>
      <c r="E63" s="12">
        <v>2</v>
      </c>
      <c r="F63" s="8">
        <v>2.63</v>
      </c>
      <c r="G63" s="12">
        <v>1</v>
      </c>
      <c r="H63" s="8">
        <v>1.75</v>
      </c>
      <c r="I63" s="12">
        <v>0</v>
      </c>
    </row>
    <row r="64" spans="2:9" ht="15" customHeight="1" x14ac:dyDescent="0.2">
      <c r="B64" t="s">
        <v>297</v>
      </c>
      <c r="C64" s="12">
        <v>3</v>
      </c>
      <c r="D64" s="8">
        <v>2.08</v>
      </c>
      <c r="E64" s="12">
        <v>2</v>
      </c>
      <c r="F64" s="8">
        <v>2.63</v>
      </c>
      <c r="G64" s="12">
        <v>1</v>
      </c>
      <c r="H64" s="8">
        <v>1.75</v>
      </c>
      <c r="I64" s="12">
        <v>0</v>
      </c>
    </row>
    <row r="65" spans="2:9" ht="15" customHeight="1" x14ac:dyDescent="0.2">
      <c r="B65" t="s">
        <v>340</v>
      </c>
      <c r="C65" s="12">
        <v>3</v>
      </c>
      <c r="D65" s="8">
        <v>2.08</v>
      </c>
      <c r="E65" s="12">
        <v>1</v>
      </c>
      <c r="F65" s="8">
        <v>1.32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312</v>
      </c>
      <c r="C66" s="12">
        <v>3</v>
      </c>
      <c r="D66" s="8">
        <v>2.08</v>
      </c>
      <c r="E66" s="12">
        <v>2</v>
      </c>
      <c r="F66" s="8">
        <v>2.63</v>
      </c>
      <c r="G66" s="12">
        <v>1</v>
      </c>
      <c r="H66" s="8">
        <v>1.75</v>
      </c>
      <c r="I66" s="12">
        <v>0</v>
      </c>
    </row>
    <row r="67" spans="2:9" ht="15" customHeight="1" x14ac:dyDescent="0.2">
      <c r="B67" t="s">
        <v>427</v>
      </c>
      <c r="C67" s="12">
        <v>2</v>
      </c>
      <c r="D67" s="8">
        <v>1.39</v>
      </c>
      <c r="E67" s="12">
        <v>0</v>
      </c>
      <c r="F67" s="8">
        <v>0</v>
      </c>
      <c r="G67" s="12">
        <v>2</v>
      </c>
      <c r="H67" s="8">
        <v>3.51</v>
      </c>
      <c r="I67" s="12">
        <v>0</v>
      </c>
    </row>
    <row r="68" spans="2:9" ht="15" customHeight="1" x14ac:dyDescent="0.2">
      <c r="B68" t="s">
        <v>375</v>
      </c>
      <c r="C68" s="12">
        <v>2</v>
      </c>
      <c r="D68" s="8">
        <v>1.39</v>
      </c>
      <c r="E68" s="12">
        <v>0</v>
      </c>
      <c r="F68" s="8">
        <v>0</v>
      </c>
      <c r="G68" s="12">
        <v>2</v>
      </c>
      <c r="H68" s="8">
        <v>3.51</v>
      </c>
      <c r="I68" s="12">
        <v>0</v>
      </c>
    </row>
    <row r="69" spans="2:9" ht="15" customHeight="1" x14ac:dyDescent="0.2">
      <c r="B69" t="s">
        <v>333</v>
      </c>
      <c r="C69" s="12">
        <v>2</v>
      </c>
      <c r="D69" s="8">
        <v>1.39</v>
      </c>
      <c r="E69" s="12">
        <v>2</v>
      </c>
      <c r="F69" s="8">
        <v>2.63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291</v>
      </c>
      <c r="C70" s="12">
        <v>2</v>
      </c>
      <c r="D70" s="8">
        <v>1.39</v>
      </c>
      <c r="E70" s="12">
        <v>2</v>
      </c>
      <c r="F70" s="8">
        <v>2.63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432</v>
      </c>
      <c r="C71" s="12">
        <v>2</v>
      </c>
      <c r="D71" s="8">
        <v>1.39</v>
      </c>
      <c r="E71" s="12">
        <v>1</v>
      </c>
      <c r="F71" s="8">
        <v>1.32</v>
      </c>
      <c r="G71" s="12">
        <v>1</v>
      </c>
      <c r="H71" s="8">
        <v>1.75</v>
      </c>
      <c r="I71" s="12">
        <v>0</v>
      </c>
    </row>
    <row r="72" spans="2:9" ht="15" customHeight="1" x14ac:dyDescent="0.2">
      <c r="B72" t="s">
        <v>326</v>
      </c>
      <c r="C72" s="12">
        <v>2</v>
      </c>
      <c r="D72" s="8">
        <v>1.39</v>
      </c>
      <c r="E72" s="12">
        <v>1</v>
      </c>
      <c r="F72" s="8">
        <v>1.32</v>
      </c>
      <c r="G72" s="12">
        <v>1</v>
      </c>
      <c r="H72" s="8">
        <v>1.75</v>
      </c>
      <c r="I72" s="12">
        <v>0</v>
      </c>
    </row>
    <row r="73" spans="2:9" ht="15" customHeight="1" x14ac:dyDescent="0.2">
      <c r="B73" t="s">
        <v>336</v>
      </c>
      <c r="C73" s="12">
        <v>2</v>
      </c>
      <c r="D73" s="8">
        <v>1.39</v>
      </c>
      <c r="E73" s="12">
        <v>1</v>
      </c>
      <c r="F73" s="8">
        <v>1.32</v>
      </c>
      <c r="G73" s="12">
        <v>1</v>
      </c>
      <c r="H73" s="8">
        <v>1.75</v>
      </c>
      <c r="I73" s="12">
        <v>0</v>
      </c>
    </row>
    <row r="74" spans="2:9" ht="15" customHeight="1" x14ac:dyDescent="0.2">
      <c r="B74" t="s">
        <v>335</v>
      </c>
      <c r="C74" s="12">
        <v>2</v>
      </c>
      <c r="D74" s="8">
        <v>1.39</v>
      </c>
      <c r="E74" s="12">
        <v>0</v>
      </c>
      <c r="F74" s="8">
        <v>0</v>
      </c>
      <c r="G74" s="12">
        <v>2</v>
      </c>
      <c r="H74" s="8">
        <v>3.51</v>
      </c>
      <c r="I74" s="12">
        <v>0</v>
      </c>
    </row>
    <row r="75" spans="2:9" ht="15" customHeight="1" x14ac:dyDescent="0.2">
      <c r="B75" t="s">
        <v>294</v>
      </c>
      <c r="C75" s="12">
        <v>2</v>
      </c>
      <c r="D75" s="8">
        <v>1.39</v>
      </c>
      <c r="E75" s="12">
        <v>0</v>
      </c>
      <c r="F75" s="8">
        <v>0</v>
      </c>
      <c r="G75" s="12">
        <v>2</v>
      </c>
      <c r="H75" s="8">
        <v>3.51</v>
      </c>
      <c r="I75" s="12">
        <v>0</v>
      </c>
    </row>
    <row r="76" spans="2:9" ht="15" customHeight="1" x14ac:dyDescent="0.2">
      <c r="B76" t="s">
        <v>415</v>
      </c>
      <c r="C76" s="12">
        <v>2</v>
      </c>
      <c r="D76" s="8">
        <v>1.39</v>
      </c>
      <c r="E76" s="12">
        <v>0</v>
      </c>
      <c r="F76" s="8">
        <v>0</v>
      </c>
      <c r="G76" s="12">
        <v>2</v>
      </c>
      <c r="H76" s="8">
        <v>3.51</v>
      </c>
      <c r="I76" s="12">
        <v>0</v>
      </c>
    </row>
    <row r="77" spans="2:9" ht="15" customHeight="1" x14ac:dyDescent="0.2">
      <c r="B77" t="s">
        <v>418</v>
      </c>
      <c r="C77" s="12">
        <v>2</v>
      </c>
      <c r="D77" s="8">
        <v>1.39</v>
      </c>
      <c r="E77" s="12">
        <v>1</v>
      </c>
      <c r="F77" s="8">
        <v>1.32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349</v>
      </c>
      <c r="C78" s="12">
        <v>2</v>
      </c>
      <c r="D78" s="8">
        <v>1.39</v>
      </c>
      <c r="E78" s="12">
        <v>1</v>
      </c>
      <c r="F78" s="8">
        <v>1.32</v>
      </c>
      <c r="G78" s="12">
        <v>1</v>
      </c>
      <c r="H78" s="8">
        <v>1.75</v>
      </c>
      <c r="I78" s="12">
        <v>0</v>
      </c>
    </row>
    <row r="79" spans="2:9" ht="15" customHeight="1" x14ac:dyDescent="0.2">
      <c r="B79" t="s">
        <v>301</v>
      </c>
      <c r="C79" s="12">
        <v>2</v>
      </c>
      <c r="D79" s="8">
        <v>1.39</v>
      </c>
      <c r="E79" s="12">
        <v>2</v>
      </c>
      <c r="F79" s="8">
        <v>2.63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325</v>
      </c>
      <c r="C80" s="12">
        <v>2</v>
      </c>
      <c r="D80" s="8">
        <v>1.39</v>
      </c>
      <c r="E80" s="12">
        <v>0</v>
      </c>
      <c r="F80" s="8">
        <v>0</v>
      </c>
      <c r="G80" s="12">
        <v>2</v>
      </c>
      <c r="H80" s="8">
        <v>3.51</v>
      </c>
      <c r="I80" s="12">
        <v>0</v>
      </c>
    </row>
    <row r="81" spans="2:9" ht="15" customHeight="1" x14ac:dyDescent="0.2">
      <c r="B81" t="s">
        <v>369</v>
      </c>
      <c r="C81" s="12">
        <v>2</v>
      </c>
      <c r="D81" s="8">
        <v>1.39</v>
      </c>
      <c r="E81" s="12">
        <v>0</v>
      </c>
      <c r="F81" s="8">
        <v>0</v>
      </c>
      <c r="G81" s="12">
        <v>2</v>
      </c>
      <c r="H81" s="8">
        <v>3.51</v>
      </c>
      <c r="I81" s="12">
        <v>0</v>
      </c>
    </row>
    <row r="83" spans="2:9" ht="15" customHeight="1" x14ac:dyDescent="0.2">
      <c r="B8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0834-5A2E-4ACB-A96E-739F294A2FED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0.74</v>
      </c>
      <c r="E5" s="12">
        <v>0</v>
      </c>
      <c r="F5" s="8">
        <v>0</v>
      </c>
      <c r="G5" s="12">
        <v>1</v>
      </c>
      <c r="H5" s="8">
        <v>1.59</v>
      </c>
      <c r="I5" s="12">
        <v>0</v>
      </c>
    </row>
    <row r="6" spans="2:9" ht="15" customHeight="1" x14ac:dyDescent="0.2">
      <c r="B6" t="s">
        <v>191</v>
      </c>
      <c r="C6" s="12">
        <v>28</v>
      </c>
      <c r="D6" s="8">
        <v>20.59</v>
      </c>
      <c r="E6" s="12">
        <v>7</v>
      </c>
      <c r="F6" s="8">
        <v>10.29</v>
      </c>
      <c r="G6" s="12">
        <v>21</v>
      </c>
      <c r="H6" s="8">
        <v>33.33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4.41</v>
      </c>
      <c r="E7" s="12">
        <v>2</v>
      </c>
      <c r="F7" s="8">
        <v>2.94</v>
      </c>
      <c r="G7" s="12">
        <v>4</v>
      </c>
      <c r="H7" s="8">
        <v>6.35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0.74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0.74</v>
      </c>
      <c r="E10" s="12">
        <v>0</v>
      </c>
      <c r="F10" s="8">
        <v>0</v>
      </c>
      <c r="G10" s="12">
        <v>1</v>
      </c>
      <c r="H10" s="8">
        <v>1.59</v>
      </c>
      <c r="I10" s="12">
        <v>0</v>
      </c>
    </row>
    <row r="11" spans="2:9" ht="15" customHeight="1" x14ac:dyDescent="0.2">
      <c r="B11" t="s">
        <v>196</v>
      </c>
      <c r="C11" s="12">
        <v>33</v>
      </c>
      <c r="D11" s="8">
        <v>24.26</v>
      </c>
      <c r="E11" s="12">
        <v>14</v>
      </c>
      <c r="F11" s="8">
        <v>20.59</v>
      </c>
      <c r="G11" s="12">
        <v>19</v>
      </c>
      <c r="H11" s="8">
        <v>30.16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9</v>
      </c>
      <c r="D13" s="8">
        <v>6.62</v>
      </c>
      <c r="E13" s="12">
        <v>5</v>
      </c>
      <c r="F13" s="8">
        <v>7.35</v>
      </c>
      <c r="G13" s="12">
        <v>4</v>
      </c>
      <c r="H13" s="8">
        <v>6.35</v>
      </c>
      <c r="I13" s="12">
        <v>0</v>
      </c>
    </row>
    <row r="14" spans="2:9" ht="15" customHeight="1" x14ac:dyDescent="0.2">
      <c r="B14" t="s">
        <v>199</v>
      </c>
      <c r="C14" s="12">
        <v>8</v>
      </c>
      <c r="D14" s="8">
        <v>5.88</v>
      </c>
      <c r="E14" s="12">
        <v>5</v>
      </c>
      <c r="F14" s="8">
        <v>7.35</v>
      </c>
      <c r="G14" s="12">
        <v>3</v>
      </c>
      <c r="H14" s="8">
        <v>4.76</v>
      </c>
      <c r="I14" s="12">
        <v>0</v>
      </c>
    </row>
    <row r="15" spans="2:9" ht="15" customHeight="1" x14ac:dyDescent="0.2">
      <c r="B15" t="s">
        <v>200</v>
      </c>
      <c r="C15" s="12">
        <v>17</v>
      </c>
      <c r="D15" s="8">
        <v>12.5</v>
      </c>
      <c r="E15" s="12">
        <v>14</v>
      </c>
      <c r="F15" s="8">
        <v>20.59</v>
      </c>
      <c r="G15" s="12">
        <v>3</v>
      </c>
      <c r="H15" s="8">
        <v>4.76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10.29</v>
      </c>
      <c r="E16" s="12">
        <v>11</v>
      </c>
      <c r="F16" s="8">
        <v>16.18</v>
      </c>
      <c r="G16" s="12">
        <v>2</v>
      </c>
      <c r="H16" s="8">
        <v>3.17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3.68</v>
      </c>
      <c r="E17" s="12">
        <v>3</v>
      </c>
      <c r="F17" s="8">
        <v>4.41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4.41</v>
      </c>
      <c r="E18" s="12">
        <v>5</v>
      </c>
      <c r="F18" s="8">
        <v>7.35</v>
      </c>
      <c r="G18" s="12">
        <v>1</v>
      </c>
      <c r="H18" s="8">
        <v>1.59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5.15</v>
      </c>
      <c r="E19" s="12">
        <v>2</v>
      </c>
      <c r="F19" s="8">
        <v>2.94</v>
      </c>
      <c r="G19" s="12">
        <v>4</v>
      </c>
      <c r="H19" s="8">
        <v>6.35</v>
      </c>
      <c r="I19" s="12">
        <v>1</v>
      </c>
    </row>
    <row r="20" spans="2:9" ht="15" customHeight="1" x14ac:dyDescent="0.2">
      <c r="B20" s="9" t="s">
        <v>529</v>
      </c>
      <c r="C20" s="12">
        <f>SUM(LTBL_01604[総数／事業所数])</f>
        <v>136</v>
      </c>
      <c r="E20" s="12">
        <f>SUBTOTAL(109,LTBL_01604[個人／事業所数])</f>
        <v>68</v>
      </c>
      <c r="G20" s="12">
        <f>SUBTOTAL(109,LTBL_01604[法人／事業所数])</f>
        <v>63</v>
      </c>
      <c r="I20" s="12">
        <f>SUBTOTAL(109,LTBL_01604[法人以外の団体／事業所数])</f>
        <v>1</v>
      </c>
    </row>
    <row r="21" spans="2:9" ht="15" customHeight="1" x14ac:dyDescent="0.2">
      <c r="E21" s="11">
        <f>LTBL_01604[[#Totals],[個人／事業所数]]/LTBL_01604[[#Totals],[総数／事業所数]]</f>
        <v>0.5</v>
      </c>
      <c r="G21" s="11">
        <f>LTBL_01604[[#Totals],[法人／事業所数]]/LTBL_01604[[#Totals],[総数／事業所数]]</f>
        <v>0.46323529411764708</v>
      </c>
      <c r="I21" s="11">
        <f>LTBL_01604[[#Totals],[法人以外の団体／事業所数]]/LTBL_01604[[#Totals],[総数／事業所数]]</f>
        <v>7.3529411764705881E-3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213</v>
      </c>
      <c r="C24" s="12">
        <v>14</v>
      </c>
      <c r="D24" s="8">
        <v>10.29</v>
      </c>
      <c r="E24" s="12">
        <v>2</v>
      </c>
      <c r="F24" s="8">
        <v>2.94</v>
      </c>
      <c r="G24" s="12">
        <v>12</v>
      </c>
      <c r="H24" s="8">
        <v>19.05</v>
      </c>
      <c r="I24" s="12">
        <v>0</v>
      </c>
    </row>
    <row r="25" spans="2:9" ht="15" customHeight="1" x14ac:dyDescent="0.2">
      <c r="B25" t="s">
        <v>227</v>
      </c>
      <c r="C25" s="12">
        <v>14</v>
      </c>
      <c r="D25" s="8">
        <v>10.29</v>
      </c>
      <c r="E25" s="12">
        <v>12</v>
      </c>
      <c r="F25" s="8">
        <v>17.649999999999999</v>
      </c>
      <c r="G25" s="12">
        <v>2</v>
      </c>
      <c r="H25" s="8">
        <v>3.17</v>
      </c>
      <c r="I25" s="12">
        <v>0</v>
      </c>
    </row>
    <row r="26" spans="2:9" ht="15" customHeight="1" x14ac:dyDescent="0.2">
      <c r="B26" t="s">
        <v>228</v>
      </c>
      <c r="C26" s="12">
        <v>12</v>
      </c>
      <c r="D26" s="8">
        <v>8.82</v>
      </c>
      <c r="E26" s="12">
        <v>11</v>
      </c>
      <c r="F26" s="8">
        <v>16.18</v>
      </c>
      <c r="G26" s="12">
        <v>1</v>
      </c>
      <c r="H26" s="8">
        <v>1.59</v>
      </c>
      <c r="I26" s="12">
        <v>0</v>
      </c>
    </row>
    <row r="27" spans="2:9" ht="15" customHeight="1" x14ac:dyDescent="0.2">
      <c r="B27" t="s">
        <v>223</v>
      </c>
      <c r="C27" s="12">
        <v>10</v>
      </c>
      <c r="D27" s="8">
        <v>7.35</v>
      </c>
      <c r="E27" s="12">
        <v>4</v>
      </c>
      <c r="F27" s="8">
        <v>5.88</v>
      </c>
      <c r="G27" s="12">
        <v>6</v>
      </c>
      <c r="H27" s="8">
        <v>9.52</v>
      </c>
      <c r="I27" s="12">
        <v>0</v>
      </c>
    </row>
    <row r="28" spans="2:9" ht="15" customHeight="1" x14ac:dyDescent="0.2">
      <c r="B28" t="s">
        <v>221</v>
      </c>
      <c r="C28" s="12">
        <v>8</v>
      </c>
      <c r="D28" s="8">
        <v>5.88</v>
      </c>
      <c r="E28" s="12">
        <v>6</v>
      </c>
      <c r="F28" s="8">
        <v>8.82</v>
      </c>
      <c r="G28" s="12">
        <v>2</v>
      </c>
      <c r="H28" s="8">
        <v>3.17</v>
      </c>
      <c r="I28" s="12">
        <v>0</v>
      </c>
    </row>
    <row r="29" spans="2:9" ht="15" customHeight="1" x14ac:dyDescent="0.2">
      <c r="B29" t="s">
        <v>224</v>
      </c>
      <c r="C29" s="12">
        <v>8</v>
      </c>
      <c r="D29" s="8">
        <v>5.88</v>
      </c>
      <c r="E29" s="12">
        <v>5</v>
      </c>
      <c r="F29" s="8">
        <v>7.35</v>
      </c>
      <c r="G29" s="12">
        <v>3</v>
      </c>
      <c r="H29" s="8">
        <v>4.76</v>
      </c>
      <c r="I29" s="12">
        <v>0</v>
      </c>
    </row>
    <row r="30" spans="2:9" ht="15" customHeight="1" x14ac:dyDescent="0.2">
      <c r="B30" t="s">
        <v>214</v>
      </c>
      <c r="C30" s="12">
        <v>7</v>
      </c>
      <c r="D30" s="8">
        <v>5.15</v>
      </c>
      <c r="E30" s="12">
        <v>4</v>
      </c>
      <c r="F30" s="8">
        <v>5.88</v>
      </c>
      <c r="G30" s="12">
        <v>3</v>
      </c>
      <c r="H30" s="8">
        <v>4.76</v>
      </c>
      <c r="I30" s="12">
        <v>0</v>
      </c>
    </row>
    <row r="31" spans="2:9" ht="15" customHeight="1" x14ac:dyDescent="0.2">
      <c r="B31" t="s">
        <v>215</v>
      </c>
      <c r="C31" s="12">
        <v>7</v>
      </c>
      <c r="D31" s="8">
        <v>5.15</v>
      </c>
      <c r="E31" s="12">
        <v>1</v>
      </c>
      <c r="F31" s="8">
        <v>1.47</v>
      </c>
      <c r="G31" s="12">
        <v>6</v>
      </c>
      <c r="H31" s="8">
        <v>9.52</v>
      </c>
      <c r="I31" s="12">
        <v>0</v>
      </c>
    </row>
    <row r="32" spans="2:9" ht="15" customHeight="1" x14ac:dyDescent="0.2">
      <c r="B32" t="s">
        <v>226</v>
      </c>
      <c r="C32" s="12">
        <v>7</v>
      </c>
      <c r="D32" s="8">
        <v>5.15</v>
      </c>
      <c r="E32" s="12">
        <v>5</v>
      </c>
      <c r="F32" s="8">
        <v>7.35</v>
      </c>
      <c r="G32" s="12">
        <v>2</v>
      </c>
      <c r="H32" s="8">
        <v>3.17</v>
      </c>
      <c r="I32" s="12">
        <v>0</v>
      </c>
    </row>
    <row r="33" spans="2:9" ht="15" customHeight="1" x14ac:dyDescent="0.2">
      <c r="B33" t="s">
        <v>230</v>
      </c>
      <c r="C33" s="12">
        <v>5</v>
      </c>
      <c r="D33" s="8">
        <v>3.68</v>
      </c>
      <c r="E33" s="12">
        <v>3</v>
      </c>
      <c r="F33" s="8">
        <v>4.41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231</v>
      </c>
      <c r="C34" s="12">
        <v>5</v>
      </c>
      <c r="D34" s="8">
        <v>3.68</v>
      </c>
      <c r="E34" s="12">
        <v>5</v>
      </c>
      <c r="F34" s="8">
        <v>7.35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216</v>
      </c>
      <c r="C35" s="12">
        <v>4</v>
      </c>
      <c r="D35" s="8">
        <v>2.94</v>
      </c>
      <c r="E35" s="12">
        <v>0</v>
      </c>
      <c r="F35" s="8">
        <v>0</v>
      </c>
      <c r="G35" s="12">
        <v>4</v>
      </c>
      <c r="H35" s="8">
        <v>6.35</v>
      </c>
      <c r="I35" s="12">
        <v>0</v>
      </c>
    </row>
    <row r="36" spans="2:9" ht="15" customHeight="1" x14ac:dyDescent="0.2">
      <c r="B36" t="s">
        <v>222</v>
      </c>
      <c r="C36" s="12">
        <v>4</v>
      </c>
      <c r="D36" s="8">
        <v>2.94</v>
      </c>
      <c r="E36" s="12">
        <v>3</v>
      </c>
      <c r="F36" s="8">
        <v>4.41</v>
      </c>
      <c r="G36" s="12">
        <v>1</v>
      </c>
      <c r="H36" s="8">
        <v>1.59</v>
      </c>
      <c r="I36" s="12">
        <v>0</v>
      </c>
    </row>
    <row r="37" spans="2:9" ht="15" customHeight="1" x14ac:dyDescent="0.2">
      <c r="B37" t="s">
        <v>217</v>
      </c>
      <c r="C37" s="12">
        <v>3</v>
      </c>
      <c r="D37" s="8">
        <v>2.21</v>
      </c>
      <c r="E37" s="12">
        <v>0</v>
      </c>
      <c r="F37" s="8">
        <v>0</v>
      </c>
      <c r="G37" s="12">
        <v>3</v>
      </c>
      <c r="H37" s="8">
        <v>4.76</v>
      </c>
      <c r="I37" s="12">
        <v>0</v>
      </c>
    </row>
    <row r="38" spans="2:9" ht="15" customHeight="1" x14ac:dyDescent="0.2">
      <c r="B38" t="s">
        <v>254</v>
      </c>
      <c r="C38" s="12">
        <v>2</v>
      </c>
      <c r="D38" s="8">
        <v>1.47</v>
      </c>
      <c r="E38" s="12">
        <v>0</v>
      </c>
      <c r="F38" s="8">
        <v>0</v>
      </c>
      <c r="G38" s="12">
        <v>2</v>
      </c>
      <c r="H38" s="8">
        <v>3.17</v>
      </c>
      <c r="I38" s="12">
        <v>0</v>
      </c>
    </row>
    <row r="39" spans="2:9" ht="15" customHeight="1" x14ac:dyDescent="0.2">
      <c r="B39" t="s">
        <v>243</v>
      </c>
      <c r="C39" s="12">
        <v>2</v>
      </c>
      <c r="D39" s="8">
        <v>1.47</v>
      </c>
      <c r="E39" s="12">
        <v>2</v>
      </c>
      <c r="F39" s="8">
        <v>2.94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247</v>
      </c>
      <c r="C40" s="12">
        <v>2</v>
      </c>
      <c r="D40" s="8">
        <v>1.47</v>
      </c>
      <c r="E40" s="12">
        <v>0</v>
      </c>
      <c r="F40" s="8">
        <v>0</v>
      </c>
      <c r="G40" s="12">
        <v>1</v>
      </c>
      <c r="H40" s="8">
        <v>1.59</v>
      </c>
      <c r="I40" s="12">
        <v>0</v>
      </c>
    </row>
    <row r="41" spans="2:9" ht="15" customHeight="1" x14ac:dyDescent="0.2">
      <c r="B41" t="s">
        <v>240</v>
      </c>
      <c r="C41" s="12">
        <v>2</v>
      </c>
      <c r="D41" s="8">
        <v>1.47</v>
      </c>
      <c r="E41" s="12">
        <v>1</v>
      </c>
      <c r="F41" s="8">
        <v>1.47</v>
      </c>
      <c r="G41" s="12">
        <v>1</v>
      </c>
      <c r="H41" s="8">
        <v>1.59</v>
      </c>
      <c r="I41" s="12">
        <v>0</v>
      </c>
    </row>
    <row r="42" spans="2:9" ht="15" customHeight="1" x14ac:dyDescent="0.2">
      <c r="B42" t="s">
        <v>242</v>
      </c>
      <c r="C42" s="12">
        <v>2</v>
      </c>
      <c r="D42" s="8">
        <v>1.47</v>
      </c>
      <c r="E42" s="12">
        <v>1</v>
      </c>
      <c r="F42" s="8">
        <v>1.47</v>
      </c>
      <c r="G42" s="12">
        <v>1</v>
      </c>
      <c r="H42" s="8">
        <v>1.59</v>
      </c>
      <c r="I42" s="12">
        <v>0</v>
      </c>
    </row>
    <row r="43" spans="2:9" ht="15" customHeight="1" x14ac:dyDescent="0.2">
      <c r="B43" t="s">
        <v>234</v>
      </c>
      <c r="C43" s="12">
        <v>2</v>
      </c>
      <c r="D43" s="8">
        <v>1.47</v>
      </c>
      <c r="E43" s="12">
        <v>0</v>
      </c>
      <c r="F43" s="8">
        <v>0</v>
      </c>
      <c r="G43" s="12">
        <v>2</v>
      </c>
      <c r="H43" s="8">
        <v>3.17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7</v>
      </c>
      <c r="D47" s="8">
        <v>5.15</v>
      </c>
      <c r="E47" s="12">
        <v>5</v>
      </c>
      <c r="F47" s="8">
        <v>7.35</v>
      </c>
      <c r="G47" s="12">
        <v>2</v>
      </c>
      <c r="H47" s="8">
        <v>3.17</v>
      </c>
      <c r="I47" s="12">
        <v>0</v>
      </c>
    </row>
    <row r="48" spans="2:9" ht="15" customHeight="1" x14ac:dyDescent="0.2">
      <c r="B48" t="s">
        <v>482</v>
      </c>
      <c r="C48" s="12">
        <v>6</v>
      </c>
      <c r="D48" s="8">
        <v>4.41</v>
      </c>
      <c r="E48" s="12">
        <v>4</v>
      </c>
      <c r="F48" s="8">
        <v>5.88</v>
      </c>
      <c r="G48" s="12">
        <v>2</v>
      </c>
      <c r="H48" s="8">
        <v>3.17</v>
      </c>
      <c r="I48" s="12">
        <v>0</v>
      </c>
    </row>
    <row r="49" spans="2:9" ht="15" customHeight="1" x14ac:dyDescent="0.2">
      <c r="B49" t="s">
        <v>304</v>
      </c>
      <c r="C49" s="12">
        <v>6</v>
      </c>
      <c r="D49" s="8">
        <v>4.41</v>
      </c>
      <c r="E49" s="12">
        <v>6</v>
      </c>
      <c r="F49" s="8">
        <v>8.82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288</v>
      </c>
      <c r="C50" s="12">
        <v>5</v>
      </c>
      <c r="D50" s="8">
        <v>3.68</v>
      </c>
      <c r="E50" s="12">
        <v>1</v>
      </c>
      <c r="F50" s="8">
        <v>1.47</v>
      </c>
      <c r="G50" s="12">
        <v>4</v>
      </c>
      <c r="H50" s="8">
        <v>6.35</v>
      </c>
      <c r="I50" s="12">
        <v>0</v>
      </c>
    </row>
    <row r="51" spans="2:9" ht="15" customHeight="1" x14ac:dyDescent="0.2">
      <c r="B51" t="s">
        <v>289</v>
      </c>
      <c r="C51" s="12">
        <v>4</v>
      </c>
      <c r="D51" s="8">
        <v>2.94</v>
      </c>
      <c r="E51" s="12">
        <v>0</v>
      </c>
      <c r="F51" s="8">
        <v>0</v>
      </c>
      <c r="G51" s="12">
        <v>4</v>
      </c>
      <c r="H51" s="8">
        <v>6.35</v>
      </c>
      <c r="I51" s="12">
        <v>0</v>
      </c>
    </row>
    <row r="52" spans="2:9" ht="15" customHeight="1" x14ac:dyDescent="0.2">
      <c r="B52" t="s">
        <v>328</v>
      </c>
      <c r="C52" s="12">
        <v>4</v>
      </c>
      <c r="D52" s="8">
        <v>2.94</v>
      </c>
      <c r="E52" s="12">
        <v>1</v>
      </c>
      <c r="F52" s="8">
        <v>1.47</v>
      </c>
      <c r="G52" s="12">
        <v>3</v>
      </c>
      <c r="H52" s="8">
        <v>4.76</v>
      </c>
      <c r="I52" s="12">
        <v>0</v>
      </c>
    </row>
    <row r="53" spans="2:9" ht="15" customHeight="1" x14ac:dyDescent="0.2">
      <c r="B53" t="s">
        <v>333</v>
      </c>
      <c r="C53" s="12">
        <v>4</v>
      </c>
      <c r="D53" s="8">
        <v>2.94</v>
      </c>
      <c r="E53" s="12">
        <v>2</v>
      </c>
      <c r="F53" s="8">
        <v>2.94</v>
      </c>
      <c r="G53" s="12">
        <v>2</v>
      </c>
      <c r="H53" s="8">
        <v>3.17</v>
      </c>
      <c r="I53" s="12">
        <v>0</v>
      </c>
    </row>
    <row r="54" spans="2:9" ht="15" customHeight="1" x14ac:dyDescent="0.2">
      <c r="B54" t="s">
        <v>290</v>
      </c>
      <c r="C54" s="12">
        <v>4</v>
      </c>
      <c r="D54" s="8">
        <v>2.94</v>
      </c>
      <c r="E54" s="12">
        <v>1</v>
      </c>
      <c r="F54" s="8">
        <v>1.47</v>
      </c>
      <c r="G54" s="12">
        <v>3</v>
      </c>
      <c r="H54" s="8">
        <v>4.76</v>
      </c>
      <c r="I54" s="12">
        <v>0</v>
      </c>
    </row>
    <row r="55" spans="2:9" ht="15" customHeight="1" x14ac:dyDescent="0.2">
      <c r="B55" t="s">
        <v>330</v>
      </c>
      <c r="C55" s="12">
        <v>4</v>
      </c>
      <c r="D55" s="8">
        <v>2.94</v>
      </c>
      <c r="E55" s="12">
        <v>1</v>
      </c>
      <c r="F55" s="8">
        <v>1.47</v>
      </c>
      <c r="G55" s="12">
        <v>3</v>
      </c>
      <c r="H55" s="8">
        <v>4.76</v>
      </c>
      <c r="I55" s="12">
        <v>0</v>
      </c>
    </row>
    <row r="56" spans="2:9" ht="15" customHeight="1" x14ac:dyDescent="0.2">
      <c r="B56" t="s">
        <v>299</v>
      </c>
      <c r="C56" s="12">
        <v>4</v>
      </c>
      <c r="D56" s="8">
        <v>2.94</v>
      </c>
      <c r="E56" s="12">
        <v>4</v>
      </c>
      <c r="F56" s="8">
        <v>5.88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303</v>
      </c>
      <c r="C57" s="12">
        <v>4</v>
      </c>
      <c r="D57" s="8">
        <v>2.94</v>
      </c>
      <c r="E57" s="12">
        <v>4</v>
      </c>
      <c r="F57" s="8">
        <v>5.88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291</v>
      </c>
      <c r="C58" s="12">
        <v>3</v>
      </c>
      <c r="D58" s="8">
        <v>2.21</v>
      </c>
      <c r="E58" s="12">
        <v>0</v>
      </c>
      <c r="F58" s="8">
        <v>0</v>
      </c>
      <c r="G58" s="12">
        <v>3</v>
      </c>
      <c r="H58" s="8">
        <v>4.76</v>
      </c>
      <c r="I58" s="12">
        <v>0</v>
      </c>
    </row>
    <row r="59" spans="2:9" ht="15" customHeight="1" x14ac:dyDescent="0.2">
      <c r="B59" t="s">
        <v>324</v>
      </c>
      <c r="C59" s="12">
        <v>3</v>
      </c>
      <c r="D59" s="8">
        <v>2.21</v>
      </c>
      <c r="E59" s="12">
        <v>0</v>
      </c>
      <c r="F59" s="8">
        <v>0</v>
      </c>
      <c r="G59" s="12">
        <v>3</v>
      </c>
      <c r="H59" s="8">
        <v>4.76</v>
      </c>
      <c r="I59" s="12">
        <v>0</v>
      </c>
    </row>
    <row r="60" spans="2:9" ht="15" customHeight="1" x14ac:dyDescent="0.2">
      <c r="B60" t="s">
        <v>380</v>
      </c>
      <c r="C60" s="12">
        <v>3</v>
      </c>
      <c r="D60" s="8">
        <v>2.21</v>
      </c>
      <c r="E60" s="12">
        <v>3</v>
      </c>
      <c r="F60" s="8">
        <v>4.41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292</v>
      </c>
      <c r="C61" s="12">
        <v>3</v>
      </c>
      <c r="D61" s="8">
        <v>2.21</v>
      </c>
      <c r="E61" s="12">
        <v>1</v>
      </c>
      <c r="F61" s="8">
        <v>1.47</v>
      </c>
      <c r="G61" s="12">
        <v>2</v>
      </c>
      <c r="H61" s="8">
        <v>3.17</v>
      </c>
      <c r="I61" s="12">
        <v>0</v>
      </c>
    </row>
    <row r="62" spans="2:9" ht="15" customHeight="1" x14ac:dyDescent="0.2">
      <c r="B62" t="s">
        <v>335</v>
      </c>
      <c r="C62" s="12">
        <v>3</v>
      </c>
      <c r="D62" s="8">
        <v>2.21</v>
      </c>
      <c r="E62" s="12">
        <v>2</v>
      </c>
      <c r="F62" s="8">
        <v>2.94</v>
      </c>
      <c r="G62" s="12">
        <v>1</v>
      </c>
      <c r="H62" s="8">
        <v>1.59</v>
      </c>
      <c r="I62" s="12">
        <v>0</v>
      </c>
    </row>
    <row r="63" spans="2:9" ht="15" customHeight="1" x14ac:dyDescent="0.2">
      <c r="B63" t="s">
        <v>295</v>
      </c>
      <c r="C63" s="12">
        <v>3</v>
      </c>
      <c r="D63" s="8">
        <v>2.21</v>
      </c>
      <c r="E63" s="12">
        <v>2</v>
      </c>
      <c r="F63" s="8">
        <v>2.94</v>
      </c>
      <c r="G63" s="12">
        <v>1</v>
      </c>
      <c r="H63" s="8">
        <v>1.59</v>
      </c>
      <c r="I63" s="12">
        <v>0</v>
      </c>
    </row>
    <row r="64" spans="2:9" ht="15" customHeight="1" x14ac:dyDescent="0.2">
      <c r="B64" t="s">
        <v>300</v>
      </c>
      <c r="C64" s="12">
        <v>3</v>
      </c>
      <c r="D64" s="8">
        <v>2.21</v>
      </c>
      <c r="E64" s="12">
        <v>2</v>
      </c>
      <c r="F64" s="8">
        <v>2.94</v>
      </c>
      <c r="G64" s="12">
        <v>1</v>
      </c>
      <c r="H64" s="8">
        <v>1.59</v>
      </c>
      <c r="I64" s="12">
        <v>0</v>
      </c>
    </row>
    <row r="65" spans="2:9" ht="15" customHeight="1" x14ac:dyDescent="0.2">
      <c r="B65" t="s">
        <v>305</v>
      </c>
      <c r="C65" s="12">
        <v>3</v>
      </c>
      <c r="D65" s="8">
        <v>2.21</v>
      </c>
      <c r="E65" s="12">
        <v>3</v>
      </c>
      <c r="F65" s="8">
        <v>4.41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306</v>
      </c>
      <c r="C66" s="12">
        <v>3</v>
      </c>
      <c r="D66" s="8">
        <v>2.21</v>
      </c>
      <c r="E66" s="12">
        <v>3</v>
      </c>
      <c r="F66" s="8">
        <v>4.41</v>
      </c>
      <c r="G66" s="12">
        <v>0</v>
      </c>
      <c r="H66" s="8">
        <v>0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F1E6A-3075-416A-A47C-E938AA706A76}">
  <sheetPr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689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44</v>
      </c>
      <c r="D6" s="8">
        <v>10.5</v>
      </c>
      <c r="E6" s="12">
        <v>13</v>
      </c>
      <c r="F6" s="8">
        <v>5.88</v>
      </c>
      <c r="G6" s="12">
        <v>31</v>
      </c>
      <c r="H6" s="8">
        <v>17.510000000000002</v>
      </c>
      <c r="I6" s="12">
        <v>0</v>
      </c>
    </row>
    <row r="7" spans="2:9" ht="15" customHeight="1" x14ac:dyDescent="0.2">
      <c r="B7" t="s">
        <v>192</v>
      </c>
      <c r="C7" s="12">
        <v>24</v>
      </c>
      <c r="D7" s="8">
        <v>5.73</v>
      </c>
      <c r="E7" s="12">
        <v>9</v>
      </c>
      <c r="F7" s="8">
        <v>4.07</v>
      </c>
      <c r="G7" s="12">
        <v>15</v>
      </c>
      <c r="H7" s="8">
        <v>8.4700000000000006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0.24</v>
      </c>
      <c r="E8" s="12">
        <v>0</v>
      </c>
      <c r="F8" s="8">
        <v>0</v>
      </c>
      <c r="G8" s="12">
        <v>1</v>
      </c>
      <c r="H8" s="8">
        <v>0.56000000000000005</v>
      </c>
      <c r="I8" s="12">
        <v>0</v>
      </c>
    </row>
    <row r="9" spans="2:9" ht="15" customHeight="1" x14ac:dyDescent="0.2">
      <c r="B9" t="s">
        <v>194</v>
      </c>
      <c r="C9" s="12">
        <v>5</v>
      </c>
      <c r="D9" s="8">
        <v>1.19</v>
      </c>
      <c r="E9" s="12">
        <v>1</v>
      </c>
      <c r="F9" s="8">
        <v>0.45</v>
      </c>
      <c r="G9" s="12">
        <v>4</v>
      </c>
      <c r="H9" s="8">
        <v>2.2599999999999998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0.24</v>
      </c>
      <c r="E10" s="12">
        <v>0</v>
      </c>
      <c r="F10" s="8">
        <v>0</v>
      </c>
      <c r="G10" s="12">
        <v>1</v>
      </c>
      <c r="H10" s="8">
        <v>0.56000000000000005</v>
      </c>
      <c r="I10" s="12">
        <v>0</v>
      </c>
    </row>
    <row r="11" spans="2:9" ht="15" customHeight="1" x14ac:dyDescent="0.2">
      <c r="B11" t="s">
        <v>196</v>
      </c>
      <c r="C11" s="12">
        <v>99</v>
      </c>
      <c r="D11" s="8">
        <v>23.63</v>
      </c>
      <c r="E11" s="12">
        <v>52</v>
      </c>
      <c r="F11" s="8">
        <v>23.53</v>
      </c>
      <c r="G11" s="12">
        <v>47</v>
      </c>
      <c r="H11" s="8">
        <v>26.55</v>
      </c>
      <c r="I11" s="12">
        <v>0</v>
      </c>
    </row>
    <row r="12" spans="2:9" ht="15" customHeight="1" x14ac:dyDescent="0.2">
      <c r="B12" t="s">
        <v>197</v>
      </c>
      <c r="C12" s="12">
        <v>6</v>
      </c>
      <c r="D12" s="8">
        <v>1.43</v>
      </c>
      <c r="E12" s="12">
        <v>1</v>
      </c>
      <c r="F12" s="8">
        <v>0.45</v>
      </c>
      <c r="G12" s="12">
        <v>5</v>
      </c>
      <c r="H12" s="8">
        <v>2.82</v>
      </c>
      <c r="I12" s="12">
        <v>0</v>
      </c>
    </row>
    <row r="13" spans="2:9" ht="15" customHeight="1" x14ac:dyDescent="0.2">
      <c r="B13" t="s">
        <v>198</v>
      </c>
      <c r="C13" s="12">
        <v>27</v>
      </c>
      <c r="D13" s="8">
        <v>6.44</v>
      </c>
      <c r="E13" s="12">
        <v>12</v>
      </c>
      <c r="F13" s="8">
        <v>5.43</v>
      </c>
      <c r="G13" s="12">
        <v>14</v>
      </c>
      <c r="H13" s="8">
        <v>7.91</v>
      </c>
      <c r="I13" s="12">
        <v>0</v>
      </c>
    </row>
    <row r="14" spans="2:9" ht="15" customHeight="1" x14ac:dyDescent="0.2">
      <c r="B14" t="s">
        <v>199</v>
      </c>
      <c r="C14" s="12">
        <v>19</v>
      </c>
      <c r="D14" s="8">
        <v>4.53</v>
      </c>
      <c r="E14" s="12">
        <v>13</v>
      </c>
      <c r="F14" s="8">
        <v>5.88</v>
      </c>
      <c r="G14" s="12">
        <v>5</v>
      </c>
      <c r="H14" s="8">
        <v>2.82</v>
      </c>
      <c r="I14" s="12">
        <v>0</v>
      </c>
    </row>
    <row r="15" spans="2:9" ht="15" customHeight="1" x14ac:dyDescent="0.2">
      <c r="B15" t="s">
        <v>200</v>
      </c>
      <c r="C15" s="12">
        <v>70</v>
      </c>
      <c r="D15" s="8">
        <v>16.71</v>
      </c>
      <c r="E15" s="12">
        <v>57</v>
      </c>
      <c r="F15" s="8">
        <v>25.79</v>
      </c>
      <c r="G15" s="12">
        <v>13</v>
      </c>
      <c r="H15" s="8">
        <v>7.34</v>
      </c>
      <c r="I15" s="12">
        <v>0</v>
      </c>
    </row>
    <row r="16" spans="2:9" ht="15" customHeight="1" x14ac:dyDescent="0.2">
      <c r="B16" t="s">
        <v>201</v>
      </c>
      <c r="C16" s="12">
        <v>65</v>
      </c>
      <c r="D16" s="8">
        <v>15.51</v>
      </c>
      <c r="E16" s="12">
        <v>44</v>
      </c>
      <c r="F16" s="8">
        <v>19.91</v>
      </c>
      <c r="G16" s="12">
        <v>17</v>
      </c>
      <c r="H16" s="8">
        <v>9.6</v>
      </c>
      <c r="I16" s="12">
        <v>0</v>
      </c>
    </row>
    <row r="17" spans="2:9" ht="15" customHeight="1" x14ac:dyDescent="0.2">
      <c r="B17" t="s">
        <v>202</v>
      </c>
      <c r="C17" s="12">
        <v>9</v>
      </c>
      <c r="D17" s="8">
        <v>2.15</v>
      </c>
      <c r="E17" s="12">
        <v>5</v>
      </c>
      <c r="F17" s="8">
        <v>2.2599999999999998</v>
      </c>
      <c r="G17" s="12">
        <v>3</v>
      </c>
      <c r="H17" s="8">
        <v>1.69</v>
      </c>
      <c r="I17" s="12">
        <v>0</v>
      </c>
    </row>
    <row r="18" spans="2:9" ht="15" customHeight="1" x14ac:dyDescent="0.2">
      <c r="B18" t="s">
        <v>203</v>
      </c>
      <c r="C18" s="12">
        <v>32</v>
      </c>
      <c r="D18" s="8">
        <v>7.64</v>
      </c>
      <c r="E18" s="12">
        <v>9</v>
      </c>
      <c r="F18" s="8">
        <v>4.07</v>
      </c>
      <c r="G18" s="12">
        <v>17</v>
      </c>
      <c r="H18" s="8">
        <v>9.6</v>
      </c>
      <c r="I18" s="12">
        <v>0</v>
      </c>
    </row>
    <row r="19" spans="2:9" ht="15" customHeight="1" x14ac:dyDescent="0.2">
      <c r="B19" t="s">
        <v>204</v>
      </c>
      <c r="C19" s="12">
        <v>17</v>
      </c>
      <c r="D19" s="8">
        <v>4.0599999999999996</v>
      </c>
      <c r="E19" s="12">
        <v>5</v>
      </c>
      <c r="F19" s="8">
        <v>2.2599999999999998</v>
      </c>
      <c r="G19" s="12">
        <v>4</v>
      </c>
      <c r="H19" s="8">
        <v>2.2599999999999998</v>
      </c>
      <c r="I19" s="12">
        <v>0</v>
      </c>
    </row>
    <row r="20" spans="2:9" ht="15" customHeight="1" x14ac:dyDescent="0.2">
      <c r="B20" s="9" t="s">
        <v>529</v>
      </c>
      <c r="C20" s="12">
        <f>SUM(LTBL_01607[総数／事業所数])</f>
        <v>419</v>
      </c>
      <c r="E20" s="12">
        <f>SUBTOTAL(109,LTBL_01607[個人／事業所数])</f>
        <v>221</v>
      </c>
      <c r="G20" s="12">
        <f>SUBTOTAL(109,LTBL_01607[法人／事業所数])</f>
        <v>177</v>
      </c>
      <c r="I20" s="12">
        <f>SUBTOTAL(109,LTBL_01607[法人以外の団体／事業所数])</f>
        <v>0</v>
      </c>
    </row>
    <row r="21" spans="2:9" ht="15" customHeight="1" x14ac:dyDescent="0.2">
      <c r="E21" s="11">
        <f>LTBL_01607[[#Totals],[個人／事業所数]]/LTBL_01607[[#Totals],[総数／事業所数]]</f>
        <v>0.52744630071599041</v>
      </c>
      <c r="G21" s="11">
        <f>LTBL_01607[[#Totals],[法人／事業所数]]/LTBL_01607[[#Totals],[総数／事業所数]]</f>
        <v>0.42243436754176611</v>
      </c>
      <c r="I21" s="11">
        <f>LTBL_01607[[#Totals],[法人以外の団体／事業所数]]/LTBL_01607[[#Totals],[総数／事業所数]]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59</v>
      </c>
      <c r="D24" s="8">
        <v>14.08</v>
      </c>
      <c r="E24" s="12">
        <v>52</v>
      </c>
      <c r="F24" s="8">
        <v>23.53</v>
      </c>
      <c r="G24" s="12">
        <v>7</v>
      </c>
      <c r="H24" s="8">
        <v>3.95</v>
      </c>
      <c r="I24" s="12">
        <v>0</v>
      </c>
    </row>
    <row r="25" spans="2:9" ht="15" customHeight="1" x14ac:dyDescent="0.2">
      <c r="B25" t="s">
        <v>228</v>
      </c>
      <c r="C25" s="12">
        <v>44</v>
      </c>
      <c r="D25" s="8">
        <v>10.5</v>
      </c>
      <c r="E25" s="12">
        <v>41</v>
      </c>
      <c r="F25" s="8">
        <v>18.55</v>
      </c>
      <c r="G25" s="12">
        <v>3</v>
      </c>
      <c r="H25" s="8">
        <v>1.69</v>
      </c>
      <c r="I25" s="12">
        <v>0</v>
      </c>
    </row>
    <row r="26" spans="2:9" ht="15" customHeight="1" x14ac:dyDescent="0.2">
      <c r="B26" t="s">
        <v>223</v>
      </c>
      <c r="C26" s="12">
        <v>31</v>
      </c>
      <c r="D26" s="8">
        <v>7.4</v>
      </c>
      <c r="E26" s="12">
        <v>12</v>
      </c>
      <c r="F26" s="8">
        <v>5.43</v>
      </c>
      <c r="G26" s="12">
        <v>19</v>
      </c>
      <c r="H26" s="8">
        <v>10.73</v>
      </c>
      <c r="I26" s="12">
        <v>0</v>
      </c>
    </row>
    <row r="27" spans="2:9" ht="15" customHeight="1" x14ac:dyDescent="0.2">
      <c r="B27" t="s">
        <v>221</v>
      </c>
      <c r="C27" s="12">
        <v>29</v>
      </c>
      <c r="D27" s="8">
        <v>6.92</v>
      </c>
      <c r="E27" s="12">
        <v>23</v>
      </c>
      <c r="F27" s="8">
        <v>10.41</v>
      </c>
      <c r="G27" s="12">
        <v>6</v>
      </c>
      <c r="H27" s="8">
        <v>3.39</v>
      </c>
      <c r="I27" s="12">
        <v>0</v>
      </c>
    </row>
    <row r="28" spans="2:9" ht="15" customHeight="1" x14ac:dyDescent="0.2">
      <c r="B28" t="s">
        <v>224</v>
      </c>
      <c r="C28" s="12">
        <v>24</v>
      </c>
      <c r="D28" s="8">
        <v>5.73</v>
      </c>
      <c r="E28" s="12">
        <v>12</v>
      </c>
      <c r="F28" s="8">
        <v>5.43</v>
      </c>
      <c r="G28" s="12">
        <v>11</v>
      </c>
      <c r="H28" s="8">
        <v>6.21</v>
      </c>
      <c r="I28" s="12">
        <v>0</v>
      </c>
    </row>
    <row r="29" spans="2:9" ht="15" customHeight="1" x14ac:dyDescent="0.2">
      <c r="B29" t="s">
        <v>213</v>
      </c>
      <c r="C29" s="12">
        <v>22</v>
      </c>
      <c r="D29" s="8">
        <v>5.25</v>
      </c>
      <c r="E29" s="12">
        <v>2</v>
      </c>
      <c r="F29" s="8">
        <v>0.9</v>
      </c>
      <c r="G29" s="12">
        <v>20</v>
      </c>
      <c r="H29" s="8">
        <v>11.3</v>
      </c>
      <c r="I29" s="12">
        <v>0</v>
      </c>
    </row>
    <row r="30" spans="2:9" ht="15" customHeight="1" x14ac:dyDescent="0.2">
      <c r="B30" t="s">
        <v>232</v>
      </c>
      <c r="C30" s="12">
        <v>21</v>
      </c>
      <c r="D30" s="8">
        <v>5.01</v>
      </c>
      <c r="E30" s="12">
        <v>0</v>
      </c>
      <c r="F30" s="8">
        <v>0</v>
      </c>
      <c r="G30" s="12">
        <v>15</v>
      </c>
      <c r="H30" s="8">
        <v>8.4700000000000006</v>
      </c>
      <c r="I30" s="12">
        <v>0</v>
      </c>
    </row>
    <row r="31" spans="2:9" ht="15" customHeight="1" x14ac:dyDescent="0.2">
      <c r="B31" t="s">
        <v>247</v>
      </c>
      <c r="C31" s="12">
        <v>14</v>
      </c>
      <c r="D31" s="8">
        <v>3.34</v>
      </c>
      <c r="E31" s="12">
        <v>2</v>
      </c>
      <c r="F31" s="8">
        <v>0.9</v>
      </c>
      <c r="G31" s="12">
        <v>9</v>
      </c>
      <c r="H31" s="8">
        <v>5.08</v>
      </c>
      <c r="I31" s="12">
        <v>0</v>
      </c>
    </row>
    <row r="32" spans="2:9" ht="15" customHeight="1" x14ac:dyDescent="0.2">
      <c r="B32" t="s">
        <v>214</v>
      </c>
      <c r="C32" s="12">
        <v>13</v>
      </c>
      <c r="D32" s="8">
        <v>3.1</v>
      </c>
      <c r="E32" s="12">
        <v>8</v>
      </c>
      <c r="F32" s="8">
        <v>3.62</v>
      </c>
      <c r="G32" s="12">
        <v>5</v>
      </c>
      <c r="H32" s="8">
        <v>2.82</v>
      </c>
      <c r="I32" s="12">
        <v>0</v>
      </c>
    </row>
    <row r="33" spans="2:9" ht="15" customHeight="1" x14ac:dyDescent="0.2">
      <c r="B33" t="s">
        <v>241</v>
      </c>
      <c r="C33" s="12">
        <v>13</v>
      </c>
      <c r="D33" s="8">
        <v>3.1</v>
      </c>
      <c r="E33" s="12">
        <v>4</v>
      </c>
      <c r="F33" s="8">
        <v>1.81</v>
      </c>
      <c r="G33" s="12">
        <v>9</v>
      </c>
      <c r="H33" s="8">
        <v>5.08</v>
      </c>
      <c r="I33" s="12">
        <v>0</v>
      </c>
    </row>
    <row r="34" spans="2:9" ht="15" customHeight="1" x14ac:dyDescent="0.2">
      <c r="B34" t="s">
        <v>222</v>
      </c>
      <c r="C34" s="12">
        <v>13</v>
      </c>
      <c r="D34" s="8">
        <v>3.1</v>
      </c>
      <c r="E34" s="12">
        <v>7</v>
      </c>
      <c r="F34" s="8">
        <v>3.17</v>
      </c>
      <c r="G34" s="12">
        <v>6</v>
      </c>
      <c r="H34" s="8">
        <v>3.39</v>
      </c>
      <c r="I34" s="12">
        <v>0</v>
      </c>
    </row>
    <row r="35" spans="2:9" ht="15" customHeight="1" x14ac:dyDescent="0.2">
      <c r="B35" t="s">
        <v>231</v>
      </c>
      <c r="C35" s="12">
        <v>11</v>
      </c>
      <c r="D35" s="8">
        <v>2.63</v>
      </c>
      <c r="E35" s="12">
        <v>9</v>
      </c>
      <c r="F35" s="8">
        <v>4.07</v>
      </c>
      <c r="G35" s="12">
        <v>2</v>
      </c>
      <c r="H35" s="8">
        <v>1.1299999999999999</v>
      </c>
      <c r="I35" s="12">
        <v>0</v>
      </c>
    </row>
    <row r="36" spans="2:9" ht="15" customHeight="1" x14ac:dyDescent="0.2">
      <c r="B36" t="s">
        <v>220</v>
      </c>
      <c r="C36" s="12">
        <v>10</v>
      </c>
      <c r="D36" s="8">
        <v>2.39</v>
      </c>
      <c r="E36" s="12">
        <v>5</v>
      </c>
      <c r="F36" s="8">
        <v>2.2599999999999998</v>
      </c>
      <c r="G36" s="12">
        <v>5</v>
      </c>
      <c r="H36" s="8">
        <v>2.82</v>
      </c>
      <c r="I36" s="12">
        <v>0</v>
      </c>
    </row>
    <row r="37" spans="2:9" ht="15" customHeight="1" x14ac:dyDescent="0.2">
      <c r="B37" t="s">
        <v>226</v>
      </c>
      <c r="C37" s="12">
        <v>10</v>
      </c>
      <c r="D37" s="8">
        <v>2.39</v>
      </c>
      <c r="E37" s="12">
        <v>6</v>
      </c>
      <c r="F37" s="8">
        <v>2.71</v>
      </c>
      <c r="G37" s="12">
        <v>3</v>
      </c>
      <c r="H37" s="8">
        <v>1.69</v>
      </c>
      <c r="I37" s="12">
        <v>0</v>
      </c>
    </row>
    <row r="38" spans="2:9" ht="15" customHeight="1" x14ac:dyDescent="0.2">
      <c r="B38" t="s">
        <v>215</v>
      </c>
      <c r="C38" s="12">
        <v>9</v>
      </c>
      <c r="D38" s="8">
        <v>2.15</v>
      </c>
      <c r="E38" s="12">
        <v>3</v>
      </c>
      <c r="F38" s="8">
        <v>1.36</v>
      </c>
      <c r="G38" s="12">
        <v>6</v>
      </c>
      <c r="H38" s="8">
        <v>3.39</v>
      </c>
      <c r="I38" s="12">
        <v>0</v>
      </c>
    </row>
    <row r="39" spans="2:9" ht="15" customHeight="1" x14ac:dyDescent="0.2">
      <c r="B39" t="s">
        <v>225</v>
      </c>
      <c r="C39" s="12">
        <v>9</v>
      </c>
      <c r="D39" s="8">
        <v>2.15</v>
      </c>
      <c r="E39" s="12">
        <v>7</v>
      </c>
      <c r="F39" s="8">
        <v>3.17</v>
      </c>
      <c r="G39" s="12">
        <v>2</v>
      </c>
      <c r="H39" s="8">
        <v>1.1299999999999999</v>
      </c>
      <c r="I39" s="12">
        <v>0</v>
      </c>
    </row>
    <row r="40" spans="2:9" ht="15" customHeight="1" x14ac:dyDescent="0.2">
      <c r="B40" t="s">
        <v>230</v>
      </c>
      <c r="C40" s="12">
        <v>9</v>
      </c>
      <c r="D40" s="8">
        <v>2.15</v>
      </c>
      <c r="E40" s="12">
        <v>5</v>
      </c>
      <c r="F40" s="8">
        <v>2.2599999999999998</v>
      </c>
      <c r="G40" s="12">
        <v>3</v>
      </c>
      <c r="H40" s="8">
        <v>1.69</v>
      </c>
      <c r="I40" s="12">
        <v>0</v>
      </c>
    </row>
    <row r="41" spans="2:9" ht="15" customHeight="1" x14ac:dyDescent="0.2">
      <c r="B41" t="s">
        <v>239</v>
      </c>
      <c r="C41" s="12">
        <v>7</v>
      </c>
      <c r="D41" s="8">
        <v>1.67</v>
      </c>
      <c r="E41" s="12">
        <v>3</v>
      </c>
      <c r="F41" s="8">
        <v>1.36</v>
      </c>
      <c r="G41" s="12">
        <v>4</v>
      </c>
      <c r="H41" s="8">
        <v>2.2599999999999998</v>
      </c>
      <c r="I41" s="12">
        <v>0</v>
      </c>
    </row>
    <row r="42" spans="2:9" ht="15" customHeight="1" x14ac:dyDescent="0.2">
      <c r="B42" t="s">
        <v>229</v>
      </c>
      <c r="C42" s="12">
        <v>7</v>
      </c>
      <c r="D42" s="8">
        <v>1.67</v>
      </c>
      <c r="E42" s="12">
        <v>1</v>
      </c>
      <c r="F42" s="8">
        <v>0.45</v>
      </c>
      <c r="G42" s="12">
        <v>5</v>
      </c>
      <c r="H42" s="8">
        <v>2.82</v>
      </c>
      <c r="I42" s="12">
        <v>0</v>
      </c>
    </row>
    <row r="43" spans="2:9" ht="15" customHeight="1" x14ac:dyDescent="0.2">
      <c r="B43" t="s">
        <v>237</v>
      </c>
      <c r="C43" s="12">
        <v>6</v>
      </c>
      <c r="D43" s="8">
        <v>1.43</v>
      </c>
      <c r="E43" s="12">
        <v>1</v>
      </c>
      <c r="F43" s="8">
        <v>0.45</v>
      </c>
      <c r="G43" s="12">
        <v>5</v>
      </c>
      <c r="H43" s="8">
        <v>2.82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24</v>
      </c>
      <c r="D47" s="8">
        <v>5.73</v>
      </c>
      <c r="E47" s="12">
        <v>23</v>
      </c>
      <c r="F47" s="8">
        <v>10.41</v>
      </c>
      <c r="G47" s="12">
        <v>1</v>
      </c>
      <c r="H47" s="8">
        <v>0.56000000000000005</v>
      </c>
      <c r="I47" s="12">
        <v>0</v>
      </c>
    </row>
    <row r="48" spans="2:9" ht="15" customHeight="1" x14ac:dyDescent="0.2">
      <c r="B48" t="s">
        <v>301</v>
      </c>
      <c r="C48" s="12">
        <v>21</v>
      </c>
      <c r="D48" s="8">
        <v>5.01</v>
      </c>
      <c r="E48" s="12">
        <v>20</v>
      </c>
      <c r="F48" s="8">
        <v>9.0500000000000007</v>
      </c>
      <c r="G48" s="12">
        <v>1</v>
      </c>
      <c r="H48" s="8">
        <v>0.56000000000000005</v>
      </c>
      <c r="I48" s="12">
        <v>0</v>
      </c>
    </row>
    <row r="49" spans="2:9" ht="15" customHeight="1" x14ac:dyDescent="0.2">
      <c r="B49" t="s">
        <v>297</v>
      </c>
      <c r="C49" s="12">
        <v>18</v>
      </c>
      <c r="D49" s="8">
        <v>4.3</v>
      </c>
      <c r="E49" s="12">
        <v>12</v>
      </c>
      <c r="F49" s="8">
        <v>5.43</v>
      </c>
      <c r="G49" s="12">
        <v>5</v>
      </c>
      <c r="H49" s="8">
        <v>2.82</v>
      </c>
      <c r="I49" s="12">
        <v>0</v>
      </c>
    </row>
    <row r="50" spans="2:9" ht="15" customHeight="1" x14ac:dyDescent="0.2">
      <c r="B50" t="s">
        <v>299</v>
      </c>
      <c r="C50" s="12">
        <v>16</v>
      </c>
      <c r="D50" s="8">
        <v>3.82</v>
      </c>
      <c r="E50" s="12">
        <v>12</v>
      </c>
      <c r="F50" s="8">
        <v>5.43</v>
      </c>
      <c r="G50" s="12">
        <v>4</v>
      </c>
      <c r="H50" s="8">
        <v>2.2599999999999998</v>
      </c>
      <c r="I50" s="12">
        <v>0</v>
      </c>
    </row>
    <row r="51" spans="2:9" ht="15" customHeight="1" x14ac:dyDescent="0.2">
      <c r="B51" t="s">
        <v>347</v>
      </c>
      <c r="C51" s="12">
        <v>14</v>
      </c>
      <c r="D51" s="8">
        <v>3.34</v>
      </c>
      <c r="E51" s="12">
        <v>0</v>
      </c>
      <c r="F51" s="8">
        <v>0</v>
      </c>
      <c r="G51" s="12">
        <v>13</v>
      </c>
      <c r="H51" s="8">
        <v>7.34</v>
      </c>
      <c r="I51" s="12">
        <v>0</v>
      </c>
    </row>
    <row r="52" spans="2:9" ht="15" customHeight="1" x14ac:dyDescent="0.2">
      <c r="B52" t="s">
        <v>303</v>
      </c>
      <c r="C52" s="12">
        <v>13</v>
      </c>
      <c r="D52" s="8">
        <v>3.1</v>
      </c>
      <c r="E52" s="12">
        <v>13</v>
      </c>
      <c r="F52" s="8">
        <v>5.88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342</v>
      </c>
      <c r="C53" s="12">
        <v>11</v>
      </c>
      <c r="D53" s="8">
        <v>2.63</v>
      </c>
      <c r="E53" s="12">
        <v>4</v>
      </c>
      <c r="F53" s="8">
        <v>1.81</v>
      </c>
      <c r="G53" s="12">
        <v>7</v>
      </c>
      <c r="H53" s="8">
        <v>3.95</v>
      </c>
      <c r="I53" s="12">
        <v>0</v>
      </c>
    </row>
    <row r="54" spans="2:9" ht="15" customHeight="1" x14ac:dyDescent="0.2">
      <c r="B54" t="s">
        <v>292</v>
      </c>
      <c r="C54" s="12">
        <v>9</v>
      </c>
      <c r="D54" s="8">
        <v>2.15</v>
      </c>
      <c r="E54" s="12">
        <v>6</v>
      </c>
      <c r="F54" s="8">
        <v>2.71</v>
      </c>
      <c r="G54" s="12">
        <v>3</v>
      </c>
      <c r="H54" s="8">
        <v>1.69</v>
      </c>
      <c r="I54" s="12">
        <v>0</v>
      </c>
    </row>
    <row r="55" spans="2:9" ht="15" customHeight="1" x14ac:dyDescent="0.2">
      <c r="B55" t="s">
        <v>288</v>
      </c>
      <c r="C55" s="12">
        <v>8</v>
      </c>
      <c r="D55" s="8">
        <v>1.91</v>
      </c>
      <c r="E55" s="12">
        <v>0</v>
      </c>
      <c r="F55" s="8">
        <v>0</v>
      </c>
      <c r="G55" s="12">
        <v>8</v>
      </c>
      <c r="H55" s="8">
        <v>4.5199999999999996</v>
      </c>
      <c r="I55" s="12">
        <v>0</v>
      </c>
    </row>
    <row r="56" spans="2:9" ht="15" customHeight="1" x14ac:dyDescent="0.2">
      <c r="B56" t="s">
        <v>293</v>
      </c>
      <c r="C56" s="12">
        <v>8</v>
      </c>
      <c r="D56" s="8">
        <v>1.91</v>
      </c>
      <c r="E56" s="12">
        <v>5</v>
      </c>
      <c r="F56" s="8">
        <v>2.2599999999999998</v>
      </c>
      <c r="G56" s="12">
        <v>3</v>
      </c>
      <c r="H56" s="8">
        <v>1.69</v>
      </c>
      <c r="I56" s="12">
        <v>0</v>
      </c>
    </row>
    <row r="57" spans="2:9" ht="15" customHeight="1" x14ac:dyDescent="0.2">
      <c r="B57" t="s">
        <v>295</v>
      </c>
      <c r="C57" s="12">
        <v>8</v>
      </c>
      <c r="D57" s="8">
        <v>1.91</v>
      </c>
      <c r="E57" s="12">
        <v>4</v>
      </c>
      <c r="F57" s="8">
        <v>1.81</v>
      </c>
      <c r="G57" s="12">
        <v>4</v>
      </c>
      <c r="H57" s="8">
        <v>2.2599999999999998</v>
      </c>
      <c r="I57" s="12">
        <v>0</v>
      </c>
    </row>
    <row r="58" spans="2:9" ht="15" customHeight="1" x14ac:dyDescent="0.2">
      <c r="B58" t="s">
        <v>334</v>
      </c>
      <c r="C58" s="12">
        <v>8</v>
      </c>
      <c r="D58" s="8">
        <v>1.91</v>
      </c>
      <c r="E58" s="12">
        <v>7</v>
      </c>
      <c r="F58" s="8">
        <v>3.17</v>
      </c>
      <c r="G58" s="12">
        <v>1</v>
      </c>
      <c r="H58" s="8">
        <v>0.56000000000000005</v>
      </c>
      <c r="I58" s="12">
        <v>0</v>
      </c>
    </row>
    <row r="59" spans="2:9" ht="15" customHeight="1" x14ac:dyDescent="0.2">
      <c r="B59" t="s">
        <v>328</v>
      </c>
      <c r="C59" s="12">
        <v>7</v>
      </c>
      <c r="D59" s="8">
        <v>1.67</v>
      </c>
      <c r="E59" s="12">
        <v>2</v>
      </c>
      <c r="F59" s="8">
        <v>0.9</v>
      </c>
      <c r="G59" s="12">
        <v>5</v>
      </c>
      <c r="H59" s="8">
        <v>2.82</v>
      </c>
      <c r="I59" s="12">
        <v>0</v>
      </c>
    </row>
    <row r="60" spans="2:9" ht="15" customHeight="1" x14ac:dyDescent="0.2">
      <c r="B60" t="s">
        <v>300</v>
      </c>
      <c r="C60" s="12">
        <v>7</v>
      </c>
      <c r="D60" s="8">
        <v>1.67</v>
      </c>
      <c r="E60" s="12">
        <v>6</v>
      </c>
      <c r="F60" s="8">
        <v>2.71</v>
      </c>
      <c r="G60" s="12">
        <v>1</v>
      </c>
      <c r="H60" s="8">
        <v>0.56000000000000005</v>
      </c>
      <c r="I60" s="12">
        <v>0</v>
      </c>
    </row>
    <row r="61" spans="2:9" ht="15" customHeight="1" x14ac:dyDescent="0.2">
      <c r="B61" t="s">
        <v>306</v>
      </c>
      <c r="C61" s="12">
        <v>7</v>
      </c>
      <c r="D61" s="8">
        <v>1.67</v>
      </c>
      <c r="E61" s="12">
        <v>7</v>
      </c>
      <c r="F61" s="8">
        <v>3.17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380</v>
      </c>
      <c r="C62" s="12">
        <v>6</v>
      </c>
      <c r="D62" s="8">
        <v>1.43</v>
      </c>
      <c r="E62" s="12">
        <v>6</v>
      </c>
      <c r="F62" s="8">
        <v>2.71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325</v>
      </c>
      <c r="C63" s="12">
        <v>6</v>
      </c>
      <c r="D63" s="8">
        <v>1.43</v>
      </c>
      <c r="E63" s="12">
        <v>2</v>
      </c>
      <c r="F63" s="8">
        <v>0.9</v>
      </c>
      <c r="G63" s="12">
        <v>4</v>
      </c>
      <c r="H63" s="8">
        <v>2.2599999999999998</v>
      </c>
      <c r="I63" s="12">
        <v>0</v>
      </c>
    </row>
    <row r="64" spans="2:9" ht="15" customHeight="1" x14ac:dyDescent="0.2">
      <c r="B64" t="s">
        <v>343</v>
      </c>
      <c r="C64" s="12">
        <v>5</v>
      </c>
      <c r="D64" s="8">
        <v>1.19</v>
      </c>
      <c r="E64" s="12">
        <v>2</v>
      </c>
      <c r="F64" s="8">
        <v>0.9</v>
      </c>
      <c r="G64" s="12">
        <v>3</v>
      </c>
      <c r="H64" s="8">
        <v>1.69</v>
      </c>
      <c r="I64" s="12">
        <v>0</v>
      </c>
    </row>
    <row r="65" spans="2:9" ht="15" customHeight="1" x14ac:dyDescent="0.2">
      <c r="B65" t="s">
        <v>291</v>
      </c>
      <c r="C65" s="12">
        <v>5</v>
      </c>
      <c r="D65" s="8">
        <v>1.19</v>
      </c>
      <c r="E65" s="12">
        <v>3</v>
      </c>
      <c r="F65" s="8">
        <v>1.36</v>
      </c>
      <c r="G65" s="12">
        <v>2</v>
      </c>
      <c r="H65" s="8">
        <v>1.1299999999999999</v>
      </c>
      <c r="I65" s="12">
        <v>0</v>
      </c>
    </row>
    <row r="66" spans="2:9" ht="15" customHeight="1" x14ac:dyDescent="0.2">
      <c r="B66" t="s">
        <v>336</v>
      </c>
      <c r="C66" s="12">
        <v>5</v>
      </c>
      <c r="D66" s="8">
        <v>1.19</v>
      </c>
      <c r="E66" s="12">
        <v>5</v>
      </c>
      <c r="F66" s="8">
        <v>2.2599999999999998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330</v>
      </c>
      <c r="C67" s="12">
        <v>5</v>
      </c>
      <c r="D67" s="8">
        <v>1.19</v>
      </c>
      <c r="E67" s="12">
        <v>1</v>
      </c>
      <c r="F67" s="8">
        <v>0.45</v>
      </c>
      <c r="G67" s="12">
        <v>4</v>
      </c>
      <c r="H67" s="8">
        <v>2.2599999999999998</v>
      </c>
      <c r="I67" s="12">
        <v>0</v>
      </c>
    </row>
    <row r="68" spans="2:9" ht="15" customHeight="1" x14ac:dyDescent="0.2">
      <c r="B68" t="s">
        <v>352</v>
      </c>
      <c r="C68" s="12">
        <v>5</v>
      </c>
      <c r="D68" s="8">
        <v>1.19</v>
      </c>
      <c r="E68" s="12">
        <v>1</v>
      </c>
      <c r="F68" s="8">
        <v>0.45</v>
      </c>
      <c r="G68" s="12">
        <v>4</v>
      </c>
      <c r="H68" s="8">
        <v>2.2599999999999998</v>
      </c>
      <c r="I68" s="12">
        <v>0</v>
      </c>
    </row>
    <row r="69" spans="2:9" ht="15" customHeight="1" x14ac:dyDescent="0.2">
      <c r="B69" t="s">
        <v>411</v>
      </c>
      <c r="C69" s="12">
        <v>5</v>
      </c>
      <c r="D69" s="8">
        <v>1.19</v>
      </c>
      <c r="E69" s="12">
        <v>2</v>
      </c>
      <c r="F69" s="8">
        <v>0.9</v>
      </c>
      <c r="G69" s="12">
        <v>3</v>
      </c>
      <c r="H69" s="8">
        <v>1.69</v>
      </c>
      <c r="I69" s="12">
        <v>0</v>
      </c>
    </row>
    <row r="70" spans="2:9" ht="15" customHeight="1" x14ac:dyDescent="0.2">
      <c r="B70" t="s">
        <v>305</v>
      </c>
      <c r="C70" s="12">
        <v>5</v>
      </c>
      <c r="D70" s="8">
        <v>1.19</v>
      </c>
      <c r="E70" s="12">
        <v>3</v>
      </c>
      <c r="F70" s="8">
        <v>1.36</v>
      </c>
      <c r="G70" s="12">
        <v>2</v>
      </c>
      <c r="H70" s="8">
        <v>1.1299999999999999</v>
      </c>
      <c r="I70" s="12">
        <v>0</v>
      </c>
    </row>
    <row r="71" spans="2:9" ht="15" customHeight="1" x14ac:dyDescent="0.2">
      <c r="B71" t="s">
        <v>345</v>
      </c>
      <c r="C71" s="12">
        <v>5</v>
      </c>
      <c r="D71" s="8">
        <v>1.19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3" spans="2:9" ht="15" customHeight="1" x14ac:dyDescent="0.2">
      <c r="B7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8FD5C-27B3-45C4-8559-8E4118CDD2DC}">
  <sheetPr>
    <pageSetUpPr fitToPage="1"/>
  </sheetPr>
  <dimension ref="B2:I7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13</v>
      </c>
      <c r="D6" s="8">
        <v>9.77</v>
      </c>
      <c r="E6" s="12">
        <v>5</v>
      </c>
      <c r="F6" s="8">
        <v>7.58</v>
      </c>
      <c r="G6" s="12">
        <v>8</v>
      </c>
      <c r="H6" s="8">
        <v>13.33</v>
      </c>
      <c r="I6" s="12">
        <v>0</v>
      </c>
    </row>
    <row r="7" spans="2:9" ht="15" customHeight="1" x14ac:dyDescent="0.2">
      <c r="B7" t="s">
        <v>192</v>
      </c>
      <c r="C7" s="12">
        <v>11</v>
      </c>
      <c r="D7" s="8">
        <v>8.27</v>
      </c>
      <c r="E7" s="12">
        <v>1</v>
      </c>
      <c r="F7" s="8">
        <v>1.52</v>
      </c>
      <c r="G7" s="12">
        <v>10</v>
      </c>
      <c r="H7" s="8">
        <v>16.670000000000002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0.75</v>
      </c>
      <c r="E10" s="12">
        <v>0</v>
      </c>
      <c r="F10" s="8">
        <v>0</v>
      </c>
      <c r="G10" s="12">
        <v>1</v>
      </c>
      <c r="H10" s="8">
        <v>1.67</v>
      </c>
      <c r="I10" s="12">
        <v>0</v>
      </c>
    </row>
    <row r="11" spans="2:9" ht="15" customHeight="1" x14ac:dyDescent="0.2">
      <c r="B11" t="s">
        <v>196</v>
      </c>
      <c r="C11" s="12">
        <v>38</v>
      </c>
      <c r="D11" s="8">
        <v>28.57</v>
      </c>
      <c r="E11" s="12">
        <v>16</v>
      </c>
      <c r="F11" s="8">
        <v>24.24</v>
      </c>
      <c r="G11" s="12">
        <v>22</v>
      </c>
      <c r="H11" s="8">
        <v>36.67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0.75</v>
      </c>
      <c r="E12" s="12">
        <v>0</v>
      </c>
      <c r="F12" s="8">
        <v>0</v>
      </c>
      <c r="G12" s="12">
        <v>1</v>
      </c>
      <c r="H12" s="8">
        <v>1.67</v>
      </c>
      <c r="I12" s="12">
        <v>0</v>
      </c>
    </row>
    <row r="13" spans="2:9" ht="15" customHeight="1" x14ac:dyDescent="0.2">
      <c r="B13" t="s">
        <v>198</v>
      </c>
      <c r="C13" s="12">
        <v>15</v>
      </c>
      <c r="D13" s="8">
        <v>11.28</v>
      </c>
      <c r="E13" s="12">
        <v>9</v>
      </c>
      <c r="F13" s="8">
        <v>13.64</v>
      </c>
      <c r="G13" s="12">
        <v>5</v>
      </c>
      <c r="H13" s="8">
        <v>8.33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2.2599999999999998</v>
      </c>
      <c r="E14" s="12">
        <v>1</v>
      </c>
      <c r="F14" s="8">
        <v>1.52</v>
      </c>
      <c r="G14" s="12">
        <v>2</v>
      </c>
      <c r="H14" s="8">
        <v>3.33</v>
      </c>
      <c r="I14" s="12">
        <v>0</v>
      </c>
    </row>
    <row r="15" spans="2:9" ht="15" customHeight="1" x14ac:dyDescent="0.2">
      <c r="B15" t="s">
        <v>200</v>
      </c>
      <c r="C15" s="12">
        <v>20</v>
      </c>
      <c r="D15" s="8">
        <v>15.04</v>
      </c>
      <c r="E15" s="12">
        <v>17</v>
      </c>
      <c r="F15" s="8">
        <v>25.76</v>
      </c>
      <c r="G15" s="12">
        <v>3</v>
      </c>
      <c r="H15" s="8">
        <v>5</v>
      </c>
      <c r="I15" s="12">
        <v>0</v>
      </c>
    </row>
    <row r="16" spans="2:9" ht="15" customHeight="1" x14ac:dyDescent="0.2">
      <c r="B16" t="s">
        <v>201</v>
      </c>
      <c r="C16" s="12">
        <v>15</v>
      </c>
      <c r="D16" s="8">
        <v>11.28</v>
      </c>
      <c r="E16" s="12">
        <v>11</v>
      </c>
      <c r="F16" s="8">
        <v>16.670000000000002</v>
      </c>
      <c r="G16" s="12">
        <v>4</v>
      </c>
      <c r="H16" s="8">
        <v>6.67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3.76</v>
      </c>
      <c r="E17" s="12">
        <v>2</v>
      </c>
      <c r="F17" s="8">
        <v>3.03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4.51</v>
      </c>
      <c r="E18" s="12">
        <v>3</v>
      </c>
      <c r="F18" s="8">
        <v>4.55</v>
      </c>
      <c r="G18" s="12">
        <v>1</v>
      </c>
      <c r="H18" s="8">
        <v>1.67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3.76</v>
      </c>
      <c r="E19" s="12">
        <v>1</v>
      </c>
      <c r="F19" s="8">
        <v>1.52</v>
      </c>
      <c r="G19" s="12">
        <v>3</v>
      </c>
      <c r="H19" s="8">
        <v>5</v>
      </c>
      <c r="I19" s="12">
        <v>0</v>
      </c>
    </row>
    <row r="20" spans="2:9" ht="15" customHeight="1" x14ac:dyDescent="0.2">
      <c r="B20" s="9" t="s">
        <v>529</v>
      </c>
      <c r="C20" s="12">
        <f>SUM(LTBL_01608[総数／事業所数])</f>
        <v>133</v>
      </c>
      <c r="E20" s="12">
        <f>SUBTOTAL(109,LTBL_01608[個人／事業所数])</f>
        <v>66</v>
      </c>
      <c r="G20" s="12">
        <f>SUBTOTAL(109,LTBL_01608[法人／事業所数])</f>
        <v>60</v>
      </c>
      <c r="I20" s="12">
        <f>SUBTOTAL(109,LTBL_01608[法人以外の団体／事業所数])</f>
        <v>0</v>
      </c>
    </row>
    <row r="21" spans="2:9" ht="15" customHeight="1" x14ac:dyDescent="0.2">
      <c r="E21" s="11">
        <f>LTBL_01608[[#Totals],[個人／事業所数]]/LTBL_01608[[#Totals],[総数／事業所数]]</f>
        <v>0.49624060150375937</v>
      </c>
      <c r="G21" s="11">
        <f>LTBL_01608[[#Totals],[法人／事業所数]]/LTBL_01608[[#Totals],[総数／事業所数]]</f>
        <v>0.45112781954887216</v>
      </c>
      <c r="I21" s="11">
        <f>LTBL_01608[[#Totals],[法人以外の団体／事業所数]]/LTBL_01608[[#Totals],[総数／事業所数]]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17</v>
      </c>
      <c r="D24" s="8">
        <v>12.78</v>
      </c>
      <c r="E24" s="12">
        <v>16</v>
      </c>
      <c r="F24" s="8">
        <v>24.24</v>
      </c>
      <c r="G24" s="12">
        <v>1</v>
      </c>
      <c r="H24" s="8">
        <v>1.67</v>
      </c>
      <c r="I24" s="12">
        <v>0</v>
      </c>
    </row>
    <row r="25" spans="2:9" ht="15" customHeight="1" x14ac:dyDescent="0.2">
      <c r="B25" t="s">
        <v>223</v>
      </c>
      <c r="C25" s="12">
        <v>15</v>
      </c>
      <c r="D25" s="8">
        <v>11.28</v>
      </c>
      <c r="E25" s="12">
        <v>5</v>
      </c>
      <c r="F25" s="8">
        <v>7.58</v>
      </c>
      <c r="G25" s="12">
        <v>10</v>
      </c>
      <c r="H25" s="8">
        <v>16.670000000000002</v>
      </c>
      <c r="I25" s="12">
        <v>0</v>
      </c>
    </row>
    <row r="26" spans="2:9" ht="15" customHeight="1" x14ac:dyDescent="0.2">
      <c r="B26" t="s">
        <v>224</v>
      </c>
      <c r="C26" s="12">
        <v>14</v>
      </c>
      <c r="D26" s="8">
        <v>10.53</v>
      </c>
      <c r="E26" s="12">
        <v>9</v>
      </c>
      <c r="F26" s="8">
        <v>13.64</v>
      </c>
      <c r="G26" s="12">
        <v>4</v>
      </c>
      <c r="H26" s="8">
        <v>6.67</v>
      </c>
      <c r="I26" s="12">
        <v>0</v>
      </c>
    </row>
    <row r="27" spans="2:9" ht="15" customHeight="1" x14ac:dyDescent="0.2">
      <c r="B27" t="s">
        <v>228</v>
      </c>
      <c r="C27" s="12">
        <v>13</v>
      </c>
      <c r="D27" s="8">
        <v>9.77</v>
      </c>
      <c r="E27" s="12">
        <v>10</v>
      </c>
      <c r="F27" s="8">
        <v>15.15</v>
      </c>
      <c r="G27" s="12">
        <v>3</v>
      </c>
      <c r="H27" s="8">
        <v>5</v>
      </c>
      <c r="I27" s="12">
        <v>0</v>
      </c>
    </row>
    <row r="28" spans="2:9" ht="15" customHeight="1" x14ac:dyDescent="0.2">
      <c r="B28" t="s">
        <v>241</v>
      </c>
      <c r="C28" s="12">
        <v>7</v>
      </c>
      <c r="D28" s="8">
        <v>5.26</v>
      </c>
      <c r="E28" s="12">
        <v>0</v>
      </c>
      <c r="F28" s="8">
        <v>0</v>
      </c>
      <c r="G28" s="12">
        <v>7</v>
      </c>
      <c r="H28" s="8">
        <v>11.67</v>
      </c>
      <c r="I28" s="12">
        <v>0</v>
      </c>
    </row>
    <row r="29" spans="2:9" ht="15" customHeight="1" x14ac:dyDescent="0.2">
      <c r="B29" t="s">
        <v>214</v>
      </c>
      <c r="C29" s="12">
        <v>6</v>
      </c>
      <c r="D29" s="8">
        <v>4.51</v>
      </c>
      <c r="E29" s="12">
        <v>3</v>
      </c>
      <c r="F29" s="8">
        <v>4.55</v>
      </c>
      <c r="G29" s="12">
        <v>3</v>
      </c>
      <c r="H29" s="8">
        <v>5</v>
      </c>
      <c r="I29" s="12">
        <v>0</v>
      </c>
    </row>
    <row r="30" spans="2:9" ht="15" customHeight="1" x14ac:dyDescent="0.2">
      <c r="B30" t="s">
        <v>221</v>
      </c>
      <c r="C30" s="12">
        <v>6</v>
      </c>
      <c r="D30" s="8">
        <v>4.51</v>
      </c>
      <c r="E30" s="12">
        <v>3</v>
      </c>
      <c r="F30" s="8">
        <v>4.55</v>
      </c>
      <c r="G30" s="12">
        <v>3</v>
      </c>
      <c r="H30" s="8">
        <v>5</v>
      </c>
      <c r="I30" s="12">
        <v>0</v>
      </c>
    </row>
    <row r="31" spans="2:9" ht="15" customHeight="1" x14ac:dyDescent="0.2">
      <c r="B31" t="s">
        <v>213</v>
      </c>
      <c r="C31" s="12">
        <v>5</v>
      </c>
      <c r="D31" s="8">
        <v>3.76</v>
      </c>
      <c r="E31" s="12">
        <v>2</v>
      </c>
      <c r="F31" s="8">
        <v>3.03</v>
      </c>
      <c r="G31" s="12">
        <v>3</v>
      </c>
      <c r="H31" s="8">
        <v>5</v>
      </c>
      <c r="I31" s="12">
        <v>0</v>
      </c>
    </row>
    <row r="32" spans="2:9" ht="15" customHeight="1" x14ac:dyDescent="0.2">
      <c r="B32" t="s">
        <v>220</v>
      </c>
      <c r="C32" s="12">
        <v>5</v>
      </c>
      <c r="D32" s="8">
        <v>3.76</v>
      </c>
      <c r="E32" s="12">
        <v>3</v>
      </c>
      <c r="F32" s="8">
        <v>4.55</v>
      </c>
      <c r="G32" s="12">
        <v>2</v>
      </c>
      <c r="H32" s="8">
        <v>3.33</v>
      </c>
      <c r="I32" s="12">
        <v>0</v>
      </c>
    </row>
    <row r="33" spans="2:9" ht="15" customHeight="1" x14ac:dyDescent="0.2">
      <c r="B33" t="s">
        <v>222</v>
      </c>
      <c r="C33" s="12">
        <v>5</v>
      </c>
      <c r="D33" s="8">
        <v>3.76</v>
      </c>
      <c r="E33" s="12">
        <v>2</v>
      </c>
      <c r="F33" s="8">
        <v>3.03</v>
      </c>
      <c r="G33" s="12">
        <v>3</v>
      </c>
      <c r="H33" s="8">
        <v>5</v>
      </c>
      <c r="I33" s="12">
        <v>0</v>
      </c>
    </row>
    <row r="34" spans="2:9" ht="15" customHeight="1" x14ac:dyDescent="0.2">
      <c r="B34" t="s">
        <v>230</v>
      </c>
      <c r="C34" s="12">
        <v>5</v>
      </c>
      <c r="D34" s="8">
        <v>3.76</v>
      </c>
      <c r="E34" s="12">
        <v>2</v>
      </c>
      <c r="F34" s="8">
        <v>3.03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231</v>
      </c>
      <c r="C35" s="12">
        <v>4</v>
      </c>
      <c r="D35" s="8">
        <v>3.01</v>
      </c>
      <c r="E35" s="12">
        <v>3</v>
      </c>
      <c r="F35" s="8">
        <v>4.55</v>
      </c>
      <c r="G35" s="12">
        <v>1</v>
      </c>
      <c r="H35" s="8">
        <v>1.67</v>
      </c>
      <c r="I35" s="12">
        <v>0</v>
      </c>
    </row>
    <row r="36" spans="2:9" ht="15" customHeight="1" x14ac:dyDescent="0.2">
      <c r="B36" t="s">
        <v>243</v>
      </c>
      <c r="C36" s="12">
        <v>3</v>
      </c>
      <c r="D36" s="8">
        <v>2.2599999999999998</v>
      </c>
      <c r="E36" s="12">
        <v>1</v>
      </c>
      <c r="F36" s="8">
        <v>1.52</v>
      </c>
      <c r="G36" s="12">
        <v>2</v>
      </c>
      <c r="H36" s="8">
        <v>3.33</v>
      </c>
      <c r="I36" s="12">
        <v>0</v>
      </c>
    </row>
    <row r="37" spans="2:9" ht="15" customHeight="1" x14ac:dyDescent="0.2">
      <c r="B37" t="s">
        <v>240</v>
      </c>
      <c r="C37" s="12">
        <v>3</v>
      </c>
      <c r="D37" s="8">
        <v>2.2599999999999998</v>
      </c>
      <c r="E37" s="12">
        <v>1</v>
      </c>
      <c r="F37" s="8">
        <v>1.52</v>
      </c>
      <c r="G37" s="12">
        <v>2</v>
      </c>
      <c r="H37" s="8">
        <v>3.33</v>
      </c>
      <c r="I37" s="12">
        <v>0</v>
      </c>
    </row>
    <row r="38" spans="2:9" ht="15" customHeight="1" x14ac:dyDescent="0.2">
      <c r="B38" t="s">
        <v>215</v>
      </c>
      <c r="C38" s="12">
        <v>2</v>
      </c>
      <c r="D38" s="8">
        <v>1.5</v>
      </c>
      <c r="E38" s="12">
        <v>0</v>
      </c>
      <c r="F38" s="8">
        <v>0</v>
      </c>
      <c r="G38" s="12">
        <v>2</v>
      </c>
      <c r="H38" s="8">
        <v>3.33</v>
      </c>
      <c r="I38" s="12">
        <v>0</v>
      </c>
    </row>
    <row r="39" spans="2:9" ht="15" customHeight="1" x14ac:dyDescent="0.2">
      <c r="B39" t="s">
        <v>216</v>
      </c>
      <c r="C39" s="12">
        <v>2</v>
      </c>
      <c r="D39" s="8">
        <v>1.5</v>
      </c>
      <c r="E39" s="12">
        <v>0</v>
      </c>
      <c r="F39" s="8">
        <v>0</v>
      </c>
      <c r="G39" s="12">
        <v>2</v>
      </c>
      <c r="H39" s="8">
        <v>3.33</v>
      </c>
      <c r="I39" s="12">
        <v>0</v>
      </c>
    </row>
    <row r="40" spans="2:9" ht="15" customHeight="1" x14ac:dyDescent="0.2">
      <c r="B40" t="s">
        <v>217</v>
      </c>
      <c r="C40" s="12">
        <v>2</v>
      </c>
      <c r="D40" s="8">
        <v>1.5</v>
      </c>
      <c r="E40" s="12">
        <v>1</v>
      </c>
      <c r="F40" s="8">
        <v>1.52</v>
      </c>
      <c r="G40" s="12">
        <v>1</v>
      </c>
      <c r="H40" s="8">
        <v>1.67</v>
      </c>
      <c r="I40" s="12">
        <v>0</v>
      </c>
    </row>
    <row r="41" spans="2:9" ht="15" customHeight="1" x14ac:dyDescent="0.2">
      <c r="B41" t="s">
        <v>236</v>
      </c>
      <c r="C41" s="12">
        <v>2</v>
      </c>
      <c r="D41" s="8">
        <v>1.5</v>
      </c>
      <c r="E41" s="12">
        <v>1</v>
      </c>
      <c r="F41" s="8">
        <v>1.52</v>
      </c>
      <c r="G41" s="12">
        <v>1</v>
      </c>
      <c r="H41" s="8">
        <v>1.67</v>
      </c>
      <c r="I41" s="12">
        <v>0</v>
      </c>
    </row>
    <row r="42" spans="2:9" ht="15" customHeight="1" x14ac:dyDescent="0.2">
      <c r="B42" t="s">
        <v>226</v>
      </c>
      <c r="C42" s="12">
        <v>2</v>
      </c>
      <c r="D42" s="8">
        <v>1.5</v>
      </c>
      <c r="E42" s="12">
        <v>0</v>
      </c>
      <c r="F42" s="8">
        <v>0</v>
      </c>
      <c r="G42" s="12">
        <v>2</v>
      </c>
      <c r="H42" s="8">
        <v>3.33</v>
      </c>
      <c r="I42" s="12">
        <v>0</v>
      </c>
    </row>
    <row r="43" spans="2:9" ht="15" customHeight="1" x14ac:dyDescent="0.2">
      <c r="B43" t="s">
        <v>232</v>
      </c>
      <c r="C43" s="12">
        <v>2</v>
      </c>
      <c r="D43" s="8">
        <v>1.5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249</v>
      </c>
      <c r="C44" s="12">
        <v>2</v>
      </c>
      <c r="D44" s="8">
        <v>1.5</v>
      </c>
      <c r="E44" s="12">
        <v>0</v>
      </c>
      <c r="F44" s="8">
        <v>0</v>
      </c>
      <c r="G44" s="12">
        <v>1</v>
      </c>
      <c r="H44" s="8">
        <v>1.67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297</v>
      </c>
      <c r="C48" s="12">
        <v>12</v>
      </c>
      <c r="D48" s="8">
        <v>9.02</v>
      </c>
      <c r="E48" s="12">
        <v>9</v>
      </c>
      <c r="F48" s="8">
        <v>13.64</v>
      </c>
      <c r="G48" s="12">
        <v>2</v>
      </c>
      <c r="H48" s="8">
        <v>3.33</v>
      </c>
      <c r="I48" s="12">
        <v>0</v>
      </c>
    </row>
    <row r="49" spans="2:9" ht="15" customHeight="1" x14ac:dyDescent="0.2">
      <c r="B49" t="s">
        <v>304</v>
      </c>
      <c r="C49" s="12">
        <v>8</v>
      </c>
      <c r="D49" s="8">
        <v>6.02</v>
      </c>
      <c r="E49" s="12">
        <v>5</v>
      </c>
      <c r="F49" s="8">
        <v>7.58</v>
      </c>
      <c r="G49" s="12">
        <v>3</v>
      </c>
      <c r="H49" s="8">
        <v>5</v>
      </c>
      <c r="I49" s="12">
        <v>0</v>
      </c>
    </row>
    <row r="50" spans="2:9" ht="15" customHeight="1" x14ac:dyDescent="0.2">
      <c r="B50" t="s">
        <v>342</v>
      </c>
      <c r="C50" s="12">
        <v>7</v>
      </c>
      <c r="D50" s="8">
        <v>5.26</v>
      </c>
      <c r="E50" s="12">
        <v>0</v>
      </c>
      <c r="F50" s="8">
        <v>0</v>
      </c>
      <c r="G50" s="12">
        <v>7</v>
      </c>
      <c r="H50" s="8">
        <v>11.67</v>
      </c>
      <c r="I50" s="12">
        <v>0</v>
      </c>
    </row>
    <row r="51" spans="2:9" ht="15" customHeight="1" x14ac:dyDescent="0.2">
      <c r="B51" t="s">
        <v>330</v>
      </c>
      <c r="C51" s="12">
        <v>5</v>
      </c>
      <c r="D51" s="8">
        <v>3.76</v>
      </c>
      <c r="E51" s="12">
        <v>0</v>
      </c>
      <c r="F51" s="8">
        <v>0</v>
      </c>
      <c r="G51" s="12">
        <v>5</v>
      </c>
      <c r="H51" s="8">
        <v>8.33</v>
      </c>
      <c r="I51" s="12">
        <v>0</v>
      </c>
    </row>
    <row r="52" spans="2:9" ht="15" customHeight="1" x14ac:dyDescent="0.2">
      <c r="B52" t="s">
        <v>295</v>
      </c>
      <c r="C52" s="12">
        <v>5</v>
      </c>
      <c r="D52" s="8">
        <v>3.76</v>
      </c>
      <c r="E52" s="12">
        <v>4</v>
      </c>
      <c r="F52" s="8">
        <v>6.06</v>
      </c>
      <c r="G52" s="12">
        <v>1</v>
      </c>
      <c r="H52" s="8">
        <v>1.67</v>
      </c>
      <c r="I52" s="12">
        <v>0</v>
      </c>
    </row>
    <row r="53" spans="2:9" ht="15" customHeight="1" x14ac:dyDescent="0.2">
      <c r="B53" t="s">
        <v>301</v>
      </c>
      <c r="C53" s="12">
        <v>5</v>
      </c>
      <c r="D53" s="8">
        <v>3.76</v>
      </c>
      <c r="E53" s="12">
        <v>5</v>
      </c>
      <c r="F53" s="8">
        <v>7.58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334</v>
      </c>
      <c r="C54" s="12">
        <v>4</v>
      </c>
      <c r="D54" s="8">
        <v>3.01</v>
      </c>
      <c r="E54" s="12">
        <v>3</v>
      </c>
      <c r="F54" s="8">
        <v>4.55</v>
      </c>
      <c r="G54" s="12">
        <v>1</v>
      </c>
      <c r="H54" s="8">
        <v>1.67</v>
      </c>
      <c r="I54" s="12">
        <v>0</v>
      </c>
    </row>
    <row r="55" spans="2:9" ht="15" customHeight="1" x14ac:dyDescent="0.2">
      <c r="B55" t="s">
        <v>300</v>
      </c>
      <c r="C55" s="12">
        <v>4</v>
      </c>
      <c r="D55" s="8">
        <v>3.01</v>
      </c>
      <c r="E55" s="12">
        <v>4</v>
      </c>
      <c r="F55" s="8">
        <v>6.06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303</v>
      </c>
      <c r="C56" s="12">
        <v>4</v>
      </c>
      <c r="D56" s="8">
        <v>3.01</v>
      </c>
      <c r="E56" s="12">
        <v>4</v>
      </c>
      <c r="F56" s="8">
        <v>6.06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400</v>
      </c>
      <c r="C57" s="12">
        <v>3</v>
      </c>
      <c r="D57" s="8">
        <v>2.2599999999999998</v>
      </c>
      <c r="E57" s="12">
        <v>3</v>
      </c>
      <c r="F57" s="8">
        <v>4.55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380</v>
      </c>
      <c r="C58" s="12">
        <v>3</v>
      </c>
      <c r="D58" s="8">
        <v>2.2599999999999998</v>
      </c>
      <c r="E58" s="12">
        <v>1</v>
      </c>
      <c r="F58" s="8">
        <v>1.52</v>
      </c>
      <c r="G58" s="12">
        <v>2</v>
      </c>
      <c r="H58" s="8">
        <v>3.33</v>
      </c>
      <c r="I58" s="12">
        <v>0</v>
      </c>
    </row>
    <row r="59" spans="2:9" ht="15" customHeight="1" x14ac:dyDescent="0.2">
      <c r="B59" t="s">
        <v>335</v>
      </c>
      <c r="C59" s="12">
        <v>3</v>
      </c>
      <c r="D59" s="8">
        <v>2.2599999999999998</v>
      </c>
      <c r="E59" s="12">
        <v>1</v>
      </c>
      <c r="F59" s="8">
        <v>1.52</v>
      </c>
      <c r="G59" s="12">
        <v>2</v>
      </c>
      <c r="H59" s="8">
        <v>3.33</v>
      </c>
      <c r="I59" s="12">
        <v>0</v>
      </c>
    </row>
    <row r="60" spans="2:9" ht="15" customHeight="1" x14ac:dyDescent="0.2">
      <c r="B60" t="s">
        <v>339</v>
      </c>
      <c r="C60" s="12">
        <v>3</v>
      </c>
      <c r="D60" s="8">
        <v>2.2599999999999998</v>
      </c>
      <c r="E60" s="12">
        <v>1</v>
      </c>
      <c r="F60" s="8">
        <v>1.52</v>
      </c>
      <c r="G60" s="12">
        <v>2</v>
      </c>
      <c r="H60" s="8">
        <v>3.33</v>
      </c>
      <c r="I60" s="12">
        <v>0</v>
      </c>
    </row>
    <row r="61" spans="2:9" ht="15" customHeight="1" x14ac:dyDescent="0.2">
      <c r="B61" t="s">
        <v>299</v>
      </c>
      <c r="C61" s="12">
        <v>3</v>
      </c>
      <c r="D61" s="8">
        <v>2.2599999999999998</v>
      </c>
      <c r="E61" s="12">
        <v>3</v>
      </c>
      <c r="F61" s="8">
        <v>4.55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340</v>
      </c>
      <c r="C62" s="12">
        <v>3</v>
      </c>
      <c r="D62" s="8">
        <v>2.2599999999999998</v>
      </c>
      <c r="E62" s="12">
        <v>0</v>
      </c>
      <c r="F62" s="8">
        <v>0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307</v>
      </c>
      <c r="C63" s="12">
        <v>3</v>
      </c>
      <c r="D63" s="8">
        <v>2.2599999999999998</v>
      </c>
      <c r="E63" s="12">
        <v>1</v>
      </c>
      <c r="F63" s="8">
        <v>1.52</v>
      </c>
      <c r="G63" s="12">
        <v>2</v>
      </c>
      <c r="H63" s="8">
        <v>3.33</v>
      </c>
      <c r="I63" s="12">
        <v>0</v>
      </c>
    </row>
    <row r="64" spans="2:9" ht="15" customHeight="1" x14ac:dyDescent="0.2">
      <c r="B64" t="s">
        <v>289</v>
      </c>
      <c r="C64" s="12">
        <v>2</v>
      </c>
      <c r="D64" s="8">
        <v>1.5</v>
      </c>
      <c r="E64" s="12">
        <v>1</v>
      </c>
      <c r="F64" s="8">
        <v>1.52</v>
      </c>
      <c r="G64" s="12">
        <v>1</v>
      </c>
      <c r="H64" s="8">
        <v>1.67</v>
      </c>
      <c r="I64" s="12">
        <v>0</v>
      </c>
    </row>
    <row r="65" spans="2:9" ht="15" customHeight="1" x14ac:dyDescent="0.2">
      <c r="B65" t="s">
        <v>328</v>
      </c>
      <c r="C65" s="12">
        <v>2</v>
      </c>
      <c r="D65" s="8">
        <v>1.5</v>
      </c>
      <c r="E65" s="12">
        <v>1</v>
      </c>
      <c r="F65" s="8">
        <v>1.52</v>
      </c>
      <c r="G65" s="12">
        <v>1</v>
      </c>
      <c r="H65" s="8">
        <v>1.67</v>
      </c>
      <c r="I65" s="12">
        <v>0</v>
      </c>
    </row>
    <row r="66" spans="2:9" ht="15" customHeight="1" x14ac:dyDescent="0.2">
      <c r="B66" t="s">
        <v>353</v>
      </c>
      <c r="C66" s="12">
        <v>2</v>
      </c>
      <c r="D66" s="8">
        <v>1.5</v>
      </c>
      <c r="E66" s="12">
        <v>2</v>
      </c>
      <c r="F66" s="8">
        <v>3.03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290</v>
      </c>
      <c r="C67" s="12">
        <v>2</v>
      </c>
      <c r="D67" s="8">
        <v>1.5</v>
      </c>
      <c r="E67" s="12">
        <v>0</v>
      </c>
      <c r="F67" s="8">
        <v>0</v>
      </c>
      <c r="G67" s="12">
        <v>2</v>
      </c>
      <c r="H67" s="8">
        <v>3.33</v>
      </c>
      <c r="I67" s="12">
        <v>0</v>
      </c>
    </row>
    <row r="68" spans="2:9" ht="15" customHeight="1" x14ac:dyDescent="0.2">
      <c r="B68" t="s">
        <v>324</v>
      </c>
      <c r="C68" s="12">
        <v>2</v>
      </c>
      <c r="D68" s="8">
        <v>1.5</v>
      </c>
      <c r="E68" s="12">
        <v>0</v>
      </c>
      <c r="F68" s="8">
        <v>0</v>
      </c>
      <c r="G68" s="12">
        <v>2</v>
      </c>
      <c r="H68" s="8">
        <v>3.33</v>
      </c>
      <c r="I68" s="12">
        <v>0</v>
      </c>
    </row>
    <row r="69" spans="2:9" ht="15" customHeight="1" x14ac:dyDescent="0.2">
      <c r="B69" t="s">
        <v>293</v>
      </c>
      <c r="C69" s="12">
        <v>2</v>
      </c>
      <c r="D69" s="8">
        <v>1.5</v>
      </c>
      <c r="E69" s="12">
        <v>1</v>
      </c>
      <c r="F69" s="8">
        <v>1.52</v>
      </c>
      <c r="G69" s="12">
        <v>1</v>
      </c>
      <c r="H69" s="8">
        <v>1.67</v>
      </c>
      <c r="I69" s="12">
        <v>0</v>
      </c>
    </row>
    <row r="70" spans="2:9" ht="15" customHeight="1" x14ac:dyDescent="0.2">
      <c r="B70" t="s">
        <v>338</v>
      </c>
      <c r="C70" s="12">
        <v>2</v>
      </c>
      <c r="D70" s="8">
        <v>1.5</v>
      </c>
      <c r="E70" s="12">
        <v>1</v>
      </c>
      <c r="F70" s="8">
        <v>1.52</v>
      </c>
      <c r="G70" s="12">
        <v>1</v>
      </c>
      <c r="H70" s="8">
        <v>1.67</v>
      </c>
      <c r="I70" s="12">
        <v>0</v>
      </c>
    </row>
    <row r="71" spans="2:9" ht="15" customHeight="1" x14ac:dyDescent="0.2">
      <c r="B71" t="s">
        <v>344</v>
      </c>
      <c r="C71" s="12">
        <v>2</v>
      </c>
      <c r="D71" s="8">
        <v>1.5</v>
      </c>
      <c r="E71" s="12">
        <v>1</v>
      </c>
      <c r="F71" s="8">
        <v>1.52</v>
      </c>
      <c r="G71" s="12">
        <v>1</v>
      </c>
      <c r="H71" s="8">
        <v>1.67</v>
      </c>
      <c r="I71" s="12">
        <v>0</v>
      </c>
    </row>
    <row r="72" spans="2:9" ht="15" customHeight="1" x14ac:dyDescent="0.2">
      <c r="B72" t="s">
        <v>296</v>
      </c>
      <c r="C72" s="12">
        <v>2</v>
      </c>
      <c r="D72" s="8">
        <v>1.5</v>
      </c>
      <c r="E72" s="12">
        <v>0</v>
      </c>
      <c r="F72" s="8">
        <v>0</v>
      </c>
      <c r="G72" s="12">
        <v>2</v>
      </c>
      <c r="H72" s="8">
        <v>3.33</v>
      </c>
      <c r="I72" s="12">
        <v>0</v>
      </c>
    </row>
    <row r="73" spans="2:9" ht="15" customHeight="1" x14ac:dyDescent="0.2">
      <c r="B73" t="s">
        <v>305</v>
      </c>
      <c r="C73" s="12">
        <v>2</v>
      </c>
      <c r="D73" s="8">
        <v>1.5</v>
      </c>
      <c r="E73" s="12">
        <v>2</v>
      </c>
      <c r="F73" s="8">
        <v>3.03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306</v>
      </c>
      <c r="C74" s="12">
        <v>2</v>
      </c>
      <c r="D74" s="8">
        <v>1.5</v>
      </c>
      <c r="E74" s="12">
        <v>2</v>
      </c>
      <c r="F74" s="8">
        <v>3.03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341</v>
      </c>
      <c r="C75" s="12">
        <v>2</v>
      </c>
      <c r="D75" s="8">
        <v>1.5</v>
      </c>
      <c r="E75" s="12">
        <v>0</v>
      </c>
      <c r="F75" s="8">
        <v>0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370</v>
      </c>
      <c r="C76" s="12">
        <v>2</v>
      </c>
      <c r="D76" s="8">
        <v>1.5</v>
      </c>
      <c r="E76" s="12">
        <v>0</v>
      </c>
      <c r="F76" s="8">
        <v>0</v>
      </c>
      <c r="G76" s="12">
        <v>1</v>
      </c>
      <c r="H76" s="8">
        <v>1.67</v>
      </c>
      <c r="I76" s="12">
        <v>0</v>
      </c>
    </row>
    <row r="78" spans="2:9" ht="15" customHeight="1" x14ac:dyDescent="0.2">
      <c r="B7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0B40A-CDF4-4F44-8D5C-EE2F24DD8583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24</v>
      </c>
      <c r="D6" s="8">
        <v>15.38</v>
      </c>
      <c r="E6" s="12">
        <v>9</v>
      </c>
      <c r="F6" s="8">
        <v>10.47</v>
      </c>
      <c r="G6" s="12">
        <v>15</v>
      </c>
      <c r="H6" s="8">
        <v>28.3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5.77</v>
      </c>
      <c r="E7" s="12">
        <v>1</v>
      </c>
      <c r="F7" s="8">
        <v>1.1599999999999999</v>
      </c>
      <c r="G7" s="12">
        <v>8</v>
      </c>
      <c r="H7" s="8">
        <v>15.09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0.64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1.28</v>
      </c>
      <c r="E10" s="12">
        <v>0</v>
      </c>
      <c r="F10" s="8">
        <v>0</v>
      </c>
      <c r="G10" s="12">
        <v>2</v>
      </c>
      <c r="H10" s="8">
        <v>3.77</v>
      </c>
      <c r="I10" s="12">
        <v>0</v>
      </c>
    </row>
    <row r="11" spans="2:9" ht="15" customHeight="1" x14ac:dyDescent="0.2">
      <c r="B11" t="s">
        <v>196</v>
      </c>
      <c r="C11" s="12">
        <v>40</v>
      </c>
      <c r="D11" s="8">
        <v>25.64</v>
      </c>
      <c r="E11" s="12">
        <v>21</v>
      </c>
      <c r="F11" s="8">
        <v>24.42</v>
      </c>
      <c r="G11" s="12">
        <v>18</v>
      </c>
      <c r="H11" s="8">
        <v>33.96</v>
      </c>
      <c r="I11" s="12">
        <v>1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1.28</v>
      </c>
      <c r="E13" s="12">
        <v>0</v>
      </c>
      <c r="F13" s="8">
        <v>0</v>
      </c>
      <c r="G13" s="12">
        <v>2</v>
      </c>
      <c r="H13" s="8">
        <v>3.77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1.92</v>
      </c>
      <c r="E14" s="12">
        <v>2</v>
      </c>
      <c r="F14" s="8">
        <v>2.33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31</v>
      </c>
      <c r="D15" s="8">
        <v>19.87</v>
      </c>
      <c r="E15" s="12">
        <v>27</v>
      </c>
      <c r="F15" s="8">
        <v>31.4</v>
      </c>
      <c r="G15" s="12">
        <v>3</v>
      </c>
      <c r="H15" s="8">
        <v>5.66</v>
      </c>
      <c r="I15" s="12">
        <v>0</v>
      </c>
    </row>
    <row r="16" spans="2:9" ht="15" customHeight="1" x14ac:dyDescent="0.2">
      <c r="B16" t="s">
        <v>201</v>
      </c>
      <c r="C16" s="12">
        <v>21</v>
      </c>
      <c r="D16" s="8">
        <v>13.46</v>
      </c>
      <c r="E16" s="12">
        <v>16</v>
      </c>
      <c r="F16" s="8">
        <v>18.600000000000001</v>
      </c>
      <c r="G16" s="12">
        <v>2</v>
      </c>
      <c r="H16" s="8">
        <v>3.77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2.56</v>
      </c>
      <c r="E17" s="12">
        <v>2</v>
      </c>
      <c r="F17" s="8">
        <v>2.33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11</v>
      </c>
      <c r="D18" s="8">
        <v>7.05</v>
      </c>
      <c r="E18" s="12">
        <v>4</v>
      </c>
      <c r="F18" s="8">
        <v>4.6500000000000004</v>
      </c>
      <c r="G18" s="12">
        <v>2</v>
      </c>
      <c r="H18" s="8">
        <v>3.77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5.13</v>
      </c>
      <c r="E19" s="12">
        <v>4</v>
      </c>
      <c r="F19" s="8">
        <v>4.6500000000000004</v>
      </c>
      <c r="G19" s="12">
        <v>1</v>
      </c>
      <c r="H19" s="8">
        <v>1.89</v>
      </c>
      <c r="I19" s="12">
        <v>0</v>
      </c>
    </row>
    <row r="20" spans="2:9" ht="15" customHeight="1" x14ac:dyDescent="0.2">
      <c r="B20" s="9" t="s">
        <v>529</v>
      </c>
      <c r="C20" s="12">
        <f>SUM(LTBL_01609[総数／事業所数])</f>
        <v>156</v>
      </c>
      <c r="E20" s="12">
        <f>SUBTOTAL(109,LTBL_01609[個人／事業所数])</f>
        <v>86</v>
      </c>
      <c r="G20" s="12">
        <f>SUBTOTAL(109,LTBL_01609[法人／事業所数])</f>
        <v>53</v>
      </c>
      <c r="I20" s="12">
        <f>SUBTOTAL(109,LTBL_01609[法人以外の団体／事業所数])</f>
        <v>1</v>
      </c>
    </row>
    <row r="21" spans="2:9" ht="15" customHeight="1" x14ac:dyDescent="0.2">
      <c r="E21" s="11">
        <f>LTBL_01609[[#Totals],[個人／事業所数]]/LTBL_01609[[#Totals],[総数／事業所数]]</f>
        <v>0.55128205128205132</v>
      </c>
      <c r="G21" s="11">
        <f>LTBL_01609[[#Totals],[法人／事業所数]]/LTBL_01609[[#Totals],[総数／事業所数]]</f>
        <v>0.33974358974358976</v>
      </c>
      <c r="I21" s="11">
        <f>LTBL_01609[[#Totals],[法人以外の団体／事業所数]]/LTBL_01609[[#Totals],[総数／事業所数]]</f>
        <v>6.41025641025641E-3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21</v>
      </c>
      <c r="D24" s="8">
        <v>13.46</v>
      </c>
      <c r="E24" s="12">
        <v>18</v>
      </c>
      <c r="F24" s="8">
        <v>20.93</v>
      </c>
      <c r="G24" s="12">
        <v>2</v>
      </c>
      <c r="H24" s="8">
        <v>3.77</v>
      </c>
      <c r="I24" s="12">
        <v>0</v>
      </c>
    </row>
    <row r="25" spans="2:9" ht="15" customHeight="1" x14ac:dyDescent="0.2">
      <c r="B25" t="s">
        <v>228</v>
      </c>
      <c r="C25" s="12">
        <v>17</v>
      </c>
      <c r="D25" s="8">
        <v>10.9</v>
      </c>
      <c r="E25" s="12">
        <v>16</v>
      </c>
      <c r="F25" s="8">
        <v>18.600000000000001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223</v>
      </c>
      <c r="C26" s="12">
        <v>13</v>
      </c>
      <c r="D26" s="8">
        <v>8.33</v>
      </c>
      <c r="E26" s="12">
        <v>6</v>
      </c>
      <c r="F26" s="8">
        <v>6.98</v>
      </c>
      <c r="G26" s="12">
        <v>7</v>
      </c>
      <c r="H26" s="8">
        <v>13.21</v>
      </c>
      <c r="I26" s="12">
        <v>0</v>
      </c>
    </row>
    <row r="27" spans="2:9" ht="15" customHeight="1" x14ac:dyDescent="0.2">
      <c r="B27" t="s">
        <v>213</v>
      </c>
      <c r="C27" s="12">
        <v>11</v>
      </c>
      <c r="D27" s="8">
        <v>7.05</v>
      </c>
      <c r="E27" s="12">
        <v>1</v>
      </c>
      <c r="F27" s="8">
        <v>1.1599999999999999</v>
      </c>
      <c r="G27" s="12">
        <v>10</v>
      </c>
      <c r="H27" s="8">
        <v>18.87</v>
      </c>
      <c r="I27" s="12">
        <v>0</v>
      </c>
    </row>
    <row r="28" spans="2:9" ht="15" customHeight="1" x14ac:dyDescent="0.2">
      <c r="B28" t="s">
        <v>221</v>
      </c>
      <c r="C28" s="12">
        <v>11</v>
      </c>
      <c r="D28" s="8">
        <v>7.05</v>
      </c>
      <c r="E28" s="12">
        <v>10</v>
      </c>
      <c r="F28" s="8">
        <v>11.63</v>
      </c>
      <c r="G28" s="12">
        <v>0</v>
      </c>
      <c r="H28" s="8">
        <v>0</v>
      </c>
      <c r="I28" s="12">
        <v>1</v>
      </c>
    </row>
    <row r="29" spans="2:9" ht="15" customHeight="1" x14ac:dyDescent="0.2">
      <c r="B29" t="s">
        <v>214</v>
      </c>
      <c r="C29" s="12">
        <v>10</v>
      </c>
      <c r="D29" s="8">
        <v>6.41</v>
      </c>
      <c r="E29" s="12">
        <v>7</v>
      </c>
      <c r="F29" s="8">
        <v>8.14</v>
      </c>
      <c r="G29" s="12">
        <v>3</v>
      </c>
      <c r="H29" s="8">
        <v>5.66</v>
      </c>
      <c r="I29" s="12">
        <v>0</v>
      </c>
    </row>
    <row r="30" spans="2:9" ht="15" customHeight="1" x14ac:dyDescent="0.2">
      <c r="B30" t="s">
        <v>243</v>
      </c>
      <c r="C30" s="12">
        <v>9</v>
      </c>
      <c r="D30" s="8">
        <v>5.77</v>
      </c>
      <c r="E30" s="12">
        <v>9</v>
      </c>
      <c r="F30" s="8">
        <v>10.47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241</v>
      </c>
      <c r="C31" s="12">
        <v>7</v>
      </c>
      <c r="D31" s="8">
        <v>4.49</v>
      </c>
      <c r="E31" s="12">
        <v>1</v>
      </c>
      <c r="F31" s="8">
        <v>1.1599999999999999</v>
      </c>
      <c r="G31" s="12">
        <v>6</v>
      </c>
      <c r="H31" s="8">
        <v>11.32</v>
      </c>
      <c r="I31" s="12">
        <v>0</v>
      </c>
    </row>
    <row r="32" spans="2:9" ht="15" customHeight="1" x14ac:dyDescent="0.2">
      <c r="B32" t="s">
        <v>232</v>
      </c>
      <c r="C32" s="12">
        <v>7</v>
      </c>
      <c r="D32" s="8">
        <v>4.49</v>
      </c>
      <c r="E32" s="12">
        <v>0</v>
      </c>
      <c r="F32" s="8">
        <v>0</v>
      </c>
      <c r="G32" s="12">
        <v>2</v>
      </c>
      <c r="H32" s="8">
        <v>3.77</v>
      </c>
      <c r="I32" s="12">
        <v>0</v>
      </c>
    </row>
    <row r="33" spans="2:9" ht="15" customHeight="1" x14ac:dyDescent="0.2">
      <c r="B33" t="s">
        <v>216</v>
      </c>
      <c r="C33" s="12">
        <v>5</v>
      </c>
      <c r="D33" s="8">
        <v>3.21</v>
      </c>
      <c r="E33" s="12">
        <v>0</v>
      </c>
      <c r="F33" s="8">
        <v>0</v>
      </c>
      <c r="G33" s="12">
        <v>5</v>
      </c>
      <c r="H33" s="8">
        <v>9.43</v>
      </c>
      <c r="I33" s="12">
        <v>0</v>
      </c>
    </row>
    <row r="34" spans="2:9" ht="15" customHeight="1" x14ac:dyDescent="0.2">
      <c r="B34" t="s">
        <v>240</v>
      </c>
      <c r="C34" s="12">
        <v>5</v>
      </c>
      <c r="D34" s="8">
        <v>3.21</v>
      </c>
      <c r="E34" s="12">
        <v>4</v>
      </c>
      <c r="F34" s="8">
        <v>4.6500000000000004</v>
      </c>
      <c r="G34" s="12">
        <v>1</v>
      </c>
      <c r="H34" s="8">
        <v>1.89</v>
      </c>
      <c r="I34" s="12">
        <v>0</v>
      </c>
    </row>
    <row r="35" spans="2:9" ht="15" customHeight="1" x14ac:dyDescent="0.2">
      <c r="B35" t="s">
        <v>222</v>
      </c>
      <c r="C35" s="12">
        <v>4</v>
      </c>
      <c r="D35" s="8">
        <v>2.56</v>
      </c>
      <c r="E35" s="12">
        <v>3</v>
      </c>
      <c r="F35" s="8">
        <v>3.49</v>
      </c>
      <c r="G35" s="12">
        <v>1</v>
      </c>
      <c r="H35" s="8">
        <v>1.89</v>
      </c>
      <c r="I35" s="12">
        <v>0</v>
      </c>
    </row>
    <row r="36" spans="2:9" ht="15" customHeight="1" x14ac:dyDescent="0.2">
      <c r="B36" t="s">
        <v>230</v>
      </c>
      <c r="C36" s="12">
        <v>4</v>
      </c>
      <c r="D36" s="8">
        <v>2.56</v>
      </c>
      <c r="E36" s="12">
        <v>2</v>
      </c>
      <c r="F36" s="8">
        <v>2.33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231</v>
      </c>
      <c r="C37" s="12">
        <v>4</v>
      </c>
      <c r="D37" s="8">
        <v>2.56</v>
      </c>
      <c r="E37" s="12">
        <v>4</v>
      </c>
      <c r="F37" s="8">
        <v>4.6500000000000004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215</v>
      </c>
      <c r="C38" s="12">
        <v>3</v>
      </c>
      <c r="D38" s="8">
        <v>1.92</v>
      </c>
      <c r="E38" s="12">
        <v>1</v>
      </c>
      <c r="F38" s="8">
        <v>1.1599999999999999</v>
      </c>
      <c r="G38" s="12">
        <v>2</v>
      </c>
      <c r="H38" s="8">
        <v>3.77</v>
      </c>
      <c r="I38" s="12">
        <v>0</v>
      </c>
    </row>
    <row r="39" spans="2:9" ht="15" customHeight="1" x14ac:dyDescent="0.2">
      <c r="B39" t="s">
        <v>219</v>
      </c>
      <c r="C39" s="12">
        <v>3</v>
      </c>
      <c r="D39" s="8">
        <v>1.92</v>
      </c>
      <c r="E39" s="12">
        <v>0</v>
      </c>
      <c r="F39" s="8">
        <v>0</v>
      </c>
      <c r="G39" s="12">
        <v>3</v>
      </c>
      <c r="H39" s="8">
        <v>5.66</v>
      </c>
      <c r="I39" s="12">
        <v>0</v>
      </c>
    </row>
    <row r="40" spans="2:9" ht="15" customHeight="1" x14ac:dyDescent="0.2">
      <c r="B40" t="s">
        <v>217</v>
      </c>
      <c r="C40" s="12">
        <v>2</v>
      </c>
      <c r="D40" s="8">
        <v>1.28</v>
      </c>
      <c r="E40" s="12">
        <v>1</v>
      </c>
      <c r="F40" s="8">
        <v>1.1599999999999999</v>
      </c>
      <c r="G40" s="12">
        <v>1</v>
      </c>
      <c r="H40" s="8">
        <v>1.89</v>
      </c>
      <c r="I40" s="12">
        <v>0</v>
      </c>
    </row>
    <row r="41" spans="2:9" ht="15" customHeight="1" x14ac:dyDescent="0.2">
      <c r="B41" t="s">
        <v>226</v>
      </c>
      <c r="C41" s="12">
        <v>2</v>
      </c>
      <c r="D41" s="8">
        <v>1.28</v>
      </c>
      <c r="E41" s="12">
        <v>1</v>
      </c>
      <c r="F41" s="8">
        <v>1.1599999999999999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229</v>
      </c>
      <c r="C42" s="12">
        <v>2</v>
      </c>
      <c r="D42" s="8">
        <v>1.28</v>
      </c>
      <c r="E42" s="12">
        <v>0</v>
      </c>
      <c r="F42" s="8">
        <v>0</v>
      </c>
      <c r="G42" s="12">
        <v>2</v>
      </c>
      <c r="H42" s="8">
        <v>3.77</v>
      </c>
      <c r="I42" s="12">
        <v>0</v>
      </c>
    </row>
    <row r="43" spans="2:9" ht="15" customHeight="1" x14ac:dyDescent="0.2">
      <c r="B43" t="s">
        <v>247</v>
      </c>
      <c r="C43" s="12">
        <v>2</v>
      </c>
      <c r="D43" s="8">
        <v>1.28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249</v>
      </c>
      <c r="C44" s="12">
        <v>2</v>
      </c>
      <c r="D44" s="8">
        <v>1.28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339</v>
      </c>
      <c r="C48" s="12">
        <v>9</v>
      </c>
      <c r="D48" s="8">
        <v>5.77</v>
      </c>
      <c r="E48" s="12">
        <v>9</v>
      </c>
      <c r="F48" s="8">
        <v>10.47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304</v>
      </c>
      <c r="C49" s="12">
        <v>8</v>
      </c>
      <c r="D49" s="8">
        <v>5.13</v>
      </c>
      <c r="E49" s="12">
        <v>8</v>
      </c>
      <c r="F49" s="8">
        <v>9.3000000000000007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342</v>
      </c>
      <c r="C50" s="12">
        <v>7</v>
      </c>
      <c r="D50" s="8">
        <v>4.49</v>
      </c>
      <c r="E50" s="12">
        <v>1</v>
      </c>
      <c r="F50" s="8">
        <v>1.1599999999999999</v>
      </c>
      <c r="G50" s="12">
        <v>6</v>
      </c>
      <c r="H50" s="8">
        <v>11.32</v>
      </c>
      <c r="I50" s="12">
        <v>0</v>
      </c>
    </row>
    <row r="51" spans="2:9" ht="15" customHeight="1" x14ac:dyDescent="0.2">
      <c r="B51" t="s">
        <v>301</v>
      </c>
      <c r="C51" s="12">
        <v>7</v>
      </c>
      <c r="D51" s="8">
        <v>4.49</v>
      </c>
      <c r="E51" s="12">
        <v>7</v>
      </c>
      <c r="F51" s="8">
        <v>8.14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299</v>
      </c>
      <c r="C52" s="12">
        <v>6</v>
      </c>
      <c r="D52" s="8">
        <v>3.85</v>
      </c>
      <c r="E52" s="12">
        <v>4</v>
      </c>
      <c r="F52" s="8">
        <v>4.6500000000000004</v>
      </c>
      <c r="G52" s="12">
        <v>2</v>
      </c>
      <c r="H52" s="8">
        <v>3.77</v>
      </c>
      <c r="I52" s="12">
        <v>0</v>
      </c>
    </row>
    <row r="53" spans="2:9" ht="15" customHeight="1" x14ac:dyDescent="0.2">
      <c r="B53" t="s">
        <v>303</v>
      </c>
      <c r="C53" s="12">
        <v>6</v>
      </c>
      <c r="D53" s="8">
        <v>3.85</v>
      </c>
      <c r="E53" s="12">
        <v>6</v>
      </c>
      <c r="F53" s="8">
        <v>6.98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328</v>
      </c>
      <c r="C54" s="12">
        <v>5</v>
      </c>
      <c r="D54" s="8">
        <v>3.21</v>
      </c>
      <c r="E54" s="12">
        <v>1</v>
      </c>
      <c r="F54" s="8">
        <v>1.1599999999999999</v>
      </c>
      <c r="G54" s="12">
        <v>4</v>
      </c>
      <c r="H54" s="8">
        <v>7.55</v>
      </c>
      <c r="I54" s="12">
        <v>0</v>
      </c>
    </row>
    <row r="55" spans="2:9" ht="15" customHeight="1" x14ac:dyDescent="0.2">
      <c r="B55" t="s">
        <v>324</v>
      </c>
      <c r="C55" s="12">
        <v>5</v>
      </c>
      <c r="D55" s="8">
        <v>3.21</v>
      </c>
      <c r="E55" s="12">
        <v>0</v>
      </c>
      <c r="F55" s="8">
        <v>0</v>
      </c>
      <c r="G55" s="12">
        <v>5</v>
      </c>
      <c r="H55" s="8">
        <v>9.43</v>
      </c>
      <c r="I55" s="12">
        <v>0</v>
      </c>
    </row>
    <row r="56" spans="2:9" ht="15" customHeight="1" x14ac:dyDescent="0.2">
      <c r="B56" t="s">
        <v>292</v>
      </c>
      <c r="C56" s="12">
        <v>5</v>
      </c>
      <c r="D56" s="8">
        <v>3.21</v>
      </c>
      <c r="E56" s="12">
        <v>5</v>
      </c>
      <c r="F56" s="8">
        <v>5.81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307</v>
      </c>
      <c r="C57" s="12">
        <v>5</v>
      </c>
      <c r="D57" s="8">
        <v>3.21</v>
      </c>
      <c r="E57" s="12">
        <v>4</v>
      </c>
      <c r="F57" s="8">
        <v>4.6500000000000004</v>
      </c>
      <c r="G57" s="12">
        <v>1</v>
      </c>
      <c r="H57" s="8">
        <v>1.89</v>
      </c>
      <c r="I57" s="12">
        <v>0</v>
      </c>
    </row>
    <row r="58" spans="2:9" ht="15" customHeight="1" x14ac:dyDescent="0.2">
      <c r="B58" t="s">
        <v>335</v>
      </c>
      <c r="C58" s="12">
        <v>4</v>
      </c>
      <c r="D58" s="8">
        <v>2.56</v>
      </c>
      <c r="E58" s="12">
        <v>3</v>
      </c>
      <c r="F58" s="8">
        <v>3.49</v>
      </c>
      <c r="G58" s="12">
        <v>1</v>
      </c>
      <c r="H58" s="8">
        <v>1.89</v>
      </c>
      <c r="I58" s="12">
        <v>0</v>
      </c>
    </row>
    <row r="59" spans="2:9" ht="15" customHeight="1" x14ac:dyDescent="0.2">
      <c r="B59" t="s">
        <v>330</v>
      </c>
      <c r="C59" s="12">
        <v>4</v>
      </c>
      <c r="D59" s="8">
        <v>2.56</v>
      </c>
      <c r="E59" s="12">
        <v>1</v>
      </c>
      <c r="F59" s="8">
        <v>1.1599999999999999</v>
      </c>
      <c r="G59" s="12">
        <v>3</v>
      </c>
      <c r="H59" s="8">
        <v>5.66</v>
      </c>
      <c r="I59" s="12">
        <v>0</v>
      </c>
    </row>
    <row r="60" spans="2:9" ht="15" customHeight="1" x14ac:dyDescent="0.2">
      <c r="B60" t="s">
        <v>331</v>
      </c>
      <c r="C60" s="12">
        <v>4</v>
      </c>
      <c r="D60" s="8">
        <v>2.56</v>
      </c>
      <c r="E60" s="12">
        <v>0</v>
      </c>
      <c r="F60" s="8">
        <v>0</v>
      </c>
      <c r="G60" s="12">
        <v>1</v>
      </c>
      <c r="H60" s="8">
        <v>1.89</v>
      </c>
      <c r="I60" s="12">
        <v>0</v>
      </c>
    </row>
    <row r="61" spans="2:9" ht="15" customHeight="1" x14ac:dyDescent="0.2">
      <c r="B61" t="s">
        <v>289</v>
      </c>
      <c r="C61" s="12">
        <v>3</v>
      </c>
      <c r="D61" s="8">
        <v>1.92</v>
      </c>
      <c r="E61" s="12">
        <v>0</v>
      </c>
      <c r="F61" s="8">
        <v>0</v>
      </c>
      <c r="G61" s="12">
        <v>3</v>
      </c>
      <c r="H61" s="8">
        <v>5.66</v>
      </c>
      <c r="I61" s="12">
        <v>0</v>
      </c>
    </row>
    <row r="62" spans="2:9" ht="15" customHeight="1" x14ac:dyDescent="0.2">
      <c r="B62" t="s">
        <v>343</v>
      </c>
      <c r="C62" s="12">
        <v>3</v>
      </c>
      <c r="D62" s="8">
        <v>1.92</v>
      </c>
      <c r="E62" s="12">
        <v>1</v>
      </c>
      <c r="F62" s="8">
        <v>1.1599999999999999</v>
      </c>
      <c r="G62" s="12">
        <v>2</v>
      </c>
      <c r="H62" s="8">
        <v>3.77</v>
      </c>
      <c r="I62" s="12">
        <v>0</v>
      </c>
    </row>
    <row r="63" spans="2:9" ht="15" customHeight="1" x14ac:dyDescent="0.2">
      <c r="B63" t="s">
        <v>333</v>
      </c>
      <c r="C63" s="12">
        <v>3</v>
      </c>
      <c r="D63" s="8">
        <v>1.92</v>
      </c>
      <c r="E63" s="12">
        <v>2</v>
      </c>
      <c r="F63" s="8">
        <v>2.33</v>
      </c>
      <c r="G63" s="12">
        <v>1</v>
      </c>
      <c r="H63" s="8">
        <v>1.89</v>
      </c>
      <c r="I63" s="12">
        <v>0</v>
      </c>
    </row>
    <row r="64" spans="2:9" ht="15" customHeight="1" x14ac:dyDescent="0.2">
      <c r="B64" t="s">
        <v>309</v>
      </c>
      <c r="C64" s="12">
        <v>3</v>
      </c>
      <c r="D64" s="8">
        <v>1.92</v>
      </c>
      <c r="E64" s="12">
        <v>0</v>
      </c>
      <c r="F64" s="8">
        <v>0</v>
      </c>
      <c r="G64" s="12">
        <v>3</v>
      </c>
      <c r="H64" s="8">
        <v>5.66</v>
      </c>
      <c r="I64" s="12">
        <v>0</v>
      </c>
    </row>
    <row r="65" spans="2:9" ht="15" customHeight="1" x14ac:dyDescent="0.2">
      <c r="B65" t="s">
        <v>354</v>
      </c>
      <c r="C65" s="12">
        <v>3</v>
      </c>
      <c r="D65" s="8">
        <v>1.92</v>
      </c>
      <c r="E65" s="12">
        <v>2</v>
      </c>
      <c r="F65" s="8">
        <v>2.33</v>
      </c>
      <c r="G65" s="12">
        <v>0</v>
      </c>
      <c r="H65" s="8">
        <v>0</v>
      </c>
      <c r="I65" s="12">
        <v>1</v>
      </c>
    </row>
    <row r="66" spans="2:9" ht="15" customHeight="1" x14ac:dyDescent="0.2">
      <c r="B66" t="s">
        <v>295</v>
      </c>
      <c r="C66" s="12">
        <v>3</v>
      </c>
      <c r="D66" s="8">
        <v>1.92</v>
      </c>
      <c r="E66" s="12">
        <v>1</v>
      </c>
      <c r="F66" s="8">
        <v>1.1599999999999999</v>
      </c>
      <c r="G66" s="12">
        <v>2</v>
      </c>
      <c r="H66" s="8">
        <v>3.77</v>
      </c>
      <c r="I66" s="12">
        <v>0</v>
      </c>
    </row>
    <row r="67" spans="2:9" ht="15" customHeight="1" x14ac:dyDescent="0.2">
      <c r="B67" t="s">
        <v>300</v>
      </c>
      <c r="C67" s="12">
        <v>3</v>
      </c>
      <c r="D67" s="8">
        <v>1.92</v>
      </c>
      <c r="E67" s="12">
        <v>3</v>
      </c>
      <c r="F67" s="8">
        <v>3.49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306</v>
      </c>
      <c r="C68" s="12">
        <v>3</v>
      </c>
      <c r="D68" s="8">
        <v>1.92</v>
      </c>
      <c r="E68" s="12">
        <v>3</v>
      </c>
      <c r="F68" s="8">
        <v>3.49</v>
      </c>
      <c r="G68" s="12">
        <v>0</v>
      </c>
      <c r="H68" s="8">
        <v>0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0C468-A9BC-4597-B899-C3D713597F31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0.15</v>
      </c>
      <c r="E5" s="12">
        <v>0</v>
      </c>
      <c r="F5" s="8">
        <v>0</v>
      </c>
      <c r="G5" s="12">
        <v>1</v>
      </c>
      <c r="H5" s="8">
        <v>0.34</v>
      </c>
      <c r="I5" s="12">
        <v>0</v>
      </c>
    </row>
    <row r="6" spans="2:9" ht="15" customHeight="1" x14ac:dyDescent="0.2">
      <c r="B6" t="s">
        <v>191</v>
      </c>
      <c r="C6" s="12">
        <v>88</v>
      </c>
      <c r="D6" s="8">
        <v>13.31</v>
      </c>
      <c r="E6" s="12">
        <v>33</v>
      </c>
      <c r="F6" s="8">
        <v>9.2200000000000006</v>
      </c>
      <c r="G6" s="12">
        <v>55</v>
      </c>
      <c r="H6" s="8">
        <v>18.84</v>
      </c>
      <c r="I6" s="12">
        <v>0</v>
      </c>
    </row>
    <row r="7" spans="2:9" ht="15" customHeight="1" x14ac:dyDescent="0.2">
      <c r="B7" t="s">
        <v>192</v>
      </c>
      <c r="C7" s="12">
        <v>33</v>
      </c>
      <c r="D7" s="8">
        <v>4.99</v>
      </c>
      <c r="E7" s="12">
        <v>13</v>
      </c>
      <c r="F7" s="8">
        <v>3.63</v>
      </c>
      <c r="G7" s="12">
        <v>20</v>
      </c>
      <c r="H7" s="8">
        <v>6.85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0.15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4</v>
      </c>
      <c r="D9" s="8">
        <v>0.61</v>
      </c>
      <c r="E9" s="12">
        <v>0</v>
      </c>
      <c r="F9" s="8">
        <v>0</v>
      </c>
      <c r="G9" s="12">
        <v>4</v>
      </c>
      <c r="H9" s="8">
        <v>1.37</v>
      </c>
      <c r="I9" s="12">
        <v>0</v>
      </c>
    </row>
    <row r="10" spans="2:9" ht="15" customHeight="1" x14ac:dyDescent="0.2">
      <c r="B10" t="s">
        <v>195</v>
      </c>
      <c r="C10" s="12">
        <v>6</v>
      </c>
      <c r="D10" s="8">
        <v>0.91</v>
      </c>
      <c r="E10" s="12">
        <v>1</v>
      </c>
      <c r="F10" s="8">
        <v>0.28000000000000003</v>
      </c>
      <c r="G10" s="12">
        <v>4</v>
      </c>
      <c r="H10" s="8">
        <v>1.37</v>
      </c>
      <c r="I10" s="12">
        <v>1</v>
      </c>
    </row>
    <row r="11" spans="2:9" ht="15" customHeight="1" x14ac:dyDescent="0.2">
      <c r="B11" t="s">
        <v>196</v>
      </c>
      <c r="C11" s="12">
        <v>160</v>
      </c>
      <c r="D11" s="8">
        <v>24.21</v>
      </c>
      <c r="E11" s="12">
        <v>66</v>
      </c>
      <c r="F11" s="8">
        <v>18.440000000000001</v>
      </c>
      <c r="G11" s="12">
        <v>94</v>
      </c>
      <c r="H11" s="8">
        <v>32.19</v>
      </c>
      <c r="I11" s="12">
        <v>0</v>
      </c>
    </row>
    <row r="12" spans="2:9" ht="15" customHeight="1" x14ac:dyDescent="0.2">
      <c r="B12" t="s">
        <v>197</v>
      </c>
      <c r="C12" s="12">
        <v>5</v>
      </c>
      <c r="D12" s="8">
        <v>0.76</v>
      </c>
      <c r="E12" s="12">
        <v>1</v>
      </c>
      <c r="F12" s="8">
        <v>0.28000000000000003</v>
      </c>
      <c r="G12" s="12">
        <v>4</v>
      </c>
      <c r="H12" s="8">
        <v>1.37</v>
      </c>
      <c r="I12" s="12">
        <v>0</v>
      </c>
    </row>
    <row r="13" spans="2:9" ht="15" customHeight="1" x14ac:dyDescent="0.2">
      <c r="B13" t="s">
        <v>198</v>
      </c>
      <c r="C13" s="12">
        <v>63</v>
      </c>
      <c r="D13" s="8">
        <v>9.5299999999999994</v>
      </c>
      <c r="E13" s="12">
        <v>39</v>
      </c>
      <c r="F13" s="8">
        <v>10.89</v>
      </c>
      <c r="G13" s="12">
        <v>24</v>
      </c>
      <c r="H13" s="8">
        <v>8.2200000000000006</v>
      </c>
      <c r="I13" s="12">
        <v>0</v>
      </c>
    </row>
    <row r="14" spans="2:9" ht="15" customHeight="1" x14ac:dyDescent="0.2">
      <c r="B14" t="s">
        <v>199</v>
      </c>
      <c r="C14" s="12">
        <v>31</v>
      </c>
      <c r="D14" s="8">
        <v>4.6900000000000004</v>
      </c>
      <c r="E14" s="12">
        <v>19</v>
      </c>
      <c r="F14" s="8">
        <v>5.31</v>
      </c>
      <c r="G14" s="12">
        <v>10</v>
      </c>
      <c r="H14" s="8">
        <v>3.42</v>
      </c>
      <c r="I14" s="12">
        <v>1</v>
      </c>
    </row>
    <row r="15" spans="2:9" ht="15" customHeight="1" x14ac:dyDescent="0.2">
      <c r="B15" t="s">
        <v>200</v>
      </c>
      <c r="C15" s="12">
        <v>110</v>
      </c>
      <c r="D15" s="8">
        <v>16.64</v>
      </c>
      <c r="E15" s="12">
        <v>90</v>
      </c>
      <c r="F15" s="8">
        <v>25.14</v>
      </c>
      <c r="G15" s="12">
        <v>19</v>
      </c>
      <c r="H15" s="8">
        <v>6.51</v>
      </c>
      <c r="I15" s="12">
        <v>0</v>
      </c>
    </row>
    <row r="16" spans="2:9" ht="15" customHeight="1" x14ac:dyDescent="0.2">
      <c r="B16" t="s">
        <v>201</v>
      </c>
      <c r="C16" s="12">
        <v>80</v>
      </c>
      <c r="D16" s="8">
        <v>12.1</v>
      </c>
      <c r="E16" s="12">
        <v>62</v>
      </c>
      <c r="F16" s="8">
        <v>17.32</v>
      </c>
      <c r="G16" s="12">
        <v>17</v>
      </c>
      <c r="H16" s="8">
        <v>5.82</v>
      </c>
      <c r="I16" s="12">
        <v>0</v>
      </c>
    </row>
    <row r="17" spans="2:9" ht="15" customHeight="1" x14ac:dyDescent="0.2">
      <c r="B17" t="s">
        <v>202</v>
      </c>
      <c r="C17" s="12">
        <v>18</v>
      </c>
      <c r="D17" s="8">
        <v>2.72</v>
      </c>
      <c r="E17" s="12">
        <v>13</v>
      </c>
      <c r="F17" s="8">
        <v>3.63</v>
      </c>
      <c r="G17" s="12">
        <v>3</v>
      </c>
      <c r="H17" s="8">
        <v>1.03</v>
      </c>
      <c r="I17" s="12">
        <v>0</v>
      </c>
    </row>
    <row r="18" spans="2:9" ht="15" customHeight="1" x14ac:dyDescent="0.2">
      <c r="B18" t="s">
        <v>203</v>
      </c>
      <c r="C18" s="12">
        <v>39</v>
      </c>
      <c r="D18" s="8">
        <v>5.9</v>
      </c>
      <c r="E18" s="12">
        <v>16</v>
      </c>
      <c r="F18" s="8">
        <v>4.47</v>
      </c>
      <c r="G18" s="12">
        <v>21</v>
      </c>
      <c r="H18" s="8">
        <v>7.19</v>
      </c>
      <c r="I18" s="12">
        <v>0</v>
      </c>
    </row>
    <row r="19" spans="2:9" ht="15" customHeight="1" x14ac:dyDescent="0.2">
      <c r="B19" t="s">
        <v>204</v>
      </c>
      <c r="C19" s="12">
        <v>22</v>
      </c>
      <c r="D19" s="8">
        <v>3.33</v>
      </c>
      <c r="E19" s="12">
        <v>5</v>
      </c>
      <c r="F19" s="8">
        <v>1.4</v>
      </c>
      <c r="G19" s="12">
        <v>16</v>
      </c>
      <c r="H19" s="8">
        <v>5.48</v>
      </c>
      <c r="I19" s="12">
        <v>0</v>
      </c>
    </row>
    <row r="20" spans="2:9" ht="15" customHeight="1" x14ac:dyDescent="0.2">
      <c r="B20" s="9" t="s">
        <v>529</v>
      </c>
      <c r="C20" s="12">
        <f>SUM(LTBL_01610[総数／事業所数])</f>
        <v>661</v>
      </c>
      <c r="E20" s="12">
        <f>SUBTOTAL(109,LTBL_01610[個人／事業所数])</f>
        <v>358</v>
      </c>
      <c r="G20" s="12">
        <f>SUBTOTAL(109,LTBL_01610[法人／事業所数])</f>
        <v>292</v>
      </c>
      <c r="I20" s="12">
        <f>SUBTOTAL(109,LTBL_01610[法人以外の団体／事業所数])</f>
        <v>2</v>
      </c>
    </row>
    <row r="21" spans="2:9" ht="15" customHeight="1" x14ac:dyDescent="0.2">
      <c r="E21" s="11">
        <f>LTBL_01610[[#Totals],[個人／事業所数]]/LTBL_01610[[#Totals],[総数／事業所数]]</f>
        <v>0.54160363086232977</v>
      </c>
      <c r="G21" s="11">
        <f>LTBL_01610[[#Totals],[法人／事業所数]]/LTBL_01610[[#Totals],[総数／事業所数]]</f>
        <v>0.44175491679273826</v>
      </c>
      <c r="I21" s="11">
        <f>LTBL_01610[[#Totals],[法人以外の団体／事業所数]]/LTBL_01610[[#Totals],[総数／事業所数]]</f>
        <v>3.0257186081694403E-3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99</v>
      </c>
      <c r="D24" s="8">
        <v>14.98</v>
      </c>
      <c r="E24" s="12">
        <v>86</v>
      </c>
      <c r="F24" s="8">
        <v>24.02</v>
      </c>
      <c r="G24" s="12">
        <v>13</v>
      </c>
      <c r="H24" s="8">
        <v>4.45</v>
      </c>
      <c r="I24" s="12">
        <v>0</v>
      </c>
    </row>
    <row r="25" spans="2:9" ht="15" customHeight="1" x14ac:dyDescent="0.2">
      <c r="B25" t="s">
        <v>228</v>
      </c>
      <c r="C25" s="12">
        <v>67</v>
      </c>
      <c r="D25" s="8">
        <v>10.14</v>
      </c>
      <c r="E25" s="12">
        <v>59</v>
      </c>
      <c r="F25" s="8">
        <v>16.48</v>
      </c>
      <c r="G25" s="12">
        <v>8</v>
      </c>
      <c r="H25" s="8">
        <v>2.74</v>
      </c>
      <c r="I25" s="12">
        <v>0</v>
      </c>
    </row>
    <row r="26" spans="2:9" ht="15" customHeight="1" x14ac:dyDescent="0.2">
      <c r="B26" t="s">
        <v>224</v>
      </c>
      <c r="C26" s="12">
        <v>58</v>
      </c>
      <c r="D26" s="8">
        <v>8.77</v>
      </c>
      <c r="E26" s="12">
        <v>37</v>
      </c>
      <c r="F26" s="8">
        <v>10.34</v>
      </c>
      <c r="G26" s="12">
        <v>21</v>
      </c>
      <c r="H26" s="8">
        <v>7.19</v>
      </c>
      <c r="I26" s="12">
        <v>0</v>
      </c>
    </row>
    <row r="27" spans="2:9" ht="15" customHeight="1" x14ac:dyDescent="0.2">
      <c r="B27" t="s">
        <v>223</v>
      </c>
      <c r="C27" s="12">
        <v>51</v>
      </c>
      <c r="D27" s="8">
        <v>7.72</v>
      </c>
      <c r="E27" s="12">
        <v>19</v>
      </c>
      <c r="F27" s="8">
        <v>5.31</v>
      </c>
      <c r="G27" s="12">
        <v>32</v>
      </c>
      <c r="H27" s="8">
        <v>10.96</v>
      </c>
      <c r="I27" s="12">
        <v>0</v>
      </c>
    </row>
    <row r="28" spans="2:9" ht="15" customHeight="1" x14ac:dyDescent="0.2">
      <c r="B28" t="s">
        <v>213</v>
      </c>
      <c r="C28" s="12">
        <v>43</v>
      </c>
      <c r="D28" s="8">
        <v>6.51</v>
      </c>
      <c r="E28" s="12">
        <v>4</v>
      </c>
      <c r="F28" s="8">
        <v>1.1200000000000001</v>
      </c>
      <c r="G28" s="12">
        <v>39</v>
      </c>
      <c r="H28" s="8">
        <v>13.36</v>
      </c>
      <c r="I28" s="12">
        <v>0</v>
      </c>
    </row>
    <row r="29" spans="2:9" ht="15" customHeight="1" x14ac:dyDescent="0.2">
      <c r="B29" t="s">
        <v>221</v>
      </c>
      <c r="C29" s="12">
        <v>38</v>
      </c>
      <c r="D29" s="8">
        <v>5.75</v>
      </c>
      <c r="E29" s="12">
        <v>24</v>
      </c>
      <c r="F29" s="8">
        <v>6.7</v>
      </c>
      <c r="G29" s="12">
        <v>14</v>
      </c>
      <c r="H29" s="8">
        <v>4.79</v>
      </c>
      <c r="I29" s="12">
        <v>0</v>
      </c>
    </row>
    <row r="30" spans="2:9" ht="15" customHeight="1" x14ac:dyDescent="0.2">
      <c r="B30" t="s">
        <v>214</v>
      </c>
      <c r="C30" s="12">
        <v>37</v>
      </c>
      <c r="D30" s="8">
        <v>5.6</v>
      </c>
      <c r="E30" s="12">
        <v>24</v>
      </c>
      <c r="F30" s="8">
        <v>6.7</v>
      </c>
      <c r="G30" s="12">
        <v>13</v>
      </c>
      <c r="H30" s="8">
        <v>4.45</v>
      </c>
      <c r="I30" s="12">
        <v>0</v>
      </c>
    </row>
    <row r="31" spans="2:9" ht="15" customHeight="1" x14ac:dyDescent="0.2">
      <c r="B31" t="s">
        <v>232</v>
      </c>
      <c r="C31" s="12">
        <v>23</v>
      </c>
      <c r="D31" s="8">
        <v>3.48</v>
      </c>
      <c r="E31" s="12">
        <v>0</v>
      </c>
      <c r="F31" s="8">
        <v>0</v>
      </c>
      <c r="G31" s="12">
        <v>21</v>
      </c>
      <c r="H31" s="8">
        <v>7.19</v>
      </c>
      <c r="I31" s="12">
        <v>0</v>
      </c>
    </row>
    <row r="32" spans="2:9" ht="15" customHeight="1" x14ac:dyDescent="0.2">
      <c r="B32" t="s">
        <v>222</v>
      </c>
      <c r="C32" s="12">
        <v>22</v>
      </c>
      <c r="D32" s="8">
        <v>3.33</v>
      </c>
      <c r="E32" s="12">
        <v>9</v>
      </c>
      <c r="F32" s="8">
        <v>2.5099999999999998</v>
      </c>
      <c r="G32" s="12">
        <v>13</v>
      </c>
      <c r="H32" s="8">
        <v>4.45</v>
      </c>
      <c r="I32" s="12">
        <v>0</v>
      </c>
    </row>
    <row r="33" spans="2:9" ht="15" customHeight="1" x14ac:dyDescent="0.2">
      <c r="B33" t="s">
        <v>220</v>
      </c>
      <c r="C33" s="12">
        <v>18</v>
      </c>
      <c r="D33" s="8">
        <v>2.72</v>
      </c>
      <c r="E33" s="12">
        <v>9</v>
      </c>
      <c r="F33" s="8">
        <v>2.5099999999999998</v>
      </c>
      <c r="G33" s="12">
        <v>9</v>
      </c>
      <c r="H33" s="8">
        <v>3.08</v>
      </c>
      <c r="I33" s="12">
        <v>0</v>
      </c>
    </row>
    <row r="34" spans="2:9" ht="15" customHeight="1" x14ac:dyDescent="0.2">
      <c r="B34" t="s">
        <v>230</v>
      </c>
      <c r="C34" s="12">
        <v>18</v>
      </c>
      <c r="D34" s="8">
        <v>2.72</v>
      </c>
      <c r="E34" s="12">
        <v>13</v>
      </c>
      <c r="F34" s="8">
        <v>3.63</v>
      </c>
      <c r="G34" s="12">
        <v>3</v>
      </c>
      <c r="H34" s="8">
        <v>1.03</v>
      </c>
      <c r="I34" s="12">
        <v>0</v>
      </c>
    </row>
    <row r="35" spans="2:9" ht="15" customHeight="1" x14ac:dyDescent="0.2">
      <c r="B35" t="s">
        <v>225</v>
      </c>
      <c r="C35" s="12">
        <v>17</v>
      </c>
      <c r="D35" s="8">
        <v>2.57</v>
      </c>
      <c r="E35" s="12">
        <v>12</v>
      </c>
      <c r="F35" s="8">
        <v>3.35</v>
      </c>
      <c r="G35" s="12">
        <v>5</v>
      </c>
      <c r="H35" s="8">
        <v>1.71</v>
      </c>
      <c r="I35" s="12">
        <v>0</v>
      </c>
    </row>
    <row r="36" spans="2:9" ht="15" customHeight="1" x14ac:dyDescent="0.2">
      <c r="B36" t="s">
        <v>231</v>
      </c>
      <c r="C36" s="12">
        <v>16</v>
      </c>
      <c r="D36" s="8">
        <v>2.42</v>
      </c>
      <c r="E36" s="12">
        <v>16</v>
      </c>
      <c r="F36" s="8">
        <v>4.47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241</v>
      </c>
      <c r="C37" s="12">
        <v>15</v>
      </c>
      <c r="D37" s="8">
        <v>2.27</v>
      </c>
      <c r="E37" s="12">
        <v>6</v>
      </c>
      <c r="F37" s="8">
        <v>1.68</v>
      </c>
      <c r="G37" s="12">
        <v>9</v>
      </c>
      <c r="H37" s="8">
        <v>3.08</v>
      </c>
      <c r="I37" s="12">
        <v>0</v>
      </c>
    </row>
    <row r="38" spans="2:9" ht="15" customHeight="1" x14ac:dyDescent="0.2">
      <c r="B38" t="s">
        <v>226</v>
      </c>
      <c r="C38" s="12">
        <v>12</v>
      </c>
      <c r="D38" s="8">
        <v>1.82</v>
      </c>
      <c r="E38" s="12">
        <v>7</v>
      </c>
      <c r="F38" s="8">
        <v>1.96</v>
      </c>
      <c r="G38" s="12">
        <v>3</v>
      </c>
      <c r="H38" s="8">
        <v>1.03</v>
      </c>
      <c r="I38" s="12">
        <v>1</v>
      </c>
    </row>
    <row r="39" spans="2:9" ht="15" customHeight="1" x14ac:dyDescent="0.2">
      <c r="B39" t="s">
        <v>216</v>
      </c>
      <c r="C39" s="12">
        <v>11</v>
      </c>
      <c r="D39" s="8">
        <v>1.66</v>
      </c>
      <c r="E39" s="12">
        <v>3</v>
      </c>
      <c r="F39" s="8">
        <v>0.84</v>
      </c>
      <c r="G39" s="12">
        <v>8</v>
      </c>
      <c r="H39" s="8">
        <v>2.74</v>
      </c>
      <c r="I39" s="12">
        <v>0</v>
      </c>
    </row>
    <row r="40" spans="2:9" ht="15" customHeight="1" x14ac:dyDescent="0.2">
      <c r="B40" t="s">
        <v>215</v>
      </c>
      <c r="C40" s="12">
        <v>8</v>
      </c>
      <c r="D40" s="8">
        <v>1.21</v>
      </c>
      <c r="E40" s="12">
        <v>5</v>
      </c>
      <c r="F40" s="8">
        <v>1.4</v>
      </c>
      <c r="G40" s="12">
        <v>3</v>
      </c>
      <c r="H40" s="8">
        <v>1.03</v>
      </c>
      <c r="I40" s="12">
        <v>0</v>
      </c>
    </row>
    <row r="41" spans="2:9" ht="15" customHeight="1" x14ac:dyDescent="0.2">
      <c r="B41" t="s">
        <v>240</v>
      </c>
      <c r="C41" s="12">
        <v>8</v>
      </c>
      <c r="D41" s="8">
        <v>1.21</v>
      </c>
      <c r="E41" s="12">
        <v>4</v>
      </c>
      <c r="F41" s="8">
        <v>1.1200000000000001</v>
      </c>
      <c r="G41" s="12">
        <v>4</v>
      </c>
      <c r="H41" s="8">
        <v>1.37</v>
      </c>
      <c r="I41" s="12">
        <v>0</v>
      </c>
    </row>
    <row r="42" spans="2:9" ht="15" customHeight="1" x14ac:dyDescent="0.2">
      <c r="B42" t="s">
        <v>229</v>
      </c>
      <c r="C42" s="12">
        <v>7</v>
      </c>
      <c r="D42" s="8">
        <v>1.06</v>
      </c>
      <c r="E42" s="12">
        <v>3</v>
      </c>
      <c r="F42" s="8">
        <v>0.84</v>
      </c>
      <c r="G42" s="12">
        <v>4</v>
      </c>
      <c r="H42" s="8">
        <v>1.37</v>
      </c>
      <c r="I42" s="12">
        <v>0</v>
      </c>
    </row>
    <row r="43" spans="2:9" ht="15" customHeight="1" x14ac:dyDescent="0.2">
      <c r="B43" t="s">
        <v>217</v>
      </c>
      <c r="C43" s="12">
        <v>6</v>
      </c>
      <c r="D43" s="8">
        <v>0.91</v>
      </c>
      <c r="E43" s="12">
        <v>2</v>
      </c>
      <c r="F43" s="8">
        <v>0.56000000000000005</v>
      </c>
      <c r="G43" s="12">
        <v>4</v>
      </c>
      <c r="H43" s="8">
        <v>1.37</v>
      </c>
      <c r="I43" s="12">
        <v>0</v>
      </c>
    </row>
    <row r="44" spans="2:9" ht="15" customHeight="1" x14ac:dyDescent="0.2">
      <c r="B44" t="s">
        <v>243</v>
      </c>
      <c r="C44" s="12">
        <v>6</v>
      </c>
      <c r="D44" s="8">
        <v>0.91</v>
      </c>
      <c r="E44" s="12">
        <v>3</v>
      </c>
      <c r="F44" s="8">
        <v>0.84</v>
      </c>
      <c r="G44" s="12">
        <v>3</v>
      </c>
      <c r="H44" s="8">
        <v>1.03</v>
      </c>
      <c r="I44" s="12">
        <v>0</v>
      </c>
    </row>
    <row r="45" spans="2:9" ht="15" customHeight="1" x14ac:dyDescent="0.2">
      <c r="B45" t="s">
        <v>247</v>
      </c>
      <c r="C45" s="12">
        <v>6</v>
      </c>
      <c r="D45" s="8">
        <v>0.91</v>
      </c>
      <c r="E45" s="12">
        <v>0</v>
      </c>
      <c r="F45" s="8">
        <v>0</v>
      </c>
      <c r="G45" s="12">
        <v>5</v>
      </c>
      <c r="H45" s="8">
        <v>1.71</v>
      </c>
      <c r="I45" s="12">
        <v>0</v>
      </c>
    </row>
    <row r="46" spans="2:9" ht="15" customHeight="1" x14ac:dyDescent="0.2">
      <c r="B46" t="s">
        <v>234</v>
      </c>
      <c r="C46" s="12">
        <v>6</v>
      </c>
      <c r="D46" s="8">
        <v>0.91</v>
      </c>
      <c r="E46" s="12">
        <v>0</v>
      </c>
      <c r="F46" s="8">
        <v>0</v>
      </c>
      <c r="G46" s="12">
        <v>6</v>
      </c>
      <c r="H46" s="8">
        <v>2.0499999999999998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301</v>
      </c>
      <c r="C50" s="12">
        <v>43</v>
      </c>
      <c r="D50" s="8">
        <v>6.51</v>
      </c>
      <c r="E50" s="12">
        <v>40</v>
      </c>
      <c r="F50" s="8">
        <v>11.17</v>
      </c>
      <c r="G50" s="12">
        <v>3</v>
      </c>
      <c r="H50" s="8">
        <v>1.03</v>
      </c>
      <c r="I50" s="12">
        <v>0</v>
      </c>
    </row>
    <row r="51" spans="2:9" ht="15" customHeight="1" x14ac:dyDescent="0.2">
      <c r="B51" t="s">
        <v>297</v>
      </c>
      <c r="C51" s="12">
        <v>41</v>
      </c>
      <c r="D51" s="8">
        <v>6.2</v>
      </c>
      <c r="E51" s="12">
        <v>29</v>
      </c>
      <c r="F51" s="8">
        <v>8.1</v>
      </c>
      <c r="G51" s="12">
        <v>12</v>
      </c>
      <c r="H51" s="8">
        <v>4.1100000000000003</v>
      </c>
      <c r="I51" s="12">
        <v>0</v>
      </c>
    </row>
    <row r="52" spans="2:9" ht="15" customHeight="1" x14ac:dyDescent="0.2">
      <c r="B52" t="s">
        <v>304</v>
      </c>
      <c r="C52" s="12">
        <v>30</v>
      </c>
      <c r="D52" s="8">
        <v>4.54</v>
      </c>
      <c r="E52" s="12">
        <v>28</v>
      </c>
      <c r="F52" s="8">
        <v>7.82</v>
      </c>
      <c r="G52" s="12">
        <v>2</v>
      </c>
      <c r="H52" s="8">
        <v>0.68</v>
      </c>
      <c r="I52" s="12">
        <v>0</v>
      </c>
    </row>
    <row r="53" spans="2:9" ht="15" customHeight="1" x14ac:dyDescent="0.2">
      <c r="B53" t="s">
        <v>303</v>
      </c>
      <c r="C53" s="12">
        <v>25</v>
      </c>
      <c r="D53" s="8">
        <v>3.78</v>
      </c>
      <c r="E53" s="12">
        <v>24</v>
      </c>
      <c r="F53" s="8">
        <v>6.7</v>
      </c>
      <c r="G53" s="12">
        <v>1</v>
      </c>
      <c r="H53" s="8">
        <v>0.34</v>
      </c>
      <c r="I53" s="12">
        <v>0</v>
      </c>
    </row>
    <row r="54" spans="2:9" ht="15" customHeight="1" x14ac:dyDescent="0.2">
      <c r="B54" t="s">
        <v>300</v>
      </c>
      <c r="C54" s="12">
        <v>23</v>
      </c>
      <c r="D54" s="8">
        <v>3.48</v>
      </c>
      <c r="E54" s="12">
        <v>21</v>
      </c>
      <c r="F54" s="8">
        <v>5.87</v>
      </c>
      <c r="G54" s="12">
        <v>2</v>
      </c>
      <c r="H54" s="8">
        <v>0.68</v>
      </c>
      <c r="I54" s="12">
        <v>0</v>
      </c>
    </row>
    <row r="55" spans="2:9" ht="15" customHeight="1" x14ac:dyDescent="0.2">
      <c r="B55" t="s">
        <v>295</v>
      </c>
      <c r="C55" s="12">
        <v>17</v>
      </c>
      <c r="D55" s="8">
        <v>2.57</v>
      </c>
      <c r="E55" s="12">
        <v>10</v>
      </c>
      <c r="F55" s="8">
        <v>2.79</v>
      </c>
      <c r="G55" s="12">
        <v>7</v>
      </c>
      <c r="H55" s="8">
        <v>2.4</v>
      </c>
      <c r="I55" s="12">
        <v>0</v>
      </c>
    </row>
    <row r="56" spans="2:9" ht="15" customHeight="1" x14ac:dyDescent="0.2">
      <c r="B56" t="s">
        <v>299</v>
      </c>
      <c r="C56" s="12">
        <v>16</v>
      </c>
      <c r="D56" s="8">
        <v>2.42</v>
      </c>
      <c r="E56" s="12">
        <v>10</v>
      </c>
      <c r="F56" s="8">
        <v>2.79</v>
      </c>
      <c r="G56" s="12">
        <v>6</v>
      </c>
      <c r="H56" s="8">
        <v>2.0499999999999998</v>
      </c>
      <c r="I56" s="12">
        <v>0</v>
      </c>
    </row>
    <row r="57" spans="2:9" ht="15" customHeight="1" x14ac:dyDescent="0.2">
      <c r="B57" t="s">
        <v>296</v>
      </c>
      <c r="C57" s="12">
        <v>15</v>
      </c>
      <c r="D57" s="8">
        <v>2.27</v>
      </c>
      <c r="E57" s="12">
        <v>8</v>
      </c>
      <c r="F57" s="8">
        <v>2.23</v>
      </c>
      <c r="G57" s="12">
        <v>7</v>
      </c>
      <c r="H57" s="8">
        <v>2.4</v>
      </c>
      <c r="I57" s="12">
        <v>0</v>
      </c>
    </row>
    <row r="58" spans="2:9" ht="15" customHeight="1" x14ac:dyDescent="0.2">
      <c r="B58" t="s">
        <v>347</v>
      </c>
      <c r="C58" s="12">
        <v>15</v>
      </c>
      <c r="D58" s="8">
        <v>2.27</v>
      </c>
      <c r="E58" s="12">
        <v>0</v>
      </c>
      <c r="F58" s="8">
        <v>0</v>
      </c>
      <c r="G58" s="12">
        <v>15</v>
      </c>
      <c r="H58" s="8">
        <v>5.14</v>
      </c>
      <c r="I58" s="12">
        <v>0</v>
      </c>
    </row>
    <row r="59" spans="2:9" ht="15" customHeight="1" x14ac:dyDescent="0.2">
      <c r="B59" t="s">
        <v>288</v>
      </c>
      <c r="C59" s="12">
        <v>14</v>
      </c>
      <c r="D59" s="8">
        <v>2.12</v>
      </c>
      <c r="E59" s="12">
        <v>0</v>
      </c>
      <c r="F59" s="8">
        <v>0</v>
      </c>
      <c r="G59" s="12">
        <v>14</v>
      </c>
      <c r="H59" s="8">
        <v>4.79</v>
      </c>
      <c r="I59" s="12">
        <v>0</v>
      </c>
    </row>
    <row r="60" spans="2:9" ht="15" customHeight="1" x14ac:dyDescent="0.2">
      <c r="B60" t="s">
        <v>330</v>
      </c>
      <c r="C60" s="12">
        <v>14</v>
      </c>
      <c r="D60" s="8">
        <v>2.12</v>
      </c>
      <c r="E60" s="12">
        <v>1</v>
      </c>
      <c r="F60" s="8">
        <v>0.28000000000000003</v>
      </c>
      <c r="G60" s="12">
        <v>13</v>
      </c>
      <c r="H60" s="8">
        <v>4.45</v>
      </c>
      <c r="I60" s="12">
        <v>0</v>
      </c>
    </row>
    <row r="61" spans="2:9" ht="15" customHeight="1" x14ac:dyDescent="0.2">
      <c r="B61" t="s">
        <v>289</v>
      </c>
      <c r="C61" s="12">
        <v>13</v>
      </c>
      <c r="D61" s="8">
        <v>1.97</v>
      </c>
      <c r="E61" s="12">
        <v>1</v>
      </c>
      <c r="F61" s="8">
        <v>0.28000000000000003</v>
      </c>
      <c r="G61" s="12">
        <v>12</v>
      </c>
      <c r="H61" s="8">
        <v>4.1100000000000003</v>
      </c>
      <c r="I61" s="12">
        <v>0</v>
      </c>
    </row>
    <row r="62" spans="2:9" ht="15" customHeight="1" x14ac:dyDescent="0.2">
      <c r="B62" t="s">
        <v>333</v>
      </c>
      <c r="C62" s="12">
        <v>12</v>
      </c>
      <c r="D62" s="8">
        <v>1.82</v>
      </c>
      <c r="E62" s="12">
        <v>11</v>
      </c>
      <c r="F62" s="8">
        <v>3.07</v>
      </c>
      <c r="G62" s="12">
        <v>1</v>
      </c>
      <c r="H62" s="8">
        <v>0.34</v>
      </c>
      <c r="I62" s="12">
        <v>0</v>
      </c>
    </row>
    <row r="63" spans="2:9" ht="15" customHeight="1" x14ac:dyDescent="0.2">
      <c r="B63" t="s">
        <v>342</v>
      </c>
      <c r="C63" s="12">
        <v>12</v>
      </c>
      <c r="D63" s="8">
        <v>1.82</v>
      </c>
      <c r="E63" s="12">
        <v>5</v>
      </c>
      <c r="F63" s="8">
        <v>1.4</v>
      </c>
      <c r="G63" s="12">
        <v>7</v>
      </c>
      <c r="H63" s="8">
        <v>2.4</v>
      </c>
      <c r="I63" s="12">
        <v>0</v>
      </c>
    </row>
    <row r="64" spans="2:9" ht="15" customHeight="1" x14ac:dyDescent="0.2">
      <c r="B64" t="s">
        <v>293</v>
      </c>
      <c r="C64" s="12">
        <v>11</v>
      </c>
      <c r="D64" s="8">
        <v>1.66</v>
      </c>
      <c r="E64" s="12">
        <v>4</v>
      </c>
      <c r="F64" s="8">
        <v>1.1200000000000001</v>
      </c>
      <c r="G64" s="12">
        <v>7</v>
      </c>
      <c r="H64" s="8">
        <v>2.4</v>
      </c>
      <c r="I64" s="12">
        <v>0</v>
      </c>
    </row>
    <row r="65" spans="2:9" ht="15" customHeight="1" x14ac:dyDescent="0.2">
      <c r="B65" t="s">
        <v>335</v>
      </c>
      <c r="C65" s="12">
        <v>11</v>
      </c>
      <c r="D65" s="8">
        <v>1.66</v>
      </c>
      <c r="E65" s="12">
        <v>5</v>
      </c>
      <c r="F65" s="8">
        <v>1.4</v>
      </c>
      <c r="G65" s="12">
        <v>6</v>
      </c>
      <c r="H65" s="8">
        <v>2.0499999999999998</v>
      </c>
      <c r="I65" s="12">
        <v>0</v>
      </c>
    </row>
    <row r="66" spans="2:9" ht="15" customHeight="1" x14ac:dyDescent="0.2">
      <c r="B66" t="s">
        <v>324</v>
      </c>
      <c r="C66" s="12">
        <v>10</v>
      </c>
      <c r="D66" s="8">
        <v>1.51</v>
      </c>
      <c r="E66" s="12">
        <v>2</v>
      </c>
      <c r="F66" s="8">
        <v>0.56000000000000005</v>
      </c>
      <c r="G66" s="12">
        <v>8</v>
      </c>
      <c r="H66" s="8">
        <v>2.74</v>
      </c>
      <c r="I66" s="12">
        <v>0</v>
      </c>
    </row>
    <row r="67" spans="2:9" ht="15" customHeight="1" x14ac:dyDescent="0.2">
      <c r="B67" t="s">
        <v>292</v>
      </c>
      <c r="C67" s="12">
        <v>10</v>
      </c>
      <c r="D67" s="8">
        <v>1.51</v>
      </c>
      <c r="E67" s="12">
        <v>3</v>
      </c>
      <c r="F67" s="8">
        <v>0.84</v>
      </c>
      <c r="G67" s="12">
        <v>7</v>
      </c>
      <c r="H67" s="8">
        <v>2.4</v>
      </c>
      <c r="I67" s="12">
        <v>0</v>
      </c>
    </row>
    <row r="68" spans="2:9" ht="15" customHeight="1" x14ac:dyDescent="0.2">
      <c r="B68" t="s">
        <v>306</v>
      </c>
      <c r="C68" s="12">
        <v>10</v>
      </c>
      <c r="D68" s="8">
        <v>1.51</v>
      </c>
      <c r="E68" s="12">
        <v>10</v>
      </c>
      <c r="F68" s="8">
        <v>2.79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329</v>
      </c>
      <c r="C69" s="12">
        <v>9</v>
      </c>
      <c r="D69" s="8">
        <v>1.36</v>
      </c>
      <c r="E69" s="12">
        <v>7</v>
      </c>
      <c r="F69" s="8">
        <v>1.96</v>
      </c>
      <c r="G69" s="12">
        <v>2</v>
      </c>
      <c r="H69" s="8">
        <v>0.68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CBC56-50F0-4AFD-93A8-7A344985FF24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133</v>
      </c>
      <c r="D6" s="8">
        <v>19.05</v>
      </c>
      <c r="E6" s="12">
        <v>38</v>
      </c>
      <c r="F6" s="8">
        <v>10.58</v>
      </c>
      <c r="G6" s="12">
        <v>95</v>
      </c>
      <c r="H6" s="8">
        <v>28.27</v>
      </c>
      <c r="I6" s="12">
        <v>0</v>
      </c>
    </row>
    <row r="7" spans="2:9" ht="15" customHeight="1" x14ac:dyDescent="0.2">
      <c r="B7" t="s">
        <v>192</v>
      </c>
      <c r="C7" s="12">
        <v>34</v>
      </c>
      <c r="D7" s="8">
        <v>4.87</v>
      </c>
      <c r="E7" s="12">
        <v>11</v>
      </c>
      <c r="F7" s="8">
        <v>3.06</v>
      </c>
      <c r="G7" s="12">
        <v>23</v>
      </c>
      <c r="H7" s="8">
        <v>6.85</v>
      </c>
      <c r="I7" s="12">
        <v>0</v>
      </c>
    </row>
    <row r="8" spans="2:9" ht="15" customHeight="1" x14ac:dyDescent="0.2">
      <c r="B8" t="s">
        <v>193</v>
      </c>
      <c r="C8" s="12">
        <v>4</v>
      </c>
      <c r="D8" s="8">
        <v>0.56999999999999995</v>
      </c>
      <c r="E8" s="12">
        <v>0</v>
      </c>
      <c r="F8" s="8">
        <v>0</v>
      </c>
      <c r="G8" s="12">
        <v>4</v>
      </c>
      <c r="H8" s="8">
        <v>1.19</v>
      </c>
      <c r="I8" s="12">
        <v>0</v>
      </c>
    </row>
    <row r="9" spans="2:9" ht="15" customHeight="1" x14ac:dyDescent="0.2">
      <c r="B9" t="s">
        <v>194</v>
      </c>
      <c r="C9" s="12">
        <v>4</v>
      </c>
      <c r="D9" s="8">
        <v>0.56999999999999995</v>
      </c>
      <c r="E9" s="12">
        <v>1</v>
      </c>
      <c r="F9" s="8">
        <v>0.28000000000000003</v>
      </c>
      <c r="G9" s="12">
        <v>3</v>
      </c>
      <c r="H9" s="8">
        <v>0.89</v>
      </c>
      <c r="I9" s="12">
        <v>0</v>
      </c>
    </row>
    <row r="10" spans="2:9" ht="15" customHeight="1" x14ac:dyDescent="0.2">
      <c r="B10" t="s">
        <v>195</v>
      </c>
      <c r="C10" s="12">
        <v>10</v>
      </c>
      <c r="D10" s="8">
        <v>1.43</v>
      </c>
      <c r="E10" s="12">
        <v>5</v>
      </c>
      <c r="F10" s="8">
        <v>1.39</v>
      </c>
      <c r="G10" s="12">
        <v>5</v>
      </c>
      <c r="H10" s="8">
        <v>1.49</v>
      </c>
      <c r="I10" s="12">
        <v>0</v>
      </c>
    </row>
    <row r="11" spans="2:9" ht="15" customHeight="1" x14ac:dyDescent="0.2">
      <c r="B11" t="s">
        <v>196</v>
      </c>
      <c r="C11" s="12">
        <v>142</v>
      </c>
      <c r="D11" s="8">
        <v>20.34</v>
      </c>
      <c r="E11" s="12">
        <v>49</v>
      </c>
      <c r="F11" s="8">
        <v>13.65</v>
      </c>
      <c r="G11" s="12">
        <v>93</v>
      </c>
      <c r="H11" s="8">
        <v>27.68</v>
      </c>
      <c r="I11" s="12">
        <v>0</v>
      </c>
    </row>
    <row r="12" spans="2:9" ht="15" customHeight="1" x14ac:dyDescent="0.2">
      <c r="B12" t="s">
        <v>197</v>
      </c>
      <c r="C12" s="12">
        <v>6</v>
      </c>
      <c r="D12" s="8">
        <v>0.86</v>
      </c>
      <c r="E12" s="12">
        <v>1</v>
      </c>
      <c r="F12" s="8">
        <v>0.28000000000000003</v>
      </c>
      <c r="G12" s="12">
        <v>5</v>
      </c>
      <c r="H12" s="8">
        <v>1.49</v>
      </c>
      <c r="I12" s="12">
        <v>0</v>
      </c>
    </row>
    <row r="13" spans="2:9" ht="15" customHeight="1" x14ac:dyDescent="0.2">
      <c r="B13" t="s">
        <v>198</v>
      </c>
      <c r="C13" s="12">
        <v>57</v>
      </c>
      <c r="D13" s="8">
        <v>8.17</v>
      </c>
      <c r="E13" s="12">
        <v>36</v>
      </c>
      <c r="F13" s="8">
        <v>10.029999999999999</v>
      </c>
      <c r="G13" s="12">
        <v>20</v>
      </c>
      <c r="H13" s="8">
        <v>5.95</v>
      </c>
      <c r="I13" s="12">
        <v>0</v>
      </c>
    </row>
    <row r="14" spans="2:9" ht="15" customHeight="1" x14ac:dyDescent="0.2">
      <c r="B14" t="s">
        <v>199</v>
      </c>
      <c r="C14" s="12">
        <v>30</v>
      </c>
      <c r="D14" s="8">
        <v>4.3</v>
      </c>
      <c r="E14" s="12">
        <v>14</v>
      </c>
      <c r="F14" s="8">
        <v>3.9</v>
      </c>
      <c r="G14" s="12">
        <v>16</v>
      </c>
      <c r="H14" s="8">
        <v>4.76</v>
      </c>
      <c r="I14" s="12">
        <v>0</v>
      </c>
    </row>
    <row r="15" spans="2:9" ht="15" customHeight="1" x14ac:dyDescent="0.2">
      <c r="B15" t="s">
        <v>200</v>
      </c>
      <c r="C15" s="12">
        <v>61</v>
      </c>
      <c r="D15" s="8">
        <v>8.74</v>
      </c>
      <c r="E15" s="12">
        <v>46</v>
      </c>
      <c r="F15" s="8">
        <v>12.81</v>
      </c>
      <c r="G15" s="12">
        <v>15</v>
      </c>
      <c r="H15" s="8">
        <v>4.46</v>
      </c>
      <c r="I15" s="12">
        <v>0</v>
      </c>
    </row>
    <row r="16" spans="2:9" ht="15" customHeight="1" x14ac:dyDescent="0.2">
      <c r="B16" t="s">
        <v>201</v>
      </c>
      <c r="C16" s="12">
        <v>109</v>
      </c>
      <c r="D16" s="8">
        <v>15.62</v>
      </c>
      <c r="E16" s="12">
        <v>94</v>
      </c>
      <c r="F16" s="8">
        <v>26.18</v>
      </c>
      <c r="G16" s="12">
        <v>15</v>
      </c>
      <c r="H16" s="8">
        <v>4.46</v>
      </c>
      <c r="I16" s="12">
        <v>0</v>
      </c>
    </row>
    <row r="17" spans="2:9" ht="15" customHeight="1" x14ac:dyDescent="0.2">
      <c r="B17" t="s">
        <v>202</v>
      </c>
      <c r="C17" s="12">
        <v>32</v>
      </c>
      <c r="D17" s="8">
        <v>4.58</v>
      </c>
      <c r="E17" s="12">
        <v>23</v>
      </c>
      <c r="F17" s="8">
        <v>6.41</v>
      </c>
      <c r="G17" s="12">
        <v>8</v>
      </c>
      <c r="H17" s="8">
        <v>2.38</v>
      </c>
      <c r="I17" s="12">
        <v>0</v>
      </c>
    </row>
    <row r="18" spans="2:9" ht="15" customHeight="1" x14ac:dyDescent="0.2">
      <c r="B18" t="s">
        <v>203</v>
      </c>
      <c r="C18" s="12">
        <v>42</v>
      </c>
      <c r="D18" s="8">
        <v>6.02</v>
      </c>
      <c r="E18" s="12">
        <v>30</v>
      </c>
      <c r="F18" s="8">
        <v>8.36</v>
      </c>
      <c r="G18" s="12">
        <v>11</v>
      </c>
      <c r="H18" s="8">
        <v>3.27</v>
      </c>
      <c r="I18" s="12">
        <v>0</v>
      </c>
    </row>
    <row r="19" spans="2:9" ht="15" customHeight="1" x14ac:dyDescent="0.2">
      <c r="B19" t="s">
        <v>204</v>
      </c>
      <c r="C19" s="12">
        <v>34</v>
      </c>
      <c r="D19" s="8">
        <v>4.87</v>
      </c>
      <c r="E19" s="12">
        <v>11</v>
      </c>
      <c r="F19" s="8">
        <v>3.06</v>
      </c>
      <c r="G19" s="12">
        <v>23</v>
      </c>
      <c r="H19" s="8">
        <v>6.85</v>
      </c>
      <c r="I19" s="12">
        <v>0</v>
      </c>
    </row>
    <row r="20" spans="2:9" ht="15" customHeight="1" x14ac:dyDescent="0.2">
      <c r="B20" s="9" t="s">
        <v>529</v>
      </c>
      <c r="C20" s="12">
        <f>SUM(LTBL_01631[総数／事業所数])</f>
        <v>698</v>
      </c>
      <c r="E20" s="12">
        <f>SUBTOTAL(109,LTBL_01631[個人／事業所数])</f>
        <v>359</v>
      </c>
      <c r="G20" s="12">
        <f>SUBTOTAL(109,LTBL_01631[法人／事業所数])</f>
        <v>336</v>
      </c>
      <c r="I20" s="12">
        <f>SUBTOTAL(109,LTBL_01631[法人以外の団体／事業所数])</f>
        <v>0</v>
      </c>
    </row>
    <row r="21" spans="2:9" ht="15" customHeight="1" x14ac:dyDescent="0.2">
      <c r="E21" s="11">
        <f>LTBL_01631[[#Totals],[個人／事業所数]]/LTBL_01631[[#Totals],[総数／事業所数]]</f>
        <v>0.51432664756446989</v>
      </c>
      <c r="G21" s="11">
        <f>LTBL_01631[[#Totals],[法人／事業所数]]/LTBL_01631[[#Totals],[総数／事業所数]]</f>
        <v>0.48137535816618909</v>
      </c>
      <c r="I21" s="11">
        <f>LTBL_01631[[#Totals],[法人以外の団体／事業所数]]/LTBL_01631[[#Totals],[総数／事業所数]]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102</v>
      </c>
      <c r="D24" s="8">
        <v>14.61</v>
      </c>
      <c r="E24" s="12">
        <v>91</v>
      </c>
      <c r="F24" s="8">
        <v>25.35</v>
      </c>
      <c r="G24" s="12">
        <v>11</v>
      </c>
      <c r="H24" s="8">
        <v>3.27</v>
      </c>
      <c r="I24" s="12">
        <v>0</v>
      </c>
    </row>
    <row r="25" spans="2:9" ht="15" customHeight="1" x14ac:dyDescent="0.2">
      <c r="B25" t="s">
        <v>213</v>
      </c>
      <c r="C25" s="12">
        <v>53</v>
      </c>
      <c r="D25" s="8">
        <v>7.59</v>
      </c>
      <c r="E25" s="12">
        <v>10</v>
      </c>
      <c r="F25" s="8">
        <v>2.79</v>
      </c>
      <c r="G25" s="12">
        <v>43</v>
      </c>
      <c r="H25" s="8">
        <v>12.8</v>
      </c>
      <c r="I25" s="12">
        <v>0</v>
      </c>
    </row>
    <row r="26" spans="2:9" ht="15" customHeight="1" x14ac:dyDescent="0.2">
      <c r="B26" t="s">
        <v>224</v>
      </c>
      <c r="C26" s="12">
        <v>51</v>
      </c>
      <c r="D26" s="8">
        <v>7.31</v>
      </c>
      <c r="E26" s="12">
        <v>34</v>
      </c>
      <c r="F26" s="8">
        <v>9.4700000000000006</v>
      </c>
      <c r="G26" s="12">
        <v>16</v>
      </c>
      <c r="H26" s="8">
        <v>4.76</v>
      </c>
      <c r="I26" s="12">
        <v>0</v>
      </c>
    </row>
    <row r="27" spans="2:9" ht="15" customHeight="1" x14ac:dyDescent="0.2">
      <c r="B27" t="s">
        <v>214</v>
      </c>
      <c r="C27" s="12">
        <v>49</v>
      </c>
      <c r="D27" s="8">
        <v>7.02</v>
      </c>
      <c r="E27" s="12">
        <v>21</v>
      </c>
      <c r="F27" s="8">
        <v>5.85</v>
      </c>
      <c r="G27" s="12">
        <v>28</v>
      </c>
      <c r="H27" s="8">
        <v>8.33</v>
      </c>
      <c r="I27" s="12">
        <v>0</v>
      </c>
    </row>
    <row r="28" spans="2:9" ht="15" customHeight="1" x14ac:dyDescent="0.2">
      <c r="B28" t="s">
        <v>227</v>
      </c>
      <c r="C28" s="12">
        <v>49</v>
      </c>
      <c r="D28" s="8">
        <v>7.02</v>
      </c>
      <c r="E28" s="12">
        <v>42</v>
      </c>
      <c r="F28" s="8">
        <v>11.7</v>
      </c>
      <c r="G28" s="12">
        <v>7</v>
      </c>
      <c r="H28" s="8">
        <v>2.08</v>
      </c>
      <c r="I28" s="12">
        <v>0</v>
      </c>
    </row>
    <row r="29" spans="2:9" ht="15" customHeight="1" x14ac:dyDescent="0.2">
      <c r="B29" t="s">
        <v>223</v>
      </c>
      <c r="C29" s="12">
        <v>48</v>
      </c>
      <c r="D29" s="8">
        <v>6.88</v>
      </c>
      <c r="E29" s="12">
        <v>16</v>
      </c>
      <c r="F29" s="8">
        <v>4.46</v>
      </c>
      <c r="G29" s="12">
        <v>32</v>
      </c>
      <c r="H29" s="8">
        <v>9.52</v>
      </c>
      <c r="I29" s="12">
        <v>0</v>
      </c>
    </row>
    <row r="30" spans="2:9" ht="15" customHeight="1" x14ac:dyDescent="0.2">
      <c r="B30" t="s">
        <v>230</v>
      </c>
      <c r="C30" s="12">
        <v>32</v>
      </c>
      <c r="D30" s="8">
        <v>4.58</v>
      </c>
      <c r="E30" s="12">
        <v>23</v>
      </c>
      <c r="F30" s="8">
        <v>6.41</v>
      </c>
      <c r="G30" s="12">
        <v>8</v>
      </c>
      <c r="H30" s="8">
        <v>2.38</v>
      </c>
      <c r="I30" s="12">
        <v>0</v>
      </c>
    </row>
    <row r="31" spans="2:9" ht="15" customHeight="1" x14ac:dyDescent="0.2">
      <c r="B31" t="s">
        <v>215</v>
      </c>
      <c r="C31" s="12">
        <v>31</v>
      </c>
      <c r="D31" s="8">
        <v>4.4400000000000004</v>
      </c>
      <c r="E31" s="12">
        <v>7</v>
      </c>
      <c r="F31" s="8">
        <v>1.95</v>
      </c>
      <c r="G31" s="12">
        <v>24</v>
      </c>
      <c r="H31" s="8">
        <v>7.14</v>
      </c>
      <c r="I31" s="12">
        <v>0</v>
      </c>
    </row>
    <row r="32" spans="2:9" ht="15" customHeight="1" x14ac:dyDescent="0.2">
      <c r="B32" t="s">
        <v>231</v>
      </c>
      <c r="C32" s="12">
        <v>31</v>
      </c>
      <c r="D32" s="8">
        <v>4.4400000000000004</v>
      </c>
      <c r="E32" s="12">
        <v>30</v>
      </c>
      <c r="F32" s="8">
        <v>8.36</v>
      </c>
      <c r="G32" s="12">
        <v>1</v>
      </c>
      <c r="H32" s="8">
        <v>0.3</v>
      </c>
      <c r="I32" s="12">
        <v>0</v>
      </c>
    </row>
    <row r="33" spans="2:9" ht="15" customHeight="1" x14ac:dyDescent="0.2">
      <c r="B33" t="s">
        <v>226</v>
      </c>
      <c r="C33" s="12">
        <v>22</v>
      </c>
      <c r="D33" s="8">
        <v>3.15</v>
      </c>
      <c r="E33" s="12">
        <v>8</v>
      </c>
      <c r="F33" s="8">
        <v>2.23</v>
      </c>
      <c r="G33" s="12">
        <v>14</v>
      </c>
      <c r="H33" s="8">
        <v>4.17</v>
      </c>
      <c r="I33" s="12">
        <v>0</v>
      </c>
    </row>
    <row r="34" spans="2:9" ht="15" customHeight="1" x14ac:dyDescent="0.2">
      <c r="B34" t="s">
        <v>221</v>
      </c>
      <c r="C34" s="12">
        <v>20</v>
      </c>
      <c r="D34" s="8">
        <v>2.87</v>
      </c>
      <c r="E34" s="12">
        <v>11</v>
      </c>
      <c r="F34" s="8">
        <v>3.06</v>
      </c>
      <c r="G34" s="12">
        <v>9</v>
      </c>
      <c r="H34" s="8">
        <v>2.68</v>
      </c>
      <c r="I34" s="12">
        <v>0</v>
      </c>
    </row>
    <row r="35" spans="2:9" ht="15" customHeight="1" x14ac:dyDescent="0.2">
      <c r="B35" t="s">
        <v>220</v>
      </c>
      <c r="C35" s="12">
        <v>16</v>
      </c>
      <c r="D35" s="8">
        <v>2.29</v>
      </c>
      <c r="E35" s="12">
        <v>5</v>
      </c>
      <c r="F35" s="8">
        <v>1.39</v>
      </c>
      <c r="G35" s="12">
        <v>11</v>
      </c>
      <c r="H35" s="8">
        <v>3.27</v>
      </c>
      <c r="I35" s="12">
        <v>0</v>
      </c>
    </row>
    <row r="36" spans="2:9" ht="15" customHeight="1" x14ac:dyDescent="0.2">
      <c r="B36" t="s">
        <v>222</v>
      </c>
      <c r="C36" s="12">
        <v>16</v>
      </c>
      <c r="D36" s="8">
        <v>2.29</v>
      </c>
      <c r="E36" s="12">
        <v>8</v>
      </c>
      <c r="F36" s="8">
        <v>2.23</v>
      </c>
      <c r="G36" s="12">
        <v>8</v>
      </c>
      <c r="H36" s="8">
        <v>2.38</v>
      </c>
      <c r="I36" s="12">
        <v>0</v>
      </c>
    </row>
    <row r="37" spans="2:9" ht="15" customHeight="1" x14ac:dyDescent="0.2">
      <c r="B37" t="s">
        <v>240</v>
      </c>
      <c r="C37" s="12">
        <v>12</v>
      </c>
      <c r="D37" s="8">
        <v>1.72</v>
      </c>
      <c r="E37" s="12">
        <v>6</v>
      </c>
      <c r="F37" s="8">
        <v>1.67</v>
      </c>
      <c r="G37" s="12">
        <v>6</v>
      </c>
      <c r="H37" s="8">
        <v>1.79</v>
      </c>
      <c r="I37" s="12">
        <v>0</v>
      </c>
    </row>
    <row r="38" spans="2:9" ht="15" customHeight="1" x14ac:dyDescent="0.2">
      <c r="B38" t="s">
        <v>232</v>
      </c>
      <c r="C38" s="12">
        <v>11</v>
      </c>
      <c r="D38" s="8">
        <v>1.58</v>
      </c>
      <c r="E38" s="12">
        <v>0</v>
      </c>
      <c r="F38" s="8">
        <v>0</v>
      </c>
      <c r="G38" s="12">
        <v>10</v>
      </c>
      <c r="H38" s="8">
        <v>2.98</v>
      </c>
      <c r="I38" s="12">
        <v>0</v>
      </c>
    </row>
    <row r="39" spans="2:9" ht="15" customHeight="1" x14ac:dyDescent="0.2">
      <c r="B39" t="s">
        <v>242</v>
      </c>
      <c r="C39" s="12">
        <v>11</v>
      </c>
      <c r="D39" s="8">
        <v>1.58</v>
      </c>
      <c r="E39" s="12">
        <v>5</v>
      </c>
      <c r="F39" s="8">
        <v>1.39</v>
      </c>
      <c r="G39" s="12">
        <v>6</v>
      </c>
      <c r="H39" s="8">
        <v>1.79</v>
      </c>
      <c r="I39" s="12">
        <v>0</v>
      </c>
    </row>
    <row r="40" spans="2:9" ht="15" customHeight="1" x14ac:dyDescent="0.2">
      <c r="B40" t="s">
        <v>217</v>
      </c>
      <c r="C40" s="12">
        <v>10</v>
      </c>
      <c r="D40" s="8">
        <v>1.43</v>
      </c>
      <c r="E40" s="12">
        <v>4</v>
      </c>
      <c r="F40" s="8">
        <v>1.1100000000000001</v>
      </c>
      <c r="G40" s="12">
        <v>6</v>
      </c>
      <c r="H40" s="8">
        <v>1.79</v>
      </c>
      <c r="I40" s="12">
        <v>0</v>
      </c>
    </row>
    <row r="41" spans="2:9" ht="15" customHeight="1" x14ac:dyDescent="0.2">
      <c r="B41" t="s">
        <v>219</v>
      </c>
      <c r="C41" s="12">
        <v>10</v>
      </c>
      <c r="D41" s="8">
        <v>1.43</v>
      </c>
      <c r="E41" s="12">
        <v>3</v>
      </c>
      <c r="F41" s="8">
        <v>0.84</v>
      </c>
      <c r="G41" s="12">
        <v>7</v>
      </c>
      <c r="H41" s="8">
        <v>2.08</v>
      </c>
      <c r="I41" s="12">
        <v>0</v>
      </c>
    </row>
    <row r="42" spans="2:9" ht="15" customHeight="1" x14ac:dyDescent="0.2">
      <c r="B42" t="s">
        <v>236</v>
      </c>
      <c r="C42" s="12">
        <v>8</v>
      </c>
      <c r="D42" s="8">
        <v>1.1499999999999999</v>
      </c>
      <c r="E42" s="12">
        <v>0</v>
      </c>
      <c r="F42" s="8">
        <v>0</v>
      </c>
      <c r="G42" s="12">
        <v>8</v>
      </c>
      <c r="H42" s="8">
        <v>2.38</v>
      </c>
      <c r="I42" s="12">
        <v>0</v>
      </c>
    </row>
    <row r="43" spans="2:9" ht="15" customHeight="1" x14ac:dyDescent="0.2">
      <c r="B43" t="s">
        <v>225</v>
      </c>
      <c r="C43" s="12">
        <v>8</v>
      </c>
      <c r="D43" s="8">
        <v>1.1499999999999999</v>
      </c>
      <c r="E43" s="12">
        <v>6</v>
      </c>
      <c r="F43" s="8">
        <v>1.67</v>
      </c>
      <c r="G43" s="12">
        <v>2</v>
      </c>
      <c r="H43" s="8">
        <v>0.6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58</v>
      </c>
      <c r="D47" s="8">
        <v>8.31</v>
      </c>
      <c r="E47" s="12">
        <v>53</v>
      </c>
      <c r="F47" s="8">
        <v>14.76</v>
      </c>
      <c r="G47" s="12">
        <v>5</v>
      </c>
      <c r="H47" s="8">
        <v>1.49</v>
      </c>
      <c r="I47" s="12">
        <v>0</v>
      </c>
    </row>
    <row r="48" spans="2:9" ht="15" customHeight="1" x14ac:dyDescent="0.2">
      <c r="B48" t="s">
        <v>297</v>
      </c>
      <c r="C48" s="12">
        <v>46</v>
      </c>
      <c r="D48" s="8">
        <v>6.59</v>
      </c>
      <c r="E48" s="12">
        <v>33</v>
      </c>
      <c r="F48" s="8">
        <v>9.19</v>
      </c>
      <c r="G48" s="12">
        <v>12</v>
      </c>
      <c r="H48" s="8">
        <v>3.57</v>
      </c>
      <c r="I48" s="12">
        <v>0</v>
      </c>
    </row>
    <row r="49" spans="2:9" ht="15" customHeight="1" x14ac:dyDescent="0.2">
      <c r="B49" t="s">
        <v>303</v>
      </c>
      <c r="C49" s="12">
        <v>33</v>
      </c>
      <c r="D49" s="8">
        <v>4.7300000000000004</v>
      </c>
      <c r="E49" s="12">
        <v>33</v>
      </c>
      <c r="F49" s="8">
        <v>9.19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288</v>
      </c>
      <c r="C50" s="12">
        <v>19</v>
      </c>
      <c r="D50" s="8">
        <v>2.72</v>
      </c>
      <c r="E50" s="12">
        <v>3</v>
      </c>
      <c r="F50" s="8">
        <v>0.84</v>
      </c>
      <c r="G50" s="12">
        <v>16</v>
      </c>
      <c r="H50" s="8">
        <v>4.76</v>
      </c>
      <c r="I50" s="12">
        <v>0</v>
      </c>
    </row>
    <row r="51" spans="2:9" ht="15" customHeight="1" x14ac:dyDescent="0.2">
      <c r="B51" t="s">
        <v>305</v>
      </c>
      <c r="C51" s="12">
        <v>19</v>
      </c>
      <c r="D51" s="8">
        <v>2.72</v>
      </c>
      <c r="E51" s="12">
        <v>18</v>
      </c>
      <c r="F51" s="8">
        <v>5.01</v>
      </c>
      <c r="G51" s="12">
        <v>1</v>
      </c>
      <c r="H51" s="8">
        <v>0.3</v>
      </c>
      <c r="I51" s="12">
        <v>0</v>
      </c>
    </row>
    <row r="52" spans="2:9" ht="15" customHeight="1" x14ac:dyDescent="0.2">
      <c r="B52" t="s">
        <v>306</v>
      </c>
      <c r="C52" s="12">
        <v>19</v>
      </c>
      <c r="D52" s="8">
        <v>2.72</v>
      </c>
      <c r="E52" s="12">
        <v>19</v>
      </c>
      <c r="F52" s="8">
        <v>5.29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299</v>
      </c>
      <c r="C53" s="12">
        <v>18</v>
      </c>
      <c r="D53" s="8">
        <v>2.58</v>
      </c>
      <c r="E53" s="12">
        <v>17</v>
      </c>
      <c r="F53" s="8">
        <v>4.74</v>
      </c>
      <c r="G53" s="12">
        <v>1</v>
      </c>
      <c r="H53" s="8">
        <v>0.3</v>
      </c>
      <c r="I53" s="12">
        <v>0</v>
      </c>
    </row>
    <row r="54" spans="2:9" ht="15" customHeight="1" x14ac:dyDescent="0.2">
      <c r="B54" t="s">
        <v>328</v>
      </c>
      <c r="C54" s="12">
        <v>17</v>
      </c>
      <c r="D54" s="8">
        <v>2.44</v>
      </c>
      <c r="E54" s="12">
        <v>3</v>
      </c>
      <c r="F54" s="8">
        <v>0.84</v>
      </c>
      <c r="G54" s="12">
        <v>14</v>
      </c>
      <c r="H54" s="8">
        <v>4.17</v>
      </c>
      <c r="I54" s="12">
        <v>0</v>
      </c>
    </row>
    <row r="55" spans="2:9" ht="15" customHeight="1" x14ac:dyDescent="0.2">
      <c r="B55" t="s">
        <v>298</v>
      </c>
      <c r="C55" s="12">
        <v>14</v>
      </c>
      <c r="D55" s="8">
        <v>2.0099999999999998</v>
      </c>
      <c r="E55" s="12">
        <v>2</v>
      </c>
      <c r="F55" s="8">
        <v>0.56000000000000005</v>
      </c>
      <c r="G55" s="12">
        <v>12</v>
      </c>
      <c r="H55" s="8">
        <v>3.57</v>
      </c>
      <c r="I55" s="12">
        <v>0</v>
      </c>
    </row>
    <row r="56" spans="2:9" ht="15" customHeight="1" x14ac:dyDescent="0.2">
      <c r="B56" t="s">
        <v>333</v>
      </c>
      <c r="C56" s="12">
        <v>13</v>
      </c>
      <c r="D56" s="8">
        <v>1.86</v>
      </c>
      <c r="E56" s="12">
        <v>5</v>
      </c>
      <c r="F56" s="8">
        <v>1.39</v>
      </c>
      <c r="G56" s="12">
        <v>8</v>
      </c>
      <c r="H56" s="8">
        <v>2.38</v>
      </c>
      <c r="I56" s="12">
        <v>0</v>
      </c>
    </row>
    <row r="57" spans="2:9" ht="15" customHeight="1" x14ac:dyDescent="0.2">
      <c r="B57" t="s">
        <v>308</v>
      </c>
      <c r="C57" s="12">
        <v>13</v>
      </c>
      <c r="D57" s="8">
        <v>1.86</v>
      </c>
      <c r="E57" s="12">
        <v>10</v>
      </c>
      <c r="F57" s="8">
        <v>2.79</v>
      </c>
      <c r="G57" s="12">
        <v>3</v>
      </c>
      <c r="H57" s="8">
        <v>0.89</v>
      </c>
      <c r="I57" s="12">
        <v>0</v>
      </c>
    </row>
    <row r="58" spans="2:9" ht="15" customHeight="1" x14ac:dyDescent="0.2">
      <c r="B58" t="s">
        <v>327</v>
      </c>
      <c r="C58" s="12">
        <v>12</v>
      </c>
      <c r="D58" s="8">
        <v>1.72</v>
      </c>
      <c r="E58" s="12">
        <v>5</v>
      </c>
      <c r="F58" s="8">
        <v>1.39</v>
      </c>
      <c r="G58" s="12">
        <v>7</v>
      </c>
      <c r="H58" s="8">
        <v>2.08</v>
      </c>
      <c r="I58" s="12">
        <v>0</v>
      </c>
    </row>
    <row r="59" spans="2:9" ht="15" customHeight="1" x14ac:dyDescent="0.2">
      <c r="B59" t="s">
        <v>307</v>
      </c>
      <c r="C59" s="12">
        <v>12</v>
      </c>
      <c r="D59" s="8">
        <v>1.72</v>
      </c>
      <c r="E59" s="12">
        <v>6</v>
      </c>
      <c r="F59" s="8">
        <v>1.67</v>
      </c>
      <c r="G59" s="12">
        <v>6</v>
      </c>
      <c r="H59" s="8">
        <v>1.79</v>
      </c>
      <c r="I59" s="12">
        <v>0</v>
      </c>
    </row>
    <row r="60" spans="2:9" ht="15" customHeight="1" x14ac:dyDescent="0.2">
      <c r="B60" t="s">
        <v>293</v>
      </c>
      <c r="C60" s="12">
        <v>11</v>
      </c>
      <c r="D60" s="8">
        <v>1.58</v>
      </c>
      <c r="E60" s="12">
        <v>5</v>
      </c>
      <c r="F60" s="8">
        <v>1.39</v>
      </c>
      <c r="G60" s="12">
        <v>6</v>
      </c>
      <c r="H60" s="8">
        <v>1.79</v>
      </c>
      <c r="I60" s="12">
        <v>0</v>
      </c>
    </row>
    <row r="61" spans="2:9" ht="15" customHeight="1" x14ac:dyDescent="0.2">
      <c r="B61" t="s">
        <v>289</v>
      </c>
      <c r="C61" s="12">
        <v>10</v>
      </c>
      <c r="D61" s="8">
        <v>1.43</v>
      </c>
      <c r="E61" s="12">
        <v>0</v>
      </c>
      <c r="F61" s="8">
        <v>0</v>
      </c>
      <c r="G61" s="12">
        <v>10</v>
      </c>
      <c r="H61" s="8">
        <v>2.98</v>
      </c>
      <c r="I61" s="12">
        <v>0</v>
      </c>
    </row>
    <row r="62" spans="2:9" ht="15" customHeight="1" x14ac:dyDescent="0.2">
      <c r="B62" t="s">
        <v>290</v>
      </c>
      <c r="C62" s="12">
        <v>10</v>
      </c>
      <c r="D62" s="8">
        <v>1.43</v>
      </c>
      <c r="E62" s="12">
        <v>2</v>
      </c>
      <c r="F62" s="8">
        <v>0.56000000000000005</v>
      </c>
      <c r="G62" s="12">
        <v>8</v>
      </c>
      <c r="H62" s="8">
        <v>2.38</v>
      </c>
      <c r="I62" s="12">
        <v>0</v>
      </c>
    </row>
    <row r="63" spans="2:9" ht="15" customHeight="1" x14ac:dyDescent="0.2">
      <c r="B63" t="s">
        <v>291</v>
      </c>
      <c r="C63" s="12">
        <v>10</v>
      </c>
      <c r="D63" s="8">
        <v>1.43</v>
      </c>
      <c r="E63" s="12">
        <v>5</v>
      </c>
      <c r="F63" s="8">
        <v>1.39</v>
      </c>
      <c r="G63" s="12">
        <v>5</v>
      </c>
      <c r="H63" s="8">
        <v>1.49</v>
      </c>
      <c r="I63" s="12">
        <v>0</v>
      </c>
    </row>
    <row r="64" spans="2:9" ht="15" customHeight="1" x14ac:dyDescent="0.2">
      <c r="B64" t="s">
        <v>295</v>
      </c>
      <c r="C64" s="12">
        <v>10</v>
      </c>
      <c r="D64" s="8">
        <v>1.43</v>
      </c>
      <c r="E64" s="12">
        <v>3</v>
      </c>
      <c r="F64" s="8">
        <v>0.84</v>
      </c>
      <c r="G64" s="12">
        <v>7</v>
      </c>
      <c r="H64" s="8">
        <v>2.08</v>
      </c>
      <c r="I64" s="12">
        <v>0</v>
      </c>
    </row>
    <row r="65" spans="2:9" ht="15" customHeight="1" x14ac:dyDescent="0.2">
      <c r="B65" t="s">
        <v>292</v>
      </c>
      <c r="C65" s="12">
        <v>9</v>
      </c>
      <c r="D65" s="8">
        <v>1.29</v>
      </c>
      <c r="E65" s="12">
        <v>7</v>
      </c>
      <c r="F65" s="8">
        <v>1.95</v>
      </c>
      <c r="G65" s="12">
        <v>2</v>
      </c>
      <c r="H65" s="8">
        <v>0.6</v>
      </c>
      <c r="I65" s="12">
        <v>0</v>
      </c>
    </row>
    <row r="66" spans="2:9" ht="15" customHeight="1" x14ac:dyDescent="0.2">
      <c r="B66" t="s">
        <v>294</v>
      </c>
      <c r="C66" s="12">
        <v>9</v>
      </c>
      <c r="D66" s="8">
        <v>1.29</v>
      </c>
      <c r="E66" s="12">
        <v>2</v>
      </c>
      <c r="F66" s="8">
        <v>0.56000000000000005</v>
      </c>
      <c r="G66" s="12">
        <v>7</v>
      </c>
      <c r="H66" s="8">
        <v>2.08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8B219-DA93-422A-B3AD-D0CCD477E121}">
  <sheetPr>
    <pageSetUpPr fitToPage="1"/>
  </sheetPr>
  <dimension ref="B2:I9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29</v>
      </c>
      <c r="D6" s="8">
        <v>22.48</v>
      </c>
      <c r="E6" s="12">
        <v>14</v>
      </c>
      <c r="F6" s="8">
        <v>19.72</v>
      </c>
      <c r="G6" s="12">
        <v>15</v>
      </c>
      <c r="H6" s="8">
        <v>26.79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6.2</v>
      </c>
      <c r="E7" s="12">
        <v>3</v>
      </c>
      <c r="F7" s="8">
        <v>4.2300000000000004</v>
      </c>
      <c r="G7" s="12">
        <v>5</v>
      </c>
      <c r="H7" s="8">
        <v>8.93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0.78</v>
      </c>
      <c r="E8" s="12">
        <v>0</v>
      </c>
      <c r="F8" s="8">
        <v>0</v>
      </c>
      <c r="G8" s="12">
        <v>1</v>
      </c>
      <c r="H8" s="8">
        <v>1.79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1.55</v>
      </c>
      <c r="E10" s="12">
        <v>1</v>
      </c>
      <c r="F10" s="8">
        <v>1.41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31</v>
      </c>
      <c r="D11" s="8">
        <v>24.03</v>
      </c>
      <c r="E11" s="12">
        <v>5</v>
      </c>
      <c r="F11" s="8">
        <v>7.04</v>
      </c>
      <c r="G11" s="12">
        <v>26</v>
      </c>
      <c r="H11" s="8">
        <v>46.43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0.78</v>
      </c>
      <c r="E12" s="12">
        <v>0</v>
      </c>
      <c r="F12" s="8">
        <v>0</v>
      </c>
      <c r="G12" s="12">
        <v>1</v>
      </c>
      <c r="H12" s="8">
        <v>1.79</v>
      </c>
      <c r="I12" s="12">
        <v>0</v>
      </c>
    </row>
    <row r="13" spans="2:9" ht="15" customHeight="1" x14ac:dyDescent="0.2">
      <c r="B13" t="s">
        <v>198</v>
      </c>
      <c r="C13" s="12">
        <v>11</v>
      </c>
      <c r="D13" s="8">
        <v>8.5299999999999994</v>
      </c>
      <c r="E13" s="12">
        <v>10</v>
      </c>
      <c r="F13" s="8">
        <v>14.08</v>
      </c>
      <c r="G13" s="12">
        <v>1</v>
      </c>
      <c r="H13" s="8">
        <v>1.79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3.88</v>
      </c>
      <c r="E14" s="12">
        <v>3</v>
      </c>
      <c r="F14" s="8">
        <v>4.2300000000000004</v>
      </c>
      <c r="G14" s="12">
        <v>2</v>
      </c>
      <c r="H14" s="8">
        <v>3.57</v>
      </c>
      <c r="I14" s="12">
        <v>0</v>
      </c>
    </row>
    <row r="15" spans="2:9" ht="15" customHeight="1" x14ac:dyDescent="0.2">
      <c r="B15" t="s">
        <v>200</v>
      </c>
      <c r="C15" s="12">
        <v>20</v>
      </c>
      <c r="D15" s="8">
        <v>15.5</v>
      </c>
      <c r="E15" s="12">
        <v>18</v>
      </c>
      <c r="F15" s="8">
        <v>25.35</v>
      </c>
      <c r="G15" s="12">
        <v>1</v>
      </c>
      <c r="H15" s="8">
        <v>1.79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10.85</v>
      </c>
      <c r="E16" s="12">
        <v>14</v>
      </c>
      <c r="F16" s="8">
        <v>19.72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0.78</v>
      </c>
      <c r="E17" s="12">
        <v>0</v>
      </c>
      <c r="F17" s="8">
        <v>0</v>
      </c>
      <c r="G17" s="12">
        <v>1</v>
      </c>
      <c r="H17" s="8">
        <v>1.79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1.55</v>
      </c>
      <c r="E18" s="12">
        <v>2</v>
      </c>
      <c r="F18" s="8">
        <v>2.82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3.1</v>
      </c>
      <c r="E19" s="12">
        <v>1</v>
      </c>
      <c r="F19" s="8">
        <v>1.41</v>
      </c>
      <c r="G19" s="12">
        <v>3</v>
      </c>
      <c r="H19" s="8">
        <v>5.36</v>
      </c>
      <c r="I19" s="12">
        <v>0</v>
      </c>
    </row>
    <row r="20" spans="2:9" ht="15" customHeight="1" x14ac:dyDescent="0.2">
      <c r="B20" s="9" t="s">
        <v>529</v>
      </c>
      <c r="C20" s="12">
        <f>SUM(LTBL_01632[総数／事業所数])</f>
        <v>129</v>
      </c>
      <c r="E20" s="12">
        <f>SUBTOTAL(109,LTBL_01632[個人／事業所数])</f>
        <v>71</v>
      </c>
      <c r="G20" s="12">
        <f>SUBTOTAL(109,LTBL_01632[法人／事業所数])</f>
        <v>56</v>
      </c>
      <c r="I20" s="12">
        <f>SUBTOTAL(109,LTBL_01632[法人以外の団体／事業所数])</f>
        <v>0</v>
      </c>
    </row>
    <row r="21" spans="2:9" ht="15" customHeight="1" x14ac:dyDescent="0.2">
      <c r="E21" s="11">
        <f>LTBL_01632[[#Totals],[個人／事業所数]]/LTBL_01632[[#Totals],[総数／事業所数]]</f>
        <v>0.55038759689922478</v>
      </c>
      <c r="G21" s="11">
        <f>LTBL_01632[[#Totals],[法人／事業所数]]/LTBL_01632[[#Totals],[総数／事業所数]]</f>
        <v>0.43410852713178294</v>
      </c>
      <c r="I21" s="11">
        <f>LTBL_01632[[#Totals],[法人以外の団体／事業所数]]/LTBL_01632[[#Totals],[総数／事業所数]]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17</v>
      </c>
      <c r="D24" s="8">
        <v>13.18</v>
      </c>
      <c r="E24" s="12">
        <v>17</v>
      </c>
      <c r="F24" s="8">
        <v>23.94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213</v>
      </c>
      <c r="C25" s="12">
        <v>15</v>
      </c>
      <c r="D25" s="8">
        <v>11.63</v>
      </c>
      <c r="E25" s="12">
        <v>6</v>
      </c>
      <c r="F25" s="8">
        <v>8.4499999999999993</v>
      </c>
      <c r="G25" s="12">
        <v>9</v>
      </c>
      <c r="H25" s="8">
        <v>16.07</v>
      </c>
      <c r="I25" s="12">
        <v>0</v>
      </c>
    </row>
    <row r="26" spans="2:9" ht="15" customHeight="1" x14ac:dyDescent="0.2">
      <c r="B26" t="s">
        <v>228</v>
      </c>
      <c r="C26" s="12">
        <v>13</v>
      </c>
      <c r="D26" s="8">
        <v>10.08</v>
      </c>
      <c r="E26" s="12">
        <v>13</v>
      </c>
      <c r="F26" s="8">
        <v>18.309999999999999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223</v>
      </c>
      <c r="C27" s="12">
        <v>12</v>
      </c>
      <c r="D27" s="8">
        <v>9.3000000000000007</v>
      </c>
      <c r="E27" s="12">
        <v>1</v>
      </c>
      <c r="F27" s="8">
        <v>1.41</v>
      </c>
      <c r="G27" s="12">
        <v>11</v>
      </c>
      <c r="H27" s="8">
        <v>19.64</v>
      </c>
      <c r="I27" s="12">
        <v>0</v>
      </c>
    </row>
    <row r="28" spans="2:9" ht="15" customHeight="1" x14ac:dyDescent="0.2">
      <c r="B28" t="s">
        <v>224</v>
      </c>
      <c r="C28" s="12">
        <v>10</v>
      </c>
      <c r="D28" s="8">
        <v>7.75</v>
      </c>
      <c r="E28" s="12">
        <v>9</v>
      </c>
      <c r="F28" s="8">
        <v>12.68</v>
      </c>
      <c r="G28" s="12">
        <v>1</v>
      </c>
      <c r="H28" s="8">
        <v>1.79</v>
      </c>
      <c r="I28" s="12">
        <v>0</v>
      </c>
    </row>
    <row r="29" spans="2:9" ht="15" customHeight="1" x14ac:dyDescent="0.2">
      <c r="B29" t="s">
        <v>214</v>
      </c>
      <c r="C29" s="12">
        <v>8</v>
      </c>
      <c r="D29" s="8">
        <v>6.2</v>
      </c>
      <c r="E29" s="12">
        <v>7</v>
      </c>
      <c r="F29" s="8">
        <v>9.86</v>
      </c>
      <c r="G29" s="12">
        <v>1</v>
      </c>
      <c r="H29" s="8">
        <v>1.79</v>
      </c>
      <c r="I29" s="12">
        <v>0</v>
      </c>
    </row>
    <row r="30" spans="2:9" ht="15" customHeight="1" x14ac:dyDescent="0.2">
      <c r="B30" t="s">
        <v>215</v>
      </c>
      <c r="C30" s="12">
        <v>6</v>
      </c>
      <c r="D30" s="8">
        <v>4.6500000000000004</v>
      </c>
      <c r="E30" s="12">
        <v>1</v>
      </c>
      <c r="F30" s="8">
        <v>1.41</v>
      </c>
      <c r="G30" s="12">
        <v>5</v>
      </c>
      <c r="H30" s="8">
        <v>8.93</v>
      </c>
      <c r="I30" s="12">
        <v>0</v>
      </c>
    </row>
    <row r="31" spans="2:9" ht="15" customHeight="1" x14ac:dyDescent="0.2">
      <c r="B31" t="s">
        <v>221</v>
      </c>
      <c r="C31" s="12">
        <v>5</v>
      </c>
      <c r="D31" s="8">
        <v>3.88</v>
      </c>
      <c r="E31" s="12">
        <v>1</v>
      </c>
      <c r="F31" s="8">
        <v>1.41</v>
      </c>
      <c r="G31" s="12">
        <v>4</v>
      </c>
      <c r="H31" s="8">
        <v>7.14</v>
      </c>
      <c r="I31" s="12">
        <v>0</v>
      </c>
    </row>
    <row r="32" spans="2:9" ht="15" customHeight="1" x14ac:dyDescent="0.2">
      <c r="B32" t="s">
        <v>222</v>
      </c>
      <c r="C32" s="12">
        <v>5</v>
      </c>
      <c r="D32" s="8">
        <v>3.88</v>
      </c>
      <c r="E32" s="12">
        <v>1</v>
      </c>
      <c r="F32" s="8">
        <v>1.41</v>
      </c>
      <c r="G32" s="12">
        <v>4</v>
      </c>
      <c r="H32" s="8">
        <v>7.14</v>
      </c>
      <c r="I32" s="12">
        <v>0</v>
      </c>
    </row>
    <row r="33" spans="2:9" ht="15" customHeight="1" x14ac:dyDescent="0.2">
      <c r="B33" t="s">
        <v>253</v>
      </c>
      <c r="C33" s="12">
        <v>3</v>
      </c>
      <c r="D33" s="8">
        <v>2.33</v>
      </c>
      <c r="E33" s="12">
        <v>0</v>
      </c>
      <c r="F33" s="8">
        <v>0</v>
      </c>
      <c r="G33" s="12">
        <v>3</v>
      </c>
      <c r="H33" s="8">
        <v>5.36</v>
      </c>
      <c r="I33" s="12">
        <v>0</v>
      </c>
    </row>
    <row r="34" spans="2:9" ht="15" customHeight="1" x14ac:dyDescent="0.2">
      <c r="B34" t="s">
        <v>236</v>
      </c>
      <c r="C34" s="12">
        <v>3</v>
      </c>
      <c r="D34" s="8">
        <v>2.33</v>
      </c>
      <c r="E34" s="12">
        <v>1</v>
      </c>
      <c r="F34" s="8">
        <v>1.41</v>
      </c>
      <c r="G34" s="12">
        <v>2</v>
      </c>
      <c r="H34" s="8">
        <v>3.57</v>
      </c>
      <c r="I34" s="12">
        <v>0</v>
      </c>
    </row>
    <row r="35" spans="2:9" ht="15" customHeight="1" x14ac:dyDescent="0.2">
      <c r="B35" t="s">
        <v>225</v>
      </c>
      <c r="C35" s="12">
        <v>3</v>
      </c>
      <c r="D35" s="8">
        <v>2.33</v>
      </c>
      <c r="E35" s="12">
        <v>3</v>
      </c>
      <c r="F35" s="8">
        <v>4.2300000000000004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242</v>
      </c>
      <c r="C36" s="12">
        <v>3</v>
      </c>
      <c r="D36" s="8">
        <v>2.33</v>
      </c>
      <c r="E36" s="12">
        <v>1</v>
      </c>
      <c r="F36" s="8">
        <v>1.41</v>
      </c>
      <c r="G36" s="12">
        <v>2</v>
      </c>
      <c r="H36" s="8">
        <v>3.57</v>
      </c>
      <c r="I36" s="12">
        <v>0</v>
      </c>
    </row>
    <row r="37" spans="2:9" ht="15" customHeight="1" x14ac:dyDescent="0.2">
      <c r="B37" t="s">
        <v>241</v>
      </c>
      <c r="C37" s="12">
        <v>2</v>
      </c>
      <c r="D37" s="8">
        <v>1.55</v>
      </c>
      <c r="E37" s="12">
        <v>2</v>
      </c>
      <c r="F37" s="8">
        <v>2.82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216</v>
      </c>
      <c r="C38" s="12">
        <v>2</v>
      </c>
      <c r="D38" s="8">
        <v>1.55</v>
      </c>
      <c r="E38" s="12">
        <v>0</v>
      </c>
      <c r="F38" s="8">
        <v>0</v>
      </c>
      <c r="G38" s="12">
        <v>2</v>
      </c>
      <c r="H38" s="8">
        <v>3.57</v>
      </c>
      <c r="I38" s="12">
        <v>0</v>
      </c>
    </row>
    <row r="39" spans="2:9" ht="15" customHeight="1" x14ac:dyDescent="0.2">
      <c r="B39" t="s">
        <v>218</v>
      </c>
      <c r="C39" s="12">
        <v>2</v>
      </c>
      <c r="D39" s="8">
        <v>1.55</v>
      </c>
      <c r="E39" s="12">
        <v>0</v>
      </c>
      <c r="F39" s="8">
        <v>0</v>
      </c>
      <c r="G39" s="12">
        <v>2</v>
      </c>
      <c r="H39" s="8">
        <v>3.57</v>
      </c>
      <c r="I39" s="12">
        <v>0</v>
      </c>
    </row>
    <row r="40" spans="2:9" ht="15" customHeight="1" x14ac:dyDescent="0.2">
      <c r="B40" t="s">
        <v>226</v>
      </c>
      <c r="C40" s="12">
        <v>2</v>
      </c>
      <c r="D40" s="8">
        <v>1.55</v>
      </c>
      <c r="E40" s="12">
        <v>0</v>
      </c>
      <c r="F40" s="8">
        <v>0</v>
      </c>
      <c r="G40" s="12">
        <v>2</v>
      </c>
      <c r="H40" s="8">
        <v>3.57</v>
      </c>
      <c r="I40" s="12">
        <v>0</v>
      </c>
    </row>
    <row r="41" spans="2:9" ht="15" customHeight="1" x14ac:dyDescent="0.2">
      <c r="B41" t="s">
        <v>239</v>
      </c>
      <c r="C41" s="12">
        <v>2</v>
      </c>
      <c r="D41" s="8">
        <v>1.55</v>
      </c>
      <c r="E41" s="12">
        <v>0</v>
      </c>
      <c r="F41" s="8">
        <v>0</v>
      </c>
      <c r="G41" s="12">
        <v>1</v>
      </c>
      <c r="H41" s="8">
        <v>1.79</v>
      </c>
      <c r="I41" s="12">
        <v>0</v>
      </c>
    </row>
    <row r="42" spans="2:9" ht="15" customHeight="1" x14ac:dyDescent="0.2">
      <c r="B42" t="s">
        <v>231</v>
      </c>
      <c r="C42" s="12">
        <v>2</v>
      </c>
      <c r="D42" s="8">
        <v>1.55</v>
      </c>
      <c r="E42" s="12">
        <v>2</v>
      </c>
      <c r="F42" s="8">
        <v>2.82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262</v>
      </c>
      <c r="C43" s="12">
        <v>1</v>
      </c>
      <c r="D43" s="8">
        <v>0.78</v>
      </c>
      <c r="E43" s="12">
        <v>0</v>
      </c>
      <c r="F43" s="8">
        <v>0</v>
      </c>
      <c r="G43" s="12">
        <v>1</v>
      </c>
      <c r="H43" s="8">
        <v>1.79</v>
      </c>
      <c r="I43" s="12">
        <v>0</v>
      </c>
    </row>
    <row r="44" spans="2:9" ht="15" customHeight="1" x14ac:dyDescent="0.2">
      <c r="B44" t="s">
        <v>244</v>
      </c>
      <c r="C44" s="12">
        <v>1</v>
      </c>
      <c r="D44" s="8">
        <v>0.78</v>
      </c>
      <c r="E44" s="12">
        <v>0</v>
      </c>
      <c r="F44" s="8">
        <v>0</v>
      </c>
      <c r="G44" s="12">
        <v>1</v>
      </c>
      <c r="H44" s="8">
        <v>1.79</v>
      </c>
      <c r="I44" s="12">
        <v>0</v>
      </c>
    </row>
    <row r="45" spans="2:9" ht="15" customHeight="1" x14ac:dyDescent="0.2">
      <c r="B45" t="s">
        <v>258</v>
      </c>
      <c r="C45" s="12">
        <v>1</v>
      </c>
      <c r="D45" s="8">
        <v>0.78</v>
      </c>
      <c r="E45" s="12">
        <v>1</v>
      </c>
      <c r="F45" s="8">
        <v>1.41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265</v>
      </c>
      <c r="C46" s="12">
        <v>1</v>
      </c>
      <c r="D46" s="8">
        <v>0.78</v>
      </c>
      <c r="E46" s="12">
        <v>0</v>
      </c>
      <c r="F46" s="8">
        <v>0</v>
      </c>
      <c r="G46" s="12">
        <v>1</v>
      </c>
      <c r="H46" s="8">
        <v>1.79</v>
      </c>
      <c r="I46" s="12">
        <v>0</v>
      </c>
    </row>
    <row r="47" spans="2:9" ht="15" customHeight="1" x14ac:dyDescent="0.2">
      <c r="B47" t="s">
        <v>238</v>
      </c>
      <c r="C47" s="12">
        <v>1</v>
      </c>
      <c r="D47" s="8">
        <v>0.78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248</v>
      </c>
      <c r="C48" s="12">
        <v>1</v>
      </c>
      <c r="D48" s="8">
        <v>0.78</v>
      </c>
      <c r="E48" s="12">
        <v>1</v>
      </c>
      <c r="F48" s="8">
        <v>1.41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219</v>
      </c>
      <c r="C49" s="12">
        <v>1</v>
      </c>
      <c r="D49" s="8">
        <v>0.78</v>
      </c>
      <c r="E49" s="12">
        <v>0</v>
      </c>
      <c r="F49" s="8">
        <v>0</v>
      </c>
      <c r="G49" s="12">
        <v>1</v>
      </c>
      <c r="H49" s="8">
        <v>1.79</v>
      </c>
      <c r="I49" s="12">
        <v>0</v>
      </c>
    </row>
    <row r="50" spans="2:9" ht="15" customHeight="1" x14ac:dyDescent="0.2">
      <c r="B50" t="s">
        <v>220</v>
      </c>
      <c r="C50" s="12">
        <v>1</v>
      </c>
      <c r="D50" s="8">
        <v>0.78</v>
      </c>
      <c r="E50" s="12">
        <v>1</v>
      </c>
      <c r="F50" s="8">
        <v>1.41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237</v>
      </c>
      <c r="C51" s="12">
        <v>1</v>
      </c>
      <c r="D51" s="8">
        <v>0.78</v>
      </c>
      <c r="E51" s="12">
        <v>0</v>
      </c>
      <c r="F51" s="8">
        <v>0</v>
      </c>
      <c r="G51" s="12">
        <v>1</v>
      </c>
      <c r="H51" s="8">
        <v>1.79</v>
      </c>
      <c r="I51" s="12">
        <v>0</v>
      </c>
    </row>
    <row r="52" spans="2:9" ht="15" customHeight="1" x14ac:dyDescent="0.2">
      <c r="B52" t="s">
        <v>246</v>
      </c>
      <c r="C52" s="12">
        <v>1</v>
      </c>
      <c r="D52" s="8">
        <v>0.78</v>
      </c>
      <c r="E52" s="12">
        <v>1</v>
      </c>
      <c r="F52" s="8">
        <v>1.41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243</v>
      </c>
      <c r="C53" s="12">
        <v>1</v>
      </c>
      <c r="D53" s="8">
        <v>0.78</v>
      </c>
      <c r="E53" s="12">
        <v>1</v>
      </c>
      <c r="F53" s="8">
        <v>1.41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247</v>
      </c>
      <c r="C54" s="12">
        <v>1</v>
      </c>
      <c r="D54" s="8">
        <v>0.78</v>
      </c>
      <c r="E54" s="12">
        <v>1</v>
      </c>
      <c r="F54" s="8">
        <v>1.41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230</v>
      </c>
      <c r="C55" s="12">
        <v>1</v>
      </c>
      <c r="D55" s="8">
        <v>0.78</v>
      </c>
      <c r="E55" s="12">
        <v>0</v>
      </c>
      <c r="F55" s="8">
        <v>0</v>
      </c>
      <c r="G55" s="12">
        <v>1</v>
      </c>
      <c r="H55" s="8">
        <v>1.79</v>
      </c>
      <c r="I55" s="12">
        <v>0</v>
      </c>
    </row>
    <row r="56" spans="2:9" ht="15" customHeight="1" x14ac:dyDescent="0.2">
      <c r="B56" t="s">
        <v>234</v>
      </c>
      <c r="C56" s="12">
        <v>1</v>
      </c>
      <c r="D56" s="8">
        <v>0.78</v>
      </c>
      <c r="E56" s="12">
        <v>0</v>
      </c>
      <c r="F56" s="8">
        <v>0</v>
      </c>
      <c r="G56" s="12">
        <v>1</v>
      </c>
      <c r="H56" s="8">
        <v>1.79</v>
      </c>
      <c r="I56" s="12">
        <v>0</v>
      </c>
    </row>
    <row r="59" spans="2:9" ht="33" customHeight="1" x14ac:dyDescent="0.2">
      <c r="B59" t="s">
        <v>531</v>
      </c>
      <c r="C59" s="10" t="s">
        <v>206</v>
      </c>
      <c r="D59" s="10" t="s">
        <v>207</v>
      </c>
      <c r="E59" s="10" t="s">
        <v>208</v>
      </c>
      <c r="F59" s="10" t="s">
        <v>209</v>
      </c>
      <c r="G59" s="10" t="s">
        <v>210</v>
      </c>
      <c r="H59" s="10" t="s">
        <v>211</v>
      </c>
      <c r="I59" s="10" t="s">
        <v>212</v>
      </c>
    </row>
    <row r="60" spans="2:9" ht="15" customHeight="1" x14ac:dyDescent="0.2">
      <c r="B60" t="s">
        <v>297</v>
      </c>
      <c r="C60" s="12">
        <v>10</v>
      </c>
      <c r="D60" s="8">
        <v>7.75</v>
      </c>
      <c r="E60" s="12">
        <v>9</v>
      </c>
      <c r="F60" s="8">
        <v>12.68</v>
      </c>
      <c r="G60" s="12">
        <v>1</v>
      </c>
      <c r="H60" s="8">
        <v>1.79</v>
      </c>
      <c r="I60" s="12">
        <v>0</v>
      </c>
    </row>
    <row r="61" spans="2:9" ht="15" customHeight="1" x14ac:dyDescent="0.2">
      <c r="B61" t="s">
        <v>288</v>
      </c>
      <c r="C61" s="12">
        <v>7</v>
      </c>
      <c r="D61" s="8">
        <v>5.43</v>
      </c>
      <c r="E61" s="12">
        <v>1</v>
      </c>
      <c r="F61" s="8">
        <v>1.41</v>
      </c>
      <c r="G61" s="12">
        <v>6</v>
      </c>
      <c r="H61" s="8">
        <v>10.71</v>
      </c>
      <c r="I61" s="12">
        <v>0</v>
      </c>
    </row>
    <row r="62" spans="2:9" ht="15" customHeight="1" x14ac:dyDescent="0.2">
      <c r="B62" t="s">
        <v>303</v>
      </c>
      <c r="C62" s="12">
        <v>7</v>
      </c>
      <c r="D62" s="8">
        <v>5.43</v>
      </c>
      <c r="E62" s="12">
        <v>7</v>
      </c>
      <c r="F62" s="8">
        <v>9.86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289</v>
      </c>
      <c r="C63" s="12">
        <v>4</v>
      </c>
      <c r="D63" s="8">
        <v>3.1</v>
      </c>
      <c r="E63" s="12">
        <v>2</v>
      </c>
      <c r="F63" s="8">
        <v>2.82</v>
      </c>
      <c r="G63" s="12">
        <v>2</v>
      </c>
      <c r="H63" s="8">
        <v>3.57</v>
      </c>
      <c r="I63" s="12">
        <v>0</v>
      </c>
    </row>
    <row r="64" spans="2:9" ht="15" customHeight="1" x14ac:dyDescent="0.2">
      <c r="B64" t="s">
        <v>290</v>
      </c>
      <c r="C64" s="12">
        <v>4</v>
      </c>
      <c r="D64" s="8">
        <v>3.1</v>
      </c>
      <c r="E64" s="12">
        <v>1</v>
      </c>
      <c r="F64" s="8">
        <v>1.41</v>
      </c>
      <c r="G64" s="12">
        <v>3</v>
      </c>
      <c r="H64" s="8">
        <v>5.36</v>
      </c>
      <c r="I64" s="12">
        <v>0</v>
      </c>
    </row>
    <row r="65" spans="2:9" ht="15" customHeight="1" x14ac:dyDescent="0.2">
      <c r="B65" t="s">
        <v>372</v>
      </c>
      <c r="C65" s="12">
        <v>4</v>
      </c>
      <c r="D65" s="8">
        <v>3.1</v>
      </c>
      <c r="E65" s="12">
        <v>0</v>
      </c>
      <c r="F65" s="8">
        <v>0</v>
      </c>
      <c r="G65" s="12">
        <v>4</v>
      </c>
      <c r="H65" s="8">
        <v>7.14</v>
      </c>
      <c r="I65" s="12">
        <v>0</v>
      </c>
    </row>
    <row r="66" spans="2:9" ht="15" customHeight="1" x14ac:dyDescent="0.2">
      <c r="B66" t="s">
        <v>330</v>
      </c>
      <c r="C66" s="12">
        <v>4</v>
      </c>
      <c r="D66" s="8">
        <v>3.1</v>
      </c>
      <c r="E66" s="12">
        <v>0</v>
      </c>
      <c r="F66" s="8">
        <v>0</v>
      </c>
      <c r="G66" s="12">
        <v>4</v>
      </c>
      <c r="H66" s="8">
        <v>7.14</v>
      </c>
      <c r="I66" s="12">
        <v>0</v>
      </c>
    </row>
    <row r="67" spans="2:9" ht="15" customHeight="1" x14ac:dyDescent="0.2">
      <c r="B67" t="s">
        <v>299</v>
      </c>
      <c r="C67" s="12">
        <v>4</v>
      </c>
      <c r="D67" s="8">
        <v>3.1</v>
      </c>
      <c r="E67" s="12">
        <v>4</v>
      </c>
      <c r="F67" s="8">
        <v>5.63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302</v>
      </c>
      <c r="C68" s="12">
        <v>4</v>
      </c>
      <c r="D68" s="8">
        <v>3.1</v>
      </c>
      <c r="E68" s="12">
        <v>4</v>
      </c>
      <c r="F68" s="8">
        <v>5.63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304</v>
      </c>
      <c r="C69" s="12">
        <v>4</v>
      </c>
      <c r="D69" s="8">
        <v>3.1</v>
      </c>
      <c r="E69" s="12">
        <v>4</v>
      </c>
      <c r="F69" s="8">
        <v>5.63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328</v>
      </c>
      <c r="C70" s="12">
        <v>3</v>
      </c>
      <c r="D70" s="8">
        <v>2.33</v>
      </c>
      <c r="E70" s="12">
        <v>2</v>
      </c>
      <c r="F70" s="8">
        <v>2.82</v>
      </c>
      <c r="G70" s="12">
        <v>1</v>
      </c>
      <c r="H70" s="8">
        <v>1.79</v>
      </c>
      <c r="I70" s="12">
        <v>0</v>
      </c>
    </row>
    <row r="71" spans="2:9" ht="15" customHeight="1" x14ac:dyDescent="0.2">
      <c r="B71" t="s">
        <v>353</v>
      </c>
      <c r="C71" s="12">
        <v>3</v>
      </c>
      <c r="D71" s="8">
        <v>2.33</v>
      </c>
      <c r="E71" s="12">
        <v>3</v>
      </c>
      <c r="F71" s="8">
        <v>4.2300000000000004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333</v>
      </c>
      <c r="C72" s="12">
        <v>3</v>
      </c>
      <c r="D72" s="8">
        <v>2.33</v>
      </c>
      <c r="E72" s="12">
        <v>2</v>
      </c>
      <c r="F72" s="8">
        <v>2.82</v>
      </c>
      <c r="G72" s="12">
        <v>1</v>
      </c>
      <c r="H72" s="8">
        <v>1.79</v>
      </c>
      <c r="I72" s="12">
        <v>0</v>
      </c>
    </row>
    <row r="73" spans="2:9" ht="15" customHeight="1" x14ac:dyDescent="0.2">
      <c r="B73" t="s">
        <v>335</v>
      </c>
      <c r="C73" s="12">
        <v>3</v>
      </c>
      <c r="D73" s="8">
        <v>2.33</v>
      </c>
      <c r="E73" s="12">
        <v>0</v>
      </c>
      <c r="F73" s="8">
        <v>0</v>
      </c>
      <c r="G73" s="12">
        <v>3</v>
      </c>
      <c r="H73" s="8">
        <v>5.36</v>
      </c>
      <c r="I73" s="12">
        <v>0</v>
      </c>
    </row>
    <row r="74" spans="2:9" ht="15" customHeight="1" x14ac:dyDescent="0.2">
      <c r="B74" t="s">
        <v>291</v>
      </c>
      <c r="C74" s="12">
        <v>2</v>
      </c>
      <c r="D74" s="8">
        <v>1.55</v>
      </c>
      <c r="E74" s="12">
        <v>0</v>
      </c>
      <c r="F74" s="8">
        <v>0</v>
      </c>
      <c r="G74" s="12">
        <v>2</v>
      </c>
      <c r="H74" s="8">
        <v>3.57</v>
      </c>
      <c r="I74" s="12">
        <v>0</v>
      </c>
    </row>
    <row r="75" spans="2:9" ht="15" customHeight="1" x14ac:dyDescent="0.2">
      <c r="B75" t="s">
        <v>374</v>
      </c>
      <c r="C75" s="12">
        <v>2</v>
      </c>
      <c r="D75" s="8">
        <v>1.55</v>
      </c>
      <c r="E75" s="12">
        <v>0</v>
      </c>
      <c r="F75" s="8">
        <v>0</v>
      </c>
      <c r="G75" s="12">
        <v>2</v>
      </c>
      <c r="H75" s="8">
        <v>3.57</v>
      </c>
      <c r="I75" s="12">
        <v>0</v>
      </c>
    </row>
    <row r="76" spans="2:9" ht="15" customHeight="1" x14ac:dyDescent="0.2">
      <c r="B76" t="s">
        <v>321</v>
      </c>
      <c r="C76" s="12">
        <v>2</v>
      </c>
      <c r="D76" s="8">
        <v>1.55</v>
      </c>
      <c r="E76" s="12">
        <v>0</v>
      </c>
      <c r="F76" s="8">
        <v>0</v>
      </c>
      <c r="G76" s="12">
        <v>2</v>
      </c>
      <c r="H76" s="8">
        <v>3.57</v>
      </c>
      <c r="I76" s="12">
        <v>0</v>
      </c>
    </row>
    <row r="77" spans="2:9" ht="15" customHeight="1" x14ac:dyDescent="0.2">
      <c r="B77" t="s">
        <v>354</v>
      </c>
      <c r="C77" s="12">
        <v>2</v>
      </c>
      <c r="D77" s="8">
        <v>1.55</v>
      </c>
      <c r="E77" s="12">
        <v>0</v>
      </c>
      <c r="F77" s="8">
        <v>0</v>
      </c>
      <c r="G77" s="12">
        <v>2</v>
      </c>
      <c r="H77" s="8">
        <v>3.57</v>
      </c>
      <c r="I77" s="12">
        <v>0</v>
      </c>
    </row>
    <row r="78" spans="2:9" ht="15" customHeight="1" x14ac:dyDescent="0.2">
      <c r="B78" t="s">
        <v>292</v>
      </c>
      <c r="C78" s="12">
        <v>2</v>
      </c>
      <c r="D78" s="8">
        <v>1.55</v>
      </c>
      <c r="E78" s="12">
        <v>0</v>
      </c>
      <c r="F78" s="8">
        <v>0</v>
      </c>
      <c r="G78" s="12">
        <v>2</v>
      </c>
      <c r="H78" s="8">
        <v>3.57</v>
      </c>
      <c r="I78" s="12">
        <v>0</v>
      </c>
    </row>
    <row r="79" spans="2:9" ht="15" customHeight="1" x14ac:dyDescent="0.2">
      <c r="B79" t="s">
        <v>293</v>
      </c>
      <c r="C79" s="12">
        <v>2</v>
      </c>
      <c r="D79" s="8">
        <v>1.55</v>
      </c>
      <c r="E79" s="12">
        <v>1</v>
      </c>
      <c r="F79" s="8">
        <v>1.41</v>
      </c>
      <c r="G79" s="12">
        <v>1</v>
      </c>
      <c r="H79" s="8">
        <v>1.79</v>
      </c>
      <c r="I79" s="12">
        <v>0</v>
      </c>
    </row>
    <row r="80" spans="2:9" ht="15" customHeight="1" x14ac:dyDescent="0.2">
      <c r="B80" t="s">
        <v>337</v>
      </c>
      <c r="C80" s="12">
        <v>2</v>
      </c>
      <c r="D80" s="8">
        <v>1.55</v>
      </c>
      <c r="E80" s="12">
        <v>1</v>
      </c>
      <c r="F80" s="8">
        <v>1.41</v>
      </c>
      <c r="G80" s="12">
        <v>1</v>
      </c>
      <c r="H80" s="8">
        <v>1.79</v>
      </c>
      <c r="I80" s="12">
        <v>0</v>
      </c>
    </row>
    <row r="81" spans="2:9" ht="15" customHeight="1" x14ac:dyDescent="0.2">
      <c r="B81" t="s">
        <v>344</v>
      </c>
      <c r="C81" s="12">
        <v>2</v>
      </c>
      <c r="D81" s="8">
        <v>1.55</v>
      </c>
      <c r="E81" s="12">
        <v>1</v>
      </c>
      <c r="F81" s="8">
        <v>1.41</v>
      </c>
      <c r="G81" s="12">
        <v>1</v>
      </c>
      <c r="H81" s="8">
        <v>1.79</v>
      </c>
      <c r="I81" s="12">
        <v>0</v>
      </c>
    </row>
    <row r="82" spans="2:9" ht="15" customHeight="1" x14ac:dyDescent="0.2">
      <c r="B82" t="s">
        <v>334</v>
      </c>
      <c r="C82" s="12">
        <v>2</v>
      </c>
      <c r="D82" s="8">
        <v>1.55</v>
      </c>
      <c r="E82" s="12">
        <v>2</v>
      </c>
      <c r="F82" s="8">
        <v>2.82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349</v>
      </c>
      <c r="C83" s="12">
        <v>2</v>
      </c>
      <c r="D83" s="8">
        <v>1.55</v>
      </c>
      <c r="E83" s="12">
        <v>2</v>
      </c>
      <c r="F83" s="8">
        <v>2.82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300</v>
      </c>
      <c r="C84" s="12">
        <v>2</v>
      </c>
      <c r="D84" s="8">
        <v>1.55</v>
      </c>
      <c r="E84" s="12">
        <v>2</v>
      </c>
      <c r="F84" s="8">
        <v>2.82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301</v>
      </c>
      <c r="C85" s="12">
        <v>2</v>
      </c>
      <c r="D85" s="8">
        <v>1.55</v>
      </c>
      <c r="E85" s="12">
        <v>2</v>
      </c>
      <c r="F85" s="8">
        <v>2.82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325</v>
      </c>
      <c r="C86" s="12">
        <v>2</v>
      </c>
      <c r="D86" s="8">
        <v>1.55</v>
      </c>
      <c r="E86" s="12">
        <v>0</v>
      </c>
      <c r="F86" s="8">
        <v>0</v>
      </c>
      <c r="G86" s="12">
        <v>1</v>
      </c>
      <c r="H86" s="8">
        <v>1.79</v>
      </c>
      <c r="I86" s="12">
        <v>0</v>
      </c>
    </row>
    <row r="87" spans="2:9" ht="15" customHeight="1" x14ac:dyDescent="0.2">
      <c r="B87" t="s">
        <v>323</v>
      </c>
      <c r="C87" s="12">
        <v>2</v>
      </c>
      <c r="D87" s="8">
        <v>1.55</v>
      </c>
      <c r="E87" s="12">
        <v>2</v>
      </c>
      <c r="F87" s="8">
        <v>2.82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312</v>
      </c>
      <c r="C88" s="12">
        <v>2</v>
      </c>
      <c r="D88" s="8">
        <v>1.55</v>
      </c>
      <c r="E88" s="12">
        <v>2</v>
      </c>
      <c r="F88" s="8">
        <v>2.82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371</v>
      </c>
      <c r="C89" s="12">
        <v>2</v>
      </c>
      <c r="D89" s="8">
        <v>1.55</v>
      </c>
      <c r="E89" s="12">
        <v>1</v>
      </c>
      <c r="F89" s="8">
        <v>1.41</v>
      </c>
      <c r="G89" s="12">
        <v>1</v>
      </c>
      <c r="H89" s="8">
        <v>1.79</v>
      </c>
      <c r="I89" s="12">
        <v>0</v>
      </c>
    </row>
    <row r="91" spans="2:9" ht="15" customHeight="1" x14ac:dyDescent="0.2">
      <c r="B9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353-BB63-4E62-B229-49934C4897C6}">
  <sheetPr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22</v>
      </c>
      <c r="D6" s="8">
        <v>14.67</v>
      </c>
      <c r="E6" s="12">
        <v>9</v>
      </c>
      <c r="F6" s="8">
        <v>10.11</v>
      </c>
      <c r="G6" s="12">
        <v>13</v>
      </c>
      <c r="H6" s="8">
        <v>23.64</v>
      </c>
      <c r="I6" s="12">
        <v>0</v>
      </c>
    </row>
    <row r="7" spans="2:9" ht="15" customHeight="1" x14ac:dyDescent="0.2">
      <c r="B7" t="s">
        <v>192</v>
      </c>
      <c r="C7" s="12">
        <v>15</v>
      </c>
      <c r="D7" s="8">
        <v>10</v>
      </c>
      <c r="E7" s="12">
        <v>7</v>
      </c>
      <c r="F7" s="8">
        <v>7.87</v>
      </c>
      <c r="G7" s="12">
        <v>8</v>
      </c>
      <c r="H7" s="8">
        <v>14.55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1.33</v>
      </c>
      <c r="E8" s="12">
        <v>0</v>
      </c>
      <c r="F8" s="8">
        <v>0</v>
      </c>
      <c r="G8" s="12">
        <v>2</v>
      </c>
      <c r="H8" s="8">
        <v>3.64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2.67</v>
      </c>
      <c r="E10" s="12">
        <v>2</v>
      </c>
      <c r="F10" s="8">
        <v>2.25</v>
      </c>
      <c r="G10" s="12">
        <v>2</v>
      </c>
      <c r="H10" s="8">
        <v>3.64</v>
      </c>
      <c r="I10" s="12">
        <v>0</v>
      </c>
    </row>
    <row r="11" spans="2:9" ht="15" customHeight="1" x14ac:dyDescent="0.2">
      <c r="B11" t="s">
        <v>196</v>
      </c>
      <c r="C11" s="12">
        <v>27</v>
      </c>
      <c r="D11" s="8">
        <v>18</v>
      </c>
      <c r="E11" s="12">
        <v>17</v>
      </c>
      <c r="F11" s="8">
        <v>19.100000000000001</v>
      </c>
      <c r="G11" s="12">
        <v>10</v>
      </c>
      <c r="H11" s="8">
        <v>18.18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0.67</v>
      </c>
      <c r="E12" s="12">
        <v>0</v>
      </c>
      <c r="F12" s="8">
        <v>0</v>
      </c>
      <c r="G12" s="12">
        <v>1</v>
      </c>
      <c r="H12" s="8">
        <v>1.82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1.33</v>
      </c>
      <c r="E13" s="12">
        <v>1</v>
      </c>
      <c r="F13" s="8">
        <v>1.1200000000000001</v>
      </c>
      <c r="G13" s="12">
        <v>1</v>
      </c>
      <c r="H13" s="8">
        <v>1.82</v>
      </c>
      <c r="I13" s="12">
        <v>0</v>
      </c>
    </row>
    <row r="14" spans="2:9" ht="15" customHeight="1" x14ac:dyDescent="0.2">
      <c r="B14" t="s">
        <v>199</v>
      </c>
      <c r="C14" s="12">
        <v>9</v>
      </c>
      <c r="D14" s="8">
        <v>6</v>
      </c>
      <c r="E14" s="12">
        <v>7</v>
      </c>
      <c r="F14" s="8">
        <v>7.87</v>
      </c>
      <c r="G14" s="12">
        <v>1</v>
      </c>
      <c r="H14" s="8">
        <v>1.82</v>
      </c>
      <c r="I14" s="12">
        <v>0</v>
      </c>
    </row>
    <row r="15" spans="2:9" ht="15" customHeight="1" x14ac:dyDescent="0.2">
      <c r="B15" t="s">
        <v>200</v>
      </c>
      <c r="C15" s="12">
        <v>29</v>
      </c>
      <c r="D15" s="8">
        <v>19.329999999999998</v>
      </c>
      <c r="E15" s="12">
        <v>18</v>
      </c>
      <c r="F15" s="8">
        <v>20.22</v>
      </c>
      <c r="G15" s="12">
        <v>11</v>
      </c>
      <c r="H15" s="8">
        <v>20</v>
      </c>
      <c r="I15" s="12">
        <v>0</v>
      </c>
    </row>
    <row r="16" spans="2:9" ht="15" customHeight="1" x14ac:dyDescent="0.2">
      <c r="B16" t="s">
        <v>201</v>
      </c>
      <c r="C16" s="12">
        <v>22</v>
      </c>
      <c r="D16" s="8">
        <v>14.67</v>
      </c>
      <c r="E16" s="12">
        <v>19</v>
      </c>
      <c r="F16" s="8">
        <v>21.35</v>
      </c>
      <c r="G16" s="12">
        <v>2</v>
      </c>
      <c r="H16" s="8">
        <v>3.64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3.33</v>
      </c>
      <c r="E17" s="12">
        <v>3</v>
      </c>
      <c r="F17" s="8">
        <v>3.37</v>
      </c>
      <c r="G17" s="12">
        <v>1</v>
      </c>
      <c r="H17" s="8">
        <v>1.82</v>
      </c>
      <c r="I17" s="12">
        <v>1</v>
      </c>
    </row>
    <row r="18" spans="2:9" ht="15" customHeight="1" x14ac:dyDescent="0.2">
      <c r="B18" t="s">
        <v>203</v>
      </c>
      <c r="C18" s="12">
        <v>6</v>
      </c>
      <c r="D18" s="8">
        <v>4</v>
      </c>
      <c r="E18" s="12">
        <v>4</v>
      </c>
      <c r="F18" s="8">
        <v>4.49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4</v>
      </c>
      <c r="E19" s="12">
        <v>2</v>
      </c>
      <c r="F19" s="8">
        <v>2.25</v>
      </c>
      <c r="G19" s="12">
        <v>3</v>
      </c>
      <c r="H19" s="8">
        <v>5.45</v>
      </c>
      <c r="I19" s="12">
        <v>0</v>
      </c>
    </row>
    <row r="20" spans="2:9" ht="15" customHeight="1" x14ac:dyDescent="0.2">
      <c r="B20" s="9" t="s">
        <v>529</v>
      </c>
      <c r="C20" s="12">
        <f>SUM(LTBL_01633[総数／事業所数])</f>
        <v>150</v>
      </c>
      <c r="E20" s="12">
        <f>SUBTOTAL(109,LTBL_01633[個人／事業所数])</f>
        <v>89</v>
      </c>
      <c r="G20" s="12">
        <f>SUBTOTAL(109,LTBL_01633[法人／事業所数])</f>
        <v>55</v>
      </c>
      <c r="I20" s="12">
        <f>SUBTOTAL(109,LTBL_01633[法人以外の団体／事業所数])</f>
        <v>1</v>
      </c>
    </row>
    <row r="21" spans="2:9" ht="15" customHeight="1" x14ac:dyDescent="0.2">
      <c r="E21" s="11">
        <f>LTBL_01633[[#Totals],[個人／事業所数]]/LTBL_01633[[#Totals],[総数／事業所数]]</f>
        <v>0.59333333333333338</v>
      </c>
      <c r="G21" s="11">
        <f>LTBL_01633[[#Totals],[法人／事業所数]]/LTBL_01633[[#Totals],[総数／事業所数]]</f>
        <v>0.36666666666666664</v>
      </c>
      <c r="I21" s="11">
        <f>LTBL_01633[[#Totals],[法人以外の団体／事業所数]]/LTBL_01633[[#Totals],[総数／事業所数]]</f>
        <v>6.6666666666666671E-3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21</v>
      </c>
      <c r="D24" s="8">
        <v>14</v>
      </c>
      <c r="E24" s="12">
        <v>16</v>
      </c>
      <c r="F24" s="8">
        <v>17.98</v>
      </c>
      <c r="G24" s="12">
        <v>5</v>
      </c>
      <c r="H24" s="8">
        <v>9.09</v>
      </c>
      <c r="I24" s="12">
        <v>0</v>
      </c>
    </row>
    <row r="25" spans="2:9" ht="15" customHeight="1" x14ac:dyDescent="0.2">
      <c r="B25" t="s">
        <v>228</v>
      </c>
      <c r="C25" s="12">
        <v>17</v>
      </c>
      <c r="D25" s="8">
        <v>11.33</v>
      </c>
      <c r="E25" s="12">
        <v>17</v>
      </c>
      <c r="F25" s="8">
        <v>19.100000000000001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213</v>
      </c>
      <c r="C26" s="12">
        <v>13</v>
      </c>
      <c r="D26" s="8">
        <v>8.67</v>
      </c>
      <c r="E26" s="12">
        <v>4</v>
      </c>
      <c r="F26" s="8">
        <v>4.49</v>
      </c>
      <c r="G26" s="12">
        <v>9</v>
      </c>
      <c r="H26" s="8">
        <v>16.36</v>
      </c>
      <c r="I26" s="12">
        <v>0</v>
      </c>
    </row>
    <row r="27" spans="2:9" ht="15" customHeight="1" x14ac:dyDescent="0.2">
      <c r="B27" t="s">
        <v>223</v>
      </c>
      <c r="C27" s="12">
        <v>9</v>
      </c>
      <c r="D27" s="8">
        <v>6</v>
      </c>
      <c r="E27" s="12">
        <v>4</v>
      </c>
      <c r="F27" s="8">
        <v>4.49</v>
      </c>
      <c r="G27" s="12">
        <v>5</v>
      </c>
      <c r="H27" s="8">
        <v>9.09</v>
      </c>
      <c r="I27" s="12">
        <v>0</v>
      </c>
    </row>
    <row r="28" spans="2:9" ht="15" customHeight="1" x14ac:dyDescent="0.2">
      <c r="B28" t="s">
        <v>243</v>
      </c>
      <c r="C28" s="12">
        <v>8</v>
      </c>
      <c r="D28" s="8">
        <v>5.33</v>
      </c>
      <c r="E28" s="12">
        <v>2</v>
      </c>
      <c r="F28" s="8">
        <v>2.25</v>
      </c>
      <c r="G28" s="12">
        <v>6</v>
      </c>
      <c r="H28" s="8">
        <v>10.91</v>
      </c>
      <c r="I28" s="12">
        <v>0</v>
      </c>
    </row>
    <row r="29" spans="2:9" ht="15" customHeight="1" x14ac:dyDescent="0.2">
      <c r="B29" t="s">
        <v>222</v>
      </c>
      <c r="C29" s="12">
        <v>7</v>
      </c>
      <c r="D29" s="8">
        <v>4.67</v>
      </c>
      <c r="E29" s="12">
        <v>4</v>
      </c>
      <c r="F29" s="8">
        <v>4.49</v>
      </c>
      <c r="G29" s="12">
        <v>3</v>
      </c>
      <c r="H29" s="8">
        <v>5.45</v>
      </c>
      <c r="I29" s="12">
        <v>0</v>
      </c>
    </row>
    <row r="30" spans="2:9" ht="15" customHeight="1" x14ac:dyDescent="0.2">
      <c r="B30" t="s">
        <v>214</v>
      </c>
      <c r="C30" s="12">
        <v>6</v>
      </c>
      <c r="D30" s="8">
        <v>4</v>
      </c>
      <c r="E30" s="12">
        <v>3</v>
      </c>
      <c r="F30" s="8">
        <v>3.37</v>
      </c>
      <c r="G30" s="12">
        <v>3</v>
      </c>
      <c r="H30" s="8">
        <v>5.45</v>
      </c>
      <c r="I30" s="12">
        <v>0</v>
      </c>
    </row>
    <row r="31" spans="2:9" ht="15" customHeight="1" x14ac:dyDescent="0.2">
      <c r="B31" t="s">
        <v>226</v>
      </c>
      <c r="C31" s="12">
        <v>5</v>
      </c>
      <c r="D31" s="8">
        <v>3.33</v>
      </c>
      <c r="E31" s="12">
        <v>4</v>
      </c>
      <c r="F31" s="8">
        <v>4.49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230</v>
      </c>
      <c r="C32" s="12">
        <v>5</v>
      </c>
      <c r="D32" s="8">
        <v>3.33</v>
      </c>
      <c r="E32" s="12">
        <v>3</v>
      </c>
      <c r="F32" s="8">
        <v>3.37</v>
      </c>
      <c r="G32" s="12">
        <v>1</v>
      </c>
      <c r="H32" s="8">
        <v>1.82</v>
      </c>
      <c r="I32" s="12">
        <v>1</v>
      </c>
    </row>
    <row r="33" spans="2:9" ht="15" customHeight="1" x14ac:dyDescent="0.2">
      <c r="B33" t="s">
        <v>221</v>
      </c>
      <c r="C33" s="12">
        <v>4</v>
      </c>
      <c r="D33" s="8">
        <v>2.67</v>
      </c>
      <c r="E33" s="12">
        <v>3</v>
      </c>
      <c r="F33" s="8">
        <v>3.37</v>
      </c>
      <c r="G33" s="12">
        <v>1</v>
      </c>
      <c r="H33" s="8">
        <v>1.82</v>
      </c>
      <c r="I33" s="12">
        <v>0</v>
      </c>
    </row>
    <row r="34" spans="2:9" ht="15" customHeight="1" x14ac:dyDescent="0.2">
      <c r="B34" t="s">
        <v>225</v>
      </c>
      <c r="C34" s="12">
        <v>4</v>
      </c>
      <c r="D34" s="8">
        <v>2.67</v>
      </c>
      <c r="E34" s="12">
        <v>3</v>
      </c>
      <c r="F34" s="8">
        <v>3.37</v>
      </c>
      <c r="G34" s="12">
        <v>1</v>
      </c>
      <c r="H34" s="8">
        <v>1.82</v>
      </c>
      <c r="I34" s="12">
        <v>0</v>
      </c>
    </row>
    <row r="35" spans="2:9" ht="15" customHeight="1" x14ac:dyDescent="0.2">
      <c r="B35" t="s">
        <v>231</v>
      </c>
      <c r="C35" s="12">
        <v>4</v>
      </c>
      <c r="D35" s="8">
        <v>2.67</v>
      </c>
      <c r="E35" s="12">
        <v>4</v>
      </c>
      <c r="F35" s="8">
        <v>4.49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215</v>
      </c>
      <c r="C36" s="12">
        <v>3</v>
      </c>
      <c r="D36" s="8">
        <v>2</v>
      </c>
      <c r="E36" s="12">
        <v>2</v>
      </c>
      <c r="F36" s="8">
        <v>2.25</v>
      </c>
      <c r="G36" s="12">
        <v>1</v>
      </c>
      <c r="H36" s="8">
        <v>1.82</v>
      </c>
      <c r="I36" s="12">
        <v>0</v>
      </c>
    </row>
    <row r="37" spans="2:9" ht="15" customHeight="1" x14ac:dyDescent="0.2">
      <c r="B37" t="s">
        <v>241</v>
      </c>
      <c r="C37" s="12">
        <v>3</v>
      </c>
      <c r="D37" s="8">
        <v>2</v>
      </c>
      <c r="E37" s="12">
        <v>1</v>
      </c>
      <c r="F37" s="8">
        <v>1.1200000000000001</v>
      </c>
      <c r="G37" s="12">
        <v>2</v>
      </c>
      <c r="H37" s="8">
        <v>3.64</v>
      </c>
      <c r="I37" s="12">
        <v>0</v>
      </c>
    </row>
    <row r="38" spans="2:9" ht="15" customHeight="1" x14ac:dyDescent="0.2">
      <c r="B38" t="s">
        <v>258</v>
      </c>
      <c r="C38" s="12">
        <v>3</v>
      </c>
      <c r="D38" s="8">
        <v>2</v>
      </c>
      <c r="E38" s="12">
        <v>3</v>
      </c>
      <c r="F38" s="8">
        <v>3.37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220</v>
      </c>
      <c r="C39" s="12">
        <v>3</v>
      </c>
      <c r="D39" s="8">
        <v>2</v>
      </c>
      <c r="E39" s="12">
        <v>3</v>
      </c>
      <c r="F39" s="8">
        <v>3.37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229</v>
      </c>
      <c r="C40" s="12">
        <v>3</v>
      </c>
      <c r="D40" s="8">
        <v>2</v>
      </c>
      <c r="E40" s="12">
        <v>1</v>
      </c>
      <c r="F40" s="8">
        <v>1.1200000000000001</v>
      </c>
      <c r="G40" s="12">
        <v>2</v>
      </c>
      <c r="H40" s="8">
        <v>3.64</v>
      </c>
      <c r="I40" s="12">
        <v>0</v>
      </c>
    </row>
    <row r="41" spans="2:9" ht="15" customHeight="1" x14ac:dyDescent="0.2">
      <c r="B41" t="s">
        <v>249</v>
      </c>
      <c r="C41" s="12">
        <v>3</v>
      </c>
      <c r="D41" s="8">
        <v>2</v>
      </c>
      <c r="E41" s="12">
        <v>0</v>
      </c>
      <c r="F41" s="8">
        <v>0</v>
      </c>
      <c r="G41" s="12">
        <v>2</v>
      </c>
      <c r="H41" s="8">
        <v>3.64</v>
      </c>
      <c r="I41" s="12">
        <v>0</v>
      </c>
    </row>
    <row r="42" spans="2:9" ht="15" customHeight="1" x14ac:dyDescent="0.2">
      <c r="B42" t="s">
        <v>244</v>
      </c>
      <c r="C42" s="12">
        <v>2</v>
      </c>
      <c r="D42" s="8">
        <v>1.33</v>
      </c>
      <c r="E42" s="12">
        <v>1</v>
      </c>
      <c r="F42" s="8">
        <v>1.1200000000000001</v>
      </c>
      <c r="G42" s="12">
        <v>1</v>
      </c>
      <c r="H42" s="8">
        <v>1.82</v>
      </c>
      <c r="I42" s="12">
        <v>0</v>
      </c>
    </row>
    <row r="43" spans="2:9" ht="15" customHeight="1" x14ac:dyDescent="0.2">
      <c r="B43" t="s">
        <v>254</v>
      </c>
      <c r="C43" s="12">
        <v>2</v>
      </c>
      <c r="D43" s="8">
        <v>1.33</v>
      </c>
      <c r="E43" s="12">
        <v>0</v>
      </c>
      <c r="F43" s="8">
        <v>0</v>
      </c>
      <c r="G43" s="12">
        <v>2</v>
      </c>
      <c r="H43" s="8">
        <v>3.64</v>
      </c>
      <c r="I43" s="12">
        <v>0</v>
      </c>
    </row>
    <row r="44" spans="2:9" ht="15" customHeight="1" x14ac:dyDescent="0.2">
      <c r="B44" t="s">
        <v>248</v>
      </c>
      <c r="C44" s="12">
        <v>2</v>
      </c>
      <c r="D44" s="8">
        <v>1.33</v>
      </c>
      <c r="E44" s="12">
        <v>1</v>
      </c>
      <c r="F44" s="8">
        <v>1.1200000000000001</v>
      </c>
      <c r="G44" s="12">
        <v>1</v>
      </c>
      <c r="H44" s="8">
        <v>1.82</v>
      </c>
      <c r="I44" s="12">
        <v>0</v>
      </c>
    </row>
    <row r="45" spans="2:9" ht="15" customHeight="1" x14ac:dyDescent="0.2">
      <c r="B45" t="s">
        <v>216</v>
      </c>
      <c r="C45" s="12">
        <v>2</v>
      </c>
      <c r="D45" s="8">
        <v>1.33</v>
      </c>
      <c r="E45" s="12">
        <v>2</v>
      </c>
      <c r="F45" s="8">
        <v>2.25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247</v>
      </c>
      <c r="C46" s="12">
        <v>2</v>
      </c>
      <c r="D46" s="8">
        <v>1.33</v>
      </c>
      <c r="E46" s="12">
        <v>1</v>
      </c>
      <c r="F46" s="8">
        <v>1.1200000000000001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232</v>
      </c>
      <c r="C47" s="12">
        <v>2</v>
      </c>
      <c r="D47" s="8">
        <v>1.33</v>
      </c>
      <c r="E47" s="12">
        <v>0</v>
      </c>
      <c r="F47" s="8">
        <v>0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242</v>
      </c>
      <c r="C48" s="12">
        <v>2</v>
      </c>
      <c r="D48" s="8">
        <v>1.33</v>
      </c>
      <c r="E48" s="12">
        <v>1</v>
      </c>
      <c r="F48" s="8">
        <v>1.1200000000000001</v>
      </c>
      <c r="G48" s="12">
        <v>1</v>
      </c>
      <c r="H48" s="8">
        <v>1.82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303</v>
      </c>
      <c r="C52" s="12">
        <v>9</v>
      </c>
      <c r="D52" s="8">
        <v>6</v>
      </c>
      <c r="E52" s="12">
        <v>9</v>
      </c>
      <c r="F52" s="8">
        <v>10.11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304</v>
      </c>
      <c r="C53" s="12">
        <v>7</v>
      </c>
      <c r="D53" s="8">
        <v>4.67</v>
      </c>
      <c r="E53" s="12">
        <v>7</v>
      </c>
      <c r="F53" s="8">
        <v>7.87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288</v>
      </c>
      <c r="C54" s="12">
        <v>6</v>
      </c>
      <c r="D54" s="8">
        <v>4</v>
      </c>
      <c r="E54" s="12">
        <v>2</v>
      </c>
      <c r="F54" s="8">
        <v>2.25</v>
      </c>
      <c r="G54" s="12">
        <v>4</v>
      </c>
      <c r="H54" s="8">
        <v>7.27</v>
      </c>
      <c r="I54" s="12">
        <v>0</v>
      </c>
    </row>
    <row r="55" spans="2:9" ht="15" customHeight="1" x14ac:dyDescent="0.2">
      <c r="B55" t="s">
        <v>289</v>
      </c>
      <c r="C55" s="12">
        <v>6</v>
      </c>
      <c r="D55" s="8">
        <v>4</v>
      </c>
      <c r="E55" s="12">
        <v>1</v>
      </c>
      <c r="F55" s="8">
        <v>1.1200000000000001</v>
      </c>
      <c r="G55" s="12">
        <v>5</v>
      </c>
      <c r="H55" s="8">
        <v>9.09</v>
      </c>
      <c r="I55" s="12">
        <v>0</v>
      </c>
    </row>
    <row r="56" spans="2:9" ht="15" customHeight="1" x14ac:dyDescent="0.2">
      <c r="B56" t="s">
        <v>335</v>
      </c>
      <c r="C56" s="12">
        <v>6</v>
      </c>
      <c r="D56" s="8">
        <v>4</v>
      </c>
      <c r="E56" s="12">
        <v>3</v>
      </c>
      <c r="F56" s="8">
        <v>3.37</v>
      </c>
      <c r="G56" s="12">
        <v>3</v>
      </c>
      <c r="H56" s="8">
        <v>5.45</v>
      </c>
      <c r="I56" s="12">
        <v>0</v>
      </c>
    </row>
    <row r="57" spans="2:9" ht="15" customHeight="1" x14ac:dyDescent="0.2">
      <c r="B57" t="s">
        <v>302</v>
      </c>
      <c r="C57" s="12">
        <v>6</v>
      </c>
      <c r="D57" s="8">
        <v>4</v>
      </c>
      <c r="E57" s="12">
        <v>4</v>
      </c>
      <c r="F57" s="8">
        <v>4.49</v>
      </c>
      <c r="G57" s="12">
        <v>2</v>
      </c>
      <c r="H57" s="8">
        <v>3.64</v>
      </c>
      <c r="I57" s="12">
        <v>0</v>
      </c>
    </row>
    <row r="58" spans="2:9" ht="15" customHeight="1" x14ac:dyDescent="0.2">
      <c r="B58" t="s">
        <v>339</v>
      </c>
      <c r="C58" s="12">
        <v>5</v>
      </c>
      <c r="D58" s="8">
        <v>3.33</v>
      </c>
      <c r="E58" s="12">
        <v>0</v>
      </c>
      <c r="F58" s="8">
        <v>0</v>
      </c>
      <c r="G58" s="12">
        <v>5</v>
      </c>
      <c r="H58" s="8">
        <v>9.09</v>
      </c>
      <c r="I58" s="12">
        <v>0</v>
      </c>
    </row>
    <row r="59" spans="2:9" ht="15" customHeight="1" x14ac:dyDescent="0.2">
      <c r="B59" t="s">
        <v>299</v>
      </c>
      <c r="C59" s="12">
        <v>5</v>
      </c>
      <c r="D59" s="8">
        <v>3.33</v>
      </c>
      <c r="E59" s="12">
        <v>4</v>
      </c>
      <c r="F59" s="8">
        <v>4.49</v>
      </c>
      <c r="G59" s="12">
        <v>1</v>
      </c>
      <c r="H59" s="8">
        <v>1.82</v>
      </c>
      <c r="I59" s="12">
        <v>0</v>
      </c>
    </row>
    <row r="60" spans="2:9" ht="15" customHeight="1" x14ac:dyDescent="0.2">
      <c r="B60" t="s">
        <v>334</v>
      </c>
      <c r="C60" s="12">
        <v>4</v>
      </c>
      <c r="D60" s="8">
        <v>2.67</v>
      </c>
      <c r="E60" s="12">
        <v>3</v>
      </c>
      <c r="F60" s="8">
        <v>3.37</v>
      </c>
      <c r="G60" s="12">
        <v>1</v>
      </c>
      <c r="H60" s="8">
        <v>1.82</v>
      </c>
      <c r="I60" s="12">
        <v>0</v>
      </c>
    </row>
    <row r="61" spans="2:9" ht="15" customHeight="1" x14ac:dyDescent="0.2">
      <c r="B61" t="s">
        <v>332</v>
      </c>
      <c r="C61" s="12">
        <v>3</v>
      </c>
      <c r="D61" s="8">
        <v>2</v>
      </c>
      <c r="E61" s="12">
        <v>2</v>
      </c>
      <c r="F61" s="8">
        <v>2.25</v>
      </c>
      <c r="G61" s="12">
        <v>1</v>
      </c>
      <c r="H61" s="8">
        <v>1.82</v>
      </c>
      <c r="I61" s="12">
        <v>0</v>
      </c>
    </row>
    <row r="62" spans="2:9" ht="15" customHeight="1" x14ac:dyDescent="0.2">
      <c r="B62" t="s">
        <v>294</v>
      </c>
      <c r="C62" s="12">
        <v>3</v>
      </c>
      <c r="D62" s="8">
        <v>2</v>
      </c>
      <c r="E62" s="12">
        <v>1</v>
      </c>
      <c r="F62" s="8">
        <v>1.1200000000000001</v>
      </c>
      <c r="G62" s="12">
        <v>2</v>
      </c>
      <c r="H62" s="8">
        <v>3.64</v>
      </c>
      <c r="I62" s="12">
        <v>0</v>
      </c>
    </row>
    <row r="63" spans="2:9" ht="15" customHeight="1" x14ac:dyDescent="0.2">
      <c r="B63" t="s">
        <v>301</v>
      </c>
      <c r="C63" s="12">
        <v>3</v>
      </c>
      <c r="D63" s="8">
        <v>2</v>
      </c>
      <c r="E63" s="12">
        <v>3</v>
      </c>
      <c r="F63" s="8">
        <v>3.37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305</v>
      </c>
      <c r="C64" s="12">
        <v>3</v>
      </c>
      <c r="D64" s="8">
        <v>2</v>
      </c>
      <c r="E64" s="12">
        <v>2</v>
      </c>
      <c r="F64" s="8">
        <v>2.25</v>
      </c>
      <c r="G64" s="12">
        <v>1</v>
      </c>
      <c r="H64" s="8">
        <v>1.82</v>
      </c>
      <c r="I64" s="12">
        <v>0</v>
      </c>
    </row>
    <row r="65" spans="2:9" ht="15" customHeight="1" x14ac:dyDescent="0.2">
      <c r="B65" t="s">
        <v>306</v>
      </c>
      <c r="C65" s="12">
        <v>3</v>
      </c>
      <c r="D65" s="8">
        <v>2</v>
      </c>
      <c r="E65" s="12">
        <v>3</v>
      </c>
      <c r="F65" s="8">
        <v>3.37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343</v>
      </c>
      <c r="C66" s="12">
        <v>2</v>
      </c>
      <c r="D66" s="8">
        <v>1.33</v>
      </c>
      <c r="E66" s="12">
        <v>2</v>
      </c>
      <c r="F66" s="8">
        <v>2.25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290</v>
      </c>
      <c r="C67" s="12">
        <v>2</v>
      </c>
      <c r="D67" s="8">
        <v>1.33</v>
      </c>
      <c r="E67" s="12">
        <v>1</v>
      </c>
      <c r="F67" s="8">
        <v>1.1200000000000001</v>
      </c>
      <c r="G67" s="12">
        <v>1</v>
      </c>
      <c r="H67" s="8">
        <v>1.82</v>
      </c>
      <c r="I67" s="12">
        <v>0</v>
      </c>
    </row>
    <row r="68" spans="2:9" ht="15" customHeight="1" x14ac:dyDescent="0.2">
      <c r="B68" t="s">
        <v>413</v>
      </c>
      <c r="C68" s="12">
        <v>2</v>
      </c>
      <c r="D68" s="8">
        <v>1.33</v>
      </c>
      <c r="E68" s="12">
        <v>1</v>
      </c>
      <c r="F68" s="8">
        <v>1.1200000000000001</v>
      </c>
      <c r="G68" s="12">
        <v>1</v>
      </c>
      <c r="H68" s="8">
        <v>1.82</v>
      </c>
      <c r="I68" s="12">
        <v>0</v>
      </c>
    </row>
    <row r="69" spans="2:9" ht="15" customHeight="1" x14ac:dyDescent="0.2">
      <c r="B69" t="s">
        <v>359</v>
      </c>
      <c r="C69" s="12">
        <v>2</v>
      </c>
      <c r="D69" s="8">
        <v>1.33</v>
      </c>
      <c r="E69" s="12">
        <v>2</v>
      </c>
      <c r="F69" s="8">
        <v>2.25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350</v>
      </c>
      <c r="C70" s="12">
        <v>2</v>
      </c>
      <c r="D70" s="8">
        <v>1.33</v>
      </c>
      <c r="E70" s="12">
        <v>1</v>
      </c>
      <c r="F70" s="8">
        <v>1.1200000000000001</v>
      </c>
      <c r="G70" s="12">
        <v>1</v>
      </c>
      <c r="H70" s="8">
        <v>1.82</v>
      </c>
      <c r="I70" s="12">
        <v>0</v>
      </c>
    </row>
    <row r="71" spans="2:9" ht="15" customHeight="1" x14ac:dyDescent="0.2">
      <c r="B71" t="s">
        <v>324</v>
      </c>
      <c r="C71" s="12">
        <v>2</v>
      </c>
      <c r="D71" s="8">
        <v>1.33</v>
      </c>
      <c r="E71" s="12">
        <v>2</v>
      </c>
      <c r="F71" s="8">
        <v>2.25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400</v>
      </c>
      <c r="C72" s="12">
        <v>2</v>
      </c>
      <c r="D72" s="8">
        <v>1.33</v>
      </c>
      <c r="E72" s="12">
        <v>2</v>
      </c>
      <c r="F72" s="8">
        <v>2.25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330</v>
      </c>
      <c r="C73" s="12">
        <v>2</v>
      </c>
      <c r="D73" s="8">
        <v>1.33</v>
      </c>
      <c r="E73" s="12">
        <v>0</v>
      </c>
      <c r="F73" s="8">
        <v>0</v>
      </c>
      <c r="G73" s="12">
        <v>2</v>
      </c>
      <c r="H73" s="8">
        <v>3.64</v>
      </c>
      <c r="I73" s="12">
        <v>0</v>
      </c>
    </row>
    <row r="74" spans="2:9" ht="15" customHeight="1" x14ac:dyDescent="0.2">
      <c r="B74" t="s">
        <v>295</v>
      </c>
      <c r="C74" s="12">
        <v>2</v>
      </c>
      <c r="D74" s="8">
        <v>1.33</v>
      </c>
      <c r="E74" s="12">
        <v>1</v>
      </c>
      <c r="F74" s="8">
        <v>1.1200000000000001</v>
      </c>
      <c r="G74" s="12">
        <v>1</v>
      </c>
      <c r="H74" s="8">
        <v>1.82</v>
      </c>
      <c r="I74" s="12">
        <v>0</v>
      </c>
    </row>
    <row r="75" spans="2:9" ht="15" customHeight="1" x14ac:dyDescent="0.2">
      <c r="B75" t="s">
        <v>515</v>
      </c>
      <c r="C75" s="12">
        <v>2</v>
      </c>
      <c r="D75" s="8">
        <v>1.33</v>
      </c>
      <c r="E75" s="12">
        <v>2</v>
      </c>
      <c r="F75" s="8">
        <v>2.25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482</v>
      </c>
      <c r="C76" s="12">
        <v>2</v>
      </c>
      <c r="D76" s="8">
        <v>1.33</v>
      </c>
      <c r="E76" s="12">
        <v>2</v>
      </c>
      <c r="F76" s="8">
        <v>2.25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422</v>
      </c>
      <c r="C77" s="12">
        <v>2</v>
      </c>
      <c r="D77" s="8">
        <v>1.33</v>
      </c>
      <c r="E77" s="12">
        <v>1</v>
      </c>
      <c r="F77" s="8">
        <v>1.1200000000000001</v>
      </c>
      <c r="G77" s="12">
        <v>1</v>
      </c>
      <c r="H77" s="8">
        <v>1.82</v>
      </c>
      <c r="I77" s="12">
        <v>0</v>
      </c>
    </row>
    <row r="78" spans="2:9" ht="15" customHeight="1" x14ac:dyDescent="0.2">
      <c r="B78" t="s">
        <v>352</v>
      </c>
      <c r="C78" s="12">
        <v>2</v>
      </c>
      <c r="D78" s="8">
        <v>1.33</v>
      </c>
      <c r="E78" s="12">
        <v>1</v>
      </c>
      <c r="F78" s="8">
        <v>1.1200000000000001</v>
      </c>
      <c r="G78" s="12">
        <v>1</v>
      </c>
      <c r="H78" s="8">
        <v>1.82</v>
      </c>
      <c r="I78" s="12">
        <v>0</v>
      </c>
    </row>
    <row r="79" spans="2:9" ht="15" customHeight="1" x14ac:dyDescent="0.2">
      <c r="B79" t="s">
        <v>459</v>
      </c>
      <c r="C79" s="12">
        <v>2</v>
      </c>
      <c r="D79" s="8">
        <v>1.33</v>
      </c>
      <c r="E79" s="12">
        <v>1</v>
      </c>
      <c r="F79" s="8">
        <v>1.1200000000000001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341</v>
      </c>
      <c r="C80" s="12">
        <v>2</v>
      </c>
      <c r="D80" s="8">
        <v>1.33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370</v>
      </c>
      <c r="C81" s="12">
        <v>2</v>
      </c>
      <c r="D81" s="8">
        <v>1.33</v>
      </c>
      <c r="E81" s="12">
        <v>0</v>
      </c>
      <c r="F81" s="8">
        <v>0</v>
      </c>
      <c r="G81" s="12">
        <v>1</v>
      </c>
      <c r="H81" s="8">
        <v>1.82</v>
      </c>
      <c r="I81" s="12">
        <v>0</v>
      </c>
    </row>
    <row r="82" spans="2:9" ht="15" customHeight="1" x14ac:dyDescent="0.2">
      <c r="B82" t="s">
        <v>371</v>
      </c>
      <c r="C82" s="12">
        <v>2</v>
      </c>
      <c r="D82" s="8">
        <v>1.33</v>
      </c>
      <c r="E82" s="12">
        <v>1</v>
      </c>
      <c r="F82" s="8">
        <v>1.1200000000000001</v>
      </c>
      <c r="G82" s="12">
        <v>1</v>
      </c>
      <c r="H82" s="8">
        <v>1.82</v>
      </c>
      <c r="I82" s="12">
        <v>0</v>
      </c>
    </row>
    <row r="84" spans="2:9" ht="15" customHeight="1" x14ac:dyDescent="0.2">
      <c r="B8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9EA05-DD89-442B-9F16-8DE5D2AFF6BA}">
  <sheetPr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11</v>
      </c>
      <c r="D6" s="8">
        <v>7.97</v>
      </c>
      <c r="E6" s="12">
        <v>1</v>
      </c>
      <c r="F6" s="8">
        <v>1.67</v>
      </c>
      <c r="G6" s="12">
        <v>10</v>
      </c>
      <c r="H6" s="8">
        <v>18.18</v>
      </c>
      <c r="I6" s="12">
        <v>0</v>
      </c>
    </row>
    <row r="7" spans="2:9" ht="15" customHeight="1" x14ac:dyDescent="0.2">
      <c r="B7" t="s">
        <v>192</v>
      </c>
      <c r="C7" s="12">
        <v>10</v>
      </c>
      <c r="D7" s="8">
        <v>7.25</v>
      </c>
      <c r="E7" s="12">
        <v>2</v>
      </c>
      <c r="F7" s="8">
        <v>3.33</v>
      </c>
      <c r="G7" s="12">
        <v>8</v>
      </c>
      <c r="H7" s="8">
        <v>14.55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0.72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1.45</v>
      </c>
      <c r="E10" s="12">
        <v>0</v>
      </c>
      <c r="F10" s="8">
        <v>0</v>
      </c>
      <c r="G10" s="12">
        <v>1</v>
      </c>
      <c r="H10" s="8">
        <v>1.82</v>
      </c>
      <c r="I10" s="12">
        <v>0</v>
      </c>
    </row>
    <row r="11" spans="2:9" ht="15" customHeight="1" x14ac:dyDescent="0.2">
      <c r="B11" t="s">
        <v>196</v>
      </c>
      <c r="C11" s="12">
        <v>25</v>
      </c>
      <c r="D11" s="8">
        <v>18.12</v>
      </c>
      <c r="E11" s="12">
        <v>8</v>
      </c>
      <c r="F11" s="8">
        <v>13.33</v>
      </c>
      <c r="G11" s="12">
        <v>16</v>
      </c>
      <c r="H11" s="8">
        <v>29.09</v>
      </c>
      <c r="I11" s="12">
        <v>1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5</v>
      </c>
      <c r="D13" s="8">
        <v>3.62</v>
      </c>
      <c r="E13" s="12">
        <v>3</v>
      </c>
      <c r="F13" s="8">
        <v>5</v>
      </c>
      <c r="G13" s="12">
        <v>2</v>
      </c>
      <c r="H13" s="8">
        <v>3.64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3.62</v>
      </c>
      <c r="E14" s="12">
        <v>4</v>
      </c>
      <c r="F14" s="8">
        <v>6.67</v>
      </c>
      <c r="G14" s="12">
        <v>1</v>
      </c>
      <c r="H14" s="8">
        <v>1.82</v>
      </c>
      <c r="I14" s="12">
        <v>0</v>
      </c>
    </row>
    <row r="15" spans="2:9" ht="15" customHeight="1" x14ac:dyDescent="0.2">
      <c r="B15" t="s">
        <v>200</v>
      </c>
      <c r="C15" s="12">
        <v>28</v>
      </c>
      <c r="D15" s="8">
        <v>20.29</v>
      </c>
      <c r="E15" s="12">
        <v>17</v>
      </c>
      <c r="F15" s="8">
        <v>28.33</v>
      </c>
      <c r="G15" s="12">
        <v>9</v>
      </c>
      <c r="H15" s="8">
        <v>16.36</v>
      </c>
      <c r="I15" s="12">
        <v>0</v>
      </c>
    </row>
    <row r="16" spans="2:9" ht="15" customHeight="1" x14ac:dyDescent="0.2">
      <c r="B16" t="s">
        <v>201</v>
      </c>
      <c r="C16" s="12">
        <v>21</v>
      </c>
      <c r="D16" s="8">
        <v>15.22</v>
      </c>
      <c r="E16" s="12">
        <v>15</v>
      </c>
      <c r="F16" s="8">
        <v>25</v>
      </c>
      <c r="G16" s="12">
        <v>4</v>
      </c>
      <c r="H16" s="8">
        <v>7.27</v>
      </c>
      <c r="I16" s="12">
        <v>0</v>
      </c>
    </row>
    <row r="17" spans="2:9" ht="15" customHeight="1" x14ac:dyDescent="0.2">
      <c r="B17" t="s">
        <v>202</v>
      </c>
      <c r="C17" s="12">
        <v>11</v>
      </c>
      <c r="D17" s="8">
        <v>7.97</v>
      </c>
      <c r="E17" s="12">
        <v>7</v>
      </c>
      <c r="F17" s="8">
        <v>11.67</v>
      </c>
      <c r="G17" s="12">
        <v>1</v>
      </c>
      <c r="H17" s="8">
        <v>1.82</v>
      </c>
      <c r="I17" s="12">
        <v>0</v>
      </c>
    </row>
    <row r="18" spans="2:9" ht="15" customHeight="1" x14ac:dyDescent="0.2">
      <c r="B18" t="s">
        <v>203</v>
      </c>
      <c r="C18" s="12">
        <v>7</v>
      </c>
      <c r="D18" s="8">
        <v>5.07</v>
      </c>
      <c r="E18" s="12">
        <v>0</v>
      </c>
      <c r="F18" s="8">
        <v>0</v>
      </c>
      <c r="G18" s="12">
        <v>1</v>
      </c>
      <c r="H18" s="8">
        <v>1.82</v>
      </c>
      <c r="I18" s="12">
        <v>0</v>
      </c>
    </row>
    <row r="19" spans="2:9" ht="15" customHeight="1" x14ac:dyDescent="0.2">
      <c r="B19" t="s">
        <v>204</v>
      </c>
      <c r="C19" s="12">
        <v>12</v>
      </c>
      <c r="D19" s="8">
        <v>8.6999999999999993</v>
      </c>
      <c r="E19" s="12">
        <v>3</v>
      </c>
      <c r="F19" s="8">
        <v>5</v>
      </c>
      <c r="G19" s="12">
        <v>2</v>
      </c>
      <c r="H19" s="8">
        <v>3.64</v>
      </c>
      <c r="I19" s="12">
        <v>0</v>
      </c>
    </row>
    <row r="20" spans="2:9" ht="15" customHeight="1" x14ac:dyDescent="0.2">
      <c r="B20" s="9" t="s">
        <v>529</v>
      </c>
      <c r="C20" s="12">
        <f>SUM(LTBL_01634[総数／事業所数])</f>
        <v>138</v>
      </c>
      <c r="E20" s="12">
        <f>SUBTOTAL(109,LTBL_01634[個人／事業所数])</f>
        <v>60</v>
      </c>
      <c r="G20" s="12">
        <f>SUBTOTAL(109,LTBL_01634[法人／事業所数])</f>
        <v>55</v>
      </c>
      <c r="I20" s="12">
        <f>SUBTOTAL(109,LTBL_01634[法人以外の団体／事業所数])</f>
        <v>1</v>
      </c>
    </row>
    <row r="21" spans="2:9" ht="15" customHeight="1" x14ac:dyDescent="0.2">
      <c r="E21" s="11">
        <f>LTBL_01634[[#Totals],[個人／事業所数]]/LTBL_01634[[#Totals],[総数／事業所数]]</f>
        <v>0.43478260869565216</v>
      </c>
      <c r="G21" s="11">
        <f>LTBL_01634[[#Totals],[法人／事業所数]]/LTBL_01634[[#Totals],[総数／事業所数]]</f>
        <v>0.39855072463768115</v>
      </c>
      <c r="I21" s="11">
        <f>LTBL_01634[[#Totals],[法人以外の団体／事業所数]]/LTBL_01634[[#Totals],[総数／事業所数]]</f>
        <v>7.246376811594203E-3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20</v>
      </c>
      <c r="D24" s="8">
        <v>14.49</v>
      </c>
      <c r="E24" s="12">
        <v>15</v>
      </c>
      <c r="F24" s="8">
        <v>25</v>
      </c>
      <c r="G24" s="12">
        <v>5</v>
      </c>
      <c r="H24" s="8">
        <v>9.09</v>
      </c>
      <c r="I24" s="12">
        <v>0</v>
      </c>
    </row>
    <row r="25" spans="2:9" ht="15" customHeight="1" x14ac:dyDescent="0.2">
      <c r="B25" t="s">
        <v>228</v>
      </c>
      <c r="C25" s="12">
        <v>13</v>
      </c>
      <c r="D25" s="8">
        <v>9.42</v>
      </c>
      <c r="E25" s="12">
        <v>11</v>
      </c>
      <c r="F25" s="8">
        <v>18.329999999999998</v>
      </c>
      <c r="G25" s="12">
        <v>2</v>
      </c>
      <c r="H25" s="8">
        <v>3.64</v>
      </c>
      <c r="I25" s="12">
        <v>0</v>
      </c>
    </row>
    <row r="26" spans="2:9" ht="15" customHeight="1" x14ac:dyDescent="0.2">
      <c r="B26" t="s">
        <v>221</v>
      </c>
      <c r="C26" s="12">
        <v>11</v>
      </c>
      <c r="D26" s="8">
        <v>7.97</v>
      </c>
      <c r="E26" s="12">
        <v>6</v>
      </c>
      <c r="F26" s="8">
        <v>10</v>
      </c>
      <c r="G26" s="12">
        <v>4</v>
      </c>
      <c r="H26" s="8">
        <v>7.27</v>
      </c>
      <c r="I26" s="12">
        <v>1</v>
      </c>
    </row>
    <row r="27" spans="2:9" ht="15" customHeight="1" x14ac:dyDescent="0.2">
      <c r="B27" t="s">
        <v>230</v>
      </c>
      <c r="C27" s="12">
        <v>11</v>
      </c>
      <c r="D27" s="8">
        <v>7.97</v>
      </c>
      <c r="E27" s="12">
        <v>7</v>
      </c>
      <c r="F27" s="8">
        <v>11.67</v>
      </c>
      <c r="G27" s="12">
        <v>1</v>
      </c>
      <c r="H27" s="8">
        <v>1.82</v>
      </c>
      <c r="I27" s="12">
        <v>0</v>
      </c>
    </row>
    <row r="28" spans="2:9" ht="15" customHeight="1" x14ac:dyDescent="0.2">
      <c r="B28" t="s">
        <v>223</v>
      </c>
      <c r="C28" s="12">
        <v>8</v>
      </c>
      <c r="D28" s="8">
        <v>5.8</v>
      </c>
      <c r="E28" s="12">
        <v>0</v>
      </c>
      <c r="F28" s="8">
        <v>0</v>
      </c>
      <c r="G28" s="12">
        <v>8</v>
      </c>
      <c r="H28" s="8">
        <v>14.55</v>
      </c>
      <c r="I28" s="12">
        <v>0</v>
      </c>
    </row>
    <row r="29" spans="2:9" ht="15" customHeight="1" x14ac:dyDescent="0.2">
      <c r="B29" t="s">
        <v>247</v>
      </c>
      <c r="C29" s="12">
        <v>7</v>
      </c>
      <c r="D29" s="8">
        <v>5.07</v>
      </c>
      <c r="E29" s="12">
        <v>3</v>
      </c>
      <c r="F29" s="8">
        <v>5</v>
      </c>
      <c r="G29" s="12">
        <v>2</v>
      </c>
      <c r="H29" s="8">
        <v>3.64</v>
      </c>
      <c r="I29" s="12">
        <v>0</v>
      </c>
    </row>
    <row r="30" spans="2:9" ht="15" customHeight="1" x14ac:dyDescent="0.2">
      <c r="B30" t="s">
        <v>232</v>
      </c>
      <c r="C30" s="12">
        <v>7</v>
      </c>
      <c r="D30" s="8">
        <v>5.07</v>
      </c>
      <c r="E30" s="12">
        <v>0</v>
      </c>
      <c r="F30" s="8">
        <v>0</v>
      </c>
      <c r="G30" s="12">
        <v>1</v>
      </c>
      <c r="H30" s="8">
        <v>1.82</v>
      </c>
      <c r="I30" s="12">
        <v>0</v>
      </c>
    </row>
    <row r="31" spans="2:9" ht="15" customHeight="1" x14ac:dyDescent="0.2">
      <c r="B31" t="s">
        <v>213</v>
      </c>
      <c r="C31" s="12">
        <v>6</v>
      </c>
      <c r="D31" s="8">
        <v>4.3499999999999996</v>
      </c>
      <c r="E31" s="12">
        <v>0</v>
      </c>
      <c r="F31" s="8">
        <v>0</v>
      </c>
      <c r="G31" s="12">
        <v>6</v>
      </c>
      <c r="H31" s="8">
        <v>10.91</v>
      </c>
      <c r="I31" s="12">
        <v>0</v>
      </c>
    </row>
    <row r="32" spans="2:9" ht="15" customHeight="1" x14ac:dyDescent="0.2">
      <c r="B32" t="s">
        <v>241</v>
      </c>
      <c r="C32" s="12">
        <v>5</v>
      </c>
      <c r="D32" s="8">
        <v>3.62</v>
      </c>
      <c r="E32" s="12">
        <v>0</v>
      </c>
      <c r="F32" s="8">
        <v>0</v>
      </c>
      <c r="G32" s="12">
        <v>5</v>
      </c>
      <c r="H32" s="8">
        <v>9.09</v>
      </c>
      <c r="I32" s="12">
        <v>0</v>
      </c>
    </row>
    <row r="33" spans="2:9" ht="15" customHeight="1" x14ac:dyDescent="0.2">
      <c r="B33" t="s">
        <v>243</v>
      </c>
      <c r="C33" s="12">
        <v>5</v>
      </c>
      <c r="D33" s="8">
        <v>3.62</v>
      </c>
      <c r="E33" s="12">
        <v>1</v>
      </c>
      <c r="F33" s="8">
        <v>1.67</v>
      </c>
      <c r="G33" s="12">
        <v>2</v>
      </c>
      <c r="H33" s="8">
        <v>3.64</v>
      </c>
      <c r="I33" s="12">
        <v>0</v>
      </c>
    </row>
    <row r="34" spans="2:9" ht="15" customHeight="1" x14ac:dyDescent="0.2">
      <c r="B34" t="s">
        <v>249</v>
      </c>
      <c r="C34" s="12">
        <v>5</v>
      </c>
      <c r="D34" s="8">
        <v>3.62</v>
      </c>
      <c r="E34" s="12">
        <v>0</v>
      </c>
      <c r="F34" s="8">
        <v>0</v>
      </c>
      <c r="G34" s="12">
        <v>1</v>
      </c>
      <c r="H34" s="8">
        <v>1.82</v>
      </c>
      <c r="I34" s="12">
        <v>0</v>
      </c>
    </row>
    <row r="35" spans="2:9" ht="15" customHeight="1" x14ac:dyDescent="0.2">
      <c r="B35" t="s">
        <v>215</v>
      </c>
      <c r="C35" s="12">
        <v>4</v>
      </c>
      <c r="D35" s="8">
        <v>2.9</v>
      </c>
      <c r="E35" s="12">
        <v>1</v>
      </c>
      <c r="F35" s="8">
        <v>1.67</v>
      </c>
      <c r="G35" s="12">
        <v>3</v>
      </c>
      <c r="H35" s="8">
        <v>5.45</v>
      </c>
      <c r="I35" s="12">
        <v>0</v>
      </c>
    </row>
    <row r="36" spans="2:9" ht="15" customHeight="1" x14ac:dyDescent="0.2">
      <c r="B36" t="s">
        <v>224</v>
      </c>
      <c r="C36" s="12">
        <v>4</v>
      </c>
      <c r="D36" s="8">
        <v>2.9</v>
      </c>
      <c r="E36" s="12">
        <v>3</v>
      </c>
      <c r="F36" s="8">
        <v>5</v>
      </c>
      <c r="G36" s="12">
        <v>1</v>
      </c>
      <c r="H36" s="8">
        <v>1.82</v>
      </c>
      <c r="I36" s="12">
        <v>0</v>
      </c>
    </row>
    <row r="37" spans="2:9" ht="15" customHeight="1" x14ac:dyDescent="0.2">
      <c r="B37" t="s">
        <v>234</v>
      </c>
      <c r="C37" s="12">
        <v>4</v>
      </c>
      <c r="D37" s="8">
        <v>2.9</v>
      </c>
      <c r="E37" s="12">
        <v>0</v>
      </c>
      <c r="F37" s="8">
        <v>0</v>
      </c>
      <c r="G37" s="12">
        <v>1</v>
      </c>
      <c r="H37" s="8">
        <v>1.82</v>
      </c>
      <c r="I37" s="12">
        <v>0</v>
      </c>
    </row>
    <row r="38" spans="2:9" ht="15" customHeight="1" x14ac:dyDescent="0.2">
      <c r="B38" t="s">
        <v>222</v>
      </c>
      <c r="C38" s="12">
        <v>3</v>
      </c>
      <c r="D38" s="8">
        <v>2.17</v>
      </c>
      <c r="E38" s="12">
        <v>1</v>
      </c>
      <c r="F38" s="8">
        <v>1.67</v>
      </c>
      <c r="G38" s="12">
        <v>2</v>
      </c>
      <c r="H38" s="8">
        <v>3.64</v>
      </c>
      <c r="I38" s="12">
        <v>0</v>
      </c>
    </row>
    <row r="39" spans="2:9" ht="15" customHeight="1" x14ac:dyDescent="0.2">
      <c r="B39" t="s">
        <v>239</v>
      </c>
      <c r="C39" s="12">
        <v>3</v>
      </c>
      <c r="D39" s="8">
        <v>2.17</v>
      </c>
      <c r="E39" s="12">
        <v>1</v>
      </c>
      <c r="F39" s="8">
        <v>1.67</v>
      </c>
      <c r="G39" s="12">
        <v>2</v>
      </c>
      <c r="H39" s="8">
        <v>3.64</v>
      </c>
      <c r="I39" s="12">
        <v>0</v>
      </c>
    </row>
    <row r="40" spans="2:9" ht="15" customHeight="1" x14ac:dyDescent="0.2">
      <c r="B40" t="s">
        <v>254</v>
      </c>
      <c r="C40" s="12">
        <v>2</v>
      </c>
      <c r="D40" s="8">
        <v>1.45</v>
      </c>
      <c r="E40" s="12">
        <v>0</v>
      </c>
      <c r="F40" s="8">
        <v>0</v>
      </c>
      <c r="G40" s="12">
        <v>2</v>
      </c>
      <c r="H40" s="8">
        <v>3.64</v>
      </c>
      <c r="I40" s="12">
        <v>0</v>
      </c>
    </row>
    <row r="41" spans="2:9" ht="15" customHeight="1" x14ac:dyDescent="0.2">
      <c r="B41" t="s">
        <v>225</v>
      </c>
      <c r="C41" s="12">
        <v>2</v>
      </c>
      <c r="D41" s="8">
        <v>1.45</v>
      </c>
      <c r="E41" s="12">
        <v>2</v>
      </c>
      <c r="F41" s="8">
        <v>3.33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226</v>
      </c>
      <c r="C42" s="12">
        <v>2</v>
      </c>
      <c r="D42" s="8">
        <v>1.45</v>
      </c>
      <c r="E42" s="12">
        <v>2</v>
      </c>
      <c r="F42" s="8">
        <v>3.33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240</v>
      </c>
      <c r="C43" s="12">
        <v>2</v>
      </c>
      <c r="D43" s="8">
        <v>1.45</v>
      </c>
      <c r="E43" s="12">
        <v>2</v>
      </c>
      <c r="F43" s="8">
        <v>3.33</v>
      </c>
      <c r="G43" s="12">
        <v>0</v>
      </c>
      <c r="H43" s="8">
        <v>0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9</v>
      </c>
      <c r="D47" s="8">
        <v>6.52</v>
      </c>
      <c r="E47" s="12">
        <v>9</v>
      </c>
      <c r="F47" s="8">
        <v>15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334</v>
      </c>
      <c r="C48" s="12">
        <v>7</v>
      </c>
      <c r="D48" s="8">
        <v>5.07</v>
      </c>
      <c r="E48" s="12">
        <v>6</v>
      </c>
      <c r="F48" s="8">
        <v>10</v>
      </c>
      <c r="G48" s="12">
        <v>1</v>
      </c>
      <c r="H48" s="8">
        <v>1.82</v>
      </c>
      <c r="I48" s="12">
        <v>0</v>
      </c>
    </row>
    <row r="49" spans="2:9" ht="15" customHeight="1" x14ac:dyDescent="0.2">
      <c r="B49" t="s">
        <v>299</v>
      </c>
      <c r="C49" s="12">
        <v>6</v>
      </c>
      <c r="D49" s="8">
        <v>4.3499999999999996</v>
      </c>
      <c r="E49" s="12">
        <v>3</v>
      </c>
      <c r="F49" s="8">
        <v>5</v>
      </c>
      <c r="G49" s="12">
        <v>3</v>
      </c>
      <c r="H49" s="8">
        <v>5.45</v>
      </c>
      <c r="I49" s="12">
        <v>0</v>
      </c>
    </row>
    <row r="50" spans="2:9" ht="15" customHeight="1" x14ac:dyDescent="0.2">
      <c r="B50" t="s">
        <v>341</v>
      </c>
      <c r="C50" s="12">
        <v>6</v>
      </c>
      <c r="D50" s="8">
        <v>4.3499999999999996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329</v>
      </c>
      <c r="C51" s="12">
        <v>5</v>
      </c>
      <c r="D51" s="8">
        <v>3.62</v>
      </c>
      <c r="E51" s="12">
        <v>3</v>
      </c>
      <c r="F51" s="8">
        <v>5</v>
      </c>
      <c r="G51" s="12">
        <v>2</v>
      </c>
      <c r="H51" s="8">
        <v>3.64</v>
      </c>
      <c r="I51" s="12">
        <v>0</v>
      </c>
    </row>
    <row r="52" spans="2:9" ht="15" customHeight="1" x14ac:dyDescent="0.2">
      <c r="B52" t="s">
        <v>330</v>
      </c>
      <c r="C52" s="12">
        <v>5</v>
      </c>
      <c r="D52" s="8">
        <v>3.62</v>
      </c>
      <c r="E52" s="12">
        <v>0</v>
      </c>
      <c r="F52" s="8">
        <v>0</v>
      </c>
      <c r="G52" s="12">
        <v>5</v>
      </c>
      <c r="H52" s="8">
        <v>9.09</v>
      </c>
      <c r="I52" s="12">
        <v>0</v>
      </c>
    </row>
    <row r="53" spans="2:9" ht="15" customHeight="1" x14ac:dyDescent="0.2">
      <c r="B53" t="s">
        <v>305</v>
      </c>
      <c r="C53" s="12">
        <v>5</v>
      </c>
      <c r="D53" s="8">
        <v>3.62</v>
      </c>
      <c r="E53" s="12">
        <v>5</v>
      </c>
      <c r="F53" s="8">
        <v>8.33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370</v>
      </c>
      <c r="C54" s="12">
        <v>5</v>
      </c>
      <c r="D54" s="8">
        <v>3.62</v>
      </c>
      <c r="E54" s="12">
        <v>0</v>
      </c>
      <c r="F54" s="8">
        <v>0</v>
      </c>
      <c r="G54" s="12">
        <v>1</v>
      </c>
      <c r="H54" s="8">
        <v>1.82</v>
      </c>
      <c r="I54" s="12">
        <v>0</v>
      </c>
    </row>
    <row r="55" spans="2:9" ht="15" customHeight="1" x14ac:dyDescent="0.2">
      <c r="B55" t="s">
        <v>413</v>
      </c>
      <c r="C55" s="12">
        <v>4</v>
      </c>
      <c r="D55" s="8">
        <v>2.9</v>
      </c>
      <c r="E55" s="12">
        <v>0</v>
      </c>
      <c r="F55" s="8">
        <v>0</v>
      </c>
      <c r="G55" s="12">
        <v>4</v>
      </c>
      <c r="H55" s="8">
        <v>7.27</v>
      </c>
      <c r="I55" s="12">
        <v>0</v>
      </c>
    </row>
    <row r="56" spans="2:9" ht="15" customHeight="1" x14ac:dyDescent="0.2">
      <c r="B56" t="s">
        <v>297</v>
      </c>
      <c r="C56" s="12">
        <v>4</v>
      </c>
      <c r="D56" s="8">
        <v>2.9</v>
      </c>
      <c r="E56" s="12">
        <v>3</v>
      </c>
      <c r="F56" s="8">
        <v>5</v>
      </c>
      <c r="G56" s="12">
        <v>1</v>
      </c>
      <c r="H56" s="8">
        <v>1.82</v>
      </c>
      <c r="I56" s="12">
        <v>0</v>
      </c>
    </row>
    <row r="57" spans="2:9" ht="15" customHeight="1" x14ac:dyDescent="0.2">
      <c r="B57" t="s">
        <v>368</v>
      </c>
      <c r="C57" s="12">
        <v>4</v>
      </c>
      <c r="D57" s="8">
        <v>2.9</v>
      </c>
      <c r="E57" s="12">
        <v>2</v>
      </c>
      <c r="F57" s="8">
        <v>3.33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318</v>
      </c>
      <c r="C58" s="12">
        <v>4</v>
      </c>
      <c r="D58" s="8">
        <v>2.9</v>
      </c>
      <c r="E58" s="12">
        <v>0</v>
      </c>
      <c r="F58" s="8">
        <v>0</v>
      </c>
      <c r="G58" s="12">
        <v>1</v>
      </c>
      <c r="H58" s="8">
        <v>1.82</v>
      </c>
      <c r="I58" s="12">
        <v>0</v>
      </c>
    </row>
    <row r="59" spans="2:9" ht="15" customHeight="1" x14ac:dyDescent="0.2">
      <c r="B59" t="s">
        <v>328</v>
      </c>
      <c r="C59" s="12">
        <v>3</v>
      </c>
      <c r="D59" s="8">
        <v>2.17</v>
      </c>
      <c r="E59" s="12">
        <v>0</v>
      </c>
      <c r="F59" s="8">
        <v>0</v>
      </c>
      <c r="G59" s="12">
        <v>3</v>
      </c>
      <c r="H59" s="8">
        <v>5.45</v>
      </c>
      <c r="I59" s="12">
        <v>0</v>
      </c>
    </row>
    <row r="60" spans="2:9" ht="15" customHeight="1" x14ac:dyDescent="0.2">
      <c r="B60" t="s">
        <v>290</v>
      </c>
      <c r="C60" s="12">
        <v>3</v>
      </c>
      <c r="D60" s="8">
        <v>2.17</v>
      </c>
      <c r="E60" s="12">
        <v>1</v>
      </c>
      <c r="F60" s="8">
        <v>1.67</v>
      </c>
      <c r="G60" s="12">
        <v>2</v>
      </c>
      <c r="H60" s="8">
        <v>3.64</v>
      </c>
      <c r="I60" s="12">
        <v>0</v>
      </c>
    </row>
    <row r="61" spans="2:9" ht="15" customHeight="1" x14ac:dyDescent="0.2">
      <c r="B61" t="s">
        <v>303</v>
      </c>
      <c r="C61" s="12">
        <v>3</v>
      </c>
      <c r="D61" s="8">
        <v>2.17</v>
      </c>
      <c r="E61" s="12">
        <v>2</v>
      </c>
      <c r="F61" s="8">
        <v>3.33</v>
      </c>
      <c r="G61" s="12">
        <v>1</v>
      </c>
      <c r="H61" s="8">
        <v>1.82</v>
      </c>
      <c r="I61" s="12">
        <v>0</v>
      </c>
    </row>
    <row r="62" spans="2:9" ht="15" customHeight="1" x14ac:dyDescent="0.2">
      <c r="B62" t="s">
        <v>411</v>
      </c>
      <c r="C62" s="12">
        <v>3</v>
      </c>
      <c r="D62" s="8">
        <v>2.17</v>
      </c>
      <c r="E62" s="12">
        <v>1</v>
      </c>
      <c r="F62" s="8">
        <v>1.67</v>
      </c>
      <c r="G62" s="12">
        <v>2</v>
      </c>
      <c r="H62" s="8">
        <v>3.64</v>
      </c>
      <c r="I62" s="12">
        <v>0</v>
      </c>
    </row>
    <row r="63" spans="2:9" ht="15" customHeight="1" x14ac:dyDescent="0.2">
      <c r="B63" t="s">
        <v>340</v>
      </c>
      <c r="C63" s="12">
        <v>3</v>
      </c>
      <c r="D63" s="8">
        <v>2.17</v>
      </c>
      <c r="E63" s="12">
        <v>0</v>
      </c>
      <c r="F63" s="8">
        <v>0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327</v>
      </c>
      <c r="C64" s="12">
        <v>3</v>
      </c>
      <c r="D64" s="8">
        <v>2.17</v>
      </c>
      <c r="E64" s="12">
        <v>2</v>
      </c>
      <c r="F64" s="8">
        <v>3.33</v>
      </c>
      <c r="G64" s="12">
        <v>1</v>
      </c>
      <c r="H64" s="8">
        <v>1.82</v>
      </c>
      <c r="I64" s="12">
        <v>0</v>
      </c>
    </row>
    <row r="65" spans="2:9" ht="15" customHeight="1" x14ac:dyDescent="0.2">
      <c r="B65" t="s">
        <v>336</v>
      </c>
      <c r="C65" s="12">
        <v>2</v>
      </c>
      <c r="D65" s="8">
        <v>1.45</v>
      </c>
      <c r="E65" s="12">
        <v>1</v>
      </c>
      <c r="F65" s="8">
        <v>1.67</v>
      </c>
      <c r="G65" s="12">
        <v>0</v>
      </c>
      <c r="H65" s="8">
        <v>0</v>
      </c>
      <c r="I65" s="12">
        <v>1</v>
      </c>
    </row>
    <row r="66" spans="2:9" ht="15" customHeight="1" x14ac:dyDescent="0.2">
      <c r="B66" t="s">
        <v>292</v>
      </c>
      <c r="C66" s="12">
        <v>2</v>
      </c>
      <c r="D66" s="8">
        <v>1.45</v>
      </c>
      <c r="E66" s="12">
        <v>1</v>
      </c>
      <c r="F66" s="8">
        <v>1.67</v>
      </c>
      <c r="G66" s="12">
        <v>1</v>
      </c>
      <c r="H66" s="8">
        <v>1.82</v>
      </c>
      <c r="I66" s="12">
        <v>0</v>
      </c>
    </row>
    <row r="67" spans="2:9" ht="15" customHeight="1" x14ac:dyDescent="0.2">
      <c r="B67" t="s">
        <v>293</v>
      </c>
      <c r="C67" s="12">
        <v>2</v>
      </c>
      <c r="D67" s="8">
        <v>1.45</v>
      </c>
      <c r="E67" s="12">
        <v>1</v>
      </c>
      <c r="F67" s="8">
        <v>1.67</v>
      </c>
      <c r="G67" s="12">
        <v>1</v>
      </c>
      <c r="H67" s="8">
        <v>1.82</v>
      </c>
      <c r="I67" s="12">
        <v>0</v>
      </c>
    </row>
    <row r="68" spans="2:9" ht="15" customHeight="1" x14ac:dyDescent="0.2">
      <c r="B68" t="s">
        <v>294</v>
      </c>
      <c r="C68" s="12">
        <v>2</v>
      </c>
      <c r="D68" s="8">
        <v>1.45</v>
      </c>
      <c r="E68" s="12">
        <v>0</v>
      </c>
      <c r="F68" s="8">
        <v>0</v>
      </c>
      <c r="G68" s="12">
        <v>2</v>
      </c>
      <c r="H68" s="8">
        <v>3.64</v>
      </c>
      <c r="I68" s="12">
        <v>0</v>
      </c>
    </row>
    <row r="69" spans="2:9" ht="15" customHeight="1" x14ac:dyDescent="0.2">
      <c r="B69" t="s">
        <v>339</v>
      </c>
      <c r="C69" s="12">
        <v>2</v>
      </c>
      <c r="D69" s="8">
        <v>1.45</v>
      </c>
      <c r="E69" s="12">
        <v>1</v>
      </c>
      <c r="F69" s="8">
        <v>1.67</v>
      </c>
      <c r="G69" s="12">
        <v>1</v>
      </c>
      <c r="H69" s="8">
        <v>1.82</v>
      </c>
      <c r="I69" s="12">
        <v>0</v>
      </c>
    </row>
    <row r="70" spans="2:9" ht="15" customHeight="1" x14ac:dyDescent="0.2">
      <c r="B70" t="s">
        <v>405</v>
      </c>
      <c r="C70" s="12">
        <v>2</v>
      </c>
      <c r="D70" s="8">
        <v>1.45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300</v>
      </c>
      <c r="C71" s="12">
        <v>2</v>
      </c>
      <c r="D71" s="8">
        <v>1.45</v>
      </c>
      <c r="E71" s="12">
        <v>2</v>
      </c>
      <c r="F71" s="8">
        <v>3.33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301</v>
      </c>
      <c r="C72" s="12">
        <v>2</v>
      </c>
      <c r="D72" s="8">
        <v>1.45</v>
      </c>
      <c r="E72" s="12">
        <v>2</v>
      </c>
      <c r="F72" s="8">
        <v>3.33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325</v>
      </c>
      <c r="C73" s="12">
        <v>2</v>
      </c>
      <c r="D73" s="8">
        <v>1.45</v>
      </c>
      <c r="E73" s="12">
        <v>0</v>
      </c>
      <c r="F73" s="8">
        <v>0</v>
      </c>
      <c r="G73" s="12">
        <v>2</v>
      </c>
      <c r="H73" s="8">
        <v>3.64</v>
      </c>
      <c r="I73" s="12">
        <v>0</v>
      </c>
    </row>
    <row r="74" spans="2:9" ht="15" customHeight="1" x14ac:dyDescent="0.2">
      <c r="B74" t="s">
        <v>307</v>
      </c>
      <c r="C74" s="12">
        <v>2</v>
      </c>
      <c r="D74" s="8">
        <v>1.45</v>
      </c>
      <c r="E74" s="12">
        <v>2</v>
      </c>
      <c r="F74" s="8">
        <v>3.33</v>
      </c>
      <c r="G74" s="12">
        <v>0</v>
      </c>
      <c r="H74" s="8">
        <v>0</v>
      </c>
      <c r="I74" s="12">
        <v>0</v>
      </c>
    </row>
    <row r="76" spans="2:9" ht="15" customHeight="1" x14ac:dyDescent="0.2">
      <c r="B7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9A54C-1F97-453D-ACA1-B2BF9DA8D5D5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852</v>
      </c>
      <c r="D6" s="8">
        <v>12.74</v>
      </c>
      <c r="E6" s="12">
        <v>178</v>
      </c>
      <c r="F6" s="8">
        <v>5.59</v>
      </c>
      <c r="G6" s="12">
        <v>674</v>
      </c>
      <c r="H6" s="8">
        <v>19.45</v>
      </c>
      <c r="I6" s="12">
        <v>0</v>
      </c>
    </row>
    <row r="7" spans="2:9" ht="15" customHeight="1" x14ac:dyDescent="0.2">
      <c r="B7" t="s">
        <v>192</v>
      </c>
      <c r="C7" s="12">
        <v>304</v>
      </c>
      <c r="D7" s="8">
        <v>4.55</v>
      </c>
      <c r="E7" s="12">
        <v>70</v>
      </c>
      <c r="F7" s="8">
        <v>2.2000000000000002</v>
      </c>
      <c r="G7" s="12">
        <v>234</v>
      </c>
      <c r="H7" s="8">
        <v>6.75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0.04</v>
      </c>
      <c r="E8" s="12">
        <v>1</v>
      </c>
      <c r="F8" s="8">
        <v>0.03</v>
      </c>
      <c r="G8" s="12">
        <v>2</v>
      </c>
      <c r="H8" s="8">
        <v>0.06</v>
      </c>
      <c r="I8" s="12">
        <v>0</v>
      </c>
    </row>
    <row r="9" spans="2:9" ht="15" customHeight="1" x14ac:dyDescent="0.2">
      <c r="B9" t="s">
        <v>194</v>
      </c>
      <c r="C9" s="12">
        <v>55</v>
      </c>
      <c r="D9" s="8">
        <v>0.82</v>
      </c>
      <c r="E9" s="12">
        <v>5</v>
      </c>
      <c r="F9" s="8">
        <v>0.16</v>
      </c>
      <c r="G9" s="12">
        <v>50</v>
      </c>
      <c r="H9" s="8">
        <v>1.44</v>
      </c>
      <c r="I9" s="12">
        <v>0</v>
      </c>
    </row>
    <row r="10" spans="2:9" ht="15" customHeight="1" x14ac:dyDescent="0.2">
      <c r="B10" t="s">
        <v>195</v>
      </c>
      <c r="C10" s="12">
        <v>85</v>
      </c>
      <c r="D10" s="8">
        <v>1.27</v>
      </c>
      <c r="E10" s="12">
        <v>41</v>
      </c>
      <c r="F10" s="8">
        <v>1.29</v>
      </c>
      <c r="G10" s="12">
        <v>44</v>
      </c>
      <c r="H10" s="8">
        <v>1.27</v>
      </c>
      <c r="I10" s="12">
        <v>0</v>
      </c>
    </row>
    <row r="11" spans="2:9" ht="15" customHeight="1" x14ac:dyDescent="0.2">
      <c r="B11" t="s">
        <v>196</v>
      </c>
      <c r="C11" s="12">
        <v>1644</v>
      </c>
      <c r="D11" s="8">
        <v>24.58</v>
      </c>
      <c r="E11" s="12">
        <v>599</v>
      </c>
      <c r="F11" s="8">
        <v>18.809999999999999</v>
      </c>
      <c r="G11" s="12">
        <v>1045</v>
      </c>
      <c r="H11" s="8">
        <v>30.15</v>
      </c>
      <c r="I11" s="12">
        <v>0</v>
      </c>
    </row>
    <row r="12" spans="2:9" ht="15" customHeight="1" x14ac:dyDescent="0.2">
      <c r="B12" t="s">
        <v>197</v>
      </c>
      <c r="C12" s="12">
        <v>72</v>
      </c>
      <c r="D12" s="8">
        <v>1.08</v>
      </c>
      <c r="E12" s="12">
        <v>10</v>
      </c>
      <c r="F12" s="8">
        <v>0.31</v>
      </c>
      <c r="G12" s="12">
        <v>62</v>
      </c>
      <c r="H12" s="8">
        <v>1.79</v>
      </c>
      <c r="I12" s="12">
        <v>0</v>
      </c>
    </row>
    <row r="13" spans="2:9" ht="15" customHeight="1" x14ac:dyDescent="0.2">
      <c r="B13" t="s">
        <v>198</v>
      </c>
      <c r="C13" s="12">
        <v>670</v>
      </c>
      <c r="D13" s="8">
        <v>10.02</v>
      </c>
      <c r="E13" s="12">
        <v>276</v>
      </c>
      <c r="F13" s="8">
        <v>8.67</v>
      </c>
      <c r="G13" s="12">
        <v>393</v>
      </c>
      <c r="H13" s="8">
        <v>11.34</v>
      </c>
      <c r="I13" s="12">
        <v>0</v>
      </c>
    </row>
    <row r="14" spans="2:9" ht="15" customHeight="1" x14ac:dyDescent="0.2">
      <c r="B14" t="s">
        <v>199</v>
      </c>
      <c r="C14" s="12">
        <v>306</v>
      </c>
      <c r="D14" s="8">
        <v>4.58</v>
      </c>
      <c r="E14" s="12">
        <v>126</v>
      </c>
      <c r="F14" s="8">
        <v>3.96</v>
      </c>
      <c r="G14" s="12">
        <v>177</v>
      </c>
      <c r="H14" s="8">
        <v>5.1100000000000003</v>
      </c>
      <c r="I14" s="12">
        <v>0</v>
      </c>
    </row>
    <row r="15" spans="2:9" ht="15" customHeight="1" x14ac:dyDescent="0.2">
      <c r="B15" t="s">
        <v>200</v>
      </c>
      <c r="C15" s="12">
        <v>982</v>
      </c>
      <c r="D15" s="8">
        <v>14.68</v>
      </c>
      <c r="E15" s="12">
        <v>735</v>
      </c>
      <c r="F15" s="8">
        <v>23.08</v>
      </c>
      <c r="G15" s="12">
        <v>247</v>
      </c>
      <c r="H15" s="8">
        <v>7.13</v>
      </c>
      <c r="I15" s="12">
        <v>0</v>
      </c>
    </row>
    <row r="16" spans="2:9" ht="15" customHeight="1" x14ac:dyDescent="0.2">
      <c r="B16" t="s">
        <v>201</v>
      </c>
      <c r="C16" s="12">
        <v>929</v>
      </c>
      <c r="D16" s="8">
        <v>13.89</v>
      </c>
      <c r="E16" s="12">
        <v>741</v>
      </c>
      <c r="F16" s="8">
        <v>23.27</v>
      </c>
      <c r="G16" s="12">
        <v>185</v>
      </c>
      <c r="H16" s="8">
        <v>5.34</v>
      </c>
      <c r="I16" s="12">
        <v>2</v>
      </c>
    </row>
    <row r="17" spans="2:9" ht="15" customHeight="1" x14ac:dyDescent="0.2">
      <c r="B17" t="s">
        <v>202</v>
      </c>
      <c r="C17" s="12">
        <v>199</v>
      </c>
      <c r="D17" s="8">
        <v>2.98</v>
      </c>
      <c r="E17" s="12">
        <v>148</v>
      </c>
      <c r="F17" s="8">
        <v>4.6500000000000004</v>
      </c>
      <c r="G17" s="12">
        <v>48</v>
      </c>
      <c r="H17" s="8">
        <v>1.38</v>
      </c>
      <c r="I17" s="12">
        <v>1</v>
      </c>
    </row>
    <row r="18" spans="2:9" ht="15" customHeight="1" x14ac:dyDescent="0.2">
      <c r="B18" t="s">
        <v>203</v>
      </c>
      <c r="C18" s="12">
        <v>338</v>
      </c>
      <c r="D18" s="8">
        <v>5.05</v>
      </c>
      <c r="E18" s="12">
        <v>172</v>
      </c>
      <c r="F18" s="8">
        <v>5.4</v>
      </c>
      <c r="G18" s="12">
        <v>142</v>
      </c>
      <c r="H18" s="8">
        <v>4.0999999999999996</v>
      </c>
      <c r="I18" s="12">
        <v>3</v>
      </c>
    </row>
    <row r="19" spans="2:9" ht="15" customHeight="1" x14ac:dyDescent="0.2">
      <c r="B19" t="s">
        <v>204</v>
      </c>
      <c r="C19" s="12">
        <v>249</v>
      </c>
      <c r="D19" s="8">
        <v>3.72</v>
      </c>
      <c r="E19" s="12">
        <v>83</v>
      </c>
      <c r="F19" s="8">
        <v>2.61</v>
      </c>
      <c r="G19" s="12">
        <v>163</v>
      </c>
      <c r="H19" s="8">
        <v>4.7</v>
      </c>
      <c r="I19" s="12">
        <v>1</v>
      </c>
    </row>
    <row r="20" spans="2:9" ht="15" customHeight="1" x14ac:dyDescent="0.2">
      <c r="B20" s="9" t="s">
        <v>529</v>
      </c>
      <c r="C20" s="12">
        <f>SUM(LTBL_01202[総数／事業所数])</f>
        <v>6688</v>
      </c>
      <c r="E20" s="12">
        <f>SUBTOTAL(109,LTBL_01202[個人／事業所数])</f>
        <v>3185</v>
      </c>
      <c r="G20" s="12">
        <f>SUBTOTAL(109,LTBL_01202[法人／事業所数])</f>
        <v>3466</v>
      </c>
      <c r="I20" s="12">
        <f>SUBTOTAL(109,LTBL_01202[法人以外の団体／事業所数])</f>
        <v>7</v>
      </c>
    </row>
    <row r="21" spans="2:9" ht="15" customHeight="1" x14ac:dyDescent="0.2">
      <c r="E21" s="11">
        <f>LTBL_01202[[#Totals],[個人／事業所数]]/LTBL_01202[[#Totals],[総数／事業所数]]</f>
        <v>0.47622607655502391</v>
      </c>
      <c r="G21" s="11">
        <f>LTBL_01202[[#Totals],[法人／事業所数]]/LTBL_01202[[#Totals],[総数／事業所数]]</f>
        <v>0.51824162679425834</v>
      </c>
      <c r="I21" s="11">
        <f>LTBL_01202[[#Totals],[法人以外の団体／事業所数]]/LTBL_01202[[#Totals],[総数／事業所数]]</f>
        <v>1.0466507177033493E-3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851</v>
      </c>
      <c r="D24" s="8">
        <v>12.72</v>
      </c>
      <c r="E24" s="12">
        <v>683</v>
      </c>
      <c r="F24" s="8">
        <v>21.44</v>
      </c>
      <c r="G24" s="12">
        <v>168</v>
      </c>
      <c r="H24" s="8">
        <v>4.8499999999999996</v>
      </c>
      <c r="I24" s="12">
        <v>0</v>
      </c>
    </row>
    <row r="25" spans="2:9" ht="15" customHeight="1" x14ac:dyDescent="0.2">
      <c r="B25" t="s">
        <v>228</v>
      </c>
      <c r="C25" s="12">
        <v>791</v>
      </c>
      <c r="D25" s="8">
        <v>11.83</v>
      </c>
      <c r="E25" s="12">
        <v>674</v>
      </c>
      <c r="F25" s="8">
        <v>21.16</v>
      </c>
      <c r="G25" s="12">
        <v>117</v>
      </c>
      <c r="H25" s="8">
        <v>3.38</v>
      </c>
      <c r="I25" s="12">
        <v>0</v>
      </c>
    </row>
    <row r="26" spans="2:9" ht="15" customHeight="1" x14ac:dyDescent="0.2">
      <c r="B26" t="s">
        <v>224</v>
      </c>
      <c r="C26" s="12">
        <v>543</v>
      </c>
      <c r="D26" s="8">
        <v>8.1199999999999992</v>
      </c>
      <c r="E26" s="12">
        <v>268</v>
      </c>
      <c r="F26" s="8">
        <v>8.41</v>
      </c>
      <c r="G26" s="12">
        <v>274</v>
      </c>
      <c r="H26" s="8">
        <v>7.91</v>
      </c>
      <c r="I26" s="12">
        <v>0</v>
      </c>
    </row>
    <row r="27" spans="2:9" ht="15" customHeight="1" x14ac:dyDescent="0.2">
      <c r="B27" t="s">
        <v>223</v>
      </c>
      <c r="C27" s="12">
        <v>464</v>
      </c>
      <c r="D27" s="8">
        <v>6.94</v>
      </c>
      <c r="E27" s="12">
        <v>197</v>
      </c>
      <c r="F27" s="8">
        <v>6.19</v>
      </c>
      <c r="G27" s="12">
        <v>267</v>
      </c>
      <c r="H27" s="8">
        <v>7.7</v>
      </c>
      <c r="I27" s="12">
        <v>0</v>
      </c>
    </row>
    <row r="28" spans="2:9" ht="15" customHeight="1" x14ac:dyDescent="0.2">
      <c r="B28" t="s">
        <v>221</v>
      </c>
      <c r="C28" s="12">
        <v>427</v>
      </c>
      <c r="D28" s="8">
        <v>6.38</v>
      </c>
      <c r="E28" s="12">
        <v>235</v>
      </c>
      <c r="F28" s="8">
        <v>7.38</v>
      </c>
      <c r="G28" s="12">
        <v>192</v>
      </c>
      <c r="H28" s="8">
        <v>5.54</v>
      </c>
      <c r="I28" s="12">
        <v>0</v>
      </c>
    </row>
    <row r="29" spans="2:9" ht="15" customHeight="1" x14ac:dyDescent="0.2">
      <c r="B29" t="s">
        <v>213</v>
      </c>
      <c r="C29" s="12">
        <v>376</v>
      </c>
      <c r="D29" s="8">
        <v>5.62</v>
      </c>
      <c r="E29" s="12">
        <v>56</v>
      </c>
      <c r="F29" s="8">
        <v>1.76</v>
      </c>
      <c r="G29" s="12">
        <v>320</v>
      </c>
      <c r="H29" s="8">
        <v>9.23</v>
      </c>
      <c r="I29" s="12">
        <v>0</v>
      </c>
    </row>
    <row r="30" spans="2:9" ht="15" customHeight="1" x14ac:dyDescent="0.2">
      <c r="B30" t="s">
        <v>214</v>
      </c>
      <c r="C30" s="12">
        <v>251</v>
      </c>
      <c r="D30" s="8">
        <v>3.75</v>
      </c>
      <c r="E30" s="12">
        <v>85</v>
      </c>
      <c r="F30" s="8">
        <v>2.67</v>
      </c>
      <c r="G30" s="12">
        <v>166</v>
      </c>
      <c r="H30" s="8">
        <v>4.79</v>
      </c>
      <c r="I30" s="12">
        <v>0</v>
      </c>
    </row>
    <row r="31" spans="2:9" ht="15" customHeight="1" x14ac:dyDescent="0.2">
      <c r="B31" t="s">
        <v>215</v>
      </c>
      <c r="C31" s="12">
        <v>225</v>
      </c>
      <c r="D31" s="8">
        <v>3.36</v>
      </c>
      <c r="E31" s="12">
        <v>37</v>
      </c>
      <c r="F31" s="8">
        <v>1.1599999999999999</v>
      </c>
      <c r="G31" s="12">
        <v>188</v>
      </c>
      <c r="H31" s="8">
        <v>5.42</v>
      </c>
      <c r="I31" s="12">
        <v>0</v>
      </c>
    </row>
    <row r="32" spans="2:9" ht="15" customHeight="1" x14ac:dyDescent="0.2">
      <c r="B32" t="s">
        <v>231</v>
      </c>
      <c r="C32" s="12">
        <v>208</v>
      </c>
      <c r="D32" s="8">
        <v>3.11</v>
      </c>
      <c r="E32" s="12">
        <v>170</v>
      </c>
      <c r="F32" s="8">
        <v>5.34</v>
      </c>
      <c r="G32" s="12">
        <v>38</v>
      </c>
      <c r="H32" s="8">
        <v>1.1000000000000001</v>
      </c>
      <c r="I32" s="12">
        <v>0</v>
      </c>
    </row>
    <row r="33" spans="2:9" ht="15" customHeight="1" x14ac:dyDescent="0.2">
      <c r="B33" t="s">
        <v>230</v>
      </c>
      <c r="C33" s="12">
        <v>199</v>
      </c>
      <c r="D33" s="8">
        <v>2.98</v>
      </c>
      <c r="E33" s="12">
        <v>148</v>
      </c>
      <c r="F33" s="8">
        <v>4.6500000000000004</v>
      </c>
      <c r="G33" s="12">
        <v>48</v>
      </c>
      <c r="H33" s="8">
        <v>1.38</v>
      </c>
      <c r="I33" s="12">
        <v>1</v>
      </c>
    </row>
    <row r="34" spans="2:9" ht="15" customHeight="1" x14ac:dyDescent="0.2">
      <c r="B34" t="s">
        <v>222</v>
      </c>
      <c r="C34" s="12">
        <v>172</v>
      </c>
      <c r="D34" s="8">
        <v>2.57</v>
      </c>
      <c r="E34" s="12">
        <v>73</v>
      </c>
      <c r="F34" s="8">
        <v>2.29</v>
      </c>
      <c r="G34" s="12">
        <v>99</v>
      </c>
      <c r="H34" s="8">
        <v>2.86</v>
      </c>
      <c r="I34" s="12">
        <v>0</v>
      </c>
    </row>
    <row r="35" spans="2:9" ht="15" customHeight="1" x14ac:dyDescent="0.2">
      <c r="B35" t="s">
        <v>225</v>
      </c>
      <c r="C35" s="12">
        <v>155</v>
      </c>
      <c r="D35" s="8">
        <v>2.3199999999999998</v>
      </c>
      <c r="E35" s="12">
        <v>92</v>
      </c>
      <c r="F35" s="8">
        <v>2.89</v>
      </c>
      <c r="G35" s="12">
        <v>63</v>
      </c>
      <c r="H35" s="8">
        <v>1.82</v>
      </c>
      <c r="I35" s="12">
        <v>0</v>
      </c>
    </row>
    <row r="36" spans="2:9" ht="15" customHeight="1" x14ac:dyDescent="0.2">
      <c r="B36" t="s">
        <v>226</v>
      </c>
      <c r="C36" s="12">
        <v>136</v>
      </c>
      <c r="D36" s="8">
        <v>2.0299999999999998</v>
      </c>
      <c r="E36" s="12">
        <v>34</v>
      </c>
      <c r="F36" s="8">
        <v>1.07</v>
      </c>
      <c r="G36" s="12">
        <v>100</v>
      </c>
      <c r="H36" s="8">
        <v>2.89</v>
      </c>
      <c r="I36" s="12">
        <v>0</v>
      </c>
    </row>
    <row r="37" spans="2:9" ht="15" customHeight="1" x14ac:dyDescent="0.2">
      <c r="B37" t="s">
        <v>232</v>
      </c>
      <c r="C37" s="12">
        <v>130</v>
      </c>
      <c r="D37" s="8">
        <v>1.94</v>
      </c>
      <c r="E37" s="12">
        <v>2</v>
      </c>
      <c r="F37" s="8">
        <v>0.06</v>
      </c>
      <c r="G37" s="12">
        <v>104</v>
      </c>
      <c r="H37" s="8">
        <v>3</v>
      </c>
      <c r="I37" s="12">
        <v>3</v>
      </c>
    </row>
    <row r="38" spans="2:9" ht="15" customHeight="1" x14ac:dyDescent="0.2">
      <c r="B38" t="s">
        <v>220</v>
      </c>
      <c r="C38" s="12">
        <v>124</v>
      </c>
      <c r="D38" s="8">
        <v>1.85</v>
      </c>
      <c r="E38" s="12">
        <v>48</v>
      </c>
      <c r="F38" s="8">
        <v>1.51</v>
      </c>
      <c r="G38" s="12">
        <v>76</v>
      </c>
      <c r="H38" s="8">
        <v>2.19</v>
      </c>
      <c r="I38" s="12">
        <v>0</v>
      </c>
    </row>
    <row r="39" spans="2:9" ht="15" customHeight="1" x14ac:dyDescent="0.2">
      <c r="B39" t="s">
        <v>216</v>
      </c>
      <c r="C39" s="12">
        <v>108</v>
      </c>
      <c r="D39" s="8">
        <v>1.61</v>
      </c>
      <c r="E39" s="12">
        <v>12</v>
      </c>
      <c r="F39" s="8">
        <v>0.38</v>
      </c>
      <c r="G39" s="12">
        <v>96</v>
      </c>
      <c r="H39" s="8">
        <v>2.77</v>
      </c>
      <c r="I39" s="12">
        <v>0</v>
      </c>
    </row>
    <row r="40" spans="2:9" ht="15" customHeight="1" x14ac:dyDescent="0.2">
      <c r="B40" t="s">
        <v>218</v>
      </c>
      <c r="C40" s="12">
        <v>108</v>
      </c>
      <c r="D40" s="8">
        <v>1.61</v>
      </c>
      <c r="E40" s="12">
        <v>4</v>
      </c>
      <c r="F40" s="8">
        <v>0.13</v>
      </c>
      <c r="G40" s="12">
        <v>104</v>
      </c>
      <c r="H40" s="8">
        <v>3</v>
      </c>
      <c r="I40" s="12">
        <v>0</v>
      </c>
    </row>
    <row r="41" spans="2:9" ht="15" customHeight="1" x14ac:dyDescent="0.2">
      <c r="B41" t="s">
        <v>229</v>
      </c>
      <c r="C41" s="12">
        <v>103</v>
      </c>
      <c r="D41" s="8">
        <v>1.54</v>
      </c>
      <c r="E41" s="12">
        <v>55</v>
      </c>
      <c r="F41" s="8">
        <v>1.73</v>
      </c>
      <c r="G41" s="12">
        <v>48</v>
      </c>
      <c r="H41" s="8">
        <v>1.38</v>
      </c>
      <c r="I41" s="12">
        <v>0</v>
      </c>
    </row>
    <row r="42" spans="2:9" ht="15" customHeight="1" x14ac:dyDescent="0.2">
      <c r="B42" t="s">
        <v>240</v>
      </c>
      <c r="C42" s="12">
        <v>99</v>
      </c>
      <c r="D42" s="8">
        <v>1.48</v>
      </c>
      <c r="E42" s="12">
        <v>55</v>
      </c>
      <c r="F42" s="8">
        <v>1.73</v>
      </c>
      <c r="G42" s="12">
        <v>44</v>
      </c>
      <c r="H42" s="8">
        <v>1.27</v>
      </c>
      <c r="I42" s="12">
        <v>0</v>
      </c>
    </row>
    <row r="43" spans="2:9" ht="15" customHeight="1" x14ac:dyDescent="0.2">
      <c r="B43" t="s">
        <v>219</v>
      </c>
      <c r="C43" s="12">
        <v>92</v>
      </c>
      <c r="D43" s="8">
        <v>1.38</v>
      </c>
      <c r="E43" s="12">
        <v>15</v>
      </c>
      <c r="F43" s="8">
        <v>0.47</v>
      </c>
      <c r="G43" s="12">
        <v>77</v>
      </c>
      <c r="H43" s="8">
        <v>2.2200000000000002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420</v>
      </c>
      <c r="D47" s="8">
        <v>6.28</v>
      </c>
      <c r="E47" s="12">
        <v>389</v>
      </c>
      <c r="F47" s="8">
        <v>12.21</v>
      </c>
      <c r="G47" s="12">
        <v>31</v>
      </c>
      <c r="H47" s="8">
        <v>0.89</v>
      </c>
      <c r="I47" s="12">
        <v>0</v>
      </c>
    </row>
    <row r="48" spans="2:9" ht="15" customHeight="1" x14ac:dyDescent="0.2">
      <c r="B48" t="s">
        <v>297</v>
      </c>
      <c r="C48" s="12">
        <v>415</v>
      </c>
      <c r="D48" s="8">
        <v>6.21</v>
      </c>
      <c r="E48" s="12">
        <v>255</v>
      </c>
      <c r="F48" s="8">
        <v>8.01</v>
      </c>
      <c r="G48" s="12">
        <v>159</v>
      </c>
      <c r="H48" s="8">
        <v>4.59</v>
      </c>
      <c r="I48" s="12">
        <v>0</v>
      </c>
    </row>
    <row r="49" spans="2:9" ht="15" customHeight="1" x14ac:dyDescent="0.2">
      <c r="B49" t="s">
        <v>303</v>
      </c>
      <c r="C49" s="12">
        <v>240</v>
      </c>
      <c r="D49" s="8">
        <v>3.59</v>
      </c>
      <c r="E49" s="12">
        <v>216</v>
      </c>
      <c r="F49" s="8">
        <v>6.78</v>
      </c>
      <c r="G49" s="12">
        <v>24</v>
      </c>
      <c r="H49" s="8">
        <v>0.69</v>
      </c>
      <c r="I49" s="12">
        <v>0</v>
      </c>
    </row>
    <row r="50" spans="2:9" ht="15" customHeight="1" x14ac:dyDescent="0.2">
      <c r="B50" t="s">
        <v>301</v>
      </c>
      <c r="C50" s="12">
        <v>219</v>
      </c>
      <c r="D50" s="8">
        <v>3.27</v>
      </c>
      <c r="E50" s="12">
        <v>198</v>
      </c>
      <c r="F50" s="8">
        <v>6.22</v>
      </c>
      <c r="G50" s="12">
        <v>21</v>
      </c>
      <c r="H50" s="8">
        <v>0.61</v>
      </c>
      <c r="I50" s="12">
        <v>0</v>
      </c>
    </row>
    <row r="51" spans="2:9" ht="15" customHeight="1" x14ac:dyDescent="0.2">
      <c r="B51" t="s">
        <v>299</v>
      </c>
      <c r="C51" s="12">
        <v>193</v>
      </c>
      <c r="D51" s="8">
        <v>2.89</v>
      </c>
      <c r="E51" s="12">
        <v>140</v>
      </c>
      <c r="F51" s="8">
        <v>4.4000000000000004</v>
      </c>
      <c r="G51" s="12">
        <v>53</v>
      </c>
      <c r="H51" s="8">
        <v>1.53</v>
      </c>
      <c r="I51" s="12">
        <v>0</v>
      </c>
    </row>
    <row r="52" spans="2:9" ht="15" customHeight="1" x14ac:dyDescent="0.2">
      <c r="B52" t="s">
        <v>306</v>
      </c>
      <c r="C52" s="12">
        <v>146</v>
      </c>
      <c r="D52" s="8">
        <v>2.1800000000000002</v>
      </c>
      <c r="E52" s="12">
        <v>129</v>
      </c>
      <c r="F52" s="8">
        <v>4.05</v>
      </c>
      <c r="G52" s="12">
        <v>17</v>
      </c>
      <c r="H52" s="8">
        <v>0.49</v>
      </c>
      <c r="I52" s="12">
        <v>0</v>
      </c>
    </row>
    <row r="53" spans="2:9" ht="15" customHeight="1" x14ac:dyDescent="0.2">
      <c r="B53" t="s">
        <v>295</v>
      </c>
      <c r="C53" s="12">
        <v>144</v>
      </c>
      <c r="D53" s="8">
        <v>2.15</v>
      </c>
      <c r="E53" s="12">
        <v>75</v>
      </c>
      <c r="F53" s="8">
        <v>2.35</v>
      </c>
      <c r="G53" s="12">
        <v>69</v>
      </c>
      <c r="H53" s="8">
        <v>1.99</v>
      </c>
      <c r="I53" s="12">
        <v>0</v>
      </c>
    </row>
    <row r="54" spans="2:9" ht="15" customHeight="1" x14ac:dyDescent="0.2">
      <c r="B54" t="s">
        <v>300</v>
      </c>
      <c r="C54" s="12">
        <v>141</v>
      </c>
      <c r="D54" s="8">
        <v>2.11</v>
      </c>
      <c r="E54" s="12">
        <v>126</v>
      </c>
      <c r="F54" s="8">
        <v>3.96</v>
      </c>
      <c r="G54" s="12">
        <v>15</v>
      </c>
      <c r="H54" s="8">
        <v>0.43</v>
      </c>
      <c r="I54" s="12">
        <v>0</v>
      </c>
    </row>
    <row r="55" spans="2:9" ht="15" customHeight="1" x14ac:dyDescent="0.2">
      <c r="B55" t="s">
        <v>292</v>
      </c>
      <c r="C55" s="12">
        <v>136</v>
      </c>
      <c r="D55" s="8">
        <v>2.0299999999999998</v>
      </c>
      <c r="E55" s="12">
        <v>68</v>
      </c>
      <c r="F55" s="8">
        <v>2.14</v>
      </c>
      <c r="G55" s="12">
        <v>68</v>
      </c>
      <c r="H55" s="8">
        <v>1.96</v>
      </c>
      <c r="I55" s="12">
        <v>0</v>
      </c>
    </row>
    <row r="56" spans="2:9" ht="15" customHeight="1" x14ac:dyDescent="0.2">
      <c r="B56" t="s">
        <v>302</v>
      </c>
      <c r="C56" s="12">
        <v>132</v>
      </c>
      <c r="D56" s="8">
        <v>1.97</v>
      </c>
      <c r="E56" s="12">
        <v>110</v>
      </c>
      <c r="F56" s="8">
        <v>3.45</v>
      </c>
      <c r="G56" s="12">
        <v>22</v>
      </c>
      <c r="H56" s="8">
        <v>0.63</v>
      </c>
      <c r="I56" s="12">
        <v>0</v>
      </c>
    </row>
    <row r="57" spans="2:9" ht="15" customHeight="1" x14ac:dyDescent="0.2">
      <c r="B57" t="s">
        <v>305</v>
      </c>
      <c r="C57" s="12">
        <v>126</v>
      </c>
      <c r="D57" s="8">
        <v>1.88</v>
      </c>
      <c r="E57" s="12">
        <v>105</v>
      </c>
      <c r="F57" s="8">
        <v>3.3</v>
      </c>
      <c r="G57" s="12">
        <v>21</v>
      </c>
      <c r="H57" s="8">
        <v>0.61</v>
      </c>
      <c r="I57" s="12">
        <v>0</v>
      </c>
    </row>
    <row r="58" spans="2:9" ht="15" customHeight="1" x14ac:dyDescent="0.2">
      <c r="B58" t="s">
        <v>294</v>
      </c>
      <c r="C58" s="12">
        <v>110</v>
      </c>
      <c r="D58" s="8">
        <v>1.64</v>
      </c>
      <c r="E58" s="12">
        <v>27</v>
      </c>
      <c r="F58" s="8">
        <v>0.85</v>
      </c>
      <c r="G58" s="12">
        <v>83</v>
      </c>
      <c r="H58" s="8">
        <v>2.39</v>
      </c>
      <c r="I58" s="12">
        <v>0</v>
      </c>
    </row>
    <row r="59" spans="2:9" ht="15" customHeight="1" x14ac:dyDescent="0.2">
      <c r="B59" t="s">
        <v>288</v>
      </c>
      <c r="C59" s="12">
        <v>104</v>
      </c>
      <c r="D59" s="8">
        <v>1.56</v>
      </c>
      <c r="E59" s="12">
        <v>3</v>
      </c>
      <c r="F59" s="8">
        <v>0.09</v>
      </c>
      <c r="G59" s="12">
        <v>101</v>
      </c>
      <c r="H59" s="8">
        <v>2.91</v>
      </c>
      <c r="I59" s="12">
        <v>0</v>
      </c>
    </row>
    <row r="60" spans="2:9" ht="15" customHeight="1" x14ac:dyDescent="0.2">
      <c r="B60" t="s">
        <v>291</v>
      </c>
      <c r="C60" s="12">
        <v>103</v>
      </c>
      <c r="D60" s="8">
        <v>1.54</v>
      </c>
      <c r="E60" s="12">
        <v>17</v>
      </c>
      <c r="F60" s="8">
        <v>0.53</v>
      </c>
      <c r="G60" s="12">
        <v>86</v>
      </c>
      <c r="H60" s="8">
        <v>2.48</v>
      </c>
      <c r="I60" s="12">
        <v>0</v>
      </c>
    </row>
    <row r="61" spans="2:9" ht="15" customHeight="1" x14ac:dyDescent="0.2">
      <c r="B61" t="s">
        <v>329</v>
      </c>
      <c r="C61" s="12">
        <v>101</v>
      </c>
      <c r="D61" s="8">
        <v>1.51</v>
      </c>
      <c r="E61" s="12">
        <v>53</v>
      </c>
      <c r="F61" s="8">
        <v>1.66</v>
      </c>
      <c r="G61" s="12">
        <v>48</v>
      </c>
      <c r="H61" s="8">
        <v>1.38</v>
      </c>
      <c r="I61" s="12">
        <v>0</v>
      </c>
    </row>
    <row r="62" spans="2:9" ht="15" customHeight="1" x14ac:dyDescent="0.2">
      <c r="B62" t="s">
        <v>328</v>
      </c>
      <c r="C62" s="12">
        <v>100</v>
      </c>
      <c r="D62" s="8">
        <v>1.5</v>
      </c>
      <c r="E62" s="12">
        <v>31</v>
      </c>
      <c r="F62" s="8">
        <v>0.97</v>
      </c>
      <c r="G62" s="12">
        <v>69</v>
      </c>
      <c r="H62" s="8">
        <v>1.99</v>
      </c>
      <c r="I62" s="12">
        <v>0</v>
      </c>
    </row>
    <row r="63" spans="2:9" ht="15" customHeight="1" x14ac:dyDescent="0.2">
      <c r="B63" t="s">
        <v>293</v>
      </c>
      <c r="C63" s="12">
        <v>100</v>
      </c>
      <c r="D63" s="8">
        <v>1.5</v>
      </c>
      <c r="E63" s="12">
        <v>33</v>
      </c>
      <c r="F63" s="8">
        <v>1.04</v>
      </c>
      <c r="G63" s="12">
        <v>67</v>
      </c>
      <c r="H63" s="8">
        <v>1.93</v>
      </c>
      <c r="I63" s="12">
        <v>0</v>
      </c>
    </row>
    <row r="64" spans="2:9" ht="15" customHeight="1" x14ac:dyDescent="0.2">
      <c r="B64" t="s">
        <v>307</v>
      </c>
      <c r="C64" s="12">
        <v>99</v>
      </c>
      <c r="D64" s="8">
        <v>1.48</v>
      </c>
      <c r="E64" s="12">
        <v>55</v>
      </c>
      <c r="F64" s="8">
        <v>1.73</v>
      </c>
      <c r="G64" s="12">
        <v>44</v>
      </c>
      <c r="H64" s="8">
        <v>1.27</v>
      </c>
      <c r="I64" s="12">
        <v>0</v>
      </c>
    </row>
    <row r="65" spans="2:9" ht="15" customHeight="1" x14ac:dyDescent="0.2">
      <c r="B65" t="s">
        <v>289</v>
      </c>
      <c r="C65" s="12">
        <v>90</v>
      </c>
      <c r="D65" s="8">
        <v>1.35</v>
      </c>
      <c r="E65" s="12">
        <v>13</v>
      </c>
      <c r="F65" s="8">
        <v>0.41</v>
      </c>
      <c r="G65" s="12">
        <v>77</v>
      </c>
      <c r="H65" s="8">
        <v>2.2200000000000002</v>
      </c>
      <c r="I65" s="12">
        <v>0</v>
      </c>
    </row>
    <row r="66" spans="2:9" ht="15" customHeight="1" x14ac:dyDescent="0.2">
      <c r="B66" t="s">
        <v>298</v>
      </c>
      <c r="C66" s="12">
        <v>89</v>
      </c>
      <c r="D66" s="8">
        <v>1.33</v>
      </c>
      <c r="E66" s="12">
        <v>21</v>
      </c>
      <c r="F66" s="8">
        <v>0.66</v>
      </c>
      <c r="G66" s="12">
        <v>68</v>
      </c>
      <c r="H66" s="8">
        <v>1.96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B7EA7-A0DB-4682-9CCB-D18C5A367026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15</v>
      </c>
      <c r="D6" s="8">
        <v>8.98</v>
      </c>
      <c r="E6" s="12">
        <v>4</v>
      </c>
      <c r="F6" s="8">
        <v>4.88</v>
      </c>
      <c r="G6" s="12">
        <v>11</v>
      </c>
      <c r="H6" s="8">
        <v>14.67</v>
      </c>
      <c r="I6" s="12">
        <v>0</v>
      </c>
    </row>
    <row r="7" spans="2:9" ht="15" customHeight="1" x14ac:dyDescent="0.2">
      <c r="B7" t="s">
        <v>192</v>
      </c>
      <c r="C7" s="12">
        <v>12</v>
      </c>
      <c r="D7" s="8">
        <v>7.19</v>
      </c>
      <c r="E7" s="12">
        <v>2</v>
      </c>
      <c r="F7" s="8">
        <v>2.44</v>
      </c>
      <c r="G7" s="12">
        <v>10</v>
      </c>
      <c r="H7" s="8">
        <v>13.33</v>
      </c>
      <c r="I7" s="12">
        <v>0</v>
      </c>
    </row>
    <row r="8" spans="2:9" ht="15" customHeight="1" x14ac:dyDescent="0.2">
      <c r="B8" t="s">
        <v>193</v>
      </c>
      <c r="C8" s="12">
        <v>5</v>
      </c>
      <c r="D8" s="8">
        <v>2.99</v>
      </c>
      <c r="E8" s="12">
        <v>0</v>
      </c>
      <c r="F8" s="8">
        <v>0</v>
      </c>
      <c r="G8" s="12">
        <v>5</v>
      </c>
      <c r="H8" s="8">
        <v>6.67</v>
      </c>
      <c r="I8" s="12">
        <v>0</v>
      </c>
    </row>
    <row r="9" spans="2:9" ht="15" customHeight="1" x14ac:dyDescent="0.2">
      <c r="B9" t="s">
        <v>194</v>
      </c>
      <c r="C9" s="12">
        <v>3</v>
      </c>
      <c r="D9" s="8">
        <v>1.8</v>
      </c>
      <c r="E9" s="12">
        <v>0</v>
      </c>
      <c r="F9" s="8">
        <v>0</v>
      </c>
      <c r="G9" s="12">
        <v>3</v>
      </c>
      <c r="H9" s="8">
        <v>4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1.2</v>
      </c>
      <c r="E10" s="12">
        <v>1</v>
      </c>
      <c r="F10" s="8">
        <v>1.22</v>
      </c>
      <c r="G10" s="12">
        <v>1</v>
      </c>
      <c r="H10" s="8">
        <v>1.33</v>
      </c>
      <c r="I10" s="12">
        <v>0</v>
      </c>
    </row>
    <row r="11" spans="2:9" ht="15" customHeight="1" x14ac:dyDescent="0.2">
      <c r="B11" t="s">
        <v>196</v>
      </c>
      <c r="C11" s="12">
        <v>32</v>
      </c>
      <c r="D11" s="8">
        <v>19.16</v>
      </c>
      <c r="E11" s="12">
        <v>16</v>
      </c>
      <c r="F11" s="8">
        <v>19.510000000000002</v>
      </c>
      <c r="G11" s="12">
        <v>16</v>
      </c>
      <c r="H11" s="8">
        <v>21.33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0.6</v>
      </c>
      <c r="E12" s="12">
        <v>0</v>
      </c>
      <c r="F12" s="8">
        <v>0</v>
      </c>
      <c r="G12" s="12">
        <v>1</v>
      </c>
      <c r="H12" s="8">
        <v>1.33</v>
      </c>
      <c r="I12" s="12">
        <v>0</v>
      </c>
    </row>
    <row r="13" spans="2:9" ht="15" customHeight="1" x14ac:dyDescent="0.2">
      <c r="B13" t="s">
        <v>198</v>
      </c>
      <c r="C13" s="12">
        <v>8</v>
      </c>
      <c r="D13" s="8">
        <v>4.79</v>
      </c>
      <c r="E13" s="12">
        <v>2</v>
      </c>
      <c r="F13" s="8">
        <v>2.44</v>
      </c>
      <c r="G13" s="12">
        <v>5</v>
      </c>
      <c r="H13" s="8">
        <v>6.67</v>
      </c>
      <c r="I13" s="12">
        <v>0</v>
      </c>
    </row>
    <row r="14" spans="2:9" ht="15" customHeight="1" x14ac:dyDescent="0.2">
      <c r="B14" t="s">
        <v>199</v>
      </c>
      <c r="C14" s="12">
        <v>6</v>
      </c>
      <c r="D14" s="8">
        <v>3.59</v>
      </c>
      <c r="E14" s="12">
        <v>2</v>
      </c>
      <c r="F14" s="8">
        <v>2.44</v>
      </c>
      <c r="G14" s="12">
        <v>3</v>
      </c>
      <c r="H14" s="8">
        <v>4</v>
      </c>
      <c r="I14" s="12">
        <v>0</v>
      </c>
    </row>
    <row r="15" spans="2:9" ht="15" customHeight="1" x14ac:dyDescent="0.2">
      <c r="B15" t="s">
        <v>200</v>
      </c>
      <c r="C15" s="12">
        <v>44</v>
      </c>
      <c r="D15" s="8">
        <v>26.35</v>
      </c>
      <c r="E15" s="12">
        <v>34</v>
      </c>
      <c r="F15" s="8">
        <v>41.46</v>
      </c>
      <c r="G15" s="12">
        <v>10</v>
      </c>
      <c r="H15" s="8">
        <v>13.33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8.3800000000000008</v>
      </c>
      <c r="E16" s="12">
        <v>11</v>
      </c>
      <c r="F16" s="8">
        <v>13.41</v>
      </c>
      <c r="G16" s="12">
        <v>2</v>
      </c>
      <c r="H16" s="8">
        <v>2.67</v>
      </c>
      <c r="I16" s="12">
        <v>1</v>
      </c>
    </row>
    <row r="17" spans="2:9" ht="15" customHeight="1" x14ac:dyDescent="0.2">
      <c r="B17" t="s">
        <v>202</v>
      </c>
      <c r="C17" s="12">
        <v>6</v>
      </c>
      <c r="D17" s="8">
        <v>3.59</v>
      </c>
      <c r="E17" s="12">
        <v>3</v>
      </c>
      <c r="F17" s="8">
        <v>3.66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12</v>
      </c>
      <c r="D18" s="8">
        <v>7.19</v>
      </c>
      <c r="E18" s="12">
        <v>3</v>
      </c>
      <c r="F18" s="8">
        <v>3.66</v>
      </c>
      <c r="G18" s="12">
        <v>6</v>
      </c>
      <c r="H18" s="8">
        <v>8</v>
      </c>
      <c r="I18" s="12">
        <v>1</v>
      </c>
    </row>
    <row r="19" spans="2:9" ht="15" customHeight="1" x14ac:dyDescent="0.2">
      <c r="B19" t="s">
        <v>204</v>
      </c>
      <c r="C19" s="12">
        <v>7</v>
      </c>
      <c r="D19" s="8">
        <v>4.1900000000000004</v>
      </c>
      <c r="E19" s="12">
        <v>4</v>
      </c>
      <c r="F19" s="8">
        <v>4.88</v>
      </c>
      <c r="G19" s="12">
        <v>2</v>
      </c>
      <c r="H19" s="8">
        <v>2.67</v>
      </c>
      <c r="I19" s="12">
        <v>0</v>
      </c>
    </row>
    <row r="20" spans="2:9" ht="15" customHeight="1" x14ac:dyDescent="0.2">
      <c r="B20" s="9" t="s">
        <v>529</v>
      </c>
      <c r="C20" s="12">
        <f>SUM(LTBL_01635[総数／事業所数])</f>
        <v>167</v>
      </c>
      <c r="E20" s="12">
        <f>SUBTOTAL(109,LTBL_01635[個人／事業所数])</f>
        <v>82</v>
      </c>
      <c r="G20" s="12">
        <f>SUBTOTAL(109,LTBL_01635[法人／事業所数])</f>
        <v>75</v>
      </c>
      <c r="I20" s="12">
        <f>SUBTOTAL(109,LTBL_01635[法人以外の団体／事業所数])</f>
        <v>2</v>
      </c>
    </row>
    <row r="21" spans="2:9" ht="15" customHeight="1" x14ac:dyDescent="0.2">
      <c r="E21" s="11">
        <f>LTBL_01635[[#Totals],[個人／事業所数]]/LTBL_01635[[#Totals],[総数／事業所数]]</f>
        <v>0.49101796407185627</v>
      </c>
      <c r="G21" s="11">
        <f>LTBL_01635[[#Totals],[法人／事業所数]]/LTBL_01635[[#Totals],[総数／事業所数]]</f>
        <v>0.44910179640718562</v>
      </c>
      <c r="I21" s="11">
        <f>LTBL_01635[[#Totals],[法人以外の団体／事業所数]]/LTBL_01635[[#Totals],[総数／事業所数]]</f>
        <v>1.1976047904191617E-2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29</v>
      </c>
      <c r="D24" s="8">
        <v>17.37</v>
      </c>
      <c r="E24" s="12">
        <v>24</v>
      </c>
      <c r="F24" s="8">
        <v>29.27</v>
      </c>
      <c r="G24" s="12">
        <v>5</v>
      </c>
      <c r="H24" s="8">
        <v>6.67</v>
      </c>
      <c r="I24" s="12">
        <v>0</v>
      </c>
    </row>
    <row r="25" spans="2:9" ht="15" customHeight="1" x14ac:dyDescent="0.2">
      <c r="B25" t="s">
        <v>223</v>
      </c>
      <c r="C25" s="12">
        <v>11</v>
      </c>
      <c r="D25" s="8">
        <v>6.59</v>
      </c>
      <c r="E25" s="12">
        <v>5</v>
      </c>
      <c r="F25" s="8">
        <v>6.1</v>
      </c>
      <c r="G25" s="12">
        <v>6</v>
      </c>
      <c r="H25" s="8">
        <v>8</v>
      </c>
      <c r="I25" s="12">
        <v>0</v>
      </c>
    </row>
    <row r="26" spans="2:9" ht="15" customHeight="1" x14ac:dyDescent="0.2">
      <c r="B26" t="s">
        <v>228</v>
      </c>
      <c r="C26" s="12">
        <v>11</v>
      </c>
      <c r="D26" s="8">
        <v>6.59</v>
      </c>
      <c r="E26" s="12">
        <v>10</v>
      </c>
      <c r="F26" s="8">
        <v>12.2</v>
      </c>
      <c r="G26" s="12">
        <v>1</v>
      </c>
      <c r="H26" s="8">
        <v>1.33</v>
      </c>
      <c r="I26" s="12">
        <v>0</v>
      </c>
    </row>
    <row r="27" spans="2:9" ht="15" customHeight="1" x14ac:dyDescent="0.2">
      <c r="B27" t="s">
        <v>243</v>
      </c>
      <c r="C27" s="12">
        <v>10</v>
      </c>
      <c r="D27" s="8">
        <v>5.99</v>
      </c>
      <c r="E27" s="12">
        <v>9</v>
      </c>
      <c r="F27" s="8">
        <v>10.98</v>
      </c>
      <c r="G27" s="12">
        <v>1</v>
      </c>
      <c r="H27" s="8">
        <v>1.33</v>
      </c>
      <c r="I27" s="12">
        <v>0</v>
      </c>
    </row>
    <row r="28" spans="2:9" ht="15" customHeight="1" x14ac:dyDescent="0.2">
      <c r="B28" t="s">
        <v>213</v>
      </c>
      <c r="C28" s="12">
        <v>9</v>
      </c>
      <c r="D28" s="8">
        <v>5.39</v>
      </c>
      <c r="E28" s="12">
        <v>1</v>
      </c>
      <c r="F28" s="8">
        <v>1.22</v>
      </c>
      <c r="G28" s="12">
        <v>8</v>
      </c>
      <c r="H28" s="8">
        <v>10.67</v>
      </c>
      <c r="I28" s="12">
        <v>0</v>
      </c>
    </row>
    <row r="29" spans="2:9" ht="15" customHeight="1" x14ac:dyDescent="0.2">
      <c r="B29" t="s">
        <v>221</v>
      </c>
      <c r="C29" s="12">
        <v>9</v>
      </c>
      <c r="D29" s="8">
        <v>5.39</v>
      </c>
      <c r="E29" s="12">
        <v>6</v>
      </c>
      <c r="F29" s="8">
        <v>7.32</v>
      </c>
      <c r="G29" s="12">
        <v>3</v>
      </c>
      <c r="H29" s="8">
        <v>4</v>
      </c>
      <c r="I29" s="12">
        <v>0</v>
      </c>
    </row>
    <row r="30" spans="2:9" ht="15" customHeight="1" x14ac:dyDescent="0.2">
      <c r="B30" t="s">
        <v>232</v>
      </c>
      <c r="C30" s="12">
        <v>8</v>
      </c>
      <c r="D30" s="8">
        <v>4.79</v>
      </c>
      <c r="E30" s="12">
        <v>0</v>
      </c>
      <c r="F30" s="8">
        <v>0</v>
      </c>
      <c r="G30" s="12">
        <v>5</v>
      </c>
      <c r="H30" s="8">
        <v>6.67</v>
      </c>
      <c r="I30" s="12">
        <v>1</v>
      </c>
    </row>
    <row r="31" spans="2:9" ht="15" customHeight="1" x14ac:dyDescent="0.2">
      <c r="B31" t="s">
        <v>230</v>
      </c>
      <c r="C31" s="12">
        <v>6</v>
      </c>
      <c r="D31" s="8">
        <v>3.59</v>
      </c>
      <c r="E31" s="12">
        <v>3</v>
      </c>
      <c r="F31" s="8">
        <v>3.66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265</v>
      </c>
      <c r="C32" s="12">
        <v>5</v>
      </c>
      <c r="D32" s="8">
        <v>2.99</v>
      </c>
      <c r="E32" s="12">
        <v>0</v>
      </c>
      <c r="F32" s="8">
        <v>0</v>
      </c>
      <c r="G32" s="12">
        <v>5</v>
      </c>
      <c r="H32" s="8">
        <v>6.67</v>
      </c>
      <c r="I32" s="12">
        <v>0</v>
      </c>
    </row>
    <row r="33" spans="2:9" ht="15" customHeight="1" x14ac:dyDescent="0.2">
      <c r="B33" t="s">
        <v>224</v>
      </c>
      <c r="C33" s="12">
        <v>5</v>
      </c>
      <c r="D33" s="8">
        <v>2.99</v>
      </c>
      <c r="E33" s="12">
        <v>1</v>
      </c>
      <c r="F33" s="8">
        <v>1.22</v>
      </c>
      <c r="G33" s="12">
        <v>3</v>
      </c>
      <c r="H33" s="8">
        <v>4</v>
      </c>
      <c r="I33" s="12">
        <v>0</v>
      </c>
    </row>
    <row r="34" spans="2:9" ht="15" customHeight="1" x14ac:dyDescent="0.2">
      <c r="B34" t="s">
        <v>239</v>
      </c>
      <c r="C34" s="12">
        <v>5</v>
      </c>
      <c r="D34" s="8">
        <v>2.99</v>
      </c>
      <c r="E34" s="12">
        <v>1</v>
      </c>
      <c r="F34" s="8">
        <v>1.22</v>
      </c>
      <c r="G34" s="12">
        <v>4</v>
      </c>
      <c r="H34" s="8">
        <v>5.33</v>
      </c>
      <c r="I34" s="12">
        <v>0</v>
      </c>
    </row>
    <row r="35" spans="2:9" ht="15" customHeight="1" x14ac:dyDescent="0.2">
      <c r="B35" t="s">
        <v>215</v>
      </c>
      <c r="C35" s="12">
        <v>4</v>
      </c>
      <c r="D35" s="8">
        <v>2.4</v>
      </c>
      <c r="E35" s="12">
        <v>2</v>
      </c>
      <c r="F35" s="8">
        <v>2.44</v>
      </c>
      <c r="G35" s="12">
        <v>2</v>
      </c>
      <c r="H35" s="8">
        <v>2.67</v>
      </c>
      <c r="I35" s="12">
        <v>0</v>
      </c>
    </row>
    <row r="36" spans="2:9" ht="15" customHeight="1" x14ac:dyDescent="0.2">
      <c r="B36" t="s">
        <v>226</v>
      </c>
      <c r="C36" s="12">
        <v>4</v>
      </c>
      <c r="D36" s="8">
        <v>2.4</v>
      </c>
      <c r="E36" s="12">
        <v>1</v>
      </c>
      <c r="F36" s="8">
        <v>1.22</v>
      </c>
      <c r="G36" s="12">
        <v>2</v>
      </c>
      <c r="H36" s="8">
        <v>2.67</v>
      </c>
      <c r="I36" s="12">
        <v>0</v>
      </c>
    </row>
    <row r="37" spans="2:9" ht="15" customHeight="1" x14ac:dyDescent="0.2">
      <c r="B37" t="s">
        <v>231</v>
      </c>
      <c r="C37" s="12">
        <v>4</v>
      </c>
      <c r="D37" s="8">
        <v>2.4</v>
      </c>
      <c r="E37" s="12">
        <v>3</v>
      </c>
      <c r="F37" s="8">
        <v>3.66</v>
      </c>
      <c r="G37" s="12">
        <v>1</v>
      </c>
      <c r="H37" s="8">
        <v>1.33</v>
      </c>
      <c r="I37" s="12">
        <v>0</v>
      </c>
    </row>
    <row r="38" spans="2:9" ht="15" customHeight="1" x14ac:dyDescent="0.2">
      <c r="B38" t="s">
        <v>240</v>
      </c>
      <c r="C38" s="12">
        <v>4</v>
      </c>
      <c r="D38" s="8">
        <v>2.4</v>
      </c>
      <c r="E38" s="12">
        <v>4</v>
      </c>
      <c r="F38" s="8">
        <v>4.88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241</v>
      </c>
      <c r="C39" s="12">
        <v>3</v>
      </c>
      <c r="D39" s="8">
        <v>1.8</v>
      </c>
      <c r="E39" s="12">
        <v>0</v>
      </c>
      <c r="F39" s="8">
        <v>0</v>
      </c>
      <c r="G39" s="12">
        <v>3</v>
      </c>
      <c r="H39" s="8">
        <v>4</v>
      </c>
      <c r="I39" s="12">
        <v>0</v>
      </c>
    </row>
    <row r="40" spans="2:9" ht="15" customHeight="1" x14ac:dyDescent="0.2">
      <c r="B40" t="s">
        <v>254</v>
      </c>
      <c r="C40" s="12">
        <v>3</v>
      </c>
      <c r="D40" s="8">
        <v>1.8</v>
      </c>
      <c r="E40" s="12">
        <v>0</v>
      </c>
      <c r="F40" s="8">
        <v>0</v>
      </c>
      <c r="G40" s="12">
        <v>3</v>
      </c>
      <c r="H40" s="8">
        <v>4</v>
      </c>
      <c r="I40" s="12">
        <v>0</v>
      </c>
    </row>
    <row r="41" spans="2:9" ht="15" customHeight="1" x14ac:dyDescent="0.2">
      <c r="B41" t="s">
        <v>277</v>
      </c>
      <c r="C41" s="12">
        <v>3</v>
      </c>
      <c r="D41" s="8">
        <v>1.8</v>
      </c>
      <c r="E41" s="12">
        <v>0</v>
      </c>
      <c r="F41" s="8">
        <v>0</v>
      </c>
      <c r="G41" s="12">
        <v>3</v>
      </c>
      <c r="H41" s="8">
        <v>4</v>
      </c>
      <c r="I41" s="12">
        <v>0</v>
      </c>
    </row>
    <row r="42" spans="2:9" ht="15" customHeight="1" x14ac:dyDescent="0.2">
      <c r="B42" t="s">
        <v>216</v>
      </c>
      <c r="C42" s="12">
        <v>3</v>
      </c>
      <c r="D42" s="8">
        <v>1.8</v>
      </c>
      <c r="E42" s="12">
        <v>1</v>
      </c>
      <c r="F42" s="8">
        <v>1.22</v>
      </c>
      <c r="G42" s="12">
        <v>2</v>
      </c>
      <c r="H42" s="8">
        <v>2.67</v>
      </c>
      <c r="I42" s="12">
        <v>0</v>
      </c>
    </row>
    <row r="43" spans="2:9" ht="15" customHeight="1" x14ac:dyDescent="0.2">
      <c r="B43" t="s">
        <v>220</v>
      </c>
      <c r="C43" s="12">
        <v>3</v>
      </c>
      <c r="D43" s="8">
        <v>1.8</v>
      </c>
      <c r="E43" s="12">
        <v>2</v>
      </c>
      <c r="F43" s="8">
        <v>2.44</v>
      </c>
      <c r="G43" s="12">
        <v>1</v>
      </c>
      <c r="H43" s="8">
        <v>1.33</v>
      </c>
      <c r="I43" s="12">
        <v>0</v>
      </c>
    </row>
    <row r="44" spans="2:9" ht="15" customHeight="1" x14ac:dyDescent="0.2">
      <c r="B44" t="s">
        <v>222</v>
      </c>
      <c r="C44" s="12">
        <v>3</v>
      </c>
      <c r="D44" s="8">
        <v>1.8</v>
      </c>
      <c r="E44" s="12">
        <v>2</v>
      </c>
      <c r="F44" s="8">
        <v>2.44</v>
      </c>
      <c r="G44" s="12">
        <v>1</v>
      </c>
      <c r="H44" s="8">
        <v>1.33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301</v>
      </c>
      <c r="C48" s="12">
        <v>8</v>
      </c>
      <c r="D48" s="8">
        <v>4.79</v>
      </c>
      <c r="E48" s="12">
        <v>8</v>
      </c>
      <c r="F48" s="8">
        <v>9.76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339</v>
      </c>
      <c r="C49" s="12">
        <v>7</v>
      </c>
      <c r="D49" s="8">
        <v>4.1900000000000004</v>
      </c>
      <c r="E49" s="12">
        <v>7</v>
      </c>
      <c r="F49" s="8">
        <v>8.5399999999999991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334</v>
      </c>
      <c r="C50" s="12">
        <v>6</v>
      </c>
      <c r="D50" s="8">
        <v>3.59</v>
      </c>
      <c r="E50" s="12">
        <v>4</v>
      </c>
      <c r="F50" s="8">
        <v>4.88</v>
      </c>
      <c r="G50" s="12">
        <v>2</v>
      </c>
      <c r="H50" s="8">
        <v>2.67</v>
      </c>
      <c r="I50" s="12">
        <v>0</v>
      </c>
    </row>
    <row r="51" spans="2:9" ht="15" customHeight="1" x14ac:dyDescent="0.2">
      <c r="B51" t="s">
        <v>300</v>
      </c>
      <c r="C51" s="12">
        <v>6</v>
      </c>
      <c r="D51" s="8">
        <v>3.59</v>
      </c>
      <c r="E51" s="12">
        <v>6</v>
      </c>
      <c r="F51" s="8">
        <v>7.32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303</v>
      </c>
      <c r="C52" s="12">
        <v>6</v>
      </c>
      <c r="D52" s="8">
        <v>3.59</v>
      </c>
      <c r="E52" s="12">
        <v>6</v>
      </c>
      <c r="F52" s="8">
        <v>7.32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387</v>
      </c>
      <c r="C53" s="12">
        <v>5</v>
      </c>
      <c r="D53" s="8">
        <v>2.99</v>
      </c>
      <c r="E53" s="12">
        <v>0</v>
      </c>
      <c r="F53" s="8">
        <v>0</v>
      </c>
      <c r="G53" s="12">
        <v>5</v>
      </c>
      <c r="H53" s="8">
        <v>6.67</v>
      </c>
      <c r="I53" s="12">
        <v>0</v>
      </c>
    </row>
    <row r="54" spans="2:9" ht="15" customHeight="1" x14ac:dyDescent="0.2">
      <c r="B54" t="s">
        <v>329</v>
      </c>
      <c r="C54" s="12">
        <v>5</v>
      </c>
      <c r="D54" s="8">
        <v>2.99</v>
      </c>
      <c r="E54" s="12">
        <v>5</v>
      </c>
      <c r="F54" s="8">
        <v>6.1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297</v>
      </c>
      <c r="C55" s="12">
        <v>5</v>
      </c>
      <c r="D55" s="8">
        <v>2.99</v>
      </c>
      <c r="E55" s="12">
        <v>1</v>
      </c>
      <c r="F55" s="8">
        <v>1.22</v>
      </c>
      <c r="G55" s="12">
        <v>3</v>
      </c>
      <c r="H55" s="8">
        <v>4</v>
      </c>
      <c r="I55" s="12">
        <v>0</v>
      </c>
    </row>
    <row r="56" spans="2:9" ht="15" customHeight="1" x14ac:dyDescent="0.2">
      <c r="B56" t="s">
        <v>289</v>
      </c>
      <c r="C56" s="12">
        <v>4</v>
      </c>
      <c r="D56" s="8">
        <v>2.4</v>
      </c>
      <c r="E56" s="12">
        <v>0</v>
      </c>
      <c r="F56" s="8">
        <v>0</v>
      </c>
      <c r="G56" s="12">
        <v>4</v>
      </c>
      <c r="H56" s="8">
        <v>5.33</v>
      </c>
      <c r="I56" s="12">
        <v>0</v>
      </c>
    </row>
    <row r="57" spans="2:9" ht="15" customHeight="1" x14ac:dyDescent="0.2">
      <c r="B57" t="s">
        <v>292</v>
      </c>
      <c r="C57" s="12">
        <v>4</v>
      </c>
      <c r="D57" s="8">
        <v>2.4</v>
      </c>
      <c r="E57" s="12">
        <v>1</v>
      </c>
      <c r="F57" s="8">
        <v>1.22</v>
      </c>
      <c r="G57" s="12">
        <v>3</v>
      </c>
      <c r="H57" s="8">
        <v>4</v>
      </c>
      <c r="I57" s="12">
        <v>0</v>
      </c>
    </row>
    <row r="58" spans="2:9" ht="15" customHeight="1" x14ac:dyDescent="0.2">
      <c r="B58" t="s">
        <v>330</v>
      </c>
      <c r="C58" s="12">
        <v>4</v>
      </c>
      <c r="D58" s="8">
        <v>2.4</v>
      </c>
      <c r="E58" s="12">
        <v>1</v>
      </c>
      <c r="F58" s="8">
        <v>1.22</v>
      </c>
      <c r="G58" s="12">
        <v>3</v>
      </c>
      <c r="H58" s="8">
        <v>4</v>
      </c>
      <c r="I58" s="12">
        <v>0</v>
      </c>
    </row>
    <row r="59" spans="2:9" ht="15" customHeight="1" x14ac:dyDescent="0.2">
      <c r="B59" t="s">
        <v>325</v>
      </c>
      <c r="C59" s="12">
        <v>4</v>
      </c>
      <c r="D59" s="8">
        <v>2.4</v>
      </c>
      <c r="E59" s="12">
        <v>0</v>
      </c>
      <c r="F59" s="8">
        <v>0</v>
      </c>
      <c r="G59" s="12">
        <v>4</v>
      </c>
      <c r="H59" s="8">
        <v>5.33</v>
      </c>
      <c r="I59" s="12">
        <v>0</v>
      </c>
    </row>
    <row r="60" spans="2:9" ht="15" customHeight="1" x14ac:dyDescent="0.2">
      <c r="B60" t="s">
        <v>304</v>
      </c>
      <c r="C60" s="12">
        <v>4</v>
      </c>
      <c r="D60" s="8">
        <v>2.4</v>
      </c>
      <c r="E60" s="12">
        <v>4</v>
      </c>
      <c r="F60" s="8">
        <v>4.88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347</v>
      </c>
      <c r="C61" s="12">
        <v>4</v>
      </c>
      <c r="D61" s="8">
        <v>2.4</v>
      </c>
      <c r="E61" s="12">
        <v>0</v>
      </c>
      <c r="F61" s="8">
        <v>0</v>
      </c>
      <c r="G61" s="12">
        <v>4</v>
      </c>
      <c r="H61" s="8">
        <v>5.33</v>
      </c>
      <c r="I61" s="12">
        <v>0</v>
      </c>
    </row>
    <row r="62" spans="2:9" ht="15" customHeight="1" x14ac:dyDescent="0.2">
      <c r="B62" t="s">
        <v>307</v>
      </c>
      <c r="C62" s="12">
        <v>4</v>
      </c>
      <c r="D62" s="8">
        <v>2.4</v>
      </c>
      <c r="E62" s="12">
        <v>4</v>
      </c>
      <c r="F62" s="8">
        <v>4.88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290</v>
      </c>
      <c r="C63" s="12">
        <v>3</v>
      </c>
      <c r="D63" s="8">
        <v>1.8</v>
      </c>
      <c r="E63" s="12">
        <v>1</v>
      </c>
      <c r="F63" s="8">
        <v>1.22</v>
      </c>
      <c r="G63" s="12">
        <v>2</v>
      </c>
      <c r="H63" s="8">
        <v>2.67</v>
      </c>
      <c r="I63" s="12">
        <v>0</v>
      </c>
    </row>
    <row r="64" spans="2:9" ht="15" customHeight="1" x14ac:dyDescent="0.2">
      <c r="B64" t="s">
        <v>314</v>
      </c>
      <c r="C64" s="12">
        <v>3</v>
      </c>
      <c r="D64" s="8">
        <v>1.8</v>
      </c>
      <c r="E64" s="12">
        <v>2</v>
      </c>
      <c r="F64" s="8">
        <v>2.44</v>
      </c>
      <c r="G64" s="12">
        <v>1</v>
      </c>
      <c r="H64" s="8">
        <v>1.33</v>
      </c>
      <c r="I64" s="12">
        <v>0</v>
      </c>
    </row>
    <row r="65" spans="2:9" ht="15" customHeight="1" x14ac:dyDescent="0.2">
      <c r="B65" t="s">
        <v>299</v>
      </c>
      <c r="C65" s="12">
        <v>3</v>
      </c>
      <c r="D65" s="8">
        <v>1.8</v>
      </c>
      <c r="E65" s="12">
        <v>3</v>
      </c>
      <c r="F65" s="8">
        <v>3.66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302</v>
      </c>
      <c r="C66" s="12">
        <v>3</v>
      </c>
      <c r="D66" s="8">
        <v>1.8</v>
      </c>
      <c r="E66" s="12">
        <v>2</v>
      </c>
      <c r="F66" s="8">
        <v>2.44</v>
      </c>
      <c r="G66" s="12">
        <v>1</v>
      </c>
      <c r="H66" s="8">
        <v>1.33</v>
      </c>
      <c r="I66" s="12">
        <v>0</v>
      </c>
    </row>
    <row r="67" spans="2:9" ht="15" customHeight="1" x14ac:dyDescent="0.2">
      <c r="B67" t="s">
        <v>340</v>
      </c>
      <c r="C67" s="12">
        <v>3</v>
      </c>
      <c r="D67" s="8">
        <v>1.8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3E427-476A-4AEB-BED8-8B5B82BB3BE5}">
  <sheetPr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35</v>
      </c>
      <c r="D6" s="8">
        <v>14</v>
      </c>
      <c r="E6" s="12">
        <v>12</v>
      </c>
      <c r="F6" s="8">
        <v>8.6999999999999993</v>
      </c>
      <c r="G6" s="12">
        <v>23</v>
      </c>
      <c r="H6" s="8">
        <v>20.91</v>
      </c>
      <c r="I6" s="12">
        <v>0</v>
      </c>
    </row>
    <row r="7" spans="2:9" ht="15" customHeight="1" x14ac:dyDescent="0.2">
      <c r="B7" t="s">
        <v>192</v>
      </c>
      <c r="C7" s="12">
        <v>19</v>
      </c>
      <c r="D7" s="8">
        <v>7.6</v>
      </c>
      <c r="E7" s="12">
        <v>4</v>
      </c>
      <c r="F7" s="8">
        <v>2.9</v>
      </c>
      <c r="G7" s="12">
        <v>15</v>
      </c>
      <c r="H7" s="8">
        <v>13.64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0.4</v>
      </c>
      <c r="E8" s="12">
        <v>0</v>
      </c>
      <c r="F8" s="8">
        <v>0</v>
      </c>
      <c r="G8" s="12">
        <v>1</v>
      </c>
      <c r="H8" s="8">
        <v>0.91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0.4</v>
      </c>
      <c r="E9" s="12">
        <v>0</v>
      </c>
      <c r="F9" s="8">
        <v>0</v>
      </c>
      <c r="G9" s="12">
        <v>1</v>
      </c>
      <c r="H9" s="8">
        <v>0.91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1.6</v>
      </c>
      <c r="E10" s="12">
        <v>1</v>
      </c>
      <c r="F10" s="8">
        <v>0.72</v>
      </c>
      <c r="G10" s="12">
        <v>3</v>
      </c>
      <c r="H10" s="8">
        <v>2.73</v>
      </c>
      <c r="I10" s="12">
        <v>0</v>
      </c>
    </row>
    <row r="11" spans="2:9" ht="15" customHeight="1" x14ac:dyDescent="0.2">
      <c r="B11" t="s">
        <v>196</v>
      </c>
      <c r="C11" s="12">
        <v>57</v>
      </c>
      <c r="D11" s="8">
        <v>22.8</v>
      </c>
      <c r="E11" s="12">
        <v>24</v>
      </c>
      <c r="F11" s="8">
        <v>17.39</v>
      </c>
      <c r="G11" s="12">
        <v>33</v>
      </c>
      <c r="H11" s="8">
        <v>30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20</v>
      </c>
      <c r="D13" s="8">
        <v>8</v>
      </c>
      <c r="E13" s="12">
        <v>12</v>
      </c>
      <c r="F13" s="8">
        <v>8.6999999999999993</v>
      </c>
      <c r="G13" s="12">
        <v>7</v>
      </c>
      <c r="H13" s="8">
        <v>6.36</v>
      </c>
      <c r="I13" s="12">
        <v>0</v>
      </c>
    </row>
    <row r="14" spans="2:9" ht="15" customHeight="1" x14ac:dyDescent="0.2">
      <c r="B14" t="s">
        <v>199</v>
      </c>
      <c r="C14" s="12">
        <v>8</v>
      </c>
      <c r="D14" s="8">
        <v>3.2</v>
      </c>
      <c r="E14" s="12">
        <v>6</v>
      </c>
      <c r="F14" s="8">
        <v>4.3499999999999996</v>
      </c>
      <c r="G14" s="12">
        <v>2</v>
      </c>
      <c r="H14" s="8">
        <v>1.82</v>
      </c>
      <c r="I14" s="12">
        <v>0</v>
      </c>
    </row>
    <row r="15" spans="2:9" ht="15" customHeight="1" x14ac:dyDescent="0.2">
      <c r="B15" t="s">
        <v>200</v>
      </c>
      <c r="C15" s="12">
        <v>46</v>
      </c>
      <c r="D15" s="8">
        <v>18.399999999999999</v>
      </c>
      <c r="E15" s="12">
        <v>40</v>
      </c>
      <c r="F15" s="8">
        <v>28.99</v>
      </c>
      <c r="G15" s="12">
        <v>6</v>
      </c>
      <c r="H15" s="8">
        <v>5.45</v>
      </c>
      <c r="I15" s="12">
        <v>0</v>
      </c>
    </row>
    <row r="16" spans="2:9" ht="15" customHeight="1" x14ac:dyDescent="0.2">
      <c r="B16" t="s">
        <v>201</v>
      </c>
      <c r="C16" s="12">
        <v>24</v>
      </c>
      <c r="D16" s="8">
        <v>9.6</v>
      </c>
      <c r="E16" s="12">
        <v>20</v>
      </c>
      <c r="F16" s="8">
        <v>14.49</v>
      </c>
      <c r="G16" s="12">
        <v>4</v>
      </c>
      <c r="H16" s="8">
        <v>3.64</v>
      </c>
      <c r="I16" s="12">
        <v>0</v>
      </c>
    </row>
    <row r="17" spans="2:9" ht="15" customHeight="1" x14ac:dyDescent="0.2">
      <c r="B17" t="s">
        <v>202</v>
      </c>
      <c r="C17" s="12">
        <v>8</v>
      </c>
      <c r="D17" s="8">
        <v>3.2</v>
      </c>
      <c r="E17" s="12">
        <v>7</v>
      </c>
      <c r="F17" s="8">
        <v>5.07</v>
      </c>
      <c r="G17" s="12">
        <v>1</v>
      </c>
      <c r="H17" s="8">
        <v>0.91</v>
      </c>
      <c r="I17" s="12">
        <v>0</v>
      </c>
    </row>
    <row r="18" spans="2:9" ht="15" customHeight="1" x14ac:dyDescent="0.2">
      <c r="B18" t="s">
        <v>203</v>
      </c>
      <c r="C18" s="12">
        <v>17</v>
      </c>
      <c r="D18" s="8">
        <v>6.8</v>
      </c>
      <c r="E18" s="12">
        <v>6</v>
      </c>
      <c r="F18" s="8">
        <v>4.3499999999999996</v>
      </c>
      <c r="G18" s="12">
        <v>11</v>
      </c>
      <c r="H18" s="8">
        <v>10</v>
      </c>
      <c r="I18" s="12">
        <v>0</v>
      </c>
    </row>
    <row r="19" spans="2:9" ht="15" customHeight="1" x14ac:dyDescent="0.2">
      <c r="B19" t="s">
        <v>204</v>
      </c>
      <c r="C19" s="12">
        <v>10</v>
      </c>
      <c r="D19" s="8">
        <v>4</v>
      </c>
      <c r="E19" s="12">
        <v>6</v>
      </c>
      <c r="F19" s="8">
        <v>4.3499999999999996</v>
      </c>
      <c r="G19" s="12">
        <v>3</v>
      </c>
      <c r="H19" s="8">
        <v>2.73</v>
      </c>
      <c r="I19" s="12">
        <v>0</v>
      </c>
    </row>
    <row r="20" spans="2:9" ht="15" customHeight="1" x14ac:dyDescent="0.2">
      <c r="B20" s="9" t="s">
        <v>529</v>
      </c>
      <c r="C20" s="12">
        <f>SUM(LTBL_01636[総数／事業所数])</f>
        <v>250</v>
      </c>
      <c r="E20" s="12">
        <f>SUBTOTAL(109,LTBL_01636[個人／事業所数])</f>
        <v>138</v>
      </c>
      <c r="G20" s="12">
        <f>SUBTOTAL(109,LTBL_01636[法人／事業所数])</f>
        <v>110</v>
      </c>
      <c r="I20" s="12">
        <f>SUBTOTAL(109,LTBL_01636[法人以外の団体／事業所数])</f>
        <v>0</v>
      </c>
    </row>
    <row r="21" spans="2:9" ht="15" customHeight="1" x14ac:dyDescent="0.2">
      <c r="E21" s="11">
        <f>LTBL_01636[[#Totals],[個人／事業所数]]/LTBL_01636[[#Totals],[総数／事業所数]]</f>
        <v>0.55200000000000005</v>
      </c>
      <c r="G21" s="11">
        <f>LTBL_01636[[#Totals],[法人／事業所数]]/LTBL_01636[[#Totals],[総数／事業所数]]</f>
        <v>0.44</v>
      </c>
      <c r="I21" s="11">
        <f>LTBL_01636[[#Totals],[法人以外の団体／事業所数]]/LTBL_01636[[#Totals],[総数／事業所数]]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32</v>
      </c>
      <c r="D24" s="8">
        <v>12.8</v>
      </c>
      <c r="E24" s="12">
        <v>30</v>
      </c>
      <c r="F24" s="8">
        <v>21.74</v>
      </c>
      <c r="G24" s="12">
        <v>2</v>
      </c>
      <c r="H24" s="8">
        <v>1.82</v>
      </c>
      <c r="I24" s="12">
        <v>0</v>
      </c>
    </row>
    <row r="25" spans="2:9" ht="15" customHeight="1" x14ac:dyDescent="0.2">
      <c r="B25" t="s">
        <v>223</v>
      </c>
      <c r="C25" s="12">
        <v>25</v>
      </c>
      <c r="D25" s="8">
        <v>10</v>
      </c>
      <c r="E25" s="12">
        <v>11</v>
      </c>
      <c r="F25" s="8">
        <v>7.97</v>
      </c>
      <c r="G25" s="12">
        <v>14</v>
      </c>
      <c r="H25" s="8">
        <v>12.73</v>
      </c>
      <c r="I25" s="12">
        <v>0</v>
      </c>
    </row>
    <row r="26" spans="2:9" ht="15" customHeight="1" x14ac:dyDescent="0.2">
      <c r="B26" t="s">
        <v>228</v>
      </c>
      <c r="C26" s="12">
        <v>23</v>
      </c>
      <c r="D26" s="8">
        <v>9.1999999999999993</v>
      </c>
      <c r="E26" s="12">
        <v>20</v>
      </c>
      <c r="F26" s="8">
        <v>14.49</v>
      </c>
      <c r="G26" s="12">
        <v>3</v>
      </c>
      <c r="H26" s="8">
        <v>2.73</v>
      </c>
      <c r="I26" s="12">
        <v>0</v>
      </c>
    </row>
    <row r="27" spans="2:9" ht="15" customHeight="1" x14ac:dyDescent="0.2">
      <c r="B27" t="s">
        <v>213</v>
      </c>
      <c r="C27" s="12">
        <v>16</v>
      </c>
      <c r="D27" s="8">
        <v>6.4</v>
      </c>
      <c r="E27" s="12">
        <v>2</v>
      </c>
      <c r="F27" s="8">
        <v>1.45</v>
      </c>
      <c r="G27" s="12">
        <v>14</v>
      </c>
      <c r="H27" s="8">
        <v>12.73</v>
      </c>
      <c r="I27" s="12">
        <v>0</v>
      </c>
    </row>
    <row r="28" spans="2:9" ht="15" customHeight="1" x14ac:dyDescent="0.2">
      <c r="B28" t="s">
        <v>224</v>
      </c>
      <c r="C28" s="12">
        <v>15</v>
      </c>
      <c r="D28" s="8">
        <v>6</v>
      </c>
      <c r="E28" s="12">
        <v>10</v>
      </c>
      <c r="F28" s="8">
        <v>7.25</v>
      </c>
      <c r="G28" s="12">
        <v>4</v>
      </c>
      <c r="H28" s="8">
        <v>3.64</v>
      </c>
      <c r="I28" s="12">
        <v>0</v>
      </c>
    </row>
    <row r="29" spans="2:9" ht="15" customHeight="1" x14ac:dyDescent="0.2">
      <c r="B29" t="s">
        <v>221</v>
      </c>
      <c r="C29" s="12">
        <v>14</v>
      </c>
      <c r="D29" s="8">
        <v>5.6</v>
      </c>
      <c r="E29" s="12">
        <v>8</v>
      </c>
      <c r="F29" s="8">
        <v>5.8</v>
      </c>
      <c r="G29" s="12">
        <v>6</v>
      </c>
      <c r="H29" s="8">
        <v>5.45</v>
      </c>
      <c r="I29" s="12">
        <v>0</v>
      </c>
    </row>
    <row r="30" spans="2:9" ht="15" customHeight="1" x14ac:dyDescent="0.2">
      <c r="B30" t="s">
        <v>214</v>
      </c>
      <c r="C30" s="12">
        <v>13</v>
      </c>
      <c r="D30" s="8">
        <v>5.2</v>
      </c>
      <c r="E30" s="12">
        <v>7</v>
      </c>
      <c r="F30" s="8">
        <v>5.07</v>
      </c>
      <c r="G30" s="12">
        <v>6</v>
      </c>
      <c r="H30" s="8">
        <v>5.45</v>
      </c>
      <c r="I30" s="12">
        <v>0</v>
      </c>
    </row>
    <row r="31" spans="2:9" ht="15" customHeight="1" x14ac:dyDescent="0.2">
      <c r="B31" t="s">
        <v>232</v>
      </c>
      <c r="C31" s="12">
        <v>11</v>
      </c>
      <c r="D31" s="8">
        <v>4.4000000000000004</v>
      </c>
      <c r="E31" s="12">
        <v>0</v>
      </c>
      <c r="F31" s="8">
        <v>0</v>
      </c>
      <c r="G31" s="12">
        <v>11</v>
      </c>
      <c r="H31" s="8">
        <v>10</v>
      </c>
      <c r="I31" s="12">
        <v>0</v>
      </c>
    </row>
    <row r="32" spans="2:9" ht="15" customHeight="1" x14ac:dyDescent="0.2">
      <c r="B32" t="s">
        <v>243</v>
      </c>
      <c r="C32" s="12">
        <v>9</v>
      </c>
      <c r="D32" s="8">
        <v>3.6</v>
      </c>
      <c r="E32" s="12">
        <v>9</v>
      </c>
      <c r="F32" s="8">
        <v>6.52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230</v>
      </c>
      <c r="C33" s="12">
        <v>8</v>
      </c>
      <c r="D33" s="8">
        <v>3.2</v>
      </c>
      <c r="E33" s="12">
        <v>7</v>
      </c>
      <c r="F33" s="8">
        <v>5.07</v>
      </c>
      <c r="G33" s="12">
        <v>1</v>
      </c>
      <c r="H33" s="8">
        <v>0.91</v>
      </c>
      <c r="I33" s="12">
        <v>0</v>
      </c>
    </row>
    <row r="34" spans="2:9" ht="15" customHeight="1" x14ac:dyDescent="0.2">
      <c r="B34" t="s">
        <v>215</v>
      </c>
      <c r="C34" s="12">
        <v>6</v>
      </c>
      <c r="D34" s="8">
        <v>2.4</v>
      </c>
      <c r="E34" s="12">
        <v>3</v>
      </c>
      <c r="F34" s="8">
        <v>2.17</v>
      </c>
      <c r="G34" s="12">
        <v>3</v>
      </c>
      <c r="H34" s="8">
        <v>2.73</v>
      </c>
      <c r="I34" s="12">
        <v>0</v>
      </c>
    </row>
    <row r="35" spans="2:9" ht="15" customHeight="1" x14ac:dyDescent="0.2">
      <c r="B35" t="s">
        <v>231</v>
      </c>
      <c r="C35" s="12">
        <v>6</v>
      </c>
      <c r="D35" s="8">
        <v>2.4</v>
      </c>
      <c r="E35" s="12">
        <v>6</v>
      </c>
      <c r="F35" s="8">
        <v>4.3499999999999996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241</v>
      </c>
      <c r="C36" s="12">
        <v>5</v>
      </c>
      <c r="D36" s="8">
        <v>2</v>
      </c>
      <c r="E36" s="12">
        <v>1</v>
      </c>
      <c r="F36" s="8">
        <v>0.72</v>
      </c>
      <c r="G36" s="12">
        <v>4</v>
      </c>
      <c r="H36" s="8">
        <v>3.64</v>
      </c>
      <c r="I36" s="12">
        <v>0</v>
      </c>
    </row>
    <row r="37" spans="2:9" ht="15" customHeight="1" x14ac:dyDescent="0.2">
      <c r="B37" t="s">
        <v>220</v>
      </c>
      <c r="C37" s="12">
        <v>5</v>
      </c>
      <c r="D37" s="8">
        <v>2</v>
      </c>
      <c r="E37" s="12">
        <v>1</v>
      </c>
      <c r="F37" s="8">
        <v>0.72</v>
      </c>
      <c r="G37" s="12">
        <v>4</v>
      </c>
      <c r="H37" s="8">
        <v>3.64</v>
      </c>
      <c r="I37" s="12">
        <v>0</v>
      </c>
    </row>
    <row r="38" spans="2:9" ht="15" customHeight="1" x14ac:dyDescent="0.2">
      <c r="B38" t="s">
        <v>222</v>
      </c>
      <c r="C38" s="12">
        <v>5</v>
      </c>
      <c r="D38" s="8">
        <v>2</v>
      </c>
      <c r="E38" s="12">
        <v>1</v>
      </c>
      <c r="F38" s="8">
        <v>0.72</v>
      </c>
      <c r="G38" s="12">
        <v>4</v>
      </c>
      <c r="H38" s="8">
        <v>3.64</v>
      </c>
      <c r="I38" s="12">
        <v>0</v>
      </c>
    </row>
    <row r="39" spans="2:9" ht="15" customHeight="1" x14ac:dyDescent="0.2">
      <c r="B39" t="s">
        <v>246</v>
      </c>
      <c r="C39" s="12">
        <v>5</v>
      </c>
      <c r="D39" s="8">
        <v>2</v>
      </c>
      <c r="E39" s="12">
        <v>2</v>
      </c>
      <c r="F39" s="8">
        <v>1.45</v>
      </c>
      <c r="G39" s="12">
        <v>3</v>
      </c>
      <c r="H39" s="8">
        <v>2.73</v>
      </c>
      <c r="I39" s="12">
        <v>0</v>
      </c>
    </row>
    <row r="40" spans="2:9" ht="15" customHeight="1" x14ac:dyDescent="0.2">
      <c r="B40" t="s">
        <v>226</v>
      </c>
      <c r="C40" s="12">
        <v>5</v>
      </c>
      <c r="D40" s="8">
        <v>2</v>
      </c>
      <c r="E40" s="12">
        <v>4</v>
      </c>
      <c r="F40" s="8">
        <v>2.9</v>
      </c>
      <c r="G40" s="12">
        <v>1</v>
      </c>
      <c r="H40" s="8">
        <v>0.91</v>
      </c>
      <c r="I40" s="12">
        <v>0</v>
      </c>
    </row>
    <row r="41" spans="2:9" ht="15" customHeight="1" x14ac:dyDescent="0.2">
      <c r="B41" t="s">
        <v>239</v>
      </c>
      <c r="C41" s="12">
        <v>5</v>
      </c>
      <c r="D41" s="8">
        <v>2</v>
      </c>
      <c r="E41" s="12">
        <v>1</v>
      </c>
      <c r="F41" s="8">
        <v>0.72</v>
      </c>
      <c r="G41" s="12">
        <v>4</v>
      </c>
      <c r="H41" s="8">
        <v>3.64</v>
      </c>
      <c r="I41" s="12">
        <v>0</v>
      </c>
    </row>
    <row r="42" spans="2:9" ht="15" customHeight="1" x14ac:dyDescent="0.2">
      <c r="B42" t="s">
        <v>253</v>
      </c>
      <c r="C42" s="12">
        <v>4</v>
      </c>
      <c r="D42" s="8">
        <v>1.6</v>
      </c>
      <c r="E42" s="12">
        <v>0</v>
      </c>
      <c r="F42" s="8">
        <v>0</v>
      </c>
      <c r="G42" s="12">
        <v>4</v>
      </c>
      <c r="H42" s="8">
        <v>3.64</v>
      </c>
      <c r="I42" s="12">
        <v>0</v>
      </c>
    </row>
    <row r="43" spans="2:9" ht="15" customHeight="1" x14ac:dyDescent="0.2">
      <c r="B43" t="s">
        <v>240</v>
      </c>
      <c r="C43" s="12">
        <v>4</v>
      </c>
      <c r="D43" s="8">
        <v>1.6</v>
      </c>
      <c r="E43" s="12">
        <v>3</v>
      </c>
      <c r="F43" s="8">
        <v>2.17</v>
      </c>
      <c r="G43" s="12">
        <v>1</v>
      </c>
      <c r="H43" s="8">
        <v>0.91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15</v>
      </c>
      <c r="D47" s="8">
        <v>6</v>
      </c>
      <c r="E47" s="12">
        <v>10</v>
      </c>
      <c r="F47" s="8">
        <v>7.25</v>
      </c>
      <c r="G47" s="12">
        <v>4</v>
      </c>
      <c r="H47" s="8">
        <v>3.64</v>
      </c>
      <c r="I47" s="12">
        <v>0</v>
      </c>
    </row>
    <row r="48" spans="2:9" ht="15" customHeight="1" x14ac:dyDescent="0.2">
      <c r="B48" t="s">
        <v>303</v>
      </c>
      <c r="C48" s="12">
        <v>10</v>
      </c>
      <c r="D48" s="8">
        <v>4</v>
      </c>
      <c r="E48" s="12">
        <v>10</v>
      </c>
      <c r="F48" s="8">
        <v>7.25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304</v>
      </c>
      <c r="C49" s="12">
        <v>9</v>
      </c>
      <c r="D49" s="8">
        <v>3.6</v>
      </c>
      <c r="E49" s="12">
        <v>9</v>
      </c>
      <c r="F49" s="8">
        <v>6.52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328</v>
      </c>
      <c r="C50" s="12">
        <v>8</v>
      </c>
      <c r="D50" s="8">
        <v>3.2</v>
      </c>
      <c r="E50" s="12">
        <v>2</v>
      </c>
      <c r="F50" s="8">
        <v>1.45</v>
      </c>
      <c r="G50" s="12">
        <v>6</v>
      </c>
      <c r="H50" s="8">
        <v>5.45</v>
      </c>
      <c r="I50" s="12">
        <v>0</v>
      </c>
    </row>
    <row r="51" spans="2:9" ht="15" customHeight="1" x14ac:dyDescent="0.2">
      <c r="B51" t="s">
        <v>347</v>
      </c>
      <c r="C51" s="12">
        <v>8</v>
      </c>
      <c r="D51" s="8">
        <v>3.2</v>
      </c>
      <c r="E51" s="12">
        <v>0</v>
      </c>
      <c r="F51" s="8">
        <v>0</v>
      </c>
      <c r="G51" s="12">
        <v>8</v>
      </c>
      <c r="H51" s="8">
        <v>7.27</v>
      </c>
      <c r="I51" s="12">
        <v>0</v>
      </c>
    </row>
    <row r="52" spans="2:9" ht="15" customHeight="1" x14ac:dyDescent="0.2">
      <c r="B52" t="s">
        <v>333</v>
      </c>
      <c r="C52" s="12">
        <v>7</v>
      </c>
      <c r="D52" s="8">
        <v>2.8</v>
      </c>
      <c r="E52" s="12">
        <v>5</v>
      </c>
      <c r="F52" s="8">
        <v>3.62</v>
      </c>
      <c r="G52" s="12">
        <v>2</v>
      </c>
      <c r="H52" s="8">
        <v>1.82</v>
      </c>
      <c r="I52" s="12">
        <v>0</v>
      </c>
    </row>
    <row r="53" spans="2:9" ht="15" customHeight="1" x14ac:dyDescent="0.2">
      <c r="B53" t="s">
        <v>330</v>
      </c>
      <c r="C53" s="12">
        <v>7</v>
      </c>
      <c r="D53" s="8">
        <v>2.8</v>
      </c>
      <c r="E53" s="12">
        <v>1</v>
      </c>
      <c r="F53" s="8">
        <v>0.72</v>
      </c>
      <c r="G53" s="12">
        <v>6</v>
      </c>
      <c r="H53" s="8">
        <v>5.45</v>
      </c>
      <c r="I53" s="12">
        <v>0</v>
      </c>
    </row>
    <row r="54" spans="2:9" ht="15" customHeight="1" x14ac:dyDescent="0.2">
      <c r="B54" t="s">
        <v>339</v>
      </c>
      <c r="C54" s="12">
        <v>7</v>
      </c>
      <c r="D54" s="8">
        <v>2.8</v>
      </c>
      <c r="E54" s="12">
        <v>7</v>
      </c>
      <c r="F54" s="8">
        <v>5.07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300</v>
      </c>
      <c r="C55" s="12">
        <v>7</v>
      </c>
      <c r="D55" s="8">
        <v>2.8</v>
      </c>
      <c r="E55" s="12">
        <v>6</v>
      </c>
      <c r="F55" s="8">
        <v>4.3499999999999996</v>
      </c>
      <c r="G55" s="12">
        <v>1</v>
      </c>
      <c r="H55" s="8">
        <v>0.91</v>
      </c>
      <c r="I55" s="12">
        <v>0</v>
      </c>
    </row>
    <row r="56" spans="2:9" ht="15" customHeight="1" x14ac:dyDescent="0.2">
      <c r="B56" t="s">
        <v>302</v>
      </c>
      <c r="C56" s="12">
        <v>7</v>
      </c>
      <c r="D56" s="8">
        <v>2.8</v>
      </c>
      <c r="E56" s="12">
        <v>7</v>
      </c>
      <c r="F56" s="8">
        <v>5.07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290</v>
      </c>
      <c r="C57" s="12">
        <v>6</v>
      </c>
      <c r="D57" s="8">
        <v>2.4</v>
      </c>
      <c r="E57" s="12">
        <v>3</v>
      </c>
      <c r="F57" s="8">
        <v>2.17</v>
      </c>
      <c r="G57" s="12">
        <v>3</v>
      </c>
      <c r="H57" s="8">
        <v>2.73</v>
      </c>
      <c r="I57" s="12">
        <v>0</v>
      </c>
    </row>
    <row r="58" spans="2:9" ht="15" customHeight="1" x14ac:dyDescent="0.2">
      <c r="B58" t="s">
        <v>301</v>
      </c>
      <c r="C58" s="12">
        <v>6</v>
      </c>
      <c r="D58" s="8">
        <v>2.4</v>
      </c>
      <c r="E58" s="12">
        <v>6</v>
      </c>
      <c r="F58" s="8">
        <v>4.3499999999999996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334</v>
      </c>
      <c r="C59" s="12">
        <v>5</v>
      </c>
      <c r="D59" s="8">
        <v>2</v>
      </c>
      <c r="E59" s="12">
        <v>5</v>
      </c>
      <c r="F59" s="8">
        <v>3.62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325</v>
      </c>
      <c r="C60" s="12">
        <v>5</v>
      </c>
      <c r="D60" s="8">
        <v>2</v>
      </c>
      <c r="E60" s="12">
        <v>1</v>
      </c>
      <c r="F60" s="8">
        <v>0.72</v>
      </c>
      <c r="G60" s="12">
        <v>4</v>
      </c>
      <c r="H60" s="8">
        <v>3.64</v>
      </c>
      <c r="I60" s="12">
        <v>0</v>
      </c>
    </row>
    <row r="61" spans="2:9" ht="15" customHeight="1" x14ac:dyDescent="0.2">
      <c r="B61" t="s">
        <v>306</v>
      </c>
      <c r="C61" s="12">
        <v>5</v>
      </c>
      <c r="D61" s="8">
        <v>2</v>
      </c>
      <c r="E61" s="12">
        <v>5</v>
      </c>
      <c r="F61" s="8">
        <v>3.62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289</v>
      </c>
      <c r="C62" s="12">
        <v>4</v>
      </c>
      <c r="D62" s="8">
        <v>1.6</v>
      </c>
      <c r="E62" s="12">
        <v>0</v>
      </c>
      <c r="F62" s="8">
        <v>0</v>
      </c>
      <c r="G62" s="12">
        <v>4</v>
      </c>
      <c r="H62" s="8">
        <v>3.64</v>
      </c>
      <c r="I62" s="12">
        <v>0</v>
      </c>
    </row>
    <row r="63" spans="2:9" ht="15" customHeight="1" x14ac:dyDescent="0.2">
      <c r="B63" t="s">
        <v>374</v>
      </c>
      <c r="C63" s="12">
        <v>4</v>
      </c>
      <c r="D63" s="8">
        <v>1.6</v>
      </c>
      <c r="E63" s="12">
        <v>0</v>
      </c>
      <c r="F63" s="8">
        <v>0</v>
      </c>
      <c r="G63" s="12">
        <v>4</v>
      </c>
      <c r="H63" s="8">
        <v>3.64</v>
      </c>
      <c r="I63" s="12">
        <v>0</v>
      </c>
    </row>
    <row r="64" spans="2:9" ht="15" customHeight="1" x14ac:dyDescent="0.2">
      <c r="B64" t="s">
        <v>329</v>
      </c>
      <c r="C64" s="12">
        <v>4</v>
      </c>
      <c r="D64" s="8">
        <v>1.6</v>
      </c>
      <c r="E64" s="12">
        <v>4</v>
      </c>
      <c r="F64" s="8">
        <v>2.9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402</v>
      </c>
      <c r="C65" s="12">
        <v>4</v>
      </c>
      <c r="D65" s="8">
        <v>1.6</v>
      </c>
      <c r="E65" s="12">
        <v>3</v>
      </c>
      <c r="F65" s="8">
        <v>2.17</v>
      </c>
      <c r="G65" s="12">
        <v>1</v>
      </c>
      <c r="H65" s="8">
        <v>0.91</v>
      </c>
      <c r="I65" s="12">
        <v>0</v>
      </c>
    </row>
    <row r="66" spans="2:9" ht="15" customHeight="1" x14ac:dyDescent="0.2">
      <c r="B66" t="s">
        <v>337</v>
      </c>
      <c r="C66" s="12">
        <v>4</v>
      </c>
      <c r="D66" s="8">
        <v>1.6</v>
      </c>
      <c r="E66" s="12">
        <v>2</v>
      </c>
      <c r="F66" s="8">
        <v>1.45</v>
      </c>
      <c r="G66" s="12">
        <v>2</v>
      </c>
      <c r="H66" s="8">
        <v>1.82</v>
      </c>
      <c r="I66" s="12">
        <v>0</v>
      </c>
    </row>
    <row r="67" spans="2:9" ht="15" customHeight="1" x14ac:dyDescent="0.2">
      <c r="B67" t="s">
        <v>295</v>
      </c>
      <c r="C67" s="12">
        <v>4</v>
      </c>
      <c r="D67" s="8">
        <v>1.6</v>
      </c>
      <c r="E67" s="12">
        <v>3</v>
      </c>
      <c r="F67" s="8">
        <v>2.17</v>
      </c>
      <c r="G67" s="12">
        <v>1</v>
      </c>
      <c r="H67" s="8">
        <v>0.91</v>
      </c>
      <c r="I67" s="12">
        <v>0</v>
      </c>
    </row>
    <row r="68" spans="2:9" ht="15" customHeight="1" x14ac:dyDescent="0.2">
      <c r="B68" t="s">
        <v>299</v>
      </c>
      <c r="C68" s="12">
        <v>4</v>
      </c>
      <c r="D68" s="8">
        <v>1.6</v>
      </c>
      <c r="E68" s="12">
        <v>4</v>
      </c>
      <c r="F68" s="8">
        <v>2.9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323</v>
      </c>
      <c r="C69" s="12">
        <v>4</v>
      </c>
      <c r="D69" s="8">
        <v>1.6</v>
      </c>
      <c r="E69" s="12">
        <v>1</v>
      </c>
      <c r="F69" s="8">
        <v>0.72</v>
      </c>
      <c r="G69" s="12">
        <v>3</v>
      </c>
      <c r="H69" s="8">
        <v>2.73</v>
      </c>
      <c r="I69" s="12">
        <v>0</v>
      </c>
    </row>
    <row r="70" spans="2:9" ht="15" customHeight="1" x14ac:dyDescent="0.2">
      <c r="B70" t="s">
        <v>305</v>
      </c>
      <c r="C70" s="12">
        <v>4</v>
      </c>
      <c r="D70" s="8">
        <v>1.6</v>
      </c>
      <c r="E70" s="12">
        <v>4</v>
      </c>
      <c r="F70" s="8">
        <v>2.9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307</v>
      </c>
      <c r="C71" s="12">
        <v>4</v>
      </c>
      <c r="D71" s="8">
        <v>1.6</v>
      </c>
      <c r="E71" s="12">
        <v>3</v>
      </c>
      <c r="F71" s="8">
        <v>2.17</v>
      </c>
      <c r="G71" s="12">
        <v>1</v>
      </c>
      <c r="H71" s="8">
        <v>0.91</v>
      </c>
      <c r="I71" s="12">
        <v>0</v>
      </c>
    </row>
    <row r="73" spans="2:9" ht="15" customHeight="1" x14ac:dyDescent="0.2">
      <c r="B7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E161E-7466-491D-B777-F64EBA1C9918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699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49</v>
      </c>
      <c r="D6" s="8">
        <v>14.2</v>
      </c>
      <c r="E6" s="12">
        <v>9</v>
      </c>
      <c r="F6" s="8">
        <v>5.81</v>
      </c>
      <c r="G6" s="12">
        <v>40</v>
      </c>
      <c r="H6" s="8">
        <v>22.1</v>
      </c>
      <c r="I6" s="12">
        <v>0</v>
      </c>
    </row>
    <row r="7" spans="2:9" ht="15" customHeight="1" x14ac:dyDescent="0.2">
      <c r="B7" t="s">
        <v>192</v>
      </c>
      <c r="C7" s="12">
        <v>21</v>
      </c>
      <c r="D7" s="8">
        <v>6.09</v>
      </c>
      <c r="E7" s="12">
        <v>7</v>
      </c>
      <c r="F7" s="8">
        <v>4.5199999999999996</v>
      </c>
      <c r="G7" s="12">
        <v>14</v>
      </c>
      <c r="H7" s="8">
        <v>7.73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0.28999999999999998</v>
      </c>
      <c r="E8" s="12">
        <v>0</v>
      </c>
      <c r="F8" s="8">
        <v>0</v>
      </c>
      <c r="G8" s="12">
        <v>1</v>
      </c>
      <c r="H8" s="8">
        <v>0.55000000000000004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16</v>
      </c>
      <c r="D10" s="8">
        <v>4.6399999999999997</v>
      </c>
      <c r="E10" s="12">
        <v>0</v>
      </c>
      <c r="F10" s="8">
        <v>0</v>
      </c>
      <c r="G10" s="12">
        <v>15</v>
      </c>
      <c r="H10" s="8">
        <v>8.2899999999999991</v>
      </c>
      <c r="I10" s="12">
        <v>0</v>
      </c>
    </row>
    <row r="11" spans="2:9" ht="15" customHeight="1" x14ac:dyDescent="0.2">
      <c r="B11" t="s">
        <v>196</v>
      </c>
      <c r="C11" s="12">
        <v>88</v>
      </c>
      <c r="D11" s="8">
        <v>25.51</v>
      </c>
      <c r="E11" s="12">
        <v>25</v>
      </c>
      <c r="F11" s="8">
        <v>16.13</v>
      </c>
      <c r="G11" s="12">
        <v>63</v>
      </c>
      <c r="H11" s="8">
        <v>34.81</v>
      </c>
      <c r="I11" s="12">
        <v>0</v>
      </c>
    </row>
    <row r="12" spans="2:9" ht="15" customHeight="1" x14ac:dyDescent="0.2">
      <c r="B12" t="s">
        <v>197</v>
      </c>
      <c r="C12" s="12">
        <v>5</v>
      </c>
      <c r="D12" s="8">
        <v>1.45</v>
      </c>
      <c r="E12" s="12">
        <v>3</v>
      </c>
      <c r="F12" s="8">
        <v>1.94</v>
      </c>
      <c r="G12" s="12">
        <v>2</v>
      </c>
      <c r="H12" s="8">
        <v>1.1000000000000001</v>
      </c>
      <c r="I12" s="12">
        <v>0</v>
      </c>
    </row>
    <row r="13" spans="2:9" ht="15" customHeight="1" x14ac:dyDescent="0.2">
      <c r="B13" t="s">
        <v>198</v>
      </c>
      <c r="C13" s="12">
        <v>33</v>
      </c>
      <c r="D13" s="8">
        <v>9.57</v>
      </c>
      <c r="E13" s="12">
        <v>13</v>
      </c>
      <c r="F13" s="8">
        <v>8.39</v>
      </c>
      <c r="G13" s="12">
        <v>19</v>
      </c>
      <c r="H13" s="8">
        <v>10.5</v>
      </c>
      <c r="I13" s="12">
        <v>0</v>
      </c>
    </row>
    <row r="14" spans="2:9" ht="15" customHeight="1" x14ac:dyDescent="0.2">
      <c r="B14" t="s">
        <v>199</v>
      </c>
      <c r="C14" s="12">
        <v>11</v>
      </c>
      <c r="D14" s="8">
        <v>3.19</v>
      </c>
      <c r="E14" s="12">
        <v>7</v>
      </c>
      <c r="F14" s="8">
        <v>4.5199999999999996</v>
      </c>
      <c r="G14" s="12">
        <v>3</v>
      </c>
      <c r="H14" s="8">
        <v>1.66</v>
      </c>
      <c r="I14" s="12">
        <v>0</v>
      </c>
    </row>
    <row r="15" spans="2:9" ht="15" customHeight="1" x14ac:dyDescent="0.2">
      <c r="B15" t="s">
        <v>200</v>
      </c>
      <c r="C15" s="12">
        <v>37</v>
      </c>
      <c r="D15" s="8">
        <v>10.72</v>
      </c>
      <c r="E15" s="12">
        <v>30</v>
      </c>
      <c r="F15" s="8">
        <v>19.350000000000001</v>
      </c>
      <c r="G15" s="12">
        <v>7</v>
      </c>
      <c r="H15" s="8">
        <v>3.87</v>
      </c>
      <c r="I15" s="12">
        <v>0</v>
      </c>
    </row>
    <row r="16" spans="2:9" ht="15" customHeight="1" x14ac:dyDescent="0.2">
      <c r="B16" t="s">
        <v>201</v>
      </c>
      <c r="C16" s="12">
        <v>40</v>
      </c>
      <c r="D16" s="8">
        <v>11.59</v>
      </c>
      <c r="E16" s="12">
        <v>35</v>
      </c>
      <c r="F16" s="8">
        <v>22.58</v>
      </c>
      <c r="G16" s="12">
        <v>5</v>
      </c>
      <c r="H16" s="8">
        <v>2.76</v>
      </c>
      <c r="I16" s="12">
        <v>0</v>
      </c>
    </row>
    <row r="17" spans="2:9" ht="15" customHeight="1" x14ac:dyDescent="0.2">
      <c r="B17" t="s">
        <v>202</v>
      </c>
      <c r="C17" s="12">
        <v>11</v>
      </c>
      <c r="D17" s="8">
        <v>3.19</v>
      </c>
      <c r="E17" s="12">
        <v>8</v>
      </c>
      <c r="F17" s="8">
        <v>5.16</v>
      </c>
      <c r="G17" s="12">
        <v>2</v>
      </c>
      <c r="H17" s="8">
        <v>1.1000000000000001</v>
      </c>
      <c r="I17" s="12">
        <v>0</v>
      </c>
    </row>
    <row r="18" spans="2:9" ht="15" customHeight="1" x14ac:dyDescent="0.2">
      <c r="B18" t="s">
        <v>203</v>
      </c>
      <c r="C18" s="12">
        <v>14</v>
      </c>
      <c r="D18" s="8">
        <v>4.0599999999999996</v>
      </c>
      <c r="E18" s="12">
        <v>9</v>
      </c>
      <c r="F18" s="8">
        <v>5.81</v>
      </c>
      <c r="G18" s="12">
        <v>2</v>
      </c>
      <c r="H18" s="8">
        <v>1.1000000000000001</v>
      </c>
      <c r="I18" s="12">
        <v>1</v>
      </c>
    </row>
    <row r="19" spans="2:9" ht="15" customHeight="1" x14ac:dyDescent="0.2">
      <c r="B19" t="s">
        <v>204</v>
      </c>
      <c r="C19" s="12">
        <v>19</v>
      </c>
      <c r="D19" s="8">
        <v>5.51</v>
      </c>
      <c r="E19" s="12">
        <v>9</v>
      </c>
      <c r="F19" s="8">
        <v>5.81</v>
      </c>
      <c r="G19" s="12">
        <v>8</v>
      </c>
      <c r="H19" s="8">
        <v>4.42</v>
      </c>
      <c r="I19" s="12">
        <v>1</v>
      </c>
    </row>
    <row r="20" spans="2:9" ht="15" customHeight="1" x14ac:dyDescent="0.2">
      <c r="B20" s="9" t="s">
        <v>529</v>
      </c>
      <c r="C20" s="12">
        <f>SUM(LTBL_01637[総数／事業所数])</f>
        <v>345</v>
      </c>
      <c r="E20" s="12">
        <f>SUBTOTAL(109,LTBL_01637[個人／事業所数])</f>
        <v>155</v>
      </c>
      <c r="G20" s="12">
        <f>SUBTOTAL(109,LTBL_01637[法人／事業所数])</f>
        <v>181</v>
      </c>
      <c r="I20" s="12">
        <f>SUBTOTAL(109,LTBL_01637[法人以外の団体／事業所数])</f>
        <v>2</v>
      </c>
    </row>
    <row r="21" spans="2:9" ht="15" customHeight="1" x14ac:dyDescent="0.2">
      <c r="E21" s="11">
        <f>LTBL_01637[[#Totals],[個人／事業所数]]/LTBL_01637[[#Totals],[総数／事業所数]]</f>
        <v>0.44927536231884058</v>
      </c>
      <c r="G21" s="11">
        <f>LTBL_01637[[#Totals],[法人／事業所数]]/LTBL_01637[[#Totals],[総数／事業所数]]</f>
        <v>0.52463768115942033</v>
      </c>
      <c r="I21" s="11">
        <f>LTBL_01637[[#Totals],[法人以外の団体／事業所数]]/LTBL_01637[[#Totals],[総数／事業所数]]</f>
        <v>5.7971014492753624E-3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36</v>
      </c>
      <c r="D24" s="8">
        <v>10.43</v>
      </c>
      <c r="E24" s="12">
        <v>33</v>
      </c>
      <c r="F24" s="8">
        <v>21.29</v>
      </c>
      <c r="G24" s="12">
        <v>3</v>
      </c>
      <c r="H24" s="8">
        <v>1.66</v>
      </c>
      <c r="I24" s="12">
        <v>0</v>
      </c>
    </row>
    <row r="25" spans="2:9" ht="15" customHeight="1" x14ac:dyDescent="0.2">
      <c r="B25" t="s">
        <v>227</v>
      </c>
      <c r="C25" s="12">
        <v>30</v>
      </c>
      <c r="D25" s="8">
        <v>8.6999999999999993</v>
      </c>
      <c r="E25" s="12">
        <v>27</v>
      </c>
      <c r="F25" s="8">
        <v>17.420000000000002</v>
      </c>
      <c r="G25" s="12">
        <v>3</v>
      </c>
      <c r="H25" s="8">
        <v>1.66</v>
      </c>
      <c r="I25" s="12">
        <v>0</v>
      </c>
    </row>
    <row r="26" spans="2:9" ht="15" customHeight="1" x14ac:dyDescent="0.2">
      <c r="B26" t="s">
        <v>213</v>
      </c>
      <c r="C26" s="12">
        <v>29</v>
      </c>
      <c r="D26" s="8">
        <v>8.41</v>
      </c>
      <c r="E26" s="12">
        <v>4</v>
      </c>
      <c r="F26" s="8">
        <v>2.58</v>
      </c>
      <c r="G26" s="12">
        <v>25</v>
      </c>
      <c r="H26" s="8">
        <v>13.81</v>
      </c>
      <c r="I26" s="12">
        <v>0</v>
      </c>
    </row>
    <row r="27" spans="2:9" ht="15" customHeight="1" x14ac:dyDescent="0.2">
      <c r="B27" t="s">
        <v>223</v>
      </c>
      <c r="C27" s="12">
        <v>24</v>
      </c>
      <c r="D27" s="8">
        <v>6.96</v>
      </c>
      <c r="E27" s="12">
        <v>10</v>
      </c>
      <c r="F27" s="8">
        <v>6.45</v>
      </c>
      <c r="G27" s="12">
        <v>14</v>
      </c>
      <c r="H27" s="8">
        <v>7.73</v>
      </c>
      <c r="I27" s="12">
        <v>0</v>
      </c>
    </row>
    <row r="28" spans="2:9" ht="15" customHeight="1" x14ac:dyDescent="0.2">
      <c r="B28" t="s">
        <v>224</v>
      </c>
      <c r="C28" s="12">
        <v>23</v>
      </c>
      <c r="D28" s="8">
        <v>6.67</v>
      </c>
      <c r="E28" s="12">
        <v>13</v>
      </c>
      <c r="F28" s="8">
        <v>8.39</v>
      </c>
      <c r="G28" s="12">
        <v>9</v>
      </c>
      <c r="H28" s="8">
        <v>4.97</v>
      </c>
      <c r="I28" s="12">
        <v>0</v>
      </c>
    </row>
    <row r="29" spans="2:9" ht="15" customHeight="1" x14ac:dyDescent="0.2">
      <c r="B29" t="s">
        <v>214</v>
      </c>
      <c r="C29" s="12">
        <v>12</v>
      </c>
      <c r="D29" s="8">
        <v>3.48</v>
      </c>
      <c r="E29" s="12">
        <v>4</v>
      </c>
      <c r="F29" s="8">
        <v>2.58</v>
      </c>
      <c r="G29" s="12">
        <v>8</v>
      </c>
      <c r="H29" s="8">
        <v>4.42</v>
      </c>
      <c r="I29" s="12">
        <v>0</v>
      </c>
    </row>
    <row r="30" spans="2:9" ht="15" customHeight="1" x14ac:dyDescent="0.2">
      <c r="B30" t="s">
        <v>216</v>
      </c>
      <c r="C30" s="12">
        <v>12</v>
      </c>
      <c r="D30" s="8">
        <v>3.48</v>
      </c>
      <c r="E30" s="12">
        <v>2</v>
      </c>
      <c r="F30" s="8">
        <v>1.29</v>
      </c>
      <c r="G30" s="12">
        <v>10</v>
      </c>
      <c r="H30" s="8">
        <v>5.52</v>
      </c>
      <c r="I30" s="12">
        <v>0</v>
      </c>
    </row>
    <row r="31" spans="2:9" ht="15" customHeight="1" x14ac:dyDescent="0.2">
      <c r="B31" t="s">
        <v>221</v>
      </c>
      <c r="C31" s="12">
        <v>12</v>
      </c>
      <c r="D31" s="8">
        <v>3.48</v>
      </c>
      <c r="E31" s="12">
        <v>7</v>
      </c>
      <c r="F31" s="8">
        <v>4.5199999999999996</v>
      </c>
      <c r="G31" s="12">
        <v>5</v>
      </c>
      <c r="H31" s="8">
        <v>2.76</v>
      </c>
      <c r="I31" s="12">
        <v>0</v>
      </c>
    </row>
    <row r="32" spans="2:9" ht="15" customHeight="1" x14ac:dyDescent="0.2">
      <c r="B32" t="s">
        <v>222</v>
      </c>
      <c r="C32" s="12">
        <v>11</v>
      </c>
      <c r="D32" s="8">
        <v>3.19</v>
      </c>
      <c r="E32" s="12">
        <v>4</v>
      </c>
      <c r="F32" s="8">
        <v>2.58</v>
      </c>
      <c r="G32" s="12">
        <v>7</v>
      </c>
      <c r="H32" s="8">
        <v>3.87</v>
      </c>
      <c r="I32" s="12">
        <v>0</v>
      </c>
    </row>
    <row r="33" spans="2:9" ht="15" customHeight="1" x14ac:dyDescent="0.2">
      <c r="B33" t="s">
        <v>230</v>
      </c>
      <c r="C33" s="12">
        <v>11</v>
      </c>
      <c r="D33" s="8">
        <v>3.19</v>
      </c>
      <c r="E33" s="12">
        <v>8</v>
      </c>
      <c r="F33" s="8">
        <v>5.16</v>
      </c>
      <c r="G33" s="12">
        <v>2</v>
      </c>
      <c r="H33" s="8">
        <v>1.1000000000000001</v>
      </c>
      <c r="I33" s="12">
        <v>0</v>
      </c>
    </row>
    <row r="34" spans="2:9" ht="15" customHeight="1" x14ac:dyDescent="0.2">
      <c r="B34" t="s">
        <v>217</v>
      </c>
      <c r="C34" s="12">
        <v>10</v>
      </c>
      <c r="D34" s="8">
        <v>2.9</v>
      </c>
      <c r="E34" s="12">
        <v>0</v>
      </c>
      <c r="F34" s="8">
        <v>0</v>
      </c>
      <c r="G34" s="12">
        <v>10</v>
      </c>
      <c r="H34" s="8">
        <v>5.52</v>
      </c>
      <c r="I34" s="12">
        <v>0</v>
      </c>
    </row>
    <row r="35" spans="2:9" ht="15" customHeight="1" x14ac:dyDescent="0.2">
      <c r="B35" t="s">
        <v>218</v>
      </c>
      <c r="C35" s="12">
        <v>10</v>
      </c>
      <c r="D35" s="8">
        <v>2.9</v>
      </c>
      <c r="E35" s="12">
        <v>0</v>
      </c>
      <c r="F35" s="8">
        <v>0</v>
      </c>
      <c r="G35" s="12">
        <v>10</v>
      </c>
      <c r="H35" s="8">
        <v>5.52</v>
      </c>
      <c r="I35" s="12">
        <v>0</v>
      </c>
    </row>
    <row r="36" spans="2:9" ht="15" customHeight="1" x14ac:dyDescent="0.2">
      <c r="B36" t="s">
        <v>248</v>
      </c>
      <c r="C36" s="12">
        <v>9</v>
      </c>
      <c r="D36" s="8">
        <v>2.61</v>
      </c>
      <c r="E36" s="12">
        <v>0</v>
      </c>
      <c r="F36" s="8">
        <v>0</v>
      </c>
      <c r="G36" s="12">
        <v>9</v>
      </c>
      <c r="H36" s="8">
        <v>4.97</v>
      </c>
      <c r="I36" s="12">
        <v>0</v>
      </c>
    </row>
    <row r="37" spans="2:9" ht="15" customHeight="1" x14ac:dyDescent="0.2">
      <c r="B37" t="s">
        <v>231</v>
      </c>
      <c r="C37" s="12">
        <v>9</v>
      </c>
      <c r="D37" s="8">
        <v>2.61</v>
      </c>
      <c r="E37" s="12">
        <v>9</v>
      </c>
      <c r="F37" s="8">
        <v>5.81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240</v>
      </c>
      <c r="C38" s="12">
        <v>9</v>
      </c>
      <c r="D38" s="8">
        <v>2.61</v>
      </c>
      <c r="E38" s="12">
        <v>6</v>
      </c>
      <c r="F38" s="8">
        <v>3.87</v>
      </c>
      <c r="G38" s="12">
        <v>3</v>
      </c>
      <c r="H38" s="8">
        <v>1.66</v>
      </c>
      <c r="I38" s="12">
        <v>0</v>
      </c>
    </row>
    <row r="39" spans="2:9" ht="15" customHeight="1" x14ac:dyDescent="0.2">
      <c r="B39" t="s">
        <v>215</v>
      </c>
      <c r="C39" s="12">
        <v>8</v>
      </c>
      <c r="D39" s="8">
        <v>2.3199999999999998</v>
      </c>
      <c r="E39" s="12">
        <v>1</v>
      </c>
      <c r="F39" s="8">
        <v>0.65</v>
      </c>
      <c r="G39" s="12">
        <v>7</v>
      </c>
      <c r="H39" s="8">
        <v>3.87</v>
      </c>
      <c r="I39" s="12">
        <v>0</v>
      </c>
    </row>
    <row r="40" spans="2:9" ht="15" customHeight="1" x14ac:dyDescent="0.2">
      <c r="B40" t="s">
        <v>246</v>
      </c>
      <c r="C40" s="12">
        <v>6</v>
      </c>
      <c r="D40" s="8">
        <v>1.74</v>
      </c>
      <c r="E40" s="12">
        <v>0</v>
      </c>
      <c r="F40" s="8">
        <v>0</v>
      </c>
      <c r="G40" s="12">
        <v>6</v>
      </c>
      <c r="H40" s="8">
        <v>3.31</v>
      </c>
      <c r="I40" s="12">
        <v>0</v>
      </c>
    </row>
    <row r="41" spans="2:9" ht="15" customHeight="1" x14ac:dyDescent="0.2">
      <c r="B41" t="s">
        <v>225</v>
      </c>
      <c r="C41" s="12">
        <v>6</v>
      </c>
      <c r="D41" s="8">
        <v>1.74</v>
      </c>
      <c r="E41" s="12">
        <v>5</v>
      </c>
      <c r="F41" s="8">
        <v>3.23</v>
      </c>
      <c r="G41" s="12">
        <v>1</v>
      </c>
      <c r="H41" s="8">
        <v>0.55000000000000004</v>
      </c>
      <c r="I41" s="12">
        <v>0</v>
      </c>
    </row>
    <row r="42" spans="2:9" ht="15" customHeight="1" x14ac:dyDescent="0.2">
      <c r="B42" t="s">
        <v>242</v>
      </c>
      <c r="C42" s="12">
        <v>6</v>
      </c>
      <c r="D42" s="8">
        <v>1.74</v>
      </c>
      <c r="E42" s="12">
        <v>3</v>
      </c>
      <c r="F42" s="8">
        <v>1.94</v>
      </c>
      <c r="G42" s="12">
        <v>3</v>
      </c>
      <c r="H42" s="8">
        <v>1.66</v>
      </c>
      <c r="I42" s="12">
        <v>0</v>
      </c>
    </row>
    <row r="43" spans="2:9" ht="15" customHeight="1" x14ac:dyDescent="0.2">
      <c r="B43" t="s">
        <v>237</v>
      </c>
      <c r="C43" s="12">
        <v>5</v>
      </c>
      <c r="D43" s="8">
        <v>1.45</v>
      </c>
      <c r="E43" s="12">
        <v>3</v>
      </c>
      <c r="F43" s="8">
        <v>1.94</v>
      </c>
      <c r="G43" s="12">
        <v>2</v>
      </c>
      <c r="H43" s="8">
        <v>1.1000000000000001</v>
      </c>
      <c r="I43" s="12">
        <v>0</v>
      </c>
    </row>
    <row r="44" spans="2:9" ht="15" customHeight="1" x14ac:dyDescent="0.2">
      <c r="B44" t="s">
        <v>232</v>
      </c>
      <c r="C44" s="12">
        <v>5</v>
      </c>
      <c r="D44" s="8">
        <v>1.45</v>
      </c>
      <c r="E44" s="12">
        <v>0</v>
      </c>
      <c r="F44" s="8">
        <v>0</v>
      </c>
      <c r="G44" s="12">
        <v>2</v>
      </c>
      <c r="H44" s="8">
        <v>1.1000000000000001</v>
      </c>
      <c r="I44" s="12">
        <v>1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297</v>
      </c>
      <c r="C48" s="12">
        <v>22</v>
      </c>
      <c r="D48" s="8">
        <v>6.38</v>
      </c>
      <c r="E48" s="12">
        <v>12</v>
      </c>
      <c r="F48" s="8">
        <v>7.74</v>
      </c>
      <c r="G48" s="12">
        <v>9</v>
      </c>
      <c r="H48" s="8">
        <v>4.97</v>
      </c>
      <c r="I48" s="12">
        <v>0</v>
      </c>
    </row>
    <row r="49" spans="2:9" ht="15" customHeight="1" x14ac:dyDescent="0.2">
      <c r="B49" t="s">
        <v>304</v>
      </c>
      <c r="C49" s="12">
        <v>19</v>
      </c>
      <c r="D49" s="8">
        <v>5.51</v>
      </c>
      <c r="E49" s="12">
        <v>18</v>
      </c>
      <c r="F49" s="8">
        <v>11.61</v>
      </c>
      <c r="G49" s="12">
        <v>1</v>
      </c>
      <c r="H49" s="8">
        <v>0.55000000000000004</v>
      </c>
      <c r="I49" s="12">
        <v>0</v>
      </c>
    </row>
    <row r="50" spans="2:9" ht="15" customHeight="1" x14ac:dyDescent="0.2">
      <c r="B50" t="s">
        <v>303</v>
      </c>
      <c r="C50" s="12">
        <v>14</v>
      </c>
      <c r="D50" s="8">
        <v>4.0599999999999996</v>
      </c>
      <c r="E50" s="12">
        <v>14</v>
      </c>
      <c r="F50" s="8">
        <v>9.0299999999999994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350</v>
      </c>
      <c r="C51" s="12">
        <v>9</v>
      </c>
      <c r="D51" s="8">
        <v>2.61</v>
      </c>
      <c r="E51" s="12">
        <v>0</v>
      </c>
      <c r="F51" s="8">
        <v>0</v>
      </c>
      <c r="G51" s="12">
        <v>9</v>
      </c>
      <c r="H51" s="8">
        <v>4.97</v>
      </c>
      <c r="I51" s="12">
        <v>0</v>
      </c>
    </row>
    <row r="52" spans="2:9" ht="15" customHeight="1" x14ac:dyDescent="0.2">
      <c r="B52" t="s">
        <v>302</v>
      </c>
      <c r="C52" s="12">
        <v>9</v>
      </c>
      <c r="D52" s="8">
        <v>2.61</v>
      </c>
      <c r="E52" s="12">
        <v>9</v>
      </c>
      <c r="F52" s="8">
        <v>5.81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307</v>
      </c>
      <c r="C53" s="12">
        <v>9</v>
      </c>
      <c r="D53" s="8">
        <v>2.61</v>
      </c>
      <c r="E53" s="12">
        <v>6</v>
      </c>
      <c r="F53" s="8">
        <v>3.87</v>
      </c>
      <c r="G53" s="12">
        <v>3</v>
      </c>
      <c r="H53" s="8">
        <v>1.66</v>
      </c>
      <c r="I53" s="12">
        <v>0</v>
      </c>
    </row>
    <row r="54" spans="2:9" ht="15" customHeight="1" x14ac:dyDescent="0.2">
      <c r="B54" t="s">
        <v>288</v>
      </c>
      <c r="C54" s="12">
        <v>7</v>
      </c>
      <c r="D54" s="8">
        <v>2.0299999999999998</v>
      </c>
      <c r="E54" s="12">
        <v>0</v>
      </c>
      <c r="F54" s="8">
        <v>0</v>
      </c>
      <c r="G54" s="12">
        <v>7</v>
      </c>
      <c r="H54" s="8">
        <v>3.87</v>
      </c>
      <c r="I54" s="12">
        <v>0</v>
      </c>
    </row>
    <row r="55" spans="2:9" ht="15" customHeight="1" x14ac:dyDescent="0.2">
      <c r="B55" t="s">
        <v>289</v>
      </c>
      <c r="C55" s="12">
        <v>7</v>
      </c>
      <c r="D55" s="8">
        <v>2.0299999999999998</v>
      </c>
      <c r="E55" s="12">
        <v>0</v>
      </c>
      <c r="F55" s="8">
        <v>0</v>
      </c>
      <c r="G55" s="12">
        <v>7</v>
      </c>
      <c r="H55" s="8">
        <v>3.87</v>
      </c>
      <c r="I55" s="12">
        <v>0</v>
      </c>
    </row>
    <row r="56" spans="2:9" ht="15" customHeight="1" x14ac:dyDescent="0.2">
      <c r="B56" t="s">
        <v>333</v>
      </c>
      <c r="C56" s="12">
        <v>7</v>
      </c>
      <c r="D56" s="8">
        <v>2.0299999999999998</v>
      </c>
      <c r="E56" s="12">
        <v>4</v>
      </c>
      <c r="F56" s="8">
        <v>2.58</v>
      </c>
      <c r="G56" s="12">
        <v>3</v>
      </c>
      <c r="H56" s="8">
        <v>1.66</v>
      </c>
      <c r="I56" s="12">
        <v>0</v>
      </c>
    </row>
    <row r="57" spans="2:9" ht="15" customHeight="1" x14ac:dyDescent="0.2">
      <c r="B57" t="s">
        <v>321</v>
      </c>
      <c r="C57" s="12">
        <v>7</v>
      </c>
      <c r="D57" s="8">
        <v>2.0299999999999998</v>
      </c>
      <c r="E57" s="12">
        <v>0</v>
      </c>
      <c r="F57" s="8">
        <v>0</v>
      </c>
      <c r="G57" s="12">
        <v>7</v>
      </c>
      <c r="H57" s="8">
        <v>3.87</v>
      </c>
      <c r="I57" s="12">
        <v>0</v>
      </c>
    </row>
    <row r="58" spans="2:9" ht="15" customHeight="1" x14ac:dyDescent="0.2">
      <c r="B58" t="s">
        <v>293</v>
      </c>
      <c r="C58" s="12">
        <v>7</v>
      </c>
      <c r="D58" s="8">
        <v>2.0299999999999998</v>
      </c>
      <c r="E58" s="12">
        <v>1</v>
      </c>
      <c r="F58" s="8">
        <v>0.65</v>
      </c>
      <c r="G58" s="12">
        <v>6</v>
      </c>
      <c r="H58" s="8">
        <v>3.31</v>
      </c>
      <c r="I58" s="12">
        <v>0</v>
      </c>
    </row>
    <row r="59" spans="2:9" ht="15" customHeight="1" x14ac:dyDescent="0.2">
      <c r="B59" t="s">
        <v>328</v>
      </c>
      <c r="C59" s="12">
        <v>6</v>
      </c>
      <c r="D59" s="8">
        <v>1.74</v>
      </c>
      <c r="E59" s="12">
        <v>2</v>
      </c>
      <c r="F59" s="8">
        <v>1.29</v>
      </c>
      <c r="G59" s="12">
        <v>4</v>
      </c>
      <c r="H59" s="8">
        <v>2.21</v>
      </c>
      <c r="I59" s="12">
        <v>0</v>
      </c>
    </row>
    <row r="60" spans="2:9" ht="15" customHeight="1" x14ac:dyDescent="0.2">
      <c r="B60" t="s">
        <v>334</v>
      </c>
      <c r="C60" s="12">
        <v>6</v>
      </c>
      <c r="D60" s="8">
        <v>1.74</v>
      </c>
      <c r="E60" s="12">
        <v>5</v>
      </c>
      <c r="F60" s="8">
        <v>3.23</v>
      </c>
      <c r="G60" s="12">
        <v>1</v>
      </c>
      <c r="H60" s="8">
        <v>0.55000000000000004</v>
      </c>
      <c r="I60" s="12">
        <v>0</v>
      </c>
    </row>
    <row r="61" spans="2:9" ht="15" customHeight="1" x14ac:dyDescent="0.2">
      <c r="B61" t="s">
        <v>371</v>
      </c>
      <c r="C61" s="12">
        <v>6</v>
      </c>
      <c r="D61" s="8">
        <v>1.74</v>
      </c>
      <c r="E61" s="12">
        <v>3</v>
      </c>
      <c r="F61" s="8">
        <v>1.94</v>
      </c>
      <c r="G61" s="12">
        <v>3</v>
      </c>
      <c r="H61" s="8">
        <v>1.66</v>
      </c>
      <c r="I61" s="12">
        <v>0</v>
      </c>
    </row>
    <row r="62" spans="2:9" ht="15" customHeight="1" x14ac:dyDescent="0.2">
      <c r="B62" t="s">
        <v>516</v>
      </c>
      <c r="C62" s="12">
        <v>5</v>
      </c>
      <c r="D62" s="8">
        <v>1.45</v>
      </c>
      <c r="E62" s="12">
        <v>0</v>
      </c>
      <c r="F62" s="8">
        <v>0</v>
      </c>
      <c r="G62" s="12">
        <v>5</v>
      </c>
      <c r="H62" s="8">
        <v>2.76</v>
      </c>
      <c r="I62" s="12">
        <v>0</v>
      </c>
    </row>
    <row r="63" spans="2:9" ht="15" customHeight="1" x14ac:dyDescent="0.2">
      <c r="B63" t="s">
        <v>330</v>
      </c>
      <c r="C63" s="12">
        <v>5</v>
      </c>
      <c r="D63" s="8">
        <v>1.45</v>
      </c>
      <c r="E63" s="12">
        <v>3</v>
      </c>
      <c r="F63" s="8">
        <v>1.94</v>
      </c>
      <c r="G63" s="12">
        <v>2</v>
      </c>
      <c r="H63" s="8">
        <v>1.1000000000000001</v>
      </c>
      <c r="I63" s="12">
        <v>0</v>
      </c>
    </row>
    <row r="64" spans="2:9" ht="15" customHeight="1" x14ac:dyDescent="0.2">
      <c r="B64" t="s">
        <v>322</v>
      </c>
      <c r="C64" s="12">
        <v>5</v>
      </c>
      <c r="D64" s="8">
        <v>1.45</v>
      </c>
      <c r="E64" s="12">
        <v>3</v>
      </c>
      <c r="F64" s="8">
        <v>1.94</v>
      </c>
      <c r="G64" s="12">
        <v>2</v>
      </c>
      <c r="H64" s="8">
        <v>1.1000000000000001</v>
      </c>
      <c r="I64" s="12">
        <v>0</v>
      </c>
    </row>
    <row r="65" spans="2:9" ht="15" customHeight="1" x14ac:dyDescent="0.2">
      <c r="B65" t="s">
        <v>415</v>
      </c>
      <c r="C65" s="12">
        <v>5</v>
      </c>
      <c r="D65" s="8">
        <v>1.45</v>
      </c>
      <c r="E65" s="12">
        <v>0</v>
      </c>
      <c r="F65" s="8">
        <v>0</v>
      </c>
      <c r="G65" s="12">
        <v>5</v>
      </c>
      <c r="H65" s="8">
        <v>2.76</v>
      </c>
      <c r="I65" s="12">
        <v>0</v>
      </c>
    </row>
    <row r="66" spans="2:9" ht="15" customHeight="1" x14ac:dyDescent="0.2">
      <c r="B66" t="s">
        <v>299</v>
      </c>
      <c r="C66" s="12">
        <v>5</v>
      </c>
      <c r="D66" s="8">
        <v>1.45</v>
      </c>
      <c r="E66" s="12">
        <v>3</v>
      </c>
      <c r="F66" s="8">
        <v>1.94</v>
      </c>
      <c r="G66" s="12">
        <v>2</v>
      </c>
      <c r="H66" s="8">
        <v>1.1000000000000001</v>
      </c>
      <c r="I66" s="12">
        <v>0</v>
      </c>
    </row>
    <row r="67" spans="2:9" ht="15" customHeight="1" x14ac:dyDescent="0.2">
      <c r="B67" t="s">
        <v>305</v>
      </c>
      <c r="C67" s="12">
        <v>5</v>
      </c>
      <c r="D67" s="8">
        <v>1.45</v>
      </c>
      <c r="E67" s="12">
        <v>5</v>
      </c>
      <c r="F67" s="8">
        <v>3.23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312</v>
      </c>
      <c r="C68" s="12">
        <v>5</v>
      </c>
      <c r="D68" s="8">
        <v>1.45</v>
      </c>
      <c r="E68" s="12">
        <v>5</v>
      </c>
      <c r="F68" s="8">
        <v>3.23</v>
      </c>
      <c r="G68" s="12">
        <v>0</v>
      </c>
      <c r="H68" s="8">
        <v>0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3970-1FCF-4823-887B-742843143B1B}">
  <sheetPr>
    <pageSetUpPr fitToPage="1"/>
  </sheetPr>
  <dimension ref="B2:I11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0.93</v>
      </c>
      <c r="E5" s="12">
        <v>0</v>
      </c>
      <c r="F5" s="8">
        <v>0</v>
      </c>
      <c r="G5" s="12">
        <v>1</v>
      </c>
      <c r="H5" s="8">
        <v>1.96</v>
      </c>
      <c r="I5" s="12">
        <v>0</v>
      </c>
    </row>
    <row r="6" spans="2:9" ht="15" customHeight="1" x14ac:dyDescent="0.2">
      <c r="B6" t="s">
        <v>191</v>
      </c>
      <c r="C6" s="12">
        <v>9</v>
      </c>
      <c r="D6" s="8">
        <v>8.41</v>
      </c>
      <c r="E6" s="12">
        <v>1</v>
      </c>
      <c r="F6" s="8">
        <v>1.92</v>
      </c>
      <c r="G6" s="12">
        <v>8</v>
      </c>
      <c r="H6" s="8">
        <v>15.69</v>
      </c>
      <c r="I6" s="12">
        <v>0</v>
      </c>
    </row>
    <row r="7" spans="2:9" ht="15" customHeight="1" x14ac:dyDescent="0.2">
      <c r="B7" t="s">
        <v>192</v>
      </c>
      <c r="C7" s="12">
        <v>13</v>
      </c>
      <c r="D7" s="8">
        <v>12.15</v>
      </c>
      <c r="E7" s="12">
        <v>0</v>
      </c>
      <c r="F7" s="8">
        <v>0</v>
      </c>
      <c r="G7" s="12">
        <v>13</v>
      </c>
      <c r="H7" s="8">
        <v>25.49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2.8</v>
      </c>
      <c r="E8" s="12">
        <v>0</v>
      </c>
      <c r="F8" s="8">
        <v>0</v>
      </c>
      <c r="G8" s="12">
        <v>2</v>
      </c>
      <c r="H8" s="8">
        <v>3.92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2.8</v>
      </c>
      <c r="E10" s="12">
        <v>0</v>
      </c>
      <c r="F10" s="8">
        <v>0</v>
      </c>
      <c r="G10" s="12">
        <v>3</v>
      </c>
      <c r="H10" s="8">
        <v>5.88</v>
      </c>
      <c r="I10" s="12">
        <v>0</v>
      </c>
    </row>
    <row r="11" spans="2:9" ht="15" customHeight="1" x14ac:dyDescent="0.2">
      <c r="B11" t="s">
        <v>196</v>
      </c>
      <c r="C11" s="12">
        <v>23</v>
      </c>
      <c r="D11" s="8">
        <v>21.5</v>
      </c>
      <c r="E11" s="12">
        <v>13</v>
      </c>
      <c r="F11" s="8">
        <v>25</v>
      </c>
      <c r="G11" s="12">
        <v>10</v>
      </c>
      <c r="H11" s="8">
        <v>19.61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8</v>
      </c>
      <c r="D13" s="8">
        <v>7.48</v>
      </c>
      <c r="E13" s="12">
        <v>3</v>
      </c>
      <c r="F13" s="8">
        <v>5.77</v>
      </c>
      <c r="G13" s="12">
        <v>5</v>
      </c>
      <c r="H13" s="8">
        <v>9.8000000000000007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4.67</v>
      </c>
      <c r="E14" s="12">
        <v>3</v>
      </c>
      <c r="F14" s="8">
        <v>5.77</v>
      </c>
      <c r="G14" s="12">
        <v>2</v>
      </c>
      <c r="H14" s="8">
        <v>3.92</v>
      </c>
      <c r="I14" s="12">
        <v>0</v>
      </c>
    </row>
    <row r="15" spans="2:9" ht="15" customHeight="1" x14ac:dyDescent="0.2">
      <c r="B15" t="s">
        <v>200</v>
      </c>
      <c r="C15" s="12">
        <v>13</v>
      </c>
      <c r="D15" s="8">
        <v>12.15</v>
      </c>
      <c r="E15" s="12">
        <v>12</v>
      </c>
      <c r="F15" s="8">
        <v>23.08</v>
      </c>
      <c r="G15" s="12">
        <v>1</v>
      </c>
      <c r="H15" s="8">
        <v>1.96</v>
      </c>
      <c r="I15" s="12">
        <v>0</v>
      </c>
    </row>
    <row r="16" spans="2:9" ht="15" customHeight="1" x14ac:dyDescent="0.2">
      <c r="B16" t="s">
        <v>201</v>
      </c>
      <c r="C16" s="12">
        <v>11</v>
      </c>
      <c r="D16" s="8">
        <v>10.28</v>
      </c>
      <c r="E16" s="12">
        <v>9</v>
      </c>
      <c r="F16" s="8">
        <v>17.309999999999999</v>
      </c>
      <c r="G16" s="12">
        <v>2</v>
      </c>
      <c r="H16" s="8">
        <v>3.92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6.54</v>
      </c>
      <c r="E17" s="12">
        <v>5</v>
      </c>
      <c r="F17" s="8">
        <v>9.6199999999999992</v>
      </c>
      <c r="G17" s="12">
        <v>1</v>
      </c>
      <c r="H17" s="8">
        <v>1.96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5.61</v>
      </c>
      <c r="E18" s="12">
        <v>3</v>
      </c>
      <c r="F18" s="8">
        <v>5.77</v>
      </c>
      <c r="G18" s="12">
        <v>2</v>
      </c>
      <c r="H18" s="8">
        <v>3.92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4.67</v>
      </c>
      <c r="E19" s="12">
        <v>3</v>
      </c>
      <c r="F19" s="8">
        <v>5.77</v>
      </c>
      <c r="G19" s="12">
        <v>1</v>
      </c>
      <c r="H19" s="8">
        <v>1.96</v>
      </c>
      <c r="I19" s="12">
        <v>0</v>
      </c>
    </row>
    <row r="20" spans="2:9" ht="15" customHeight="1" x14ac:dyDescent="0.2">
      <c r="B20" s="9" t="s">
        <v>529</v>
      </c>
      <c r="C20" s="12">
        <f>SUM(LTBL_01638[総数／事業所数])</f>
        <v>107</v>
      </c>
      <c r="E20" s="12">
        <f>SUBTOTAL(109,LTBL_01638[個人／事業所数])</f>
        <v>52</v>
      </c>
      <c r="G20" s="12">
        <f>SUBTOTAL(109,LTBL_01638[法人／事業所数])</f>
        <v>51</v>
      </c>
      <c r="I20" s="12">
        <f>SUBTOTAL(109,LTBL_01638[法人以外の団体／事業所数])</f>
        <v>0</v>
      </c>
    </row>
    <row r="21" spans="2:9" ht="15" customHeight="1" x14ac:dyDescent="0.2">
      <c r="E21" s="11">
        <f>LTBL_01638[[#Totals],[個人／事業所数]]/LTBL_01638[[#Totals],[総数／事業所数]]</f>
        <v>0.48598130841121495</v>
      </c>
      <c r="G21" s="11">
        <f>LTBL_01638[[#Totals],[法人／事業所数]]/LTBL_01638[[#Totals],[総数／事業所数]]</f>
        <v>0.47663551401869159</v>
      </c>
      <c r="I21" s="11">
        <f>LTBL_01638[[#Totals],[法人以外の団体／事業所数]]/LTBL_01638[[#Totals],[総数／事業所数]]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10</v>
      </c>
      <c r="D24" s="8">
        <v>9.35</v>
      </c>
      <c r="E24" s="12">
        <v>10</v>
      </c>
      <c r="F24" s="8">
        <v>19.23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228</v>
      </c>
      <c r="C25" s="12">
        <v>10</v>
      </c>
      <c r="D25" s="8">
        <v>9.35</v>
      </c>
      <c r="E25" s="12">
        <v>9</v>
      </c>
      <c r="F25" s="8">
        <v>17.309999999999999</v>
      </c>
      <c r="G25" s="12">
        <v>1</v>
      </c>
      <c r="H25" s="8">
        <v>1.96</v>
      </c>
      <c r="I25" s="12">
        <v>0</v>
      </c>
    </row>
    <row r="26" spans="2:9" ht="15" customHeight="1" x14ac:dyDescent="0.2">
      <c r="B26" t="s">
        <v>221</v>
      </c>
      <c r="C26" s="12">
        <v>9</v>
      </c>
      <c r="D26" s="8">
        <v>8.41</v>
      </c>
      <c r="E26" s="12">
        <v>5</v>
      </c>
      <c r="F26" s="8">
        <v>9.6199999999999992</v>
      </c>
      <c r="G26" s="12">
        <v>4</v>
      </c>
      <c r="H26" s="8">
        <v>7.84</v>
      </c>
      <c r="I26" s="12">
        <v>0</v>
      </c>
    </row>
    <row r="27" spans="2:9" ht="15" customHeight="1" x14ac:dyDescent="0.2">
      <c r="B27" t="s">
        <v>224</v>
      </c>
      <c r="C27" s="12">
        <v>7</v>
      </c>
      <c r="D27" s="8">
        <v>6.54</v>
      </c>
      <c r="E27" s="12">
        <v>3</v>
      </c>
      <c r="F27" s="8">
        <v>5.77</v>
      </c>
      <c r="G27" s="12">
        <v>4</v>
      </c>
      <c r="H27" s="8">
        <v>7.84</v>
      </c>
      <c r="I27" s="12">
        <v>0</v>
      </c>
    </row>
    <row r="28" spans="2:9" ht="15" customHeight="1" x14ac:dyDescent="0.2">
      <c r="B28" t="s">
        <v>230</v>
      </c>
      <c r="C28" s="12">
        <v>7</v>
      </c>
      <c r="D28" s="8">
        <v>6.54</v>
      </c>
      <c r="E28" s="12">
        <v>5</v>
      </c>
      <c r="F28" s="8">
        <v>9.6199999999999992</v>
      </c>
      <c r="G28" s="12">
        <v>1</v>
      </c>
      <c r="H28" s="8">
        <v>1.96</v>
      </c>
      <c r="I28" s="12">
        <v>0</v>
      </c>
    </row>
    <row r="29" spans="2:9" ht="15" customHeight="1" x14ac:dyDescent="0.2">
      <c r="B29" t="s">
        <v>241</v>
      </c>
      <c r="C29" s="12">
        <v>5</v>
      </c>
      <c r="D29" s="8">
        <v>4.67</v>
      </c>
      <c r="E29" s="12">
        <v>0</v>
      </c>
      <c r="F29" s="8">
        <v>0</v>
      </c>
      <c r="G29" s="12">
        <v>5</v>
      </c>
      <c r="H29" s="8">
        <v>9.8000000000000007</v>
      </c>
      <c r="I29" s="12">
        <v>0</v>
      </c>
    </row>
    <row r="30" spans="2:9" ht="15" customHeight="1" x14ac:dyDescent="0.2">
      <c r="B30" t="s">
        <v>223</v>
      </c>
      <c r="C30" s="12">
        <v>5</v>
      </c>
      <c r="D30" s="8">
        <v>4.67</v>
      </c>
      <c r="E30" s="12">
        <v>4</v>
      </c>
      <c r="F30" s="8">
        <v>7.69</v>
      </c>
      <c r="G30" s="12">
        <v>1</v>
      </c>
      <c r="H30" s="8">
        <v>1.96</v>
      </c>
      <c r="I30" s="12">
        <v>0</v>
      </c>
    </row>
    <row r="31" spans="2:9" ht="15" customHeight="1" x14ac:dyDescent="0.2">
      <c r="B31" t="s">
        <v>213</v>
      </c>
      <c r="C31" s="12">
        <v>4</v>
      </c>
      <c r="D31" s="8">
        <v>3.74</v>
      </c>
      <c r="E31" s="12">
        <v>0</v>
      </c>
      <c r="F31" s="8">
        <v>0</v>
      </c>
      <c r="G31" s="12">
        <v>4</v>
      </c>
      <c r="H31" s="8">
        <v>7.84</v>
      </c>
      <c r="I31" s="12">
        <v>0</v>
      </c>
    </row>
    <row r="32" spans="2:9" ht="15" customHeight="1" x14ac:dyDescent="0.2">
      <c r="B32" t="s">
        <v>214</v>
      </c>
      <c r="C32" s="12">
        <v>4</v>
      </c>
      <c r="D32" s="8">
        <v>3.74</v>
      </c>
      <c r="E32" s="12">
        <v>1</v>
      </c>
      <c r="F32" s="8">
        <v>1.92</v>
      </c>
      <c r="G32" s="12">
        <v>3</v>
      </c>
      <c r="H32" s="8">
        <v>5.88</v>
      </c>
      <c r="I32" s="12">
        <v>0</v>
      </c>
    </row>
    <row r="33" spans="2:9" ht="15" customHeight="1" x14ac:dyDescent="0.2">
      <c r="B33" t="s">
        <v>248</v>
      </c>
      <c r="C33" s="12">
        <v>3</v>
      </c>
      <c r="D33" s="8">
        <v>2.8</v>
      </c>
      <c r="E33" s="12">
        <v>0</v>
      </c>
      <c r="F33" s="8">
        <v>0</v>
      </c>
      <c r="G33" s="12">
        <v>3</v>
      </c>
      <c r="H33" s="8">
        <v>5.88</v>
      </c>
      <c r="I33" s="12">
        <v>0</v>
      </c>
    </row>
    <row r="34" spans="2:9" ht="15" customHeight="1" x14ac:dyDescent="0.2">
      <c r="B34" t="s">
        <v>217</v>
      </c>
      <c r="C34" s="12">
        <v>3</v>
      </c>
      <c r="D34" s="8">
        <v>2.8</v>
      </c>
      <c r="E34" s="12">
        <v>0</v>
      </c>
      <c r="F34" s="8">
        <v>0</v>
      </c>
      <c r="G34" s="12">
        <v>3</v>
      </c>
      <c r="H34" s="8">
        <v>5.88</v>
      </c>
      <c r="I34" s="12">
        <v>0</v>
      </c>
    </row>
    <row r="35" spans="2:9" ht="15" customHeight="1" x14ac:dyDescent="0.2">
      <c r="B35" t="s">
        <v>220</v>
      </c>
      <c r="C35" s="12">
        <v>3</v>
      </c>
      <c r="D35" s="8">
        <v>2.8</v>
      </c>
      <c r="E35" s="12">
        <v>3</v>
      </c>
      <c r="F35" s="8">
        <v>5.77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226</v>
      </c>
      <c r="C36" s="12">
        <v>3</v>
      </c>
      <c r="D36" s="8">
        <v>2.8</v>
      </c>
      <c r="E36" s="12">
        <v>1</v>
      </c>
      <c r="F36" s="8">
        <v>1.92</v>
      </c>
      <c r="G36" s="12">
        <v>2</v>
      </c>
      <c r="H36" s="8">
        <v>3.92</v>
      </c>
      <c r="I36" s="12">
        <v>0</v>
      </c>
    </row>
    <row r="37" spans="2:9" ht="15" customHeight="1" x14ac:dyDescent="0.2">
      <c r="B37" t="s">
        <v>243</v>
      </c>
      <c r="C37" s="12">
        <v>3</v>
      </c>
      <c r="D37" s="8">
        <v>2.8</v>
      </c>
      <c r="E37" s="12">
        <v>2</v>
      </c>
      <c r="F37" s="8">
        <v>3.85</v>
      </c>
      <c r="G37" s="12">
        <v>1</v>
      </c>
      <c r="H37" s="8">
        <v>1.96</v>
      </c>
      <c r="I37" s="12">
        <v>0</v>
      </c>
    </row>
    <row r="38" spans="2:9" ht="15" customHeight="1" x14ac:dyDescent="0.2">
      <c r="B38" t="s">
        <v>231</v>
      </c>
      <c r="C38" s="12">
        <v>3</v>
      </c>
      <c r="D38" s="8">
        <v>2.8</v>
      </c>
      <c r="E38" s="12">
        <v>3</v>
      </c>
      <c r="F38" s="8">
        <v>5.77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232</v>
      </c>
      <c r="C39" s="12">
        <v>3</v>
      </c>
      <c r="D39" s="8">
        <v>2.8</v>
      </c>
      <c r="E39" s="12">
        <v>0</v>
      </c>
      <c r="F39" s="8">
        <v>0</v>
      </c>
      <c r="G39" s="12">
        <v>2</v>
      </c>
      <c r="H39" s="8">
        <v>3.92</v>
      </c>
      <c r="I39" s="12">
        <v>0</v>
      </c>
    </row>
    <row r="40" spans="2:9" ht="15" customHeight="1" x14ac:dyDescent="0.2">
      <c r="B40" t="s">
        <v>262</v>
      </c>
      <c r="C40" s="12">
        <v>2</v>
      </c>
      <c r="D40" s="8">
        <v>1.87</v>
      </c>
      <c r="E40" s="12">
        <v>0</v>
      </c>
      <c r="F40" s="8">
        <v>0</v>
      </c>
      <c r="G40" s="12">
        <v>2</v>
      </c>
      <c r="H40" s="8">
        <v>3.92</v>
      </c>
      <c r="I40" s="12">
        <v>0</v>
      </c>
    </row>
    <row r="41" spans="2:9" ht="15" customHeight="1" x14ac:dyDescent="0.2">
      <c r="B41" t="s">
        <v>255</v>
      </c>
      <c r="C41" s="12">
        <v>2</v>
      </c>
      <c r="D41" s="8">
        <v>1.87</v>
      </c>
      <c r="E41" s="12">
        <v>0</v>
      </c>
      <c r="F41" s="8">
        <v>0</v>
      </c>
      <c r="G41" s="12">
        <v>1</v>
      </c>
      <c r="H41" s="8">
        <v>1.96</v>
      </c>
      <c r="I41" s="12">
        <v>0</v>
      </c>
    </row>
    <row r="42" spans="2:9" ht="15" customHeight="1" x14ac:dyDescent="0.2">
      <c r="B42" t="s">
        <v>225</v>
      </c>
      <c r="C42" s="12">
        <v>2</v>
      </c>
      <c r="D42" s="8">
        <v>1.87</v>
      </c>
      <c r="E42" s="12">
        <v>2</v>
      </c>
      <c r="F42" s="8">
        <v>3.85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250</v>
      </c>
      <c r="C43" s="12">
        <v>2</v>
      </c>
      <c r="D43" s="8">
        <v>1.87</v>
      </c>
      <c r="E43" s="12">
        <v>1</v>
      </c>
      <c r="F43" s="8">
        <v>1.92</v>
      </c>
      <c r="G43" s="12">
        <v>0</v>
      </c>
      <c r="H43" s="8">
        <v>0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6</v>
      </c>
      <c r="D47" s="8">
        <v>5.61</v>
      </c>
      <c r="E47" s="12">
        <v>6</v>
      </c>
      <c r="F47" s="8">
        <v>11.54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297</v>
      </c>
      <c r="C48" s="12">
        <v>5</v>
      </c>
      <c r="D48" s="8">
        <v>4.67</v>
      </c>
      <c r="E48" s="12">
        <v>3</v>
      </c>
      <c r="F48" s="8">
        <v>5.77</v>
      </c>
      <c r="G48" s="12">
        <v>2</v>
      </c>
      <c r="H48" s="8">
        <v>3.92</v>
      </c>
      <c r="I48" s="12">
        <v>0</v>
      </c>
    </row>
    <row r="49" spans="2:9" ht="15" customHeight="1" x14ac:dyDescent="0.2">
      <c r="B49" t="s">
        <v>329</v>
      </c>
      <c r="C49" s="12">
        <v>4</v>
      </c>
      <c r="D49" s="8">
        <v>3.74</v>
      </c>
      <c r="E49" s="12">
        <v>3</v>
      </c>
      <c r="F49" s="8">
        <v>5.77</v>
      </c>
      <c r="G49" s="12">
        <v>1</v>
      </c>
      <c r="H49" s="8">
        <v>1.96</v>
      </c>
      <c r="I49" s="12">
        <v>0</v>
      </c>
    </row>
    <row r="50" spans="2:9" ht="15" customHeight="1" x14ac:dyDescent="0.2">
      <c r="B50" t="s">
        <v>300</v>
      </c>
      <c r="C50" s="12">
        <v>4</v>
      </c>
      <c r="D50" s="8">
        <v>3.74</v>
      </c>
      <c r="E50" s="12">
        <v>4</v>
      </c>
      <c r="F50" s="8">
        <v>7.69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305</v>
      </c>
      <c r="C51" s="12">
        <v>4</v>
      </c>
      <c r="D51" s="8">
        <v>3.74</v>
      </c>
      <c r="E51" s="12">
        <v>4</v>
      </c>
      <c r="F51" s="8">
        <v>7.69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413</v>
      </c>
      <c r="C52" s="12">
        <v>3</v>
      </c>
      <c r="D52" s="8">
        <v>2.8</v>
      </c>
      <c r="E52" s="12">
        <v>0</v>
      </c>
      <c r="F52" s="8">
        <v>0</v>
      </c>
      <c r="G52" s="12">
        <v>3</v>
      </c>
      <c r="H52" s="8">
        <v>5.88</v>
      </c>
      <c r="I52" s="12">
        <v>0</v>
      </c>
    </row>
    <row r="53" spans="2:9" ht="15" customHeight="1" x14ac:dyDescent="0.2">
      <c r="B53" t="s">
        <v>350</v>
      </c>
      <c r="C53" s="12">
        <v>3</v>
      </c>
      <c r="D53" s="8">
        <v>2.8</v>
      </c>
      <c r="E53" s="12">
        <v>0</v>
      </c>
      <c r="F53" s="8">
        <v>0</v>
      </c>
      <c r="G53" s="12">
        <v>3</v>
      </c>
      <c r="H53" s="8">
        <v>5.88</v>
      </c>
      <c r="I53" s="12">
        <v>0</v>
      </c>
    </row>
    <row r="54" spans="2:9" ht="15" customHeight="1" x14ac:dyDescent="0.2">
      <c r="B54" t="s">
        <v>292</v>
      </c>
      <c r="C54" s="12">
        <v>3</v>
      </c>
      <c r="D54" s="8">
        <v>2.8</v>
      </c>
      <c r="E54" s="12">
        <v>2</v>
      </c>
      <c r="F54" s="8">
        <v>3.85</v>
      </c>
      <c r="G54" s="12">
        <v>1</v>
      </c>
      <c r="H54" s="8">
        <v>1.96</v>
      </c>
      <c r="I54" s="12">
        <v>0</v>
      </c>
    </row>
    <row r="55" spans="2:9" ht="15" customHeight="1" x14ac:dyDescent="0.2">
      <c r="B55" t="s">
        <v>339</v>
      </c>
      <c r="C55" s="12">
        <v>3</v>
      </c>
      <c r="D55" s="8">
        <v>2.8</v>
      </c>
      <c r="E55" s="12">
        <v>2</v>
      </c>
      <c r="F55" s="8">
        <v>3.85</v>
      </c>
      <c r="G55" s="12">
        <v>1</v>
      </c>
      <c r="H55" s="8">
        <v>1.96</v>
      </c>
      <c r="I55" s="12">
        <v>0</v>
      </c>
    </row>
    <row r="56" spans="2:9" ht="15" customHeight="1" x14ac:dyDescent="0.2">
      <c r="B56" t="s">
        <v>306</v>
      </c>
      <c r="C56" s="12">
        <v>3</v>
      </c>
      <c r="D56" s="8">
        <v>2.8</v>
      </c>
      <c r="E56" s="12">
        <v>3</v>
      </c>
      <c r="F56" s="8">
        <v>5.77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288</v>
      </c>
      <c r="C57" s="12">
        <v>2</v>
      </c>
      <c r="D57" s="8">
        <v>1.87</v>
      </c>
      <c r="E57" s="12">
        <v>0</v>
      </c>
      <c r="F57" s="8">
        <v>0</v>
      </c>
      <c r="G57" s="12">
        <v>2</v>
      </c>
      <c r="H57" s="8">
        <v>3.92</v>
      </c>
      <c r="I57" s="12">
        <v>0</v>
      </c>
    </row>
    <row r="58" spans="2:9" ht="15" customHeight="1" x14ac:dyDescent="0.2">
      <c r="B58" t="s">
        <v>378</v>
      </c>
      <c r="C58" s="12">
        <v>2</v>
      </c>
      <c r="D58" s="8">
        <v>1.87</v>
      </c>
      <c r="E58" s="12">
        <v>0</v>
      </c>
      <c r="F58" s="8">
        <v>0</v>
      </c>
      <c r="G58" s="12">
        <v>2</v>
      </c>
      <c r="H58" s="8">
        <v>3.92</v>
      </c>
      <c r="I58" s="12">
        <v>0</v>
      </c>
    </row>
    <row r="59" spans="2:9" ht="15" customHeight="1" x14ac:dyDescent="0.2">
      <c r="B59" t="s">
        <v>346</v>
      </c>
      <c r="C59" s="12">
        <v>2</v>
      </c>
      <c r="D59" s="8">
        <v>1.87</v>
      </c>
      <c r="E59" s="12">
        <v>0</v>
      </c>
      <c r="F59" s="8">
        <v>0</v>
      </c>
      <c r="G59" s="12">
        <v>2</v>
      </c>
      <c r="H59" s="8">
        <v>3.92</v>
      </c>
      <c r="I59" s="12">
        <v>0</v>
      </c>
    </row>
    <row r="60" spans="2:9" ht="15" customHeight="1" x14ac:dyDescent="0.2">
      <c r="B60" t="s">
        <v>295</v>
      </c>
      <c r="C60" s="12">
        <v>2</v>
      </c>
      <c r="D60" s="8">
        <v>1.87</v>
      </c>
      <c r="E60" s="12">
        <v>1</v>
      </c>
      <c r="F60" s="8">
        <v>1.92</v>
      </c>
      <c r="G60" s="12">
        <v>1</v>
      </c>
      <c r="H60" s="8">
        <v>1.96</v>
      </c>
      <c r="I60" s="12">
        <v>0</v>
      </c>
    </row>
    <row r="61" spans="2:9" ht="15" customHeight="1" x14ac:dyDescent="0.2">
      <c r="B61" t="s">
        <v>296</v>
      </c>
      <c r="C61" s="12">
        <v>2</v>
      </c>
      <c r="D61" s="8">
        <v>1.87</v>
      </c>
      <c r="E61" s="12">
        <v>0</v>
      </c>
      <c r="F61" s="8">
        <v>0</v>
      </c>
      <c r="G61" s="12">
        <v>2</v>
      </c>
      <c r="H61" s="8">
        <v>3.92</v>
      </c>
      <c r="I61" s="12">
        <v>0</v>
      </c>
    </row>
    <row r="62" spans="2:9" ht="15" customHeight="1" x14ac:dyDescent="0.2">
      <c r="B62" t="s">
        <v>334</v>
      </c>
      <c r="C62" s="12">
        <v>2</v>
      </c>
      <c r="D62" s="8">
        <v>1.87</v>
      </c>
      <c r="E62" s="12">
        <v>2</v>
      </c>
      <c r="F62" s="8">
        <v>3.85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299</v>
      </c>
      <c r="C63" s="12">
        <v>2</v>
      </c>
      <c r="D63" s="8">
        <v>1.87</v>
      </c>
      <c r="E63" s="12">
        <v>2</v>
      </c>
      <c r="F63" s="8">
        <v>3.85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317</v>
      </c>
      <c r="C64" s="12">
        <v>2</v>
      </c>
      <c r="D64" s="8">
        <v>1.87</v>
      </c>
      <c r="E64" s="12">
        <v>1</v>
      </c>
      <c r="F64" s="8">
        <v>1.92</v>
      </c>
      <c r="G64" s="12">
        <v>1</v>
      </c>
      <c r="H64" s="8">
        <v>1.96</v>
      </c>
      <c r="I64" s="12">
        <v>0</v>
      </c>
    </row>
    <row r="65" spans="2:9" ht="15" customHeight="1" x14ac:dyDescent="0.2">
      <c r="B65" t="s">
        <v>427</v>
      </c>
      <c r="C65" s="12">
        <v>1</v>
      </c>
      <c r="D65" s="8">
        <v>0.93</v>
      </c>
      <c r="E65" s="12">
        <v>0</v>
      </c>
      <c r="F65" s="8">
        <v>0</v>
      </c>
      <c r="G65" s="12">
        <v>1</v>
      </c>
      <c r="H65" s="8">
        <v>1.96</v>
      </c>
      <c r="I65" s="12">
        <v>0</v>
      </c>
    </row>
    <row r="66" spans="2:9" ht="15" customHeight="1" x14ac:dyDescent="0.2">
      <c r="B66" t="s">
        <v>398</v>
      </c>
      <c r="C66" s="12">
        <v>1</v>
      </c>
      <c r="D66" s="8">
        <v>0.93</v>
      </c>
      <c r="E66" s="12">
        <v>0</v>
      </c>
      <c r="F66" s="8">
        <v>0</v>
      </c>
      <c r="G66" s="12">
        <v>1</v>
      </c>
      <c r="H66" s="8">
        <v>1.96</v>
      </c>
      <c r="I66" s="12">
        <v>0</v>
      </c>
    </row>
    <row r="67" spans="2:9" ht="15" customHeight="1" x14ac:dyDescent="0.2">
      <c r="B67" t="s">
        <v>328</v>
      </c>
      <c r="C67" s="12">
        <v>1</v>
      </c>
      <c r="D67" s="8">
        <v>0.93</v>
      </c>
      <c r="E67" s="12">
        <v>0</v>
      </c>
      <c r="F67" s="8">
        <v>0</v>
      </c>
      <c r="G67" s="12">
        <v>1</v>
      </c>
      <c r="H67" s="8">
        <v>1.96</v>
      </c>
      <c r="I67" s="12">
        <v>0</v>
      </c>
    </row>
    <row r="68" spans="2:9" ht="15" customHeight="1" x14ac:dyDescent="0.2">
      <c r="B68" t="s">
        <v>375</v>
      </c>
      <c r="C68" s="12">
        <v>1</v>
      </c>
      <c r="D68" s="8">
        <v>0.93</v>
      </c>
      <c r="E68" s="12">
        <v>0</v>
      </c>
      <c r="F68" s="8">
        <v>0</v>
      </c>
      <c r="G68" s="12">
        <v>1</v>
      </c>
      <c r="H68" s="8">
        <v>1.96</v>
      </c>
      <c r="I68" s="12">
        <v>0</v>
      </c>
    </row>
    <row r="69" spans="2:9" ht="15" customHeight="1" x14ac:dyDescent="0.2">
      <c r="B69" t="s">
        <v>450</v>
      </c>
      <c r="C69" s="12">
        <v>1</v>
      </c>
      <c r="D69" s="8">
        <v>0.93</v>
      </c>
      <c r="E69" s="12">
        <v>0</v>
      </c>
      <c r="F69" s="8">
        <v>0</v>
      </c>
      <c r="G69" s="12">
        <v>1</v>
      </c>
      <c r="H69" s="8">
        <v>1.96</v>
      </c>
      <c r="I69" s="12">
        <v>0</v>
      </c>
    </row>
    <row r="70" spans="2:9" ht="15" customHeight="1" x14ac:dyDescent="0.2">
      <c r="B70" t="s">
        <v>333</v>
      </c>
      <c r="C70" s="12">
        <v>1</v>
      </c>
      <c r="D70" s="8">
        <v>0.93</v>
      </c>
      <c r="E70" s="12">
        <v>0</v>
      </c>
      <c r="F70" s="8">
        <v>0</v>
      </c>
      <c r="G70" s="12">
        <v>1</v>
      </c>
      <c r="H70" s="8">
        <v>1.96</v>
      </c>
      <c r="I70" s="12">
        <v>0</v>
      </c>
    </row>
    <row r="71" spans="2:9" ht="15" customHeight="1" x14ac:dyDescent="0.2">
      <c r="B71" t="s">
        <v>320</v>
      </c>
      <c r="C71" s="12">
        <v>1</v>
      </c>
      <c r="D71" s="8">
        <v>0.93</v>
      </c>
      <c r="E71" s="12">
        <v>1</v>
      </c>
      <c r="F71" s="8">
        <v>1.92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290</v>
      </c>
      <c r="C72" s="12">
        <v>1</v>
      </c>
      <c r="D72" s="8">
        <v>0.93</v>
      </c>
      <c r="E72" s="12">
        <v>0</v>
      </c>
      <c r="F72" s="8">
        <v>0</v>
      </c>
      <c r="G72" s="12">
        <v>1</v>
      </c>
      <c r="H72" s="8">
        <v>1.96</v>
      </c>
      <c r="I72" s="12">
        <v>0</v>
      </c>
    </row>
    <row r="73" spans="2:9" ht="15" customHeight="1" x14ac:dyDescent="0.2">
      <c r="B73" t="s">
        <v>376</v>
      </c>
      <c r="C73" s="12">
        <v>1</v>
      </c>
      <c r="D73" s="8">
        <v>0.93</v>
      </c>
      <c r="E73" s="12">
        <v>0</v>
      </c>
      <c r="F73" s="8">
        <v>0</v>
      </c>
      <c r="G73" s="12">
        <v>1</v>
      </c>
      <c r="H73" s="8">
        <v>1.96</v>
      </c>
      <c r="I73" s="12">
        <v>0</v>
      </c>
    </row>
    <row r="74" spans="2:9" ht="15" customHeight="1" x14ac:dyDescent="0.2">
      <c r="B74" t="s">
        <v>517</v>
      </c>
      <c r="C74" s="12">
        <v>1</v>
      </c>
      <c r="D74" s="8">
        <v>0.93</v>
      </c>
      <c r="E74" s="12">
        <v>0</v>
      </c>
      <c r="F74" s="8">
        <v>0</v>
      </c>
      <c r="G74" s="12">
        <v>1</v>
      </c>
      <c r="H74" s="8">
        <v>1.96</v>
      </c>
      <c r="I74" s="12">
        <v>0</v>
      </c>
    </row>
    <row r="75" spans="2:9" ht="15" customHeight="1" x14ac:dyDescent="0.2">
      <c r="B75" t="s">
        <v>424</v>
      </c>
      <c r="C75" s="12">
        <v>1</v>
      </c>
      <c r="D75" s="8">
        <v>0.93</v>
      </c>
      <c r="E75" s="12">
        <v>0</v>
      </c>
      <c r="F75" s="8">
        <v>0</v>
      </c>
      <c r="G75" s="12">
        <v>1</v>
      </c>
      <c r="H75" s="8">
        <v>1.96</v>
      </c>
      <c r="I75" s="12">
        <v>0</v>
      </c>
    </row>
    <row r="76" spans="2:9" ht="15" customHeight="1" x14ac:dyDescent="0.2">
      <c r="B76" t="s">
        <v>461</v>
      </c>
      <c r="C76" s="12">
        <v>1</v>
      </c>
      <c r="D76" s="8">
        <v>0.93</v>
      </c>
      <c r="E76" s="12">
        <v>0</v>
      </c>
      <c r="F76" s="8">
        <v>0</v>
      </c>
      <c r="G76" s="12">
        <v>1</v>
      </c>
      <c r="H76" s="8">
        <v>1.96</v>
      </c>
      <c r="I76" s="12">
        <v>0</v>
      </c>
    </row>
    <row r="77" spans="2:9" ht="15" customHeight="1" x14ac:dyDescent="0.2">
      <c r="B77" t="s">
        <v>518</v>
      </c>
      <c r="C77" s="12">
        <v>1</v>
      </c>
      <c r="D77" s="8">
        <v>0.93</v>
      </c>
      <c r="E77" s="12">
        <v>0</v>
      </c>
      <c r="F77" s="8">
        <v>0</v>
      </c>
      <c r="G77" s="12">
        <v>1</v>
      </c>
      <c r="H77" s="8">
        <v>1.96</v>
      </c>
      <c r="I77" s="12">
        <v>0</v>
      </c>
    </row>
    <row r="78" spans="2:9" ht="15" customHeight="1" x14ac:dyDescent="0.2">
      <c r="B78" t="s">
        <v>385</v>
      </c>
      <c r="C78" s="12">
        <v>1</v>
      </c>
      <c r="D78" s="8">
        <v>0.93</v>
      </c>
      <c r="E78" s="12">
        <v>0</v>
      </c>
      <c r="F78" s="8">
        <v>0</v>
      </c>
      <c r="G78" s="12">
        <v>1</v>
      </c>
      <c r="H78" s="8">
        <v>1.96</v>
      </c>
      <c r="I78" s="12">
        <v>0</v>
      </c>
    </row>
    <row r="79" spans="2:9" ht="15" customHeight="1" x14ac:dyDescent="0.2">
      <c r="B79" t="s">
        <v>465</v>
      </c>
      <c r="C79" s="12">
        <v>1</v>
      </c>
      <c r="D79" s="8">
        <v>0.93</v>
      </c>
      <c r="E79" s="12">
        <v>0</v>
      </c>
      <c r="F79" s="8">
        <v>0</v>
      </c>
      <c r="G79" s="12">
        <v>1</v>
      </c>
      <c r="H79" s="8">
        <v>1.96</v>
      </c>
      <c r="I79" s="12">
        <v>0</v>
      </c>
    </row>
    <row r="80" spans="2:9" ht="15" customHeight="1" x14ac:dyDescent="0.2">
      <c r="B80" t="s">
        <v>386</v>
      </c>
      <c r="C80" s="12">
        <v>1</v>
      </c>
      <c r="D80" s="8">
        <v>0.93</v>
      </c>
      <c r="E80" s="12">
        <v>0</v>
      </c>
      <c r="F80" s="8">
        <v>0</v>
      </c>
      <c r="G80" s="12">
        <v>1</v>
      </c>
      <c r="H80" s="8">
        <v>1.96</v>
      </c>
      <c r="I80" s="12">
        <v>0</v>
      </c>
    </row>
    <row r="81" spans="2:9" ht="15" customHeight="1" x14ac:dyDescent="0.2">
      <c r="B81" t="s">
        <v>387</v>
      </c>
      <c r="C81" s="12">
        <v>1</v>
      </c>
      <c r="D81" s="8">
        <v>0.93</v>
      </c>
      <c r="E81" s="12">
        <v>0</v>
      </c>
      <c r="F81" s="8">
        <v>0</v>
      </c>
      <c r="G81" s="12">
        <v>1</v>
      </c>
      <c r="H81" s="8">
        <v>1.96</v>
      </c>
      <c r="I81" s="12">
        <v>0</v>
      </c>
    </row>
    <row r="82" spans="2:9" ht="15" customHeight="1" x14ac:dyDescent="0.2">
      <c r="B82" t="s">
        <v>362</v>
      </c>
      <c r="C82" s="12">
        <v>1</v>
      </c>
      <c r="D82" s="8">
        <v>0.93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407</v>
      </c>
      <c r="C83" s="12">
        <v>1</v>
      </c>
      <c r="D83" s="8">
        <v>0.93</v>
      </c>
      <c r="E83" s="12">
        <v>0</v>
      </c>
      <c r="F83" s="8">
        <v>0</v>
      </c>
      <c r="G83" s="12">
        <v>1</v>
      </c>
      <c r="H83" s="8">
        <v>1.96</v>
      </c>
      <c r="I83" s="12">
        <v>0</v>
      </c>
    </row>
    <row r="84" spans="2:9" ht="15" customHeight="1" x14ac:dyDescent="0.2">
      <c r="B84" t="s">
        <v>452</v>
      </c>
      <c r="C84" s="12">
        <v>1</v>
      </c>
      <c r="D84" s="8">
        <v>0.93</v>
      </c>
      <c r="E84" s="12">
        <v>0</v>
      </c>
      <c r="F84" s="8">
        <v>0</v>
      </c>
      <c r="G84" s="12">
        <v>1</v>
      </c>
      <c r="H84" s="8">
        <v>1.96</v>
      </c>
      <c r="I84" s="12">
        <v>0</v>
      </c>
    </row>
    <row r="85" spans="2:9" ht="15" customHeight="1" x14ac:dyDescent="0.2">
      <c r="B85" t="s">
        <v>421</v>
      </c>
      <c r="C85" s="12">
        <v>1</v>
      </c>
      <c r="D85" s="8">
        <v>0.93</v>
      </c>
      <c r="E85" s="12">
        <v>0</v>
      </c>
      <c r="F85" s="8">
        <v>0</v>
      </c>
      <c r="G85" s="12">
        <v>1</v>
      </c>
      <c r="H85" s="8">
        <v>1.96</v>
      </c>
      <c r="I85" s="12">
        <v>0</v>
      </c>
    </row>
    <row r="86" spans="2:9" ht="15" customHeight="1" x14ac:dyDescent="0.2">
      <c r="B86" t="s">
        <v>479</v>
      </c>
      <c r="C86" s="12">
        <v>1</v>
      </c>
      <c r="D86" s="8">
        <v>0.93</v>
      </c>
      <c r="E86" s="12">
        <v>0</v>
      </c>
      <c r="F86" s="8">
        <v>0</v>
      </c>
      <c r="G86" s="12">
        <v>1</v>
      </c>
      <c r="H86" s="8">
        <v>1.96</v>
      </c>
      <c r="I86" s="12">
        <v>0</v>
      </c>
    </row>
    <row r="87" spans="2:9" ht="15" customHeight="1" x14ac:dyDescent="0.2">
      <c r="B87" t="s">
        <v>400</v>
      </c>
      <c r="C87" s="12">
        <v>1</v>
      </c>
      <c r="D87" s="8">
        <v>0.93</v>
      </c>
      <c r="E87" s="12">
        <v>1</v>
      </c>
      <c r="F87" s="8">
        <v>1.92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314</v>
      </c>
      <c r="C88" s="12">
        <v>1</v>
      </c>
      <c r="D88" s="8">
        <v>0.93</v>
      </c>
      <c r="E88" s="12">
        <v>1</v>
      </c>
      <c r="F88" s="8">
        <v>1.92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382</v>
      </c>
      <c r="C89" s="12">
        <v>1</v>
      </c>
      <c r="D89" s="8">
        <v>0.93</v>
      </c>
      <c r="E89" s="12">
        <v>1</v>
      </c>
      <c r="F89" s="8">
        <v>1.92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336</v>
      </c>
      <c r="C90" s="12">
        <v>1</v>
      </c>
      <c r="D90" s="8">
        <v>0.93</v>
      </c>
      <c r="E90" s="12">
        <v>0</v>
      </c>
      <c r="F90" s="8">
        <v>0</v>
      </c>
      <c r="G90" s="12">
        <v>1</v>
      </c>
      <c r="H90" s="8">
        <v>1.96</v>
      </c>
      <c r="I90" s="12">
        <v>0</v>
      </c>
    </row>
    <row r="91" spans="2:9" ht="15" customHeight="1" x14ac:dyDescent="0.2">
      <c r="B91" t="s">
        <v>366</v>
      </c>
      <c r="C91" s="12">
        <v>1</v>
      </c>
      <c r="D91" s="8">
        <v>0.93</v>
      </c>
      <c r="E91" s="12">
        <v>0</v>
      </c>
      <c r="F91" s="8">
        <v>0</v>
      </c>
      <c r="G91" s="12">
        <v>1</v>
      </c>
      <c r="H91" s="8">
        <v>1.96</v>
      </c>
      <c r="I91" s="12">
        <v>0</v>
      </c>
    </row>
    <row r="92" spans="2:9" ht="15" customHeight="1" x14ac:dyDescent="0.2">
      <c r="B92" t="s">
        <v>293</v>
      </c>
      <c r="C92" s="12">
        <v>1</v>
      </c>
      <c r="D92" s="8">
        <v>0.93</v>
      </c>
      <c r="E92" s="12">
        <v>1</v>
      </c>
      <c r="F92" s="8">
        <v>1.92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330</v>
      </c>
      <c r="C93" s="12">
        <v>1</v>
      </c>
      <c r="D93" s="8">
        <v>0.93</v>
      </c>
      <c r="E93" s="12">
        <v>1</v>
      </c>
      <c r="F93" s="8">
        <v>1.92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337</v>
      </c>
      <c r="C94" s="12">
        <v>1</v>
      </c>
      <c r="D94" s="8">
        <v>0.93</v>
      </c>
      <c r="E94" s="12">
        <v>1</v>
      </c>
      <c r="F94" s="8">
        <v>1.92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338</v>
      </c>
      <c r="C95" s="12">
        <v>1</v>
      </c>
      <c r="D95" s="8">
        <v>0.93</v>
      </c>
      <c r="E95" s="12">
        <v>1</v>
      </c>
      <c r="F95" s="8">
        <v>1.92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415</v>
      </c>
      <c r="C96" s="12">
        <v>1</v>
      </c>
      <c r="D96" s="8">
        <v>0.93</v>
      </c>
      <c r="E96" s="12">
        <v>0</v>
      </c>
      <c r="F96" s="8">
        <v>0</v>
      </c>
      <c r="G96" s="12">
        <v>1</v>
      </c>
      <c r="H96" s="8">
        <v>1.96</v>
      </c>
      <c r="I96" s="12">
        <v>0</v>
      </c>
    </row>
    <row r="97" spans="2:9" ht="15" customHeight="1" x14ac:dyDescent="0.2">
      <c r="B97" t="s">
        <v>416</v>
      </c>
      <c r="C97" s="12">
        <v>1</v>
      </c>
      <c r="D97" s="8">
        <v>0.93</v>
      </c>
      <c r="E97" s="12">
        <v>1</v>
      </c>
      <c r="F97" s="8">
        <v>1.92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495</v>
      </c>
      <c r="C98" s="12">
        <v>1</v>
      </c>
      <c r="D98" s="8">
        <v>0.93</v>
      </c>
      <c r="E98" s="12">
        <v>1</v>
      </c>
      <c r="F98" s="8">
        <v>1.92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298</v>
      </c>
      <c r="C99" s="12">
        <v>1</v>
      </c>
      <c r="D99" s="8">
        <v>0.93</v>
      </c>
      <c r="E99" s="12">
        <v>0</v>
      </c>
      <c r="F99" s="8">
        <v>0</v>
      </c>
      <c r="G99" s="12">
        <v>1</v>
      </c>
      <c r="H99" s="8">
        <v>1.96</v>
      </c>
      <c r="I99" s="12">
        <v>0</v>
      </c>
    </row>
    <row r="100" spans="2:9" ht="15" customHeight="1" x14ac:dyDescent="0.2">
      <c r="B100" t="s">
        <v>409</v>
      </c>
      <c r="C100" s="12">
        <v>1</v>
      </c>
      <c r="D100" s="8">
        <v>0.93</v>
      </c>
      <c r="E100" s="12">
        <v>1</v>
      </c>
      <c r="F100" s="8">
        <v>1.92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418</v>
      </c>
      <c r="C101" s="12">
        <v>1</v>
      </c>
      <c r="D101" s="8">
        <v>0.93</v>
      </c>
      <c r="E101" s="12">
        <v>0</v>
      </c>
      <c r="F101" s="8">
        <v>0</v>
      </c>
      <c r="G101" s="12">
        <v>1</v>
      </c>
      <c r="H101" s="8">
        <v>1.96</v>
      </c>
      <c r="I101" s="12">
        <v>0</v>
      </c>
    </row>
    <row r="102" spans="2:9" ht="15" customHeight="1" x14ac:dyDescent="0.2">
      <c r="B102" t="s">
        <v>301</v>
      </c>
      <c r="C102" s="12">
        <v>1</v>
      </c>
      <c r="D102" s="8">
        <v>0.93</v>
      </c>
      <c r="E102" s="12">
        <v>1</v>
      </c>
      <c r="F102" s="8">
        <v>1.92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302</v>
      </c>
      <c r="C103" s="12">
        <v>1</v>
      </c>
      <c r="D103" s="8">
        <v>0.93</v>
      </c>
      <c r="E103" s="12">
        <v>1</v>
      </c>
      <c r="F103" s="8">
        <v>1.92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323</v>
      </c>
      <c r="C104" s="12">
        <v>1</v>
      </c>
      <c r="D104" s="8">
        <v>0.93</v>
      </c>
      <c r="E104" s="12">
        <v>1</v>
      </c>
      <c r="F104" s="8">
        <v>1.92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303</v>
      </c>
      <c r="C105" s="12">
        <v>1</v>
      </c>
      <c r="D105" s="8">
        <v>0.93</v>
      </c>
      <c r="E105" s="12">
        <v>1</v>
      </c>
      <c r="F105" s="8">
        <v>1.92</v>
      </c>
      <c r="G105" s="12">
        <v>0</v>
      </c>
      <c r="H105" s="8">
        <v>0</v>
      </c>
      <c r="I105" s="12">
        <v>0</v>
      </c>
    </row>
    <row r="106" spans="2:9" ht="15" customHeight="1" x14ac:dyDescent="0.2">
      <c r="B106" t="s">
        <v>411</v>
      </c>
      <c r="C106" s="12">
        <v>1</v>
      </c>
      <c r="D106" s="8">
        <v>0.93</v>
      </c>
      <c r="E106" s="12">
        <v>0</v>
      </c>
      <c r="F106" s="8">
        <v>0</v>
      </c>
      <c r="G106" s="12">
        <v>1</v>
      </c>
      <c r="H106" s="8">
        <v>1.96</v>
      </c>
      <c r="I106" s="12">
        <v>0</v>
      </c>
    </row>
    <row r="107" spans="2:9" ht="15" customHeight="1" x14ac:dyDescent="0.2">
      <c r="B107" t="s">
        <v>340</v>
      </c>
      <c r="C107" s="12">
        <v>1</v>
      </c>
      <c r="D107" s="8">
        <v>0.93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2">
      <c r="B108" t="s">
        <v>327</v>
      </c>
      <c r="C108" s="12">
        <v>1</v>
      </c>
      <c r="D108" s="8">
        <v>0.93</v>
      </c>
      <c r="E108" s="12">
        <v>1</v>
      </c>
      <c r="F108" s="8">
        <v>1.92</v>
      </c>
      <c r="G108" s="12">
        <v>0</v>
      </c>
      <c r="H108" s="8">
        <v>0</v>
      </c>
      <c r="I108" s="12">
        <v>0</v>
      </c>
    </row>
    <row r="109" spans="2:9" ht="15" customHeight="1" x14ac:dyDescent="0.2">
      <c r="B109" t="s">
        <v>519</v>
      </c>
      <c r="C109" s="12">
        <v>1</v>
      </c>
      <c r="D109" s="8">
        <v>0.93</v>
      </c>
      <c r="E109" s="12">
        <v>0</v>
      </c>
      <c r="F109" s="8">
        <v>0</v>
      </c>
      <c r="G109" s="12">
        <v>1</v>
      </c>
      <c r="H109" s="8">
        <v>1.96</v>
      </c>
      <c r="I109" s="12">
        <v>0</v>
      </c>
    </row>
    <row r="110" spans="2:9" ht="15" customHeight="1" x14ac:dyDescent="0.2">
      <c r="B110" t="s">
        <v>341</v>
      </c>
      <c r="C110" s="12">
        <v>1</v>
      </c>
      <c r="D110" s="8">
        <v>0.93</v>
      </c>
      <c r="E110" s="12">
        <v>0</v>
      </c>
      <c r="F110" s="8">
        <v>0</v>
      </c>
      <c r="G110" s="12">
        <v>0</v>
      </c>
      <c r="H110" s="8">
        <v>0</v>
      </c>
      <c r="I110" s="12">
        <v>0</v>
      </c>
    </row>
    <row r="111" spans="2:9" ht="15" customHeight="1" x14ac:dyDescent="0.2">
      <c r="B111" t="s">
        <v>331</v>
      </c>
      <c r="C111" s="12">
        <v>1</v>
      </c>
      <c r="D111" s="8">
        <v>0.93</v>
      </c>
      <c r="E111" s="12">
        <v>0</v>
      </c>
      <c r="F111" s="8">
        <v>0</v>
      </c>
      <c r="G111" s="12">
        <v>1</v>
      </c>
      <c r="H111" s="8">
        <v>1.96</v>
      </c>
      <c r="I111" s="12">
        <v>0</v>
      </c>
    </row>
    <row r="112" spans="2:9" ht="15" customHeight="1" x14ac:dyDescent="0.2">
      <c r="B112" t="s">
        <v>347</v>
      </c>
      <c r="C112" s="12">
        <v>1</v>
      </c>
      <c r="D112" s="8">
        <v>0.93</v>
      </c>
      <c r="E112" s="12">
        <v>0</v>
      </c>
      <c r="F112" s="8">
        <v>0</v>
      </c>
      <c r="G112" s="12">
        <v>1</v>
      </c>
      <c r="H112" s="8">
        <v>1.96</v>
      </c>
      <c r="I112" s="12">
        <v>0</v>
      </c>
    </row>
    <row r="113" spans="2:9" ht="15" customHeight="1" x14ac:dyDescent="0.2">
      <c r="B113" t="s">
        <v>307</v>
      </c>
      <c r="C113" s="12">
        <v>1</v>
      </c>
      <c r="D113" s="8">
        <v>0.93</v>
      </c>
      <c r="E113" s="12">
        <v>1</v>
      </c>
      <c r="F113" s="8">
        <v>1.92</v>
      </c>
      <c r="G113" s="12">
        <v>0</v>
      </c>
      <c r="H113" s="8">
        <v>0</v>
      </c>
      <c r="I113" s="12">
        <v>0</v>
      </c>
    </row>
    <row r="114" spans="2:9" ht="15" customHeight="1" x14ac:dyDescent="0.2">
      <c r="B114" t="s">
        <v>371</v>
      </c>
      <c r="C114" s="12">
        <v>1</v>
      </c>
      <c r="D114" s="8">
        <v>0.93</v>
      </c>
      <c r="E114" s="12">
        <v>1</v>
      </c>
      <c r="F114" s="8">
        <v>1.92</v>
      </c>
      <c r="G114" s="12">
        <v>0</v>
      </c>
      <c r="H114" s="8">
        <v>0</v>
      </c>
      <c r="I114" s="12">
        <v>0</v>
      </c>
    </row>
    <row r="115" spans="2:9" ht="15" customHeight="1" x14ac:dyDescent="0.2">
      <c r="B115" t="s">
        <v>318</v>
      </c>
      <c r="C115" s="12">
        <v>1</v>
      </c>
      <c r="D115" s="8">
        <v>0.93</v>
      </c>
      <c r="E115" s="12">
        <v>0</v>
      </c>
      <c r="F115" s="8">
        <v>0</v>
      </c>
      <c r="G115" s="12">
        <v>1</v>
      </c>
      <c r="H115" s="8">
        <v>1.96</v>
      </c>
      <c r="I115" s="12">
        <v>0</v>
      </c>
    </row>
    <row r="116" spans="2:9" ht="15" customHeight="1" x14ac:dyDescent="0.2">
      <c r="B116" t="s">
        <v>345</v>
      </c>
      <c r="C116" s="12">
        <v>1</v>
      </c>
      <c r="D116" s="8">
        <v>0.93</v>
      </c>
      <c r="E116" s="12">
        <v>1</v>
      </c>
      <c r="F116" s="8">
        <v>1.92</v>
      </c>
      <c r="G116" s="12">
        <v>0</v>
      </c>
      <c r="H116" s="8">
        <v>0</v>
      </c>
      <c r="I116" s="12">
        <v>0</v>
      </c>
    </row>
    <row r="117" spans="2:9" ht="15" customHeight="1" x14ac:dyDescent="0.2">
      <c r="B117" t="s">
        <v>456</v>
      </c>
      <c r="C117" s="12">
        <v>1</v>
      </c>
      <c r="D117" s="8">
        <v>0.93</v>
      </c>
      <c r="E117" s="12">
        <v>0</v>
      </c>
      <c r="F117" s="8">
        <v>0</v>
      </c>
      <c r="G117" s="12">
        <v>0</v>
      </c>
      <c r="H117" s="8">
        <v>0</v>
      </c>
      <c r="I117" s="12">
        <v>0</v>
      </c>
    </row>
    <row r="119" spans="2:9" ht="15" customHeight="1" x14ac:dyDescent="0.2">
      <c r="B11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65B8D-2049-478A-8E3E-1695EA6C608C}">
  <sheetPr>
    <pageSetUpPr fitToPage="1"/>
  </sheetPr>
  <dimension ref="B2:I9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</v>
      </c>
      <c r="D6" s="8">
        <v>3.23</v>
      </c>
      <c r="E6" s="12">
        <v>0</v>
      </c>
      <c r="F6" s="8">
        <v>0</v>
      </c>
      <c r="G6" s="12">
        <v>2</v>
      </c>
      <c r="H6" s="8">
        <v>7.69</v>
      </c>
      <c r="I6" s="12">
        <v>0</v>
      </c>
    </row>
    <row r="7" spans="2:9" ht="15" customHeight="1" x14ac:dyDescent="0.2">
      <c r="B7" t="s">
        <v>192</v>
      </c>
      <c r="C7" s="12">
        <v>3</v>
      </c>
      <c r="D7" s="8">
        <v>4.84</v>
      </c>
      <c r="E7" s="12">
        <v>1</v>
      </c>
      <c r="F7" s="8">
        <v>2.86</v>
      </c>
      <c r="G7" s="12">
        <v>2</v>
      </c>
      <c r="H7" s="8">
        <v>7.69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3.23</v>
      </c>
      <c r="E8" s="12">
        <v>0</v>
      </c>
      <c r="F8" s="8">
        <v>0</v>
      </c>
      <c r="G8" s="12">
        <v>1</v>
      </c>
      <c r="H8" s="8">
        <v>3.85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1.61</v>
      </c>
      <c r="E9" s="12">
        <v>0</v>
      </c>
      <c r="F9" s="8">
        <v>0</v>
      </c>
      <c r="G9" s="12">
        <v>1</v>
      </c>
      <c r="H9" s="8">
        <v>3.85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20</v>
      </c>
      <c r="D11" s="8">
        <v>32.26</v>
      </c>
      <c r="E11" s="12">
        <v>10</v>
      </c>
      <c r="F11" s="8">
        <v>28.57</v>
      </c>
      <c r="G11" s="12">
        <v>10</v>
      </c>
      <c r="H11" s="8">
        <v>38.46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3.23</v>
      </c>
      <c r="E13" s="12">
        <v>1</v>
      </c>
      <c r="F13" s="8">
        <v>2.86</v>
      </c>
      <c r="G13" s="12">
        <v>1</v>
      </c>
      <c r="H13" s="8">
        <v>3.85</v>
      </c>
      <c r="I13" s="12">
        <v>0</v>
      </c>
    </row>
    <row r="14" spans="2:9" ht="15" customHeight="1" x14ac:dyDescent="0.2">
      <c r="B14" t="s">
        <v>199</v>
      </c>
      <c r="C14" s="12">
        <v>6</v>
      </c>
      <c r="D14" s="8">
        <v>9.68</v>
      </c>
      <c r="E14" s="12">
        <v>1</v>
      </c>
      <c r="F14" s="8">
        <v>2.86</v>
      </c>
      <c r="G14" s="12">
        <v>5</v>
      </c>
      <c r="H14" s="8">
        <v>19.23</v>
      </c>
      <c r="I14" s="12">
        <v>0</v>
      </c>
    </row>
    <row r="15" spans="2:9" ht="15" customHeight="1" x14ac:dyDescent="0.2">
      <c r="B15" t="s">
        <v>200</v>
      </c>
      <c r="C15" s="12">
        <v>12</v>
      </c>
      <c r="D15" s="8">
        <v>19.350000000000001</v>
      </c>
      <c r="E15" s="12">
        <v>11</v>
      </c>
      <c r="F15" s="8">
        <v>31.43</v>
      </c>
      <c r="G15" s="12">
        <v>1</v>
      </c>
      <c r="H15" s="8">
        <v>3.85</v>
      </c>
      <c r="I15" s="12">
        <v>0</v>
      </c>
    </row>
    <row r="16" spans="2:9" ht="15" customHeight="1" x14ac:dyDescent="0.2">
      <c r="B16" t="s">
        <v>201</v>
      </c>
      <c r="C16" s="12">
        <v>5</v>
      </c>
      <c r="D16" s="8">
        <v>8.06</v>
      </c>
      <c r="E16" s="12">
        <v>4</v>
      </c>
      <c r="F16" s="8">
        <v>11.43</v>
      </c>
      <c r="G16" s="12">
        <v>1</v>
      </c>
      <c r="H16" s="8">
        <v>3.85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8.06</v>
      </c>
      <c r="E17" s="12">
        <v>5</v>
      </c>
      <c r="F17" s="8">
        <v>14.29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6.45</v>
      </c>
      <c r="E18" s="12">
        <v>2</v>
      </c>
      <c r="F18" s="8">
        <v>5.71</v>
      </c>
      <c r="G18" s="12">
        <v>2</v>
      </c>
      <c r="H18" s="8">
        <v>7.69</v>
      </c>
      <c r="I18" s="12">
        <v>0</v>
      </c>
    </row>
    <row r="19" spans="2:9" ht="15" customHeight="1" x14ac:dyDescent="0.2">
      <c r="B19" t="s">
        <v>204</v>
      </c>
      <c r="C19" s="12">
        <v>0</v>
      </c>
      <c r="D19" s="8">
        <v>0</v>
      </c>
      <c r="E19" s="12">
        <v>0</v>
      </c>
      <c r="F19" s="8">
        <v>0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SUM(LTBL_01639[総数／事業所数])</f>
        <v>62</v>
      </c>
      <c r="E20" s="12">
        <f>SUBTOTAL(109,LTBL_01639[個人／事業所数])</f>
        <v>35</v>
      </c>
      <c r="G20" s="12">
        <f>SUBTOTAL(109,LTBL_01639[法人／事業所数])</f>
        <v>26</v>
      </c>
      <c r="I20" s="12">
        <f>SUBTOTAL(109,LTBL_01639[法人以外の団体／事業所数])</f>
        <v>0</v>
      </c>
    </row>
    <row r="21" spans="2:9" ht="15" customHeight="1" x14ac:dyDescent="0.2">
      <c r="E21" s="11">
        <f>LTBL_01639[[#Totals],[個人／事業所数]]/LTBL_01639[[#Totals],[総数／事業所数]]</f>
        <v>0.56451612903225812</v>
      </c>
      <c r="G21" s="11">
        <f>LTBL_01639[[#Totals],[法人／事業所数]]/LTBL_01639[[#Totals],[総数／事業所数]]</f>
        <v>0.41935483870967744</v>
      </c>
      <c r="I21" s="11">
        <f>LTBL_01639[[#Totals],[法人以外の団体／事業所数]]/LTBL_01639[[#Totals],[総数／事業所数]]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11</v>
      </c>
      <c r="D24" s="8">
        <v>17.739999999999998</v>
      </c>
      <c r="E24" s="12">
        <v>10</v>
      </c>
      <c r="F24" s="8">
        <v>28.57</v>
      </c>
      <c r="G24" s="12">
        <v>1</v>
      </c>
      <c r="H24" s="8">
        <v>3.85</v>
      </c>
      <c r="I24" s="12">
        <v>0</v>
      </c>
    </row>
    <row r="25" spans="2:9" ht="15" customHeight="1" x14ac:dyDescent="0.2">
      <c r="B25" t="s">
        <v>223</v>
      </c>
      <c r="C25" s="12">
        <v>8</v>
      </c>
      <c r="D25" s="8">
        <v>12.9</v>
      </c>
      <c r="E25" s="12">
        <v>5</v>
      </c>
      <c r="F25" s="8">
        <v>14.29</v>
      </c>
      <c r="G25" s="12">
        <v>3</v>
      </c>
      <c r="H25" s="8">
        <v>11.54</v>
      </c>
      <c r="I25" s="12">
        <v>0</v>
      </c>
    </row>
    <row r="26" spans="2:9" ht="15" customHeight="1" x14ac:dyDescent="0.2">
      <c r="B26" t="s">
        <v>221</v>
      </c>
      <c r="C26" s="12">
        <v>5</v>
      </c>
      <c r="D26" s="8">
        <v>8.06</v>
      </c>
      <c r="E26" s="12">
        <v>2</v>
      </c>
      <c r="F26" s="8">
        <v>5.71</v>
      </c>
      <c r="G26" s="12">
        <v>3</v>
      </c>
      <c r="H26" s="8">
        <v>11.54</v>
      </c>
      <c r="I26" s="12">
        <v>0</v>
      </c>
    </row>
    <row r="27" spans="2:9" ht="15" customHeight="1" x14ac:dyDescent="0.2">
      <c r="B27" t="s">
        <v>230</v>
      </c>
      <c r="C27" s="12">
        <v>5</v>
      </c>
      <c r="D27" s="8">
        <v>8.06</v>
      </c>
      <c r="E27" s="12">
        <v>5</v>
      </c>
      <c r="F27" s="8">
        <v>14.29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226</v>
      </c>
      <c r="C28" s="12">
        <v>4</v>
      </c>
      <c r="D28" s="8">
        <v>6.45</v>
      </c>
      <c r="E28" s="12">
        <v>1</v>
      </c>
      <c r="F28" s="8">
        <v>2.86</v>
      </c>
      <c r="G28" s="12">
        <v>3</v>
      </c>
      <c r="H28" s="8">
        <v>11.54</v>
      </c>
      <c r="I28" s="12">
        <v>0</v>
      </c>
    </row>
    <row r="29" spans="2:9" ht="15" customHeight="1" x14ac:dyDescent="0.2">
      <c r="B29" t="s">
        <v>228</v>
      </c>
      <c r="C29" s="12">
        <v>4</v>
      </c>
      <c r="D29" s="8">
        <v>6.45</v>
      </c>
      <c r="E29" s="12">
        <v>4</v>
      </c>
      <c r="F29" s="8">
        <v>11.43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216</v>
      </c>
      <c r="C30" s="12">
        <v>3</v>
      </c>
      <c r="D30" s="8">
        <v>4.84</v>
      </c>
      <c r="E30" s="12">
        <v>0</v>
      </c>
      <c r="F30" s="8">
        <v>0</v>
      </c>
      <c r="G30" s="12">
        <v>3</v>
      </c>
      <c r="H30" s="8">
        <v>11.54</v>
      </c>
      <c r="I30" s="12">
        <v>0</v>
      </c>
    </row>
    <row r="31" spans="2:9" ht="15" customHeight="1" x14ac:dyDescent="0.2">
      <c r="B31" t="s">
        <v>241</v>
      </c>
      <c r="C31" s="12">
        <v>2</v>
      </c>
      <c r="D31" s="8">
        <v>3.23</v>
      </c>
      <c r="E31" s="12">
        <v>0</v>
      </c>
      <c r="F31" s="8">
        <v>0</v>
      </c>
      <c r="G31" s="12">
        <v>2</v>
      </c>
      <c r="H31" s="8">
        <v>7.69</v>
      </c>
      <c r="I31" s="12">
        <v>0</v>
      </c>
    </row>
    <row r="32" spans="2:9" ht="15" customHeight="1" x14ac:dyDescent="0.2">
      <c r="B32" t="s">
        <v>220</v>
      </c>
      <c r="C32" s="12">
        <v>2</v>
      </c>
      <c r="D32" s="8">
        <v>3.23</v>
      </c>
      <c r="E32" s="12">
        <v>1</v>
      </c>
      <c r="F32" s="8">
        <v>2.86</v>
      </c>
      <c r="G32" s="12">
        <v>1</v>
      </c>
      <c r="H32" s="8">
        <v>3.85</v>
      </c>
      <c r="I32" s="12">
        <v>0</v>
      </c>
    </row>
    <row r="33" spans="2:9" ht="15" customHeight="1" x14ac:dyDescent="0.2">
      <c r="B33" t="s">
        <v>231</v>
      </c>
      <c r="C33" s="12">
        <v>2</v>
      </c>
      <c r="D33" s="8">
        <v>3.23</v>
      </c>
      <c r="E33" s="12">
        <v>2</v>
      </c>
      <c r="F33" s="8">
        <v>5.71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232</v>
      </c>
      <c r="C34" s="12">
        <v>2</v>
      </c>
      <c r="D34" s="8">
        <v>3.23</v>
      </c>
      <c r="E34" s="12">
        <v>0</v>
      </c>
      <c r="F34" s="8">
        <v>0</v>
      </c>
      <c r="G34" s="12">
        <v>2</v>
      </c>
      <c r="H34" s="8">
        <v>7.69</v>
      </c>
      <c r="I34" s="12">
        <v>0</v>
      </c>
    </row>
    <row r="35" spans="2:9" ht="15" customHeight="1" x14ac:dyDescent="0.2">
      <c r="B35" t="s">
        <v>213</v>
      </c>
      <c r="C35" s="12">
        <v>1</v>
      </c>
      <c r="D35" s="8">
        <v>1.61</v>
      </c>
      <c r="E35" s="12">
        <v>0</v>
      </c>
      <c r="F35" s="8">
        <v>0</v>
      </c>
      <c r="G35" s="12">
        <v>1</v>
      </c>
      <c r="H35" s="8">
        <v>3.85</v>
      </c>
      <c r="I35" s="12">
        <v>0</v>
      </c>
    </row>
    <row r="36" spans="2:9" ht="15" customHeight="1" x14ac:dyDescent="0.2">
      <c r="B36" t="s">
        <v>215</v>
      </c>
      <c r="C36" s="12">
        <v>1</v>
      </c>
      <c r="D36" s="8">
        <v>1.61</v>
      </c>
      <c r="E36" s="12">
        <v>0</v>
      </c>
      <c r="F36" s="8">
        <v>0</v>
      </c>
      <c r="G36" s="12">
        <v>1</v>
      </c>
      <c r="H36" s="8">
        <v>3.85</v>
      </c>
      <c r="I36" s="12">
        <v>0</v>
      </c>
    </row>
    <row r="37" spans="2:9" ht="15" customHeight="1" x14ac:dyDescent="0.2">
      <c r="B37" t="s">
        <v>253</v>
      </c>
      <c r="C37" s="12">
        <v>1</v>
      </c>
      <c r="D37" s="8">
        <v>1.61</v>
      </c>
      <c r="E37" s="12">
        <v>1</v>
      </c>
      <c r="F37" s="8">
        <v>2.86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265</v>
      </c>
      <c r="C38" s="12">
        <v>1</v>
      </c>
      <c r="D38" s="8">
        <v>1.61</v>
      </c>
      <c r="E38" s="12">
        <v>0</v>
      </c>
      <c r="F38" s="8">
        <v>0</v>
      </c>
      <c r="G38" s="12">
        <v>1</v>
      </c>
      <c r="H38" s="8">
        <v>3.85</v>
      </c>
      <c r="I38" s="12">
        <v>0</v>
      </c>
    </row>
    <row r="39" spans="2:9" ht="15" customHeight="1" x14ac:dyDescent="0.2">
      <c r="B39" t="s">
        <v>255</v>
      </c>
      <c r="C39" s="12">
        <v>1</v>
      </c>
      <c r="D39" s="8">
        <v>1.61</v>
      </c>
      <c r="E39" s="12">
        <v>0</v>
      </c>
      <c r="F39" s="8">
        <v>0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277</v>
      </c>
      <c r="C40" s="12">
        <v>1</v>
      </c>
      <c r="D40" s="8">
        <v>1.61</v>
      </c>
      <c r="E40" s="12">
        <v>0</v>
      </c>
      <c r="F40" s="8">
        <v>0</v>
      </c>
      <c r="G40" s="12">
        <v>1</v>
      </c>
      <c r="H40" s="8">
        <v>3.85</v>
      </c>
      <c r="I40" s="12">
        <v>0</v>
      </c>
    </row>
    <row r="41" spans="2:9" ht="15" customHeight="1" x14ac:dyDescent="0.2">
      <c r="B41" t="s">
        <v>219</v>
      </c>
      <c r="C41" s="12">
        <v>1</v>
      </c>
      <c r="D41" s="8">
        <v>1.61</v>
      </c>
      <c r="E41" s="12">
        <v>1</v>
      </c>
      <c r="F41" s="8">
        <v>2.86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236</v>
      </c>
      <c r="C42" s="12">
        <v>1</v>
      </c>
      <c r="D42" s="8">
        <v>1.61</v>
      </c>
      <c r="E42" s="12">
        <v>1</v>
      </c>
      <c r="F42" s="8">
        <v>2.86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233</v>
      </c>
      <c r="C43" s="12">
        <v>1</v>
      </c>
      <c r="D43" s="8">
        <v>1.61</v>
      </c>
      <c r="E43" s="12">
        <v>0</v>
      </c>
      <c r="F43" s="8">
        <v>0</v>
      </c>
      <c r="G43" s="12">
        <v>1</v>
      </c>
      <c r="H43" s="8">
        <v>3.85</v>
      </c>
      <c r="I43" s="12">
        <v>0</v>
      </c>
    </row>
    <row r="44" spans="2:9" ht="15" customHeight="1" x14ac:dyDescent="0.2">
      <c r="B44" t="s">
        <v>224</v>
      </c>
      <c r="C44" s="12">
        <v>1</v>
      </c>
      <c r="D44" s="8">
        <v>1.61</v>
      </c>
      <c r="E44" s="12">
        <v>1</v>
      </c>
      <c r="F44" s="8">
        <v>2.86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256</v>
      </c>
      <c r="C45" s="12">
        <v>1</v>
      </c>
      <c r="D45" s="8">
        <v>1.61</v>
      </c>
      <c r="E45" s="12">
        <v>0</v>
      </c>
      <c r="F45" s="8">
        <v>0</v>
      </c>
      <c r="G45" s="12">
        <v>1</v>
      </c>
      <c r="H45" s="8">
        <v>3.85</v>
      </c>
      <c r="I45" s="12">
        <v>0</v>
      </c>
    </row>
    <row r="46" spans="2:9" ht="15" customHeight="1" x14ac:dyDescent="0.2">
      <c r="B46" t="s">
        <v>225</v>
      </c>
      <c r="C46" s="12">
        <v>1</v>
      </c>
      <c r="D46" s="8">
        <v>1.61</v>
      </c>
      <c r="E46" s="12">
        <v>0</v>
      </c>
      <c r="F46" s="8">
        <v>0</v>
      </c>
      <c r="G46" s="12">
        <v>1</v>
      </c>
      <c r="H46" s="8">
        <v>3.85</v>
      </c>
      <c r="I46" s="12">
        <v>0</v>
      </c>
    </row>
    <row r="47" spans="2:9" ht="15" customHeight="1" x14ac:dyDescent="0.2">
      <c r="B47" t="s">
        <v>243</v>
      </c>
      <c r="C47" s="12">
        <v>1</v>
      </c>
      <c r="D47" s="8">
        <v>1.61</v>
      </c>
      <c r="E47" s="12">
        <v>1</v>
      </c>
      <c r="F47" s="8">
        <v>2.86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247</v>
      </c>
      <c r="C48" s="12">
        <v>1</v>
      </c>
      <c r="D48" s="8">
        <v>1.61</v>
      </c>
      <c r="E48" s="12">
        <v>0</v>
      </c>
      <c r="F48" s="8">
        <v>0</v>
      </c>
      <c r="G48" s="12">
        <v>1</v>
      </c>
      <c r="H48" s="8">
        <v>3.85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299</v>
      </c>
      <c r="C52" s="12">
        <v>5</v>
      </c>
      <c r="D52" s="8">
        <v>8.06</v>
      </c>
      <c r="E52" s="12">
        <v>5</v>
      </c>
      <c r="F52" s="8">
        <v>14.29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305</v>
      </c>
      <c r="C53" s="12">
        <v>4</v>
      </c>
      <c r="D53" s="8">
        <v>6.45</v>
      </c>
      <c r="E53" s="12">
        <v>4</v>
      </c>
      <c r="F53" s="8">
        <v>11.43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324</v>
      </c>
      <c r="C54" s="12">
        <v>3</v>
      </c>
      <c r="D54" s="8">
        <v>4.84</v>
      </c>
      <c r="E54" s="12">
        <v>0</v>
      </c>
      <c r="F54" s="8">
        <v>0</v>
      </c>
      <c r="G54" s="12">
        <v>3</v>
      </c>
      <c r="H54" s="8">
        <v>11.54</v>
      </c>
      <c r="I54" s="12">
        <v>0</v>
      </c>
    </row>
    <row r="55" spans="2:9" ht="15" customHeight="1" x14ac:dyDescent="0.2">
      <c r="B55" t="s">
        <v>294</v>
      </c>
      <c r="C55" s="12">
        <v>3</v>
      </c>
      <c r="D55" s="8">
        <v>4.84</v>
      </c>
      <c r="E55" s="12">
        <v>1</v>
      </c>
      <c r="F55" s="8">
        <v>2.86</v>
      </c>
      <c r="G55" s="12">
        <v>2</v>
      </c>
      <c r="H55" s="8">
        <v>7.69</v>
      </c>
      <c r="I55" s="12">
        <v>0</v>
      </c>
    </row>
    <row r="56" spans="2:9" ht="15" customHeight="1" x14ac:dyDescent="0.2">
      <c r="B56" t="s">
        <v>334</v>
      </c>
      <c r="C56" s="12">
        <v>3</v>
      </c>
      <c r="D56" s="8">
        <v>4.84</v>
      </c>
      <c r="E56" s="12">
        <v>2</v>
      </c>
      <c r="F56" s="8">
        <v>5.71</v>
      </c>
      <c r="G56" s="12">
        <v>1</v>
      </c>
      <c r="H56" s="8">
        <v>3.85</v>
      </c>
      <c r="I56" s="12">
        <v>0</v>
      </c>
    </row>
    <row r="57" spans="2:9" ht="15" customHeight="1" x14ac:dyDescent="0.2">
      <c r="B57" t="s">
        <v>329</v>
      </c>
      <c r="C57" s="12">
        <v>2</v>
      </c>
      <c r="D57" s="8">
        <v>3.23</v>
      </c>
      <c r="E57" s="12">
        <v>1</v>
      </c>
      <c r="F57" s="8">
        <v>2.86</v>
      </c>
      <c r="G57" s="12">
        <v>1</v>
      </c>
      <c r="H57" s="8">
        <v>3.85</v>
      </c>
      <c r="I57" s="12">
        <v>0</v>
      </c>
    </row>
    <row r="58" spans="2:9" ht="15" customHeight="1" x14ac:dyDescent="0.2">
      <c r="B58" t="s">
        <v>330</v>
      </c>
      <c r="C58" s="12">
        <v>2</v>
      </c>
      <c r="D58" s="8">
        <v>3.23</v>
      </c>
      <c r="E58" s="12">
        <v>1</v>
      </c>
      <c r="F58" s="8">
        <v>2.86</v>
      </c>
      <c r="G58" s="12">
        <v>1</v>
      </c>
      <c r="H58" s="8">
        <v>3.85</v>
      </c>
      <c r="I58" s="12">
        <v>0</v>
      </c>
    </row>
    <row r="59" spans="2:9" ht="15" customHeight="1" x14ac:dyDescent="0.2">
      <c r="B59" t="s">
        <v>295</v>
      </c>
      <c r="C59" s="12">
        <v>2</v>
      </c>
      <c r="D59" s="8">
        <v>3.23</v>
      </c>
      <c r="E59" s="12">
        <v>2</v>
      </c>
      <c r="F59" s="8">
        <v>5.71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418</v>
      </c>
      <c r="C60" s="12">
        <v>2</v>
      </c>
      <c r="D60" s="8">
        <v>3.23</v>
      </c>
      <c r="E60" s="12">
        <v>0</v>
      </c>
      <c r="F60" s="8">
        <v>0</v>
      </c>
      <c r="G60" s="12">
        <v>2</v>
      </c>
      <c r="H60" s="8">
        <v>7.69</v>
      </c>
      <c r="I60" s="12">
        <v>0</v>
      </c>
    </row>
    <row r="61" spans="2:9" ht="15" customHeight="1" x14ac:dyDescent="0.2">
      <c r="B61" t="s">
        <v>301</v>
      </c>
      <c r="C61" s="12">
        <v>2</v>
      </c>
      <c r="D61" s="8">
        <v>3.23</v>
      </c>
      <c r="E61" s="12">
        <v>2</v>
      </c>
      <c r="F61" s="8">
        <v>5.71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303</v>
      </c>
      <c r="C62" s="12">
        <v>2</v>
      </c>
      <c r="D62" s="8">
        <v>3.23</v>
      </c>
      <c r="E62" s="12">
        <v>2</v>
      </c>
      <c r="F62" s="8">
        <v>5.71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304</v>
      </c>
      <c r="C63" s="12">
        <v>2</v>
      </c>
      <c r="D63" s="8">
        <v>3.23</v>
      </c>
      <c r="E63" s="12">
        <v>2</v>
      </c>
      <c r="F63" s="8">
        <v>5.71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306</v>
      </c>
      <c r="C64" s="12">
        <v>2</v>
      </c>
      <c r="D64" s="8">
        <v>3.23</v>
      </c>
      <c r="E64" s="12">
        <v>2</v>
      </c>
      <c r="F64" s="8">
        <v>5.71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289</v>
      </c>
      <c r="C65" s="12">
        <v>1</v>
      </c>
      <c r="D65" s="8">
        <v>1.61</v>
      </c>
      <c r="E65" s="12">
        <v>0</v>
      </c>
      <c r="F65" s="8">
        <v>0</v>
      </c>
      <c r="G65" s="12">
        <v>1</v>
      </c>
      <c r="H65" s="8">
        <v>3.85</v>
      </c>
      <c r="I65" s="12">
        <v>0</v>
      </c>
    </row>
    <row r="66" spans="2:9" ht="15" customHeight="1" x14ac:dyDescent="0.2">
      <c r="B66" t="s">
        <v>290</v>
      </c>
      <c r="C66" s="12">
        <v>1</v>
      </c>
      <c r="D66" s="8">
        <v>1.61</v>
      </c>
      <c r="E66" s="12">
        <v>0</v>
      </c>
      <c r="F66" s="8">
        <v>0</v>
      </c>
      <c r="G66" s="12">
        <v>1</v>
      </c>
      <c r="H66" s="8">
        <v>3.85</v>
      </c>
      <c r="I66" s="12">
        <v>0</v>
      </c>
    </row>
    <row r="67" spans="2:9" ht="15" customHeight="1" x14ac:dyDescent="0.2">
      <c r="B67" t="s">
        <v>413</v>
      </c>
      <c r="C67" s="12">
        <v>1</v>
      </c>
      <c r="D67" s="8">
        <v>1.61</v>
      </c>
      <c r="E67" s="12">
        <v>0</v>
      </c>
      <c r="F67" s="8">
        <v>0</v>
      </c>
      <c r="G67" s="12">
        <v>1</v>
      </c>
      <c r="H67" s="8">
        <v>3.85</v>
      </c>
      <c r="I67" s="12">
        <v>0</v>
      </c>
    </row>
    <row r="68" spans="2:9" ht="15" customHeight="1" x14ac:dyDescent="0.2">
      <c r="B68" t="s">
        <v>351</v>
      </c>
      <c r="C68" s="12">
        <v>1</v>
      </c>
      <c r="D68" s="8">
        <v>1.61</v>
      </c>
      <c r="E68" s="12">
        <v>0</v>
      </c>
      <c r="F68" s="8">
        <v>0</v>
      </c>
      <c r="G68" s="12">
        <v>1</v>
      </c>
      <c r="H68" s="8">
        <v>3.85</v>
      </c>
      <c r="I68" s="12">
        <v>0</v>
      </c>
    </row>
    <row r="69" spans="2:9" ht="15" customHeight="1" x14ac:dyDescent="0.2">
      <c r="B69" t="s">
        <v>374</v>
      </c>
      <c r="C69" s="12">
        <v>1</v>
      </c>
      <c r="D69" s="8">
        <v>1.61</v>
      </c>
      <c r="E69" s="12">
        <v>1</v>
      </c>
      <c r="F69" s="8">
        <v>2.86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387</v>
      </c>
      <c r="C70" s="12">
        <v>1</v>
      </c>
      <c r="D70" s="8">
        <v>1.61</v>
      </c>
      <c r="E70" s="12">
        <v>0</v>
      </c>
      <c r="F70" s="8">
        <v>0</v>
      </c>
      <c r="G70" s="12">
        <v>1</v>
      </c>
      <c r="H70" s="8">
        <v>3.85</v>
      </c>
      <c r="I70" s="12">
        <v>0</v>
      </c>
    </row>
    <row r="71" spans="2:9" ht="15" customHeight="1" x14ac:dyDescent="0.2">
      <c r="B71" t="s">
        <v>361</v>
      </c>
      <c r="C71" s="12">
        <v>1</v>
      </c>
      <c r="D71" s="8">
        <v>1.61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477</v>
      </c>
      <c r="C72" s="12">
        <v>1</v>
      </c>
      <c r="D72" s="8">
        <v>1.61</v>
      </c>
      <c r="E72" s="12">
        <v>0</v>
      </c>
      <c r="F72" s="8">
        <v>0</v>
      </c>
      <c r="G72" s="12">
        <v>1</v>
      </c>
      <c r="H72" s="8">
        <v>3.85</v>
      </c>
      <c r="I72" s="12">
        <v>0</v>
      </c>
    </row>
    <row r="73" spans="2:9" ht="15" customHeight="1" x14ac:dyDescent="0.2">
      <c r="B73" t="s">
        <v>309</v>
      </c>
      <c r="C73" s="12">
        <v>1</v>
      </c>
      <c r="D73" s="8">
        <v>1.61</v>
      </c>
      <c r="E73" s="12">
        <v>1</v>
      </c>
      <c r="F73" s="8">
        <v>2.86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400</v>
      </c>
      <c r="C74" s="12">
        <v>1</v>
      </c>
      <c r="D74" s="8">
        <v>1.61</v>
      </c>
      <c r="E74" s="12">
        <v>1</v>
      </c>
      <c r="F74" s="8">
        <v>2.86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314</v>
      </c>
      <c r="C75" s="12">
        <v>1</v>
      </c>
      <c r="D75" s="8">
        <v>1.61</v>
      </c>
      <c r="E75" s="12">
        <v>0</v>
      </c>
      <c r="F75" s="8">
        <v>0</v>
      </c>
      <c r="G75" s="12">
        <v>1</v>
      </c>
      <c r="H75" s="8">
        <v>3.85</v>
      </c>
      <c r="I75" s="12">
        <v>0</v>
      </c>
    </row>
    <row r="76" spans="2:9" ht="15" customHeight="1" x14ac:dyDescent="0.2">
      <c r="B76" t="s">
        <v>354</v>
      </c>
      <c r="C76" s="12">
        <v>1</v>
      </c>
      <c r="D76" s="8">
        <v>1.61</v>
      </c>
      <c r="E76" s="12">
        <v>0</v>
      </c>
      <c r="F76" s="8">
        <v>0</v>
      </c>
      <c r="G76" s="12">
        <v>1</v>
      </c>
      <c r="H76" s="8">
        <v>3.85</v>
      </c>
      <c r="I76" s="12">
        <v>0</v>
      </c>
    </row>
    <row r="77" spans="2:9" ht="15" customHeight="1" x14ac:dyDescent="0.2">
      <c r="B77" t="s">
        <v>366</v>
      </c>
      <c r="C77" s="12">
        <v>1</v>
      </c>
      <c r="D77" s="8">
        <v>1.61</v>
      </c>
      <c r="E77" s="12">
        <v>1</v>
      </c>
      <c r="F77" s="8">
        <v>2.86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292</v>
      </c>
      <c r="C78" s="12">
        <v>1</v>
      </c>
      <c r="D78" s="8">
        <v>1.61</v>
      </c>
      <c r="E78" s="12">
        <v>0</v>
      </c>
      <c r="F78" s="8">
        <v>0</v>
      </c>
      <c r="G78" s="12">
        <v>1</v>
      </c>
      <c r="H78" s="8">
        <v>3.85</v>
      </c>
      <c r="I78" s="12">
        <v>0</v>
      </c>
    </row>
    <row r="79" spans="2:9" ht="15" customHeight="1" x14ac:dyDescent="0.2">
      <c r="B79" t="s">
        <v>337</v>
      </c>
      <c r="C79" s="12">
        <v>1</v>
      </c>
      <c r="D79" s="8">
        <v>1.61</v>
      </c>
      <c r="E79" s="12">
        <v>1</v>
      </c>
      <c r="F79" s="8">
        <v>2.86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344</v>
      </c>
      <c r="C80" s="12">
        <v>1</v>
      </c>
      <c r="D80" s="8">
        <v>1.61</v>
      </c>
      <c r="E80" s="12">
        <v>1</v>
      </c>
      <c r="F80" s="8">
        <v>2.86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310</v>
      </c>
      <c r="C81" s="12">
        <v>1</v>
      </c>
      <c r="D81" s="8">
        <v>1.61</v>
      </c>
      <c r="E81" s="12">
        <v>0</v>
      </c>
      <c r="F81" s="8">
        <v>0</v>
      </c>
      <c r="G81" s="12">
        <v>1</v>
      </c>
      <c r="H81" s="8">
        <v>3.85</v>
      </c>
      <c r="I81" s="12">
        <v>0</v>
      </c>
    </row>
    <row r="82" spans="2:9" ht="15" customHeight="1" x14ac:dyDescent="0.2">
      <c r="B82" t="s">
        <v>297</v>
      </c>
      <c r="C82" s="12">
        <v>1</v>
      </c>
      <c r="D82" s="8">
        <v>1.61</v>
      </c>
      <c r="E82" s="12">
        <v>1</v>
      </c>
      <c r="F82" s="8">
        <v>2.86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403</v>
      </c>
      <c r="C83" s="12">
        <v>1</v>
      </c>
      <c r="D83" s="8">
        <v>1.61</v>
      </c>
      <c r="E83" s="12">
        <v>0</v>
      </c>
      <c r="F83" s="8">
        <v>0</v>
      </c>
      <c r="G83" s="12">
        <v>1</v>
      </c>
      <c r="H83" s="8">
        <v>3.85</v>
      </c>
      <c r="I83" s="12">
        <v>0</v>
      </c>
    </row>
    <row r="84" spans="2:9" ht="15" customHeight="1" x14ac:dyDescent="0.2">
      <c r="B84" t="s">
        <v>429</v>
      </c>
      <c r="C84" s="12">
        <v>1</v>
      </c>
      <c r="D84" s="8">
        <v>1.61</v>
      </c>
      <c r="E84" s="12">
        <v>0</v>
      </c>
      <c r="F84" s="8">
        <v>0</v>
      </c>
      <c r="G84" s="12">
        <v>1</v>
      </c>
      <c r="H84" s="8">
        <v>3.85</v>
      </c>
      <c r="I84" s="12">
        <v>0</v>
      </c>
    </row>
    <row r="85" spans="2:9" ht="15" customHeight="1" x14ac:dyDescent="0.2">
      <c r="B85" t="s">
        <v>482</v>
      </c>
      <c r="C85" s="12">
        <v>1</v>
      </c>
      <c r="D85" s="8">
        <v>1.61</v>
      </c>
      <c r="E85" s="12">
        <v>1</v>
      </c>
      <c r="F85" s="8">
        <v>2.86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298</v>
      </c>
      <c r="C86" s="12">
        <v>1</v>
      </c>
      <c r="D86" s="8">
        <v>1.61</v>
      </c>
      <c r="E86" s="12">
        <v>0</v>
      </c>
      <c r="F86" s="8">
        <v>0</v>
      </c>
      <c r="G86" s="12">
        <v>1</v>
      </c>
      <c r="H86" s="8">
        <v>3.85</v>
      </c>
      <c r="I86" s="12">
        <v>0</v>
      </c>
    </row>
    <row r="87" spans="2:9" ht="15" customHeight="1" x14ac:dyDescent="0.2">
      <c r="B87" t="s">
        <v>339</v>
      </c>
      <c r="C87" s="12">
        <v>1</v>
      </c>
      <c r="D87" s="8">
        <v>1.61</v>
      </c>
      <c r="E87" s="12">
        <v>1</v>
      </c>
      <c r="F87" s="8">
        <v>2.86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300</v>
      </c>
      <c r="C88" s="12">
        <v>1</v>
      </c>
      <c r="D88" s="8">
        <v>1.61</v>
      </c>
      <c r="E88" s="12">
        <v>1</v>
      </c>
      <c r="F88" s="8">
        <v>2.86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473</v>
      </c>
      <c r="C89" s="12">
        <v>1</v>
      </c>
      <c r="D89" s="8">
        <v>1.61</v>
      </c>
      <c r="E89" s="12">
        <v>0</v>
      </c>
      <c r="F89" s="8">
        <v>0</v>
      </c>
      <c r="G89" s="12">
        <v>1</v>
      </c>
      <c r="H89" s="8">
        <v>3.85</v>
      </c>
      <c r="I89" s="12">
        <v>0</v>
      </c>
    </row>
    <row r="90" spans="2:9" ht="15" customHeight="1" x14ac:dyDescent="0.2">
      <c r="B90" t="s">
        <v>327</v>
      </c>
      <c r="C90" s="12">
        <v>1</v>
      </c>
      <c r="D90" s="8">
        <v>1.61</v>
      </c>
      <c r="E90" s="12">
        <v>1</v>
      </c>
      <c r="F90" s="8">
        <v>2.86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447</v>
      </c>
      <c r="C91" s="12">
        <v>1</v>
      </c>
      <c r="D91" s="8">
        <v>1.61</v>
      </c>
      <c r="E91" s="12">
        <v>0</v>
      </c>
      <c r="F91" s="8">
        <v>0</v>
      </c>
      <c r="G91" s="12">
        <v>1</v>
      </c>
      <c r="H91" s="8">
        <v>3.85</v>
      </c>
      <c r="I91" s="12">
        <v>0</v>
      </c>
    </row>
    <row r="92" spans="2:9" ht="15" customHeight="1" x14ac:dyDescent="0.2">
      <c r="B92" t="s">
        <v>347</v>
      </c>
      <c r="C92" s="12">
        <v>1</v>
      </c>
      <c r="D92" s="8">
        <v>1.61</v>
      </c>
      <c r="E92" s="12">
        <v>0</v>
      </c>
      <c r="F92" s="8">
        <v>0</v>
      </c>
      <c r="G92" s="12">
        <v>1</v>
      </c>
      <c r="H92" s="8">
        <v>3.85</v>
      </c>
      <c r="I92" s="12">
        <v>0</v>
      </c>
    </row>
    <row r="94" spans="2:9" ht="15" customHeight="1" x14ac:dyDescent="0.2">
      <c r="B9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A81A1-B791-46EE-AB08-8F4575862A50}">
  <sheetPr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28</v>
      </c>
      <c r="D6" s="8">
        <v>16.47</v>
      </c>
      <c r="E6" s="12">
        <v>10</v>
      </c>
      <c r="F6" s="8">
        <v>10.1</v>
      </c>
      <c r="G6" s="12">
        <v>18</v>
      </c>
      <c r="H6" s="8">
        <v>26.87</v>
      </c>
      <c r="I6" s="12">
        <v>0</v>
      </c>
    </row>
    <row r="7" spans="2:9" ht="15" customHeight="1" x14ac:dyDescent="0.2">
      <c r="B7" t="s">
        <v>192</v>
      </c>
      <c r="C7" s="12">
        <v>16</v>
      </c>
      <c r="D7" s="8">
        <v>9.41</v>
      </c>
      <c r="E7" s="12">
        <v>5</v>
      </c>
      <c r="F7" s="8">
        <v>5.05</v>
      </c>
      <c r="G7" s="12">
        <v>11</v>
      </c>
      <c r="H7" s="8">
        <v>16.420000000000002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0.59</v>
      </c>
      <c r="E9" s="12">
        <v>0</v>
      </c>
      <c r="F9" s="8">
        <v>0</v>
      </c>
      <c r="G9" s="12">
        <v>1</v>
      </c>
      <c r="H9" s="8">
        <v>1.49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1.18</v>
      </c>
      <c r="E10" s="12">
        <v>1</v>
      </c>
      <c r="F10" s="8">
        <v>1.01</v>
      </c>
      <c r="G10" s="12">
        <v>1</v>
      </c>
      <c r="H10" s="8">
        <v>1.49</v>
      </c>
      <c r="I10" s="12">
        <v>0</v>
      </c>
    </row>
    <row r="11" spans="2:9" ht="15" customHeight="1" x14ac:dyDescent="0.2">
      <c r="B11" t="s">
        <v>196</v>
      </c>
      <c r="C11" s="12">
        <v>43</v>
      </c>
      <c r="D11" s="8">
        <v>25.29</v>
      </c>
      <c r="E11" s="12">
        <v>26</v>
      </c>
      <c r="F11" s="8">
        <v>26.26</v>
      </c>
      <c r="G11" s="12">
        <v>17</v>
      </c>
      <c r="H11" s="8">
        <v>25.37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0.59</v>
      </c>
      <c r="E12" s="12">
        <v>0</v>
      </c>
      <c r="F12" s="8">
        <v>0</v>
      </c>
      <c r="G12" s="12">
        <v>1</v>
      </c>
      <c r="H12" s="8">
        <v>1.49</v>
      </c>
      <c r="I12" s="12">
        <v>0</v>
      </c>
    </row>
    <row r="13" spans="2:9" ht="15" customHeight="1" x14ac:dyDescent="0.2">
      <c r="B13" t="s">
        <v>198</v>
      </c>
      <c r="C13" s="12">
        <v>10</v>
      </c>
      <c r="D13" s="8">
        <v>5.88</v>
      </c>
      <c r="E13" s="12">
        <v>4</v>
      </c>
      <c r="F13" s="8">
        <v>4.04</v>
      </c>
      <c r="G13" s="12">
        <v>6</v>
      </c>
      <c r="H13" s="8">
        <v>8.9600000000000009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2.35</v>
      </c>
      <c r="E14" s="12">
        <v>2</v>
      </c>
      <c r="F14" s="8">
        <v>2.02</v>
      </c>
      <c r="G14" s="12">
        <v>1</v>
      </c>
      <c r="H14" s="8">
        <v>1.49</v>
      </c>
      <c r="I14" s="12">
        <v>0</v>
      </c>
    </row>
    <row r="15" spans="2:9" ht="15" customHeight="1" x14ac:dyDescent="0.2">
      <c r="B15" t="s">
        <v>200</v>
      </c>
      <c r="C15" s="12">
        <v>33</v>
      </c>
      <c r="D15" s="8">
        <v>19.41</v>
      </c>
      <c r="E15" s="12">
        <v>26</v>
      </c>
      <c r="F15" s="8">
        <v>26.26</v>
      </c>
      <c r="G15" s="12">
        <v>7</v>
      </c>
      <c r="H15" s="8">
        <v>10.45</v>
      </c>
      <c r="I15" s="12">
        <v>0</v>
      </c>
    </row>
    <row r="16" spans="2:9" ht="15" customHeight="1" x14ac:dyDescent="0.2">
      <c r="B16" t="s">
        <v>201</v>
      </c>
      <c r="C16" s="12">
        <v>15</v>
      </c>
      <c r="D16" s="8">
        <v>8.82</v>
      </c>
      <c r="E16" s="12">
        <v>13</v>
      </c>
      <c r="F16" s="8">
        <v>13.13</v>
      </c>
      <c r="G16" s="12">
        <v>1</v>
      </c>
      <c r="H16" s="8">
        <v>1.49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2.94</v>
      </c>
      <c r="E17" s="12">
        <v>5</v>
      </c>
      <c r="F17" s="8">
        <v>5.05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3.53</v>
      </c>
      <c r="E18" s="12">
        <v>3</v>
      </c>
      <c r="F18" s="8">
        <v>3.03</v>
      </c>
      <c r="G18" s="12">
        <v>2</v>
      </c>
      <c r="H18" s="8">
        <v>2.99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3.53</v>
      </c>
      <c r="E19" s="12">
        <v>4</v>
      </c>
      <c r="F19" s="8">
        <v>4.04</v>
      </c>
      <c r="G19" s="12">
        <v>1</v>
      </c>
      <c r="H19" s="8">
        <v>1.49</v>
      </c>
      <c r="I19" s="12">
        <v>1</v>
      </c>
    </row>
    <row r="20" spans="2:9" ht="15" customHeight="1" x14ac:dyDescent="0.2">
      <c r="B20" s="9" t="s">
        <v>529</v>
      </c>
      <c r="C20" s="12">
        <f>SUM(LTBL_01641[総数／事業所数])</f>
        <v>170</v>
      </c>
      <c r="E20" s="12">
        <f>SUBTOTAL(109,LTBL_01641[個人／事業所数])</f>
        <v>99</v>
      </c>
      <c r="G20" s="12">
        <f>SUBTOTAL(109,LTBL_01641[法人／事業所数])</f>
        <v>67</v>
      </c>
      <c r="I20" s="12">
        <f>SUBTOTAL(109,LTBL_01641[法人以外の団体／事業所数])</f>
        <v>1</v>
      </c>
    </row>
    <row r="21" spans="2:9" ht="15" customHeight="1" x14ac:dyDescent="0.2">
      <c r="E21" s="11">
        <f>LTBL_01641[[#Totals],[個人／事業所数]]/LTBL_01641[[#Totals],[総数／事業所数]]</f>
        <v>0.58235294117647063</v>
      </c>
      <c r="G21" s="11">
        <f>LTBL_01641[[#Totals],[法人／事業所数]]/LTBL_01641[[#Totals],[総数／事業所数]]</f>
        <v>0.39411764705882352</v>
      </c>
      <c r="I21" s="11">
        <f>LTBL_01641[[#Totals],[法人以外の団体／事業所数]]/LTBL_01641[[#Totals],[総数／事業所数]]</f>
        <v>5.8823529411764705E-3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27</v>
      </c>
      <c r="D24" s="8">
        <v>15.88</v>
      </c>
      <c r="E24" s="12">
        <v>24</v>
      </c>
      <c r="F24" s="8">
        <v>24.24</v>
      </c>
      <c r="G24" s="12">
        <v>3</v>
      </c>
      <c r="H24" s="8">
        <v>4.4800000000000004</v>
      </c>
      <c r="I24" s="12">
        <v>0</v>
      </c>
    </row>
    <row r="25" spans="2:9" ht="15" customHeight="1" x14ac:dyDescent="0.2">
      <c r="B25" t="s">
        <v>223</v>
      </c>
      <c r="C25" s="12">
        <v>14</v>
      </c>
      <c r="D25" s="8">
        <v>8.24</v>
      </c>
      <c r="E25" s="12">
        <v>8</v>
      </c>
      <c r="F25" s="8">
        <v>8.08</v>
      </c>
      <c r="G25" s="12">
        <v>6</v>
      </c>
      <c r="H25" s="8">
        <v>8.9600000000000009</v>
      </c>
      <c r="I25" s="12">
        <v>0</v>
      </c>
    </row>
    <row r="26" spans="2:9" ht="15" customHeight="1" x14ac:dyDescent="0.2">
      <c r="B26" t="s">
        <v>228</v>
      </c>
      <c r="C26" s="12">
        <v>14</v>
      </c>
      <c r="D26" s="8">
        <v>8.24</v>
      </c>
      <c r="E26" s="12">
        <v>13</v>
      </c>
      <c r="F26" s="8">
        <v>13.13</v>
      </c>
      <c r="G26" s="12">
        <v>1</v>
      </c>
      <c r="H26" s="8">
        <v>1.49</v>
      </c>
      <c r="I26" s="12">
        <v>0</v>
      </c>
    </row>
    <row r="27" spans="2:9" ht="15" customHeight="1" x14ac:dyDescent="0.2">
      <c r="B27" t="s">
        <v>213</v>
      </c>
      <c r="C27" s="12">
        <v>13</v>
      </c>
      <c r="D27" s="8">
        <v>7.65</v>
      </c>
      <c r="E27" s="12">
        <v>3</v>
      </c>
      <c r="F27" s="8">
        <v>3.03</v>
      </c>
      <c r="G27" s="12">
        <v>10</v>
      </c>
      <c r="H27" s="8">
        <v>14.93</v>
      </c>
      <c r="I27" s="12">
        <v>0</v>
      </c>
    </row>
    <row r="28" spans="2:9" ht="15" customHeight="1" x14ac:dyDescent="0.2">
      <c r="B28" t="s">
        <v>221</v>
      </c>
      <c r="C28" s="12">
        <v>12</v>
      </c>
      <c r="D28" s="8">
        <v>7.06</v>
      </c>
      <c r="E28" s="12">
        <v>8</v>
      </c>
      <c r="F28" s="8">
        <v>8.08</v>
      </c>
      <c r="G28" s="12">
        <v>4</v>
      </c>
      <c r="H28" s="8">
        <v>5.97</v>
      </c>
      <c r="I28" s="12">
        <v>0</v>
      </c>
    </row>
    <row r="29" spans="2:9" ht="15" customHeight="1" x14ac:dyDescent="0.2">
      <c r="B29" t="s">
        <v>214</v>
      </c>
      <c r="C29" s="12">
        <v>9</v>
      </c>
      <c r="D29" s="8">
        <v>5.29</v>
      </c>
      <c r="E29" s="12">
        <v>3</v>
      </c>
      <c r="F29" s="8">
        <v>3.03</v>
      </c>
      <c r="G29" s="12">
        <v>6</v>
      </c>
      <c r="H29" s="8">
        <v>8.9600000000000009</v>
      </c>
      <c r="I29" s="12">
        <v>0</v>
      </c>
    </row>
    <row r="30" spans="2:9" ht="15" customHeight="1" x14ac:dyDescent="0.2">
      <c r="B30" t="s">
        <v>215</v>
      </c>
      <c r="C30" s="12">
        <v>6</v>
      </c>
      <c r="D30" s="8">
        <v>3.53</v>
      </c>
      <c r="E30" s="12">
        <v>4</v>
      </c>
      <c r="F30" s="8">
        <v>4.04</v>
      </c>
      <c r="G30" s="12">
        <v>2</v>
      </c>
      <c r="H30" s="8">
        <v>2.99</v>
      </c>
      <c r="I30" s="12">
        <v>0</v>
      </c>
    </row>
    <row r="31" spans="2:9" ht="15" customHeight="1" x14ac:dyDescent="0.2">
      <c r="B31" t="s">
        <v>241</v>
      </c>
      <c r="C31" s="12">
        <v>6</v>
      </c>
      <c r="D31" s="8">
        <v>3.53</v>
      </c>
      <c r="E31" s="12">
        <v>1</v>
      </c>
      <c r="F31" s="8">
        <v>1.01</v>
      </c>
      <c r="G31" s="12">
        <v>5</v>
      </c>
      <c r="H31" s="8">
        <v>7.46</v>
      </c>
      <c r="I31" s="12">
        <v>0</v>
      </c>
    </row>
    <row r="32" spans="2:9" ht="15" customHeight="1" x14ac:dyDescent="0.2">
      <c r="B32" t="s">
        <v>222</v>
      </c>
      <c r="C32" s="12">
        <v>6</v>
      </c>
      <c r="D32" s="8">
        <v>3.53</v>
      </c>
      <c r="E32" s="12">
        <v>5</v>
      </c>
      <c r="F32" s="8">
        <v>5.05</v>
      </c>
      <c r="G32" s="12">
        <v>1</v>
      </c>
      <c r="H32" s="8">
        <v>1.49</v>
      </c>
      <c r="I32" s="12">
        <v>0</v>
      </c>
    </row>
    <row r="33" spans="2:9" ht="15" customHeight="1" x14ac:dyDescent="0.2">
      <c r="B33" t="s">
        <v>224</v>
      </c>
      <c r="C33" s="12">
        <v>6</v>
      </c>
      <c r="D33" s="8">
        <v>3.53</v>
      </c>
      <c r="E33" s="12">
        <v>4</v>
      </c>
      <c r="F33" s="8">
        <v>4.04</v>
      </c>
      <c r="G33" s="12">
        <v>2</v>
      </c>
      <c r="H33" s="8">
        <v>2.99</v>
      </c>
      <c r="I33" s="12">
        <v>0</v>
      </c>
    </row>
    <row r="34" spans="2:9" ht="15" customHeight="1" x14ac:dyDescent="0.2">
      <c r="B34" t="s">
        <v>230</v>
      </c>
      <c r="C34" s="12">
        <v>5</v>
      </c>
      <c r="D34" s="8">
        <v>2.94</v>
      </c>
      <c r="E34" s="12">
        <v>5</v>
      </c>
      <c r="F34" s="8">
        <v>5.05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220</v>
      </c>
      <c r="C35" s="12">
        <v>4</v>
      </c>
      <c r="D35" s="8">
        <v>2.35</v>
      </c>
      <c r="E35" s="12">
        <v>3</v>
      </c>
      <c r="F35" s="8">
        <v>3.03</v>
      </c>
      <c r="G35" s="12">
        <v>1</v>
      </c>
      <c r="H35" s="8">
        <v>1.49</v>
      </c>
      <c r="I35" s="12">
        <v>0</v>
      </c>
    </row>
    <row r="36" spans="2:9" ht="15" customHeight="1" x14ac:dyDescent="0.2">
      <c r="B36" t="s">
        <v>231</v>
      </c>
      <c r="C36" s="12">
        <v>4</v>
      </c>
      <c r="D36" s="8">
        <v>2.35</v>
      </c>
      <c r="E36" s="12">
        <v>3</v>
      </c>
      <c r="F36" s="8">
        <v>3.03</v>
      </c>
      <c r="G36" s="12">
        <v>1</v>
      </c>
      <c r="H36" s="8">
        <v>1.49</v>
      </c>
      <c r="I36" s="12">
        <v>0</v>
      </c>
    </row>
    <row r="37" spans="2:9" ht="15" customHeight="1" x14ac:dyDescent="0.2">
      <c r="B37" t="s">
        <v>254</v>
      </c>
      <c r="C37" s="12">
        <v>3</v>
      </c>
      <c r="D37" s="8">
        <v>1.76</v>
      </c>
      <c r="E37" s="12">
        <v>0</v>
      </c>
      <c r="F37" s="8">
        <v>0</v>
      </c>
      <c r="G37" s="12">
        <v>3</v>
      </c>
      <c r="H37" s="8">
        <v>4.4800000000000004</v>
      </c>
      <c r="I37" s="12">
        <v>0</v>
      </c>
    </row>
    <row r="38" spans="2:9" ht="15" customHeight="1" x14ac:dyDescent="0.2">
      <c r="B38" t="s">
        <v>226</v>
      </c>
      <c r="C38" s="12">
        <v>3</v>
      </c>
      <c r="D38" s="8">
        <v>1.76</v>
      </c>
      <c r="E38" s="12">
        <v>1</v>
      </c>
      <c r="F38" s="8">
        <v>1.01</v>
      </c>
      <c r="G38" s="12">
        <v>1</v>
      </c>
      <c r="H38" s="8">
        <v>1.49</v>
      </c>
      <c r="I38" s="12">
        <v>0</v>
      </c>
    </row>
    <row r="39" spans="2:9" ht="15" customHeight="1" x14ac:dyDescent="0.2">
      <c r="B39" t="s">
        <v>243</v>
      </c>
      <c r="C39" s="12">
        <v>3</v>
      </c>
      <c r="D39" s="8">
        <v>1.76</v>
      </c>
      <c r="E39" s="12">
        <v>2</v>
      </c>
      <c r="F39" s="8">
        <v>2.02</v>
      </c>
      <c r="G39" s="12">
        <v>1</v>
      </c>
      <c r="H39" s="8">
        <v>1.49</v>
      </c>
      <c r="I39" s="12">
        <v>0</v>
      </c>
    </row>
    <row r="40" spans="2:9" ht="15" customHeight="1" x14ac:dyDescent="0.2">
      <c r="B40" t="s">
        <v>239</v>
      </c>
      <c r="C40" s="12">
        <v>3</v>
      </c>
      <c r="D40" s="8">
        <v>1.76</v>
      </c>
      <c r="E40" s="12">
        <v>0</v>
      </c>
      <c r="F40" s="8">
        <v>0</v>
      </c>
      <c r="G40" s="12">
        <v>3</v>
      </c>
      <c r="H40" s="8">
        <v>4.4800000000000004</v>
      </c>
      <c r="I40" s="12">
        <v>0</v>
      </c>
    </row>
    <row r="41" spans="2:9" ht="15" customHeight="1" x14ac:dyDescent="0.2">
      <c r="B41" t="s">
        <v>240</v>
      </c>
      <c r="C41" s="12">
        <v>3</v>
      </c>
      <c r="D41" s="8">
        <v>1.76</v>
      </c>
      <c r="E41" s="12">
        <v>3</v>
      </c>
      <c r="F41" s="8">
        <v>3.03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253</v>
      </c>
      <c r="C42" s="12">
        <v>2</v>
      </c>
      <c r="D42" s="8">
        <v>1.18</v>
      </c>
      <c r="E42" s="12">
        <v>1</v>
      </c>
      <c r="F42" s="8">
        <v>1.01</v>
      </c>
      <c r="G42" s="12">
        <v>1</v>
      </c>
      <c r="H42" s="8">
        <v>1.49</v>
      </c>
      <c r="I42" s="12">
        <v>0</v>
      </c>
    </row>
    <row r="43" spans="2:9" ht="15" customHeight="1" x14ac:dyDescent="0.2">
      <c r="B43" t="s">
        <v>216</v>
      </c>
      <c r="C43" s="12">
        <v>2</v>
      </c>
      <c r="D43" s="8">
        <v>1.18</v>
      </c>
      <c r="E43" s="12">
        <v>1</v>
      </c>
      <c r="F43" s="8">
        <v>1.01</v>
      </c>
      <c r="G43" s="12">
        <v>1</v>
      </c>
      <c r="H43" s="8">
        <v>1.49</v>
      </c>
      <c r="I43" s="12">
        <v>0</v>
      </c>
    </row>
    <row r="44" spans="2:9" ht="15" customHeight="1" x14ac:dyDescent="0.2">
      <c r="B44" t="s">
        <v>218</v>
      </c>
      <c r="C44" s="12">
        <v>2</v>
      </c>
      <c r="D44" s="8">
        <v>1.18</v>
      </c>
      <c r="E44" s="12">
        <v>0</v>
      </c>
      <c r="F44" s="8">
        <v>0</v>
      </c>
      <c r="G44" s="12">
        <v>2</v>
      </c>
      <c r="H44" s="8">
        <v>2.99</v>
      </c>
      <c r="I44" s="12">
        <v>0</v>
      </c>
    </row>
    <row r="45" spans="2:9" ht="15" customHeight="1" x14ac:dyDescent="0.2">
      <c r="B45" t="s">
        <v>219</v>
      </c>
      <c r="C45" s="12">
        <v>2</v>
      </c>
      <c r="D45" s="8">
        <v>1.18</v>
      </c>
      <c r="E45" s="12">
        <v>0</v>
      </c>
      <c r="F45" s="8">
        <v>0</v>
      </c>
      <c r="G45" s="12">
        <v>2</v>
      </c>
      <c r="H45" s="8">
        <v>2.99</v>
      </c>
      <c r="I45" s="12">
        <v>0</v>
      </c>
    </row>
    <row r="46" spans="2:9" ht="15" customHeight="1" x14ac:dyDescent="0.2">
      <c r="B46" t="s">
        <v>233</v>
      </c>
      <c r="C46" s="12">
        <v>2</v>
      </c>
      <c r="D46" s="8">
        <v>1.18</v>
      </c>
      <c r="E46" s="12">
        <v>0</v>
      </c>
      <c r="F46" s="8">
        <v>0</v>
      </c>
      <c r="G46" s="12">
        <v>2</v>
      </c>
      <c r="H46" s="8">
        <v>2.99</v>
      </c>
      <c r="I46" s="12">
        <v>0</v>
      </c>
    </row>
    <row r="47" spans="2:9" ht="15" customHeight="1" x14ac:dyDescent="0.2">
      <c r="B47" t="s">
        <v>246</v>
      </c>
      <c r="C47" s="12">
        <v>2</v>
      </c>
      <c r="D47" s="8">
        <v>1.18</v>
      </c>
      <c r="E47" s="12">
        <v>0</v>
      </c>
      <c r="F47" s="8">
        <v>0</v>
      </c>
      <c r="G47" s="12">
        <v>2</v>
      </c>
      <c r="H47" s="8">
        <v>2.99</v>
      </c>
      <c r="I47" s="12">
        <v>0</v>
      </c>
    </row>
    <row r="48" spans="2:9" ht="15" customHeight="1" x14ac:dyDescent="0.2">
      <c r="B48" t="s">
        <v>232</v>
      </c>
      <c r="C48" s="12">
        <v>2</v>
      </c>
      <c r="D48" s="8">
        <v>1.18</v>
      </c>
      <c r="E48" s="12">
        <v>0</v>
      </c>
      <c r="F48" s="8">
        <v>0</v>
      </c>
      <c r="G48" s="12">
        <v>1</v>
      </c>
      <c r="H48" s="8">
        <v>1.49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300</v>
      </c>
      <c r="C52" s="12">
        <v>7</v>
      </c>
      <c r="D52" s="8">
        <v>4.12</v>
      </c>
      <c r="E52" s="12">
        <v>5</v>
      </c>
      <c r="F52" s="8">
        <v>5.05</v>
      </c>
      <c r="G52" s="12">
        <v>2</v>
      </c>
      <c r="H52" s="8">
        <v>2.99</v>
      </c>
      <c r="I52" s="12">
        <v>0</v>
      </c>
    </row>
    <row r="53" spans="2:9" ht="15" customHeight="1" x14ac:dyDescent="0.2">
      <c r="B53" t="s">
        <v>303</v>
      </c>
      <c r="C53" s="12">
        <v>7</v>
      </c>
      <c r="D53" s="8">
        <v>4.12</v>
      </c>
      <c r="E53" s="12">
        <v>7</v>
      </c>
      <c r="F53" s="8">
        <v>7.07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288</v>
      </c>
      <c r="C54" s="12">
        <v>6</v>
      </c>
      <c r="D54" s="8">
        <v>3.53</v>
      </c>
      <c r="E54" s="12">
        <v>0</v>
      </c>
      <c r="F54" s="8">
        <v>0</v>
      </c>
      <c r="G54" s="12">
        <v>6</v>
      </c>
      <c r="H54" s="8">
        <v>8.9600000000000009</v>
      </c>
      <c r="I54" s="12">
        <v>0</v>
      </c>
    </row>
    <row r="55" spans="2:9" ht="15" customHeight="1" x14ac:dyDescent="0.2">
      <c r="B55" t="s">
        <v>301</v>
      </c>
      <c r="C55" s="12">
        <v>6</v>
      </c>
      <c r="D55" s="8">
        <v>3.53</v>
      </c>
      <c r="E55" s="12">
        <v>5</v>
      </c>
      <c r="F55" s="8">
        <v>5.05</v>
      </c>
      <c r="G55" s="12">
        <v>1</v>
      </c>
      <c r="H55" s="8">
        <v>1.49</v>
      </c>
      <c r="I55" s="12">
        <v>0</v>
      </c>
    </row>
    <row r="56" spans="2:9" ht="15" customHeight="1" x14ac:dyDescent="0.2">
      <c r="B56" t="s">
        <v>297</v>
      </c>
      <c r="C56" s="12">
        <v>5</v>
      </c>
      <c r="D56" s="8">
        <v>2.94</v>
      </c>
      <c r="E56" s="12">
        <v>4</v>
      </c>
      <c r="F56" s="8">
        <v>4.04</v>
      </c>
      <c r="G56" s="12">
        <v>1</v>
      </c>
      <c r="H56" s="8">
        <v>1.49</v>
      </c>
      <c r="I56" s="12">
        <v>0</v>
      </c>
    </row>
    <row r="57" spans="2:9" ht="15" customHeight="1" x14ac:dyDescent="0.2">
      <c r="B57" t="s">
        <v>299</v>
      </c>
      <c r="C57" s="12">
        <v>5</v>
      </c>
      <c r="D57" s="8">
        <v>2.94</v>
      </c>
      <c r="E57" s="12">
        <v>5</v>
      </c>
      <c r="F57" s="8">
        <v>5.05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304</v>
      </c>
      <c r="C58" s="12">
        <v>5</v>
      </c>
      <c r="D58" s="8">
        <v>2.94</v>
      </c>
      <c r="E58" s="12">
        <v>5</v>
      </c>
      <c r="F58" s="8">
        <v>5.05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289</v>
      </c>
      <c r="C59" s="12">
        <v>4</v>
      </c>
      <c r="D59" s="8">
        <v>2.35</v>
      </c>
      <c r="E59" s="12">
        <v>0</v>
      </c>
      <c r="F59" s="8">
        <v>0</v>
      </c>
      <c r="G59" s="12">
        <v>4</v>
      </c>
      <c r="H59" s="8">
        <v>5.97</v>
      </c>
      <c r="I59" s="12">
        <v>0</v>
      </c>
    </row>
    <row r="60" spans="2:9" ht="15" customHeight="1" x14ac:dyDescent="0.2">
      <c r="B60" t="s">
        <v>292</v>
      </c>
      <c r="C60" s="12">
        <v>4</v>
      </c>
      <c r="D60" s="8">
        <v>2.35</v>
      </c>
      <c r="E60" s="12">
        <v>3</v>
      </c>
      <c r="F60" s="8">
        <v>3.03</v>
      </c>
      <c r="G60" s="12">
        <v>1</v>
      </c>
      <c r="H60" s="8">
        <v>1.49</v>
      </c>
      <c r="I60" s="12">
        <v>0</v>
      </c>
    </row>
    <row r="61" spans="2:9" ht="15" customHeight="1" x14ac:dyDescent="0.2">
      <c r="B61" t="s">
        <v>337</v>
      </c>
      <c r="C61" s="12">
        <v>4</v>
      </c>
      <c r="D61" s="8">
        <v>2.35</v>
      </c>
      <c r="E61" s="12">
        <v>3</v>
      </c>
      <c r="F61" s="8">
        <v>3.03</v>
      </c>
      <c r="G61" s="12">
        <v>1</v>
      </c>
      <c r="H61" s="8">
        <v>1.49</v>
      </c>
      <c r="I61" s="12">
        <v>0</v>
      </c>
    </row>
    <row r="62" spans="2:9" ht="15" customHeight="1" x14ac:dyDescent="0.2">
      <c r="B62" t="s">
        <v>295</v>
      </c>
      <c r="C62" s="12">
        <v>4</v>
      </c>
      <c r="D62" s="8">
        <v>2.35</v>
      </c>
      <c r="E62" s="12">
        <v>4</v>
      </c>
      <c r="F62" s="8">
        <v>4.04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305</v>
      </c>
      <c r="C63" s="12">
        <v>4</v>
      </c>
      <c r="D63" s="8">
        <v>2.35</v>
      </c>
      <c r="E63" s="12">
        <v>4</v>
      </c>
      <c r="F63" s="8">
        <v>4.04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306</v>
      </c>
      <c r="C64" s="12">
        <v>4</v>
      </c>
      <c r="D64" s="8">
        <v>2.35</v>
      </c>
      <c r="E64" s="12">
        <v>3</v>
      </c>
      <c r="F64" s="8">
        <v>3.03</v>
      </c>
      <c r="G64" s="12">
        <v>1</v>
      </c>
      <c r="H64" s="8">
        <v>1.49</v>
      </c>
      <c r="I64" s="12">
        <v>0</v>
      </c>
    </row>
    <row r="65" spans="2:9" ht="15" customHeight="1" x14ac:dyDescent="0.2">
      <c r="B65" t="s">
        <v>328</v>
      </c>
      <c r="C65" s="12">
        <v>3</v>
      </c>
      <c r="D65" s="8">
        <v>1.76</v>
      </c>
      <c r="E65" s="12">
        <v>3</v>
      </c>
      <c r="F65" s="8">
        <v>3.03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290</v>
      </c>
      <c r="C66" s="12">
        <v>3</v>
      </c>
      <c r="D66" s="8">
        <v>1.76</v>
      </c>
      <c r="E66" s="12">
        <v>2</v>
      </c>
      <c r="F66" s="8">
        <v>2.02</v>
      </c>
      <c r="G66" s="12">
        <v>1</v>
      </c>
      <c r="H66" s="8">
        <v>1.49</v>
      </c>
      <c r="I66" s="12">
        <v>0</v>
      </c>
    </row>
    <row r="67" spans="2:9" ht="15" customHeight="1" x14ac:dyDescent="0.2">
      <c r="B67" t="s">
        <v>291</v>
      </c>
      <c r="C67" s="12">
        <v>3</v>
      </c>
      <c r="D67" s="8">
        <v>1.76</v>
      </c>
      <c r="E67" s="12">
        <v>2</v>
      </c>
      <c r="F67" s="8">
        <v>2.02</v>
      </c>
      <c r="G67" s="12">
        <v>1</v>
      </c>
      <c r="H67" s="8">
        <v>1.49</v>
      </c>
      <c r="I67" s="12">
        <v>0</v>
      </c>
    </row>
    <row r="68" spans="2:9" ht="15" customHeight="1" x14ac:dyDescent="0.2">
      <c r="B68" t="s">
        <v>314</v>
      </c>
      <c r="C68" s="12">
        <v>3</v>
      </c>
      <c r="D68" s="8">
        <v>1.76</v>
      </c>
      <c r="E68" s="12">
        <v>2</v>
      </c>
      <c r="F68" s="8">
        <v>2.02</v>
      </c>
      <c r="G68" s="12">
        <v>1</v>
      </c>
      <c r="H68" s="8">
        <v>1.49</v>
      </c>
      <c r="I68" s="12">
        <v>0</v>
      </c>
    </row>
    <row r="69" spans="2:9" ht="15" customHeight="1" x14ac:dyDescent="0.2">
      <c r="B69" t="s">
        <v>329</v>
      </c>
      <c r="C69" s="12">
        <v>3</v>
      </c>
      <c r="D69" s="8">
        <v>1.76</v>
      </c>
      <c r="E69" s="12">
        <v>3</v>
      </c>
      <c r="F69" s="8">
        <v>3.03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335</v>
      </c>
      <c r="C70" s="12">
        <v>3</v>
      </c>
      <c r="D70" s="8">
        <v>1.76</v>
      </c>
      <c r="E70" s="12">
        <v>3</v>
      </c>
      <c r="F70" s="8">
        <v>3.03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330</v>
      </c>
      <c r="C71" s="12">
        <v>3</v>
      </c>
      <c r="D71" s="8">
        <v>1.76</v>
      </c>
      <c r="E71" s="12">
        <v>0</v>
      </c>
      <c r="F71" s="8">
        <v>0</v>
      </c>
      <c r="G71" s="12">
        <v>3</v>
      </c>
      <c r="H71" s="8">
        <v>4.4800000000000004</v>
      </c>
      <c r="I71" s="12">
        <v>0</v>
      </c>
    </row>
    <row r="72" spans="2:9" ht="15" customHeight="1" x14ac:dyDescent="0.2">
      <c r="B72" t="s">
        <v>334</v>
      </c>
      <c r="C72" s="12">
        <v>3</v>
      </c>
      <c r="D72" s="8">
        <v>1.76</v>
      </c>
      <c r="E72" s="12">
        <v>3</v>
      </c>
      <c r="F72" s="8">
        <v>3.03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419</v>
      </c>
      <c r="C73" s="12">
        <v>3</v>
      </c>
      <c r="D73" s="8">
        <v>1.76</v>
      </c>
      <c r="E73" s="12">
        <v>3</v>
      </c>
      <c r="F73" s="8">
        <v>3.03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307</v>
      </c>
      <c r="C74" s="12">
        <v>3</v>
      </c>
      <c r="D74" s="8">
        <v>1.76</v>
      </c>
      <c r="E74" s="12">
        <v>3</v>
      </c>
      <c r="F74" s="8">
        <v>3.03</v>
      </c>
      <c r="G74" s="12">
        <v>0</v>
      </c>
      <c r="H74" s="8">
        <v>0</v>
      </c>
      <c r="I74" s="12">
        <v>0</v>
      </c>
    </row>
    <row r="76" spans="2:9" ht="15" customHeight="1" x14ac:dyDescent="0.2">
      <c r="B7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9314D-A63B-49F6-96CF-884A5F71C1FF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37</v>
      </c>
      <c r="D6" s="8">
        <v>15.1</v>
      </c>
      <c r="E6" s="12">
        <v>21</v>
      </c>
      <c r="F6" s="8">
        <v>13.73</v>
      </c>
      <c r="G6" s="12">
        <v>16</v>
      </c>
      <c r="H6" s="8">
        <v>19.510000000000002</v>
      </c>
      <c r="I6" s="12">
        <v>0</v>
      </c>
    </row>
    <row r="7" spans="2:9" ht="15" customHeight="1" x14ac:dyDescent="0.2">
      <c r="B7" t="s">
        <v>192</v>
      </c>
      <c r="C7" s="12">
        <v>21</v>
      </c>
      <c r="D7" s="8">
        <v>8.57</v>
      </c>
      <c r="E7" s="12">
        <v>5</v>
      </c>
      <c r="F7" s="8">
        <v>3.27</v>
      </c>
      <c r="G7" s="12">
        <v>16</v>
      </c>
      <c r="H7" s="8">
        <v>19.510000000000002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3</v>
      </c>
      <c r="D9" s="8">
        <v>1.22</v>
      </c>
      <c r="E9" s="12">
        <v>0</v>
      </c>
      <c r="F9" s="8">
        <v>0</v>
      </c>
      <c r="G9" s="12">
        <v>3</v>
      </c>
      <c r="H9" s="8">
        <v>3.66</v>
      </c>
      <c r="I9" s="12">
        <v>0</v>
      </c>
    </row>
    <row r="10" spans="2:9" ht="15" customHeight="1" x14ac:dyDescent="0.2">
      <c r="B10" t="s">
        <v>195</v>
      </c>
      <c r="C10" s="12">
        <v>8</v>
      </c>
      <c r="D10" s="8">
        <v>3.27</v>
      </c>
      <c r="E10" s="12">
        <v>3</v>
      </c>
      <c r="F10" s="8">
        <v>1.96</v>
      </c>
      <c r="G10" s="12">
        <v>4</v>
      </c>
      <c r="H10" s="8">
        <v>4.88</v>
      </c>
      <c r="I10" s="12">
        <v>0</v>
      </c>
    </row>
    <row r="11" spans="2:9" ht="15" customHeight="1" x14ac:dyDescent="0.2">
      <c r="B11" t="s">
        <v>196</v>
      </c>
      <c r="C11" s="12">
        <v>62</v>
      </c>
      <c r="D11" s="8">
        <v>25.31</v>
      </c>
      <c r="E11" s="12">
        <v>34</v>
      </c>
      <c r="F11" s="8">
        <v>22.22</v>
      </c>
      <c r="G11" s="12">
        <v>28</v>
      </c>
      <c r="H11" s="8">
        <v>34.15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0.41</v>
      </c>
      <c r="E12" s="12">
        <v>1</v>
      </c>
      <c r="F12" s="8">
        <v>0.65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15</v>
      </c>
      <c r="D13" s="8">
        <v>6.12</v>
      </c>
      <c r="E13" s="12">
        <v>11</v>
      </c>
      <c r="F13" s="8">
        <v>7.19</v>
      </c>
      <c r="G13" s="12">
        <v>4</v>
      </c>
      <c r="H13" s="8">
        <v>4.88</v>
      </c>
      <c r="I13" s="12">
        <v>0</v>
      </c>
    </row>
    <row r="14" spans="2:9" ht="15" customHeight="1" x14ac:dyDescent="0.2">
      <c r="B14" t="s">
        <v>199</v>
      </c>
      <c r="C14" s="12">
        <v>9</v>
      </c>
      <c r="D14" s="8">
        <v>3.67</v>
      </c>
      <c r="E14" s="12">
        <v>5</v>
      </c>
      <c r="F14" s="8">
        <v>3.27</v>
      </c>
      <c r="G14" s="12">
        <v>2</v>
      </c>
      <c r="H14" s="8">
        <v>2.44</v>
      </c>
      <c r="I14" s="12">
        <v>0</v>
      </c>
    </row>
    <row r="15" spans="2:9" ht="15" customHeight="1" x14ac:dyDescent="0.2">
      <c r="B15" t="s">
        <v>200</v>
      </c>
      <c r="C15" s="12">
        <v>36</v>
      </c>
      <c r="D15" s="8">
        <v>14.69</v>
      </c>
      <c r="E15" s="12">
        <v>31</v>
      </c>
      <c r="F15" s="8">
        <v>20.260000000000002</v>
      </c>
      <c r="G15" s="12">
        <v>5</v>
      </c>
      <c r="H15" s="8">
        <v>6.1</v>
      </c>
      <c r="I15" s="12">
        <v>0</v>
      </c>
    </row>
    <row r="16" spans="2:9" ht="15" customHeight="1" x14ac:dyDescent="0.2">
      <c r="B16" t="s">
        <v>201</v>
      </c>
      <c r="C16" s="12">
        <v>28</v>
      </c>
      <c r="D16" s="8">
        <v>11.43</v>
      </c>
      <c r="E16" s="12">
        <v>28</v>
      </c>
      <c r="F16" s="8">
        <v>18.3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2.86</v>
      </c>
      <c r="E17" s="12">
        <v>4</v>
      </c>
      <c r="F17" s="8">
        <v>2.61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8</v>
      </c>
      <c r="D18" s="8">
        <v>3.27</v>
      </c>
      <c r="E18" s="12">
        <v>4</v>
      </c>
      <c r="F18" s="8">
        <v>2.61</v>
      </c>
      <c r="G18" s="12">
        <v>2</v>
      </c>
      <c r="H18" s="8">
        <v>2.44</v>
      </c>
      <c r="I18" s="12">
        <v>0</v>
      </c>
    </row>
    <row r="19" spans="2:9" ht="15" customHeight="1" x14ac:dyDescent="0.2">
      <c r="B19" t="s">
        <v>204</v>
      </c>
      <c r="C19" s="12">
        <v>10</v>
      </c>
      <c r="D19" s="8">
        <v>4.08</v>
      </c>
      <c r="E19" s="12">
        <v>6</v>
      </c>
      <c r="F19" s="8">
        <v>3.92</v>
      </c>
      <c r="G19" s="12">
        <v>2</v>
      </c>
      <c r="H19" s="8">
        <v>2.44</v>
      </c>
      <c r="I19" s="12">
        <v>0</v>
      </c>
    </row>
    <row r="20" spans="2:9" ht="15" customHeight="1" x14ac:dyDescent="0.2">
      <c r="B20" s="9" t="s">
        <v>529</v>
      </c>
      <c r="C20" s="12">
        <f>SUM(LTBL_01642[総数／事業所数])</f>
        <v>245</v>
      </c>
      <c r="E20" s="12">
        <f>SUBTOTAL(109,LTBL_01642[個人／事業所数])</f>
        <v>153</v>
      </c>
      <c r="G20" s="12">
        <f>SUBTOTAL(109,LTBL_01642[法人／事業所数])</f>
        <v>82</v>
      </c>
      <c r="I20" s="12">
        <f>SUBTOTAL(109,LTBL_01642[法人以外の団体／事業所数])</f>
        <v>0</v>
      </c>
    </row>
    <row r="21" spans="2:9" ht="15" customHeight="1" x14ac:dyDescent="0.2">
      <c r="E21" s="11">
        <f>LTBL_01642[[#Totals],[個人／事業所数]]/LTBL_01642[[#Totals],[総数／事業所数]]</f>
        <v>0.6244897959183674</v>
      </c>
      <c r="G21" s="11">
        <f>LTBL_01642[[#Totals],[法人／事業所数]]/LTBL_01642[[#Totals],[総数／事業所数]]</f>
        <v>0.33469387755102042</v>
      </c>
      <c r="I21" s="11">
        <f>LTBL_01642[[#Totals],[法人以外の団体／事業所数]]/LTBL_01642[[#Totals],[総数／事業所数]]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29</v>
      </c>
      <c r="D24" s="8">
        <v>11.84</v>
      </c>
      <c r="E24" s="12">
        <v>25</v>
      </c>
      <c r="F24" s="8">
        <v>16.34</v>
      </c>
      <c r="G24" s="12">
        <v>4</v>
      </c>
      <c r="H24" s="8">
        <v>4.88</v>
      </c>
      <c r="I24" s="12">
        <v>0</v>
      </c>
    </row>
    <row r="25" spans="2:9" ht="15" customHeight="1" x14ac:dyDescent="0.2">
      <c r="B25" t="s">
        <v>228</v>
      </c>
      <c r="C25" s="12">
        <v>27</v>
      </c>
      <c r="D25" s="8">
        <v>11.02</v>
      </c>
      <c r="E25" s="12">
        <v>27</v>
      </c>
      <c r="F25" s="8">
        <v>17.649999999999999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213</v>
      </c>
      <c r="C26" s="12">
        <v>22</v>
      </c>
      <c r="D26" s="8">
        <v>8.98</v>
      </c>
      <c r="E26" s="12">
        <v>13</v>
      </c>
      <c r="F26" s="8">
        <v>8.5</v>
      </c>
      <c r="G26" s="12">
        <v>9</v>
      </c>
      <c r="H26" s="8">
        <v>10.98</v>
      </c>
      <c r="I26" s="12">
        <v>0</v>
      </c>
    </row>
    <row r="27" spans="2:9" ht="15" customHeight="1" x14ac:dyDescent="0.2">
      <c r="B27" t="s">
        <v>223</v>
      </c>
      <c r="C27" s="12">
        <v>21</v>
      </c>
      <c r="D27" s="8">
        <v>8.57</v>
      </c>
      <c r="E27" s="12">
        <v>13</v>
      </c>
      <c r="F27" s="8">
        <v>8.5</v>
      </c>
      <c r="G27" s="12">
        <v>8</v>
      </c>
      <c r="H27" s="8">
        <v>9.76</v>
      </c>
      <c r="I27" s="12">
        <v>0</v>
      </c>
    </row>
    <row r="28" spans="2:9" ht="15" customHeight="1" x14ac:dyDescent="0.2">
      <c r="B28" t="s">
        <v>221</v>
      </c>
      <c r="C28" s="12">
        <v>16</v>
      </c>
      <c r="D28" s="8">
        <v>6.53</v>
      </c>
      <c r="E28" s="12">
        <v>12</v>
      </c>
      <c r="F28" s="8">
        <v>7.84</v>
      </c>
      <c r="G28" s="12">
        <v>4</v>
      </c>
      <c r="H28" s="8">
        <v>4.88</v>
      </c>
      <c r="I28" s="12">
        <v>0</v>
      </c>
    </row>
    <row r="29" spans="2:9" ht="15" customHeight="1" x14ac:dyDescent="0.2">
      <c r="B29" t="s">
        <v>224</v>
      </c>
      <c r="C29" s="12">
        <v>12</v>
      </c>
      <c r="D29" s="8">
        <v>4.9000000000000004</v>
      </c>
      <c r="E29" s="12">
        <v>11</v>
      </c>
      <c r="F29" s="8">
        <v>7.19</v>
      </c>
      <c r="G29" s="12">
        <v>1</v>
      </c>
      <c r="H29" s="8">
        <v>1.22</v>
      </c>
      <c r="I29" s="12">
        <v>0</v>
      </c>
    </row>
    <row r="30" spans="2:9" ht="15" customHeight="1" x14ac:dyDescent="0.2">
      <c r="B30" t="s">
        <v>214</v>
      </c>
      <c r="C30" s="12">
        <v>9</v>
      </c>
      <c r="D30" s="8">
        <v>3.67</v>
      </c>
      <c r="E30" s="12">
        <v>7</v>
      </c>
      <c r="F30" s="8">
        <v>4.58</v>
      </c>
      <c r="G30" s="12">
        <v>2</v>
      </c>
      <c r="H30" s="8">
        <v>2.44</v>
      </c>
      <c r="I30" s="12">
        <v>0</v>
      </c>
    </row>
    <row r="31" spans="2:9" ht="15" customHeight="1" x14ac:dyDescent="0.2">
      <c r="B31" t="s">
        <v>222</v>
      </c>
      <c r="C31" s="12">
        <v>8</v>
      </c>
      <c r="D31" s="8">
        <v>3.27</v>
      </c>
      <c r="E31" s="12">
        <v>5</v>
      </c>
      <c r="F31" s="8">
        <v>3.27</v>
      </c>
      <c r="G31" s="12">
        <v>3</v>
      </c>
      <c r="H31" s="8">
        <v>3.66</v>
      </c>
      <c r="I31" s="12">
        <v>0</v>
      </c>
    </row>
    <row r="32" spans="2:9" ht="15" customHeight="1" x14ac:dyDescent="0.2">
      <c r="B32" t="s">
        <v>241</v>
      </c>
      <c r="C32" s="12">
        <v>7</v>
      </c>
      <c r="D32" s="8">
        <v>2.86</v>
      </c>
      <c r="E32" s="12">
        <v>2</v>
      </c>
      <c r="F32" s="8">
        <v>1.31</v>
      </c>
      <c r="G32" s="12">
        <v>5</v>
      </c>
      <c r="H32" s="8">
        <v>6.1</v>
      </c>
      <c r="I32" s="12">
        <v>0</v>
      </c>
    </row>
    <row r="33" spans="2:9" ht="15" customHeight="1" x14ac:dyDescent="0.2">
      <c r="B33" t="s">
        <v>220</v>
      </c>
      <c r="C33" s="12">
        <v>7</v>
      </c>
      <c r="D33" s="8">
        <v>2.86</v>
      </c>
      <c r="E33" s="12">
        <v>3</v>
      </c>
      <c r="F33" s="8">
        <v>1.96</v>
      </c>
      <c r="G33" s="12">
        <v>4</v>
      </c>
      <c r="H33" s="8">
        <v>4.88</v>
      </c>
      <c r="I33" s="12">
        <v>0</v>
      </c>
    </row>
    <row r="34" spans="2:9" ht="15" customHeight="1" x14ac:dyDescent="0.2">
      <c r="B34" t="s">
        <v>230</v>
      </c>
      <c r="C34" s="12">
        <v>7</v>
      </c>
      <c r="D34" s="8">
        <v>2.86</v>
      </c>
      <c r="E34" s="12">
        <v>4</v>
      </c>
      <c r="F34" s="8">
        <v>2.61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215</v>
      </c>
      <c r="C35" s="12">
        <v>6</v>
      </c>
      <c r="D35" s="8">
        <v>2.4500000000000002</v>
      </c>
      <c r="E35" s="12">
        <v>1</v>
      </c>
      <c r="F35" s="8">
        <v>0.65</v>
      </c>
      <c r="G35" s="12">
        <v>5</v>
      </c>
      <c r="H35" s="8">
        <v>6.1</v>
      </c>
      <c r="I35" s="12">
        <v>0</v>
      </c>
    </row>
    <row r="36" spans="2:9" ht="15" customHeight="1" x14ac:dyDescent="0.2">
      <c r="B36" t="s">
        <v>226</v>
      </c>
      <c r="C36" s="12">
        <v>6</v>
      </c>
      <c r="D36" s="8">
        <v>2.4500000000000002</v>
      </c>
      <c r="E36" s="12">
        <v>4</v>
      </c>
      <c r="F36" s="8">
        <v>2.61</v>
      </c>
      <c r="G36" s="12">
        <v>1</v>
      </c>
      <c r="H36" s="8">
        <v>1.22</v>
      </c>
      <c r="I36" s="12">
        <v>0</v>
      </c>
    </row>
    <row r="37" spans="2:9" ht="15" customHeight="1" x14ac:dyDescent="0.2">
      <c r="B37" t="s">
        <v>231</v>
      </c>
      <c r="C37" s="12">
        <v>6</v>
      </c>
      <c r="D37" s="8">
        <v>2.4500000000000002</v>
      </c>
      <c r="E37" s="12">
        <v>4</v>
      </c>
      <c r="F37" s="8">
        <v>2.61</v>
      </c>
      <c r="G37" s="12">
        <v>2</v>
      </c>
      <c r="H37" s="8">
        <v>2.44</v>
      </c>
      <c r="I37" s="12">
        <v>0</v>
      </c>
    </row>
    <row r="38" spans="2:9" ht="15" customHeight="1" x14ac:dyDescent="0.2">
      <c r="B38" t="s">
        <v>262</v>
      </c>
      <c r="C38" s="12">
        <v>4</v>
      </c>
      <c r="D38" s="8">
        <v>1.63</v>
      </c>
      <c r="E38" s="12">
        <v>0</v>
      </c>
      <c r="F38" s="8">
        <v>0</v>
      </c>
      <c r="G38" s="12">
        <v>4</v>
      </c>
      <c r="H38" s="8">
        <v>4.88</v>
      </c>
      <c r="I38" s="12">
        <v>0</v>
      </c>
    </row>
    <row r="39" spans="2:9" ht="15" customHeight="1" x14ac:dyDescent="0.2">
      <c r="B39" t="s">
        <v>254</v>
      </c>
      <c r="C39" s="12">
        <v>4</v>
      </c>
      <c r="D39" s="8">
        <v>1.63</v>
      </c>
      <c r="E39" s="12">
        <v>0</v>
      </c>
      <c r="F39" s="8">
        <v>0</v>
      </c>
      <c r="G39" s="12">
        <v>4</v>
      </c>
      <c r="H39" s="8">
        <v>4.88</v>
      </c>
      <c r="I39" s="12">
        <v>0</v>
      </c>
    </row>
    <row r="40" spans="2:9" ht="15" customHeight="1" x14ac:dyDescent="0.2">
      <c r="B40" t="s">
        <v>248</v>
      </c>
      <c r="C40" s="12">
        <v>4</v>
      </c>
      <c r="D40" s="8">
        <v>1.63</v>
      </c>
      <c r="E40" s="12">
        <v>3</v>
      </c>
      <c r="F40" s="8">
        <v>1.96</v>
      </c>
      <c r="G40" s="12">
        <v>1</v>
      </c>
      <c r="H40" s="8">
        <v>1.22</v>
      </c>
      <c r="I40" s="12">
        <v>0</v>
      </c>
    </row>
    <row r="41" spans="2:9" ht="15" customHeight="1" x14ac:dyDescent="0.2">
      <c r="B41" t="s">
        <v>243</v>
      </c>
      <c r="C41" s="12">
        <v>4</v>
      </c>
      <c r="D41" s="8">
        <v>1.63</v>
      </c>
      <c r="E41" s="12">
        <v>3</v>
      </c>
      <c r="F41" s="8">
        <v>1.96</v>
      </c>
      <c r="G41" s="12">
        <v>1</v>
      </c>
      <c r="H41" s="8">
        <v>1.22</v>
      </c>
      <c r="I41" s="12">
        <v>0</v>
      </c>
    </row>
    <row r="42" spans="2:9" ht="15" customHeight="1" x14ac:dyDescent="0.2">
      <c r="B42" t="s">
        <v>261</v>
      </c>
      <c r="C42" s="12">
        <v>3</v>
      </c>
      <c r="D42" s="8">
        <v>1.22</v>
      </c>
      <c r="E42" s="12">
        <v>0</v>
      </c>
      <c r="F42" s="8">
        <v>0</v>
      </c>
      <c r="G42" s="12">
        <v>2</v>
      </c>
      <c r="H42" s="8">
        <v>2.44</v>
      </c>
      <c r="I42" s="12">
        <v>0</v>
      </c>
    </row>
    <row r="43" spans="2:9" ht="15" customHeight="1" x14ac:dyDescent="0.2">
      <c r="B43" t="s">
        <v>217</v>
      </c>
      <c r="C43" s="12">
        <v>3</v>
      </c>
      <c r="D43" s="8">
        <v>1.22</v>
      </c>
      <c r="E43" s="12">
        <v>0</v>
      </c>
      <c r="F43" s="8">
        <v>0</v>
      </c>
      <c r="G43" s="12">
        <v>3</v>
      </c>
      <c r="H43" s="8">
        <v>3.66</v>
      </c>
      <c r="I43" s="12">
        <v>0</v>
      </c>
    </row>
    <row r="44" spans="2:9" ht="15" customHeight="1" x14ac:dyDescent="0.2">
      <c r="B44" t="s">
        <v>239</v>
      </c>
      <c r="C44" s="12">
        <v>3</v>
      </c>
      <c r="D44" s="8">
        <v>1.22</v>
      </c>
      <c r="E44" s="12">
        <v>3</v>
      </c>
      <c r="F44" s="8">
        <v>1.96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242</v>
      </c>
      <c r="C45" s="12">
        <v>3</v>
      </c>
      <c r="D45" s="8">
        <v>1.22</v>
      </c>
      <c r="E45" s="12">
        <v>3</v>
      </c>
      <c r="F45" s="8">
        <v>1.96</v>
      </c>
      <c r="G45" s="12">
        <v>0</v>
      </c>
      <c r="H45" s="8">
        <v>0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304</v>
      </c>
      <c r="C49" s="12">
        <v>14</v>
      </c>
      <c r="D49" s="8">
        <v>5.71</v>
      </c>
      <c r="E49" s="12">
        <v>14</v>
      </c>
      <c r="F49" s="8">
        <v>9.15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297</v>
      </c>
      <c r="C50" s="12">
        <v>12</v>
      </c>
      <c r="D50" s="8">
        <v>4.9000000000000004</v>
      </c>
      <c r="E50" s="12">
        <v>11</v>
      </c>
      <c r="F50" s="8">
        <v>7.19</v>
      </c>
      <c r="G50" s="12">
        <v>1</v>
      </c>
      <c r="H50" s="8">
        <v>1.22</v>
      </c>
      <c r="I50" s="12">
        <v>0</v>
      </c>
    </row>
    <row r="51" spans="2:9" ht="15" customHeight="1" x14ac:dyDescent="0.2">
      <c r="B51" t="s">
        <v>303</v>
      </c>
      <c r="C51" s="12">
        <v>10</v>
      </c>
      <c r="D51" s="8">
        <v>4.08</v>
      </c>
      <c r="E51" s="12">
        <v>10</v>
      </c>
      <c r="F51" s="8">
        <v>6.54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289</v>
      </c>
      <c r="C52" s="12">
        <v>8</v>
      </c>
      <c r="D52" s="8">
        <v>3.27</v>
      </c>
      <c r="E52" s="12">
        <v>4</v>
      </c>
      <c r="F52" s="8">
        <v>2.61</v>
      </c>
      <c r="G52" s="12">
        <v>4</v>
      </c>
      <c r="H52" s="8">
        <v>4.88</v>
      </c>
      <c r="I52" s="12">
        <v>0</v>
      </c>
    </row>
    <row r="53" spans="2:9" ht="15" customHeight="1" x14ac:dyDescent="0.2">
      <c r="B53" t="s">
        <v>328</v>
      </c>
      <c r="C53" s="12">
        <v>8</v>
      </c>
      <c r="D53" s="8">
        <v>3.27</v>
      </c>
      <c r="E53" s="12">
        <v>7</v>
      </c>
      <c r="F53" s="8">
        <v>4.58</v>
      </c>
      <c r="G53" s="12">
        <v>1</v>
      </c>
      <c r="H53" s="8">
        <v>1.22</v>
      </c>
      <c r="I53" s="12">
        <v>0</v>
      </c>
    </row>
    <row r="54" spans="2:9" ht="15" customHeight="1" x14ac:dyDescent="0.2">
      <c r="B54" t="s">
        <v>299</v>
      </c>
      <c r="C54" s="12">
        <v>8</v>
      </c>
      <c r="D54" s="8">
        <v>3.27</v>
      </c>
      <c r="E54" s="12">
        <v>6</v>
      </c>
      <c r="F54" s="8">
        <v>3.92</v>
      </c>
      <c r="G54" s="12">
        <v>2</v>
      </c>
      <c r="H54" s="8">
        <v>2.44</v>
      </c>
      <c r="I54" s="12">
        <v>0</v>
      </c>
    </row>
    <row r="55" spans="2:9" ht="15" customHeight="1" x14ac:dyDescent="0.2">
      <c r="B55" t="s">
        <v>301</v>
      </c>
      <c r="C55" s="12">
        <v>8</v>
      </c>
      <c r="D55" s="8">
        <v>3.27</v>
      </c>
      <c r="E55" s="12">
        <v>8</v>
      </c>
      <c r="F55" s="8">
        <v>5.23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292</v>
      </c>
      <c r="C56" s="12">
        <v>5</v>
      </c>
      <c r="D56" s="8">
        <v>2.04</v>
      </c>
      <c r="E56" s="12">
        <v>3</v>
      </c>
      <c r="F56" s="8">
        <v>1.96</v>
      </c>
      <c r="G56" s="12">
        <v>2</v>
      </c>
      <c r="H56" s="8">
        <v>2.44</v>
      </c>
      <c r="I56" s="12">
        <v>0</v>
      </c>
    </row>
    <row r="57" spans="2:9" ht="15" customHeight="1" x14ac:dyDescent="0.2">
      <c r="B57" t="s">
        <v>335</v>
      </c>
      <c r="C57" s="12">
        <v>5</v>
      </c>
      <c r="D57" s="8">
        <v>2.04</v>
      </c>
      <c r="E57" s="12">
        <v>3</v>
      </c>
      <c r="F57" s="8">
        <v>1.96</v>
      </c>
      <c r="G57" s="12">
        <v>2</v>
      </c>
      <c r="H57" s="8">
        <v>2.44</v>
      </c>
      <c r="I57" s="12">
        <v>0</v>
      </c>
    </row>
    <row r="58" spans="2:9" ht="15" customHeight="1" x14ac:dyDescent="0.2">
      <c r="B58" t="s">
        <v>337</v>
      </c>
      <c r="C58" s="12">
        <v>5</v>
      </c>
      <c r="D58" s="8">
        <v>2.04</v>
      </c>
      <c r="E58" s="12">
        <v>5</v>
      </c>
      <c r="F58" s="8">
        <v>3.27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295</v>
      </c>
      <c r="C59" s="12">
        <v>5</v>
      </c>
      <c r="D59" s="8">
        <v>2.04</v>
      </c>
      <c r="E59" s="12">
        <v>4</v>
      </c>
      <c r="F59" s="8">
        <v>2.61</v>
      </c>
      <c r="G59" s="12">
        <v>1</v>
      </c>
      <c r="H59" s="8">
        <v>1.22</v>
      </c>
      <c r="I59" s="12">
        <v>0</v>
      </c>
    </row>
    <row r="60" spans="2:9" ht="15" customHeight="1" x14ac:dyDescent="0.2">
      <c r="B60" t="s">
        <v>300</v>
      </c>
      <c r="C60" s="12">
        <v>5</v>
      </c>
      <c r="D60" s="8">
        <v>2.04</v>
      </c>
      <c r="E60" s="12">
        <v>4</v>
      </c>
      <c r="F60" s="8">
        <v>2.61</v>
      </c>
      <c r="G60" s="12">
        <v>1</v>
      </c>
      <c r="H60" s="8">
        <v>1.22</v>
      </c>
      <c r="I60" s="12">
        <v>0</v>
      </c>
    </row>
    <row r="61" spans="2:9" ht="15" customHeight="1" x14ac:dyDescent="0.2">
      <c r="B61" t="s">
        <v>288</v>
      </c>
      <c r="C61" s="12">
        <v>4</v>
      </c>
      <c r="D61" s="8">
        <v>1.63</v>
      </c>
      <c r="E61" s="12">
        <v>0</v>
      </c>
      <c r="F61" s="8">
        <v>0</v>
      </c>
      <c r="G61" s="12">
        <v>4</v>
      </c>
      <c r="H61" s="8">
        <v>4.88</v>
      </c>
      <c r="I61" s="12">
        <v>0</v>
      </c>
    </row>
    <row r="62" spans="2:9" ht="15" customHeight="1" x14ac:dyDescent="0.2">
      <c r="B62" t="s">
        <v>290</v>
      </c>
      <c r="C62" s="12">
        <v>4</v>
      </c>
      <c r="D62" s="8">
        <v>1.63</v>
      </c>
      <c r="E62" s="12">
        <v>0</v>
      </c>
      <c r="F62" s="8">
        <v>0</v>
      </c>
      <c r="G62" s="12">
        <v>4</v>
      </c>
      <c r="H62" s="8">
        <v>4.88</v>
      </c>
      <c r="I62" s="12">
        <v>0</v>
      </c>
    </row>
    <row r="63" spans="2:9" ht="15" customHeight="1" x14ac:dyDescent="0.2">
      <c r="B63" t="s">
        <v>342</v>
      </c>
      <c r="C63" s="12">
        <v>4</v>
      </c>
      <c r="D63" s="8">
        <v>1.63</v>
      </c>
      <c r="E63" s="12">
        <v>2</v>
      </c>
      <c r="F63" s="8">
        <v>1.31</v>
      </c>
      <c r="G63" s="12">
        <v>2</v>
      </c>
      <c r="H63" s="8">
        <v>2.44</v>
      </c>
      <c r="I63" s="12">
        <v>0</v>
      </c>
    </row>
    <row r="64" spans="2:9" ht="15" customHeight="1" x14ac:dyDescent="0.2">
      <c r="B64" t="s">
        <v>314</v>
      </c>
      <c r="C64" s="12">
        <v>4</v>
      </c>
      <c r="D64" s="8">
        <v>1.63</v>
      </c>
      <c r="E64" s="12">
        <v>2</v>
      </c>
      <c r="F64" s="8">
        <v>1.31</v>
      </c>
      <c r="G64" s="12">
        <v>2</v>
      </c>
      <c r="H64" s="8">
        <v>2.44</v>
      </c>
      <c r="I64" s="12">
        <v>0</v>
      </c>
    </row>
    <row r="65" spans="2:9" ht="15" customHeight="1" x14ac:dyDescent="0.2">
      <c r="B65" t="s">
        <v>329</v>
      </c>
      <c r="C65" s="12">
        <v>4</v>
      </c>
      <c r="D65" s="8">
        <v>1.63</v>
      </c>
      <c r="E65" s="12">
        <v>3</v>
      </c>
      <c r="F65" s="8">
        <v>1.96</v>
      </c>
      <c r="G65" s="12">
        <v>1</v>
      </c>
      <c r="H65" s="8">
        <v>1.22</v>
      </c>
      <c r="I65" s="12">
        <v>0</v>
      </c>
    </row>
    <row r="66" spans="2:9" ht="15" customHeight="1" x14ac:dyDescent="0.2">
      <c r="B66" t="s">
        <v>409</v>
      </c>
      <c r="C66" s="12">
        <v>4</v>
      </c>
      <c r="D66" s="8">
        <v>1.63</v>
      </c>
      <c r="E66" s="12">
        <v>3</v>
      </c>
      <c r="F66" s="8">
        <v>1.96</v>
      </c>
      <c r="G66" s="12">
        <v>1</v>
      </c>
      <c r="H66" s="8">
        <v>1.22</v>
      </c>
      <c r="I66" s="12">
        <v>0</v>
      </c>
    </row>
    <row r="67" spans="2:9" ht="15" customHeight="1" x14ac:dyDescent="0.2">
      <c r="B67" t="s">
        <v>339</v>
      </c>
      <c r="C67" s="12">
        <v>4</v>
      </c>
      <c r="D67" s="8">
        <v>1.63</v>
      </c>
      <c r="E67" s="12">
        <v>3</v>
      </c>
      <c r="F67" s="8">
        <v>1.96</v>
      </c>
      <c r="G67" s="12">
        <v>1</v>
      </c>
      <c r="H67" s="8">
        <v>1.22</v>
      </c>
      <c r="I67" s="12">
        <v>0</v>
      </c>
    </row>
    <row r="68" spans="2:9" ht="15" customHeight="1" x14ac:dyDescent="0.2">
      <c r="B68" t="s">
        <v>334</v>
      </c>
      <c r="C68" s="12">
        <v>4</v>
      </c>
      <c r="D68" s="8">
        <v>1.63</v>
      </c>
      <c r="E68" s="12">
        <v>3</v>
      </c>
      <c r="F68" s="8">
        <v>1.96</v>
      </c>
      <c r="G68" s="12">
        <v>1</v>
      </c>
      <c r="H68" s="8">
        <v>1.22</v>
      </c>
      <c r="I68" s="12">
        <v>0</v>
      </c>
    </row>
    <row r="69" spans="2:9" ht="15" customHeight="1" x14ac:dyDescent="0.2">
      <c r="B69" t="s">
        <v>306</v>
      </c>
      <c r="C69" s="12">
        <v>4</v>
      </c>
      <c r="D69" s="8">
        <v>1.63</v>
      </c>
      <c r="E69" s="12">
        <v>3</v>
      </c>
      <c r="F69" s="8">
        <v>1.96</v>
      </c>
      <c r="G69" s="12">
        <v>1</v>
      </c>
      <c r="H69" s="8">
        <v>1.22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469C2-F011-4F3F-8803-B7DE9E5F208C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83</v>
      </c>
      <c r="D6" s="8">
        <v>15.51</v>
      </c>
      <c r="E6" s="12">
        <v>23</v>
      </c>
      <c r="F6" s="8">
        <v>8.65</v>
      </c>
      <c r="G6" s="12">
        <v>60</v>
      </c>
      <c r="H6" s="8">
        <v>24.1</v>
      </c>
      <c r="I6" s="12">
        <v>0</v>
      </c>
    </row>
    <row r="7" spans="2:9" ht="15" customHeight="1" x14ac:dyDescent="0.2">
      <c r="B7" t="s">
        <v>192</v>
      </c>
      <c r="C7" s="12">
        <v>40</v>
      </c>
      <c r="D7" s="8">
        <v>7.48</v>
      </c>
      <c r="E7" s="12">
        <v>11</v>
      </c>
      <c r="F7" s="8">
        <v>4.1399999999999997</v>
      </c>
      <c r="G7" s="12">
        <v>29</v>
      </c>
      <c r="H7" s="8">
        <v>11.65</v>
      </c>
      <c r="I7" s="12">
        <v>0</v>
      </c>
    </row>
    <row r="8" spans="2:9" ht="15" customHeight="1" x14ac:dyDescent="0.2">
      <c r="B8" t="s">
        <v>193</v>
      </c>
      <c r="C8" s="12">
        <v>4</v>
      </c>
      <c r="D8" s="8">
        <v>0.75</v>
      </c>
      <c r="E8" s="12">
        <v>0</v>
      </c>
      <c r="F8" s="8">
        <v>0</v>
      </c>
      <c r="G8" s="12">
        <v>2</v>
      </c>
      <c r="H8" s="8">
        <v>0.8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0.19</v>
      </c>
      <c r="E9" s="12">
        <v>0</v>
      </c>
      <c r="F9" s="8">
        <v>0</v>
      </c>
      <c r="G9" s="12">
        <v>1</v>
      </c>
      <c r="H9" s="8">
        <v>0.4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0.93</v>
      </c>
      <c r="E10" s="12">
        <v>1</v>
      </c>
      <c r="F10" s="8">
        <v>0.38</v>
      </c>
      <c r="G10" s="12">
        <v>4</v>
      </c>
      <c r="H10" s="8">
        <v>1.61</v>
      </c>
      <c r="I10" s="12">
        <v>0</v>
      </c>
    </row>
    <row r="11" spans="2:9" ht="15" customHeight="1" x14ac:dyDescent="0.2">
      <c r="B11" t="s">
        <v>196</v>
      </c>
      <c r="C11" s="12">
        <v>127</v>
      </c>
      <c r="D11" s="8">
        <v>23.74</v>
      </c>
      <c r="E11" s="12">
        <v>48</v>
      </c>
      <c r="F11" s="8">
        <v>18.05</v>
      </c>
      <c r="G11" s="12">
        <v>79</v>
      </c>
      <c r="H11" s="8">
        <v>31.73</v>
      </c>
      <c r="I11" s="12">
        <v>0</v>
      </c>
    </row>
    <row r="12" spans="2:9" ht="15" customHeight="1" x14ac:dyDescent="0.2">
      <c r="B12" t="s">
        <v>197</v>
      </c>
      <c r="C12" s="12">
        <v>3</v>
      </c>
      <c r="D12" s="8">
        <v>0.56000000000000005</v>
      </c>
      <c r="E12" s="12">
        <v>1</v>
      </c>
      <c r="F12" s="8">
        <v>0.38</v>
      </c>
      <c r="G12" s="12">
        <v>1</v>
      </c>
      <c r="H12" s="8">
        <v>0.4</v>
      </c>
      <c r="I12" s="12">
        <v>1</v>
      </c>
    </row>
    <row r="13" spans="2:9" ht="15" customHeight="1" x14ac:dyDescent="0.2">
      <c r="B13" t="s">
        <v>198</v>
      </c>
      <c r="C13" s="12">
        <v>26</v>
      </c>
      <c r="D13" s="8">
        <v>4.8600000000000003</v>
      </c>
      <c r="E13" s="12">
        <v>13</v>
      </c>
      <c r="F13" s="8">
        <v>4.8899999999999997</v>
      </c>
      <c r="G13" s="12">
        <v>12</v>
      </c>
      <c r="H13" s="8">
        <v>4.82</v>
      </c>
      <c r="I13" s="12">
        <v>0</v>
      </c>
    </row>
    <row r="14" spans="2:9" ht="15" customHeight="1" x14ac:dyDescent="0.2">
      <c r="B14" t="s">
        <v>199</v>
      </c>
      <c r="C14" s="12">
        <v>21</v>
      </c>
      <c r="D14" s="8">
        <v>3.93</v>
      </c>
      <c r="E14" s="12">
        <v>8</v>
      </c>
      <c r="F14" s="8">
        <v>3.01</v>
      </c>
      <c r="G14" s="12">
        <v>12</v>
      </c>
      <c r="H14" s="8">
        <v>4.82</v>
      </c>
      <c r="I14" s="12">
        <v>1</v>
      </c>
    </row>
    <row r="15" spans="2:9" ht="15" customHeight="1" x14ac:dyDescent="0.2">
      <c r="B15" t="s">
        <v>200</v>
      </c>
      <c r="C15" s="12">
        <v>56</v>
      </c>
      <c r="D15" s="8">
        <v>10.47</v>
      </c>
      <c r="E15" s="12">
        <v>47</v>
      </c>
      <c r="F15" s="8">
        <v>17.670000000000002</v>
      </c>
      <c r="G15" s="12">
        <v>9</v>
      </c>
      <c r="H15" s="8">
        <v>3.61</v>
      </c>
      <c r="I15" s="12">
        <v>0</v>
      </c>
    </row>
    <row r="16" spans="2:9" ht="15" customHeight="1" x14ac:dyDescent="0.2">
      <c r="B16" t="s">
        <v>201</v>
      </c>
      <c r="C16" s="12">
        <v>73</v>
      </c>
      <c r="D16" s="8">
        <v>13.64</v>
      </c>
      <c r="E16" s="12">
        <v>62</v>
      </c>
      <c r="F16" s="8">
        <v>23.31</v>
      </c>
      <c r="G16" s="12">
        <v>10</v>
      </c>
      <c r="H16" s="8">
        <v>4.0199999999999996</v>
      </c>
      <c r="I16" s="12">
        <v>0</v>
      </c>
    </row>
    <row r="17" spans="2:9" ht="15" customHeight="1" x14ac:dyDescent="0.2">
      <c r="B17" t="s">
        <v>202</v>
      </c>
      <c r="C17" s="12">
        <v>27</v>
      </c>
      <c r="D17" s="8">
        <v>5.05</v>
      </c>
      <c r="E17" s="12">
        <v>14</v>
      </c>
      <c r="F17" s="8">
        <v>5.26</v>
      </c>
      <c r="G17" s="12">
        <v>7</v>
      </c>
      <c r="H17" s="8">
        <v>2.81</v>
      </c>
      <c r="I17" s="12">
        <v>0</v>
      </c>
    </row>
    <row r="18" spans="2:9" ht="15" customHeight="1" x14ac:dyDescent="0.2">
      <c r="B18" t="s">
        <v>203</v>
      </c>
      <c r="C18" s="12">
        <v>39</v>
      </c>
      <c r="D18" s="8">
        <v>7.29</v>
      </c>
      <c r="E18" s="12">
        <v>23</v>
      </c>
      <c r="F18" s="8">
        <v>8.65</v>
      </c>
      <c r="G18" s="12">
        <v>9</v>
      </c>
      <c r="H18" s="8">
        <v>3.61</v>
      </c>
      <c r="I18" s="12">
        <v>0</v>
      </c>
    </row>
    <row r="19" spans="2:9" ht="15" customHeight="1" x14ac:dyDescent="0.2">
      <c r="B19" t="s">
        <v>204</v>
      </c>
      <c r="C19" s="12">
        <v>30</v>
      </c>
      <c r="D19" s="8">
        <v>5.61</v>
      </c>
      <c r="E19" s="12">
        <v>15</v>
      </c>
      <c r="F19" s="8">
        <v>5.64</v>
      </c>
      <c r="G19" s="12">
        <v>14</v>
      </c>
      <c r="H19" s="8">
        <v>5.62</v>
      </c>
      <c r="I19" s="12">
        <v>0</v>
      </c>
    </row>
    <row r="20" spans="2:9" ht="15" customHeight="1" x14ac:dyDescent="0.2">
      <c r="B20" s="9" t="s">
        <v>529</v>
      </c>
      <c r="C20" s="12">
        <f>SUM(LTBL_01643[総数／事業所数])</f>
        <v>535</v>
      </c>
      <c r="E20" s="12">
        <f>SUBTOTAL(109,LTBL_01643[個人／事業所数])</f>
        <v>266</v>
      </c>
      <c r="G20" s="12">
        <f>SUBTOTAL(109,LTBL_01643[法人／事業所数])</f>
        <v>249</v>
      </c>
      <c r="I20" s="12">
        <f>SUBTOTAL(109,LTBL_01643[法人以外の団体／事業所数])</f>
        <v>2</v>
      </c>
    </row>
    <row r="21" spans="2:9" ht="15" customHeight="1" x14ac:dyDescent="0.2">
      <c r="E21" s="11">
        <f>LTBL_01643[[#Totals],[個人／事業所数]]/LTBL_01643[[#Totals],[総数／事業所数]]</f>
        <v>0.49719626168224301</v>
      </c>
      <c r="G21" s="11">
        <f>LTBL_01643[[#Totals],[法人／事業所数]]/LTBL_01643[[#Totals],[総数／事業所数]]</f>
        <v>0.46542056074766353</v>
      </c>
      <c r="I21" s="11">
        <f>LTBL_01643[[#Totals],[法人以外の団体／事業所数]]/LTBL_01643[[#Totals],[総数／事業所数]]</f>
        <v>3.7383177570093459E-3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64</v>
      </c>
      <c r="D24" s="8">
        <v>11.96</v>
      </c>
      <c r="E24" s="12">
        <v>57</v>
      </c>
      <c r="F24" s="8">
        <v>21.43</v>
      </c>
      <c r="G24" s="12">
        <v>7</v>
      </c>
      <c r="H24" s="8">
        <v>2.81</v>
      </c>
      <c r="I24" s="12">
        <v>0</v>
      </c>
    </row>
    <row r="25" spans="2:9" ht="15" customHeight="1" x14ac:dyDescent="0.2">
      <c r="B25" t="s">
        <v>227</v>
      </c>
      <c r="C25" s="12">
        <v>53</v>
      </c>
      <c r="D25" s="8">
        <v>9.91</v>
      </c>
      <c r="E25" s="12">
        <v>45</v>
      </c>
      <c r="F25" s="8">
        <v>16.920000000000002</v>
      </c>
      <c r="G25" s="12">
        <v>8</v>
      </c>
      <c r="H25" s="8">
        <v>3.21</v>
      </c>
      <c r="I25" s="12">
        <v>0</v>
      </c>
    </row>
    <row r="26" spans="2:9" ht="15" customHeight="1" x14ac:dyDescent="0.2">
      <c r="B26" t="s">
        <v>213</v>
      </c>
      <c r="C26" s="12">
        <v>42</v>
      </c>
      <c r="D26" s="8">
        <v>7.85</v>
      </c>
      <c r="E26" s="12">
        <v>8</v>
      </c>
      <c r="F26" s="8">
        <v>3.01</v>
      </c>
      <c r="G26" s="12">
        <v>34</v>
      </c>
      <c r="H26" s="8">
        <v>13.65</v>
      </c>
      <c r="I26" s="12">
        <v>0</v>
      </c>
    </row>
    <row r="27" spans="2:9" ht="15" customHeight="1" x14ac:dyDescent="0.2">
      <c r="B27" t="s">
        <v>223</v>
      </c>
      <c r="C27" s="12">
        <v>41</v>
      </c>
      <c r="D27" s="8">
        <v>7.66</v>
      </c>
      <c r="E27" s="12">
        <v>18</v>
      </c>
      <c r="F27" s="8">
        <v>6.77</v>
      </c>
      <c r="G27" s="12">
        <v>23</v>
      </c>
      <c r="H27" s="8">
        <v>9.24</v>
      </c>
      <c r="I27" s="12">
        <v>0</v>
      </c>
    </row>
    <row r="28" spans="2:9" ht="15" customHeight="1" x14ac:dyDescent="0.2">
      <c r="B28" t="s">
        <v>230</v>
      </c>
      <c r="C28" s="12">
        <v>27</v>
      </c>
      <c r="D28" s="8">
        <v>5.05</v>
      </c>
      <c r="E28" s="12">
        <v>14</v>
      </c>
      <c r="F28" s="8">
        <v>5.26</v>
      </c>
      <c r="G28" s="12">
        <v>7</v>
      </c>
      <c r="H28" s="8">
        <v>2.81</v>
      </c>
      <c r="I28" s="12">
        <v>0</v>
      </c>
    </row>
    <row r="29" spans="2:9" ht="15" customHeight="1" x14ac:dyDescent="0.2">
      <c r="B29" t="s">
        <v>231</v>
      </c>
      <c r="C29" s="12">
        <v>24</v>
      </c>
      <c r="D29" s="8">
        <v>4.49</v>
      </c>
      <c r="E29" s="12">
        <v>23</v>
      </c>
      <c r="F29" s="8">
        <v>8.65</v>
      </c>
      <c r="G29" s="12">
        <v>1</v>
      </c>
      <c r="H29" s="8">
        <v>0.4</v>
      </c>
      <c r="I29" s="12">
        <v>0</v>
      </c>
    </row>
    <row r="30" spans="2:9" ht="15" customHeight="1" x14ac:dyDescent="0.2">
      <c r="B30" t="s">
        <v>221</v>
      </c>
      <c r="C30" s="12">
        <v>22</v>
      </c>
      <c r="D30" s="8">
        <v>4.1100000000000003</v>
      </c>
      <c r="E30" s="12">
        <v>13</v>
      </c>
      <c r="F30" s="8">
        <v>4.8899999999999997</v>
      </c>
      <c r="G30" s="12">
        <v>9</v>
      </c>
      <c r="H30" s="8">
        <v>3.61</v>
      </c>
      <c r="I30" s="12">
        <v>0</v>
      </c>
    </row>
    <row r="31" spans="2:9" ht="15" customHeight="1" x14ac:dyDescent="0.2">
      <c r="B31" t="s">
        <v>215</v>
      </c>
      <c r="C31" s="12">
        <v>21</v>
      </c>
      <c r="D31" s="8">
        <v>3.93</v>
      </c>
      <c r="E31" s="12">
        <v>8</v>
      </c>
      <c r="F31" s="8">
        <v>3.01</v>
      </c>
      <c r="G31" s="12">
        <v>13</v>
      </c>
      <c r="H31" s="8">
        <v>5.22</v>
      </c>
      <c r="I31" s="12">
        <v>0</v>
      </c>
    </row>
    <row r="32" spans="2:9" ht="15" customHeight="1" x14ac:dyDescent="0.2">
      <c r="B32" t="s">
        <v>222</v>
      </c>
      <c r="C32" s="12">
        <v>21</v>
      </c>
      <c r="D32" s="8">
        <v>3.93</v>
      </c>
      <c r="E32" s="12">
        <v>6</v>
      </c>
      <c r="F32" s="8">
        <v>2.2599999999999998</v>
      </c>
      <c r="G32" s="12">
        <v>15</v>
      </c>
      <c r="H32" s="8">
        <v>6.02</v>
      </c>
      <c r="I32" s="12">
        <v>0</v>
      </c>
    </row>
    <row r="33" spans="2:9" ht="15" customHeight="1" x14ac:dyDescent="0.2">
      <c r="B33" t="s">
        <v>224</v>
      </c>
      <c r="C33" s="12">
        <v>21</v>
      </c>
      <c r="D33" s="8">
        <v>3.93</v>
      </c>
      <c r="E33" s="12">
        <v>12</v>
      </c>
      <c r="F33" s="8">
        <v>4.51</v>
      </c>
      <c r="G33" s="12">
        <v>8</v>
      </c>
      <c r="H33" s="8">
        <v>3.21</v>
      </c>
      <c r="I33" s="12">
        <v>0</v>
      </c>
    </row>
    <row r="34" spans="2:9" ht="15" customHeight="1" x14ac:dyDescent="0.2">
      <c r="B34" t="s">
        <v>214</v>
      </c>
      <c r="C34" s="12">
        <v>20</v>
      </c>
      <c r="D34" s="8">
        <v>3.74</v>
      </c>
      <c r="E34" s="12">
        <v>7</v>
      </c>
      <c r="F34" s="8">
        <v>2.63</v>
      </c>
      <c r="G34" s="12">
        <v>13</v>
      </c>
      <c r="H34" s="8">
        <v>5.22</v>
      </c>
      <c r="I34" s="12">
        <v>0</v>
      </c>
    </row>
    <row r="35" spans="2:9" ht="15" customHeight="1" x14ac:dyDescent="0.2">
      <c r="B35" t="s">
        <v>232</v>
      </c>
      <c r="C35" s="12">
        <v>15</v>
      </c>
      <c r="D35" s="8">
        <v>2.8</v>
      </c>
      <c r="E35" s="12">
        <v>0</v>
      </c>
      <c r="F35" s="8">
        <v>0</v>
      </c>
      <c r="G35" s="12">
        <v>8</v>
      </c>
      <c r="H35" s="8">
        <v>3.21</v>
      </c>
      <c r="I35" s="12">
        <v>0</v>
      </c>
    </row>
    <row r="36" spans="2:9" ht="15" customHeight="1" x14ac:dyDescent="0.2">
      <c r="B36" t="s">
        <v>226</v>
      </c>
      <c r="C36" s="12">
        <v>14</v>
      </c>
      <c r="D36" s="8">
        <v>2.62</v>
      </c>
      <c r="E36" s="12">
        <v>4</v>
      </c>
      <c r="F36" s="8">
        <v>1.5</v>
      </c>
      <c r="G36" s="12">
        <v>10</v>
      </c>
      <c r="H36" s="8">
        <v>4.0199999999999996</v>
      </c>
      <c r="I36" s="12">
        <v>0</v>
      </c>
    </row>
    <row r="37" spans="2:9" ht="15" customHeight="1" x14ac:dyDescent="0.2">
      <c r="B37" t="s">
        <v>240</v>
      </c>
      <c r="C37" s="12">
        <v>13</v>
      </c>
      <c r="D37" s="8">
        <v>2.4300000000000002</v>
      </c>
      <c r="E37" s="12">
        <v>8</v>
      </c>
      <c r="F37" s="8">
        <v>3.01</v>
      </c>
      <c r="G37" s="12">
        <v>5</v>
      </c>
      <c r="H37" s="8">
        <v>2.0099999999999998</v>
      </c>
      <c r="I37" s="12">
        <v>0</v>
      </c>
    </row>
    <row r="38" spans="2:9" ht="15" customHeight="1" x14ac:dyDescent="0.2">
      <c r="B38" t="s">
        <v>220</v>
      </c>
      <c r="C38" s="12">
        <v>12</v>
      </c>
      <c r="D38" s="8">
        <v>2.2400000000000002</v>
      </c>
      <c r="E38" s="12">
        <v>5</v>
      </c>
      <c r="F38" s="8">
        <v>1.88</v>
      </c>
      <c r="G38" s="12">
        <v>7</v>
      </c>
      <c r="H38" s="8">
        <v>2.81</v>
      </c>
      <c r="I38" s="12">
        <v>0</v>
      </c>
    </row>
    <row r="39" spans="2:9" ht="15" customHeight="1" x14ac:dyDescent="0.2">
      <c r="B39" t="s">
        <v>217</v>
      </c>
      <c r="C39" s="12">
        <v>9</v>
      </c>
      <c r="D39" s="8">
        <v>1.68</v>
      </c>
      <c r="E39" s="12">
        <v>1</v>
      </c>
      <c r="F39" s="8">
        <v>0.38</v>
      </c>
      <c r="G39" s="12">
        <v>8</v>
      </c>
      <c r="H39" s="8">
        <v>3.21</v>
      </c>
      <c r="I39" s="12">
        <v>0</v>
      </c>
    </row>
    <row r="40" spans="2:9" ht="15" customHeight="1" x14ac:dyDescent="0.2">
      <c r="B40" t="s">
        <v>254</v>
      </c>
      <c r="C40" s="12">
        <v>8</v>
      </c>
      <c r="D40" s="8">
        <v>1.5</v>
      </c>
      <c r="E40" s="12">
        <v>0</v>
      </c>
      <c r="F40" s="8">
        <v>0</v>
      </c>
      <c r="G40" s="12">
        <v>8</v>
      </c>
      <c r="H40" s="8">
        <v>3.21</v>
      </c>
      <c r="I40" s="12">
        <v>0</v>
      </c>
    </row>
    <row r="41" spans="2:9" ht="15" customHeight="1" x14ac:dyDescent="0.2">
      <c r="B41" t="s">
        <v>219</v>
      </c>
      <c r="C41" s="12">
        <v>8</v>
      </c>
      <c r="D41" s="8">
        <v>1.5</v>
      </c>
      <c r="E41" s="12">
        <v>2</v>
      </c>
      <c r="F41" s="8">
        <v>0.75</v>
      </c>
      <c r="G41" s="12">
        <v>6</v>
      </c>
      <c r="H41" s="8">
        <v>2.41</v>
      </c>
      <c r="I41" s="12">
        <v>0</v>
      </c>
    </row>
    <row r="42" spans="2:9" ht="15" customHeight="1" x14ac:dyDescent="0.2">
      <c r="B42" t="s">
        <v>229</v>
      </c>
      <c r="C42" s="12">
        <v>7</v>
      </c>
      <c r="D42" s="8">
        <v>1.31</v>
      </c>
      <c r="E42" s="12">
        <v>4</v>
      </c>
      <c r="F42" s="8">
        <v>1.5</v>
      </c>
      <c r="G42" s="12">
        <v>3</v>
      </c>
      <c r="H42" s="8">
        <v>1.2</v>
      </c>
      <c r="I42" s="12">
        <v>0</v>
      </c>
    </row>
    <row r="43" spans="2:9" ht="15" customHeight="1" x14ac:dyDescent="0.2">
      <c r="B43" t="s">
        <v>242</v>
      </c>
      <c r="C43" s="12">
        <v>6</v>
      </c>
      <c r="D43" s="8">
        <v>1.1200000000000001</v>
      </c>
      <c r="E43" s="12">
        <v>4</v>
      </c>
      <c r="F43" s="8">
        <v>1.5</v>
      </c>
      <c r="G43" s="12">
        <v>2</v>
      </c>
      <c r="H43" s="8">
        <v>0.8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38</v>
      </c>
      <c r="D47" s="8">
        <v>7.1</v>
      </c>
      <c r="E47" s="12">
        <v>37</v>
      </c>
      <c r="F47" s="8">
        <v>13.91</v>
      </c>
      <c r="G47" s="12">
        <v>1</v>
      </c>
      <c r="H47" s="8">
        <v>0.4</v>
      </c>
      <c r="I47" s="12">
        <v>0</v>
      </c>
    </row>
    <row r="48" spans="2:9" ht="15" customHeight="1" x14ac:dyDescent="0.2">
      <c r="B48" t="s">
        <v>288</v>
      </c>
      <c r="C48" s="12">
        <v>26</v>
      </c>
      <c r="D48" s="8">
        <v>4.8600000000000003</v>
      </c>
      <c r="E48" s="12">
        <v>3</v>
      </c>
      <c r="F48" s="8">
        <v>1.1299999999999999</v>
      </c>
      <c r="G48" s="12">
        <v>23</v>
      </c>
      <c r="H48" s="8">
        <v>9.24</v>
      </c>
      <c r="I48" s="12">
        <v>0</v>
      </c>
    </row>
    <row r="49" spans="2:9" ht="15" customHeight="1" x14ac:dyDescent="0.2">
      <c r="B49" t="s">
        <v>303</v>
      </c>
      <c r="C49" s="12">
        <v>20</v>
      </c>
      <c r="D49" s="8">
        <v>3.74</v>
      </c>
      <c r="E49" s="12">
        <v>19</v>
      </c>
      <c r="F49" s="8">
        <v>7.14</v>
      </c>
      <c r="G49" s="12">
        <v>1</v>
      </c>
      <c r="H49" s="8">
        <v>0.4</v>
      </c>
      <c r="I49" s="12">
        <v>0</v>
      </c>
    </row>
    <row r="50" spans="2:9" ht="15" customHeight="1" x14ac:dyDescent="0.2">
      <c r="B50" t="s">
        <v>306</v>
      </c>
      <c r="C50" s="12">
        <v>20</v>
      </c>
      <c r="D50" s="8">
        <v>3.74</v>
      </c>
      <c r="E50" s="12">
        <v>19</v>
      </c>
      <c r="F50" s="8">
        <v>7.14</v>
      </c>
      <c r="G50" s="12">
        <v>1</v>
      </c>
      <c r="H50" s="8">
        <v>0.4</v>
      </c>
      <c r="I50" s="12">
        <v>0</v>
      </c>
    </row>
    <row r="51" spans="2:9" ht="15" customHeight="1" x14ac:dyDescent="0.2">
      <c r="B51" t="s">
        <v>297</v>
      </c>
      <c r="C51" s="12">
        <v>18</v>
      </c>
      <c r="D51" s="8">
        <v>3.36</v>
      </c>
      <c r="E51" s="12">
        <v>12</v>
      </c>
      <c r="F51" s="8">
        <v>4.51</v>
      </c>
      <c r="G51" s="12">
        <v>5</v>
      </c>
      <c r="H51" s="8">
        <v>2.0099999999999998</v>
      </c>
      <c r="I51" s="12">
        <v>0</v>
      </c>
    </row>
    <row r="52" spans="2:9" ht="15" customHeight="1" x14ac:dyDescent="0.2">
      <c r="B52" t="s">
        <v>299</v>
      </c>
      <c r="C52" s="12">
        <v>16</v>
      </c>
      <c r="D52" s="8">
        <v>2.99</v>
      </c>
      <c r="E52" s="12">
        <v>12</v>
      </c>
      <c r="F52" s="8">
        <v>4.51</v>
      </c>
      <c r="G52" s="12">
        <v>4</v>
      </c>
      <c r="H52" s="8">
        <v>1.61</v>
      </c>
      <c r="I52" s="12">
        <v>0</v>
      </c>
    </row>
    <row r="53" spans="2:9" ht="15" customHeight="1" x14ac:dyDescent="0.2">
      <c r="B53" t="s">
        <v>293</v>
      </c>
      <c r="C53" s="12">
        <v>14</v>
      </c>
      <c r="D53" s="8">
        <v>2.62</v>
      </c>
      <c r="E53" s="12">
        <v>3</v>
      </c>
      <c r="F53" s="8">
        <v>1.1299999999999999</v>
      </c>
      <c r="G53" s="12">
        <v>11</v>
      </c>
      <c r="H53" s="8">
        <v>4.42</v>
      </c>
      <c r="I53" s="12">
        <v>0</v>
      </c>
    </row>
    <row r="54" spans="2:9" ht="15" customHeight="1" x14ac:dyDescent="0.2">
      <c r="B54" t="s">
        <v>305</v>
      </c>
      <c r="C54" s="12">
        <v>14</v>
      </c>
      <c r="D54" s="8">
        <v>2.62</v>
      </c>
      <c r="E54" s="12">
        <v>12</v>
      </c>
      <c r="F54" s="8">
        <v>4.51</v>
      </c>
      <c r="G54" s="12">
        <v>2</v>
      </c>
      <c r="H54" s="8">
        <v>0.8</v>
      </c>
      <c r="I54" s="12">
        <v>0</v>
      </c>
    </row>
    <row r="55" spans="2:9" ht="15" customHeight="1" x14ac:dyDescent="0.2">
      <c r="B55" t="s">
        <v>334</v>
      </c>
      <c r="C55" s="12">
        <v>13</v>
      </c>
      <c r="D55" s="8">
        <v>2.4300000000000002</v>
      </c>
      <c r="E55" s="12">
        <v>10</v>
      </c>
      <c r="F55" s="8">
        <v>3.76</v>
      </c>
      <c r="G55" s="12">
        <v>3</v>
      </c>
      <c r="H55" s="8">
        <v>1.2</v>
      </c>
      <c r="I55" s="12">
        <v>0</v>
      </c>
    </row>
    <row r="56" spans="2:9" ht="15" customHeight="1" x14ac:dyDescent="0.2">
      <c r="B56" t="s">
        <v>307</v>
      </c>
      <c r="C56" s="12">
        <v>13</v>
      </c>
      <c r="D56" s="8">
        <v>2.4300000000000002</v>
      </c>
      <c r="E56" s="12">
        <v>8</v>
      </c>
      <c r="F56" s="8">
        <v>3.01</v>
      </c>
      <c r="G56" s="12">
        <v>5</v>
      </c>
      <c r="H56" s="8">
        <v>2.0099999999999998</v>
      </c>
      <c r="I56" s="12">
        <v>0</v>
      </c>
    </row>
    <row r="57" spans="2:9" ht="15" customHeight="1" x14ac:dyDescent="0.2">
      <c r="B57" t="s">
        <v>290</v>
      </c>
      <c r="C57" s="12">
        <v>12</v>
      </c>
      <c r="D57" s="8">
        <v>2.2400000000000002</v>
      </c>
      <c r="E57" s="12">
        <v>4</v>
      </c>
      <c r="F57" s="8">
        <v>1.5</v>
      </c>
      <c r="G57" s="12">
        <v>8</v>
      </c>
      <c r="H57" s="8">
        <v>3.21</v>
      </c>
      <c r="I57" s="12">
        <v>0</v>
      </c>
    </row>
    <row r="58" spans="2:9" ht="15" customHeight="1" x14ac:dyDescent="0.2">
      <c r="B58" t="s">
        <v>295</v>
      </c>
      <c r="C58" s="12">
        <v>11</v>
      </c>
      <c r="D58" s="8">
        <v>2.06</v>
      </c>
      <c r="E58" s="12">
        <v>3</v>
      </c>
      <c r="F58" s="8">
        <v>1.1299999999999999</v>
      </c>
      <c r="G58" s="12">
        <v>8</v>
      </c>
      <c r="H58" s="8">
        <v>3.21</v>
      </c>
      <c r="I58" s="12">
        <v>0</v>
      </c>
    </row>
    <row r="59" spans="2:9" ht="15" customHeight="1" x14ac:dyDescent="0.2">
      <c r="B59" t="s">
        <v>330</v>
      </c>
      <c r="C59" s="12">
        <v>10</v>
      </c>
      <c r="D59" s="8">
        <v>1.87</v>
      </c>
      <c r="E59" s="12">
        <v>2</v>
      </c>
      <c r="F59" s="8">
        <v>0.75</v>
      </c>
      <c r="G59" s="12">
        <v>8</v>
      </c>
      <c r="H59" s="8">
        <v>3.21</v>
      </c>
      <c r="I59" s="12">
        <v>0</v>
      </c>
    </row>
    <row r="60" spans="2:9" ht="15" customHeight="1" x14ac:dyDescent="0.2">
      <c r="B60" t="s">
        <v>291</v>
      </c>
      <c r="C60" s="12">
        <v>9</v>
      </c>
      <c r="D60" s="8">
        <v>1.68</v>
      </c>
      <c r="E60" s="12">
        <v>4</v>
      </c>
      <c r="F60" s="8">
        <v>1.5</v>
      </c>
      <c r="G60" s="12">
        <v>5</v>
      </c>
      <c r="H60" s="8">
        <v>2.0099999999999998</v>
      </c>
      <c r="I60" s="12">
        <v>0</v>
      </c>
    </row>
    <row r="61" spans="2:9" ht="15" customHeight="1" x14ac:dyDescent="0.2">
      <c r="B61" t="s">
        <v>302</v>
      </c>
      <c r="C61" s="12">
        <v>9</v>
      </c>
      <c r="D61" s="8">
        <v>1.68</v>
      </c>
      <c r="E61" s="12">
        <v>9</v>
      </c>
      <c r="F61" s="8">
        <v>3.38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289</v>
      </c>
      <c r="C62" s="12">
        <v>8</v>
      </c>
      <c r="D62" s="8">
        <v>1.5</v>
      </c>
      <c r="E62" s="12">
        <v>1</v>
      </c>
      <c r="F62" s="8">
        <v>0.38</v>
      </c>
      <c r="G62" s="12">
        <v>7</v>
      </c>
      <c r="H62" s="8">
        <v>2.81</v>
      </c>
      <c r="I62" s="12">
        <v>0</v>
      </c>
    </row>
    <row r="63" spans="2:9" ht="15" customHeight="1" x14ac:dyDescent="0.2">
      <c r="B63" t="s">
        <v>298</v>
      </c>
      <c r="C63" s="12">
        <v>8</v>
      </c>
      <c r="D63" s="8">
        <v>1.5</v>
      </c>
      <c r="E63" s="12">
        <v>3</v>
      </c>
      <c r="F63" s="8">
        <v>1.1299999999999999</v>
      </c>
      <c r="G63" s="12">
        <v>5</v>
      </c>
      <c r="H63" s="8">
        <v>2.0099999999999998</v>
      </c>
      <c r="I63" s="12">
        <v>0</v>
      </c>
    </row>
    <row r="64" spans="2:9" ht="15" customHeight="1" x14ac:dyDescent="0.2">
      <c r="B64" t="s">
        <v>329</v>
      </c>
      <c r="C64" s="12">
        <v>7</v>
      </c>
      <c r="D64" s="8">
        <v>1.31</v>
      </c>
      <c r="E64" s="12">
        <v>5</v>
      </c>
      <c r="F64" s="8">
        <v>1.88</v>
      </c>
      <c r="G64" s="12">
        <v>2</v>
      </c>
      <c r="H64" s="8">
        <v>0.8</v>
      </c>
      <c r="I64" s="12">
        <v>0</v>
      </c>
    </row>
    <row r="65" spans="2:9" ht="15" customHeight="1" x14ac:dyDescent="0.2">
      <c r="B65" t="s">
        <v>294</v>
      </c>
      <c r="C65" s="12">
        <v>7</v>
      </c>
      <c r="D65" s="8">
        <v>1.31</v>
      </c>
      <c r="E65" s="12">
        <v>5</v>
      </c>
      <c r="F65" s="8">
        <v>1.88</v>
      </c>
      <c r="G65" s="12">
        <v>2</v>
      </c>
      <c r="H65" s="8">
        <v>0.8</v>
      </c>
      <c r="I65" s="12">
        <v>0</v>
      </c>
    </row>
    <row r="66" spans="2:9" ht="15" customHeight="1" x14ac:dyDescent="0.2">
      <c r="B66" t="s">
        <v>340</v>
      </c>
      <c r="C66" s="12">
        <v>7</v>
      </c>
      <c r="D66" s="8">
        <v>1.31</v>
      </c>
      <c r="E66" s="12">
        <v>0</v>
      </c>
      <c r="F66" s="8">
        <v>0</v>
      </c>
      <c r="G66" s="12">
        <v>1</v>
      </c>
      <c r="H66" s="8">
        <v>0.4</v>
      </c>
      <c r="I66" s="12">
        <v>0</v>
      </c>
    </row>
    <row r="67" spans="2:9" ht="15" customHeight="1" x14ac:dyDescent="0.2">
      <c r="B67" t="s">
        <v>341</v>
      </c>
      <c r="C67" s="12">
        <v>7</v>
      </c>
      <c r="D67" s="8">
        <v>1.31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331</v>
      </c>
      <c r="C68" s="12">
        <v>7</v>
      </c>
      <c r="D68" s="8">
        <v>1.31</v>
      </c>
      <c r="E68" s="12">
        <v>0</v>
      </c>
      <c r="F68" s="8">
        <v>0</v>
      </c>
      <c r="G68" s="12">
        <v>7</v>
      </c>
      <c r="H68" s="8">
        <v>2.81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78132-F90A-4F6E-ABEE-E7A41EA7BFCA}">
  <sheetPr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29</v>
      </c>
      <c r="D6" s="8">
        <v>13.55</v>
      </c>
      <c r="E6" s="12">
        <v>11</v>
      </c>
      <c r="F6" s="8">
        <v>8.94</v>
      </c>
      <c r="G6" s="12">
        <v>18</v>
      </c>
      <c r="H6" s="8">
        <v>20.93</v>
      </c>
      <c r="I6" s="12">
        <v>0</v>
      </c>
    </row>
    <row r="7" spans="2:9" ht="15" customHeight="1" x14ac:dyDescent="0.2">
      <c r="B7" t="s">
        <v>192</v>
      </c>
      <c r="C7" s="12">
        <v>14</v>
      </c>
      <c r="D7" s="8">
        <v>6.54</v>
      </c>
      <c r="E7" s="12">
        <v>4</v>
      </c>
      <c r="F7" s="8">
        <v>3.25</v>
      </c>
      <c r="G7" s="12">
        <v>10</v>
      </c>
      <c r="H7" s="8">
        <v>11.63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0.47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3</v>
      </c>
      <c r="D9" s="8">
        <v>1.4</v>
      </c>
      <c r="E9" s="12">
        <v>1</v>
      </c>
      <c r="F9" s="8">
        <v>0.81</v>
      </c>
      <c r="G9" s="12">
        <v>2</v>
      </c>
      <c r="H9" s="8">
        <v>2.33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0.93</v>
      </c>
      <c r="E10" s="12">
        <v>1</v>
      </c>
      <c r="F10" s="8">
        <v>0.81</v>
      </c>
      <c r="G10" s="12">
        <v>1</v>
      </c>
      <c r="H10" s="8">
        <v>1.1599999999999999</v>
      </c>
      <c r="I10" s="12">
        <v>0</v>
      </c>
    </row>
    <row r="11" spans="2:9" ht="15" customHeight="1" x14ac:dyDescent="0.2">
      <c r="B11" t="s">
        <v>196</v>
      </c>
      <c r="C11" s="12">
        <v>50</v>
      </c>
      <c r="D11" s="8">
        <v>23.36</v>
      </c>
      <c r="E11" s="12">
        <v>21</v>
      </c>
      <c r="F11" s="8">
        <v>17.07</v>
      </c>
      <c r="G11" s="12">
        <v>29</v>
      </c>
      <c r="H11" s="8">
        <v>33.72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0.47</v>
      </c>
      <c r="E12" s="12">
        <v>1</v>
      </c>
      <c r="F12" s="8">
        <v>0.81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13</v>
      </c>
      <c r="D13" s="8">
        <v>6.07</v>
      </c>
      <c r="E13" s="12">
        <v>10</v>
      </c>
      <c r="F13" s="8">
        <v>8.1300000000000008</v>
      </c>
      <c r="G13" s="12">
        <v>3</v>
      </c>
      <c r="H13" s="8">
        <v>3.49</v>
      </c>
      <c r="I13" s="12">
        <v>0</v>
      </c>
    </row>
    <row r="14" spans="2:9" ht="15" customHeight="1" x14ac:dyDescent="0.2">
      <c r="B14" t="s">
        <v>199</v>
      </c>
      <c r="C14" s="12">
        <v>8</v>
      </c>
      <c r="D14" s="8">
        <v>3.74</v>
      </c>
      <c r="E14" s="12">
        <v>5</v>
      </c>
      <c r="F14" s="8">
        <v>4.07</v>
      </c>
      <c r="G14" s="12">
        <v>3</v>
      </c>
      <c r="H14" s="8">
        <v>3.49</v>
      </c>
      <c r="I14" s="12">
        <v>0</v>
      </c>
    </row>
    <row r="15" spans="2:9" ht="15" customHeight="1" x14ac:dyDescent="0.2">
      <c r="B15" t="s">
        <v>200</v>
      </c>
      <c r="C15" s="12">
        <v>33</v>
      </c>
      <c r="D15" s="8">
        <v>15.42</v>
      </c>
      <c r="E15" s="12">
        <v>26</v>
      </c>
      <c r="F15" s="8">
        <v>21.14</v>
      </c>
      <c r="G15" s="12">
        <v>7</v>
      </c>
      <c r="H15" s="8">
        <v>8.14</v>
      </c>
      <c r="I15" s="12">
        <v>0</v>
      </c>
    </row>
    <row r="16" spans="2:9" ht="15" customHeight="1" x14ac:dyDescent="0.2">
      <c r="B16" t="s">
        <v>201</v>
      </c>
      <c r="C16" s="12">
        <v>23</v>
      </c>
      <c r="D16" s="8">
        <v>10.75</v>
      </c>
      <c r="E16" s="12">
        <v>20</v>
      </c>
      <c r="F16" s="8">
        <v>16.260000000000002</v>
      </c>
      <c r="G16" s="12">
        <v>3</v>
      </c>
      <c r="H16" s="8">
        <v>3.49</v>
      </c>
      <c r="I16" s="12">
        <v>0</v>
      </c>
    </row>
    <row r="17" spans="2:9" ht="15" customHeight="1" x14ac:dyDescent="0.2">
      <c r="B17" t="s">
        <v>202</v>
      </c>
      <c r="C17" s="12">
        <v>15</v>
      </c>
      <c r="D17" s="8">
        <v>7.01</v>
      </c>
      <c r="E17" s="12">
        <v>9</v>
      </c>
      <c r="F17" s="8">
        <v>7.32</v>
      </c>
      <c r="G17" s="12">
        <v>3</v>
      </c>
      <c r="H17" s="8">
        <v>3.49</v>
      </c>
      <c r="I17" s="12">
        <v>0</v>
      </c>
    </row>
    <row r="18" spans="2:9" ht="15" customHeight="1" x14ac:dyDescent="0.2">
      <c r="B18" t="s">
        <v>203</v>
      </c>
      <c r="C18" s="12">
        <v>14</v>
      </c>
      <c r="D18" s="8">
        <v>6.54</v>
      </c>
      <c r="E18" s="12">
        <v>9</v>
      </c>
      <c r="F18" s="8">
        <v>7.32</v>
      </c>
      <c r="G18" s="12">
        <v>4</v>
      </c>
      <c r="H18" s="8">
        <v>4.6500000000000004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3.74</v>
      </c>
      <c r="E19" s="12">
        <v>5</v>
      </c>
      <c r="F19" s="8">
        <v>4.07</v>
      </c>
      <c r="G19" s="12">
        <v>3</v>
      </c>
      <c r="H19" s="8">
        <v>3.49</v>
      </c>
      <c r="I19" s="12">
        <v>0</v>
      </c>
    </row>
    <row r="20" spans="2:9" ht="15" customHeight="1" x14ac:dyDescent="0.2">
      <c r="B20" s="9" t="s">
        <v>529</v>
      </c>
      <c r="C20" s="12">
        <f>SUM(LTBL_01644[総数／事業所数])</f>
        <v>214</v>
      </c>
      <c r="E20" s="12">
        <f>SUBTOTAL(109,LTBL_01644[個人／事業所数])</f>
        <v>123</v>
      </c>
      <c r="G20" s="12">
        <f>SUBTOTAL(109,LTBL_01644[法人／事業所数])</f>
        <v>86</v>
      </c>
      <c r="I20" s="12">
        <f>SUBTOTAL(109,LTBL_01644[法人以外の団体／事業所数])</f>
        <v>0</v>
      </c>
    </row>
    <row r="21" spans="2:9" ht="15" customHeight="1" x14ac:dyDescent="0.2">
      <c r="E21" s="11">
        <f>LTBL_01644[[#Totals],[個人／事業所数]]/LTBL_01644[[#Totals],[総数／事業所数]]</f>
        <v>0.57476635514018692</v>
      </c>
      <c r="G21" s="11">
        <f>LTBL_01644[[#Totals],[法人／事業所数]]/LTBL_01644[[#Totals],[総数／事業所数]]</f>
        <v>0.40186915887850466</v>
      </c>
      <c r="I21" s="11">
        <f>LTBL_01644[[#Totals],[法人以外の団体／事業所数]]/LTBL_01644[[#Totals],[総数／事業所数]]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22</v>
      </c>
      <c r="D24" s="8">
        <v>10.28</v>
      </c>
      <c r="E24" s="12">
        <v>20</v>
      </c>
      <c r="F24" s="8">
        <v>16.260000000000002</v>
      </c>
      <c r="G24" s="12">
        <v>2</v>
      </c>
      <c r="H24" s="8">
        <v>2.33</v>
      </c>
      <c r="I24" s="12">
        <v>0</v>
      </c>
    </row>
    <row r="25" spans="2:9" ht="15" customHeight="1" x14ac:dyDescent="0.2">
      <c r="B25" t="s">
        <v>227</v>
      </c>
      <c r="C25" s="12">
        <v>20</v>
      </c>
      <c r="D25" s="8">
        <v>9.35</v>
      </c>
      <c r="E25" s="12">
        <v>18</v>
      </c>
      <c r="F25" s="8">
        <v>14.63</v>
      </c>
      <c r="G25" s="12">
        <v>2</v>
      </c>
      <c r="H25" s="8">
        <v>2.33</v>
      </c>
      <c r="I25" s="12">
        <v>0</v>
      </c>
    </row>
    <row r="26" spans="2:9" ht="15" customHeight="1" x14ac:dyDescent="0.2">
      <c r="B26" t="s">
        <v>221</v>
      </c>
      <c r="C26" s="12">
        <v>16</v>
      </c>
      <c r="D26" s="8">
        <v>7.48</v>
      </c>
      <c r="E26" s="12">
        <v>8</v>
      </c>
      <c r="F26" s="8">
        <v>6.5</v>
      </c>
      <c r="G26" s="12">
        <v>8</v>
      </c>
      <c r="H26" s="8">
        <v>9.3000000000000007</v>
      </c>
      <c r="I26" s="12">
        <v>0</v>
      </c>
    </row>
    <row r="27" spans="2:9" ht="15" customHeight="1" x14ac:dyDescent="0.2">
      <c r="B27" t="s">
        <v>223</v>
      </c>
      <c r="C27" s="12">
        <v>15</v>
      </c>
      <c r="D27" s="8">
        <v>7.01</v>
      </c>
      <c r="E27" s="12">
        <v>5</v>
      </c>
      <c r="F27" s="8">
        <v>4.07</v>
      </c>
      <c r="G27" s="12">
        <v>10</v>
      </c>
      <c r="H27" s="8">
        <v>11.63</v>
      </c>
      <c r="I27" s="12">
        <v>0</v>
      </c>
    </row>
    <row r="28" spans="2:9" ht="15" customHeight="1" x14ac:dyDescent="0.2">
      <c r="B28" t="s">
        <v>230</v>
      </c>
      <c r="C28" s="12">
        <v>15</v>
      </c>
      <c r="D28" s="8">
        <v>7.01</v>
      </c>
      <c r="E28" s="12">
        <v>9</v>
      </c>
      <c r="F28" s="8">
        <v>7.32</v>
      </c>
      <c r="G28" s="12">
        <v>3</v>
      </c>
      <c r="H28" s="8">
        <v>3.49</v>
      </c>
      <c r="I28" s="12">
        <v>0</v>
      </c>
    </row>
    <row r="29" spans="2:9" ht="15" customHeight="1" x14ac:dyDescent="0.2">
      <c r="B29" t="s">
        <v>214</v>
      </c>
      <c r="C29" s="12">
        <v>12</v>
      </c>
      <c r="D29" s="8">
        <v>5.61</v>
      </c>
      <c r="E29" s="12">
        <v>6</v>
      </c>
      <c r="F29" s="8">
        <v>4.88</v>
      </c>
      <c r="G29" s="12">
        <v>6</v>
      </c>
      <c r="H29" s="8">
        <v>6.98</v>
      </c>
      <c r="I29" s="12">
        <v>0</v>
      </c>
    </row>
    <row r="30" spans="2:9" ht="15" customHeight="1" x14ac:dyDescent="0.2">
      <c r="B30" t="s">
        <v>224</v>
      </c>
      <c r="C30" s="12">
        <v>12</v>
      </c>
      <c r="D30" s="8">
        <v>5.61</v>
      </c>
      <c r="E30" s="12">
        <v>10</v>
      </c>
      <c r="F30" s="8">
        <v>8.1300000000000008</v>
      </c>
      <c r="G30" s="12">
        <v>2</v>
      </c>
      <c r="H30" s="8">
        <v>2.33</v>
      </c>
      <c r="I30" s="12">
        <v>0</v>
      </c>
    </row>
    <row r="31" spans="2:9" ht="15" customHeight="1" x14ac:dyDescent="0.2">
      <c r="B31" t="s">
        <v>213</v>
      </c>
      <c r="C31" s="12">
        <v>10</v>
      </c>
      <c r="D31" s="8">
        <v>4.67</v>
      </c>
      <c r="E31" s="12">
        <v>1</v>
      </c>
      <c r="F31" s="8">
        <v>0.81</v>
      </c>
      <c r="G31" s="12">
        <v>9</v>
      </c>
      <c r="H31" s="8">
        <v>10.47</v>
      </c>
      <c r="I31" s="12">
        <v>0</v>
      </c>
    </row>
    <row r="32" spans="2:9" ht="15" customHeight="1" x14ac:dyDescent="0.2">
      <c r="B32" t="s">
        <v>243</v>
      </c>
      <c r="C32" s="12">
        <v>9</v>
      </c>
      <c r="D32" s="8">
        <v>4.21</v>
      </c>
      <c r="E32" s="12">
        <v>7</v>
      </c>
      <c r="F32" s="8">
        <v>5.69</v>
      </c>
      <c r="G32" s="12">
        <v>2</v>
      </c>
      <c r="H32" s="8">
        <v>2.33</v>
      </c>
      <c r="I32" s="12">
        <v>0</v>
      </c>
    </row>
    <row r="33" spans="2:9" ht="15" customHeight="1" x14ac:dyDescent="0.2">
      <c r="B33" t="s">
        <v>231</v>
      </c>
      <c r="C33" s="12">
        <v>9</v>
      </c>
      <c r="D33" s="8">
        <v>4.21</v>
      </c>
      <c r="E33" s="12">
        <v>9</v>
      </c>
      <c r="F33" s="8">
        <v>7.32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222</v>
      </c>
      <c r="C34" s="12">
        <v>8</v>
      </c>
      <c r="D34" s="8">
        <v>3.74</v>
      </c>
      <c r="E34" s="12">
        <v>2</v>
      </c>
      <c r="F34" s="8">
        <v>1.63</v>
      </c>
      <c r="G34" s="12">
        <v>6</v>
      </c>
      <c r="H34" s="8">
        <v>6.98</v>
      </c>
      <c r="I34" s="12">
        <v>0</v>
      </c>
    </row>
    <row r="35" spans="2:9" ht="15" customHeight="1" x14ac:dyDescent="0.2">
      <c r="B35" t="s">
        <v>215</v>
      </c>
      <c r="C35" s="12">
        <v>7</v>
      </c>
      <c r="D35" s="8">
        <v>3.27</v>
      </c>
      <c r="E35" s="12">
        <v>4</v>
      </c>
      <c r="F35" s="8">
        <v>3.25</v>
      </c>
      <c r="G35" s="12">
        <v>3</v>
      </c>
      <c r="H35" s="8">
        <v>3.49</v>
      </c>
      <c r="I35" s="12">
        <v>0</v>
      </c>
    </row>
    <row r="36" spans="2:9" ht="15" customHeight="1" x14ac:dyDescent="0.2">
      <c r="B36" t="s">
        <v>220</v>
      </c>
      <c r="C36" s="12">
        <v>7</v>
      </c>
      <c r="D36" s="8">
        <v>3.27</v>
      </c>
      <c r="E36" s="12">
        <v>5</v>
      </c>
      <c r="F36" s="8">
        <v>4.07</v>
      </c>
      <c r="G36" s="12">
        <v>2</v>
      </c>
      <c r="H36" s="8">
        <v>2.33</v>
      </c>
      <c r="I36" s="12">
        <v>0</v>
      </c>
    </row>
    <row r="37" spans="2:9" ht="15" customHeight="1" x14ac:dyDescent="0.2">
      <c r="B37" t="s">
        <v>232</v>
      </c>
      <c r="C37" s="12">
        <v>5</v>
      </c>
      <c r="D37" s="8">
        <v>2.34</v>
      </c>
      <c r="E37" s="12">
        <v>0</v>
      </c>
      <c r="F37" s="8">
        <v>0</v>
      </c>
      <c r="G37" s="12">
        <v>4</v>
      </c>
      <c r="H37" s="8">
        <v>4.6500000000000004</v>
      </c>
      <c r="I37" s="12">
        <v>0</v>
      </c>
    </row>
    <row r="38" spans="2:9" ht="15" customHeight="1" x14ac:dyDescent="0.2">
      <c r="B38" t="s">
        <v>241</v>
      </c>
      <c r="C38" s="12">
        <v>4</v>
      </c>
      <c r="D38" s="8">
        <v>1.87</v>
      </c>
      <c r="E38" s="12">
        <v>0</v>
      </c>
      <c r="F38" s="8">
        <v>0</v>
      </c>
      <c r="G38" s="12">
        <v>4</v>
      </c>
      <c r="H38" s="8">
        <v>4.6500000000000004</v>
      </c>
      <c r="I38" s="12">
        <v>0</v>
      </c>
    </row>
    <row r="39" spans="2:9" ht="15" customHeight="1" x14ac:dyDescent="0.2">
      <c r="B39" t="s">
        <v>225</v>
      </c>
      <c r="C39" s="12">
        <v>4</v>
      </c>
      <c r="D39" s="8">
        <v>1.87</v>
      </c>
      <c r="E39" s="12">
        <v>3</v>
      </c>
      <c r="F39" s="8">
        <v>2.44</v>
      </c>
      <c r="G39" s="12">
        <v>1</v>
      </c>
      <c r="H39" s="8">
        <v>1.1599999999999999</v>
      </c>
      <c r="I39" s="12">
        <v>0</v>
      </c>
    </row>
    <row r="40" spans="2:9" ht="15" customHeight="1" x14ac:dyDescent="0.2">
      <c r="B40" t="s">
        <v>226</v>
      </c>
      <c r="C40" s="12">
        <v>4</v>
      </c>
      <c r="D40" s="8">
        <v>1.87</v>
      </c>
      <c r="E40" s="12">
        <v>2</v>
      </c>
      <c r="F40" s="8">
        <v>1.63</v>
      </c>
      <c r="G40" s="12">
        <v>2</v>
      </c>
      <c r="H40" s="8">
        <v>2.33</v>
      </c>
      <c r="I40" s="12">
        <v>0</v>
      </c>
    </row>
    <row r="41" spans="2:9" ht="15" customHeight="1" x14ac:dyDescent="0.2">
      <c r="B41" t="s">
        <v>239</v>
      </c>
      <c r="C41" s="12">
        <v>4</v>
      </c>
      <c r="D41" s="8">
        <v>1.87</v>
      </c>
      <c r="E41" s="12">
        <v>1</v>
      </c>
      <c r="F41" s="8">
        <v>0.81</v>
      </c>
      <c r="G41" s="12">
        <v>3</v>
      </c>
      <c r="H41" s="8">
        <v>3.49</v>
      </c>
      <c r="I41" s="12">
        <v>0</v>
      </c>
    </row>
    <row r="42" spans="2:9" ht="15" customHeight="1" x14ac:dyDescent="0.2">
      <c r="B42" t="s">
        <v>242</v>
      </c>
      <c r="C42" s="12">
        <v>4</v>
      </c>
      <c r="D42" s="8">
        <v>1.87</v>
      </c>
      <c r="E42" s="12">
        <v>3</v>
      </c>
      <c r="F42" s="8">
        <v>2.44</v>
      </c>
      <c r="G42" s="12">
        <v>1</v>
      </c>
      <c r="H42" s="8">
        <v>1.1599999999999999</v>
      </c>
      <c r="I42" s="12">
        <v>0</v>
      </c>
    </row>
    <row r="43" spans="2:9" ht="15" customHeight="1" x14ac:dyDescent="0.2">
      <c r="B43" t="s">
        <v>277</v>
      </c>
      <c r="C43" s="12">
        <v>2</v>
      </c>
      <c r="D43" s="8">
        <v>0.93</v>
      </c>
      <c r="E43" s="12">
        <v>0</v>
      </c>
      <c r="F43" s="8">
        <v>0</v>
      </c>
      <c r="G43" s="12">
        <v>2</v>
      </c>
      <c r="H43" s="8">
        <v>2.33</v>
      </c>
      <c r="I43" s="12">
        <v>0</v>
      </c>
    </row>
    <row r="44" spans="2:9" ht="15" customHeight="1" x14ac:dyDescent="0.2">
      <c r="B44" t="s">
        <v>248</v>
      </c>
      <c r="C44" s="12">
        <v>2</v>
      </c>
      <c r="D44" s="8">
        <v>0.93</v>
      </c>
      <c r="E44" s="12">
        <v>1</v>
      </c>
      <c r="F44" s="8">
        <v>0.81</v>
      </c>
      <c r="G44" s="12">
        <v>1</v>
      </c>
      <c r="H44" s="8">
        <v>1.1599999999999999</v>
      </c>
      <c r="I44" s="12">
        <v>0</v>
      </c>
    </row>
    <row r="45" spans="2:9" ht="15" customHeight="1" x14ac:dyDescent="0.2">
      <c r="B45" t="s">
        <v>216</v>
      </c>
      <c r="C45" s="12">
        <v>2</v>
      </c>
      <c r="D45" s="8">
        <v>0.93</v>
      </c>
      <c r="E45" s="12">
        <v>0</v>
      </c>
      <c r="F45" s="8">
        <v>0</v>
      </c>
      <c r="G45" s="12">
        <v>2</v>
      </c>
      <c r="H45" s="8">
        <v>2.33</v>
      </c>
      <c r="I45" s="12">
        <v>0</v>
      </c>
    </row>
    <row r="46" spans="2:9" ht="15" customHeight="1" x14ac:dyDescent="0.2">
      <c r="B46" t="s">
        <v>249</v>
      </c>
      <c r="C46" s="12">
        <v>2</v>
      </c>
      <c r="D46" s="8">
        <v>0.93</v>
      </c>
      <c r="E46" s="12">
        <v>1</v>
      </c>
      <c r="F46" s="8">
        <v>0.81</v>
      </c>
      <c r="G46" s="12">
        <v>1</v>
      </c>
      <c r="H46" s="8">
        <v>1.1599999999999999</v>
      </c>
      <c r="I46" s="12">
        <v>0</v>
      </c>
    </row>
    <row r="47" spans="2:9" ht="15" customHeight="1" x14ac:dyDescent="0.2">
      <c r="B47" t="s">
        <v>240</v>
      </c>
      <c r="C47" s="12">
        <v>2</v>
      </c>
      <c r="D47" s="8">
        <v>0.93</v>
      </c>
      <c r="E47" s="12">
        <v>1</v>
      </c>
      <c r="F47" s="8">
        <v>0.81</v>
      </c>
      <c r="G47" s="12">
        <v>1</v>
      </c>
      <c r="H47" s="8">
        <v>1.1599999999999999</v>
      </c>
      <c r="I47" s="12">
        <v>0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297</v>
      </c>
      <c r="C51" s="12">
        <v>11</v>
      </c>
      <c r="D51" s="8">
        <v>5.14</v>
      </c>
      <c r="E51" s="12">
        <v>10</v>
      </c>
      <c r="F51" s="8">
        <v>8.1300000000000008</v>
      </c>
      <c r="G51" s="12">
        <v>1</v>
      </c>
      <c r="H51" s="8">
        <v>1.1599999999999999</v>
      </c>
      <c r="I51" s="12">
        <v>0</v>
      </c>
    </row>
    <row r="52" spans="2:9" ht="15" customHeight="1" x14ac:dyDescent="0.2">
      <c r="B52" t="s">
        <v>304</v>
      </c>
      <c r="C52" s="12">
        <v>11</v>
      </c>
      <c r="D52" s="8">
        <v>5.14</v>
      </c>
      <c r="E52" s="12">
        <v>11</v>
      </c>
      <c r="F52" s="8">
        <v>8.94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303</v>
      </c>
      <c r="C53" s="12">
        <v>7</v>
      </c>
      <c r="D53" s="8">
        <v>3.27</v>
      </c>
      <c r="E53" s="12">
        <v>7</v>
      </c>
      <c r="F53" s="8">
        <v>5.69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305</v>
      </c>
      <c r="C54" s="12">
        <v>7</v>
      </c>
      <c r="D54" s="8">
        <v>3.27</v>
      </c>
      <c r="E54" s="12">
        <v>7</v>
      </c>
      <c r="F54" s="8">
        <v>5.69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335</v>
      </c>
      <c r="C55" s="12">
        <v>6</v>
      </c>
      <c r="D55" s="8">
        <v>2.8</v>
      </c>
      <c r="E55" s="12">
        <v>2</v>
      </c>
      <c r="F55" s="8">
        <v>1.63</v>
      </c>
      <c r="G55" s="12">
        <v>4</v>
      </c>
      <c r="H55" s="8">
        <v>4.6500000000000004</v>
      </c>
      <c r="I55" s="12">
        <v>0</v>
      </c>
    </row>
    <row r="56" spans="2:9" ht="15" customHeight="1" x14ac:dyDescent="0.2">
      <c r="B56" t="s">
        <v>306</v>
      </c>
      <c r="C56" s="12">
        <v>6</v>
      </c>
      <c r="D56" s="8">
        <v>2.8</v>
      </c>
      <c r="E56" s="12">
        <v>6</v>
      </c>
      <c r="F56" s="8">
        <v>4.88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333</v>
      </c>
      <c r="C57" s="12">
        <v>5</v>
      </c>
      <c r="D57" s="8">
        <v>2.34</v>
      </c>
      <c r="E57" s="12">
        <v>1</v>
      </c>
      <c r="F57" s="8">
        <v>0.81</v>
      </c>
      <c r="G57" s="12">
        <v>4</v>
      </c>
      <c r="H57" s="8">
        <v>4.6500000000000004</v>
      </c>
      <c r="I57" s="12">
        <v>0</v>
      </c>
    </row>
    <row r="58" spans="2:9" ht="15" customHeight="1" x14ac:dyDescent="0.2">
      <c r="B58" t="s">
        <v>332</v>
      </c>
      <c r="C58" s="12">
        <v>5</v>
      </c>
      <c r="D58" s="8">
        <v>2.34</v>
      </c>
      <c r="E58" s="12">
        <v>1</v>
      </c>
      <c r="F58" s="8">
        <v>0.81</v>
      </c>
      <c r="G58" s="12">
        <v>4</v>
      </c>
      <c r="H58" s="8">
        <v>4.6500000000000004</v>
      </c>
      <c r="I58" s="12">
        <v>0</v>
      </c>
    </row>
    <row r="59" spans="2:9" ht="15" customHeight="1" x14ac:dyDescent="0.2">
      <c r="B59" t="s">
        <v>339</v>
      </c>
      <c r="C59" s="12">
        <v>5</v>
      </c>
      <c r="D59" s="8">
        <v>2.34</v>
      </c>
      <c r="E59" s="12">
        <v>4</v>
      </c>
      <c r="F59" s="8">
        <v>3.25</v>
      </c>
      <c r="G59" s="12">
        <v>1</v>
      </c>
      <c r="H59" s="8">
        <v>1.1599999999999999</v>
      </c>
      <c r="I59" s="12">
        <v>0</v>
      </c>
    </row>
    <row r="60" spans="2:9" ht="15" customHeight="1" x14ac:dyDescent="0.2">
      <c r="B60" t="s">
        <v>299</v>
      </c>
      <c r="C60" s="12">
        <v>5</v>
      </c>
      <c r="D60" s="8">
        <v>2.34</v>
      </c>
      <c r="E60" s="12">
        <v>4</v>
      </c>
      <c r="F60" s="8">
        <v>3.25</v>
      </c>
      <c r="G60" s="12">
        <v>1</v>
      </c>
      <c r="H60" s="8">
        <v>1.1599999999999999</v>
      </c>
      <c r="I60" s="12">
        <v>0</v>
      </c>
    </row>
    <row r="61" spans="2:9" ht="15" customHeight="1" x14ac:dyDescent="0.2">
      <c r="B61" t="s">
        <v>301</v>
      </c>
      <c r="C61" s="12">
        <v>5</v>
      </c>
      <c r="D61" s="8">
        <v>2.34</v>
      </c>
      <c r="E61" s="12">
        <v>5</v>
      </c>
      <c r="F61" s="8">
        <v>4.07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291</v>
      </c>
      <c r="C62" s="12">
        <v>4</v>
      </c>
      <c r="D62" s="8">
        <v>1.87</v>
      </c>
      <c r="E62" s="12">
        <v>3</v>
      </c>
      <c r="F62" s="8">
        <v>2.44</v>
      </c>
      <c r="G62" s="12">
        <v>1</v>
      </c>
      <c r="H62" s="8">
        <v>1.1599999999999999</v>
      </c>
      <c r="I62" s="12">
        <v>0</v>
      </c>
    </row>
    <row r="63" spans="2:9" ht="15" customHeight="1" x14ac:dyDescent="0.2">
      <c r="B63" t="s">
        <v>329</v>
      </c>
      <c r="C63" s="12">
        <v>4</v>
      </c>
      <c r="D63" s="8">
        <v>1.87</v>
      </c>
      <c r="E63" s="12">
        <v>3</v>
      </c>
      <c r="F63" s="8">
        <v>2.44</v>
      </c>
      <c r="G63" s="12">
        <v>1</v>
      </c>
      <c r="H63" s="8">
        <v>1.1599999999999999</v>
      </c>
      <c r="I63" s="12">
        <v>0</v>
      </c>
    </row>
    <row r="64" spans="2:9" ht="15" customHeight="1" x14ac:dyDescent="0.2">
      <c r="B64" t="s">
        <v>302</v>
      </c>
      <c r="C64" s="12">
        <v>4</v>
      </c>
      <c r="D64" s="8">
        <v>1.87</v>
      </c>
      <c r="E64" s="12">
        <v>4</v>
      </c>
      <c r="F64" s="8">
        <v>3.25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327</v>
      </c>
      <c r="C65" s="12">
        <v>4</v>
      </c>
      <c r="D65" s="8">
        <v>1.87</v>
      </c>
      <c r="E65" s="12">
        <v>2</v>
      </c>
      <c r="F65" s="8">
        <v>1.63</v>
      </c>
      <c r="G65" s="12">
        <v>2</v>
      </c>
      <c r="H65" s="8">
        <v>2.33</v>
      </c>
      <c r="I65" s="12">
        <v>0</v>
      </c>
    </row>
    <row r="66" spans="2:9" ht="15" customHeight="1" x14ac:dyDescent="0.2">
      <c r="B66" t="s">
        <v>288</v>
      </c>
      <c r="C66" s="12">
        <v>3</v>
      </c>
      <c r="D66" s="8">
        <v>1.4</v>
      </c>
      <c r="E66" s="12">
        <v>0</v>
      </c>
      <c r="F66" s="8">
        <v>0</v>
      </c>
      <c r="G66" s="12">
        <v>3</v>
      </c>
      <c r="H66" s="8">
        <v>3.49</v>
      </c>
      <c r="I66" s="12">
        <v>0</v>
      </c>
    </row>
    <row r="67" spans="2:9" ht="15" customHeight="1" x14ac:dyDescent="0.2">
      <c r="B67" t="s">
        <v>319</v>
      </c>
      <c r="C67" s="12">
        <v>3</v>
      </c>
      <c r="D67" s="8">
        <v>1.4</v>
      </c>
      <c r="E67" s="12">
        <v>1</v>
      </c>
      <c r="F67" s="8">
        <v>0.81</v>
      </c>
      <c r="G67" s="12">
        <v>2</v>
      </c>
      <c r="H67" s="8">
        <v>2.33</v>
      </c>
      <c r="I67" s="12">
        <v>0</v>
      </c>
    </row>
    <row r="68" spans="2:9" ht="15" customHeight="1" x14ac:dyDescent="0.2">
      <c r="B68" t="s">
        <v>343</v>
      </c>
      <c r="C68" s="12">
        <v>3</v>
      </c>
      <c r="D68" s="8">
        <v>1.4</v>
      </c>
      <c r="E68" s="12">
        <v>2</v>
      </c>
      <c r="F68" s="8">
        <v>1.63</v>
      </c>
      <c r="G68" s="12">
        <v>1</v>
      </c>
      <c r="H68" s="8">
        <v>1.1599999999999999</v>
      </c>
      <c r="I68" s="12">
        <v>0</v>
      </c>
    </row>
    <row r="69" spans="2:9" ht="15" customHeight="1" x14ac:dyDescent="0.2">
      <c r="B69" t="s">
        <v>290</v>
      </c>
      <c r="C69" s="12">
        <v>3</v>
      </c>
      <c r="D69" s="8">
        <v>1.4</v>
      </c>
      <c r="E69" s="12">
        <v>1</v>
      </c>
      <c r="F69" s="8">
        <v>0.81</v>
      </c>
      <c r="G69" s="12">
        <v>2</v>
      </c>
      <c r="H69" s="8">
        <v>2.33</v>
      </c>
      <c r="I69" s="12">
        <v>0</v>
      </c>
    </row>
    <row r="70" spans="2:9" ht="15" customHeight="1" x14ac:dyDescent="0.2">
      <c r="B70" t="s">
        <v>314</v>
      </c>
      <c r="C70" s="12">
        <v>3</v>
      </c>
      <c r="D70" s="8">
        <v>1.4</v>
      </c>
      <c r="E70" s="12">
        <v>2</v>
      </c>
      <c r="F70" s="8">
        <v>1.63</v>
      </c>
      <c r="G70" s="12">
        <v>1</v>
      </c>
      <c r="H70" s="8">
        <v>1.1599999999999999</v>
      </c>
      <c r="I70" s="12">
        <v>0</v>
      </c>
    </row>
    <row r="71" spans="2:9" ht="15" customHeight="1" x14ac:dyDescent="0.2">
      <c r="B71" t="s">
        <v>292</v>
      </c>
      <c r="C71" s="12">
        <v>3</v>
      </c>
      <c r="D71" s="8">
        <v>1.4</v>
      </c>
      <c r="E71" s="12">
        <v>1</v>
      </c>
      <c r="F71" s="8">
        <v>0.81</v>
      </c>
      <c r="G71" s="12">
        <v>2</v>
      </c>
      <c r="H71" s="8">
        <v>2.33</v>
      </c>
      <c r="I71" s="12">
        <v>0</v>
      </c>
    </row>
    <row r="72" spans="2:9" ht="15" customHeight="1" x14ac:dyDescent="0.2">
      <c r="B72" t="s">
        <v>402</v>
      </c>
      <c r="C72" s="12">
        <v>3</v>
      </c>
      <c r="D72" s="8">
        <v>1.4</v>
      </c>
      <c r="E72" s="12">
        <v>0</v>
      </c>
      <c r="F72" s="8">
        <v>0</v>
      </c>
      <c r="G72" s="12">
        <v>3</v>
      </c>
      <c r="H72" s="8">
        <v>3.49</v>
      </c>
      <c r="I72" s="12">
        <v>0</v>
      </c>
    </row>
    <row r="73" spans="2:9" ht="15" customHeight="1" x14ac:dyDescent="0.2">
      <c r="B73" t="s">
        <v>294</v>
      </c>
      <c r="C73" s="12">
        <v>3</v>
      </c>
      <c r="D73" s="8">
        <v>1.4</v>
      </c>
      <c r="E73" s="12">
        <v>1</v>
      </c>
      <c r="F73" s="8">
        <v>0.81</v>
      </c>
      <c r="G73" s="12">
        <v>2</v>
      </c>
      <c r="H73" s="8">
        <v>2.33</v>
      </c>
      <c r="I73" s="12">
        <v>0</v>
      </c>
    </row>
    <row r="74" spans="2:9" ht="15" customHeight="1" x14ac:dyDescent="0.2">
      <c r="B74" t="s">
        <v>330</v>
      </c>
      <c r="C74" s="12">
        <v>3</v>
      </c>
      <c r="D74" s="8">
        <v>1.4</v>
      </c>
      <c r="E74" s="12">
        <v>1</v>
      </c>
      <c r="F74" s="8">
        <v>0.81</v>
      </c>
      <c r="G74" s="12">
        <v>2</v>
      </c>
      <c r="H74" s="8">
        <v>2.33</v>
      </c>
      <c r="I74" s="12">
        <v>0</v>
      </c>
    </row>
    <row r="75" spans="2:9" ht="15" customHeight="1" x14ac:dyDescent="0.2">
      <c r="B75" t="s">
        <v>295</v>
      </c>
      <c r="C75" s="12">
        <v>3</v>
      </c>
      <c r="D75" s="8">
        <v>1.4</v>
      </c>
      <c r="E75" s="12">
        <v>1</v>
      </c>
      <c r="F75" s="8">
        <v>0.81</v>
      </c>
      <c r="G75" s="12">
        <v>2</v>
      </c>
      <c r="H75" s="8">
        <v>2.33</v>
      </c>
      <c r="I75" s="12">
        <v>0</v>
      </c>
    </row>
    <row r="76" spans="2:9" ht="15" customHeight="1" x14ac:dyDescent="0.2">
      <c r="B76" t="s">
        <v>300</v>
      </c>
      <c r="C76" s="12">
        <v>3</v>
      </c>
      <c r="D76" s="8">
        <v>1.4</v>
      </c>
      <c r="E76" s="12">
        <v>2</v>
      </c>
      <c r="F76" s="8">
        <v>1.63</v>
      </c>
      <c r="G76" s="12">
        <v>1</v>
      </c>
      <c r="H76" s="8">
        <v>1.1599999999999999</v>
      </c>
      <c r="I76" s="12">
        <v>0</v>
      </c>
    </row>
    <row r="77" spans="2:9" ht="15" customHeight="1" x14ac:dyDescent="0.2">
      <c r="B77" t="s">
        <v>340</v>
      </c>
      <c r="C77" s="12">
        <v>3</v>
      </c>
      <c r="D77" s="8">
        <v>1.4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341</v>
      </c>
      <c r="C78" s="12">
        <v>3</v>
      </c>
      <c r="D78" s="8">
        <v>1.4</v>
      </c>
      <c r="E78" s="12">
        <v>0</v>
      </c>
      <c r="F78" s="8">
        <v>0</v>
      </c>
      <c r="G78" s="12">
        <v>2</v>
      </c>
      <c r="H78" s="8">
        <v>2.33</v>
      </c>
      <c r="I78" s="12">
        <v>0</v>
      </c>
    </row>
    <row r="79" spans="2:9" ht="15" customHeight="1" x14ac:dyDescent="0.2">
      <c r="B79" t="s">
        <v>371</v>
      </c>
      <c r="C79" s="12">
        <v>3</v>
      </c>
      <c r="D79" s="8">
        <v>1.4</v>
      </c>
      <c r="E79" s="12">
        <v>2</v>
      </c>
      <c r="F79" s="8">
        <v>1.63</v>
      </c>
      <c r="G79" s="12">
        <v>1</v>
      </c>
      <c r="H79" s="8">
        <v>1.1599999999999999</v>
      </c>
      <c r="I79" s="12">
        <v>0</v>
      </c>
    </row>
    <row r="81" spans="2:2" ht="15" customHeight="1" x14ac:dyDescent="0.2">
      <c r="B8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5A383-7FEC-4106-8EA9-1C52121FEEB0}">
  <sheetPr>
    <pageSetUpPr fitToPage="1"/>
  </sheetPr>
  <dimension ref="B2:I12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1.19</v>
      </c>
      <c r="E5" s="12">
        <v>0</v>
      </c>
      <c r="F5" s="8">
        <v>0</v>
      </c>
      <c r="G5" s="12">
        <v>1</v>
      </c>
      <c r="H5" s="8">
        <v>3.03</v>
      </c>
      <c r="I5" s="12">
        <v>0</v>
      </c>
    </row>
    <row r="6" spans="2:9" ht="15" customHeight="1" x14ac:dyDescent="0.2">
      <c r="B6" t="s">
        <v>191</v>
      </c>
      <c r="C6" s="12">
        <v>9</v>
      </c>
      <c r="D6" s="8">
        <v>10.71</v>
      </c>
      <c r="E6" s="12">
        <v>2</v>
      </c>
      <c r="F6" s="8">
        <v>4.76</v>
      </c>
      <c r="G6" s="12">
        <v>7</v>
      </c>
      <c r="H6" s="8">
        <v>21.21</v>
      </c>
      <c r="I6" s="12">
        <v>0</v>
      </c>
    </row>
    <row r="7" spans="2:9" ht="15" customHeight="1" x14ac:dyDescent="0.2">
      <c r="B7" t="s">
        <v>192</v>
      </c>
      <c r="C7" s="12">
        <v>10</v>
      </c>
      <c r="D7" s="8">
        <v>11.9</v>
      </c>
      <c r="E7" s="12">
        <v>4</v>
      </c>
      <c r="F7" s="8">
        <v>9.52</v>
      </c>
      <c r="G7" s="12">
        <v>6</v>
      </c>
      <c r="H7" s="8">
        <v>18.18</v>
      </c>
      <c r="I7" s="12">
        <v>0</v>
      </c>
    </row>
    <row r="8" spans="2:9" ht="15" customHeight="1" x14ac:dyDescent="0.2">
      <c r="B8" t="s">
        <v>193</v>
      </c>
      <c r="C8" s="12">
        <v>4</v>
      </c>
      <c r="D8" s="8">
        <v>4.76</v>
      </c>
      <c r="E8" s="12">
        <v>0</v>
      </c>
      <c r="F8" s="8">
        <v>0</v>
      </c>
      <c r="G8" s="12">
        <v>3</v>
      </c>
      <c r="H8" s="8">
        <v>9.09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2.38</v>
      </c>
      <c r="E10" s="12">
        <v>1</v>
      </c>
      <c r="F10" s="8">
        <v>2.38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22</v>
      </c>
      <c r="D11" s="8">
        <v>26.19</v>
      </c>
      <c r="E11" s="12">
        <v>12</v>
      </c>
      <c r="F11" s="8">
        <v>28.57</v>
      </c>
      <c r="G11" s="12">
        <v>9</v>
      </c>
      <c r="H11" s="8">
        <v>27.27</v>
      </c>
      <c r="I11" s="12">
        <v>1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</v>
      </c>
      <c r="D13" s="8">
        <v>1.19</v>
      </c>
      <c r="E13" s="12">
        <v>0</v>
      </c>
      <c r="F13" s="8">
        <v>0</v>
      </c>
      <c r="G13" s="12">
        <v>1</v>
      </c>
      <c r="H13" s="8">
        <v>3.03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3.57</v>
      </c>
      <c r="E14" s="12">
        <v>1</v>
      </c>
      <c r="F14" s="8">
        <v>2.38</v>
      </c>
      <c r="G14" s="12">
        <v>2</v>
      </c>
      <c r="H14" s="8">
        <v>6.06</v>
      </c>
      <c r="I14" s="12">
        <v>0</v>
      </c>
    </row>
    <row r="15" spans="2:9" ht="15" customHeight="1" x14ac:dyDescent="0.2">
      <c r="B15" t="s">
        <v>200</v>
      </c>
      <c r="C15" s="12">
        <v>10</v>
      </c>
      <c r="D15" s="8">
        <v>11.9</v>
      </c>
      <c r="E15" s="12">
        <v>7</v>
      </c>
      <c r="F15" s="8">
        <v>16.670000000000002</v>
      </c>
      <c r="G15" s="12">
        <v>2</v>
      </c>
      <c r="H15" s="8">
        <v>6.06</v>
      </c>
      <c r="I15" s="12">
        <v>0</v>
      </c>
    </row>
    <row r="16" spans="2:9" ht="15" customHeight="1" x14ac:dyDescent="0.2">
      <c r="B16" t="s">
        <v>201</v>
      </c>
      <c r="C16" s="12">
        <v>10</v>
      </c>
      <c r="D16" s="8">
        <v>11.9</v>
      </c>
      <c r="E16" s="12">
        <v>9</v>
      </c>
      <c r="F16" s="8">
        <v>21.43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2.38</v>
      </c>
      <c r="E17" s="12">
        <v>1</v>
      </c>
      <c r="F17" s="8">
        <v>2.38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4.76</v>
      </c>
      <c r="E18" s="12">
        <v>1</v>
      </c>
      <c r="F18" s="8">
        <v>2.38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7.14</v>
      </c>
      <c r="E19" s="12">
        <v>4</v>
      </c>
      <c r="F19" s="8">
        <v>9.52</v>
      </c>
      <c r="G19" s="12">
        <v>2</v>
      </c>
      <c r="H19" s="8">
        <v>6.06</v>
      </c>
      <c r="I19" s="12">
        <v>0</v>
      </c>
    </row>
    <row r="20" spans="2:9" ht="15" customHeight="1" x14ac:dyDescent="0.2">
      <c r="B20" s="9" t="s">
        <v>529</v>
      </c>
      <c r="C20" s="12">
        <f>SUM(LTBL_01645[総数／事業所数])</f>
        <v>84</v>
      </c>
      <c r="E20" s="12">
        <f>SUBTOTAL(109,LTBL_01645[個人／事業所数])</f>
        <v>42</v>
      </c>
      <c r="G20" s="12">
        <f>SUBTOTAL(109,LTBL_01645[法人／事業所数])</f>
        <v>33</v>
      </c>
      <c r="I20" s="12">
        <f>SUBTOTAL(109,LTBL_01645[法人以外の団体／事業所数])</f>
        <v>1</v>
      </c>
    </row>
    <row r="21" spans="2:9" ht="15" customHeight="1" x14ac:dyDescent="0.2">
      <c r="E21" s="11">
        <f>LTBL_01645[[#Totals],[個人／事業所数]]/LTBL_01645[[#Totals],[総数／事業所数]]</f>
        <v>0.5</v>
      </c>
      <c r="G21" s="11">
        <f>LTBL_01645[[#Totals],[法人／事業所数]]/LTBL_01645[[#Totals],[総数／事業所数]]</f>
        <v>0.39285714285714285</v>
      </c>
      <c r="I21" s="11">
        <f>LTBL_01645[[#Totals],[法人以外の団体／事業所数]]/LTBL_01645[[#Totals],[総数／事業所数]]</f>
        <v>1.1904761904761904E-2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221</v>
      </c>
      <c r="C24" s="12">
        <v>8</v>
      </c>
      <c r="D24" s="8">
        <v>9.52</v>
      </c>
      <c r="E24" s="12">
        <v>4</v>
      </c>
      <c r="F24" s="8">
        <v>9.52</v>
      </c>
      <c r="G24" s="12">
        <v>3</v>
      </c>
      <c r="H24" s="8">
        <v>9.09</v>
      </c>
      <c r="I24" s="12">
        <v>1</v>
      </c>
    </row>
    <row r="25" spans="2:9" ht="15" customHeight="1" x14ac:dyDescent="0.2">
      <c r="B25" t="s">
        <v>227</v>
      </c>
      <c r="C25" s="12">
        <v>8</v>
      </c>
      <c r="D25" s="8">
        <v>9.52</v>
      </c>
      <c r="E25" s="12">
        <v>7</v>
      </c>
      <c r="F25" s="8">
        <v>16.670000000000002</v>
      </c>
      <c r="G25" s="12">
        <v>1</v>
      </c>
      <c r="H25" s="8">
        <v>3.03</v>
      </c>
      <c r="I25" s="12">
        <v>0</v>
      </c>
    </row>
    <row r="26" spans="2:9" ht="15" customHeight="1" x14ac:dyDescent="0.2">
      <c r="B26" t="s">
        <v>228</v>
      </c>
      <c r="C26" s="12">
        <v>8</v>
      </c>
      <c r="D26" s="8">
        <v>9.52</v>
      </c>
      <c r="E26" s="12">
        <v>8</v>
      </c>
      <c r="F26" s="8">
        <v>19.05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213</v>
      </c>
      <c r="C27" s="12">
        <v>7</v>
      </c>
      <c r="D27" s="8">
        <v>8.33</v>
      </c>
      <c r="E27" s="12">
        <v>1</v>
      </c>
      <c r="F27" s="8">
        <v>2.38</v>
      </c>
      <c r="G27" s="12">
        <v>6</v>
      </c>
      <c r="H27" s="8">
        <v>18.18</v>
      </c>
      <c r="I27" s="12">
        <v>0</v>
      </c>
    </row>
    <row r="28" spans="2:9" ht="15" customHeight="1" x14ac:dyDescent="0.2">
      <c r="B28" t="s">
        <v>222</v>
      </c>
      <c r="C28" s="12">
        <v>4</v>
      </c>
      <c r="D28" s="8">
        <v>4.76</v>
      </c>
      <c r="E28" s="12">
        <v>4</v>
      </c>
      <c r="F28" s="8">
        <v>9.52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223</v>
      </c>
      <c r="C29" s="12">
        <v>4</v>
      </c>
      <c r="D29" s="8">
        <v>4.76</v>
      </c>
      <c r="E29" s="12">
        <v>1</v>
      </c>
      <c r="F29" s="8">
        <v>2.38</v>
      </c>
      <c r="G29" s="12">
        <v>3</v>
      </c>
      <c r="H29" s="8">
        <v>9.09</v>
      </c>
      <c r="I29" s="12">
        <v>0</v>
      </c>
    </row>
    <row r="30" spans="2:9" ht="15" customHeight="1" x14ac:dyDescent="0.2">
      <c r="B30" t="s">
        <v>226</v>
      </c>
      <c r="C30" s="12">
        <v>3</v>
      </c>
      <c r="D30" s="8">
        <v>3.57</v>
      </c>
      <c r="E30" s="12">
        <v>1</v>
      </c>
      <c r="F30" s="8">
        <v>2.38</v>
      </c>
      <c r="G30" s="12">
        <v>2</v>
      </c>
      <c r="H30" s="8">
        <v>6.06</v>
      </c>
      <c r="I30" s="12">
        <v>0</v>
      </c>
    </row>
    <row r="31" spans="2:9" ht="15" customHeight="1" x14ac:dyDescent="0.2">
      <c r="B31" t="s">
        <v>232</v>
      </c>
      <c r="C31" s="12">
        <v>3</v>
      </c>
      <c r="D31" s="8">
        <v>3.57</v>
      </c>
      <c r="E31" s="12">
        <v>0</v>
      </c>
      <c r="F31" s="8">
        <v>0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242</v>
      </c>
      <c r="C32" s="12">
        <v>3</v>
      </c>
      <c r="D32" s="8">
        <v>3.57</v>
      </c>
      <c r="E32" s="12">
        <v>2</v>
      </c>
      <c r="F32" s="8">
        <v>4.76</v>
      </c>
      <c r="G32" s="12">
        <v>1</v>
      </c>
      <c r="H32" s="8">
        <v>3.03</v>
      </c>
      <c r="I32" s="12">
        <v>0</v>
      </c>
    </row>
    <row r="33" spans="2:9" ht="15" customHeight="1" x14ac:dyDescent="0.2">
      <c r="B33" t="s">
        <v>264</v>
      </c>
      <c r="C33" s="12">
        <v>2</v>
      </c>
      <c r="D33" s="8">
        <v>2.38</v>
      </c>
      <c r="E33" s="12">
        <v>0</v>
      </c>
      <c r="F33" s="8">
        <v>0</v>
      </c>
      <c r="G33" s="12">
        <v>2</v>
      </c>
      <c r="H33" s="8">
        <v>6.06</v>
      </c>
      <c r="I33" s="12">
        <v>0</v>
      </c>
    </row>
    <row r="34" spans="2:9" ht="15" customHeight="1" x14ac:dyDescent="0.2">
      <c r="B34" t="s">
        <v>257</v>
      </c>
      <c r="C34" s="12">
        <v>2</v>
      </c>
      <c r="D34" s="8">
        <v>2.38</v>
      </c>
      <c r="E34" s="12">
        <v>1</v>
      </c>
      <c r="F34" s="8">
        <v>2.38</v>
      </c>
      <c r="G34" s="12">
        <v>1</v>
      </c>
      <c r="H34" s="8">
        <v>3.03</v>
      </c>
      <c r="I34" s="12">
        <v>0</v>
      </c>
    </row>
    <row r="35" spans="2:9" ht="15" customHeight="1" x14ac:dyDescent="0.2">
      <c r="B35" t="s">
        <v>265</v>
      </c>
      <c r="C35" s="12">
        <v>2</v>
      </c>
      <c r="D35" s="8">
        <v>2.38</v>
      </c>
      <c r="E35" s="12">
        <v>0</v>
      </c>
      <c r="F35" s="8">
        <v>0</v>
      </c>
      <c r="G35" s="12">
        <v>2</v>
      </c>
      <c r="H35" s="8">
        <v>6.06</v>
      </c>
      <c r="I35" s="12">
        <v>0</v>
      </c>
    </row>
    <row r="36" spans="2:9" ht="15" customHeight="1" x14ac:dyDescent="0.2">
      <c r="B36" t="s">
        <v>255</v>
      </c>
      <c r="C36" s="12">
        <v>2</v>
      </c>
      <c r="D36" s="8">
        <v>2.38</v>
      </c>
      <c r="E36" s="12">
        <v>0</v>
      </c>
      <c r="F36" s="8">
        <v>0</v>
      </c>
      <c r="G36" s="12">
        <v>1</v>
      </c>
      <c r="H36" s="8">
        <v>3.03</v>
      </c>
      <c r="I36" s="12">
        <v>0</v>
      </c>
    </row>
    <row r="37" spans="2:9" ht="15" customHeight="1" x14ac:dyDescent="0.2">
      <c r="B37" t="s">
        <v>217</v>
      </c>
      <c r="C37" s="12">
        <v>2</v>
      </c>
      <c r="D37" s="8">
        <v>2.38</v>
      </c>
      <c r="E37" s="12">
        <v>0</v>
      </c>
      <c r="F37" s="8">
        <v>0</v>
      </c>
      <c r="G37" s="12">
        <v>2</v>
      </c>
      <c r="H37" s="8">
        <v>6.06</v>
      </c>
      <c r="I37" s="12">
        <v>0</v>
      </c>
    </row>
    <row r="38" spans="2:9" ht="15" customHeight="1" x14ac:dyDescent="0.2">
      <c r="B38" t="s">
        <v>220</v>
      </c>
      <c r="C38" s="12">
        <v>2</v>
      </c>
      <c r="D38" s="8">
        <v>2.38</v>
      </c>
      <c r="E38" s="12">
        <v>1</v>
      </c>
      <c r="F38" s="8">
        <v>2.38</v>
      </c>
      <c r="G38" s="12">
        <v>1</v>
      </c>
      <c r="H38" s="8">
        <v>3.03</v>
      </c>
      <c r="I38" s="12">
        <v>0</v>
      </c>
    </row>
    <row r="39" spans="2:9" ht="15" customHeight="1" x14ac:dyDescent="0.2">
      <c r="B39" t="s">
        <v>239</v>
      </c>
      <c r="C39" s="12">
        <v>2</v>
      </c>
      <c r="D39" s="8">
        <v>2.38</v>
      </c>
      <c r="E39" s="12">
        <v>0</v>
      </c>
      <c r="F39" s="8">
        <v>0</v>
      </c>
      <c r="G39" s="12">
        <v>1</v>
      </c>
      <c r="H39" s="8">
        <v>3.03</v>
      </c>
      <c r="I39" s="12">
        <v>0</v>
      </c>
    </row>
    <row r="40" spans="2:9" ht="15" customHeight="1" x14ac:dyDescent="0.2">
      <c r="B40" t="s">
        <v>230</v>
      </c>
      <c r="C40" s="12">
        <v>2</v>
      </c>
      <c r="D40" s="8">
        <v>2.38</v>
      </c>
      <c r="E40" s="12">
        <v>1</v>
      </c>
      <c r="F40" s="8">
        <v>2.38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240</v>
      </c>
      <c r="C41" s="12">
        <v>2</v>
      </c>
      <c r="D41" s="8">
        <v>2.38</v>
      </c>
      <c r="E41" s="12">
        <v>2</v>
      </c>
      <c r="F41" s="8">
        <v>4.76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273</v>
      </c>
      <c r="C42" s="12">
        <v>1</v>
      </c>
      <c r="D42" s="8">
        <v>1.19</v>
      </c>
      <c r="E42" s="12">
        <v>0</v>
      </c>
      <c r="F42" s="8">
        <v>0</v>
      </c>
      <c r="G42" s="12">
        <v>1</v>
      </c>
      <c r="H42" s="8">
        <v>3.03</v>
      </c>
      <c r="I42" s="12">
        <v>0</v>
      </c>
    </row>
    <row r="43" spans="2:9" ht="15" customHeight="1" x14ac:dyDescent="0.2">
      <c r="B43" t="s">
        <v>214</v>
      </c>
      <c r="C43" s="12">
        <v>1</v>
      </c>
      <c r="D43" s="8">
        <v>1.19</v>
      </c>
      <c r="E43" s="12">
        <v>1</v>
      </c>
      <c r="F43" s="8">
        <v>2.38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215</v>
      </c>
      <c r="C44" s="12">
        <v>1</v>
      </c>
      <c r="D44" s="8">
        <v>1.19</v>
      </c>
      <c r="E44" s="12">
        <v>0</v>
      </c>
      <c r="F44" s="8">
        <v>0</v>
      </c>
      <c r="G44" s="12">
        <v>1</v>
      </c>
      <c r="H44" s="8">
        <v>3.03</v>
      </c>
      <c r="I44" s="12">
        <v>0</v>
      </c>
    </row>
    <row r="45" spans="2:9" ht="15" customHeight="1" x14ac:dyDescent="0.2">
      <c r="B45" t="s">
        <v>241</v>
      </c>
      <c r="C45" s="12">
        <v>1</v>
      </c>
      <c r="D45" s="8">
        <v>1.19</v>
      </c>
      <c r="E45" s="12">
        <v>1</v>
      </c>
      <c r="F45" s="8">
        <v>2.38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244</v>
      </c>
      <c r="C46" s="12">
        <v>1</v>
      </c>
      <c r="D46" s="8">
        <v>1.19</v>
      </c>
      <c r="E46" s="12">
        <v>0</v>
      </c>
      <c r="F46" s="8">
        <v>0</v>
      </c>
      <c r="G46" s="12">
        <v>1</v>
      </c>
      <c r="H46" s="8">
        <v>3.03</v>
      </c>
      <c r="I46" s="12">
        <v>0</v>
      </c>
    </row>
    <row r="47" spans="2:9" ht="15" customHeight="1" x14ac:dyDescent="0.2">
      <c r="B47" t="s">
        <v>263</v>
      </c>
      <c r="C47" s="12">
        <v>1</v>
      </c>
      <c r="D47" s="8">
        <v>1.19</v>
      </c>
      <c r="E47" s="12">
        <v>0</v>
      </c>
      <c r="F47" s="8">
        <v>0</v>
      </c>
      <c r="G47" s="12">
        <v>1</v>
      </c>
      <c r="H47" s="8">
        <v>3.03</v>
      </c>
      <c r="I47" s="12">
        <v>0</v>
      </c>
    </row>
    <row r="48" spans="2:9" ht="15" customHeight="1" x14ac:dyDescent="0.2">
      <c r="B48" t="s">
        <v>259</v>
      </c>
      <c r="C48" s="12">
        <v>1</v>
      </c>
      <c r="D48" s="8">
        <v>1.19</v>
      </c>
      <c r="E48" s="12">
        <v>1</v>
      </c>
      <c r="F48" s="8">
        <v>2.38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254</v>
      </c>
      <c r="C49" s="12">
        <v>1</v>
      </c>
      <c r="D49" s="8">
        <v>1.19</v>
      </c>
      <c r="E49" s="12">
        <v>0</v>
      </c>
      <c r="F49" s="8">
        <v>0</v>
      </c>
      <c r="G49" s="12">
        <v>1</v>
      </c>
      <c r="H49" s="8">
        <v>3.03</v>
      </c>
      <c r="I49" s="12">
        <v>0</v>
      </c>
    </row>
    <row r="50" spans="2:9" ht="15" customHeight="1" x14ac:dyDescent="0.2">
      <c r="B50" t="s">
        <v>245</v>
      </c>
      <c r="C50" s="12">
        <v>1</v>
      </c>
      <c r="D50" s="8">
        <v>1.19</v>
      </c>
      <c r="E50" s="12">
        <v>1</v>
      </c>
      <c r="F50" s="8">
        <v>2.38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248</v>
      </c>
      <c r="C51" s="12">
        <v>1</v>
      </c>
      <c r="D51" s="8">
        <v>1.19</v>
      </c>
      <c r="E51" s="12">
        <v>1</v>
      </c>
      <c r="F51" s="8">
        <v>2.38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261</v>
      </c>
      <c r="C52" s="12">
        <v>1</v>
      </c>
      <c r="D52" s="8">
        <v>1.19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216</v>
      </c>
      <c r="C53" s="12">
        <v>1</v>
      </c>
      <c r="D53" s="8">
        <v>1.19</v>
      </c>
      <c r="E53" s="12">
        <v>1</v>
      </c>
      <c r="F53" s="8">
        <v>2.38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236</v>
      </c>
      <c r="C54" s="12">
        <v>1</v>
      </c>
      <c r="D54" s="8">
        <v>1.19</v>
      </c>
      <c r="E54" s="12">
        <v>1</v>
      </c>
      <c r="F54" s="8">
        <v>2.38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233</v>
      </c>
      <c r="C55" s="12">
        <v>1</v>
      </c>
      <c r="D55" s="8">
        <v>1.19</v>
      </c>
      <c r="E55" s="12">
        <v>0</v>
      </c>
      <c r="F55" s="8">
        <v>0</v>
      </c>
      <c r="G55" s="12">
        <v>1</v>
      </c>
      <c r="H55" s="8">
        <v>3.03</v>
      </c>
      <c r="I55" s="12">
        <v>0</v>
      </c>
    </row>
    <row r="56" spans="2:9" ht="15" customHeight="1" x14ac:dyDescent="0.2">
      <c r="B56" t="s">
        <v>229</v>
      </c>
      <c r="C56" s="12">
        <v>1</v>
      </c>
      <c r="D56" s="8">
        <v>1.19</v>
      </c>
      <c r="E56" s="12">
        <v>1</v>
      </c>
      <c r="F56" s="8">
        <v>2.38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247</v>
      </c>
      <c r="C57" s="12">
        <v>1</v>
      </c>
      <c r="D57" s="8">
        <v>1.19</v>
      </c>
      <c r="E57" s="12">
        <v>0</v>
      </c>
      <c r="F57" s="8">
        <v>0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231</v>
      </c>
      <c r="C58" s="12">
        <v>1</v>
      </c>
      <c r="D58" s="8">
        <v>1.19</v>
      </c>
      <c r="E58" s="12">
        <v>1</v>
      </c>
      <c r="F58" s="8">
        <v>2.38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249</v>
      </c>
      <c r="C59" s="12">
        <v>1</v>
      </c>
      <c r="D59" s="8">
        <v>1.19</v>
      </c>
      <c r="E59" s="12">
        <v>0</v>
      </c>
      <c r="F59" s="8">
        <v>0</v>
      </c>
      <c r="G59" s="12">
        <v>1</v>
      </c>
      <c r="H59" s="8">
        <v>3.03</v>
      </c>
      <c r="I59" s="12">
        <v>0</v>
      </c>
    </row>
    <row r="62" spans="2:9" ht="33" customHeight="1" x14ac:dyDescent="0.2">
      <c r="B62" t="s">
        <v>531</v>
      </c>
      <c r="C62" s="10" t="s">
        <v>206</v>
      </c>
      <c r="D62" s="10" t="s">
        <v>207</v>
      </c>
      <c r="E62" s="10" t="s">
        <v>208</v>
      </c>
      <c r="F62" s="10" t="s">
        <v>209</v>
      </c>
      <c r="G62" s="10" t="s">
        <v>210</v>
      </c>
      <c r="H62" s="10" t="s">
        <v>211</v>
      </c>
      <c r="I62" s="10" t="s">
        <v>212</v>
      </c>
    </row>
    <row r="63" spans="2:9" ht="15" customHeight="1" x14ac:dyDescent="0.2">
      <c r="B63" t="s">
        <v>288</v>
      </c>
      <c r="C63" s="12">
        <v>4</v>
      </c>
      <c r="D63" s="8">
        <v>4.76</v>
      </c>
      <c r="E63" s="12">
        <v>1</v>
      </c>
      <c r="F63" s="8">
        <v>2.38</v>
      </c>
      <c r="G63" s="12">
        <v>3</v>
      </c>
      <c r="H63" s="8">
        <v>9.09</v>
      </c>
      <c r="I63" s="12">
        <v>0</v>
      </c>
    </row>
    <row r="64" spans="2:9" ht="15" customHeight="1" x14ac:dyDescent="0.2">
      <c r="B64" t="s">
        <v>292</v>
      </c>
      <c r="C64" s="12">
        <v>4</v>
      </c>
      <c r="D64" s="8">
        <v>4.76</v>
      </c>
      <c r="E64" s="12">
        <v>1</v>
      </c>
      <c r="F64" s="8">
        <v>2.38</v>
      </c>
      <c r="G64" s="12">
        <v>3</v>
      </c>
      <c r="H64" s="8">
        <v>9.09</v>
      </c>
      <c r="I64" s="12">
        <v>0</v>
      </c>
    </row>
    <row r="65" spans="2:9" ht="15" customHeight="1" x14ac:dyDescent="0.2">
      <c r="B65" t="s">
        <v>303</v>
      </c>
      <c r="C65" s="12">
        <v>4</v>
      </c>
      <c r="D65" s="8">
        <v>4.76</v>
      </c>
      <c r="E65" s="12">
        <v>4</v>
      </c>
      <c r="F65" s="8">
        <v>9.52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329</v>
      </c>
      <c r="C66" s="12">
        <v>3</v>
      </c>
      <c r="D66" s="8">
        <v>3.57</v>
      </c>
      <c r="E66" s="12">
        <v>2</v>
      </c>
      <c r="F66" s="8">
        <v>4.76</v>
      </c>
      <c r="G66" s="12">
        <v>0</v>
      </c>
      <c r="H66" s="8">
        <v>0</v>
      </c>
      <c r="I66" s="12">
        <v>1</v>
      </c>
    </row>
    <row r="67" spans="2:9" ht="15" customHeight="1" x14ac:dyDescent="0.2">
      <c r="B67" t="s">
        <v>304</v>
      </c>
      <c r="C67" s="12">
        <v>3</v>
      </c>
      <c r="D67" s="8">
        <v>3.57</v>
      </c>
      <c r="E67" s="12">
        <v>3</v>
      </c>
      <c r="F67" s="8">
        <v>7.14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341</v>
      </c>
      <c r="C68" s="12">
        <v>3</v>
      </c>
      <c r="D68" s="8">
        <v>3.57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371</v>
      </c>
      <c r="C69" s="12">
        <v>3</v>
      </c>
      <c r="D69" s="8">
        <v>3.57</v>
      </c>
      <c r="E69" s="12">
        <v>2</v>
      </c>
      <c r="F69" s="8">
        <v>4.76</v>
      </c>
      <c r="G69" s="12">
        <v>1</v>
      </c>
      <c r="H69" s="8">
        <v>3.03</v>
      </c>
      <c r="I69" s="12">
        <v>0</v>
      </c>
    </row>
    <row r="70" spans="2:9" ht="15" customHeight="1" x14ac:dyDescent="0.2">
      <c r="B70" t="s">
        <v>328</v>
      </c>
      <c r="C70" s="12">
        <v>2</v>
      </c>
      <c r="D70" s="8">
        <v>2.38</v>
      </c>
      <c r="E70" s="12">
        <v>0</v>
      </c>
      <c r="F70" s="8">
        <v>0</v>
      </c>
      <c r="G70" s="12">
        <v>2</v>
      </c>
      <c r="H70" s="8">
        <v>6.06</v>
      </c>
      <c r="I70" s="12">
        <v>0</v>
      </c>
    </row>
    <row r="71" spans="2:9" ht="15" customHeight="1" x14ac:dyDescent="0.2">
      <c r="B71" t="s">
        <v>357</v>
      </c>
      <c r="C71" s="12">
        <v>2</v>
      </c>
      <c r="D71" s="8">
        <v>2.38</v>
      </c>
      <c r="E71" s="12">
        <v>1</v>
      </c>
      <c r="F71" s="8">
        <v>2.38</v>
      </c>
      <c r="G71" s="12">
        <v>1</v>
      </c>
      <c r="H71" s="8">
        <v>3.03</v>
      </c>
      <c r="I71" s="12">
        <v>0</v>
      </c>
    </row>
    <row r="72" spans="2:9" ht="15" customHeight="1" x14ac:dyDescent="0.2">
      <c r="B72" t="s">
        <v>387</v>
      </c>
      <c r="C72" s="12">
        <v>2</v>
      </c>
      <c r="D72" s="8">
        <v>2.38</v>
      </c>
      <c r="E72" s="12">
        <v>0</v>
      </c>
      <c r="F72" s="8">
        <v>0</v>
      </c>
      <c r="G72" s="12">
        <v>2</v>
      </c>
      <c r="H72" s="8">
        <v>6.06</v>
      </c>
      <c r="I72" s="12">
        <v>0</v>
      </c>
    </row>
    <row r="73" spans="2:9" ht="15" customHeight="1" x14ac:dyDescent="0.2">
      <c r="B73" t="s">
        <v>293</v>
      </c>
      <c r="C73" s="12">
        <v>2</v>
      </c>
      <c r="D73" s="8">
        <v>2.38</v>
      </c>
      <c r="E73" s="12">
        <v>2</v>
      </c>
      <c r="F73" s="8">
        <v>4.76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418</v>
      </c>
      <c r="C74" s="12">
        <v>2</v>
      </c>
      <c r="D74" s="8">
        <v>2.38</v>
      </c>
      <c r="E74" s="12">
        <v>1</v>
      </c>
      <c r="F74" s="8">
        <v>2.38</v>
      </c>
      <c r="G74" s="12">
        <v>1</v>
      </c>
      <c r="H74" s="8">
        <v>3.03</v>
      </c>
      <c r="I74" s="12">
        <v>0</v>
      </c>
    </row>
    <row r="75" spans="2:9" ht="15" customHeight="1" x14ac:dyDescent="0.2">
      <c r="B75" t="s">
        <v>299</v>
      </c>
      <c r="C75" s="12">
        <v>2</v>
      </c>
      <c r="D75" s="8">
        <v>2.38</v>
      </c>
      <c r="E75" s="12">
        <v>2</v>
      </c>
      <c r="F75" s="8">
        <v>4.76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300</v>
      </c>
      <c r="C76" s="12">
        <v>2</v>
      </c>
      <c r="D76" s="8">
        <v>2.38</v>
      </c>
      <c r="E76" s="12">
        <v>2</v>
      </c>
      <c r="F76" s="8">
        <v>4.76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325</v>
      </c>
      <c r="C77" s="12">
        <v>2</v>
      </c>
      <c r="D77" s="8">
        <v>2.38</v>
      </c>
      <c r="E77" s="12">
        <v>0</v>
      </c>
      <c r="F77" s="8">
        <v>0</v>
      </c>
      <c r="G77" s="12">
        <v>1</v>
      </c>
      <c r="H77" s="8">
        <v>3.03</v>
      </c>
      <c r="I77" s="12">
        <v>0</v>
      </c>
    </row>
    <row r="78" spans="2:9" ht="15" customHeight="1" x14ac:dyDescent="0.2">
      <c r="B78" t="s">
        <v>307</v>
      </c>
      <c r="C78" s="12">
        <v>2</v>
      </c>
      <c r="D78" s="8">
        <v>2.38</v>
      </c>
      <c r="E78" s="12">
        <v>2</v>
      </c>
      <c r="F78" s="8">
        <v>4.76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427</v>
      </c>
      <c r="C79" s="12">
        <v>1</v>
      </c>
      <c r="D79" s="8">
        <v>1.19</v>
      </c>
      <c r="E79" s="12">
        <v>0</v>
      </c>
      <c r="F79" s="8">
        <v>0</v>
      </c>
      <c r="G79" s="12">
        <v>1</v>
      </c>
      <c r="H79" s="8">
        <v>3.03</v>
      </c>
      <c r="I79" s="12">
        <v>0</v>
      </c>
    </row>
    <row r="80" spans="2:9" ht="15" customHeight="1" x14ac:dyDescent="0.2">
      <c r="B80" t="s">
        <v>398</v>
      </c>
      <c r="C80" s="12">
        <v>1</v>
      </c>
      <c r="D80" s="8">
        <v>1.19</v>
      </c>
      <c r="E80" s="12">
        <v>0</v>
      </c>
      <c r="F80" s="8">
        <v>0</v>
      </c>
      <c r="G80" s="12">
        <v>1</v>
      </c>
      <c r="H80" s="8">
        <v>3.03</v>
      </c>
      <c r="I80" s="12">
        <v>0</v>
      </c>
    </row>
    <row r="81" spans="2:9" ht="15" customHeight="1" x14ac:dyDescent="0.2">
      <c r="B81" t="s">
        <v>333</v>
      </c>
      <c r="C81" s="12">
        <v>1</v>
      </c>
      <c r="D81" s="8">
        <v>1.19</v>
      </c>
      <c r="E81" s="12">
        <v>1</v>
      </c>
      <c r="F81" s="8">
        <v>2.38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290</v>
      </c>
      <c r="C82" s="12">
        <v>1</v>
      </c>
      <c r="D82" s="8">
        <v>1.19</v>
      </c>
      <c r="E82" s="12">
        <v>0</v>
      </c>
      <c r="F82" s="8">
        <v>0</v>
      </c>
      <c r="G82" s="12">
        <v>1</v>
      </c>
      <c r="H82" s="8">
        <v>3.03</v>
      </c>
      <c r="I82" s="12">
        <v>0</v>
      </c>
    </row>
    <row r="83" spans="2:9" ht="15" customHeight="1" x14ac:dyDescent="0.2">
      <c r="B83" t="s">
        <v>342</v>
      </c>
      <c r="C83" s="12">
        <v>1</v>
      </c>
      <c r="D83" s="8">
        <v>1.19</v>
      </c>
      <c r="E83" s="12">
        <v>1</v>
      </c>
      <c r="F83" s="8">
        <v>2.38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384</v>
      </c>
      <c r="C84" s="12">
        <v>1</v>
      </c>
      <c r="D84" s="8">
        <v>1.19</v>
      </c>
      <c r="E84" s="12">
        <v>0</v>
      </c>
      <c r="F84" s="8">
        <v>0</v>
      </c>
      <c r="G84" s="12">
        <v>1</v>
      </c>
      <c r="H84" s="8">
        <v>3.03</v>
      </c>
      <c r="I84" s="12">
        <v>0</v>
      </c>
    </row>
    <row r="85" spans="2:9" ht="15" customHeight="1" x14ac:dyDescent="0.2">
      <c r="B85" t="s">
        <v>502</v>
      </c>
      <c r="C85" s="12">
        <v>1</v>
      </c>
      <c r="D85" s="8">
        <v>1.19</v>
      </c>
      <c r="E85" s="12">
        <v>0</v>
      </c>
      <c r="F85" s="8">
        <v>0</v>
      </c>
      <c r="G85" s="12">
        <v>1</v>
      </c>
      <c r="H85" s="8">
        <v>3.03</v>
      </c>
      <c r="I85" s="12">
        <v>0</v>
      </c>
    </row>
    <row r="86" spans="2:9" ht="15" customHeight="1" x14ac:dyDescent="0.2">
      <c r="B86" t="s">
        <v>434</v>
      </c>
      <c r="C86" s="12">
        <v>1</v>
      </c>
      <c r="D86" s="8">
        <v>1.19</v>
      </c>
      <c r="E86" s="12">
        <v>0</v>
      </c>
      <c r="F86" s="8">
        <v>0</v>
      </c>
      <c r="G86" s="12">
        <v>1</v>
      </c>
      <c r="H86" s="8">
        <v>3.03</v>
      </c>
      <c r="I86" s="12">
        <v>0</v>
      </c>
    </row>
    <row r="87" spans="2:9" ht="15" customHeight="1" x14ac:dyDescent="0.2">
      <c r="B87" t="s">
        <v>454</v>
      </c>
      <c r="C87" s="12">
        <v>1</v>
      </c>
      <c r="D87" s="8">
        <v>1.19</v>
      </c>
      <c r="E87" s="12">
        <v>0</v>
      </c>
      <c r="F87" s="8">
        <v>0</v>
      </c>
      <c r="G87" s="12">
        <v>1</v>
      </c>
      <c r="H87" s="8">
        <v>3.03</v>
      </c>
      <c r="I87" s="12">
        <v>0</v>
      </c>
    </row>
    <row r="88" spans="2:9" ht="15" customHeight="1" x14ac:dyDescent="0.2">
      <c r="B88" t="s">
        <v>520</v>
      </c>
      <c r="C88" s="12">
        <v>1</v>
      </c>
      <c r="D88" s="8">
        <v>1.19</v>
      </c>
      <c r="E88" s="12">
        <v>1</v>
      </c>
      <c r="F88" s="8">
        <v>2.38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432</v>
      </c>
      <c r="C89" s="12">
        <v>1</v>
      </c>
      <c r="D89" s="8">
        <v>1.19</v>
      </c>
      <c r="E89" s="12">
        <v>0</v>
      </c>
      <c r="F89" s="8">
        <v>0</v>
      </c>
      <c r="G89" s="12">
        <v>1</v>
      </c>
      <c r="H89" s="8">
        <v>3.03</v>
      </c>
      <c r="I89" s="12">
        <v>0</v>
      </c>
    </row>
    <row r="90" spans="2:9" ht="15" customHeight="1" x14ac:dyDescent="0.2">
      <c r="B90" t="s">
        <v>425</v>
      </c>
      <c r="C90" s="12">
        <v>1</v>
      </c>
      <c r="D90" s="8">
        <v>1.19</v>
      </c>
      <c r="E90" s="12">
        <v>1</v>
      </c>
      <c r="F90" s="8">
        <v>2.38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361</v>
      </c>
      <c r="C91" s="12">
        <v>1</v>
      </c>
      <c r="D91" s="8">
        <v>1.19</v>
      </c>
      <c r="E91" s="12">
        <v>0</v>
      </c>
      <c r="F91" s="8">
        <v>0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407</v>
      </c>
      <c r="C92" s="12">
        <v>1</v>
      </c>
      <c r="D92" s="8">
        <v>1.19</v>
      </c>
      <c r="E92" s="12">
        <v>0</v>
      </c>
      <c r="F92" s="8">
        <v>0</v>
      </c>
      <c r="G92" s="12">
        <v>1</v>
      </c>
      <c r="H92" s="8">
        <v>3.03</v>
      </c>
      <c r="I92" s="12">
        <v>0</v>
      </c>
    </row>
    <row r="93" spans="2:9" ht="15" customHeight="1" x14ac:dyDescent="0.2">
      <c r="B93" t="s">
        <v>478</v>
      </c>
      <c r="C93" s="12">
        <v>1</v>
      </c>
      <c r="D93" s="8">
        <v>1.19</v>
      </c>
      <c r="E93" s="12">
        <v>1</v>
      </c>
      <c r="F93" s="8">
        <v>2.38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364</v>
      </c>
      <c r="C94" s="12">
        <v>1</v>
      </c>
      <c r="D94" s="8">
        <v>1.19</v>
      </c>
      <c r="E94" s="12">
        <v>0</v>
      </c>
      <c r="F94" s="8">
        <v>0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324</v>
      </c>
      <c r="C95" s="12">
        <v>1</v>
      </c>
      <c r="D95" s="8">
        <v>1.19</v>
      </c>
      <c r="E95" s="12">
        <v>1</v>
      </c>
      <c r="F95" s="8">
        <v>2.38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452</v>
      </c>
      <c r="C96" s="12">
        <v>1</v>
      </c>
      <c r="D96" s="8">
        <v>1.19</v>
      </c>
      <c r="E96" s="12">
        <v>0</v>
      </c>
      <c r="F96" s="8">
        <v>0</v>
      </c>
      <c r="G96" s="12">
        <v>1</v>
      </c>
      <c r="H96" s="8">
        <v>3.03</v>
      </c>
      <c r="I96" s="12">
        <v>0</v>
      </c>
    </row>
    <row r="97" spans="2:9" ht="15" customHeight="1" x14ac:dyDescent="0.2">
      <c r="B97" t="s">
        <v>379</v>
      </c>
      <c r="C97" s="12">
        <v>1</v>
      </c>
      <c r="D97" s="8">
        <v>1.19</v>
      </c>
      <c r="E97" s="12">
        <v>0</v>
      </c>
      <c r="F97" s="8">
        <v>0</v>
      </c>
      <c r="G97" s="12">
        <v>1</v>
      </c>
      <c r="H97" s="8">
        <v>3.03</v>
      </c>
      <c r="I97" s="12">
        <v>0</v>
      </c>
    </row>
    <row r="98" spans="2:9" ht="15" customHeight="1" x14ac:dyDescent="0.2">
      <c r="B98" t="s">
        <v>400</v>
      </c>
      <c r="C98" s="12">
        <v>1</v>
      </c>
      <c r="D98" s="8">
        <v>1.19</v>
      </c>
      <c r="E98" s="12">
        <v>1</v>
      </c>
      <c r="F98" s="8">
        <v>2.38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314</v>
      </c>
      <c r="C99" s="12">
        <v>1</v>
      </c>
      <c r="D99" s="8">
        <v>1.19</v>
      </c>
      <c r="E99" s="12">
        <v>0</v>
      </c>
      <c r="F99" s="8">
        <v>0</v>
      </c>
      <c r="G99" s="12">
        <v>1</v>
      </c>
      <c r="H99" s="8">
        <v>3.03</v>
      </c>
      <c r="I99" s="12">
        <v>0</v>
      </c>
    </row>
    <row r="100" spans="2:9" ht="15" customHeight="1" x14ac:dyDescent="0.2">
      <c r="B100" t="s">
        <v>332</v>
      </c>
      <c r="C100" s="12">
        <v>1</v>
      </c>
      <c r="D100" s="8">
        <v>1.19</v>
      </c>
      <c r="E100" s="12">
        <v>1</v>
      </c>
      <c r="F100" s="8">
        <v>2.38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389</v>
      </c>
      <c r="C101" s="12">
        <v>1</v>
      </c>
      <c r="D101" s="8">
        <v>1.19</v>
      </c>
      <c r="E101" s="12">
        <v>1</v>
      </c>
      <c r="F101" s="8">
        <v>2.38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335</v>
      </c>
      <c r="C102" s="12">
        <v>1</v>
      </c>
      <c r="D102" s="8">
        <v>1.19</v>
      </c>
      <c r="E102" s="12">
        <v>1</v>
      </c>
      <c r="F102" s="8">
        <v>2.38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402</v>
      </c>
      <c r="C103" s="12">
        <v>1</v>
      </c>
      <c r="D103" s="8">
        <v>1.19</v>
      </c>
      <c r="E103" s="12">
        <v>0</v>
      </c>
      <c r="F103" s="8">
        <v>0</v>
      </c>
      <c r="G103" s="12">
        <v>1</v>
      </c>
      <c r="H103" s="8">
        <v>3.03</v>
      </c>
      <c r="I103" s="12">
        <v>0</v>
      </c>
    </row>
    <row r="104" spans="2:9" ht="15" customHeight="1" x14ac:dyDescent="0.2">
      <c r="B104" t="s">
        <v>294</v>
      </c>
      <c r="C104" s="12">
        <v>1</v>
      </c>
      <c r="D104" s="8">
        <v>1.19</v>
      </c>
      <c r="E104" s="12">
        <v>0</v>
      </c>
      <c r="F104" s="8">
        <v>0</v>
      </c>
      <c r="G104" s="12">
        <v>1</v>
      </c>
      <c r="H104" s="8">
        <v>3.03</v>
      </c>
      <c r="I104" s="12">
        <v>0</v>
      </c>
    </row>
    <row r="105" spans="2:9" ht="15" customHeight="1" x14ac:dyDescent="0.2">
      <c r="B105" t="s">
        <v>330</v>
      </c>
      <c r="C105" s="12">
        <v>1</v>
      </c>
      <c r="D105" s="8">
        <v>1.19</v>
      </c>
      <c r="E105" s="12">
        <v>0</v>
      </c>
      <c r="F105" s="8">
        <v>0</v>
      </c>
      <c r="G105" s="12">
        <v>1</v>
      </c>
      <c r="H105" s="8">
        <v>3.03</v>
      </c>
      <c r="I105" s="12">
        <v>0</v>
      </c>
    </row>
    <row r="106" spans="2:9" ht="15" customHeight="1" x14ac:dyDescent="0.2">
      <c r="B106" t="s">
        <v>373</v>
      </c>
      <c r="C106" s="12">
        <v>1</v>
      </c>
      <c r="D106" s="8">
        <v>1.19</v>
      </c>
      <c r="E106" s="12">
        <v>1</v>
      </c>
      <c r="F106" s="8">
        <v>2.38</v>
      </c>
      <c r="G106" s="12">
        <v>0</v>
      </c>
      <c r="H106" s="8">
        <v>0</v>
      </c>
      <c r="I106" s="12">
        <v>0</v>
      </c>
    </row>
    <row r="107" spans="2:9" ht="15" customHeight="1" x14ac:dyDescent="0.2">
      <c r="B107" t="s">
        <v>344</v>
      </c>
      <c r="C107" s="12">
        <v>1</v>
      </c>
      <c r="D107" s="8">
        <v>1.19</v>
      </c>
      <c r="E107" s="12">
        <v>1</v>
      </c>
      <c r="F107" s="8">
        <v>2.38</v>
      </c>
      <c r="G107" s="12">
        <v>0</v>
      </c>
      <c r="H107" s="8">
        <v>0</v>
      </c>
      <c r="I107" s="12">
        <v>0</v>
      </c>
    </row>
    <row r="108" spans="2:9" ht="15" customHeight="1" x14ac:dyDescent="0.2">
      <c r="B108" t="s">
        <v>310</v>
      </c>
      <c r="C108" s="12">
        <v>1</v>
      </c>
      <c r="D108" s="8">
        <v>1.19</v>
      </c>
      <c r="E108" s="12">
        <v>0</v>
      </c>
      <c r="F108" s="8">
        <v>0</v>
      </c>
      <c r="G108" s="12">
        <v>1</v>
      </c>
      <c r="H108" s="8">
        <v>3.03</v>
      </c>
      <c r="I108" s="12">
        <v>0</v>
      </c>
    </row>
    <row r="109" spans="2:9" ht="15" customHeight="1" x14ac:dyDescent="0.2">
      <c r="B109" t="s">
        <v>521</v>
      </c>
      <c r="C109" s="12">
        <v>1</v>
      </c>
      <c r="D109" s="8">
        <v>1.19</v>
      </c>
      <c r="E109" s="12">
        <v>0</v>
      </c>
      <c r="F109" s="8">
        <v>0</v>
      </c>
      <c r="G109" s="12">
        <v>1</v>
      </c>
      <c r="H109" s="8">
        <v>3.03</v>
      </c>
      <c r="I109" s="12">
        <v>0</v>
      </c>
    </row>
    <row r="110" spans="2:9" ht="15" customHeight="1" x14ac:dyDescent="0.2">
      <c r="B110" t="s">
        <v>334</v>
      </c>
      <c r="C110" s="12">
        <v>1</v>
      </c>
      <c r="D110" s="8">
        <v>1.19</v>
      </c>
      <c r="E110" s="12">
        <v>1</v>
      </c>
      <c r="F110" s="8">
        <v>2.38</v>
      </c>
      <c r="G110" s="12">
        <v>0</v>
      </c>
      <c r="H110" s="8">
        <v>0</v>
      </c>
      <c r="I110" s="12">
        <v>0</v>
      </c>
    </row>
    <row r="111" spans="2:9" ht="15" customHeight="1" x14ac:dyDescent="0.2">
      <c r="B111" t="s">
        <v>419</v>
      </c>
      <c r="C111" s="12">
        <v>1</v>
      </c>
      <c r="D111" s="8">
        <v>1.19</v>
      </c>
      <c r="E111" s="12">
        <v>1</v>
      </c>
      <c r="F111" s="8">
        <v>2.38</v>
      </c>
      <c r="G111" s="12">
        <v>0</v>
      </c>
      <c r="H111" s="8">
        <v>0</v>
      </c>
      <c r="I111" s="12">
        <v>0</v>
      </c>
    </row>
    <row r="112" spans="2:9" ht="15" customHeight="1" x14ac:dyDescent="0.2">
      <c r="B112" t="s">
        <v>301</v>
      </c>
      <c r="C112" s="12">
        <v>1</v>
      </c>
      <c r="D112" s="8">
        <v>1.19</v>
      </c>
      <c r="E112" s="12">
        <v>1</v>
      </c>
      <c r="F112" s="8">
        <v>2.38</v>
      </c>
      <c r="G112" s="12">
        <v>0</v>
      </c>
      <c r="H112" s="8">
        <v>0</v>
      </c>
      <c r="I112" s="12">
        <v>0</v>
      </c>
    </row>
    <row r="113" spans="2:9" ht="15" customHeight="1" x14ac:dyDescent="0.2">
      <c r="B113" t="s">
        <v>302</v>
      </c>
      <c r="C113" s="12">
        <v>1</v>
      </c>
      <c r="D113" s="8">
        <v>1.19</v>
      </c>
      <c r="E113" s="12">
        <v>0</v>
      </c>
      <c r="F113" s="8">
        <v>0</v>
      </c>
      <c r="G113" s="12">
        <v>1</v>
      </c>
      <c r="H113" s="8">
        <v>3.03</v>
      </c>
      <c r="I113" s="12">
        <v>0</v>
      </c>
    </row>
    <row r="114" spans="2:9" ht="15" customHeight="1" x14ac:dyDescent="0.2">
      <c r="B114" t="s">
        <v>323</v>
      </c>
      <c r="C114" s="12">
        <v>1</v>
      </c>
      <c r="D114" s="8">
        <v>1.19</v>
      </c>
      <c r="E114" s="12">
        <v>1</v>
      </c>
      <c r="F114" s="8">
        <v>2.38</v>
      </c>
      <c r="G114" s="12">
        <v>0</v>
      </c>
      <c r="H114" s="8">
        <v>0</v>
      </c>
      <c r="I114" s="12">
        <v>0</v>
      </c>
    </row>
    <row r="115" spans="2:9" ht="15" customHeight="1" x14ac:dyDescent="0.2">
      <c r="B115" t="s">
        <v>352</v>
      </c>
      <c r="C115" s="12">
        <v>1</v>
      </c>
      <c r="D115" s="8">
        <v>1.19</v>
      </c>
      <c r="E115" s="12">
        <v>1</v>
      </c>
      <c r="F115" s="8">
        <v>2.38</v>
      </c>
      <c r="G115" s="12">
        <v>0</v>
      </c>
      <c r="H115" s="8">
        <v>0</v>
      </c>
      <c r="I115" s="12">
        <v>0</v>
      </c>
    </row>
    <row r="116" spans="2:9" ht="15" customHeight="1" x14ac:dyDescent="0.2">
      <c r="B116" t="s">
        <v>368</v>
      </c>
      <c r="C116" s="12">
        <v>1</v>
      </c>
      <c r="D116" s="8">
        <v>1.19</v>
      </c>
      <c r="E116" s="12">
        <v>0</v>
      </c>
      <c r="F116" s="8">
        <v>0</v>
      </c>
      <c r="G116" s="12">
        <v>0</v>
      </c>
      <c r="H116" s="8">
        <v>0</v>
      </c>
      <c r="I116" s="12">
        <v>0</v>
      </c>
    </row>
    <row r="117" spans="2:9" ht="15" customHeight="1" x14ac:dyDescent="0.2">
      <c r="B117" t="s">
        <v>340</v>
      </c>
      <c r="C117" s="12">
        <v>1</v>
      </c>
      <c r="D117" s="8">
        <v>1.19</v>
      </c>
      <c r="E117" s="12">
        <v>0</v>
      </c>
      <c r="F117" s="8">
        <v>0</v>
      </c>
      <c r="G117" s="12">
        <v>0</v>
      </c>
      <c r="H117" s="8">
        <v>0</v>
      </c>
      <c r="I117" s="12">
        <v>0</v>
      </c>
    </row>
    <row r="118" spans="2:9" ht="15" customHeight="1" x14ac:dyDescent="0.2">
      <c r="B118" t="s">
        <v>305</v>
      </c>
      <c r="C118" s="12">
        <v>1</v>
      </c>
      <c r="D118" s="8">
        <v>1.19</v>
      </c>
      <c r="E118" s="12">
        <v>1</v>
      </c>
      <c r="F118" s="8">
        <v>2.38</v>
      </c>
      <c r="G118" s="12">
        <v>0</v>
      </c>
      <c r="H118" s="8">
        <v>0</v>
      </c>
      <c r="I118" s="12">
        <v>0</v>
      </c>
    </row>
    <row r="119" spans="2:9" ht="15" customHeight="1" x14ac:dyDescent="0.2">
      <c r="B119" t="s">
        <v>312</v>
      </c>
      <c r="C119" s="12">
        <v>1</v>
      </c>
      <c r="D119" s="8">
        <v>1.19</v>
      </c>
      <c r="E119" s="12">
        <v>1</v>
      </c>
      <c r="F119" s="8">
        <v>2.38</v>
      </c>
      <c r="G119" s="12">
        <v>0</v>
      </c>
      <c r="H119" s="8">
        <v>0</v>
      </c>
      <c r="I119" s="12">
        <v>0</v>
      </c>
    </row>
    <row r="120" spans="2:9" ht="15" customHeight="1" x14ac:dyDescent="0.2">
      <c r="B120" t="s">
        <v>397</v>
      </c>
      <c r="C120" s="12">
        <v>1</v>
      </c>
      <c r="D120" s="8">
        <v>1.19</v>
      </c>
      <c r="E120" s="12">
        <v>0</v>
      </c>
      <c r="F120" s="8">
        <v>0</v>
      </c>
      <c r="G120" s="12">
        <v>1</v>
      </c>
      <c r="H120" s="8">
        <v>3.03</v>
      </c>
      <c r="I120" s="12">
        <v>0</v>
      </c>
    </row>
    <row r="122" spans="2:9" ht="15" customHeight="1" x14ac:dyDescent="0.2">
      <c r="B12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16611-150D-4F7E-B8F7-FAA1C8CD50BF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313</v>
      </c>
      <c r="D6" s="8">
        <v>10.59</v>
      </c>
      <c r="E6" s="12">
        <v>71</v>
      </c>
      <c r="F6" s="8">
        <v>5.41</v>
      </c>
      <c r="G6" s="12">
        <v>242</v>
      </c>
      <c r="H6" s="8">
        <v>14.86</v>
      </c>
      <c r="I6" s="12">
        <v>0</v>
      </c>
    </row>
    <row r="7" spans="2:9" ht="15" customHeight="1" x14ac:dyDescent="0.2">
      <c r="B7" t="s">
        <v>192</v>
      </c>
      <c r="C7" s="12">
        <v>201</v>
      </c>
      <c r="D7" s="8">
        <v>6.8</v>
      </c>
      <c r="E7" s="12">
        <v>43</v>
      </c>
      <c r="F7" s="8">
        <v>3.28</v>
      </c>
      <c r="G7" s="12">
        <v>157</v>
      </c>
      <c r="H7" s="8">
        <v>9.64</v>
      </c>
      <c r="I7" s="12">
        <v>1</v>
      </c>
    </row>
    <row r="8" spans="2:9" ht="15" customHeight="1" x14ac:dyDescent="0.2">
      <c r="B8" t="s">
        <v>193</v>
      </c>
      <c r="C8" s="12">
        <v>2</v>
      </c>
      <c r="D8" s="8">
        <v>7.0000000000000007E-2</v>
      </c>
      <c r="E8" s="12">
        <v>0</v>
      </c>
      <c r="F8" s="8">
        <v>0</v>
      </c>
      <c r="G8" s="12">
        <v>1</v>
      </c>
      <c r="H8" s="8">
        <v>0.06</v>
      </c>
      <c r="I8" s="12">
        <v>0</v>
      </c>
    </row>
    <row r="9" spans="2:9" ht="15" customHeight="1" x14ac:dyDescent="0.2">
      <c r="B9" t="s">
        <v>194</v>
      </c>
      <c r="C9" s="12">
        <v>19</v>
      </c>
      <c r="D9" s="8">
        <v>0.64</v>
      </c>
      <c r="E9" s="12">
        <v>1</v>
      </c>
      <c r="F9" s="8">
        <v>0.08</v>
      </c>
      <c r="G9" s="12">
        <v>18</v>
      </c>
      <c r="H9" s="8">
        <v>1.1100000000000001</v>
      </c>
      <c r="I9" s="12">
        <v>0</v>
      </c>
    </row>
    <row r="10" spans="2:9" ht="15" customHeight="1" x14ac:dyDescent="0.2">
      <c r="B10" t="s">
        <v>195</v>
      </c>
      <c r="C10" s="12">
        <v>61</v>
      </c>
      <c r="D10" s="8">
        <v>2.06</v>
      </c>
      <c r="E10" s="12">
        <v>29</v>
      </c>
      <c r="F10" s="8">
        <v>2.21</v>
      </c>
      <c r="G10" s="12">
        <v>32</v>
      </c>
      <c r="H10" s="8">
        <v>1.97</v>
      </c>
      <c r="I10" s="12">
        <v>0</v>
      </c>
    </row>
    <row r="11" spans="2:9" ht="15" customHeight="1" x14ac:dyDescent="0.2">
      <c r="B11" t="s">
        <v>196</v>
      </c>
      <c r="C11" s="12">
        <v>907</v>
      </c>
      <c r="D11" s="8">
        <v>30.68</v>
      </c>
      <c r="E11" s="12">
        <v>261</v>
      </c>
      <c r="F11" s="8">
        <v>19.89</v>
      </c>
      <c r="G11" s="12">
        <v>645</v>
      </c>
      <c r="H11" s="8">
        <v>39.619999999999997</v>
      </c>
      <c r="I11" s="12">
        <v>1</v>
      </c>
    </row>
    <row r="12" spans="2:9" ht="15" customHeight="1" x14ac:dyDescent="0.2">
      <c r="B12" t="s">
        <v>197</v>
      </c>
      <c r="C12" s="12">
        <v>28</v>
      </c>
      <c r="D12" s="8">
        <v>0.95</v>
      </c>
      <c r="E12" s="12">
        <v>1</v>
      </c>
      <c r="F12" s="8">
        <v>0.08</v>
      </c>
      <c r="G12" s="12">
        <v>27</v>
      </c>
      <c r="H12" s="8">
        <v>1.66</v>
      </c>
      <c r="I12" s="12">
        <v>0</v>
      </c>
    </row>
    <row r="13" spans="2:9" ht="15" customHeight="1" x14ac:dyDescent="0.2">
      <c r="B13" t="s">
        <v>198</v>
      </c>
      <c r="C13" s="12">
        <v>147</v>
      </c>
      <c r="D13" s="8">
        <v>4.97</v>
      </c>
      <c r="E13" s="12">
        <v>25</v>
      </c>
      <c r="F13" s="8">
        <v>1.91</v>
      </c>
      <c r="G13" s="12">
        <v>122</v>
      </c>
      <c r="H13" s="8">
        <v>7.49</v>
      </c>
      <c r="I13" s="12">
        <v>0</v>
      </c>
    </row>
    <row r="14" spans="2:9" ht="15" customHeight="1" x14ac:dyDescent="0.2">
      <c r="B14" t="s">
        <v>199</v>
      </c>
      <c r="C14" s="12">
        <v>88</v>
      </c>
      <c r="D14" s="8">
        <v>2.98</v>
      </c>
      <c r="E14" s="12">
        <v>44</v>
      </c>
      <c r="F14" s="8">
        <v>3.35</v>
      </c>
      <c r="G14" s="12">
        <v>43</v>
      </c>
      <c r="H14" s="8">
        <v>2.64</v>
      </c>
      <c r="I14" s="12">
        <v>0</v>
      </c>
    </row>
    <row r="15" spans="2:9" ht="15" customHeight="1" x14ac:dyDescent="0.2">
      <c r="B15" t="s">
        <v>200</v>
      </c>
      <c r="C15" s="12">
        <v>506</v>
      </c>
      <c r="D15" s="8">
        <v>17.12</v>
      </c>
      <c r="E15" s="12">
        <v>380</v>
      </c>
      <c r="F15" s="8">
        <v>28.96</v>
      </c>
      <c r="G15" s="12">
        <v>126</v>
      </c>
      <c r="H15" s="8">
        <v>7.74</v>
      </c>
      <c r="I15" s="12">
        <v>0</v>
      </c>
    </row>
    <row r="16" spans="2:9" ht="15" customHeight="1" x14ac:dyDescent="0.2">
      <c r="B16" t="s">
        <v>201</v>
      </c>
      <c r="C16" s="12">
        <v>360</v>
      </c>
      <c r="D16" s="8">
        <v>12.18</v>
      </c>
      <c r="E16" s="12">
        <v>283</v>
      </c>
      <c r="F16" s="8">
        <v>21.57</v>
      </c>
      <c r="G16" s="12">
        <v>76</v>
      </c>
      <c r="H16" s="8">
        <v>4.67</v>
      </c>
      <c r="I16" s="12">
        <v>0</v>
      </c>
    </row>
    <row r="17" spans="2:9" ht="15" customHeight="1" x14ac:dyDescent="0.2">
      <c r="B17" t="s">
        <v>202</v>
      </c>
      <c r="C17" s="12">
        <v>70</v>
      </c>
      <c r="D17" s="8">
        <v>2.37</v>
      </c>
      <c r="E17" s="12">
        <v>47</v>
      </c>
      <c r="F17" s="8">
        <v>3.58</v>
      </c>
      <c r="G17" s="12">
        <v>18</v>
      </c>
      <c r="H17" s="8">
        <v>1.1100000000000001</v>
      </c>
      <c r="I17" s="12">
        <v>2</v>
      </c>
    </row>
    <row r="18" spans="2:9" ht="15" customHeight="1" x14ac:dyDescent="0.2">
      <c r="B18" t="s">
        <v>203</v>
      </c>
      <c r="C18" s="12">
        <v>170</v>
      </c>
      <c r="D18" s="8">
        <v>5.75</v>
      </c>
      <c r="E18" s="12">
        <v>105</v>
      </c>
      <c r="F18" s="8">
        <v>8</v>
      </c>
      <c r="G18" s="12">
        <v>63</v>
      </c>
      <c r="H18" s="8">
        <v>3.87</v>
      </c>
      <c r="I18" s="12">
        <v>0</v>
      </c>
    </row>
    <row r="19" spans="2:9" ht="15" customHeight="1" x14ac:dyDescent="0.2">
      <c r="B19" t="s">
        <v>204</v>
      </c>
      <c r="C19" s="12">
        <v>84</v>
      </c>
      <c r="D19" s="8">
        <v>2.84</v>
      </c>
      <c r="E19" s="12">
        <v>22</v>
      </c>
      <c r="F19" s="8">
        <v>1.68</v>
      </c>
      <c r="G19" s="12">
        <v>58</v>
      </c>
      <c r="H19" s="8">
        <v>3.56</v>
      </c>
      <c r="I19" s="12">
        <v>2</v>
      </c>
    </row>
    <row r="20" spans="2:9" ht="15" customHeight="1" x14ac:dyDescent="0.2">
      <c r="B20" s="9" t="s">
        <v>529</v>
      </c>
      <c r="C20" s="12">
        <f>SUM(LTBL_01203[総数／事業所数])</f>
        <v>2956</v>
      </c>
      <c r="E20" s="12">
        <f>SUBTOTAL(109,LTBL_01203[個人／事業所数])</f>
        <v>1312</v>
      </c>
      <c r="G20" s="12">
        <f>SUBTOTAL(109,LTBL_01203[法人／事業所数])</f>
        <v>1628</v>
      </c>
      <c r="I20" s="12">
        <f>SUBTOTAL(109,LTBL_01203[法人以外の団体／事業所数])</f>
        <v>6</v>
      </c>
    </row>
    <row r="21" spans="2:9" ht="15" customHeight="1" x14ac:dyDescent="0.2">
      <c r="E21" s="11">
        <f>LTBL_01203[[#Totals],[個人／事業所数]]/LTBL_01203[[#Totals],[総数／事業所数]]</f>
        <v>0.44384303112313939</v>
      </c>
      <c r="G21" s="11">
        <f>LTBL_01203[[#Totals],[法人／事業所数]]/LTBL_01203[[#Totals],[総数／事業所数]]</f>
        <v>0.55074424898511498</v>
      </c>
      <c r="I21" s="11">
        <f>LTBL_01203[[#Totals],[法人以外の団体／事業所数]]/LTBL_01203[[#Totals],[総数／事業所数]]</f>
        <v>2.0297699594046007E-3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454</v>
      </c>
      <c r="D24" s="8">
        <v>15.36</v>
      </c>
      <c r="E24" s="12">
        <v>365</v>
      </c>
      <c r="F24" s="8">
        <v>27.82</v>
      </c>
      <c r="G24" s="12">
        <v>89</v>
      </c>
      <c r="H24" s="8">
        <v>5.47</v>
      </c>
      <c r="I24" s="12">
        <v>0</v>
      </c>
    </row>
    <row r="25" spans="2:9" ht="15" customHeight="1" x14ac:dyDescent="0.2">
      <c r="B25" t="s">
        <v>228</v>
      </c>
      <c r="C25" s="12">
        <v>315</v>
      </c>
      <c r="D25" s="8">
        <v>10.66</v>
      </c>
      <c r="E25" s="12">
        <v>267</v>
      </c>
      <c r="F25" s="8">
        <v>20.350000000000001</v>
      </c>
      <c r="G25" s="12">
        <v>48</v>
      </c>
      <c r="H25" s="8">
        <v>2.95</v>
      </c>
      <c r="I25" s="12">
        <v>0</v>
      </c>
    </row>
    <row r="26" spans="2:9" ht="15" customHeight="1" x14ac:dyDescent="0.2">
      <c r="B26" t="s">
        <v>223</v>
      </c>
      <c r="C26" s="12">
        <v>283</v>
      </c>
      <c r="D26" s="8">
        <v>9.57</v>
      </c>
      <c r="E26" s="12">
        <v>89</v>
      </c>
      <c r="F26" s="8">
        <v>6.78</v>
      </c>
      <c r="G26" s="12">
        <v>194</v>
      </c>
      <c r="H26" s="8">
        <v>11.92</v>
      </c>
      <c r="I26" s="12">
        <v>0</v>
      </c>
    </row>
    <row r="27" spans="2:9" ht="15" customHeight="1" x14ac:dyDescent="0.2">
      <c r="B27" t="s">
        <v>221</v>
      </c>
      <c r="C27" s="12">
        <v>211</v>
      </c>
      <c r="D27" s="8">
        <v>7.14</v>
      </c>
      <c r="E27" s="12">
        <v>87</v>
      </c>
      <c r="F27" s="8">
        <v>6.63</v>
      </c>
      <c r="G27" s="12">
        <v>123</v>
      </c>
      <c r="H27" s="8">
        <v>7.56</v>
      </c>
      <c r="I27" s="12">
        <v>1</v>
      </c>
    </row>
    <row r="28" spans="2:9" ht="15" customHeight="1" x14ac:dyDescent="0.2">
      <c r="B28" t="s">
        <v>213</v>
      </c>
      <c r="C28" s="12">
        <v>130</v>
      </c>
      <c r="D28" s="8">
        <v>4.4000000000000004</v>
      </c>
      <c r="E28" s="12">
        <v>23</v>
      </c>
      <c r="F28" s="8">
        <v>1.75</v>
      </c>
      <c r="G28" s="12">
        <v>107</v>
      </c>
      <c r="H28" s="8">
        <v>6.57</v>
      </c>
      <c r="I28" s="12">
        <v>0</v>
      </c>
    </row>
    <row r="29" spans="2:9" ht="15" customHeight="1" x14ac:dyDescent="0.2">
      <c r="B29" t="s">
        <v>224</v>
      </c>
      <c r="C29" s="12">
        <v>124</v>
      </c>
      <c r="D29" s="8">
        <v>4.1900000000000004</v>
      </c>
      <c r="E29" s="12">
        <v>23</v>
      </c>
      <c r="F29" s="8">
        <v>1.75</v>
      </c>
      <c r="G29" s="12">
        <v>101</v>
      </c>
      <c r="H29" s="8">
        <v>6.2</v>
      </c>
      <c r="I29" s="12">
        <v>0</v>
      </c>
    </row>
    <row r="30" spans="2:9" ht="15" customHeight="1" x14ac:dyDescent="0.2">
      <c r="B30" t="s">
        <v>231</v>
      </c>
      <c r="C30" s="12">
        <v>120</v>
      </c>
      <c r="D30" s="8">
        <v>4.0599999999999996</v>
      </c>
      <c r="E30" s="12">
        <v>105</v>
      </c>
      <c r="F30" s="8">
        <v>8</v>
      </c>
      <c r="G30" s="12">
        <v>15</v>
      </c>
      <c r="H30" s="8">
        <v>0.92</v>
      </c>
      <c r="I30" s="12">
        <v>0</v>
      </c>
    </row>
    <row r="31" spans="2:9" ht="15" customHeight="1" x14ac:dyDescent="0.2">
      <c r="B31" t="s">
        <v>214</v>
      </c>
      <c r="C31" s="12">
        <v>115</v>
      </c>
      <c r="D31" s="8">
        <v>3.89</v>
      </c>
      <c r="E31" s="12">
        <v>40</v>
      </c>
      <c r="F31" s="8">
        <v>3.05</v>
      </c>
      <c r="G31" s="12">
        <v>75</v>
      </c>
      <c r="H31" s="8">
        <v>4.6100000000000003</v>
      </c>
      <c r="I31" s="12">
        <v>0</v>
      </c>
    </row>
    <row r="32" spans="2:9" ht="15" customHeight="1" x14ac:dyDescent="0.2">
      <c r="B32" t="s">
        <v>220</v>
      </c>
      <c r="C32" s="12">
        <v>101</v>
      </c>
      <c r="D32" s="8">
        <v>3.42</v>
      </c>
      <c r="E32" s="12">
        <v>35</v>
      </c>
      <c r="F32" s="8">
        <v>2.67</v>
      </c>
      <c r="G32" s="12">
        <v>66</v>
      </c>
      <c r="H32" s="8">
        <v>4.05</v>
      </c>
      <c r="I32" s="12">
        <v>0</v>
      </c>
    </row>
    <row r="33" spans="2:9" ht="15" customHeight="1" x14ac:dyDescent="0.2">
      <c r="B33" t="s">
        <v>222</v>
      </c>
      <c r="C33" s="12">
        <v>83</v>
      </c>
      <c r="D33" s="8">
        <v>2.81</v>
      </c>
      <c r="E33" s="12">
        <v>29</v>
      </c>
      <c r="F33" s="8">
        <v>2.21</v>
      </c>
      <c r="G33" s="12">
        <v>54</v>
      </c>
      <c r="H33" s="8">
        <v>3.32</v>
      </c>
      <c r="I33" s="12">
        <v>0</v>
      </c>
    </row>
    <row r="34" spans="2:9" ht="15" customHeight="1" x14ac:dyDescent="0.2">
      <c r="B34" t="s">
        <v>230</v>
      </c>
      <c r="C34" s="12">
        <v>70</v>
      </c>
      <c r="D34" s="8">
        <v>2.37</v>
      </c>
      <c r="E34" s="12">
        <v>47</v>
      </c>
      <c r="F34" s="8">
        <v>3.58</v>
      </c>
      <c r="G34" s="12">
        <v>18</v>
      </c>
      <c r="H34" s="8">
        <v>1.1100000000000001</v>
      </c>
      <c r="I34" s="12">
        <v>2</v>
      </c>
    </row>
    <row r="35" spans="2:9" ht="15" customHeight="1" x14ac:dyDescent="0.2">
      <c r="B35" t="s">
        <v>215</v>
      </c>
      <c r="C35" s="12">
        <v>68</v>
      </c>
      <c r="D35" s="8">
        <v>2.2999999999999998</v>
      </c>
      <c r="E35" s="12">
        <v>8</v>
      </c>
      <c r="F35" s="8">
        <v>0.61</v>
      </c>
      <c r="G35" s="12">
        <v>60</v>
      </c>
      <c r="H35" s="8">
        <v>3.69</v>
      </c>
      <c r="I35" s="12">
        <v>0</v>
      </c>
    </row>
    <row r="36" spans="2:9" ht="15" customHeight="1" x14ac:dyDescent="0.2">
      <c r="B36" t="s">
        <v>216</v>
      </c>
      <c r="C36" s="12">
        <v>59</v>
      </c>
      <c r="D36" s="8">
        <v>2</v>
      </c>
      <c r="E36" s="12">
        <v>9</v>
      </c>
      <c r="F36" s="8">
        <v>0.69</v>
      </c>
      <c r="G36" s="12">
        <v>50</v>
      </c>
      <c r="H36" s="8">
        <v>3.07</v>
      </c>
      <c r="I36" s="12">
        <v>0</v>
      </c>
    </row>
    <row r="37" spans="2:9" ht="15" customHeight="1" x14ac:dyDescent="0.2">
      <c r="B37" t="s">
        <v>217</v>
      </c>
      <c r="C37" s="12">
        <v>57</v>
      </c>
      <c r="D37" s="8">
        <v>1.93</v>
      </c>
      <c r="E37" s="12">
        <v>5</v>
      </c>
      <c r="F37" s="8">
        <v>0.38</v>
      </c>
      <c r="G37" s="12">
        <v>52</v>
      </c>
      <c r="H37" s="8">
        <v>3.19</v>
      </c>
      <c r="I37" s="12">
        <v>0</v>
      </c>
    </row>
    <row r="38" spans="2:9" ht="15" customHeight="1" x14ac:dyDescent="0.2">
      <c r="B38" t="s">
        <v>232</v>
      </c>
      <c r="C38" s="12">
        <v>50</v>
      </c>
      <c r="D38" s="8">
        <v>1.69</v>
      </c>
      <c r="E38" s="12">
        <v>0</v>
      </c>
      <c r="F38" s="8">
        <v>0</v>
      </c>
      <c r="G38" s="12">
        <v>48</v>
      </c>
      <c r="H38" s="8">
        <v>2.95</v>
      </c>
      <c r="I38" s="12">
        <v>0</v>
      </c>
    </row>
    <row r="39" spans="2:9" ht="15" customHeight="1" x14ac:dyDescent="0.2">
      <c r="B39" t="s">
        <v>225</v>
      </c>
      <c r="C39" s="12">
        <v>47</v>
      </c>
      <c r="D39" s="8">
        <v>1.59</v>
      </c>
      <c r="E39" s="12">
        <v>33</v>
      </c>
      <c r="F39" s="8">
        <v>2.52</v>
      </c>
      <c r="G39" s="12">
        <v>14</v>
      </c>
      <c r="H39" s="8">
        <v>0.86</v>
      </c>
      <c r="I39" s="12">
        <v>0</v>
      </c>
    </row>
    <row r="40" spans="2:9" ht="15" customHeight="1" x14ac:dyDescent="0.2">
      <c r="B40" t="s">
        <v>219</v>
      </c>
      <c r="C40" s="12">
        <v>44</v>
      </c>
      <c r="D40" s="8">
        <v>1.49</v>
      </c>
      <c r="E40" s="12">
        <v>3</v>
      </c>
      <c r="F40" s="8">
        <v>0.23</v>
      </c>
      <c r="G40" s="12">
        <v>41</v>
      </c>
      <c r="H40" s="8">
        <v>2.52</v>
      </c>
      <c r="I40" s="12">
        <v>0</v>
      </c>
    </row>
    <row r="41" spans="2:9" ht="15" customHeight="1" x14ac:dyDescent="0.2">
      <c r="B41" t="s">
        <v>241</v>
      </c>
      <c r="C41" s="12">
        <v>41</v>
      </c>
      <c r="D41" s="8">
        <v>1.39</v>
      </c>
      <c r="E41" s="12">
        <v>8</v>
      </c>
      <c r="F41" s="8">
        <v>0.61</v>
      </c>
      <c r="G41" s="12">
        <v>32</v>
      </c>
      <c r="H41" s="8">
        <v>1.97</v>
      </c>
      <c r="I41" s="12">
        <v>1</v>
      </c>
    </row>
    <row r="42" spans="2:9" ht="15" customHeight="1" x14ac:dyDescent="0.2">
      <c r="B42" t="s">
        <v>226</v>
      </c>
      <c r="C42" s="12">
        <v>36</v>
      </c>
      <c r="D42" s="8">
        <v>1.22</v>
      </c>
      <c r="E42" s="12">
        <v>11</v>
      </c>
      <c r="F42" s="8">
        <v>0.84</v>
      </c>
      <c r="G42" s="12">
        <v>25</v>
      </c>
      <c r="H42" s="8">
        <v>1.54</v>
      </c>
      <c r="I42" s="12">
        <v>0</v>
      </c>
    </row>
    <row r="43" spans="2:9" ht="15" customHeight="1" x14ac:dyDescent="0.2">
      <c r="B43" t="s">
        <v>218</v>
      </c>
      <c r="C43" s="12">
        <v>34</v>
      </c>
      <c r="D43" s="8">
        <v>1.1499999999999999</v>
      </c>
      <c r="E43" s="12">
        <v>2</v>
      </c>
      <c r="F43" s="8">
        <v>0.15</v>
      </c>
      <c r="G43" s="12">
        <v>32</v>
      </c>
      <c r="H43" s="8">
        <v>1.97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171</v>
      </c>
      <c r="D47" s="8">
        <v>5.78</v>
      </c>
      <c r="E47" s="12">
        <v>158</v>
      </c>
      <c r="F47" s="8">
        <v>12.04</v>
      </c>
      <c r="G47" s="12">
        <v>13</v>
      </c>
      <c r="H47" s="8">
        <v>0.8</v>
      </c>
      <c r="I47" s="12">
        <v>0</v>
      </c>
    </row>
    <row r="48" spans="2:9" ht="15" customHeight="1" x14ac:dyDescent="0.2">
      <c r="B48" t="s">
        <v>301</v>
      </c>
      <c r="C48" s="12">
        <v>123</v>
      </c>
      <c r="D48" s="8">
        <v>4.16</v>
      </c>
      <c r="E48" s="12">
        <v>114</v>
      </c>
      <c r="F48" s="8">
        <v>8.69</v>
      </c>
      <c r="G48" s="12">
        <v>9</v>
      </c>
      <c r="H48" s="8">
        <v>0.55000000000000004</v>
      </c>
      <c r="I48" s="12">
        <v>0</v>
      </c>
    </row>
    <row r="49" spans="2:9" ht="15" customHeight="1" x14ac:dyDescent="0.2">
      <c r="B49" t="s">
        <v>303</v>
      </c>
      <c r="C49" s="12">
        <v>98</v>
      </c>
      <c r="D49" s="8">
        <v>3.32</v>
      </c>
      <c r="E49" s="12">
        <v>90</v>
      </c>
      <c r="F49" s="8">
        <v>6.86</v>
      </c>
      <c r="G49" s="12">
        <v>8</v>
      </c>
      <c r="H49" s="8">
        <v>0.49</v>
      </c>
      <c r="I49" s="12">
        <v>0</v>
      </c>
    </row>
    <row r="50" spans="2:9" ht="15" customHeight="1" x14ac:dyDescent="0.2">
      <c r="B50" t="s">
        <v>299</v>
      </c>
      <c r="C50" s="12">
        <v>96</v>
      </c>
      <c r="D50" s="8">
        <v>3.25</v>
      </c>
      <c r="E50" s="12">
        <v>68</v>
      </c>
      <c r="F50" s="8">
        <v>5.18</v>
      </c>
      <c r="G50" s="12">
        <v>28</v>
      </c>
      <c r="H50" s="8">
        <v>1.72</v>
      </c>
      <c r="I50" s="12">
        <v>0</v>
      </c>
    </row>
    <row r="51" spans="2:9" ht="15" customHeight="1" x14ac:dyDescent="0.2">
      <c r="B51" t="s">
        <v>300</v>
      </c>
      <c r="C51" s="12">
        <v>89</v>
      </c>
      <c r="D51" s="8">
        <v>3.01</v>
      </c>
      <c r="E51" s="12">
        <v>79</v>
      </c>
      <c r="F51" s="8">
        <v>6.02</v>
      </c>
      <c r="G51" s="12">
        <v>10</v>
      </c>
      <c r="H51" s="8">
        <v>0.61</v>
      </c>
      <c r="I51" s="12">
        <v>0</v>
      </c>
    </row>
    <row r="52" spans="2:9" ht="15" customHeight="1" x14ac:dyDescent="0.2">
      <c r="B52" t="s">
        <v>292</v>
      </c>
      <c r="C52" s="12">
        <v>81</v>
      </c>
      <c r="D52" s="8">
        <v>2.74</v>
      </c>
      <c r="E52" s="12">
        <v>37</v>
      </c>
      <c r="F52" s="8">
        <v>2.82</v>
      </c>
      <c r="G52" s="12">
        <v>43</v>
      </c>
      <c r="H52" s="8">
        <v>2.64</v>
      </c>
      <c r="I52" s="12">
        <v>1</v>
      </c>
    </row>
    <row r="53" spans="2:9" ht="15" customHeight="1" x14ac:dyDescent="0.2">
      <c r="B53" t="s">
        <v>306</v>
      </c>
      <c r="C53" s="12">
        <v>80</v>
      </c>
      <c r="D53" s="8">
        <v>2.71</v>
      </c>
      <c r="E53" s="12">
        <v>71</v>
      </c>
      <c r="F53" s="8">
        <v>5.41</v>
      </c>
      <c r="G53" s="12">
        <v>9</v>
      </c>
      <c r="H53" s="8">
        <v>0.55000000000000004</v>
      </c>
      <c r="I53" s="12">
        <v>0</v>
      </c>
    </row>
    <row r="54" spans="2:9" ht="15" customHeight="1" x14ac:dyDescent="0.2">
      <c r="B54" t="s">
        <v>295</v>
      </c>
      <c r="C54" s="12">
        <v>79</v>
      </c>
      <c r="D54" s="8">
        <v>2.67</v>
      </c>
      <c r="E54" s="12">
        <v>33</v>
      </c>
      <c r="F54" s="8">
        <v>2.52</v>
      </c>
      <c r="G54" s="12">
        <v>46</v>
      </c>
      <c r="H54" s="8">
        <v>2.83</v>
      </c>
      <c r="I54" s="12">
        <v>0</v>
      </c>
    </row>
    <row r="55" spans="2:9" ht="15" customHeight="1" x14ac:dyDescent="0.2">
      <c r="B55" t="s">
        <v>297</v>
      </c>
      <c r="C55" s="12">
        <v>68</v>
      </c>
      <c r="D55" s="8">
        <v>2.2999999999999998</v>
      </c>
      <c r="E55" s="12">
        <v>19</v>
      </c>
      <c r="F55" s="8">
        <v>1.45</v>
      </c>
      <c r="G55" s="12">
        <v>49</v>
      </c>
      <c r="H55" s="8">
        <v>3.01</v>
      </c>
      <c r="I55" s="12">
        <v>0</v>
      </c>
    </row>
    <row r="56" spans="2:9" ht="15" customHeight="1" x14ac:dyDescent="0.2">
      <c r="B56" t="s">
        <v>302</v>
      </c>
      <c r="C56" s="12">
        <v>62</v>
      </c>
      <c r="D56" s="8">
        <v>2.1</v>
      </c>
      <c r="E56" s="12">
        <v>47</v>
      </c>
      <c r="F56" s="8">
        <v>3.58</v>
      </c>
      <c r="G56" s="12">
        <v>15</v>
      </c>
      <c r="H56" s="8">
        <v>0.92</v>
      </c>
      <c r="I56" s="12">
        <v>0</v>
      </c>
    </row>
    <row r="57" spans="2:9" ht="15" customHeight="1" x14ac:dyDescent="0.2">
      <c r="B57" t="s">
        <v>294</v>
      </c>
      <c r="C57" s="12">
        <v>57</v>
      </c>
      <c r="D57" s="8">
        <v>1.93</v>
      </c>
      <c r="E57" s="12">
        <v>14</v>
      </c>
      <c r="F57" s="8">
        <v>1.07</v>
      </c>
      <c r="G57" s="12">
        <v>43</v>
      </c>
      <c r="H57" s="8">
        <v>2.64</v>
      </c>
      <c r="I57" s="12">
        <v>0</v>
      </c>
    </row>
    <row r="58" spans="2:9" ht="15" customHeight="1" x14ac:dyDescent="0.2">
      <c r="B58" t="s">
        <v>330</v>
      </c>
      <c r="C58" s="12">
        <v>53</v>
      </c>
      <c r="D58" s="8">
        <v>1.79</v>
      </c>
      <c r="E58" s="12">
        <v>13</v>
      </c>
      <c r="F58" s="8">
        <v>0.99</v>
      </c>
      <c r="G58" s="12">
        <v>40</v>
      </c>
      <c r="H58" s="8">
        <v>2.46</v>
      </c>
      <c r="I58" s="12">
        <v>0</v>
      </c>
    </row>
    <row r="59" spans="2:9" ht="15" customHeight="1" x14ac:dyDescent="0.2">
      <c r="B59" t="s">
        <v>314</v>
      </c>
      <c r="C59" s="12">
        <v>48</v>
      </c>
      <c r="D59" s="8">
        <v>1.62</v>
      </c>
      <c r="E59" s="12">
        <v>17</v>
      </c>
      <c r="F59" s="8">
        <v>1.3</v>
      </c>
      <c r="G59" s="12">
        <v>31</v>
      </c>
      <c r="H59" s="8">
        <v>1.9</v>
      </c>
      <c r="I59" s="12">
        <v>0</v>
      </c>
    </row>
    <row r="60" spans="2:9" ht="15" customHeight="1" x14ac:dyDescent="0.2">
      <c r="B60" t="s">
        <v>329</v>
      </c>
      <c r="C60" s="12">
        <v>48</v>
      </c>
      <c r="D60" s="8">
        <v>1.62</v>
      </c>
      <c r="E60" s="12">
        <v>19</v>
      </c>
      <c r="F60" s="8">
        <v>1.45</v>
      </c>
      <c r="G60" s="12">
        <v>29</v>
      </c>
      <c r="H60" s="8">
        <v>1.78</v>
      </c>
      <c r="I60" s="12">
        <v>0</v>
      </c>
    </row>
    <row r="61" spans="2:9" ht="15" customHeight="1" x14ac:dyDescent="0.2">
      <c r="B61" t="s">
        <v>293</v>
      </c>
      <c r="C61" s="12">
        <v>48</v>
      </c>
      <c r="D61" s="8">
        <v>1.62</v>
      </c>
      <c r="E61" s="12">
        <v>10</v>
      </c>
      <c r="F61" s="8">
        <v>0.76</v>
      </c>
      <c r="G61" s="12">
        <v>38</v>
      </c>
      <c r="H61" s="8">
        <v>2.33</v>
      </c>
      <c r="I61" s="12">
        <v>0</v>
      </c>
    </row>
    <row r="62" spans="2:9" ht="15" customHeight="1" x14ac:dyDescent="0.2">
      <c r="B62" t="s">
        <v>305</v>
      </c>
      <c r="C62" s="12">
        <v>42</v>
      </c>
      <c r="D62" s="8">
        <v>1.42</v>
      </c>
      <c r="E62" s="12">
        <v>29</v>
      </c>
      <c r="F62" s="8">
        <v>2.21</v>
      </c>
      <c r="G62" s="12">
        <v>12</v>
      </c>
      <c r="H62" s="8">
        <v>0.74</v>
      </c>
      <c r="I62" s="12">
        <v>1</v>
      </c>
    </row>
    <row r="63" spans="2:9" ht="15" customHeight="1" x14ac:dyDescent="0.2">
      <c r="B63" t="s">
        <v>296</v>
      </c>
      <c r="C63" s="12">
        <v>39</v>
      </c>
      <c r="D63" s="8">
        <v>1.32</v>
      </c>
      <c r="E63" s="12">
        <v>2</v>
      </c>
      <c r="F63" s="8">
        <v>0.15</v>
      </c>
      <c r="G63" s="12">
        <v>37</v>
      </c>
      <c r="H63" s="8">
        <v>2.27</v>
      </c>
      <c r="I63" s="12">
        <v>0</v>
      </c>
    </row>
    <row r="64" spans="2:9" ht="15" customHeight="1" x14ac:dyDescent="0.2">
      <c r="B64" t="s">
        <v>312</v>
      </c>
      <c r="C64" s="12">
        <v>37</v>
      </c>
      <c r="D64" s="8">
        <v>1.25</v>
      </c>
      <c r="E64" s="12">
        <v>34</v>
      </c>
      <c r="F64" s="8">
        <v>2.59</v>
      </c>
      <c r="G64" s="12">
        <v>3</v>
      </c>
      <c r="H64" s="8">
        <v>0.18</v>
      </c>
      <c r="I64" s="12">
        <v>0</v>
      </c>
    </row>
    <row r="65" spans="2:9" ht="15" customHeight="1" x14ac:dyDescent="0.2">
      <c r="B65" t="s">
        <v>290</v>
      </c>
      <c r="C65" s="12">
        <v>34</v>
      </c>
      <c r="D65" s="8">
        <v>1.1499999999999999</v>
      </c>
      <c r="E65" s="12">
        <v>6</v>
      </c>
      <c r="F65" s="8">
        <v>0.46</v>
      </c>
      <c r="G65" s="12">
        <v>28</v>
      </c>
      <c r="H65" s="8">
        <v>1.72</v>
      </c>
      <c r="I65" s="12">
        <v>0</v>
      </c>
    </row>
    <row r="66" spans="2:9" ht="15" customHeight="1" x14ac:dyDescent="0.2">
      <c r="B66" t="s">
        <v>288</v>
      </c>
      <c r="C66" s="12">
        <v>33</v>
      </c>
      <c r="D66" s="8">
        <v>1.1200000000000001</v>
      </c>
      <c r="E66" s="12">
        <v>3</v>
      </c>
      <c r="F66" s="8">
        <v>0.23</v>
      </c>
      <c r="G66" s="12">
        <v>30</v>
      </c>
      <c r="H66" s="8">
        <v>1.84</v>
      </c>
      <c r="I66" s="12">
        <v>0</v>
      </c>
    </row>
    <row r="67" spans="2:9" ht="15" customHeight="1" x14ac:dyDescent="0.2">
      <c r="B67" t="s">
        <v>289</v>
      </c>
      <c r="C67" s="12">
        <v>33</v>
      </c>
      <c r="D67" s="8">
        <v>1.1200000000000001</v>
      </c>
      <c r="E67" s="12">
        <v>7</v>
      </c>
      <c r="F67" s="8">
        <v>0.53</v>
      </c>
      <c r="G67" s="12">
        <v>26</v>
      </c>
      <c r="H67" s="8">
        <v>1.6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2D853-DABC-4C03-AAA3-A673AAE3F0D7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26</v>
      </c>
      <c r="D6" s="8">
        <v>12.15</v>
      </c>
      <c r="E6" s="12">
        <v>10</v>
      </c>
      <c r="F6" s="8">
        <v>8.6999999999999993</v>
      </c>
      <c r="G6" s="12">
        <v>16</v>
      </c>
      <c r="H6" s="8">
        <v>18.18</v>
      </c>
      <c r="I6" s="12">
        <v>0</v>
      </c>
    </row>
    <row r="7" spans="2:9" ht="15" customHeight="1" x14ac:dyDescent="0.2">
      <c r="B7" t="s">
        <v>192</v>
      </c>
      <c r="C7" s="12">
        <v>14</v>
      </c>
      <c r="D7" s="8">
        <v>6.54</v>
      </c>
      <c r="E7" s="12">
        <v>2</v>
      </c>
      <c r="F7" s="8">
        <v>1.74</v>
      </c>
      <c r="G7" s="12">
        <v>12</v>
      </c>
      <c r="H7" s="8">
        <v>13.64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0.93</v>
      </c>
      <c r="E9" s="12">
        <v>0</v>
      </c>
      <c r="F9" s="8">
        <v>0</v>
      </c>
      <c r="G9" s="12">
        <v>2</v>
      </c>
      <c r="H9" s="8">
        <v>2.27</v>
      </c>
      <c r="I9" s="12">
        <v>0</v>
      </c>
    </row>
    <row r="10" spans="2:9" ht="15" customHeight="1" x14ac:dyDescent="0.2">
      <c r="B10" t="s">
        <v>195</v>
      </c>
      <c r="C10" s="12">
        <v>6</v>
      </c>
      <c r="D10" s="8">
        <v>2.8</v>
      </c>
      <c r="E10" s="12">
        <v>2</v>
      </c>
      <c r="F10" s="8">
        <v>1.74</v>
      </c>
      <c r="G10" s="12">
        <v>4</v>
      </c>
      <c r="H10" s="8">
        <v>4.55</v>
      </c>
      <c r="I10" s="12">
        <v>0</v>
      </c>
    </row>
    <row r="11" spans="2:9" ht="15" customHeight="1" x14ac:dyDescent="0.2">
      <c r="B11" t="s">
        <v>196</v>
      </c>
      <c r="C11" s="12">
        <v>62</v>
      </c>
      <c r="D11" s="8">
        <v>28.97</v>
      </c>
      <c r="E11" s="12">
        <v>26</v>
      </c>
      <c r="F11" s="8">
        <v>22.61</v>
      </c>
      <c r="G11" s="12">
        <v>34</v>
      </c>
      <c r="H11" s="8">
        <v>38.64</v>
      </c>
      <c r="I11" s="12">
        <v>2</v>
      </c>
    </row>
    <row r="12" spans="2:9" ht="15" customHeight="1" x14ac:dyDescent="0.2">
      <c r="B12" t="s">
        <v>197</v>
      </c>
      <c r="C12" s="12">
        <v>1</v>
      </c>
      <c r="D12" s="8">
        <v>0.47</v>
      </c>
      <c r="E12" s="12">
        <v>0</v>
      </c>
      <c r="F12" s="8">
        <v>0</v>
      </c>
      <c r="G12" s="12">
        <v>1</v>
      </c>
      <c r="H12" s="8">
        <v>1.1399999999999999</v>
      </c>
      <c r="I12" s="12">
        <v>0</v>
      </c>
    </row>
    <row r="13" spans="2:9" ht="15" customHeight="1" x14ac:dyDescent="0.2">
      <c r="B13" t="s">
        <v>198</v>
      </c>
      <c r="C13" s="12">
        <v>11</v>
      </c>
      <c r="D13" s="8">
        <v>5.14</v>
      </c>
      <c r="E13" s="12">
        <v>6</v>
      </c>
      <c r="F13" s="8">
        <v>5.22</v>
      </c>
      <c r="G13" s="12">
        <v>5</v>
      </c>
      <c r="H13" s="8">
        <v>5.68</v>
      </c>
      <c r="I13" s="12">
        <v>0</v>
      </c>
    </row>
    <row r="14" spans="2:9" ht="15" customHeight="1" x14ac:dyDescent="0.2">
      <c r="B14" t="s">
        <v>199</v>
      </c>
      <c r="C14" s="12">
        <v>7</v>
      </c>
      <c r="D14" s="8">
        <v>3.27</v>
      </c>
      <c r="E14" s="12">
        <v>4</v>
      </c>
      <c r="F14" s="8">
        <v>3.48</v>
      </c>
      <c r="G14" s="12">
        <v>3</v>
      </c>
      <c r="H14" s="8">
        <v>3.41</v>
      </c>
      <c r="I14" s="12">
        <v>0</v>
      </c>
    </row>
    <row r="15" spans="2:9" ht="15" customHeight="1" x14ac:dyDescent="0.2">
      <c r="B15" t="s">
        <v>200</v>
      </c>
      <c r="C15" s="12">
        <v>26</v>
      </c>
      <c r="D15" s="8">
        <v>12.15</v>
      </c>
      <c r="E15" s="12">
        <v>22</v>
      </c>
      <c r="F15" s="8">
        <v>19.13</v>
      </c>
      <c r="G15" s="12">
        <v>4</v>
      </c>
      <c r="H15" s="8">
        <v>4.55</v>
      </c>
      <c r="I15" s="12">
        <v>0</v>
      </c>
    </row>
    <row r="16" spans="2:9" ht="15" customHeight="1" x14ac:dyDescent="0.2">
      <c r="B16" t="s">
        <v>201</v>
      </c>
      <c r="C16" s="12">
        <v>30</v>
      </c>
      <c r="D16" s="8">
        <v>14.02</v>
      </c>
      <c r="E16" s="12">
        <v>27</v>
      </c>
      <c r="F16" s="8">
        <v>23.48</v>
      </c>
      <c r="G16" s="12">
        <v>2</v>
      </c>
      <c r="H16" s="8">
        <v>2.27</v>
      </c>
      <c r="I16" s="12">
        <v>0</v>
      </c>
    </row>
    <row r="17" spans="2:9" ht="15" customHeight="1" x14ac:dyDescent="0.2">
      <c r="B17" t="s">
        <v>202</v>
      </c>
      <c r="C17" s="12">
        <v>12</v>
      </c>
      <c r="D17" s="8">
        <v>5.61</v>
      </c>
      <c r="E17" s="12">
        <v>7</v>
      </c>
      <c r="F17" s="8">
        <v>6.09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9</v>
      </c>
      <c r="D18" s="8">
        <v>4.21</v>
      </c>
      <c r="E18" s="12">
        <v>6</v>
      </c>
      <c r="F18" s="8">
        <v>5.22</v>
      </c>
      <c r="G18" s="12">
        <v>1</v>
      </c>
      <c r="H18" s="8">
        <v>1.1399999999999999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3.74</v>
      </c>
      <c r="E19" s="12">
        <v>3</v>
      </c>
      <c r="F19" s="8">
        <v>2.61</v>
      </c>
      <c r="G19" s="12">
        <v>4</v>
      </c>
      <c r="H19" s="8">
        <v>4.55</v>
      </c>
      <c r="I19" s="12">
        <v>1</v>
      </c>
    </row>
    <row r="20" spans="2:9" ht="15" customHeight="1" x14ac:dyDescent="0.2">
      <c r="B20" s="9" t="s">
        <v>529</v>
      </c>
      <c r="C20" s="12">
        <f>SUM(LTBL_01646[総数／事業所数])</f>
        <v>214</v>
      </c>
      <c r="E20" s="12">
        <f>SUBTOTAL(109,LTBL_01646[個人／事業所数])</f>
        <v>115</v>
      </c>
      <c r="G20" s="12">
        <f>SUBTOTAL(109,LTBL_01646[法人／事業所数])</f>
        <v>88</v>
      </c>
      <c r="I20" s="12">
        <f>SUBTOTAL(109,LTBL_01646[法人以外の団体／事業所数])</f>
        <v>3</v>
      </c>
    </row>
    <row r="21" spans="2:9" ht="15" customHeight="1" x14ac:dyDescent="0.2">
      <c r="E21" s="11">
        <f>LTBL_01646[[#Totals],[個人／事業所数]]/LTBL_01646[[#Totals],[総数／事業所数]]</f>
        <v>0.53738317757009346</v>
      </c>
      <c r="G21" s="11">
        <f>LTBL_01646[[#Totals],[法人／事業所数]]/LTBL_01646[[#Totals],[総数／事業所数]]</f>
        <v>0.41121495327102803</v>
      </c>
      <c r="I21" s="11">
        <f>LTBL_01646[[#Totals],[法人以外の団体／事業所数]]/LTBL_01646[[#Totals],[総数／事業所数]]</f>
        <v>1.4018691588785047E-2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26</v>
      </c>
      <c r="D24" s="8">
        <v>12.15</v>
      </c>
      <c r="E24" s="12">
        <v>25</v>
      </c>
      <c r="F24" s="8">
        <v>21.74</v>
      </c>
      <c r="G24" s="12">
        <v>1</v>
      </c>
      <c r="H24" s="8">
        <v>1.1399999999999999</v>
      </c>
      <c r="I24" s="12">
        <v>0</v>
      </c>
    </row>
    <row r="25" spans="2:9" ht="15" customHeight="1" x14ac:dyDescent="0.2">
      <c r="B25" t="s">
        <v>223</v>
      </c>
      <c r="C25" s="12">
        <v>24</v>
      </c>
      <c r="D25" s="8">
        <v>11.21</v>
      </c>
      <c r="E25" s="12">
        <v>8</v>
      </c>
      <c r="F25" s="8">
        <v>6.96</v>
      </c>
      <c r="G25" s="12">
        <v>16</v>
      </c>
      <c r="H25" s="8">
        <v>18.18</v>
      </c>
      <c r="I25" s="12">
        <v>0</v>
      </c>
    </row>
    <row r="26" spans="2:9" ht="15" customHeight="1" x14ac:dyDescent="0.2">
      <c r="B26" t="s">
        <v>227</v>
      </c>
      <c r="C26" s="12">
        <v>22</v>
      </c>
      <c r="D26" s="8">
        <v>10.28</v>
      </c>
      <c r="E26" s="12">
        <v>19</v>
      </c>
      <c r="F26" s="8">
        <v>16.52</v>
      </c>
      <c r="G26" s="12">
        <v>3</v>
      </c>
      <c r="H26" s="8">
        <v>3.41</v>
      </c>
      <c r="I26" s="12">
        <v>0</v>
      </c>
    </row>
    <row r="27" spans="2:9" ht="15" customHeight="1" x14ac:dyDescent="0.2">
      <c r="B27" t="s">
        <v>213</v>
      </c>
      <c r="C27" s="12">
        <v>14</v>
      </c>
      <c r="D27" s="8">
        <v>6.54</v>
      </c>
      <c r="E27" s="12">
        <v>2</v>
      </c>
      <c r="F27" s="8">
        <v>1.74</v>
      </c>
      <c r="G27" s="12">
        <v>12</v>
      </c>
      <c r="H27" s="8">
        <v>13.64</v>
      </c>
      <c r="I27" s="12">
        <v>0</v>
      </c>
    </row>
    <row r="28" spans="2:9" ht="15" customHeight="1" x14ac:dyDescent="0.2">
      <c r="B28" t="s">
        <v>221</v>
      </c>
      <c r="C28" s="12">
        <v>14</v>
      </c>
      <c r="D28" s="8">
        <v>6.54</v>
      </c>
      <c r="E28" s="12">
        <v>7</v>
      </c>
      <c r="F28" s="8">
        <v>6.09</v>
      </c>
      <c r="G28" s="12">
        <v>5</v>
      </c>
      <c r="H28" s="8">
        <v>5.68</v>
      </c>
      <c r="I28" s="12">
        <v>2</v>
      </c>
    </row>
    <row r="29" spans="2:9" ht="15" customHeight="1" x14ac:dyDescent="0.2">
      <c r="B29" t="s">
        <v>230</v>
      </c>
      <c r="C29" s="12">
        <v>12</v>
      </c>
      <c r="D29" s="8">
        <v>5.61</v>
      </c>
      <c r="E29" s="12">
        <v>7</v>
      </c>
      <c r="F29" s="8">
        <v>6.09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214</v>
      </c>
      <c r="C30" s="12">
        <v>9</v>
      </c>
      <c r="D30" s="8">
        <v>4.21</v>
      </c>
      <c r="E30" s="12">
        <v>7</v>
      </c>
      <c r="F30" s="8">
        <v>6.09</v>
      </c>
      <c r="G30" s="12">
        <v>2</v>
      </c>
      <c r="H30" s="8">
        <v>2.27</v>
      </c>
      <c r="I30" s="12">
        <v>0</v>
      </c>
    </row>
    <row r="31" spans="2:9" ht="15" customHeight="1" x14ac:dyDescent="0.2">
      <c r="B31" t="s">
        <v>224</v>
      </c>
      <c r="C31" s="12">
        <v>7</v>
      </c>
      <c r="D31" s="8">
        <v>3.27</v>
      </c>
      <c r="E31" s="12">
        <v>5</v>
      </c>
      <c r="F31" s="8">
        <v>4.3499999999999996</v>
      </c>
      <c r="G31" s="12">
        <v>2</v>
      </c>
      <c r="H31" s="8">
        <v>2.27</v>
      </c>
      <c r="I31" s="12">
        <v>0</v>
      </c>
    </row>
    <row r="32" spans="2:9" ht="15" customHeight="1" x14ac:dyDescent="0.2">
      <c r="B32" t="s">
        <v>220</v>
      </c>
      <c r="C32" s="12">
        <v>6</v>
      </c>
      <c r="D32" s="8">
        <v>2.8</v>
      </c>
      <c r="E32" s="12">
        <v>3</v>
      </c>
      <c r="F32" s="8">
        <v>2.61</v>
      </c>
      <c r="G32" s="12">
        <v>3</v>
      </c>
      <c r="H32" s="8">
        <v>3.41</v>
      </c>
      <c r="I32" s="12">
        <v>0</v>
      </c>
    </row>
    <row r="33" spans="2:9" ht="15" customHeight="1" x14ac:dyDescent="0.2">
      <c r="B33" t="s">
        <v>222</v>
      </c>
      <c r="C33" s="12">
        <v>6</v>
      </c>
      <c r="D33" s="8">
        <v>2.8</v>
      </c>
      <c r="E33" s="12">
        <v>4</v>
      </c>
      <c r="F33" s="8">
        <v>3.48</v>
      </c>
      <c r="G33" s="12">
        <v>2</v>
      </c>
      <c r="H33" s="8">
        <v>2.27</v>
      </c>
      <c r="I33" s="12">
        <v>0</v>
      </c>
    </row>
    <row r="34" spans="2:9" ht="15" customHeight="1" x14ac:dyDescent="0.2">
      <c r="B34" t="s">
        <v>231</v>
      </c>
      <c r="C34" s="12">
        <v>6</v>
      </c>
      <c r="D34" s="8">
        <v>2.8</v>
      </c>
      <c r="E34" s="12">
        <v>6</v>
      </c>
      <c r="F34" s="8">
        <v>5.22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248</v>
      </c>
      <c r="C35" s="12">
        <v>5</v>
      </c>
      <c r="D35" s="8">
        <v>2.34</v>
      </c>
      <c r="E35" s="12">
        <v>2</v>
      </c>
      <c r="F35" s="8">
        <v>1.74</v>
      </c>
      <c r="G35" s="12">
        <v>3</v>
      </c>
      <c r="H35" s="8">
        <v>3.41</v>
      </c>
      <c r="I35" s="12">
        <v>0</v>
      </c>
    </row>
    <row r="36" spans="2:9" ht="15" customHeight="1" x14ac:dyDescent="0.2">
      <c r="B36" t="s">
        <v>217</v>
      </c>
      <c r="C36" s="12">
        <v>4</v>
      </c>
      <c r="D36" s="8">
        <v>1.87</v>
      </c>
      <c r="E36" s="12">
        <v>1</v>
      </c>
      <c r="F36" s="8">
        <v>0.87</v>
      </c>
      <c r="G36" s="12">
        <v>3</v>
      </c>
      <c r="H36" s="8">
        <v>3.41</v>
      </c>
      <c r="I36" s="12">
        <v>0</v>
      </c>
    </row>
    <row r="37" spans="2:9" ht="15" customHeight="1" x14ac:dyDescent="0.2">
      <c r="B37" t="s">
        <v>225</v>
      </c>
      <c r="C37" s="12">
        <v>4</v>
      </c>
      <c r="D37" s="8">
        <v>1.87</v>
      </c>
      <c r="E37" s="12">
        <v>3</v>
      </c>
      <c r="F37" s="8">
        <v>2.61</v>
      </c>
      <c r="G37" s="12">
        <v>1</v>
      </c>
      <c r="H37" s="8">
        <v>1.1399999999999999</v>
      </c>
      <c r="I37" s="12">
        <v>0</v>
      </c>
    </row>
    <row r="38" spans="2:9" ht="15" customHeight="1" x14ac:dyDescent="0.2">
      <c r="B38" t="s">
        <v>215</v>
      </c>
      <c r="C38" s="12">
        <v>3</v>
      </c>
      <c r="D38" s="8">
        <v>1.4</v>
      </c>
      <c r="E38" s="12">
        <v>1</v>
      </c>
      <c r="F38" s="8">
        <v>0.87</v>
      </c>
      <c r="G38" s="12">
        <v>2</v>
      </c>
      <c r="H38" s="8">
        <v>2.27</v>
      </c>
      <c r="I38" s="12">
        <v>0</v>
      </c>
    </row>
    <row r="39" spans="2:9" ht="15" customHeight="1" x14ac:dyDescent="0.2">
      <c r="B39" t="s">
        <v>241</v>
      </c>
      <c r="C39" s="12">
        <v>3</v>
      </c>
      <c r="D39" s="8">
        <v>1.4</v>
      </c>
      <c r="E39" s="12">
        <v>0</v>
      </c>
      <c r="F39" s="8">
        <v>0</v>
      </c>
      <c r="G39" s="12">
        <v>3</v>
      </c>
      <c r="H39" s="8">
        <v>3.41</v>
      </c>
      <c r="I39" s="12">
        <v>0</v>
      </c>
    </row>
    <row r="40" spans="2:9" ht="15" customHeight="1" x14ac:dyDescent="0.2">
      <c r="B40" t="s">
        <v>219</v>
      </c>
      <c r="C40" s="12">
        <v>3</v>
      </c>
      <c r="D40" s="8">
        <v>1.4</v>
      </c>
      <c r="E40" s="12">
        <v>0</v>
      </c>
      <c r="F40" s="8">
        <v>0</v>
      </c>
      <c r="G40" s="12">
        <v>3</v>
      </c>
      <c r="H40" s="8">
        <v>3.41</v>
      </c>
      <c r="I40" s="12">
        <v>0</v>
      </c>
    </row>
    <row r="41" spans="2:9" ht="15" customHeight="1" x14ac:dyDescent="0.2">
      <c r="B41" t="s">
        <v>226</v>
      </c>
      <c r="C41" s="12">
        <v>3</v>
      </c>
      <c r="D41" s="8">
        <v>1.4</v>
      </c>
      <c r="E41" s="12">
        <v>1</v>
      </c>
      <c r="F41" s="8">
        <v>0.87</v>
      </c>
      <c r="G41" s="12">
        <v>2</v>
      </c>
      <c r="H41" s="8">
        <v>2.27</v>
      </c>
      <c r="I41" s="12">
        <v>0</v>
      </c>
    </row>
    <row r="42" spans="2:9" ht="15" customHeight="1" x14ac:dyDescent="0.2">
      <c r="B42" t="s">
        <v>243</v>
      </c>
      <c r="C42" s="12">
        <v>3</v>
      </c>
      <c r="D42" s="8">
        <v>1.4</v>
      </c>
      <c r="E42" s="12">
        <v>3</v>
      </c>
      <c r="F42" s="8">
        <v>2.61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232</v>
      </c>
      <c r="C43" s="12">
        <v>3</v>
      </c>
      <c r="D43" s="8">
        <v>1.4</v>
      </c>
      <c r="E43" s="12">
        <v>0</v>
      </c>
      <c r="F43" s="8">
        <v>0</v>
      </c>
      <c r="G43" s="12">
        <v>1</v>
      </c>
      <c r="H43" s="8">
        <v>1.1399999999999999</v>
      </c>
      <c r="I43" s="12">
        <v>0</v>
      </c>
    </row>
    <row r="44" spans="2:9" ht="15" customHeight="1" x14ac:dyDescent="0.2">
      <c r="B44" t="s">
        <v>234</v>
      </c>
      <c r="C44" s="12">
        <v>3</v>
      </c>
      <c r="D44" s="8">
        <v>1.4</v>
      </c>
      <c r="E44" s="12">
        <v>0</v>
      </c>
      <c r="F44" s="8">
        <v>0</v>
      </c>
      <c r="G44" s="12">
        <v>2</v>
      </c>
      <c r="H44" s="8">
        <v>2.27</v>
      </c>
      <c r="I44" s="12">
        <v>1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304</v>
      </c>
      <c r="C48" s="12">
        <v>15</v>
      </c>
      <c r="D48" s="8">
        <v>7.01</v>
      </c>
      <c r="E48" s="12">
        <v>15</v>
      </c>
      <c r="F48" s="8">
        <v>13.04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303</v>
      </c>
      <c r="C49" s="12">
        <v>10</v>
      </c>
      <c r="D49" s="8">
        <v>4.67</v>
      </c>
      <c r="E49" s="12">
        <v>10</v>
      </c>
      <c r="F49" s="8">
        <v>8.6999999999999993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330</v>
      </c>
      <c r="C50" s="12">
        <v>9</v>
      </c>
      <c r="D50" s="8">
        <v>4.21</v>
      </c>
      <c r="E50" s="12">
        <v>1</v>
      </c>
      <c r="F50" s="8">
        <v>0.87</v>
      </c>
      <c r="G50" s="12">
        <v>8</v>
      </c>
      <c r="H50" s="8">
        <v>9.09</v>
      </c>
      <c r="I50" s="12">
        <v>0</v>
      </c>
    </row>
    <row r="51" spans="2:9" ht="15" customHeight="1" x14ac:dyDescent="0.2">
      <c r="B51" t="s">
        <v>288</v>
      </c>
      <c r="C51" s="12">
        <v>7</v>
      </c>
      <c r="D51" s="8">
        <v>3.27</v>
      </c>
      <c r="E51" s="12">
        <v>1</v>
      </c>
      <c r="F51" s="8">
        <v>0.87</v>
      </c>
      <c r="G51" s="12">
        <v>6</v>
      </c>
      <c r="H51" s="8">
        <v>6.82</v>
      </c>
      <c r="I51" s="12">
        <v>0</v>
      </c>
    </row>
    <row r="52" spans="2:9" ht="15" customHeight="1" x14ac:dyDescent="0.2">
      <c r="B52" t="s">
        <v>297</v>
      </c>
      <c r="C52" s="12">
        <v>7</v>
      </c>
      <c r="D52" s="8">
        <v>3.27</v>
      </c>
      <c r="E52" s="12">
        <v>5</v>
      </c>
      <c r="F52" s="8">
        <v>4.3499999999999996</v>
      </c>
      <c r="G52" s="12">
        <v>2</v>
      </c>
      <c r="H52" s="8">
        <v>2.27</v>
      </c>
      <c r="I52" s="12">
        <v>0</v>
      </c>
    </row>
    <row r="53" spans="2:9" ht="15" customHeight="1" x14ac:dyDescent="0.2">
      <c r="B53" t="s">
        <v>299</v>
      </c>
      <c r="C53" s="12">
        <v>6</v>
      </c>
      <c r="D53" s="8">
        <v>2.8</v>
      </c>
      <c r="E53" s="12">
        <v>6</v>
      </c>
      <c r="F53" s="8">
        <v>5.22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305</v>
      </c>
      <c r="C54" s="12">
        <v>6</v>
      </c>
      <c r="D54" s="8">
        <v>2.8</v>
      </c>
      <c r="E54" s="12">
        <v>5</v>
      </c>
      <c r="F54" s="8">
        <v>4.3499999999999996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350</v>
      </c>
      <c r="C55" s="12">
        <v>5</v>
      </c>
      <c r="D55" s="8">
        <v>2.34</v>
      </c>
      <c r="E55" s="12">
        <v>2</v>
      </c>
      <c r="F55" s="8">
        <v>1.74</v>
      </c>
      <c r="G55" s="12">
        <v>3</v>
      </c>
      <c r="H55" s="8">
        <v>3.41</v>
      </c>
      <c r="I55" s="12">
        <v>0</v>
      </c>
    </row>
    <row r="56" spans="2:9" ht="15" customHeight="1" x14ac:dyDescent="0.2">
      <c r="B56" t="s">
        <v>292</v>
      </c>
      <c r="C56" s="12">
        <v>5</v>
      </c>
      <c r="D56" s="8">
        <v>2.34</v>
      </c>
      <c r="E56" s="12">
        <v>2</v>
      </c>
      <c r="F56" s="8">
        <v>1.74</v>
      </c>
      <c r="G56" s="12">
        <v>1</v>
      </c>
      <c r="H56" s="8">
        <v>1.1399999999999999</v>
      </c>
      <c r="I56" s="12">
        <v>2</v>
      </c>
    </row>
    <row r="57" spans="2:9" ht="15" customHeight="1" x14ac:dyDescent="0.2">
      <c r="B57" t="s">
        <v>306</v>
      </c>
      <c r="C57" s="12">
        <v>5</v>
      </c>
      <c r="D57" s="8">
        <v>2.34</v>
      </c>
      <c r="E57" s="12">
        <v>5</v>
      </c>
      <c r="F57" s="8">
        <v>4.3499999999999996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314</v>
      </c>
      <c r="C58" s="12">
        <v>4</v>
      </c>
      <c r="D58" s="8">
        <v>1.87</v>
      </c>
      <c r="E58" s="12">
        <v>2</v>
      </c>
      <c r="F58" s="8">
        <v>1.74</v>
      </c>
      <c r="G58" s="12">
        <v>2</v>
      </c>
      <c r="H58" s="8">
        <v>2.27</v>
      </c>
      <c r="I58" s="12">
        <v>0</v>
      </c>
    </row>
    <row r="59" spans="2:9" ht="15" customHeight="1" x14ac:dyDescent="0.2">
      <c r="B59" t="s">
        <v>329</v>
      </c>
      <c r="C59" s="12">
        <v>4</v>
      </c>
      <c r="D59" s="8">
        <v>1.87</v>
      </c>
      <c r="E59" s="12">
        <v>3</v>
      </c>
      <c r="F59" s="8">
        <v>2.61</v>
      </c>
      <c r="G59" s="12">
        <v>1</v>
      </c>
      <c r="H59" s="8">
        <v>1.1399999999999999</v>
      </c>
      <c r="I59" s="12">
        <v>0</v>
      </c>
    </row>
    <row r="60" spans="2:9" ht="15" customHeight="1" x14ac:dyDescent="0.2">
      <c r="B60" t="s">
        <v>335</v>
      </c>
      <c r="C60" s="12">
        <v>4</v>
      </c>
      <c r="D60" s="8">
        <v>1.87</v>
      </c>
      <c r="E60" s="12">
        <v>2</v>
      </c>
      <c r="F60" s="8">
        <v>1.74</v>
      </c>
      <c r="G60" s="12">
        <v>2</v>
      </c>
      <c r="H60" s="8">
        <v>2.27</v>
      </c>
      <c r="I60" s="12">
        <v>0</v>
      </c>
    </row>
    <row r="61" spans="2:9" ht="15" customHeight="1" x14ac:dyDescent="0.2">
      <c r="B61" t="s">
        <v>295</v>
      </c>
      <c r="C61" s="12">
        <v>4</v>
      </c>
      <c r="D61" s="8">
        <v>1.87</v>
      </c>
      <c r="E61" s="12">
        <v>2</v>
      </c>
      <c r="F61" s="8">
        <v>1.74</v>
      </c>
      <c r="G61" s="12">
        <v>2</v>
      </c>
      <c r="H61" s="8">
        <v>2.27</v>
      </c>
      <c r="I61" s="12">
        <v>0</v>
      </c>
    </row>
    <row r="62" spans="2:9" ht="15" customHeight="1" x14ac:dyDescent="0.2">
      <c r="B62" t="s">
        <v>334</v>
      </c>
      <c r="C62" s="12">
        <v>4</v>
      </c>
      <c r="D62" s="8">
        <v>1.87</v>
      </c>
      <c r="E62" s="12">
        <v>4</v>
      </c>
      <c r="F62" s="8">
        <v>3.48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302</v>
      </c>
      <c r="C63" s="12">
        <v>4</v>
      </c>
      <c r="D63" s="8">
        <v>1.87</v>
      </c>
      <c r="E63" s="12">
        <v>3</v>
      </c>
      <c r="F63" s="8">
        <v>2.61</v>
      </c>
      <c r="G63" s="12">
        <v>1</v>
      </c>
      <c r="H63" s="8">
        <v>1.1399999999999999</v>
      </c>
      <c r="I63" s="12">
        <v>0</v>
      </c>
    </row>
    <row r="64" spans="2:9" ht="15" customHeight="1" x14ac:dyDescent="0.2">
      <c r="B64" t="s">
        <v>340</v>
      </c>
      <c r="C64" s="12">
        <v>4</v>
      </c>
      <c r="D64" s="8">
        <v>1.87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319</v>
      </c>
      <c r="C65" s="12">
        <v>3</v>
      </c>
      <c r="D65" s="8">
        <v>1.4</v>
      </c>
      <c r="E65" s="12">
        <v>1</v>
      </c>
      <c r="F65" s="8">
        <v>0.87</v>
      </c>
      <c r="G65" s="12">
        <v>2</v>
      </c>
      <c r="H65" s="8">
        <v>2.27</v>
      </c>
      <c r="I65" s="12">
        <v>0</v>
      </c>
    </row>
    <row r="66" spans="2:9" ht="15" customHeight="1" x14ac:dyDescent="0.2">
      <c r="B66" t="s">
        <v>333</v>
      </c>
      <c r="C66" s="12">
        <v>3</v>
      </c>
      <c r="D66" s="8">
        <v>1.4</v>
      </c>
      <c r="E66" s="12">
        <v>3</v>
      </c>
      <c r="F66" s="8">
        <v>2.61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309</v>
      </c>
      <c r="C67" s="12">
        <v>3</v>
      </c>
      <c r="D67" s="8">
        <v>1.4</v>
      </c>
      <c r="E67" s="12">
        <v>0</v>
      </c>
      <c r="F67" s="8">
        <v>0</v>
      </c>
      <c r="G67" s="12">
        <v>3</v>
      </c>
      <c r="H67" s="8">
        <v>3.41</v>
      </c>
      <c r="I67" s="12">
        <v>0</v>
      </c>
    </row>
    <row r="68" spans="2:9" ht="15" customHeight="1" x14ac:dyDescent="0.2">
      <c r="B68" t="s">
        <v>337</v>
      </c>
      <c r="C68" s="12">
        <v>3</v>
      </c>
      <c r="D68" s="8">
        <v>1.4</v>
      </c>
      <c r="E68" s="12">
        <v>1</v>
      </c>
      <c r="F68" s="8">
        <v>0.87</v>
      </c>
      <c r="G68" s="12">
        <v>2</v>
      </c>
      <c r="H68" s="8">
        <v>2.27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F81A9-8B7F-4C0C-BEB5-53AE9AFAA56F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0.51</v>
      </c>
      <c r="E5" s="12">
        <v>0</v>
      </c>
      <c r="F5" s="8">
        <v>0</v>
      </c>
      <c r="G5" s="12">
        <v>1</v>
      </c>
      <c r="H5" s="8">
        <v>1.1399999999999999</v>
      </c>
      <c r="I5" s="12">
        <v>0</v>
      </c>
    </row>
    <row r="6" spans="2:9" ht="15" customHeight="1" x14ac:dyDescent="0.2">
      <c r="B6" t="s">
        <v>191</v>
      </c>
      <c r="C6" s="12">
        <v>21</v>
      </c>
      <c r="D6" s="8">
        <v>10.61</v>
      </c>
      <c r="E6" s="12">
        <v>6</v>
      </c>
      <c r="F6" s="8">
        <v>5.77</v>
      </c>
      <c r="G6" s="12">
        <v>15</v>
      </c>
      <c r="H6" s="8">
        <v>17.05</v>
      </c>
      <c r="I6" s="12">
        <v>0</v>
      </c>
    </row>
    <row r="7" spans="2:9" ht="15" customHeight="1" x14ac:dyDescent="0.2">
      <c r="B7" t="s">
        <v>192</v>
      </c>
      <c r="C7" s="12">
        <v>15</v>
      </c>
      <c r="D7" s="8">
        <v>7.58</v>
      </c>
      <c r="E7" s="12">
        <v>2</v>
      </c>
      <c r="F7" s="8">
        <v>1.92</v>
      </c>
      <c r="G7" s="12">
        <v>13</v>
      </c>
      <c r="H7" s="8">
        <v>14.77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1.52</v>
      </c>
      <c r="E8" s="12">
        <v>0</v>
      </c>
      <c r="F8" s="8">
        <v>0</v>
      </c>
      <c r="G8" s="12">
        <v>3</v>
      </c>
      <c r="H8" s="8">
        <v>3.41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49</v>
      </c>
      <c r="D11" s="8">
        <v>24.75</v>
      </c>
      <c r="E11" s="12">
        <v>16</v>
      </c>
      <c r="F11" s="8">
        <v>15.38</v>
      </c>
      <c r="G11" s="12">
        <v>33</v>
      </c>
      <c r="H11" s="8">
        <v>37.5</v>
      </c>
      <c r="I11" s="12">
        <v>0</v>
      </c>
    </row>
    <row r="12" spans="2:9" ht="15" customHeight="1" x14ac:dyDescent="0.2">
      <c r="B12" t="s">
        <v>197</v>
      </c>
      <c r="C12" s="12">
        <v>2</v>
      </c>
      <c r="D12" s="8">
        <v>1.01</v>
      </c>
      <c r="E12" s="12">
        <v>0</v>
      </c>
      <c r="F12" s="8">
        <v>0</v>
      </c>
      <c r="G12" s="12">
        <v>2</v>
      </c>
      <c r="H12" s="8">
        <v>2.27</v>
      </c>
      <c r="I12" s="12">
        <v>0</v>
      </c>
    </row>
    <row r="13" spans="2:9" ht="15" customHeight="1" x14ac:dyDescent="0.2">
      <c r="B13" t="s">
        <v>198</v>
      </c>
      <c r="C13" s="12">
        <v>18</v>
      </c>
      <c r="D13" s="8">
        <v>9.09</v>
      </c>
      <c r="E13" s="12">
        <v>11</v>
      </c>
      <c r="F13" s="8">
        <v>10.58</v>
      </c>
      <c r="G13" s="12">
        <v>7</v>
      </c>
      <c r="H13" s="8">
        <v>7.95</v>
      </c>
      <c r="I13" s="12">
        <v>0</v>
      </c>
    </row>
    <row r="14" spans="2:9" ht="15" customHeight="1" x14ac:dyDescent="0.2">
      <c r="B14" t="s">
        <v>199</v>
      </c>
      <c r="C14" s="12">
        <v>8</v>
      </c>
      <c r="D14" s="8">
        <v>4.04</v>
      </c>
      <c r="E14" s="12">
        <v>3</v>
      </c>
      <c r="F14" s="8">
        <v>2.88</v>
      </c>
      <c r="G14" s="12">
        <v>4</v>
      </c>
      <c r="H14" s="8">
        <v>4.55</v>
      </c>
      <c r="I14" s="12">
        <v>0</v>
      </c>
    </row>
    <row r="15" spans="2:9" ht="15" customHeight="1" x14ac:dyDescent="0.2">
      <c r="B15" t="s">
        <v>200</v>
      </c>
      <c r="C15" s="12">
        <v>36</v>
      </c>
      <c r="D15" s="8">
        <v>18.18</v>
      </c>
      <c r="E15" s="12">
        <v>31</v>
      </c>
      <c r="F15" s="8">
        <v>29.81</v>
      </c>
      <c r="G15" s="12">
        <v>5</v>
      </c>
      <c r="H15" s="8">
        <v>5.68</v>
      </c>
      <c r="I15" s="12">
        <v>0</v>
      </c>
    </row>
    <row r="16" spans="2:9" ht="15" customHeight="1" x14ac:dyDescent="0.2">
      <c r="B16" t="s">
        <v>201</v>
      </c>
      <c r="C16" s="12">
        <v>23</v>
      </c>
      <c r="D16" s="8">
        <v>11.62</v>
      </c>
      <c r="E16" s="12">
        <v>20</v>
      </c>
      <c r="F16" s="8">
        <v>19.23</v>
      </c>
      <c r="G16" s="12">
        <v>2</v>
      </c>
      <c r="H16" s="8">
        <v>2.27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2.5299999999999998</v>
      </c>
      <c r="E17" s="12">
        <v>4</v>
      </c>
      <c r="F17" s="8">
        <v>3.85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10</v>
      </c>
      <c r="D18" s="8">
        <v>5.05</v>
      </c>
      <c r="E18" s="12">
        <v>8</v>
      </c>
      <c r="F18" s="8">
        <v>7.69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3.54</v>
      </c>
      <c r="E19" s="12">
        <v>3</v>
      </c>
      <c r="F19" s="8">
        <v>2.88</v>
      </c>
      <c r="G19" s="12">
        <v>3</v>
      </c>
      <c r="H19" s="8">
        <v>3.41</v>
      </c>
      <c r="I19" s="12">
        <v>0</v>
      </c>
    </row>
    <row r="20" spans="2:9" ht="15" customHeight="1" x14ac:dyDescent="0.2">
      <c r="B20" s="9" t="s">
        <v>529</v>
      </c>
      <c r="C20" s="12">
        <f>SUM(LTBL_01647[総数／事業所数])</f>
        <v>198</v>
      </c>
      <c r="E20" s="12">
        <f>SUBTOTAL(109,LTBL_01647[個人／事業所数])</f>
        <v>104</v>
      </c>
      <c r="G20" s="12">
        <f>SUBTOTAL(109,LTBL_01647[法人／事業所数])</f>
        <v>88</v>
      </c>
      <c r="I20" s="12">
        <f>SUBTOTAL(109,LTBL_01647[法人以外の団体／事業所数])</f>
        <v>0</v>
      </c>
    </row>
    <row r="21" spans="2:9" ht="15" customHeight="1" x14ac:dyDescent="0.2">
      <c r="E21" s="11">
        <f>LTBL_01647[[#Totals],[個人／事業所数]]/LTBL_01647[[#Totals],[総数／事業所数]]</f>
        <v>0.5252525252525253</v>
      </c>
      <c r="G21" s="11">
        <f>LTBL_01647[[#Totals],[法人／事業所数]]/LTBL_01647[[#Totals],[総数／事業所数]]</f>
        <v>0.44444444444444442</v>
      </c>
      <c r="I21" s="11">
        <f>LTBL_01647[[#Totals],[法人以外の団体／事業所数]]/LTBL_01647[[#Totals],[総数／事業所数]]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30</v>
      </c>
      <c r="D24" s="8">
        <v>15.15</v>
      </c>
      <c r="E24" s="12">
        <v>28</v>
      </c>
      <c r="F24" s="8">
        <v>26.92</v>
      </c>
      <c r="G24" s="12">
        <v>2</v>
      </c>
      <c r="H24" s="8">
        <v>2.27</v>
      </c>
      <c r="I24" s="12">
        <v>0</v>
      </c>
    </row>
    <row r="25" spans="2:9" ht="15" customHeight="1" x14ac:dyDescent="0.2">
      <c r="B25" t="s">
        <v>228</v>
      </c>
      <c r="C25" s="12">
        <v>19</v>
      </c>
      <c r="D25" s="8">
        <v>9.6</v>
      </c>
      <c r="E25" s="12">
        <v>19</v>
      </c>
      <c r="F25" s="8">
        <v>18.27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223</v>
      </c>
      <c r="C26" s="12">
        <v>18</v>
      </c>
      <c r="D26" s="8">
        <v>9.09</v>
      </c>
      <c r="E26" s="12">
        <v>5</v>
      </c>
      <c r="F26" s="8">
        <v>4.8099999999999996</v>
      </c>
      <c r="G26" s="12">
        <v>13</v>
      </c>
      <c r="H26" s="8">
        <v>14.77</v>
      </c>
      <c r="I26" s="12">
        <v>0</v>
      </c>
    </row>
    <row r="27" spans="2:9" ht="15" customHeight="1" x14ac:dyDescent="0.2">
      <c r="B27" t="s">
        <v>224</v>
      </c>
      <c r="C27" s="12">
        <v>15</v>
      </c>
      <c r="D27" s="8">
        <v>7.58</v>
      </c>
      <c r="E27" s="12">
        <v>11</v>
      </c>
      <c r="F27" s="8">
        <v>10.58</v>
      </c>
      <c r="G27" s="12">
        <v>4</v>
      </c>
      <c r="H27" s="8">
        <v>4.55</v>
      </c>
      <c r="I27" s="12">
        <v>0</v>
      </c>
    </row>
    <row r="28" spans="2:9" ht="15" customHeight="1" x14ac:dyDescent="0.2">
      <c r="B28" t="s">
        <v>222</v>
      </c>
      <c r="C28" s="12">
        <v>10</v>
      </c>
      <c r="D28" s="8">
        <v>5.05</v>
      </c>
      <c r="E28" s="12">
        <v>4</v>
      </c>
      <c r="F28" s="8">
        <v>3.85</v>
      </c>
      <c r="G28" s="12">
        <v>6</v>
      </c>
      <c r="H28" s="8">
        <v>6.82</v>
      </c>
      <c r="I28" s="12">
        <v>0</v>
      </c>
    </row>
    <row r="29" spans="2:9" ht="15" customHeight="1" x14ac:dyDescent="0.2">
      <c r="B29" t="s">
        <v>213</v>
      </c>
      <c r="C29" s="12">
        <v>9</v>
      </c>
      <c r="D29" s="8">
        <v>4.55</v>
      </c>
      <c r="E29" s="12">
        <v>1</v>
      </c>
      <c r="F29" s="8">
        <v>0.96</v>
      </c>
      <c r="G29" s="12">
        <v>8</v>
      </c>
      <c r="H29" s="8">
        <v>9.09</v>
      </c>
      <c r="I29" s="12">
        <v>0</v>
      </c>
    </row>
    <row r="30" spans="2:9" ht="15" customHeight="1" x14ac:dyDescent="0.2">
      <c r="B30" t="s">
        <v>221</v>
      </c>
      <c r="C30" s="12">
        <v>9</v>
      </c>
      <c r="D30" s="8">
        <v>4.55</v>
      </c>
      <c r="E30" s="12">
        <v>2</v>
      </c>
      <c r="F30" s="8">
        <v>1.92</v>
      </c>
      <c r="G30" s="12">
        <v>7</v>
      </c>
      <c r="H30" s="8">
        <v>7.95</v>
      </c>
      <c r="I30" s="12">
        <v>0</v>
      </c>
    </row>
    <row r="31" spans="2:9" ht="15" customHeight="1" x14ac:dyDescent="0.2">
      <c r="B31" t="s">
        <v>231</v>
      </c>
      <c r="C31" s="12">
        <v>8</v>
      </c>
      <c r="D31" s="8">
        <v>4.04</v>
      </c>
      <c r="E31" s="12">
        <v>8</v>
      </c>
      <c r="F31" s="8">
        <v>7.69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214</v>
      </c>
      <c r="C32" s="12">
        <v>7</v>
      </c>
      <c r="D32" s="8">
        <v>3.54</v>
      </c>
      <c r="E32" s="12">
        <v>5</v>
      </c>
      <c r="F32" s="8">
        <v>4.8099999999999996</v>
      </c>
      <c r="G32" s="12">
        <v>2</v>
      </c>
      <c r="H32" s="8">
        <v>2.27</v>
      </c>
      <c r="I32" s="12">
        <v>0</v>
      </c>
    </row>
    <row r="33" spans="2:9" ht="15" customHeight="1" x14ac:dyDescent="0.2">
      <c r="B33" t="s">
        <v>220</v>
      </c>
      <c r="C33" s="12">
        <v>7</v>
      </c>
      <c r="D33" s="8">
        <v>3.54</v>
      </c>
      <c r="E33" s="12">
        <v>5</v>
      </c>
      <c r="F33" s="8">
        <v>4.8099999999999996</v>
      </c>
      <c r="G33" s="12">
        <v>2</v>
      </c>
      <c r="H33" s="8">
        <v>2.27</v>
      </c>
      <c r="I33" s="12">
        <v>0</v>
      </c>
    </row>
    <row r="34" spans="2:9" ht="15" customHeight="1" x14ac:dyDescent="0.2">
      <c r="B34" t="s">
        <v>226</v>
      </c>
      <c r="C34" s="12">
        <v>6</v>
      </c>
      <c r="D34" s="8">
        <v>3.03</v>
      </c>
      <c r="E34" s="12">
        <v>1</v>
      </c>
      <c r="F34" s="8">
        <v>0.96</v>
      </c>
      <c r="G34" s="12">
        <v>4</v>
      </c>
      <c r="H34" s="8">
        <v>4.55</v>
      </c>
      <c r="I34" s="12">
        <v>0</v>
      </c>
    </row>
    <row r="35" spans="2:9" ht="15" customHeight="1" x14ac:dyDescent="0.2">
      <c r="B35" t="s">
        <v>243</v>
      </c>
      <c r="C35" s="12">
        <v>6</v>
      </c>
      <c r="D35" s="8">
        <v>3.03</v>
      </c>
      <c r="E35" s="12">
        <v>3</v>
      </c>
      <c r="F35" s="8">
        <v>2.88</v>
      </c>
      <c r="G35" s="12">
        <v>3</v>
      </c>
      <c r="H35" s="8">
        <v>3.41</v>
      </c>
      <c r="I35" s="12">
        <v>0</v>
      </c>
    </row>
    <row r="36" spans="2:9" ht="15" customHeight="1" x14ac:dyDescent="0.2">
      <c r="B36" t="s">
        <v>215</v>
      </c>
      <c r="C36" s="12">
        <v>5</v>
      </c>
      <c r="D36" s="8">
        <v>2.5299999999999998</v>
      </c>
      <c r="E36" s="12">
        <v>0</v>
      </c>
      <c r="F36" s="8">
        <v>0</v>
      </c>
      <c r="G36" s="12">
        <v>5</v>
      </c>
      <c r="H36" s="8">
        <v>5.68</v>
      </c>
      <c r="I36" s="12">
        <v>0</v>
      </c>
    </row>
    <row r="37" spans="2:9" ht="15" customHeight="1" x14ac:dyDescent="0.2">
      <c r="B37" t="s">
        <v>230</v>
      </c>
      <c r="C37" s="12">
        <v>5</v>
      </c>
      <c r="D37" s="8">
        <v>2.5299999999999998</v>
      </c>
      <c r="E37" s="12">
        <v>4</v>
      </c>
      <c r="F37" s="8">
        <v>3.85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244</v>
      </c>
      <c r="C38" s="12">
        <v>4</v>
      </c>
      <c r="D38" s="8">
        <v>2.02</v>
      </c>
      <c r="E38" s="12">
        <v>1</v>
      </c>
      <c r="F38" s="8">
        <v>0.96</v>
      </c>
      <c r="G38" s="12">
        <v>3</v>
      </c>
      <c r="H38" s="8">
        <v>3.41</v>
      </c>
      <c r="I38" s="12">
        <v>0</v>
      </c>
    </row>
    <row r="39" spans="2:9" ht="15" customHeight="1" x14ac:dyDescent="0.2">
      <c r="B39" t="s">
        <v>241</v>
      </c>
      <c r="C39" s="12">
        <v>3</v>
      </c>
      <c r="D39" s="8">
        <v>1.52</v>
      </c>
      <c r="E39" s="12">
        <v>0</v>
      </c>
      <c r="F39" s="8">
        <v>0</v>
      </c>
      <c r="G39" s="12">
        <v>3</v>
      </c>
      <c r="H39" s="8">
        <v>3.41</v>
      </c>
      <c r="I39" s="12">
        <v>0</v>
      </c>
    </row>
    <row r="40" spans="2:9" ht="15" customHeight="1" x14ac:dyDescent="0.2">
      <c r="B40" t="s">
        <v>236</v>
      </c>
      <c r="C40" s="12">
        <v>3</v>
      </c>
      <c r="D40" s="8">
        <v>1.52</v>
      </c>
      <c r="E40" s="12">
        <v>0</v>
      </c>
      <c r="F40" s="8">
        <v>0</v>
      </c>
      <c r="G40" s="12">
        <v>3</v>
      </c>
      <c r="H40" s="8">
        <v>3.41</v>
      </c>
      <c r="I40" s="12">
        <v>0</v>
      </c>
    </row>
    <row r="41" spans="2:9" ht="15" customHeight="1" x14ac:dyDescent="0.2">
      <c r="B41" t="s">
        <v>246</v>
      </c>
      <c r="C41" s="12">
        <v>3</v>
      </c>
      <c r="D41" s="8">
        <v>1.52</v>
      </c>
      <c r="E41" s="12">
        <v>0</v>
      </c>
      <c r="F41" s="8">
        <v>0</v>
      </c>
      <c r="G41" s="12">
        <v>3</v>
      </c>
      <c r="H41" s="8">
        <v>3.41</v>
      </c>
      <c r="I41" s="12">
        <v>0</v>
      </c>
    </row>
    <row r="42" spans="2:9" ht="15" customHeight="1" x14ac:dyDescent="0.2">
      <c r="B42" t="s">
        <v>240</v>
      </c>
      <c r="C42" s="12">
        <v>3</v>
      </c>
      <c r="D42" s="8">
        <v>1.52</v>
      </c>
      <c r="E42" s="12">
        <v>1</v>
      </c>
      <c r="F42" s="8">
        <v>0.96</v>
      </c>
      <c r="G42" s="12">
        <v>2</v>
      </c>
      <c r="H42" s="8">
        <v>2.27</v>
      </c>
      <c r="I42" s="12">
        <v>0</v>
      </c>
    </row>
    <row r="43" spans="2:9" ht="15" customHeight="1" x14ac:dyDescent="0.2">
      <c r="B43" t="s">
        <v>252</v>
      </c>
      <c r="C43" s="12">
        <v>2</v>
      </c>
      <c r="D43" s="8">
        <v>1.01</v>
      </c>
      <c r="E43" s="12">
        <v>1</v>
      </c>
      <c r="F43" s="8">
        <v>0.96</v>
      </c>
      <c r="G43" s="12">
        <v>1</v>
      </c>
      <c r="H43" s="8">
        <v>1.1399999999999999</v>
      </c>
      <c r="I43" s="12">
        <v>0</v>
      </c>
    </row>
    <row r="44" spans="2:9" ht="15" customHeight="1" x14ac:dyDescent="0.2">
      <c r="B44" t="s">
        <v>268</v>
      </c>
      <c r="C44" s="12">
        <v>2</v>
      </c>
      <c r="D44" s="8">
        <v>1.01</v>
      </c>
      <c r="E44" s="12">
        <v>0</v>
      </c>
      <c r="F44" s="8">
        <v>0</v>
      </c>
      <c r="G44" s="12">
        <v>2</v>
      </c>
      <c r="H44" s="8">
        <v>2.27</v>
      </c>
      <c r="I44" s="12">
        <v>0</v>
      </c>
    </row>
    <row r="45" spans="2:9" ht="15" customHeight="1" x14ac:dyDescent="0.2">
      <c r="B45" t="s">
        <v>265</v>
      </c>
      <c r="C45" s="12">
        <v>2</v>
      </c>
      <c r="D45" s="8">
        <v>1.01</v>
      </c>
      <c r="E45" s="12">
        <v>0</v>
      </c>
      <c r="F45" s="8">
        <v>0</v>
      </c>
      <c r="G45" s="12">
        <v>2</v>
      </c>
      <c r="H45" s="8">
        <v>2.27</v>
      </c>
      <c r="I45" s="12">
        <v>0</v>
      </c>
    </row>
    <row r="46" spans="2:9" ht="15" customHeight="1" x14ac:dyDescent="0.2">
      <c r="B46" t="s">
        <v>237</v>
      </c>
      <c r="C46" s="12">
        <v>2</v>
      </c>
      <c r="D46" s="8">
        <v>1.01</v>
      </c>
      <c r="E46" s="12">
        <v>0</v>
      </c>
      <c r="F46" s="8">
        <v>0</v>
      </c>
      <c r="G46" s="12">
        <v>2</v>
      </c>
      <c r="H46" s="8">
        <v>2.27</v>
      </c>
      <c r="I46" s="12">
        <v>0</v>
      </c>
    </row>
    <row r="47" spans="2:9" ht="15" customHeight="1" x14ac:dyDescent="0.2">
      <c r="B47" t="s">
        <v>225</v>
      </c>
      <c r="C47" s="12">
        <v>2</v>
      </c>
      <c r="D47" s="8">
        <v>1.01</v>
      </c>
      <c r="E47" s="12">
        <v>2</v>
      </c>
      <c r="F47" s="8">
        <v>1.92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229</v>
      </c>
      <c r="C48" s="12">
        <v>2</v>
      </c>
      <c r="D48" s="8">
        <v>1.01</v>
      </c>
      <c r="E48" s="12">
        <v>1</v>
      </c>
      <c r="F48" s="8">
        <v>0.96</v>
      </c>
      <c r="G48" s="12">
        <v>1</v>
      </c>
      <c r="H48" s="8">
        <v>1.1399999999999999</v>
      </c>
      <c r="I48" s="12">
        <v>0</v>
      </c>
    </row>
    <row r="49" spans="2:9" ht="15" customHeight="1" x14ac:dyDescent="0.2">
      <c r="B49" t="s">
        <v>247</v>
      </c>
      <c r="C49" s="12">
        <v>2</v>
      </c>
      <c r="D49" s="8">
        <v>1.01</v>
      </c>
      <c r="E49" s="12">
        <v>0</v>
      </c>
      <c r="F49" s="8">
        <v>0</v>
      </c>
      <c r="G49" s="12">
        <v>1</v>
      </c>
      <c r="H49" s="8">
        <v>1.1399999999999999</v>
      </c>
      <c r="I49" s="12">
        <v>0</v>
      </c>
    </row>
    <row r="50" spans="2:9" ht="15" customHeight="1" x14ac:dyDescent="0.2">
      <c r="B50" t="s">
        <v>232</v>
      </c>
      <c r="C50" s="12">
        <v>2</v>
      </c>
      <c r="D50" s="8">
        <v>1.01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242</v>
      </c>
      <c r="C51" s="12">
        <v>2</v>
      </c>
      <c r="D51" s="8">
        <v>1.01</v>
      </c>
      <c r="E51" s="12">
        <v>2</v>
      </c>
      <c r="F51" s="8">
        <v>1.92</v>
      </c>
      <c r="G51" s="12">
        <v>0</v>
      </c>
      <c r="H51" s="8">
        <v>0</v>
      </c>
      <c r="I51" s="12">
        <v>0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301</v>
      </c>
      <c r="C55" s="12">
        <v>13</v>
      </c>
      <c r="D55" s="8">
        <v>6.57</v>
      </c>
      <c r="E55" s="12">
        <v>13</v>
      </c>
      <c r="F55" s="8">
        <v>12.5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297</v>
      </c>
      <c r="C56" s="12">
        <v>12</v>
      </c>
      <c r="D56" s="8">
        <v>6.06</v>
      </c>
      <c r="E56" s="12">
        <v>11</v>
      </c>
      <c r="F56" s="8">
        <v>10.58</v>
      </c>
      <c r="G56" s="12">
        <v>1</v>
      </c>
      <c r="H56" s="8">
        <v>1.1399999999999999</v>
      </c>
      <c r="I56" s="12">
        <v>0</v>
      </c>
    </row>
    <row r="57" spans="2:9" ht="15" customHeight="1" x14ac:dyDescent="0.2">
      <c r="B57" t="s">
        <v>304</v>
      </c>
      <c r="C57" s="12">
        <v>12</v>
      </c>
      <c r="D57" s="8">
        <v>6.06</v>
      </c>
      <c r="E57" s="12">
        <v>12</v>
      </c>
      <c r="F57" s="8">
        <v>11.54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300</v>
      </c>
      <c r="C58" s="12">
        <v>7</v>
      </c>
      <c r="D58" s="8">
        <v>3.54</v>
      </c>
      <c r="E58" s="12">
        <v>7</v>
      </c>
      <c r="F58" s="8">
        <v>6.73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306</v>
      </c>
      <c r="C59" s="12">
        <v>7</v>
      </c>
      <c r="D59" s="8">
        <v>3.54</v>
      </c>
      <c r="E59" s="12">
        <v>7</v>
      </c>
      <c r="F59" s="8">
        <v>6.73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339</v>
      </c>
      <c r="C60" s="12">
        <v>6</v>
      </c>
      <c r="D60" s="8">
        <v>3.03</v>
      </c>
      <c r="E60" s="12">
        <v>3</v>
      </c>
      <c r="F60" s="8">
        <v>2.88</v>
      </c>
      <c r="G60" s="12">
        <v>3</v>
      </c>
      <c r="H60" s="8">
        <v>3.41</v>
      </c>
      <c r="I60" s="12">
        <v>0</v>
      </c>
    </row>
    <row r="61" spans="2:9" ht="15" customHeight="1" x14ac:dyDescent="0.2">
      <c r="B61" t="s">
        <v>303</v>
      </c>
      <c r="C61" s="12">
        <v>6</v>
      </c>
      <c r="D61" s="8">
        <v>3.03</v>
      </c>
      <c r="E61" s="12">
        <v>6</v>
      </c>
      <c r="F61" s="8">
        <v>5.77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288</v>
      </c>
      <c r="C62" s="12">
        <v>5</v>
      </c>
      <c r="D62" s="8">
        <v>2.5299999999999998</v>
      </c>
      <c r="E62" s="12">
        <v>1</v>
      </c>
      <c r="F62" s="8">
        <v>0.96</v>
      </c>
      <c r="G62" s="12">
        <v>4</v>
      </c>
      <c r="H62" s="8">
        <v>4.55</v>
      </c>
      <c r="I62" s="12">
        <v>0</v>
      </c>
    </row>
    <row r="63" spans="2:9" ht="15" customHeight="1" x14ac:dyDescent="0.2">
      <c r="B63" t="s">
        <v>335</v>
      </c>
      <c r="C63" s="12">
        <v>5</v>
      </c>
      <c r="D63" s="8">
        <v>2.5299999999999998</v>
      </c>
      <c r="E63" s="12">
        <v>1</v>
      </c>
      <c r="F63" s="8">
        <v>0.96</v>
      </c>
      <c r="G63" s="12">
        <v>4</v>
      </c>
      <c r="H63" s="8">
        <v>4.55</v>
      </c>
      <c r="I63" s="12">
        <v>0</v>
      </c>
    </row>
    <row r="64" spans="2:9" ht="15" customHeight="1" x14ac:dyDescent="0.2">
      <c r="B64" t="s">
        <v>293</v>
      </c>
      <c r="C64" s="12">
        <v>4</v>
      </c>
      <c r="D64" s="8">
        <v>2.02</v>
      </c>
      <c r="E64" s="12">
        <v>2</v>
      </c>
      <c r="F64" s="8">
        <v>1.92</v>
      </c>
      <c r="G64" s="12">
        <v>2</v>
      </c>
      <c r="H64" s="8">
        <v>2.27</v>
      </c>
      <c r="I64" s="12">
        <v>0</v>
      </c>
    </row>
    <row r="65" spans="2:9" ht="15" customHeight="1" x14ac:dyDescent="0.2">
      <c r="B65" t="s">
        <v>299</v>
      </c>
      <c r="C65" s="12">
        <v>4</v>
      </c>
      <c r="D65" s="8">
        <v>2.02</v>
      </c>
      <c r="E65" s="12">
        <v>4</v>
      </c>
      <c r="F65" s="8">
        <v>3.85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333</v>
      </c>
      <c r="C66" s="12">
        <v>3</v>
      </c>
      <c r="D66" s="8">
        <v>1.52</v>
      </c>
      <c r="E66" s="12">
        <v>3</v>
      </c>
      <c r="F66" s="8">
        <v>2.88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291</v>
      </c>
      <c r="C67" s="12">
        <v>3</v>
      </c>
      <c r="D67" s="8">
        <v>1.52</v>
      </c>
      <c r="E67" s="12">
        <v>0</v>
      </c>
      <c r="F67" s="8">
        <v>0</v>
      </c>
      <c r="G67" s="12">
        <v>3</v>
      </c>
      <c r="H67" s="8">
        <v>3.41</v>
      </c>
      <c r="I67" s="12">
        <v>0</v>
      </c>
    </row>
    <row r="68" spans="2:9" ht="15" customHeight="1" x14ac:dyDescent="0.2">
      <c r="B68" t="s">
        <v>314</v>
      </c>
      <c r="C68" s="12">
        <v>3</v>
      </c>
      <c r="D68" s="8">
        <v>1.52</v>
      </c>
      <c r="E68" s="12">
        <v>1</v>
      </c>
      <c r="F68" s="8">
        <v>0.96</v>
      </c>
      <c r="G68" s="12">
        <v>2</v>
      </c>
      <c r="H68" s="8">
        <v>2.27</v>
      </c>
      <c r="I68" s="12">
        <v>0</v>
      </c>
    </row>
    <row r="69" spans="2:9" ht="15" customHeight="1" x14ac:dyDescent="0.2">
      <c r="B69" t="s">
        <v>294</v>
      </c>
      <c r="C69" s="12">
        <v>3</v>
      </c>
      <c r="D69" s="8">
        <v>1.52</v>
      </c>
      <c r="E69" s="12">
        <v>2</v>
      </c>
      <c r="F69" s="8">
        <v>1.92</v>
      </c>
      <c r="G69" s="12">
        <v>1</v>
      </c>
      <c r="H69" s="8">
        <v>1.1399999999999999</v>
      </c>
      <c r="I69" s="12">
        <v>0</v>
      </c>
    </row>
    <row r="70" spans="2:9" ht="15" customHeight="1" x14ac:dyDescent="0.2">
      <c r="B70" t="s">
        <v>330</v>
      </c>
      <c r="C70" s="12">
        <v>3</v>
      </c>
      <c r="D70" s="8">
        <v>1.52</v>
      </c>
      <c r="E70" s="12">
        <v>0</v>
      </c>
      <c r="F70" s="8">
        <v>0</v>
      </c>
      <c r="G70" s="12">
        <v>3</v>
      </c>
      <c r="H70" s="8">
        <v>3.41</v>
      </c>
      <c r="I70" s="12">
        <v>0</v>
      </c>
    </row>
    <row r="71" spans="2:9" ht="15" customHeight="1" x14ac:dyDescent="0.2">
      <c r="B71" t="s">
        <v>337</v>
      </c>
      <c r="C71" s="12">
        <v>3</v>
      </c>
      <c r="D71" s="8">
        <v>1.52</v>
      </c>
      <c r="E71" s="12">
        <v>1</v>
      </c>
      <c r="F71" s="8">
        <v>0.96</v>
      </c>
      <c r="G71" s="12">
        <v>2</v>
      </c>
      <c r="H71" s="8">
        <v>2.27</v>
      </c>
      <c r="I71" s="12">
        <v>0</v>
      </c>
    </row>
    <row r="72" spans="2:9" ht="15" customHeight="1" x14ac:dyDescent="0.2">
      <c r="B72" t="s">
        <v>295</v>
      </c>
      <c r="C72" s="12">
        <v>3</v>
      </c>
      <c r="D72" s="8">
        <v>1.52</v>
      </c>
      <c r="E72" s="12">
        <v>1</v>
      </c>
      <c r="F72" s="8">
        <v>0.96</v>
      </c>
      <c r="G72" s="12">
        <v>2</v>
      </c>
      <c r="H72" s="8">
        <v>2.27</v>
      </c>
      <c r="I72" s="12">
        <v>0</v>
      </c>
    </row>
    <row r="73" spans="2:9" ht="15" customHeight="1" x14ac:dyDescent="0.2">
      <c r="B73" t="s">
        <v>311</v>
      </c>
      <c r="C73" s="12">
        <v>3</v>
      </c>
      <c r="D73" s="8">
        <v>1.52</v>
      </c>
      <c r="E73" s="12">
        <v>0</v>
      </c>
      <c r="F73" s="8">
        <v>0</v>
      </c>
      <c r="G73" s="12">
        <v>3</v>
      </c>
      <c r="H73" s="8">
        <v>3.41</v>
      </c>
      <c r="I73" s="12">
        <v>0</v>
      </c>
    </row>
    <row r="74" spans="2:9" ht="15" customHeight="1" x14ac:dyDescent="0.2">
      <c r="B74" t="s">
        <v>298</v>
      </c>
      <c r="C74" s="12">
        <v>3</v>
      </c>
      <c r="D74" s="8">
        <v>1.52</v>
      </c>
      <c r="E74" s="12">
        <v>1</v>
      </c>
      <c r="F74" s="8">
        <v>0.96</v>
      </c>
      <c r="G74" s="12">
        <v>2</v>
      </c>
      <c r="H74" s="8">
        <v>2.27</v>
      </c>
      <c r="I74" s="12">
        <v>0</v>
      </c>
    </row>
    <row r="75" spans="2:9" ht="15" customHeight="1" x14ac:dyDescent="0.2">
      <c r="B75" t="s">
        <v>302</v>
      </c>
      <c r="C75" s="12">
        <v>3</v>
      </c>
      <c r="D75" s="8">
        <v>1.52</v>
      </c>
      <c r="E75" s="12">
        <v>1</v>
      </c>
      <c r="F75" s="8">
        <v>0.96</v>
      </c>
      <c r="G75" s="12">
        <v>2</v>
      </c>
      <c r="H75" s="8">
        <v>2.27</v>
      </c>
      <c r="I75" s="12">
        <v>0</v>
      </c>
    </row>
    <row r="76" spans="2:9" ht="15" customHeight="1" x14ac:dyDescent="0.2">
      <c r="B76" t="s">
        <v>305</v>
      </c>
      <c r="C76" s="12">
        <v>3</v>
      </c>
      <c r="D76" s="8">
        <v>1.52</v>
      </c>
      <c r="E76" s="12">
        <v>3</v>
      </c>
      <c r="F76" s="8">
        <v>2.88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307</v>
      </c>
      <c r="C77" s="12">
        <v>3</v>
      </c>
      <c r="D77" s="8">
        <v>1.52</v>
      </c>
      <c r="E77" s="12">
        <v>1</v>
      </c>
      <c r="F77" s="8">
        <v>0.96</v>
      </c>
      <c r="G77" s="12">
        <v>2</v>
      </c>
      <c r="H77" s="8">
        <v>2.27</v>
      </c>
      <c r="I77" s="12">
        <v>0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75B3A-EEFE-4AAB-AE07-0DAEECBC91C1}">
  <sheetPr>
    <pageSetUpPr fitToPage="1"/>
  </sheetPr>
  <dimension ref="B2:I11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709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7</v>
      </c>
      <c r="D6" s="8">
        <v>10.61</v>
      </c>
      <c r="E6" s="12">
        <v>1</v>
      </c>
      <c r="F6" s="8">
        <v>3.13</v>
      </c>
      <c r="G6" s="12">
        <v>6</v>
      </c>
      <c r="H6" s="8">
        <v>20</v>
      </c>
      <c r="I6" s="12">
        <v>0</v>
      </c>
    </row>
    <row r="7" spans="2:9" ht="15" customHeight="1" x14ac:dyDescent="0.2">
      <c r="B7" t="s">
        <v>192</v>
      </c>
      <c r="C7" s="12">
        <v>5</v>
      </c>
      <c r="D7" s="8">
        <v>7.58</v>
      </c>
      <c r="E7" s="12">
        <v>1</v>
      </c>
      <c r="F7" s="8">
        <v>3.13</v>
      </c>
      <c r="G7" s="12">
        <v>3</v>
      </c>
      <c r="H7" s="8">
        <v>10</v>
      </c>
      <c r="I7" s="12">
        <v>1</v>
      </c>
    </row>
    <row r="8" spans="2:9" ht="15" customHeight="1" x14ac:dyDescent="0.2">
      <c r="B8" t="s">
        <v>193</v>
      </c>
      <c r="C8" s="12">
        <v>2</v>
      </c>
      <c r="D8" s="8">
        <v>3.03</v>
      </c>
      <c r="E8" s="12">
        <v>0</v>
      </c>
      <c r="F8" s="8">
        <v>0</v>
      </c>
      <c r="G8" s="12">
        <v>1</v>
      </c>
      <c r="H8" s="8">
        <v>3.33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1.52</v>
      </c>
      <c r="E10" s="12">
        <v>1</v>
      </c>
      <c r="F10" s="8">
        <v>3.13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13</v>
      </c>
      <c r="D11" s="8">
        <v>19.7</v>
      </c>
      <c r="E11" s="12">
        <v>5</v>
      </c>
      <c r="F11" s="8">
        <v>15.63</v>
      </c>
      <c r="G11" s="12">
        <v>8</v>
      </c>
      <c r="H11" s="8">
        <v>26.67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6</v>
      </c>
      <c r="D13" s="8">
        <v>9.09</v>
      </c>
      <c r="E13" s="12">
        <v>1</v>
      </c>
      <c r="F13" s="8">
        <v>3.13</v>
      </c>
      <c r="G13" s="12">
        <v>5</v>
      </c>
      <c r="H13" s="8">
        <v>16.670000000000002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4.55</v>
      </c>
      <c r="E14" s="12">
        <v>2</v>
      </c>
      <c r="F14" s="8">
        <v>6.25</v>
      </c>
      <c r="G14" s="12">
        <v>1</v>
      </c>
      <c r="H14" s="8">
        <v>3.33</v>
      </c>
      <c r="I14" s="12">
        <v>0</v>
      </c>
    </row>
    <row r="15" spans="2:9" ht="15" customHeight="1" x14ac:dyDescent="0.2">
      <c r="B15" t="s">
        <v>200</v>
      </c>
      <c r="C15" s="12">
        <v>14</v>
      </c>
      <c r="D15" s="8">
        <v>21.21</v>
      </c>
      <c r="E15" s="12">
        <v>11</v>
      </c>
      <c r="F15" s="8">
        <v>34.380000000000003</v>
      </c>
      <c r="G15" s="12">
        <v>3</v>
      </c>
      <c r="H15" s="8">
        <v>10</v>
      </c>
      <c r="I15" s="12">
        <v>0</v>
      </c>
    </row>
    <row r="16" spans="2:9" ht="15" customHeight="1" x14ac:dyDescent="0.2">
      <c r="B16" t="s">
        <v>201</v>
      </c>
      <c r="C16" s="12">
        <v>6</v>
      </c>
      <c r="D16" s="8">
        <v>9.09</v>
      </c>
      <c r="E16" s="12">
        <v>4</v>
      </c>
      <c r="F16" s="8">
        <v>12.5</v>
      </c>
      <c r="G16" s="12">
        <v>2</v>
      </c>
      <c r="H16" s="8">
        <v>6.67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3.03</v>
      </c>
      <c r="E17" s="12">
        <v>2</v>
      </c>
      <c r="F17" s="8">
        <v>6.25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6.06</v>
      </c>
      <c r="E18" s="12">
        <v>2</v>
      </c>
      <c r="F18" s="8">
        <v>6.25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4.55</v>
      </c>
      <c r="E19" s="12">
        <v>2</v>
      </c>
      <c r="F19" s="8">
        <v>6.25</v>
      </c>
      <c r="G19" s="12">
        <v>1</v>
      </c>
      <c r="H19" s="8">
        <v>3.33</v>
      </c>
      <c r="I19" s="12">
        <v>0</v>
      </c>
    </row>
    <row r="20" spans="2:9" ht="15" customHeight="1" x14ac:dyDescent="0.2">
      <c r="B20" s="9" t="s">
        <v>529</v>
      </c>
      <c r="C20" s="12">
        <f>SUM(LTBL_01648[総数／事業所数])</f>
        <v>66</v>
      </c>
      <c r="E20" s="12">
        <f>SUBTOTAL(109,LTBL_01648[個人／事業所数])</f>
        <v>32</v>
      </c>
      <c r="G20" s="12">
        <f>SUBTOTAL(109,LTBL_01648[法人／事業所数])</f>
        <v>30</v>
      </c>
      <c r="I20" s="12">
        <f>SUBTOTAL(109,LTBL_01648[法人以外の団体／事業所数])</f>
        <v>1</v>
      </c>
    </row>
    <row r="21" spans="2:9" ht="15" customHeight="1" x14ac:dyDescent="0.2">
      <c r="E21" s="11">
        <f>LTBL_01648[[#Totals],[個人／事業所数]]/LTBL_01648[[#Totals],[総数／事業所数]]</f>
        <v>0.48484848484848486</v>
      </c>
      <c r="G21" s="11">
        <f>LTBL_01648[[#Totals],[法人／事業所数]]/LTBL_01648[[#Totals],[総数／事業所数]]</f>
        <v>0.45454545454545453</v>
      </c>
      <c r="I21" s="11">
        <f>LTBL_01648[[#Totals],[法人以外の団体／事業所数]]/LTBL_01648[[#Totals],[総数／事業所数]]</f>
        <v>1.5151515151515152E-2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9</v>
      </c>
      <c r="D24" s="8">
        <v>13.64</v>
      </c>
      <c r="E24" s="12">
        <v>9</v>
      </c>
      <c r="F24" s="8">
        <v>28.13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213</v>
      </c>
      <c r="C25" s="12">
        <v>5</v>
      </c>
      <c r="D25" s="8">
        <v>7.58</v>
      </c>
      <c r="E25" s="12">
        <v>1</v>
      </c>
      <c r="F25" s="8">
        <v>3.13</v>
      </c>
      <c r="G25" s="12">
        <v>4</v>
      </c>
      <c r="H25" s="8">
        <v>13.33</v>
      </c>
      <c r="I25" s="12">
        <v>0</v>
      </c>
    </row>
    <row r="26" spans="2:9" ht="15" customHeight="1" x14ac:dyDescent="0.2">
      <c r="B26" t="s">
        <v>223</v>
      </c>
      <c r="C26" s="12">
        <v>5</v>
      </c>
      <c r="D26" s="8">
        <v>7.58</v>
      </c>
      <c r="E26" s="12">
        <v>2</v>
      </c>
      <c r="F26" s="8">
        <v>6.25</v>
      </c>
      <c r="G26" s="12">
        <v>3</v>
      </c>
      <c r="H26" s="8">
        <v>10</v>
      </c>
      <c r="I26" s="12">
        <v>0</v>
      </c>
    </row>
    <row r="27" spans="2:9" ht="15" customHeight="1" x14ac:dyDescent="0.2">
      <c r="B27" t="s">
        <v>228</v>
      </c>
      <c r="C27" s="12">
        <v>5</v>
      </c>
      <c r="D27" s="8">
        <v>7.58</v>
      </c>
      <c r="E27" s="12">
        <v>4</v>
      </c>
      <c r="F27" s="8">
        <v>12.5</v>
      </c>
      <c r="G27" s="12">
        <v>1</v>
      </c>
      <c r="H27" s="8">
        <v>3.33</v>
      </c>
      <c r="I27" s="12">
        <v>0</v>
      </c>
    </row>
    <row r="28" spans="2:9" ht="15" customHeight="1" x14ac:dyDescent="0.2">
      <c r="B28" t="s">
        <v>221</v>
      </c>
      <c r="C28" s="12">
        <v>4</v>
      </c>
      <c r="D28" s="8">
        <v>6.06</v>
      </c>
      <c r="E28" s="12">
        <v>2</v>
      </c>
      <c r="F28" s="8">
        <v>6.25</v>
      </c>
      <c r="G28" s="12">
        <v>2</v>
      </c>
      <c r="H28" s="8">
        <v>6.67</v>
      </c>
      <c r="I28" s="12">
        <v>0</v>
      </c>
    </row>
    <row r="29" spans="2:9" ht="15" customHeight="1" x14ac:dyDescent="0.2">
      <c r="B29" t="s">
        <v>239</v>
      </c>
      <c r="C29" s="12">
        <v>4</v>
      </c>
      <c r="D29" s="8">
        <v>6.06</v>
      </c>
      <c r="E29" s="12">
        <v>1</v>
      </c>
      <c r="F29" s="8">
        <v>3.13</v>
      </c>
      <c r="G29" s="12">
        <v>3</v>
      </c>
      <c r="H29" s="8">
        <v>10</v>
      </c>
      <c r="I29" s="12">
        <v>0</v>
      </c>
    </row>
    <row r="30" spans="2:9" ht="15" customHeight="1" x14ac:dyDescent="0.2">
      <c r="B30" t="s">
        <v>224</v>
      </c>
      <c r="C30" s="12">
        <v>3</v>
      </c>
      <c r="D30" s="8">
        <v>4.55</v>
      </c>
      <c r="E30" s="12">
        <v>1</v>
      </c>
      <c r="F30" s="8">
        <v>3.13</v>
      </c>
      <c r="G30" s="12">
        <v>2</v>
      </c>
      <c r="H30" s="8">
        <v>6.67</v>
      </c>
      <c r="I30" s="12">
        <v>0</v>
      </c>
    </row>
    <row r="31" spans="2:9" ht="15" customHeight="1" x14ac:dyDescent="0.2">
      <c r="B31" t="s">
        <v>241</v>
      </c>
      <c r="C31" s="12">
        <v>2</v>
      </c>
      <c r="D31" s="8">
        <v>3.03</v>
      </c>
      <c r="E31" s="12">
        <v>0</v>
      </c>
      <c r="F31" s="8">
        <v>0</v>
      </c>
      <c r="G31" s="12">
        <v>1</v>
      </c>
      <c r="H31" s="8">
        <v>3.33</v>
      </c>
      <c r="I31" s="12">
        <v>1</v>
      </c>
    </row>
    <row r="32" spans="2:9" ht="15" customHeight="1" x14ac:dyDescent="0.2">
      <c r="B32" t="s">
        <v>218</v>
      </c>
      <c r="C32" s="12">
        <v>2</v>
      </c>
      <c r="D32" s="8">
        <v>3.03</v>
      </c>
      <c r="E32" s="12">
        <v>0</v>
      </c>
      <c r="F32" s="8">
        <v>0</v>
      </c>
      <c r="G32" s="12">
        <v>2</v>
      </c>
      <c r="H32" s="8">
        <v>6.67</v>
      </c>
      <c r="I32" s="12">
        <v>0</v>
      </c>
    </row>
    <row r="33" spans="2:9" ht="15" customHeight="1" x14ac:dyDescent="0.2">
      <c r="B33" t="s">
        <v>233</v>
      </c>
      <c r="C33" s="12">
        <v>2</v>
      </c>
      <c r="D33" s="8">
        <v>3.03</v>
      </c>
      <c r="E33" s="12">
        <v>0</v>
      </c>
      <c r="F33" s="8">
        <v>0</v>
      </c>
      <c r="G33" s="12">
        <v>2</v>
      </c>
      <c r="H33" s="8">
        <v>6.67</v>
      </c>
      <c r="I33" s="12">
        <v>0</v>
      </c>
    </row>
    <row r="34" spans="2:9" ht="15" customHeight="1" x14ac:dyDescent="0.2">
      <c r="B34" t="s">
        <v>226</v>
      </c>
      <c r="C34" s="12">
        <v>2</v>
      </c>
      <c r="D34" s="8">
        <v>3.03</v>
      </c>
      <c r="E34" s="12">
        <v>1</v>
      </c>
      <c r="F34" s="8">
        <v>3.13</v>
      </c>
      <c r="G34" s="12">
        <v>1</v>
      </c>
      <c r="H34" s="8">
        <v>3.33</v>
      </c>
      <c r="I34" s="12">
        <v>0</v>
      </c>
    </row>
    <row r="35" spans="2:9" ht="15" customHeight="1" x14ac:dyDescent="0.2">
      <c r="B35" t="s">
        <v>230</v>
      </c>
      <c r="C35" s="12">
        <v>2</v>
      </c>
      <c r="D35" s="8">
        <v>3.03</v>
      </c>
      <c r="E35" s="12">
        <v>2</v>
      </c>
      <c r="F35" s="8">
        <v>6.25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231</v>
      </c>
      <c r="C36" s="12">
        <v>2</v>
      </c>
      <c r="D36" s="8">
        <v>3.03</v>
      </c>
      <c r="E36" s="12">
        <v>2</v>
      </c>
      <c r="F36" s="8">
        <v>6.25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232</v>
      </c>
      <c r="C37" s="12">
        <v>2</v>
      </c>
      <c r="D37" s="8">
        <v>3.03</v>
      </c>
      <c r="E37" s="12">
        <v>0</v>
      </c>
      <c r="F37" s="8">
        <v>0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242</v>
      </c>
      <c r="C38" s="12">
        <v>2</v>
      </c>
      <c r="D38" s="8">
        <v>3.03</v>
      </c>
      <c r="E38" s="12">
        <v>2</v>
      </c>
      <c r="F38" s="8">
        <v>6.25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214</v>
      </c>
      <c r="C39" s="12">
        <v>1</v>
      </c>
      <c r="D39" s="8">
        <v>1.52</v>
      </c>
      <c r="E39" s="12">
        <v>0</v>
      </c>
      <c r="F39" s="8">
        <v>0</v>
      </c>
      <c r="G39" s="12">
        <v>1</v>
      </c>
      <c r="H39" s="8">
        <v>3.33</v>
      </c>
      <c r="I39" s="12">
        <v>0</v>
      </c>
    </row>
    <row r="40" spans="2:9" ht="15" customHeight="1" x14ac:dyDescent="0.2">
      <c r="B40" t="s">
        <v>215</v>
      </c>
      <c r="C40" s="12">
        <v>1</v>
      </c>
      <c r="D40" s="8">
        <v>1.52</v>
      </c>
      <c r="E40" s="12">
        <v>0</v>
      </c>
      <c r="F40" s="8">
        <v>0</v>
      </c>
      <c r="G40" s="12">
        <v>1</v>
      </c>
      <c r="H40" s="8">
        <v>3.33</v>
      </c>
      <c r="I40" s="12">
        <v>0</v>
      </c>
    </row>
    <row r="41" spans="2:9" ht="15" customHeight="1" x14ac:dyDescent="0.2">
      <c r="B41" t="s">
        <v>251</v>
      </c>
      <c r="C41" s="12">
        <v>1</v>
      </c>
      <c r="D41" s="8">
        <v>1.52</v>
      </c>
      <c r="E41" s="12">
        <v>1</v>
      </c>
      <c r="F41" s="8">
        <v>3.13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285</v>
      </c>
      <c r="C42" s="12">
        <v>1</v>
      </c>
      <c r="D42" s="8">
        <v>1.52</v>
      </c>
      <c r="E42" s="12">
        <v>0</v>
      </c>
      <c r="F42" s="8">
        <v>0</v>
      </c>
      <c r="G42" s="12">
        <v>1</v>
      </c>
      <c r="H42" s="8">
        <v>3.33</v>
      </c>
      <c r="I42" s="12">
        <v>0</v>
      </c>
    </row>
    <row r="43" spans="2:9" ht="15" customHeight="1" x14ac:dyDescent="0.2">
      <c r="B43" t="s">
        <v>268</v>
      </c>
      <c r="C43" s="12">
        <v>1</v>
      </c>
      <c r="D43" s="8">
        <v>1.52</v>
      </c>
      <c r="E43" s="12">
        <v>0</v>
      </c>
      <c r="F43" s="8">
        <v>0</v>
      </c>
      <c r="G43" s="12">
        <v>1</v>
      </c>
      <c r="H43" s="8">
        <v>3.33</v>
      </c>
      <c r="I43" s="12">
        <v>0</v>
      </c>
    </row>
    <row r="44" spans="2:9" ht="15" customHeight="1" x14ac:dyDescent="0.2">
      <c r="B44" t="s">
        <v>265</v>
      </c>
      <c r="C44" s="12">
        <v>1</v>
      </c>
      <c r="D44" s="8">
        <v>1.52</v>
      </c>
      <c r="E44" s="12">
        <v>0</v>
      </c>
      <c r="F44" s="8">
        <v>0</v>
      </c>
      <c r="G44" s="12">
        <v>1</v>
      </c>
      <c r="H44" s="8">
        <v>3.33</v>
      </c>
      <c r="I44" s="12">
        <v>0</v>
      </c>
    </row>
    <row r="45" spans="2:9" ht="15" customHeight="1" x14ac:dyDescent="0.2">
      <c r="B45" t="s">
        <v>255</v>
      </c>
      <c r="C45" s="12">
        <v>1</v>
      </c>
      <c r="D45" s="8">
        <v>1.52</v>
      </c>
      <c r="E45" s="12">
        <v>0</v>
      </c>
      <c r="F45" s="8">
        <v>0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261</v>
      </c>
      <c r="C46" s="12">
        <v>1</v>
      </c>
      <c r="D46" s="8">
        <v>1.52</v>
      </c>
      <c r="E46" s="12">
        <v>1</v>
      </c>
      <c r="F46" s="8">
        <v>3.13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216</v>
      </c>
      <c r="C47" s="12">
        <v>1</v>
      </c>
      <c r="D47" s="8">
        <v>1.52</v>
      </c>
      <c r="E47" s="12">
        <v>1</v>
      </c>
      <c r="F47" s="8">
        <v>3.13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220</v>
      </c>
      <c r="C48" s="12">
        <v>1</v>
      </c>
      <c r="D48" s="8">
        <v>1.52</v>
      </c>
      <c r="E48" s="12">
        <v>0</v>
      </c>
      <c r="F48" s="8">
        <v>0</v>
      </c>
      <c r="G48" s="12">
        <v>1</v>
      </c>
      <c r="H48" s="8">
        <v>3.33</v>
      </c>
      <c r="I48" s="12">
        <v>0</v>
      </c>
    </row>
    <row r="49" spans="2:9" ht="15" customHeight="1" x14ac:dyDescent="0.2">
      <c r="B49" t="s">
        <v>246</v>
      </c>
      <c r="C49" s="12">
        <v>1</v>
      </c>
      <c r="D49" s="8">
        <v>1.52</v>
      </c>
      <c r="E49" s="12">
        <v>0</v>
      </c>
      <c r="F49" s="8">
        <v>0</v>
      </c>
      <c r="G49" s="12">
        <v>1</v>
      </c>
      <c r="H49" s="8">
        <v>3.33</v>
      </c>
      <c r="I49" s="12">
        <v>0</v>
      </c>
    </row>
    <row r="50" spans="2:9" ht="15" customHeight="1" x14ac:dyDescent="0.2">
      <c r="B50" t="s">
        <v>225</v>
      </c>
      <c r="C50" s="12">
        <v>1</v>
      </c>
      <c r="D50" s="8">
        <v>1.52</v>
      </c>
      <c r="E50" s="12">
        <v>1</v>
      </c>
      <c r="F50" s="8">
        <v>3.13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243</v>
      </c>
      <c r="C51" s="12">
        <v>1</v>
      </c>
      <c r="D51" s="8">
        <v>1.52</v>
      </c>
      <c r="E51" s="12">
        <v>1</v>
      </c>
      <c r="F51" s="8">
        <v>3.13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229</v>
      </c>
      <c r="C52" s="12">
        <v>1</v>
      </c>
      <c r="D52" s="8">
        <v>1.52</v>
      </c>
      <c r="E52" s="12">
        <v>0</v>
      </c>
      <c r="F52" s="8">
        <v>0</v>
      </c>
      <c r="G52" s="12">
        <v>1</v>
      </c>
      <c r="H52" s="8">
        <v>3.33</v>
      </c>
      <c r="I52" s="12">
        <v>0</v>
      </c>
    </row>
    <row r="53" spans="2:9" ht="15" customHeight="1" x14ac:dyDescent="0.2">
      <c r="B53" t="s">
        <v>234</v>
      </c>
      <c r="C53" s="12">
        <v>1</v>
      </c>
      <c r="D53" s="8">
        <v>1.52</v>
      </c>
      <c r="E53" s="12">
        <v>0</v>
      </c>
      <c r="F53" s="8">
        <v>0</v>
      </c>
      <c r="G53" s="12">
        <v>1</v>
      </c>
      <c r="H53" s="8">
        <v>3.33</v>
      </c>
      <c r="I53" s="12">
        <v>0</v>
      </c>
    </row>
    <row r="56" spans="2:9" ht="33" customHeight="1" x14ac:dyDescent="0.2">
      <c r="B56" t="s">
        <v>531</v>
      </c>
      <c r="C56" s="10" t="s">
        <v>206</v>
      </c>
      <c r="D56" s="10" t="s">
        <v>207</v>
      </c>
      <c r="E56" s="10" t="s">
        <v>208</v>
      </c>
      <c r="F56" s="10" t="s">
        <v>209</v>
      </c>
      <c r="G56" s="10" t="s">
        <v>210</v>
      </c>
      <c r="H56" s="10" t="s">
        <v>211</v>
      </c>
      <c r="I56" s="10" t="s">
        <v>212</v>
      </c>
    </row>
    <row r="57" spans="2:9" ht="15" customHeight="1" x14ac:dyDescent="0.2">
      <c r="B57" t="s">
        <v>297</v>
      </c>
      <c r="C57" s="12">
        <v>3</v>
      </c>
      <c r="D57" s="8">
        <v>4.55</v>
      </c>
      <c r="E57" s="12">
        <v>1</v>
      </c>
      <c r="F57" s="8">
        <v>3.13</v>
      </c>
      <c r="G57" s="12">
        <v>2</v>
      </c>
      <c r="H57" s="8">
        <v>6.67</v>
      </c>
      <c r="I57" s="12">
        <v>0</v>
      </c>
    </row>
    <row r="58" spans="2:9" ht="15" customHeight="1" x14ac:dyDescent="0.2">
      <c r="B58" t="s">
        <v>300</v>
      </c>
      <c r="C58" s="12">
        <v>3</v>
      </c>
      <c r="D58" s="8">
        <v>4.55</v>
      </c>
      <c r="E58" s="12">
        <v>3</v>
      </c>
      <c r="F58" s="8">
        <v>9.3800000000000008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325</v>
      </c>
      <c r="C59" s="12">
        <v>3</v>
      </c>
      <c r="D59" s="8">
        <v>4.55</v>
      </c>
      <c r="E59" s="12">
        <v>0</v>
      </c>
      <c r="F59" s="8">
        <v>0</v>
      </c>
      <c r="G59" s="12">
        <v>3</v>
      </c>
      <c r="H59" s="8">
        <v>10</v>
      </c>
      <c r="I59" s="12">
        <v>0</v>
      </c>
    </row>
    <row r="60" spans="2:9" ht="15" customHeight="1" x14ac:dyDescent="0.2">
      <c r="B60" t="s">
        <v>303</v>
      </c>
      <c r="C60" s="12">
        <v>3</v>
      </c>
      <c r="D60" s="8">
        <v>4.55</v>
      </c>
      <c r="E60" s="12">
        <v>3</v>
      </c>
      <c r="F60" s="8">
        <v>9.3800000000000008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328</v>
      </c>
      <c r="C61" s="12">
        <v>2</v>
      </c>
      <c r="D61" s="8">
        <v>3.03</v>
      </c>
      <c r="E61" s="12">
        <v>1</v>
      </c>
      <c r="F61" s="8">
        <v>3.13</v>
      </c>
      <c r="G61" s="12">
        <v>1</v>
      </c>
      <c r="H61" s="8">
        <v>3.33</v>
      </c>
      <c r="I61" s="12">
        <v>0</v>
      </c>
    </row>
    <row r="62" spans="2:9" ht="15" customHeight="1" x14ac:dyDescent="0.2">
      <c r="B62" t="s">
        <v>354</v>
      </c>
      <c r="C62" s="12">
        <v>2</v>
      </c>
      <c r="D62" s="8">
        <v>3.03</v>
      </c>
      <c r="E62" s="12">
        <v>0</v>
      </c>
      <c r="F62" s="8">
        <v>0</v>
      </c>
      <c r="G62" s="12">
        <v>2</v>
      </c>
      <c r="H62" s="8">
        <v>6.67</v>
      </c>
      <c r="I62" s="12">
        <v>0</v>
      </c>
    </row>
    <row r="63" spans="2:9" ht="15" customHeight="1" x14ac:dyDescent="0.2">
      <c r="B63" t="s">
        <v>337</v>
      </c>
      <c r="C63" s="12">
        <v>2</v>
      </c>
      <c r="D63" s="8">
        <v>3.03</v>
      </c>
      <c r="E63" s="12">
        <v>0</v>
      </c>
      <c r="F63" s="8">
        <v>0</v>
      </c>
      <c r="G63" s="12">
        <v>2</v>
      </c>
      <c r="H63" s="8">
        <v>6.67</v>
      </c>
      <c r="I63" s="12">
        <v>0</v>
      </c>
    </row>
    <row r="64" spans="2:9" ht="15" customHeight="1" x14ac:dyDescent="0.2">
      <c r="B64" t="s">
        <v>301</v>
      </c>
      <c r="C64" s="12">
        <v>2</v>
      </c>
      <c r="D64" s="8">
        <v>3.03</v>
      </c>
      <c r="E64" s="12">
        <v>2</v>
      </c>
      <c r="F64" s="8">
        <v>6.25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305</v>
      </c>
      <c r="C65" s="12">
        <v>2</v>
      </c>
      <c r="D65" s="8">
        <v>3.03</v>
      </c>
      <c r="E65" s="12">
        <v>2</v>
      </c>
      <c r="F65" s="8">
        <v>6.25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371</v>
      </c>
      <c r="C66" s="12">
        <v>2</v>
      </c>
      <c r="D66" s="8">
        <v>3.03</v>
      </c>
      <c r="E66" s="12">
        <v>2</v>
      </c>
      <c r="F66" s="8">
        <v>6.25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288</v>
      </c>
      <c r="C67" s="12">
        <v>1</v>
      </c>
      <c r="D67" s="8">
        <v>1.52</v>
      </c>
      <c r="E67" s="12">
        <v>0</v>
      </c>
      <c r="F67" s="8">
        <v>0</v>
      </c>
      <c r="G67" s="12">
        <v>1</v>
      </c>
      <c r="H67" s="8">
        <v>3.33</v>
      </c>
      <c r="I67" s="12">
        <v>0</v>
      </c>
    </row>
    <row r="68" spans="2:9" ht="15" customHeight="1" x14ac:dyDescent="0.2">
      <c r="B68" t="s">
        <v>398</v>
      </c>
      <c r="C68" s="12">
        <v>1</v>
      </c>
      <c r="D68" s="8">
        <v>1.52</v>
      </c>
      <c r="E68" s="12">
        <v>0</v>
      </c>
      <c r="F68" s="8">
        <v>0</v>
      </c>
      <c r="G68" s="12">
        <v>1</v>
      </c>
      <c r="H68" s="8">
        <v>3.33</v>
      </c>
      <c r="I68" s="12">
        <v>0</v>
      </c>
    </row>
    <row r="69" spans="2:9" ht="15" customHeight="1" x14ac:dyDescent="0.2">
      <c r="B69" t="s">
        <v>289</v>
      </c>
      <c r="C69" s="12">
        <v>1</v>
      </c>
      <c r="D69" s="8">
        <v>1.52</v>
      </c>
      <c r="E69" s="12">
        <v>0</v>
      </c>
      <c r="F69" s="8">
        <v>0</v>
      </c>
      <c r="G69" s="12">
        <v>1</v>
      </c>
      <c r="H69" s="8">
        <v>3.33</v>
      </c>
      <c r="I69" s="12">
        <v>0</v>
      </c>
    </row>
    <row r="70" spans="2:9" ht="15" customHeight="1" x14ac:dyDescent="0.2">
      <c r="B70" t="s">
        <v>375</v>
      </c>
      <c r="C70" s="12">
        <v>1</v>
      </c>
      <c r="D70" s="8">
        <v>1.52</v>
      </c>
      <c r="E70" s="12">
        <v>0</v>
      </c>
      <c r="F70" s="8">
        <v>0</v>
      </c>
      <c r="G70" s="12">
        <v>1</v>
      </c>
      <c r="H70" s="8">
        <v>3.33</v>
      </c>
      <c r="I70" s="12">
        <v>0</v>
      </c>
    </row>
    <row r="71" spans="2:9" ht="15" customHeight="1" x14ac:dyDescent="0.2">
      <c r="B71" t="s">
        <v>290</v>
      </c>
      <c r="C71" s="12">
        <v>1</v>
      </c>
      <c r="D71" s="8">
        <v>1.52</v>
      </c>
      <c r="E71" s="12">
        <v>0</v>
      </c>
      <c r="F71" s="8">
        <v>0</v>
      </c>
      <c r="G71" s="12">
        <v>1</v>
      </c>
      <c r="H71" s="8">
        <v>3.33</v>
      </c>
      <c r="I71" s="12">
        <v>0</v>
      </c>
    </row>
    <row r="72" spans="2:9" ht="15" customHeight="1" x14ac:dyDescent="0.2">
      <c r="B72" t="s">
        <v>413</v>
      </c>
      <c r="C72" s="12">
        <v>1</v>
      </c>
      <c r="D72" s="8">
        <v>1.52</v>
      </c>
      <c r="E72" s="12">
        <v>0</v>
      </c>
      <c r="F72" s="8">
        <v>0</v>
      </c>
      <c r="G72" s="12">
        <v>0</v>
      </c>
      <c r="H72" s="8">
        <v>0</v>
      </c>
      <c r="I72" s="12">
        <v>1</v>
      </c>
    </row>
    <row r="73" spans="2:9" ht="15" customHeight="1" x14ac:dyDescent="0.2">
      <c r="B73" t="s">
        <v>394</v>
      </c>
      <c r="C73" s="12">
        <v>1</v>
      </c>
      <c r="D73" s="8">
        <v>1.52</v>
      </c>
      <c r="E73" s="12">
        <v>0</v>
      </c>
      <c r="F73" s="8">
        <v>0</v>
      </c>
      <c r="G73" s="12">
        <v>1</v>
      </c>
      <c r="H73" s="8">
        <v>3.33</v>
      </c>
      <c r="I73" s="12">
        <v>0</v>
      </c>
    </row>
    <row r="74" spans="2:9" ht="15" customHeight="1" x14ac:dyDescent="0.2">
      <c r="B74" t="s">
        <v>511</v>
      </c>
      <c r="C74" s="12">
        <v>1</v>
      </c>
      <c r="D74" s="8">
        <v>1.52</v>
      </c>
      <c r="E74" s="12">
        <v>1</v>
      </c>
      <c r="F74" s="8">
        <v>3.13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522</v>
      </c>
      <c r="C75" s="12">
        <v>1</v>
      </c>
      <c r="D75" s="8">
        <v>1.52</v>
      </c>
      <c r="E75" s="12">
        <v>0</v>
      </c>
      <c r="F75" s="8">
        <v>0</v>
      </c>
      <c r="G75" s="12">
        <v>1</v>
      </c>
      <c r="H75" s="8">
        <v>3.33</v>
      </c>
      <c r="I75" s="12">
        <v>0</v>
      </c>
    </row>
    <row r="76" spans="2:9" ht="15" customHeight="1" x14ac:dyDescent="0.2">
      <c r="B76" t="s">
        <v>451</v>
      </c>
      <c r="C76" s="12">
        <v>1</v>
      </c>
      <c r="D76" s="8">
        <v>1.52</v>
      </c>
      <c r="E76" s="12">
        <v>0</v>
      </c>
      <c r="F76" s="8">
        <v>0</v>
      </c>
      <c r="G76" s="12">
        <v>1</v>
      </c>
      <c r="H76" s="8">
        <v>3.33</v>
      </c>
      <c r="I76" s="12">
        <v>0</v>
      </c>
    </row>
    <row r="77" spans="2:9" ht="15" customHeight="1" x14ac:dyDescent="0.2">
      <c r="B77" t="s">
        <v>387</v>
      </c>
      <c r="C77" s="12">
        <v>1</v>
      </c>
      <c r="D77" s="8">
        <v>1.52</v>
      </c>
      <c r="E77" s="12">
        <v>0</v>
      </c>
      <c r="F77" s="8">
        <v>0</v>
      </c>
      <c r="G77" s="12">
        <v>1</v>
      </c>
      <c r="H77" s="8">
        <v>3.33</v>
      </c>
      <c r="I77" s="12">
        <v>0</v>
      </c>
    </row>
    <row r="78" spans="2:9" ht="15" customHeight="1" x14ac:dyDescent="0.2">
      <c r="B78" t="s">
        <v>361</v>
      </c>
      <c r="C78" s="12">
        <v>1</v>
      </c>
      <c r="D78" s="8">
        <v>1.52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408</v>
      </c>
      <c r="C79" s="12">
        <v>1</v>
      </c>
      <c r="D79" s="8">
        <v>1.52</v>
      </c>
      <c r="E79" s="12">
        <v>1</v>
      </c>
      <c r="F79" s="8">
        <v>3.13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324</v>
      </c>
      <c r="C80" s="12">
        <v>1</v>
      </c>
      <c r="D80" s="8">
        <v>1.52</v>
      </c>
      <c r="E80" s="12">
        <v>1</v>
      </c>
      <c r="F80" s="8">
        <v>3.13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321</v>
      </c>
      <c r="C81" s="12">
        <v>1</v>
      </c>
      <c r="D81" s="8">
        <v>1.52</v>
      </c>
      <c r="E81" s="12">
        <v>0</v>
      </c>
      <c r="F81" s="8">
        <v>0</v>
      </c>
      <c r="G81" s="12">
        <v>1</v>
      </c>
      <c r="H81" s="8">
        <v>3.33</v>
      </c>
      <c r="I81" s="12">
        <v>0</v>
      </c>
    </row>
    <row r="82" spans="2:9" ht="15" customHeight="1" x14ac:dyDescent="0.2">
      <c r="B82" t="s">
        <v>421</v>
      </c>
      <c r="C82" s="12">
        <v>1</v>
      </c>
      <c r="D82" s="8">
        <v>1.52</v>
      </c>
      <c r="E82" s="12">
        <v>0</v>
      </c>
      <c r="F82" s="8">
        <v>0</v>
      </c>
      <c r="G82" s="12">
        <v>1</v>
      </c>
      <c r="H82" s="8">
        <v>3.33</v>
      </c>
      <c r="I82" s="12">
        <v>0</v>
      </c>
    </row>
    <row r="83" spans="2:9" ht="15" customHeight="1" x14ac:dyDescent="0.2">
      <c r="B83" t="s">
        <v>314</v>
      </c>
      <c r="C83" s="12">
        <v>1</v>
      </c>
      <c r="D83" s="8">
        <v>1.52</v>
      </c>
      <c r="E83" s="12">
        <v>0</v>
      </c>
      <c r="F83" s="8">
        <v>0</v>
      </c>
      <c r="G83" s="12">
        <v>1</v>
      </c>
      <c r="H83" s="8">
        <v>3.33</v>
      </c>
      <c r="I83" s="12">
        <v>0</v>
      </c>
    </row>
    <row r="84" spans="2:9" ht="15" customHeight="1" x14ac:dyDescent="0.2">
      <c r="B84" t="s">
        <v>329</v>
      </c>
      <c r="C84" s="12">
        <v>1</v>
      </c>
      <c r="D84" s="8">
        <v>1.52</v>
      </c>
      <c r="E84" s="12">
        <v>1</v>
      </c>
      <c r="F84" s="8">
        <v>3.13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292</v>
      </c>
      <c r="C85" s="12">
        <v>1</v>
      </c>
      <c r="D85" s="8">
        <v>1.52</v>
      </c>
      <c r="E85" s="12">
        <v>1</v>
      </c>
      <c r="F85" s="8">
        <v>3.13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294</v>
      </c>
      <c r="C86" s="12">
        <v>1</v>
      </c>
      <c r="D86" s="8">
        <v>1.52</v>
      </c>
      <c r="E86" s="12">
        <v>0</v>
      </c>
      <c r="F86" s="8">
        <v>0</v>
      </c>
      <c r="G86" s="12">
        <v>1</v>
      </c>
      <c r="H86" s="8">
        <v>3.33</v>
      </c>
      <c r="I86" s="12">
        <v>0</v>
      </c>
    </row>
    <row r="87" spans="2:9" ht="15" customHeight="1" x14ac:dyDescent="0.2">
      <c r="B87" t="s">
        <v>372</v>
      </c>
      <c r="C87" s="12">
        <v>1</v>
      </c>
      <c r="D87" s="8">
        <v>1.52</v>
      </c>
      <c r="E87" s="12">
        <v>1</v>
      </c>
      <c r="F87" s="8">
        <v>3.13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295</v>
      </c>
      <c r="C88" s="12">
        <v>1</v>
      </c>
      <c r="D88" s="8">
        <v>1.52</v>
      </c>
      <c r="E88" s="12">
        <v>1</v>
      </c>
      <c r="F88" s="8">
        <v>3.13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426</v>
      </c>
      <c r="C89" s="12">
        <v>1</v>
      </c>
      <c r="D89" s="8">
        <v>1.52</v>
      </c>
      <c r="E89" s="12">
        <v>0</v>
      </c>
      <c r="F89" s="8">
        <v>0</v>
      </c>
      <c r="G89" s="12">
        <v>1</v>
      </c>
      <c r="H89" s="8">
        <v>3.33</v>
      </c>
      <c r="I89" s="12">
        <v>0</v>
      </c>
    </row>
    <row r="90" spans="2:9" ht="15" customHeight="1" x14ac:dyDescent="0.2">
      <c r="B90" t="s">
        <v>310</v>
      </c>
      <c r="C90" s="12">
        <v>1</v>
      </c>
      <c r="D90" s="8">
        <v>1.52</v>
      </c>
      <c r="E90" s="12">
        <v>0</v>
      </c>
      <c r="F90" s="8">
        <v>0</v>
      </c>
      <c r="G90" s="12">
        <v>1</v>
      </c>
      <c r="H90" s="8">
        <v>3.33</v>
      </c>
      <c r="I90" s="12">
        <v>0</v>
      </c>
    </row>
    <row r="91" spans="2:9" ht="15" customHeight="1" x14ac:dyDescent="0.2">
      <c r="B91" t="s">
        <v>415</v>
      </c>
      <c r="C91" s="12">
        <v>1</v>
      </c>
      <c r="D91" s="8">
        <v>1.52</v>
      </c>
      <c r="E91" s="12">
        <v>0</v>
      </c>
      <c r="F91" s="8">
        <v>0</v>
      </c>
      <c r="G91" s="12">
        <v>1</v>
      </c>
      <c r="H91" s="8">
        <v>3.33</v>
      </c>
      <c r="I91" s="12">
        <v>0</v>
      </c>
    </row>
    <row r="92" spans="2:9" ht="15" customHeight="1" x14ac:dyDescent="0.2">
      <c r="B92" t="s">
        <v>383</v>
      </c>
      <c r="C92" s="12">
        <v>1</v>
      </c>
      <c r="D92" s="8">
        <v>1.52</v>
      </c>
      <c r="E92" s="12">
        <v>1</v>
      </c>
      <c r="F92" s="8">
        <v>3.13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482</v>
      </c>
      <c r="C93" s="12">
        <v>1</v>
      </c>
      <c r="D93" s="8">
        <v>1.52</v>
      </c>
      <c r="E93" s="12">
        <v>1</v>
      </c>
      <c r="F93" s="8">
        <v>3.13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298</v>
      </c>
      <c r="C94" s="12">
        <v>1</v>
      </c>
      <c r="D94" s="8">
        <v>1.52</v>
      </c>
      <c r="E94" s="12">
        <v>0</v>
      </c>
      <c r="F94" s="8">
        <v>0</v>
      </c>
      <c r="G94" s="12">
        <v>1</v>
      </c>
      <c r="H94" s="8">
        <v>3.33</v>
      </c>
      <c r="I94" s="12">
        <v>0</v>
      </c>
    </row>
    <row r="95" spans="2:9" ht="15" customHeight="1" x14ac:dyDescent="0.2">
      <c r="B95" t="s">
        <v>422</v>
      </c>
      <c r="C95" s="12">
        <v>1</v>
      </c>
      <c r="D95" s="8">
        <v>1.52</v>
      </c>
      <c r="E95" s="12">
        <v>1</v>
      </c>
      <c r="F95" s="8">
        <v>3.13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334</v>
      </c>
      <c r="C96" s="12">
        <v>1</v>
      </c>
      <c r="D96" s="8">
        <v>1.52</v>
      </c>
      <c r="E96" s="12">
        <v>1</v>
      </c>
      <c r="F96" s="8">
        <v>3.13</v>
      </c>
      <c r="G96" s="12">
        <v>0</v>
      </c>
      <c r="H96" s="8">
        <v>0</v>
      </c>
      <c r="I96" s="12">
        <v>0</v>
      </c>
    </row>
    <row r="97" spans="2:9" ht="15" customHeight="1" x14ac:dyDescent="0.2">
      <c r="B97" t="s">
        <v>299</v>
      </c>
      <c r="C97" s="12">
        <v>1</v>
      </c>
      <c r="D97" s="8">
        <v>1.52</v>
      </c>
      <c r="E97" s="12">
        <v>1</v>
      </c>
      <c r="F97" s="8">
        <v>3.13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419</v>
      </c>
      <c r="C98" s="12">
        <v>1</v>
      </c>
      <c r="D98" s="8">
        <v>1.52</v>
      </c>
      <c r="E98" s="12">
        <v>1</v>
      </c>
      <c r="F98" s="8">
        <v>3.13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349</v>
      </c>
      <c r="C99" s="12">
        <v>1</v>
      </c>
      <c r="D99" s="8">
        <v>1.52</v>
      </c>
      <c r="E99" s="12">
        <v>1</v>
      </c>
      <c r="F99" s="8">
        <v>3.13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423</v>
      </c>
      <c r="C100" s="12">
        <v>1</v>
      </c>
      <c r="D100" s="8">
        <v>1.52</v>
      </c>
      <c r="E100" s="12">
        <v>1</v>
      </c>
      <c r="F100" s="8">
        <v>3.13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323</v>
      </c>
      <c r="C101" s="12">
        <v>1</v>
      </c>
      <c r="D101" s="8">
        <v>1.52</v>
      </c>
      <c r="E101" s="12">
        <v>0</v>
      </c>
      <c r="F101" s="8">
        <v>0</v>
      </c>
      <c r="G101" s="12">
        <v>1</v>
      </c>
      <c r="H101" s="8">
        <v>3.33</v>
      </c>
      <c r="I101" s="12">
        <v>0</v>
      </c>
    </row>
    <row r="102" spans="2:9" ht="15" customHeight="1" x14ac:dyDescent="0.2">
      <c r="B102" t="s">
        <v>304</v>
      </c>
      <c r="C102" s="12">
        <v>1</v>
      </c>
      <c r="D102" s="8">
        <v>1.52</v>
      </c>
      <c r="E102" s="12">
        <v>1</v>
      </c>
      <c r="F102" s="8">
        <v>3.13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391</v>
      </c>
      <c r="C103" s="12">
        <v>1</v>
      </c>
      <c r="D103" s="8">
        <v>1.52</v>
      </c>
      <c r="E103" s="12">
        <v>0</v>
      </c>
      <c r="F103" s="8">
        <v>0</v>
      </c>
      <c r="G103" s="12">
        <v>1</v>
      </c>
      <c r="H103" s="8">
        <v>3.33</v>
      </c>
      <c r="I103" s="12">
        <v>0</v>
      </c>
    </row>
    <row r="104" spans="2:9" ht="15" customHeight="1" x14ac:dyDescent="0.2">
      <c r="B104" t="s">
        <v>312</v>
      </c>
      <c r="C104" s="12">
        <v>1</v>
      </c>
      <c r="D104" s="8">
        <v>1.52</v>
      </c>
      <c r="E104" s="12">
        <v>1</v>
      </c>
      <c r="F104" s="8">
        <v>3.13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306</v>
      </c>
      <c r="C105" s="12">
        <v>1</v>
      </c>
      <c r="D105" s="8">
        <v>1.52</v>
      </c>
      <c r="E105" s="12">
        <v>1</v>
      </c>
      <c r="F105" s="8">
        <v>3.13</v>
      </c>
      <c r="G105" s="12">
        <v>0</v>
      </c>
      <c r="H105" s="8">
        <v>0</v>
      </c>
      <c r="I105" s="12">
        <v>0</v>
      </c>
    </row>
    <row r="106" spans="2:9" ht="15" customHeight="1" x14ac:dyDescent="0.2">
      <c r="B106" t="s">
        <v>341</v>
      </c>
      <c r="C106" s="12">
        <v>1</v>
      </c>
      <c r="D106" s="8">
        <v>1.52</v>
      </c>
      <c r="E106" s="12">
        <v>0</v>
      </c>
      <c r="F106" s="8">
        <v>0</v>
      </c>
      <c r="G106" s="12">
        <v>0</v>
      </c>
      <c r="H106" s="8">
        <v>0</v>
      </c>
      <c r="I106" s="12">
        <v>0</v>
      </c>
    </row>
    <row r="107" spans="2:9" ht="15" customHeight="1" x14ac:dyDescent="0.2">
      <c r="B107" t="s">
        <v>331</v>
      </c>
      <c r="C107" s="12">
        <v>1</v>
      </c>
      <c r="D107" s="8">
        <v>1.52</v>
      </c>
      <c r="E107" s="12">
        <v>0</v>
      </c>
      <c r="F107" s="8">
        <v>0</v>
      </c>
      <c r="G107" s="12">
        <v>0</v>
      </c>
      <c r="H107" s="8">
        <v>0</v>
      </c>
      <c r="I107" s="12">
        <v>0</v>
      </c>
    </row>
    <row r="108" spans="2:9" ht="15" customHeight="1" x14ac:dyDescent="0.2">
      <c r="B108" t="s">
        <v>523</v>
      </c>
      <c r="C108" s="12">
        <v>1</v>
      </c>
      <c r="D108" s="8">
        <v>1.52</v>
      </c>
      <c r="E108" s="12">
        <v>0</v>
      </c>
      <c r="F108" s="8">
        <v>0</v>
      </c>
      <c r="G108" s="12">
        <v>1</v>
      </c>
      <c r="H108" s="8">
        <v>3.33</v>
      </c>
      <c r="I108" s="12">
        <v>0</v>
      </c>
    </row>
    <row r="110" spans="2:9" ht="15" customHeight="1" x14ac:dyDescent="0.2">
      <c r="B11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D34A1-A48D-4975-A927-44820EF3444F}">
  <sheetPr>
    <pageSetUpPr fitToPage="1"/>
  </sheetPr>
  <dimension ref="B2:I8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19</v>
      </c>
      <c r="D6" s="8">
        <v>13.19</v>
      </c>
      <c r="E6" s="12">
        <v>8</v>
      </c>
      <c r="F6" s="8">
        <v>10.53</v>
      </c>
      <c r="G6" s="12">
        <v>11</v>
      </c>
      <c r="H6" s="8">
        <v>18.329999999999998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6.25</v>
      </c>
      <c r="E7" s="12">
        <v>3</v>
      </c>
      <c r="F7" s="8">
        <v>3.95</v>
      </c>
      <c r="G7" s="12">
        <v>6</v>
      </c>
      <c r="H7" s="8">
        <v>10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0.69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3.47</v>
      </c>
      <c r="E10" s="12">
        <v>1</v>
      </c>
      <c r="F10" s="8">
        <v>1.32</v>
      </c>
      <c r="G10" s="12">
        <v>4</v>
      </c>
      <c r="H10" s="8">
        <v>6.67</v>
      </c>
      <c r="I10" s="12">
        <v>0</v>
      </c>
    </row>
    <row r="11" spans="2:9" ht="15" customHeight="1" x14ac:dyDescent="0.2">
      <c r="B11" t="s">
        <v>196</v>
      </c>
      <c r="C11" s="12">
        <v>37</v>
      </c>
      <c r="D11" s="8">
        <v>25.69</v>
      </c>
      <c r="E11" s="12">
        <v>16</v>
      </c>
      <c r="F11" s="8">
        <v>21.05</v>
      </c>
      <c r="G11" s="12">
        <v>21</v>
      </c>
      <c r="H11" s="8">
        <v>35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10</v>
      </c>
      <c r="D13" s="8">
        <v>6.94</v>
      </c>
      <c r="E13" s="12">
        <v>6</v>
      </c>
      <c r="F13" s="8">
        <v>7.89</v>
      </c>
      <c r="G13" s="12">
        <v>3</v>
      </c>
      <c r="H13" s="8">
        <v>5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2.78</v>
      </c>
      <c r="E14" s="12">
        <v>2</v>
      </c>
      <c r="F14" s="8">
        <v>2.63</v>
      </c>
      <c r="G14" s="12">
        <v>2</v>
      </c>
      <c r="H14" s="8">
        <v>3.33</v>
      </c>
      <c r="I14" s="12">
        <v>0</v>
      </c>
    </row>
    <row r="15" spans="2:9" ht="15" customHeight="1" x14ac:dyDescent="0.2">
      <c r="B15" t="s">
        <v>200</v>
      </c>
      <c r="C15" s="12">
        <v>27</v>
      </c>
      <c r="D15" s="8">
        <v>18.75</v>
      </c>
      <c r="E15" s="12">
        <v>24</v>
      </c>
      <c r="F15" s="8">
        <v>31.58</v>
      </c>
      <c r="G15" s="12">
        <v>3</v>
      </c>
      <c r="H15" s="8">
        <v>5</v>
      </c>
      <c r="I15" s="12">
        <v>0</v>
      </c>
    </row>
    <row r="16" spans="2:9" ht="15" customHeight="1" x14ac:dyDescent="0.2">
      <c r="B16" t="s">
        <v>201</v>
      </c>
      <c r="C16" s="12">
        <v>10</v>
      </c>
      <c r="D16" s="8">
        <v>6.94</v>
      </c>
      <c r="E16" s="12">
        <v>9</v>
      </c>
      <c r="F16" s="8">
        <v>11.84</v>
      </c>
      <c r="G16" s="12">
        <v>1</v>
      </c>
      <c r="H16" s="8">
        <v>1.67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4.8600000000000003</v>
      </c>
      <c r="E17" s="12">
        <v>2</v>
      </c>
      <c r="F17" s="8">
        <v>2.63</v>
      </c>
      <c r="G17" s="12">
        <v>2</v>
      </c>
      <c r="H17" s="8">
        <v>3.33</v>
      </c>
      <c r="I17" s="12">
        <v>0</v>
      </c>
    </row>
    <row r="18" spans="2:9" ht="15" customHeight="1" x14ac:dyDescent="0.2">
      <c r="B18" t="s">
        <v>203</v>
      </c>
      <c r="C18" s="12">
        <v>8</v>
      </c>
      <c r="D18" s="8">
        <v>5.56</v>
      </c>
      <c r="E18" s="12">
        <v>2</v>
      </c>
      <c r="F18" s="8">
        <v>2.63</v>
      </c>
      <c r="G18" s="12">
        <v>3</v>
      </c>
      <c r="H18" s="8">
        <v>5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4.8600000000000003</v>
      </c>
      <c r="E19" s="12">
        <v>3</v>
      </c>
      <c r="F19" s="8">
        <v>3.95</v>
      </c>
      <c r="G19" s="12">
        <v>4</v>
      </c>
      <c r="H19" s="8">
        <v>6.67</v>
      </c>
      <c r="I19" s="12">
        <v>0</v>
      </c>
    </row>
    <row r="20" spans="2:9" ht="15" customHeight="1" x14ac:dyDescent="0.2">
      <c r="B20" s="9" t="s">
        <v>529</v>
      </c>
      <c r="C20" s="12">
        <f>SUM(LTBL_01649[総数／事業所数])</f>
        <v>144</v>
      </c>
      <c r="E20" s="12">
        <f>SUBTOTAL(109,LTBL_01649[個人／事業所数])</f>
        <v>76</v>
      </c>
      <c r="G20" s="12">
        <f>SUBTOTAL(109,LTBL_01649[法人／事業所数])</f>
        <v>60</v>
      </c>
      <c r="I20" s="12">
        <f>SUBTOTAL(109,LTBL_01649[法人以外の団体／事業所数])</f>
        <v>0</v>
      </c>
    </row>
    <row r="21" spans="2:9" ht="15" customHeight="1" x14ac:dyDescent="0.2">
      <c r="E21" s="11">
        <f>LTBL_01649[[#Totals],[個人／事業所数]]/LTBL_01649[[#Totals],[総数／事業所数]]</f>
        <v>0.52777777777777779</v>
      </c>
      <c r="G21" s="11">
        <f>LTBL_01649[[#Totals],[法人／事業所数]]/LTBL_01649[[#Totals],[総数／事業所数]]</f>
        <v>0.41666666666666669</v>
      </c>
      <c r="I21" s="11">
        <f>LTBL_01649[[#Totals],[法人以外の団体／事業所数]]/LTBL_01649[[#Totals],[総数／事業所数]]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20</v>
      </c>
      <c r="D24" s="8">
        <v>13.89</v>
      </c>
      <c r="E24" s="12">
        <v>18</v>
      </c>
      <c r="F24" s="8">
        <v>23.68</v>
      </c>
      <c r="G24" s="12">
        <v>2</v>
      </c>
      <c r="H24" s="8">
        <v>3.33</v>
      </c>
      <c r="I24" s="12">
        <v>0</v>
      </c>
    </row>
    <row r="25" spans="2:9" ht="15" customHeight="1" x14ac:dyDescent="0.2">
      <c r="B25" t="s">
        <v>223</v>
      </c>
      <c r="C25" s="12">
        <v>15</v>
      </c>
      <c r="D25" s="8">
        <v>10.42</v>
      </c>
      <c r="E25" s="12">
        <v>7</v>
      </c>
      <c r="F25" s="8">
        <v>9.2100000000000009</v>
      </c>
      <c r="G25" s="12">
        <v>8</v>
      </c>
      <c r="H25" s="8">
        <v>13.33</v>
      </c>
      <c r="I25" s="12">
        <v>0</v>
      </c>
    </row>
    <row r="26" spans="2:9" ht="15" customHeight="1" x14ac:dyDescent="0.2">
      <c r="B26" t="s">
        <v>221</v>
      </c>
      <c r="C26" s="12">
        <v>11</v>
      </c>
      <c r="D26" s="8">
        <v>7.64</v>
      </c>
      <c r="E26" s="12">
        <v>6</v>
      </c>
      <c r="F26" s="8">
        <v>7.89</v>
      </c>
      <c r="G26" s="12">
        <v>5</v>
      </c>
      <c r="H26" s="8">
        <v>8.33</v>
      </c>
      <c r="I26" s="12">
        <v>0</v>
      </c>
    </row>
    <row r="27" spans="2:9" ht="15" customHeight="1" x14ac:dyDescent="0.2">
      <c r="B27" t="s">
        <v>213</v>
      </c>
      <c r="C27" s="12">
        <v>9</v>
      </c>
      <c r="D27" s="8">
        <v>6.25</v>
      </c>
      <c r="E27" s="12">
        <v>2</v>
      </c>
      <c r="F27" s="8">
        <v>2.63</v>
      </c>
      <c r="G27" s="12">
        <v>7</v>
      </c>
      <c r="H27" s="8">
        <v>11.67</v>
      </c>
      <c r="I27" s="12">
        <v>0</v>
      </c>
    </row>
    <row r="28" spans="2:9" ht="15" customHeight="1" x14ac:dyDescent="0.2">
      <c r="B28" t="s">
        <v>228</v>
      </c>
      <c r="C28" s="12">
        <v>9</v>
      </c>
      <c r="D28" s="8">
        <v>6.25</v>
      </c>
      <c r="E28" s="12">
        <v>9</v>
      </c>
      <c r="F28" s="8">
        <v>11.84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224</v>
      </c>
      <c r="C29" s="12">
        <v>8</v>
      </c>
      <c r="D29" s="8">
        <v>5.56</v>
      </c>
      <c r="E29" s="12">
        <v>6</v>
      </c>
      <c r="F29" s="8">
        <v>7.89</v>
      </c>
      <c r="G29" s="12">
        <v>1</v>
      </c>
      <c r="H29" s="8">
        <v>1.67</v>
      </c>
      <c r="I29" s="12">
        <v>0</v>
      </c>
    </row>
    <row r="30" spans="2:9" ht="15" customHeight="1" x14ac:dyDescent="0.2">
      <c r="B30" t="s">
        <v>230</v>
      </c>
      <c r="C30" s="12">
        <v>7</v>
      </c>
      <c r="D30" s="8">
        <v>4.8600000000000003</v>
      </c>
      <c r="E30" s="12">
        <v>2</v>
      </c>
      <c r="F30" s="8">
        <v>2.63</v>
      </c>
      <c r="G30" s="12">
        <v>2</v>
      </c>
      <c r="H30" s="8">
        <v>3.33</v>
      </c>
      <c r="I30" s="12">
        <v>0</v>
      </c>
    </row>
    <row r="31" spans="2:9" ht="15" customHeight="1" x14ac:dyDescent="0.2">
      <c r="B31" t="s">
        <v>214</v>
      </c>
      <c r="C31" s="12">
        <v>5</v>
      </c>
      <c r="D31" s="8">
        <v>3.47</v>
      </c>
      <c r="E31" s="12">
        <v>3</v>
      </c>
      <c r="F31" s="8">
        <v>3.95</v>
      </c>
      <c r="G31" s="12">
        <v>2</v>
      </c>
      <c r="H31" s="8">
        <v>3.33</v>
      </c>
      <c r="I31" s="12">
        <v>0</v>
      </c>
    </row>
    <row r="32" spans="2:9" ht="15" customHeight="1" x14ac:dyDescent="0.2">
      <c r="B32" t="s">
        <v>215</v>
      </c>
      <c r="C32" s="12">
        <v>5</v>
      </c>
      <c r="D32" s="8">
        <v>3.47</v>
      </c>
      <c r="E32" s="12">
        <v>3</v>
      </c>
      <c r="F32" s="8">
        <v>3.95</v>
      </c>
      <c r="G32" s="12">
        <v>2</v>
      </c>
      <c r="H32" s="8">
        <v>3.33</v>
      </c>
      <c r="I32" s="12">
        <v>0</v>
      </c>
    </row>
    <row r="33" spans="2:9" ht="15" customHeight="1" x14ac:dyDescent="0.2">
      <c r="B33" t="s">
        <v>243</v>
      </c>
      <c r="C33" s="12">
        <v>5</v>
      </c>
      <c r="D33" s="8">
        <v>3.47</v>
      </c>
      <c r="E33" s="12">
        <v>5</v>
      </c>
      <c r="F33" s="8">
        <v>6.58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232</v>
      </c>
      <c r="C34" s="12">
        <v>5</v>
      </c>
      <c r="D34" s="8">
        <v>3.47</v>
      </c>
      <c r="E34" s="12">
        <v>0</v>
      </c>
      <c r="F34" s="8">
        <v>0</v>
      </c>
      <c r="G34" s="12">
        <v>2</v>
      </c>
      <c r="H34" s="8">
        <v>3.33</v>
      </c>
      <c r="I34" s="12">
        <v>0</v>
      </c>
    </row>
    <row r="35" spans="2:9" ht="15" customHeight="1" x14ac:dyDescent="0.2">
      <c r="B35" t="s">
        <v>220</v>
      </c>
      <c r="C35" s="12">
        <v>4</v>
      </c>
      <c r="D35" s="8">
        <v>2.78</v>
      </c>
      <c r="E35" s="12">
        <v>1</v>
      </c>
      <c r="F35" s="8">
        <v>1.32</v>
      </c>
      <c r="G35" s="12">
        <v>3</v>
      </c>
      <c r="H35" s="8">
        <v>5</v>
      </c>
      <c r="I35" s="12">
        <v>0</v>
      </c>
    </row>
    <row r="36" spans="2:9" ht="15" customHeight="1" x14ac:dyDescent="0.2">
      <c r="B36" t="s">
        <v>254</v>
      </c>
      <c r="C36" s="12">
        <v>3</v>
      </c>
      <c r="D36" s="8">
        <v>2.08</v>
      </c>
      <c r="E36" s="12">
        <v>1</v>
      </c>
      <c r="F36" s="8">
        <v>1.32</v>
      </c>
      <c r="G36" s="12">
        <v>2</v>
      </c>
      <c r="H36" s="8">
        <v>3.33</v>
      </c>
      <c r="I36" s="12">
        <v>0</v>
      </c>
    </row>
    <row r="37" spans="2:9" ht="15" customHeight="1" x14ac:dyDescent="0.2">
      <c r="B37" t="s">
        <v>248</v>
      </c>
      <c r="C37" s="12">
        <v>3</v>
      </c>
      <c r="D37" s="8">
        <v>2.08</v>
      </c>
      <c r="E37" s="12">
        <v>1</v>
      </c>
      <c r="F37" s="8">
        <v>1.32</v>
      </c>
      <c r="G37" s="12">
        <v>2</v>
      </c>
      <c r="H37" s="8">
        <v>3.33</v>
      </c>
      <c r="I37" s="12">
        <v>0</v>
      </c>
    </row>
    <row r="38" spans="2:9" ht="15" customHeight="1" x14ac:dyDescent="0.2">
      <c r="B38" t="s">
        <v>222</v>
      </c>
      <c r="C38" s="12">
        <v>3</v>
      </c>
      <c r="D38" s="8">
        <v>2.08</v>
      </c>
      <c r="E38" s="12">
        <v>1</v>
      </c>
      <c r="F38" s="8">
        <v>1.32</v>
      </c>
      <c r="G38" s="12">
        <v>2</v>
      </c>
      <c r="H38" s="8">
        <v>3.33</v>
      </c>
      <c r="I38" s="12">
        <v>0</v>
      </c>
    </row>
    <row r="39" spans="2:9" ht="15" customHeight="1" x14ac:dyDescent="0.2">
      <c r="B39" t="s">
        <v>226</v>
      </c>
      <c r="C39" s="12">
        <v>3</v>
      </c>
      <c r="D39" s="8">
        <v>2.08</v>
      </c>
      <c r="E39" s="12">
        <v>1</v>
      </c>
      <c r="F39" s="8">
        <v>1.32</v>
      </c>
      <c r="G39" s="12">
        <v>2</v>
      </c>
      <c r="H39" s="8">
        <v>3.33</v>
      </c>
      <c r="I39" s="12">
        <v>0</v>
      </c>
    </row>
    <row r="40" spans="2:9" ht="15" customHeight="1" x14ac:dyDescent="0.2">
      <c r="B40" t="s">
        <v>231</v>
      </c>
      <c r="C40" s="12">
        <v>3</v>
      </c>
      <c r="D40" s="8">
        <v>2.08</v>
      </c>
      <c r="E40" s="12">
        <v>2</v>
      </c>
      <c r="F40" s="8">
        <v>2.63</v>
      </c>
      <c r="G40" s="12">
        <v>1</v>
      </c>
      <c r="H40" s="8">
        <v>1.67</v>
      </c>
      <c r="I40" s="12">
        <v>0</v>
      </c>
    </row>
    <row r="41" spans="2:9" ht="15" customHeight="1" x14ac:dyDescent="0.2">
      <c r="B41" t="s">
        <v>240</v>
      </c>
      <c r="C41" s="12">
        <v>3</v>
      </c>
      <c r="D41" s="8">
        <v>2.08</v>
      </c>
      <c r="E41" s="12">
        <v>2</v>
      </c>
      <c r="F41" s="8">
        <v>2.63</v>
      </c>
      <c r="G41" s="12">
        <v>1</v>
      </c>
      <c r="H41" s="8">
        <v>1.67</v>
      </c>
      <c r="I41" s="12">
        <v>0</v>
      </c>
    </row>
    <row r="42" spans="2:9" ht="15" customHeight="1" x14ac:dyDescent="0.2">
      <c r="B42" t="s">
        <v>244</v>
      </c>
      <c r="C42" s="12">
        <v>2</v>
      </c>
      <c r="D42" s="8">
        <v>1.39</v>
      </c>
      <c r="E42" s="12">
        <v>0</v>
      </c>
      <c r="F42" s="8">
        <v>0</v>
      </c>
      <c r="G42" s="12">
        <v>2</v>
      </c>
      <c r="H42" s="8">
        <v>3.33</v>
      </c>
      <c r="I42" s="12">
        <v>0</v>
      </c>
    </row>
    <row r="43" spans="2:9" ht="15" customHeight="1" x14ac:dyDescent="0.2">
      <c r="B43" t="s">
        <v>236</v>
      </c>
      <c r="C43" s="12">
        <v>2</v>
      </c>
      <c r="D43" s="8">
        <v>1.39</v>
      </c>
      <c r="E43" s="12">
        <v>1</v>
      </c>
      <c r="F43" s="8">
        <v>1.32</v>
      </c>
      <c r="G43" s="12">
        <v>1</v>
      </c>
      <c r="H43" s="8">
        <v>1.67</v>
      </c>
      <c r="I43" s="12">
        <v>0</v>
      </c>
    </row>
    <row r="44" spans="2:9" ht="15" customHeight="1" x14ac:dyDescent="0.2">
      <c r="B44" t="s">
        <v>246</v>
      </c>
      <c r="C44" s="12">
        <v>2</v>
      </c>
      <c r="D44" s="8">
        <v>1.39</v>
      </c>
      <c r="E44" s="12">
        <v>0</v>
      </c>
      <c r="F44" s="8">
        <v>0</v>
      </c>
      <c r="G44" s="12">
        <v>2</v>
      </c>
      <c r="H44" s="8">
        <v>3.33</v>
      </c>
      <c r="I44" s="12">
        <v>0</v>
      </c>
    </row>
    <row r="45" spans="2:9" ht="15" customHeight="1" x14ac:dyDescent="0.2">
      <c r="B45" t="s">
        <v>239</v>
      </c>
      <c r="C45" s="12">
        <v>2</v>
      </c>
      <c r="D45" s="8">
        <v>1.39</v>
      </c>
      <c r="E45" s="12">
        <v>1</v>
      </c>
      <c r="F45" s="8">
        <v>1.32</v>
      </c>
      <c r="G45" s="12">
        <v>1</v>
      </c>
      <c r="H45" s="8">
        <v>1.67</v>
      </c>
      <c r="I45" s="12">
        <v>0</v>
      </c>
    </row>
    <row r="46" spans="2:9" ht="15" customHeight="1" x14ac:dyDescent="0.2">
      <c r="B46" t="s">
        <v>242</v>
      </c>
      <c r="C46" s="12">
        <v>2</v>
      </c>
      <c r="D46" s="8">
        <v>1.39</v>
      </c>
      <c r="E46" s="12">
        <v>1</v>
      </c>
      <c r="F46" s="8">
        <v>1.32</v>
      </c>
      <c r="G46" s="12">
        <v>1</v>
      </c>
      <c r="H46" s="8">
        <v>1.67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297</v>
      </c>
      <c r="C50" s="12">
        <v>6</v>
      </c>
      <c r="D50" s="8">
        <v>4.17</v>
      </c>
      <c r="E50" s="12">
        <v>5</v>
      </c>
      <c r="F50" s="8">
        <v>6.58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288</v>
      </c>
      <c r="C51" s="12">
        <v>5</v>
      </c>
      <c r="D51" s="8">
        <v>3.47</v>
      </c>
      <c r="E51" s="12">
        <v>0</v>
      </c>
      <c r="F51" s="8">
        <v>0</v>
      </c>
      <c r="G51" s="12">
        <v>5</v>
      </c>
      <c r="H51" s="8">
        <v>8.33</v>
      </c>
      <c r="I51" s="12">
        <v>0</v>
      </c>
    </row>
    <row r="52" spans="2:9" ht="15" customHeight="1" x14ac:dyDescent="0.2">
      <c r="B52" t="s">
        <v>292</v>
      </c>
      <c r="C52" s="12">
        <v>5</v>
      </c>
      <c r="D52" s="8">
        <v>3.47</v>
      </c>
      <c r="E52" s="12">
        <v>2</v>
      </c>
      <c r="F52" s="8">
        <v>2.63</v>
      </c>
      <c r="G52" s="12">
        <v>3</v>
      </c>
      <c r="H52" s="8">
        <v>5</v>
      </c>
      <c r="I52" s="12">
        <v>0</v>
      </c>
    </row>
    <row r="53" spans="2:9" ht="15" customHeight="1" x14ac:dyDescent="0.2">
      <c r="B53" t="s">
        <v>337</v>
      </c>
      <c r="C53" s="12">
        <v>5</v>
      </c>
      <c r="D53" s="8">
        <v>3.47</v>
      </c>
      <c r="E53" s="12">
        <v>2</v>
      </c>
      <c r="F53" s="8">
        <v>2.63</v>
      </c>
      <c r="G53" s="12">
        <v>3</v>
      </c>
      <c r="H53" s="8">
        <v>5</v>
      </c>
      <c r="I53" s="12">
        <v>0</v>
      </c>
    </row>
    <row r="54" spans="2:9" ht="15" customHeight="1" x14ac:dyDescent="0.2">
      <c r="B54" t="s">
        <v>339</v>
      </c>
      <c r="C54" s="12">
        <v>5</v>
      </c>
      <c r="D54" s="8">
        <v>3.47</v>
      </c>
      <c r="E54" s="12">
        <v>5</v>
      </c>
      <c r="F54" s="8">
        <v>6.58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334</v>
      </c>
      <c r="C55" s="12">
        <v>5</v>
      </c>
      <c r="D55" s="8">
        <v>3.47</v>
      </c>
      <c r="E55" s="12">
        <v>4</v>
      </c>
      <c r="F55" s="8">
        <v>5.26</v>
      </c>
      <c r="G55" s="12">
        <v>1</v>
      </c>
      <c r="H55" s="8">
        <v>1.67</v>
      </c>
      <c r="I55" s="12">
        <v>0</v>
      </c>
    </row>
    <row r="56" spans="2:9" ht="15" customHeight="1" x14ac:dyDescent="0.2">
      <c r="B56" t="s">
        <v>300</v>
      </c>
      <c r="C56" s="12">
        <v>5</v>
      </c>
      <c r="D56" s="8">
        <v>3.47</v>
      </c>
      <c r="E56" s="12">
        <v>5</v>
      </c>
      <c r="F56" s="8">
        <v>6.58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303</v>
      </c>
      <c r="C57" s="12">
        <v>5</v>
      </c>
      <c r="D57" s="8">
        <v>3.47</v>
      </c>
      <c r="E57" s="12">
        <v>5</v>
      </c>
      <c r="F57" s="8">
        <v>6.58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295</v>
      </c>
      <c r="C58" s="12">
        <v>4</v>
      </c>
      <c r="D58" s="8">
        <v>2.78</v>
      </c>
      <c r="E58" s="12">
        <v>2</v>
      </c>
      <c r="F58" s="8">
        <v>2.63</v>
      </c>
      <c r="G58" s="12">
        <v>2</v>
      </c>
      <c r="H58" s="8">
        <v>3.33</v>
      </c>
      <c r="I58" s="12">
        <v>0</v>
      </c>
    </row>
    <row r="59" spans="2:9" ht="15" customHeight="1" x14ac:dyDescent="0.2">
      <c r="B59" t="s">
        <v>301</v>
      </c>
      <c r="C59" s="12">
        <v>4</v>
      </c>
      <c r="D59" s="8">
        <v>2.78</v>
      </c>
      <c r="E59" s="12">
        <v>4</v>
      </c>
      <c r="F59" s="8">
        <v>5.26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304</v>
      </c>
      <c r="C60" s="12">
        <v>4</v>
      </c>
      <c r="D60" s="8">
        <v>2.78</v>
      </c>
      <c r="E60" s="12">
        <v>4</v>
      </c>
      <c r="F60" s="8">
        <v>5.26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291</v>
      </c>
      <c r="C61" s="12">
        <v>3</v>
      </c>
      <c r="D61" s="8">
        <v>2.08</v>
      </c>
      <c r="E61" s="12">
        <v>2</v>
      </c>
      <c r="F61" s="8">
        <v>2.63</v>
      </c>
      <c r="G61" s="12">
        <v>1</v>
      </c>
      <c r="H61" s="8">
        <v>1.67</v>
      </c>
      <c r="I61" s="12">
        <v>0</v>
      </c>
    </row>
    <row r="62" spans="2:9" ht="15" customHeight="1" x14ac:dyDescent="0.2">
      <c r="B62" t="s">
        <v>350</v>
      </c>
      <c r="C62" s="12">
        <v>3</v>
      </c>
      <c r="D62" s="8">
        <v>2.08</v>
      </c>
      <c r="E62" s="12">
        <v>1</v>
      </c>
      <c r="F62" s="8">
        <v>1.32</v>
      </c>
      <c r="G62" s="12">
        <v>2</v>
      </c>
      <c r="H62" s="8">
        <v>3.33</v>
      </c>
      <c r="I62" s="12">
        <v>0</v>
      </c>
    </row>
    <row r="63" spans="2:9" ht="15" customHeight="1" x14ac:dyDescent="0.2">
      <c r="B63" t="s">
        <v>335</v>
      </c>
      <c r="C63" s="12">
        <v>3</v>
      </c>
      <c r="D63" s="8">
        <v>2.08</v>
      </c>
      <c r="E63" s="12">
        <v>1</v>
      </c>
      <c r="F63" s="8">
        <v>1.32</v>
      </c>
      <c r="G63" s="12">
        <v>2</v>
      </c>
      <c r="H63" s="8">
        <v>3.33</v>
      </c>
      <c r="I63" s="12">
        <v>0</v>
      </c>
    </row>
    <row r="64" spans="2:9" ht="15" customHeight="1" x14ac:dyDescent="0.2">
      <c r="B64" t="s">
        <v>330</v>
      </c>
      <c r="C64" s="12">
        <v>3</v>
      </c>
      <c r="D64" s="8">
        <v>2.08</v>
      </c>
      <c r="E64" s="12">
        <v>0</v>
      </c>
      <c r="F64" s="8">
        <v>0</v>
      </c>
      <c r="G64" s="12">
        <v>3</v>
      </c>
      <c r="H64" s="8">
        <v>5</v>
      </c>
      <c r="I64" s="12">
        <v>0</v>
      </c>
    </row>
    <row r="65" spans="2:9" ht="15" customHeight="1" x14ac:dyDescent="0.2">
      <c r="B65" t="s">
        <v>299</v>
      </c>
      <c r="C65" s="12">
        <v>3</v>
      </c>
      <c r="D65" s="8">
        <v>2.08</v>
      </c>
      <c r="E65" s="12">
        <v>3</v>
      </c>
      <c r="F65" s="8">
        <v>3.95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340</v>
      </c>
      <c r="C66" s="12">
        <v>3</v>
      </c>
      <c r="D66" s="8">
        <v>2.08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307</v>
      </c>
      <c r="C67" s="12">
        <v>3</v>
      </c>
      <c r="D67" s="8">
        <v>2.08</v>
      </c>
      <c r="E67" s="12">
        <v>2</v>
      </c>
      <c r="F67" s="8">
        <v>2.63</v>
      </c>
      <c r="G67" s="12">
        <v>1</v>
      </c>
      <c r="H67" s="8">
        <v>1.67</v>
      </c>
      <c r="I67" s="12">
        <v>0</v>
      </c>
    </row>
    <row r="68" spans="2:9" ht="15" customHeight="1" x14ac:dyDescent="0.2">
      <c r="B68" t="s">
        <v>328</v>
      </c>
      <c r="C68" s="12">
        <v>2</v>
      </c>
      <c r="D68" s="8">
        <v>1.39</v>
      </c>
      <c r="E68" s="12">
        <v>2</v>
      </c>
      <c r="F68" s="8">
        <v>2.63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353</v>
      </c>
      <c r="C69" s="12">
        <v>2</v>
      </c>
      <c r="D69" s="8">
        <v>1.39</v>
      </c>
      <c r="E69" s="12">
        <v>1</v>
      </c>
      <c r="F69" s="8">
        <v>1.32</v>
      </c>
      <c r="G69" s="12">
        <v>1</v>
      </c>
      <c r="H69" s="8">
        <v>1.67</v>
      </c>
      <c r="I69" s="12">
        <v>0</v>
      </c>
    </row>
    <row r="70" spans="2:9" ht="15" customHeight="1" x14ac:dyDescent="0.2">
      <c r="B70" t="s">
        <v>290</v>
      </c>
      <c r="C70" s="12">
        <v>2</v>
      </c>
      <c r="D70" s="8">
        <v>1.39</v>
      </c>
      <c r="E70" s="12">
        <v>1</v>
      </c>
      <c r="F70" s="8">
        <v>1.32</v>
      </c>
      <c r="G70" s="12">
        <v>1</v>
      </c>
      <c r="H70" s="8">
        <v>1.67</v>
      </c>
      <c r="I70" s="12">
        <v>0</v>
      </c>
    </row>
    <row r="71" spans="2:9" ht="15" customHeight="1" x14ac:dyDescent="0.2">
      <c r="B71" t="s">
        <v>385</v>
      </c>
      <c r="C71" s="12">
        <v>2</v>
      </c>
      <c r="D71" s="8">
        <v>1.39</v>
      </c>
      <c r="E71" s="12">
        <v>0</v>
      </c>
      <c r="F71" s="8">
        <v>0</v>
      </c>
      <c r="G71" s="12">
        <v>2</v>
      </c>
      <c r="H71" s="8">
        <v>3.33</v>
      </c>
      <c r="I71" s="12">
        <v>0</v>
      </c>
    </row>
    <row r="72" spans="2:9" ht="15" customHeight="1" x14ac:dyDescent="0.2">
      <c r="B72" t="s">
        <v>314</v>
      </c>
      <c r="C72" s="12">
        <v>2</v>
      </c>
      <c r="D72" s="8">
        <v>1.39</v>
      </c>
      <c r="E72" s="12">
        <v>1</v>
      </c>
      <c r="F72" s="8">
        <v>1.32</v>
      </c>
      <c r="G72" s="12">
        <v>1</v>
      </c>
      <c r="H72" s="8">
        <v>1.67</v>
      </c>
      <c r="I72" s="12">
        <v>0</v>
      </c>
    </row>
    <row r="73" spans="2:9" ht="15" customHeight="1" x14ac:dyDescent="0.2">
      <c r="B73" t="s">
        <v>382</v>
      </c>
      <c r="C73" s="12">
        <v>2</v>
      </c>
      <c r="D73" s="8">
        <v>1.39</v>
      </c>
      <c r="E73" s="12">
        <v>0</v>
      </c>
      <c r="F73" s="8">
        <v>0</v>
      </c>
      <c r="G73" s="12">
        <v>2</v>
      </c>
      <c r="H73" s="8">
        <v>3.33</v>
      </c>
      <c r="I73" s="12">
        <v>0</v>
      </c>
    </row>
    <row r="74" spans="2:9" ht="15" customHeight="1" x14ac:dyDescent="0.2">
      <c r="B74" t="s">
        <v>354</v>
      </c>
      <c r="C74" s="12">
        <v>2</v>
      </c>
      <c r="D74" s="8">
        <v>1.39</v>
      </c>
      <c r="E74" s="12">
        <v>0</v>
      </c>
      <c r="F74" s="8">
        <v>0</v>
      </c>
      <c r="G74" s="12">
        <v>2</v>
      </c>
      <c r="H74" s="8">
        <v>3.33</v>
      </c>
      <c r="I74" s="12">
        <v>0</v>
      </c>
    </row>
    <row r="75" spans="2:9" ht="15" customHeight="1" x14ac:dyDescent="0.2">
      <c r="B75" t="s">
        <v>329</v>
      </c>
      <c r="C75" s="12">
        <v>2</v>
      </c>
      <c r="D75" s="8">
        <v>1.39</v>
      </c>
      <c r="E75" s="12">
        <v>2</v>
      </c>
      <c r="F75" s="8">
        <v>2.63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344</v>
      </c>
      <c r="C76" s="12">
        <v>2</v>
      </c>
      <c r="D76" s="8">
        <v>1.39</v>
      </c>
      <c r="E76" s="12">
        <v>1</v>
      </c>
      <c r="F76" s="8">
        <v>1.32</v>
      </c>
      <c r="G76" s="12">
        <v>1</v>
      </c>
      <c r="H76" s="8">
        <v>1.67</v>
      </c>
      <c r="I76" s="12">
        <v>0</v>
      </c>
    </row>
    <row r="77" spans="2:9" ht="15" customHeight="1" x14ac:dyDescent="0.2">
      <c r="B77" t="s">
        <v>415</v>
      </c>
      <c r="C77" s="12">
        <v>2</v>
      </c>
      <c r="D77" s="8">
        <v>1.39</v>
      </c>
      <c r="E77" s="12">
        <v>0</v>
      </c>
      <c r="F77" s="8">
        <v>0</v>
      </c>
      <c r="G77" s="12">
        <v>2</v>
      </c>
      <c r="H77" s="8">
        <v>3.33</v>
      </c>
      <c r="I77" s="12">
        <v>0</v>
      </c>
    </row>
    <row r="78" spans="2:9" ht="15" customHeight="1" x14ac:dyDescent="0.2">
      <c r="B78" t="s">
        <v>302</v>
      </c>
      <c r="C78" s="12">
        <v>2</v>
      </c>
      <c r="D78" s="8">
        <v>1.39</v>
      </c>
      <c r="E78" s="12">
        <v>1</v>
      </c>
      <c r="F78" s="8">
        <v>1.32</v>
      </c>
      <c r="G78" s="12">
        <v>1</v>
      </c>
      <c r="H78" s="8">
        <v>1.67</v>
      </c>
      <c r="I78" s="12">
        <v>0</v>
      </c>
    </row>
    <row r="79" spans="2:9" ht="15" customHeight="1" x14ac:dyDescent="0.2">
      <c r="B79" t="s">
        <v>305</v>
      </c>
      <c r="C79" s="12">
        <v>2</v>
      </c>
      <c r="D79" s="8">
        <v>1.39</v>
      </c>
      <c r="E79" s="12">
        <v>2</v>
      </c>
      <c r="F79" s="8">
        <v>2.63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306</v>
      </c>
      <c r="C80" s="12">
        <v>2</v>
      </c>
      <c r="D80" s="8">
        <v>1.39</v>
      </c>
      <c r="E80" s="12">
        <v>1</v>
      </c>
      <c r="F80" s="8">
        <v>1.32</v>
      </c>
      <c r="G80" s="12">
        <v>1</v>
      </c>
      <c r="H80" s="8">
        <v>1.67</v>
      </c>
      <c r="I80" s="12">
        <v>0</v>
      </c>
    </row>
    <row r="81" spans="2:9" ht="15" customHeight="1" x14ac:dyDescent="0.2">
      <c r="B81" t="s">
        <v>331</v>
      </c>
      <c r="C81" s="12">
        <v>2</v>
      </c>
      <c r="D81" s="8">
        <v>1.39</v>
      </c>
      <c r="E81" s="12">
        <v>0</v>
      </c>
      <c r="F81" s="8">
        <v>0</v>
      </c>
      <c r="G81" s="12">
        <v>1</v>
      </c>
      <c r="H81" s="8">
        <v>1.67</v>
      </c>
      <c r="I81" s="12">
        <v>0</v>
      </c>
    </row>
    <row r="83" spans="2:9" ht="15" customHeight="1" x14ac:dyDescent="0.2">
      <c r="B8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022BC-C07E-443E-A49B-CC5F6996BEFC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125</v>
      </c>
      <c r="D6" s="8">
        <v>22.6</v>
      </c>
      <c r="E6" s="12">
        <v>34</v>
      </c>
      <c r="F6" s="8">
        <v>13.6</v>
      </c>
      <c r="G6" s="12">
        <v>91</v>
      </c>
      <c r="H6" s="8">
        <v>30.64</v>
      </c>
      <c r="I6" s="12">
        <v>0</v>
      </c>
    </row>
    <row r="7" spans="2:9" ht="15" customHeight="1" x14ac:dyDescent="0.2">
      <c r="B7" t="s">
        <v>192</v>
      </c>
      <c r="C7" s="12">
        <v>44</v>
      </c>
      <c r="D7" s="8">
        <v>7.96</v>
      </c>
      <c r="E7" s="12">
        <v>13</v>
      </c>
      <c r="F7" s="8">
        <v>5.2</v>
      </c>
      <c r="G7" s="12">
        <v>31</v>
      </c>
      <c r="H7" s="8">
        <v>10.44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0.36</v>
      </c>
      <c r="E9" s="12">
        <v>2</v>
      </c>
      <c r="F9" s="8">
        <v>0.8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6</v>
      </c>
      <c r="D10" s="8">
        <v>1.08</v>
      </c>
      <c r="E10" s="12">
        <v>4</v>
      </c>
      <c r="F10" s="8">
        <v>1.6</v>
      </c>
      <c r="G10" s="12">
        <v>2</v>
      </c>
      <c r="H10" s="8">
        <v>0.67</v>
      </c>
      <c r="I10" s="12">
        <v>0</v>
      </c>
    </row>
    <row r="11" spans="2:9" ht="15" customHeight="1" x14ac:dyDescent="0.2">
      <c r="B11" t="s">
        <v>196</v>
      </c>
      <c r="C11" s="12">
        <v>126</v>
      </c>
      <c r="D11" s="8">
        <v>22.78</v>
      </c>
      <c r="E11" s="12">
        <v>30</v>
      </c>
      <c r="F11" s="8">
        <v>12</v>
      </c>
      <c r="G11" s="12">
        <v>96</v>
      </c>
      <c r="H11" s="8">
        <v>32.32</v>
      </c>
      <c r="I11" s="12">
        <v>0</v>
      </c>
    </row>
    <row r="12" spans="2:9" ht="15" customHeight="1" x14ac:dyDescent="0.2">
      <c r="B12" t="s">
        <v>197</v>
      </c>
      <c r="C12" s="12">
        <v>3</v>
      </c>
      <c r="D12" s="8">
        <v>0.54</v>
      </c>
      <c r="E12" s="12">
        <v>1</v>
      </c>
      <c r="F12" s="8">
        <v>0.4</v>
      </c>
      <c r="G12" s="12">
        <v>2</v>
      </c>
      <c r="H12" s="8">
        <v>0.67</v>
      </c>
      <c r="I12" s="12">
        <v>0</v>
      </c>
    </row>
    <row r="13" spans="2:9" ht="15" customHeight="1" x14ac:dyDescent="0.2">
      <c r="B13" t="s">
        <v>198</v>
      </c>
      <c r="C13" s="12">
        <v>49</v>
      </c>
      <c r="D13" s="8">
        <v>8.86</v>
      </c>
      <c r="E13" s="12">
        <v>35</v>
      </c>
      <c r="F13" s="8">
        <v>14</v>
      </c>
      <c r="G13" s="12">
        <v>13</v>
      </c>
      <c r="H13" s="8">
        <v>4.38</v>
      </c>
      <c r="I13" s="12">
        <v>0</v>
      </c>
    </row>
    <row r="14" spans="2:9" ht="15" customHeight="1" x14ac:dyDescent="0.2">
      <c r="B14" t="s">
        <v>199</v>
      </c>
      <c r="C14" s="12">
        <v>10</v>
      </c>
      <c r="D14" s="8">
        <v>1.81</v>
      </c>
      <c r="E14" s="12">
        <v>4</v>
      </c>
      <c r="F14" s="8">
        <v>1.6</v>
      </c>
      <c r="G14" s="12">
        <v>6</v>
      </c>
      <c r="H14" s="8">
        <v>2.02</v>
      </c>
      <c r="I14" s="12">
        <v>0</v>
      </c>
    </row>
    <row r="15" spans="2:9" ht="15" customHeight="1" x14ac:dyDescent="0.2">
      <c r="B15" t="s">
        <v>200</v>
      </c>
      <c r="C15" s="12">
        <v>51</v>
      </c>
      <c r="D15" s="8">
        <v>9.2200000000000006</v>
      </c>
      <c r="E15" s="12">
        <v>39</v>
      </c>
      <c r="F15" s="8">
        <v>15.6</v>
      </c>
      <c r="G15" s="12">
        <v>12</v>
      </c>
      <c r="H15" s="8">
        <v>4.04</v>
      </c>
      <c r="I15" s="12">
        <v>0</v>
      </c>
    </row>
    <row r="16" spans="2:9" ht="15" customHeight="1" x14ac:dyDescent="0.2">
      <c r="B16" t="s">
        <v>201</v>
      </c>
      <c r="C16" s="12">
        <v>61</v>
      </c>
      <c r="D16" s="8">
        <v>11.03</v>
      </c>
      <c r="E16" s="12">
        <v>49</v>
      </c>
      <c r="F16" s="8">
        <v>19.600000000000001</v>
      </c>
      <c r="G16" s="12">
        <v>12</v>
      </c>
      <c r="H16" s="8">
        <v>4.04</v>
      </c>
      <c r="I16" s="12">
        <v>0</v>
      </c>
    </row>
    <row r="17" spans="2:9" ht="15" customHeight="1" x14ac:dyDescent="0.2">
      <c r="B17" t="s">
        <v>202</v>
      </c>
      <c r="C17" s="12">
        <v>21</v>
      </c>
      <c r="D17" s="8">
        <v>3.8</v>
      </c>
      <c r="E17" s="12">
        <v>15</v>
      </c>
      <c r="F17" s="8">
        <v>6</v>
      </c>
      <c r="G17" s="12">
        <v>3</v>
      </c>
      <c r="H17" s="8">
        <v>1.01</v>
      </c>
      <c r="I17" s="12">
        <v>0</v>
      </c>
    </row>
    <row r="18" spans="2:9" ht="15" customHeight="1" x14ac:dyDescent="0.2">
      <c r="B18" t="s">
        <v>203</v>
      </c>
      <c r="C18" s="12">
        <v>29</v>
      </c>
      <c r="D18" s="8">
        <v>5.24</v>
      </c>
      <c r="E18" s="12">
        <v>14</v>
      </c>
      <c r="F18" s="8">
        <v>5.6</v>
      </c>
      <c r="G18" s="12">
        <v>13</v>
      </c>
      <c r="H18" s="8">
        <v>4.38</v>
      </c>
      <c r="I18" s="12">
        <v>0</v>
      </c>
    </row>
    <row r="19" spans="2:9" ht="15" customHeight="1" x14ac:dyDescent="0.2">
      <c r="B19" t="s">
        <v>204</v>
      </c>
      <c r="C19" s="12">
        <v>26</v>
      </c>
      <c r="D19" s="8">
        <v>4.7</v>
      </c>
      <c r="E19" s="12">
        <v>10</v>
      </c>
      <c r="F19" s="8">
        <v>4</v>
      </c>
      <c r="G19" s="12">
        <v>16</v>
      </c>
      <c r="H19" s="8">
        <v>5.39</v>
      </c>
      <c r="I19" s="12">
        <v>0</v>
      </c>
    </row>
    <row r="20" spans="2:9" ht="15" customHeight="1" x14ac:dyDescent="0.2">
      <c r="B20" s="9" t="s">
        <v>529</v>
      </c>
      <c r="C20" s="12">
        <f>SUM(LTBL_01661[総数／事業所数])</f>
        <v>553</v>
      </c>
      <c r="E20" s="12">
        <f>SUBTOTAL(109,LTBL_01661[個人／事業所数])</f>
        <v>250</v>
      </c>
      <c r="G20" s="12">
        <f>SUBTOTAL(109,LTBL_01661[法人／事業所数])</f>
        <v>297</v>
      </c>
      <c r="I20" s="12">
        <f>SUBTOTAL(109,LTBL_01661[法人以外の団体／事業所数])</f>
        <v>0</v>
      </c>
    </row>
    <row r="21" spans="2:9" ht="15" customHeight="1" x14ac:dyDescent="0.2">
      <c r="E21" s="11">
        <f>LTBL_01661[[#Totals],[個人／事業所数]]/LTBL_01661[[#Totals],[総数／事業所数]]</f>
        <v>0.45207956600361665</v>
      </c>
      <c r="G21" s="11">
        <f>LTBL_01661[[#Totals],[法人／事業所数]]/LTBL_01661[[#Totals],[総数／事業所数]]</f>
        <v>0.53707052441229652</v>
      </c>
      <c r="I21" s="11">
        <f>LTBL_01661[[#Totals],[法人以外の団体／事業所数]]/LTBL_01661[[#Totals],[総数／事業所数]]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56</v>
      </c>
      <c r="D24" s="8">
        <v>10.130000000000001</v>
      </c>
      <c r="E24" s="12">
        <v>48</v>
      </c>
      <c r="F24" s="8">
        <v>19.2</v>
      </c>
      <c r="G24" s="12">
        <v>8</v>
      </c>
      <c r="H24" s="8">
        <v>2.69</v>
      </c>
      <c r="I24" s="12">
        <v>0</v>
      </c>
    </row>
    <row r="25" spans="2:9" ht="15" customHeight="1" x14ac:dyDescent="0.2">
      <c r="B25" t="s">
        <v>214</v>
      </c>
      <c r="C25" s="12">
        <v>53</v>
      </c>
      <c r="D25" s="8">
        <v>9.58</v>
      </c>
      <c r="E25" s="12">
        <v>17</v>
      </c>
      <c r="F25" s="8">
        <v>6.8</v>
      </c>
      <c r="G25" s="12">
        <v>36</v>
      </c>
      <c r="H25" s="8">
        <v>12.12</v>
      </c>
      <c r="I25" s="12">
        <v>0</v>
      </c>
    </row>
    <row r="26" spans="2:9" ht="15" customHeight="1" x14ac:dyDescent="0.2">
      <c r="B26" t="s">
        <v>213</v>
      </c>
      <c r="C26" s="12">
        <v>44</v>
      </c>
      <c r="D26" s="8">
        <v>7.96</v>
      </c>
      <c r="E26" s="12">
        <v>9</v>
      </c>
      <c r="F26" s="8">
        <v>3.6</v>
      </c>
      <c r="G26" s="12">
        <v>35</v>
      </c>
      <c r="H26" s="8">
        <v>11.78</v>
      </c>
      <c r="I26" s="12">
        <v>0</v>
      </c>
    </row>
    <row r="27" spans="2:9" ht="15" customHeight="1" x14ac:dyDescent="0.2">
      <c r="B27" t="s">
        <v>224</v>
      </c>
      <c r="C27" s="12">
        <v>44</v>
      </c>
      <c r="D27" s="8">
        <v>7.96</v>
      </c>
      <c r="E27" s="12">
        <v>34</v>
      </c>
      <c r="F27" s="8">
        <v>13.6</v>
      </c>
      <c r="G27" s="12">
        <v>9</v>
      </c>
      <c r="H27" s="8">
        <v>3.03</v>
      </c>
      <c r="I27" s="12">
        <v>0</v>
      </c>
    </row>
    <row r="28" spans="2:9" ht="15" customHeight="1" x14ac:dyDescent="0.2">
      <c r="B28" t="s">
        <v>227</v>
      </c>
      <c r="C28" s="12">
        <v>44</v>
      </c>
      <c r="D28" s="8">
        <v>7.96</v>
      </c>
      <c r="E28" s="12">
        <v>37</v>
      </c>
      <c r="F28" s="8">
        <v>14.8</v>
      </c>
      <c r="G28" s="12">
        <v>7</v>
      </c>
      <c r="H28" s="8">
        <v>2.36</v>
      </c>
      <c r="I28" s="12">
        <v>0</v>
      </c>
    </row>
    <row r="29" spans="2:9" ht="15" customHeight="1" x14ac:dyDescent="0.2">
      <c r="B29" t="s">
        <v>220</v>
      </c>
      <c r="C29" s="12">
        <v>32</v>
      </c>
      <c r="D29" s="8">
        <v>5.79</v>
      </c>
      <c r="E29" s="12">
        <v>4</v>
      </c>
      <c r="F29" s="8">
        <v>1.6</v>
      </c>
      <c r="G29" s="12">
        <v>28</v>
      </c>
      <c r="H29" s="8">
        <v>9.43</v>
      </c>
      <c r="I29" s="12">
        <v>0</v>
      </c>
    </row>
    <row r="30" spans="2:9" ht="15" customHeight="1" x14ac:dyDescent="0.2">
      <c r="B30" t="s">
        <v>223</v>
      </c>
      <c r="C30" s="12">
        <v>29</v>
      </c>
      <c r="D30" s="8">
        <v>5.24</v>
      </c>
      <c r="E30" s="12">
        <v>7</v>
      </c>
      <c r="F30" s="8">
        <v>2.8</v>
      </c>
      <c r="G30" s="12">
        <v>22</v>
      </c>
      <c r="H30" s="8">
        <v>7.41</v>
      </c>
      <c r="I30" s="12">
        <v>0</v>
      </c>
    </row>
    <row r="31" spans="2:9" ht="15" customHeight="1" x14ac:dyDescent="0.2">
      <c r="B31" t="s">
        <v>215</v>
      </c>
      <c r="C31" s="12">
        <v>28</v>
      </c>
      <c r="D31" s="8">
        <v>5.0599999999999996</v>
      </c>
      <c r="E31" s="12">
        <v>8</v>
      </c>
      <c r="F31" s="8">
        <v>3.2</v>
      </c>
      <c r="G31" s="12">
        <v>20</v>
      </c>
      <c r="H31" s="8">
        <v>6.73</v>
      </c>
      <c r="I31" s="12">
        <v>0</v>
      </c>
    </row>
    <row r="32" spans="2:9" ht="15" customHeight="1" x14ac:dyDescent="0.2">
      <c r="B32" t="s">
        <v>230</v>
      </c>
      <c r="C32" s="12">
        <v>21</v>
      </c>
      <c r="D32" s="8">
        <v>3.8</v>
      </c>
      <c r="E32" s="12">
        <v>15</v>
      </c>
      <c r="F32" s="8">
        <v>6</v>
      </c>
      <c r="G32" s="12">
        <v>3</v>
      </c>
      <c r="H32" s="8">
        <v>1.01</v>
      </c>
      <c r="I32" s="12">
        <v>0</v>
      </c>
    </row>
    <row r="33" spans="2:9" ht="15" customHeight="1" x14ac:dyDescent="0.2">
      <c r="B33" t="s">
        <v>231</v>
      </c>
      <c r="C33" s="12">
        <v>19</v>
      </c>
      <c r="D33" s="8">
        <v>3.44</v>
      </c>
      <c r="E33" s="12">
        <v>14</v>
      </c>
      <c r="F33" s="8">
        <v>5.6</v>
      </c>
      <c r="G33" s="12">
        <v>5</v>
      </c>
      <c r="H33" s="8">
        <v>1.68</v>
      </c>
      <c r="I33" s="12">
        <v>0</v>
      </c>
    </row>
    <row r="34" spans="2:9" ht="15" customHeight="1" x14ac:dyDescent="0.2">
      <c r="B34" t="s">
        <v>240</v>
      </c>
      <c r="C34" s="12">
        <v>18</v>
      </c>
      <c r="D34" s="8">
        <v>3.25</v>
      </c>
      <c r="E34" s="12">
        <v>9</v>
      </c>
      <c r="F34" s="8">
        <v>3.6</v>
      </c>
      <c r="G34" s="12">
        <v>9</v>
      </c>
      <c r="H34" s="8">
        <v>3.03</v>
      </c>
      <c r="I34" s="12">
        <v>0</v>
      </c>
    </row>
    <row r="35" spans="2:9" ht="15" customHeight="1" x14ac:dyDescent="0.2">
      <c r="B35" t="s">
        <v>217</v>
      </c>
      <c r="C35" s="12">
        <v>13</v>
      </c>
      <c r="D35" s="8">
        <v>2.35</v>
      </c>
      <c r="E35" s="12">
        <v>3</v>
      </c>
      <c r="F35" s="8">
        <v>1.2</v>
      </c>
      <c r="G35" s="12">
        <v>10</v>
      </c>
      <c r="H35" s="8">
        <v>3.37</v>
      </c>
      <c r="I35" s="12">
        <v>0</v>
      </c>
    </row>
    <row r="36" spans="2:9" ht="15" customHeight="1" x14ac:dyDescent="0.2">
      <c r="B36" t="s">
        <v>222</v>
      </c>
      <c r="C36" s="12">
        <v>13</v>
      </c>
      <c r="D36" s="8">
        <v>2.35</v>
      </c>
      <c r="E36" s="12">
        <v>6</v>
      </c>
      <c r="F36" s="8">
        <v>2.4</v>
      </c>
      <c r="G36" s="12">
        <v>7</v>
      </c>
      <c r="H36" s="8">
        <v>2.36</v>
      </c>
      <c r="I36" s="12">
        <v>0</v>
      </c>
    </row>
    <row r="37" spans="2:9" ht="15" customHeight="1" x14ac:dyDescent="0.2">
      <c r="B37" t="s">
        <v>236</v>
      </c>
      <c r="C37" s="12">
        <v>11</v>
      </c>
      <c r="D37" s="8">
        <v>1.99</v>
      </c>
      <c r="E37" s="12">
        <v>5</v>
      </c>
      <c r="F37" s="8">
        <v>2</v>
      </c>
      <c r="G37" s="12">
        <v>6</v>
      </c>
      <c r="H37" s="8">
        <v>2.02</v>
      </c>
      <c r="I37" s="12">
        <v>0</v>
      </c>
    </row>
    <row r="38" spans="2:9" ht="15" customHeight="1" x14ac:dyDescent="0.2">
      <c r="B38" t="s">
        <v>253</v>
      </c>
      <c r="C38" s="12">
        <v>10</v>
      </c>
      <c r="D38" s="8">
        <v>1.81</v>
      </c>
      <c r="E38" s="12">
        <v>7</v>
      </c>
      <c r="F38" s="8">
        <v>2.8</v>
      </c>
      <c r="G38" s="12">
        <v>3</v>
      </c>
      <c r="H38" s="8">
        <v>1.01</v>
      </c>
      <c r="I38" s="12">
        <v>0</v>
      </c>
    </row>
    <row r="39" spans="2:9" ht="15" customHeight="1" x14ac:dyDescent="0.2">
      <c r="B39" t="s">
        <v>232</v>
      </c>
      <c r="C39" s="12">
        <v>10</v>
      </c>
      <c r="D39" s="8">
        <v>1.81</v>
      </c>
      <c r="E39" s="12">
        <v>0</v>
      </c>
      <c r="F39" s="8">
        <v>0</v>
      </c>
      <c r="G39" s="12">
        <v>8</v>
      </c>
      <c r="H39" s="8">
        <v>2.69</v>
      </c>
      <c r="I39" s="12">
        <v>0</v>
      </c>
    </row>
    <row r="40" spans="2:9" ht="15" customHeight="1" x14ac:dyDescent="0.2">
      <c r="B40" t="s">
        <v>221</v>
      </c>
      <c r="C40" s="12">
        <v>9</v>
      </c>
      <c r="D40" s="8">
        <v>1.63</v>
      </c>
      <c r="E40" s="12">
        <v>4</v>
      </c>
      <c r="F40" s="8">
        <v>1.6</v>
      </c>
      <c r="G40" s="12">
        <v>5</v>
      </c>
      <c r="H40" s="8">
        <v>1.68</v>
      </c>
      <c r="I40" s="12">
        <v>0</v>
      </c>
    </row>
    <row r="41" spans="2:9" ht="15" customHeight="1" x14ac:dyDescent="0.2">
      <c r="B41" t="s">
        <v>226</v>
      </c>
      <c r="C41" s="12">
        <v>9</v>
      </c>
      <c r="D41" s="8">
        <v>1.63</v>
      </c>
      <c r="E41" s="12">
        <v>4</v>
      </c>
      <c r="F41" s="8">
        <v>1.6</v>
      </c>
      <c r="G41" s="12">
        <v>5</v>
      </c>
      <c r="H41" s="8">
        <v>1.68</v>
      </c>
      <c r="I41" s="12">
        <v>0</v>
      </c>
    </row>
    <row r="42" spans="2:9" ht="15" customHeight="1" x14ac:dyDescent="0.2">
      <c r="B42" t="s">
        <v>241</v>
      </c>
      <c r="C42" s="12">
        <v>8</v>
      </c>
      <c r="D42" s="8">
        <v>1.45</v>
      </c>
      <c r="E42" s="12">
        <v>0</v>
      </c>
      <c r="F42" s="8">
        <v>0</v>
      </c>
      <c r="G42" s="12">
        <v>8</v>
      </c>
      <c r="H42" s="8">
        <v>2.69</v>
      </c>
      <c r="I42" s="12">
        <v>0</v>
      </c>
    </row>
    <row r="43" spans="2:9" ht="15" customHeight="1" x14ac:dyDescent="0.2">
      <c r="B43" t="s">
        <v>219</v>
      </c>
      <c r="C43" s="12">
        <v>8</v>
      </c>
      <c r="D43" s="8">
        <v>1.45</v>
      </c>
      <c r="E43" s="12">
        <v>0</v>
      </c>
      <c r="F43" s="8">
        <v>0</v>
      </c>
      <c r="G43" s="12">
        <v>8</v>
      </c>
      <c r="H43" s="8">
        <v>2.69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37</v>
      </c>
      <c r="D47" s="8">
        <v>6.69</v>
      </c>
      <c r="E47" s="12">
        <v>30</v>
      </c>
      <c r="F47" s="8">
        <v>12</v>
      </c>
      <c r="G47" s="12">
        <v>6</v>
      </c>
      <c r="H47" s="8">
        <v>2.02</v>
      </c>
      <c r="I47" s="12">
        <v>0</v>
      </c>
    </row>
    <row r="48" spans="2:9" ht="15" customHeight="1" x14ac:dyDescent="0.2">
      <c r="B48" t="s">
        <v>304</v>
      </c>
      <c r="C48" s="12">
        <v>30</v>
      </c>
      <c r="D48" s="8">
        <v>5.42</v>
      </c>
      <c r="E48" s="12">
        <v>28</v>
      </c>
      <c r="F48" s="8">
        <v>11.2</v>
      </c>
      <c r="G48" s="12">
        <v>2</v>
      </c>
      <c r="H48" s="8">
        <v>0.67</v>
      </c>
      <c r="I48" s="12">
        <v>0</v>
      </c>
    </row>
    <row r="49" spans="2:9" ht="15" customHeight="1" x14ac:dyDescent="0.2">
      <c r="B49" t="s">
        <v>314</v>
      </c>
      <c r="C49" s="12">
        <v>20</v>
      </c>
      <c r="D49" s="8">
        <v>3.62</v>
      </c>
      <c r="E49" s="12">
        <v>2</v>
      </c>
      <c r="F49" s="8">
        <v>0.8</v>
      </c>
      <c r="G49" s="12">
        <v>18</v>
      </c>
      <c r="H49" s="8">
        <v>6.06</v>
      </c>
      <c r="I49" s="12">
        <v>0</v>
      </c>
    </row>
    <row r="50" spans="2:9" ht="15" customHeight="1" x14ac:dyDescent="0.2">
      <c r="B50" t="s">
        <v>303</v>
      </c>
      <c r="C50" s="12">
        <v>19</v>
      </c>
      <c r="D50" s="8">
        <v>3.44</v>
      </c>
      <c r="E50" s="12">
        <v>17</v>
      </c>
      <c r="F50" s="8">
        <v>6.8</v>
      </c>
      <c r="G50" s="12">
        <v>2</v>
      </c>
      <c r="H50" s="8">
        <v>0.67</v>
      </c>
      <c r="I50" s="12">
        <v>0</v>
      </c>
    </row>
    <row r="51" spans="2:9" ht="15" customHeight="1" x14ac:dyDescent="0.2">
      <c r="B51" t="s">
        <v>307</v>
      </c>
      <c r="C51" s="12">
        <v>18</v>
      </c>
      <c r="D51" s="8">
        <v>3.25</v>
      </c>
      <c r="E51" s="12">
        <v>9</v>
      </c>
      <c r="F51" s="8">
        <v>3.6</v>
      </c>
      <c r="G51" s="12">
        <v>9</v>
      </c>
      <c r="H51" s="8">
        <v>3.03</v>
      </c>
      <c r="I51" s="12">
        <v>0</v>
      </c>
    </row>
    <row r="52" spans="2:9" ht="15" customHeight="1" x14ac:dyDescent="0.2">
      <c r="B52" t="s">
        <v>290</v>
      </c>
      <c r="C52" s="12">
        <v>15</v>
      </c>
      <c r="D52" s="8">
        <v>2.71</v>
      </c>
      <c r="E52" s="12">
        <v>5</v>
      </c>
      <c r="F52" s="8">
        <v>2</v>
      </c>
      <c r="G52" s="12">
        <v>10</v>
      </c>
      <c r="H52" s="8">
        <v>3.37</v>
      </c>
      <c r="I52" s="12">
        <v>0</v>
      </c>
    </row>
    <row r="53" spans="2:9" ht="15" customHeight="1" x14ac:dyDescent="0.2">
      <c r="B53" t="s">
        <v>328</v>
      </c>
      <c r="C53" s="12">
        <v>14</v>
      </c>
      <c r="D53" s="8">
        <v>2.5299999999999998</v>
      </c>
      <c r="E53" s="12">
        <v>4</v>
      </c>
      <c r="F53" s="8">
        <v>1.6</v>
      </c>
      <c r="G53" s="12">
        <v>10</v>
      </c>
      <c r="H53" s="8">
        <v>3.37</v>
      </c>
      <c r="I53" s="12">
        <v>0</v>
      </c>
    </row>
    <row r="54" spans="2:9" ht="15" customHeight="1" x14ac:dyDescent="0.2">
      <c r="B54" t="s">
        <v>305</v>
      </c>
      <c r="C54" s="12">
        <v>14</v>
      </c>
      <c r="D54" s="8">
        <v>2.5299999999999998</v>
      </c>
      <c r="E54" s="12">
        <v>12</v>
      </c>
      <c r="F54" s="8">
        <v>4.8</v>
      </c>
      <c r="G54" s="12">
        <v>2</v>
      </c>
      <c r="H54" s="8">
        <v>0.67</v>
      </c>
      <c r="I54" s="12">
        <v>0</v>
      </c>
    </row>
    <row r="55" spans="2:9" ht="15" customHeight="1" x14ac:dyDescent="0.2">
      <c r="B55" t="s">
        <v>289</v>
      </c>
      <c r="C55" s="12">
        <v>12</v>
      </c>
      <c r="D55" s="8">
        <v>2.17</v>
      </c>
      <c r="E55" s="12">
        <v>2</v>
      </c>
      <c r="F55" s="8">
        <v>0.8</v>
      </c>
      <c r="G55" s="12">
        <v>10</v>
      </c>
      <c r="H55" s="8">
        <v>3.37</v>
      </c>
      <c r="I55" s="12">
        <v>0</v>
      </c>
    </row>
    <row r="56" spans="2:9" ht="15" customHeight="1" x14ac:dyDescent="0.2">
      <c r="B56" t="s">
        <v>333</v>
      </c>
      <c r="C56" s="12">
        <v>11</v>
      </c>
      <c r="D56" s="8">
        <v>1.99</v>
      </c>
      <c r="E56" s="12">
        <v>4</v>
      </c>
      <c r="F56" s="8">
        <v>1.6</v>
      </c>
      <c r="G56" s="12">
        <v>7</v>
      </c>
      <c r="H56" s="8">
        <v>2.36</v>
      </c>
      <c r="I56" s="12">
        <v>0</v>
      </c>
    </row>
    <row r="57" spans="2:9" ht="15" customHeight="1" x14ac:dyDescent="0.2">
      <c r="B57" t="s">
        <v>308</v>
      </c>
      <c r="C57" s="12">
        <v>11</v>
      </c>
      <c r="D57" s="8">
        <v>1.99</v>
      </c>
      <c r="E57" s="12">
        <v>2</v>
      </c>
      <c r="F57" s="8">
        <v>0.8</v>
      </c>
      <c r="G57" s="12">
        <v>9</v>
      </c>
      <c r="H57" s="8">
        <v>3.03</v>
      </c>
      <c r="I57" s="12">
        <v>0</v>
      </c>
    </row>
    <row r="58" spans="2:9" ht="15" customHeight="1" x14ac:dyDescent="0.2">
      <c r="B58" t="s">
        <v>306</v>
      </c>
      <c r="C58" s="12">
        <v>11</v>
      </c>
      <c r="D58" s="8">
        <v>1.99</v>
      </c>
      <c r="E58" s="12">
        <v>9</v>
      </c>
      <c r="F58" s="8">
        <v>3.6</v>
      </c>
      <c r="G58" s="12">
        <v>2</v>
      </c>
      <c r="H58" s="8">
        <v>0.67</v>
      </c>
      <c r="I58" s="12">
        <v>0</v>
      </c>
    </row>
    <row r="59" spans="2:9" ht="15" customHeight="1" x14ac:dyDescent="0.2">
      <c r="B59" t="s">
        <v>320</v>
      </c>
      <c r="C59" s="12">
        <v>10</v>
      </c>
      <c r="D59" s="8">
        <v>1.81</v>
      </c>
      <c r="E59" s="12">
        <v>6</v>
      </c>
      <c r="F59" s="8">
        <v>2.4</v>
      </c>
      <c r="G59" s="12">
        <v>4</v>
      </c>
      <c r="H59" s="8">
        <v>1.35</v>
      </c>
      <c r="I59" s="12">
        <v>0</v>
      </c>
    </row>
    <row r="60" spans="2:9" ht="15" customHeight="1" x14ac:dyDescent="0.2">
      <c r="B60" t="s">
        <v>299</v>
      </c>
      <c r="C60" s="12">
        <v>10</v>
      </c>
      <c r="D60" s="8">
        <v>1.81</v>
      </c>
      <c r="E60" s="12">
        <v>10</v>
      </c>
      <c r="F60" s="8">
        <v>4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374</v>
      </c>
      <c r="C61" s="12">
        <v>9</v>
      </c>
      <c r="D61" s="8">
        <v>1.63</v>
      </c>
      <c r="E61" s="12">
        <v>6</v>
      </c>
      <c r="F61" s="8">
        <v>2.4</v>
      </c>
      <c r="G61" s="12">
        <v>3</v>
      </c>
      <c r="H61" s="8">
        <v>1.01</v>
      </c>
      <c r="I61" s="12">
        <v>0</v>
      </c>
    </row>
    <row r="62" spans="2:9" ht="15" customHeight="1" x14ac:dyDescent="0.2">
      <c r="B62" t="s">
        <v>293</v>
      </c>
      <c r="C62" s="12">
        <v>9</v>
      </c>
      <c r="D62" s="8">
        <v>1.63</v>
      </c>
      <c r="E62" s="12">
        <v>3</v>
      </c>
      <c r="F62" s="8">
        <v>1.2</v>
      </c>
      <c r="G62" s="12">
        <v>6</v>
      </c>
      <c r="H62" s="8">
        <v>2.02</v>
      </c>
      <c r="I62" s="12">
        <v>0</v>
      </c>
    </row>
    <row r="63" spans="2:9" ht="15" customHeight="1" x14ac:dyDescent="0.2">
      <c r="B63" t="s">
        <v>300</v>
      </c>
      <c r="C63" s="12">
        <v>9</v>
      </c>
      <c r="D63" s="8">
        <v>1.63</v>
      </c>
      <c r="E63" s="12">
        <v>8</v>
      </c>
      <c r="F63" s="8">
        <v>3.2</v>
      </c>
      <c r="G63" s="12">
        <v>1</v>
      </c>
      <c r="H63" s="8">
        <v>0.34</v>
      </c>
      <c r="I63" s="12">
        <v>0</v>
      </c>
    </row>
    <row r="64" spans="2:9" ht="15" customHeight="1" x14ac:dyDescent="0.2">
      <c r="B64" t="s">
        <v>319</v>
      </c>
      <c r="C64" s="12">
        <v>8</v>
      </c>
      <c r="D64" s="8">
        <v>1.45</v>
      </c>
      <c r="E64" s="12">
        <v>2</v>
      </c>
      <c r="F64" s="8">
        <v>0.8</v>
      </c>
      <c r="G64" s="12">
        <v>6</v>
      </c>
      <c r="H64" s="8">
        <v>2.02</v>
      </c>
      <c r="I64" s="12">
        <v>0</v>
      </c>
    </row>
    <row r="65" spans="2:9" ht="15" customHeight="1" x14ac:dyDescent="0.2">
      <c r="B65" t="s">
        <v>291</v>
      </c>
      <c r="C65" s="12">
        <v>8</v>
      </c>
      <c r="D65" s="8">
        <v>1.45</v>
      </c>
      <c r="E65" s="12">
        <v>3</v>
      </c>
      <c r="F65" s="8">
        <v>1.2</v>
      </c>
      <c r="G65" s="12">
        <v>5</v>
      </c>
      <c r="H65" s="8">
        <v>1.68</v>
      </c>
      <c r="I65" s="12">
        <v>0</v>
      </c>
    </row>
    <row r="66" spans="2:9" ht="15" customHeight="1" x14ac:dyDescent="0.2">
      <c r="B66" t="s">
        <v>309</v>
      </c>
      <c r="C66" s="12">
        <v>8</v>
      </c>
      <c r="D66" s="8">
        <v>1.45</v>
      </c>
      <c r="E66" s="12">
        <v>0</v>
      </c>
      <c r="F66" s="8">
        <v>0</v>
      </c>
      <c r="G66" s="12">
        <v>8</v>
      </c>
      <c r="H66" s="8">
        <v>2.69</v>
      </c>
      <c r="I66" s="12">
        <v>0</v>
      </c>
    </row>
    <row r="67" spans="2:9" ht="15" customHeight="1" x14ac:dyDescent="0.2">
      <c r="B67" t="s">
        <v>330</v>
      </c>
      <c r="C67" s="12">
        <v>8</v>
      </c>
      <c r="D67" s="8">
        <v>1.45</v>
      </c>
      <c r="E67" s="12">
        <v>2</v>
      </c>
      <c r="F67" s="8">
        <v>0.8</v>
      </c>
      <c r="G67" s="12">
        <v>6</v>
      </c>
      <c r="H67" s="8">
        <v>2.02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494A5-158B-4E87-9A46-54A68926767C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35</v>
      </c>
      <c r="D6" s="8">
        <v>12.15</v>
      </c>
      <c r="E6" s="12">
        <v>12</v>
      </c>
      <c r="F6" s="8">
        <v>8.0500000000000007</v>
      </c>
      <c r="G6" s="12">
        <v>23</v>
      </c>
      <c r="H6" s="8">
        <v>18.7</v>
      </c>
      <c r="I6" s="12">
        <v>0</v>
      </c>
    </row>
    <row r="7" spans="2:9" ht="15" customHeight="1" x14ac:dyDescent="0.2">
      <c r="B7" t="s">
        <v>192</v>
      </c>
      <c r="C7" s="12">
        <v>30</v>
      </c>
      <c r="D7" s="8">
        <v>10.42</v>
      </c>
      <c r="E7" s="12">
        <v>6</v>
      </c>
      <c r="F7" s="8">
        <v>4.03</v>
      </c>
      <c r="G7" s="12">
        <v>24</v>
      </c>
      <c r="H7" s="8">
        <v>19.510000000000002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0.35</v>
      </c>
      <c r="E9" s="12">
        <v>0</v>
      </c>
      <c r="F9" s="8">
        <v>0</v>
      </c>
      <c r="G9" s="12">
        <v>1</v>
      </c>
      <c r="H9" s="8">
        <v>0.81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1.39</v>
      </c>
      <c r="E10" s="12">
        <v>3</v>
      </c>
      <c r="F10" s="8">
        <v>2.0099999999999998</v>
      </c>
      <c r="G10" s="12">
        <v>0</v>
      </c>
      <c r="H10" s="8">
        <v>0</v>
      </c>
      <c r="I10" s="12">
        <v>1</v>
      </c>
    </row>
    <row r="11" spans="2:9" ht="15" customHeight="1" x14ac:dyDescent="0.2">
      <c r="B11" t="s">
        <v>196</v>
      </c>
      <c r="C11" s="12">
        <v>85</v>
      </c>
      <c r="D11" s="8">
        <v>29.51</v>
      </c>
      <c r="E11" s="12">
        <v>29</v>
      </c>
      <c r="F11" s="8">
        <v>19.46</v>
      </c>
      <c r="G11" s="12">
        <v>54</v>
      </c>
      <c r="H11" s="8">
        <v>43.9</v>
      </c>
      <c r="I11" s="12">
        <v>2</v>
      </c>
    </row>
    <row r="12" spans="2:9" ht="15" customHeight="1" x14ac:dyDescent="0.2">
      <c r="B12" t="s">
        <v>197</v>
      </c>
      <c r="C12" s="12">
        <v>2</v>
      </c>
      <c r="D12" s="8">
        <v>0.69</v>
      </c>
      <c r="E12" s="12">
        <v>1</v>
      </c>
      <c r="F12" s="8">
        <v>0.67</v>
      </c>
      <c r="G12" s="12">
        <v>1</v>
      </c>
      <c r="H12" s="8">
        <v>0.81</v>
      </c>
      <c r="I12" s="12">
        <v>0</v>
      </c>
    </row>
    <row r="13" spans="2:9" ht="15" customHeight="1" x14ac:dyDescent="0.2">
      <c r="B13" t="s">
        <v>198</v>
      </c>
      <c r="C13" s="12">
        <v>22</v>
      </c>
      <c r="D13" s="8">
        <v>7.64</v>
      </c>
      <c r="E13" s="12">
        <v>16</v>
      </c>
      <c r="F13" s="8">
        <v>10.74</v>
      </c>
      <c r="G13" s="12">
        <v>6</v>
      </c>
      <c r="H13" s="8">
        <v>4.88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1.74</v>
      </c>
      <c r="E14" s="12">
        <v>3</v>
      </c>
      <c r="F14" s="8">
        <v>2.0099999999999998</v>
      </c>
      <c r="G14" s="12">
        <v>2</v>
      </c>
      <c r="H14" s="8">
        <v>1.63</v>
      </c>
      <c r="I14" s="12">
        <v>0</v>
      </c>
    </row>
    <row r="15" spans="2:9" ht="15" customHeight="1" x14ac:dyDescent="0.2">
      <c r="B15" t="s">
        <v>200</v>
      </c>
      <c r="C15" s="12">
        <v>36</v>
      </c>
      <c r="D15" s="8">
        <v>12.5</v>
      </c>
      <c r="E15" s="12">
        <v>32</v>
      </c>
      <c r="F15" s="8">
        <v>21.48</v>
      </c>
      <c r="G15" s="12">
        <v>4</v>
      </c>
      <c r="H15" s="8">
        <v>3.25</v>
      </c>
      <c r="I15" s="12">
        <v>0</v>
      </c>
    </row>
    <row r="16" spans="2:9" ht="15" customHeight="1" x14ac:dyDescent="0.2">
      <c r="B16" t="s">
        <v>201</v>
      </c>
      <c r="C16" s="12">
        <v>35</v>
      </c>
      <c r="D16" s="8">
        <v>12.15</v>
      </c>
      <c r="E16" s="12">
        <v>28</v>
      </c>
      <c r="F16" s="8">
        <v>18.79</v>
      </c>
      <c r="G16" s="12">
        <v>3</v>
      </c>
      <c r="H16" s="8">
        <v>2.44</v>
      </c>
      <c r="I16" s="12">
        <v>0</v>
      </c>
    </row>
    <row r="17" spans="2:9" ht="15" customHeight="1" x14ac:dyDescent="0.2">
      <c r="B17" t="s">
        <v>202</v>
      </c>
      <c r="C17" s="12">
        <v>10</v>
      </c>
      <c r="D17" s="8">
        <v>3.47</v>
      </c>
      <c r="E17" s="12">
        <v>5</v>
      </c>
      <c r="F17" s="8">
        <v>3.36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11</v>
      </c>
      <c r="D18" s="8">
        <v>3.82</v>
      </c>
      <c r="E18" s="12">
        <v>6</v>
      </c>
      <c r="F18" s="8">
        <v>4.03</v>
      </c>
      <c r="G18" s="12">
        <v>3</v>
      </c>
      <c r="H18" s="8">
        <v>2.44</v>
      </c>
      <c r="I18" s="12">
        <v>0</v>
      </c>
    </row>
    <row r="19" spans="2:9" ht="15" customHeight="1" x14ac:dyDescent="0.2">
      <c r="B19" t="s">
        <v>204</v>
      </c>
      <c r="C19" s="12">
        <v>12</v>
      </c>
      <c r="D19" s="8">
        <v>4.17</v>
      </c>
      <c r="E19" s="12">
        <v>8</v>
      </c>
      <c r="F19" s="8">
        <v>5.37</v>
      </c>
      <c r="G19" s="12">
        <v>2</v>
      </c>
      <c r="H19" s="8">
        <v>1.63</v>
      </c>
      <c r="I19" s="12">
        <v>0</v>
      </c>
    </row>
    <row r="20" spans="2:9" ht="15" customHeight="1" x14ac:dyDescent="0.2">
      <c r="B20" s="9" t="s">
        <v>529</v>
      </c>
      <c r="C20" s="12">
        <f>SUM(LTBL_01662[総数／事業所数])</f>
        <v>288</v>
      </c>
      <c r="E20" s="12">
        <f>SUBTOTAL(109,LTBL_01662[個人／事業所数])</f>
        <v>149</v>
      </c>
      <c r="G20" s="12">
        <f>SUBTOTAL(109,LTBL_01662[法人／事業所数])</f>
        <v>123</v>
      </c>
      <c r="I20" s="12">
        <f>SUBTOTAL(109,LTBL_01662[法人以外の団体／事業所数])</f>
        <v>3</v>
      </c>
    </row>
    <row r="21" spans="2:9" ht="15" customHeight="1" x14ac:dyDescent="0.2">
      <c r="E21" s="11">
        <f>LTBL_01662[[#Totals],[個人／事業所数]]/LTBL_01662[[#Totals],[総数／事業所数]]</f>
        <v>0.51736111111111116</v>
      </c>
      <c r="G21" s="11">
        <f>LTBL_01662[[#Totals],[法人／事業所数]]/LTBL_01662[[#Totals],[総数／事業所数]]</f>
        <v>0.42708333333333331</v>
      </c>
      <c r="I21" s="11">
        <f>LTBL_01662[[#Totals],[法人以外の団体／事業所数]]/LTBL_01662[[#Totals],[総数／事業所数]]</f>
        <v>1.0416666666666666E-2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33</v>
      </c>
      <c r="D24" s="8">
        <v>11.46</v>
      </c>
      <c r="E24" s="12">
        <v>31</v>
      </c>
      <c r="F24" s="8">
        <v>20.81</v>
      </c>
      <c r="G24" s="12">
        <v>2</v>
      </c>
      <c r="H24" s="8">
        <v>1.63</v>
      </c>
      <c r="I24" s="12">
        <v>0</v>
      </c>
    </row>
    <row r="25" spans="2:9" ht="15" customHeight="1" x14ac:dyDescent="0.2">
      <c r="B25" t="s">
        <v>228</v>
      </c>
      <c r="C25" s="12">
        <v>28</v>
      </c>
      <c r="D25" s="8">
        <v>9.7200000000000006</v>
      </c>
      <c r="E25" s="12">
        <v>26</v>
      </c>
      <c r="F25" s="8">
        <v>17.45</v>
      </c>
      <c r="G25" s="12">
        <v>2</v>
      </c>
      <c r="H25" s="8">
        <v>1.63</v>
      </c>
      <c r="I25" s="12">
        <v>0</v>
      </c>
    </row>
    <row r="26" spans="2:9" ht="15" customHeight="1" x14ac:dyDescent="0.2">
      <c r="B26" t="s">
        <v>223</v>
      </c>
      <c r="C26" s="12">
        <v>27</v>
      </c>
      <c r="D26" s="8">
        <v>9.3800000000000008</v>
      </c>
      <c r="E26" s="12">
        <v>11</v>
      </c>
      <c r="F26" s="8">
        <v>7.38</v>
      </c>
      <c r="G26" s="12">
        <v>16</v>
      </c>
      <c r="H26" s="8">
        <v>13.01</v>
      </c>
      <c r="I26" s="12">
        <v>0</v>
      </c>
    </row>
    <row r="27" spans="2:9" ht="15" customHeight="1" x14ac:dyDescent="0.2">
      <c r="B27" t="s">
        <v>221</v>
      </c>
      <c r="C27" s="12">
        <v>21</v>
      </c>
      <c r="D27" s="8">
        <v>7.29</v>
      </c>
      <c r="E27" s="12">
        <v>6</v>
      </c>
      <c r="F27" s="8">
        <v>4.03</v>
      </c>
      <c r="G27" s="12">
        <v>13</v>
      </c>
      <c r="H27" s="8">
        <v>10.57</v>
      </c>
      <c r="I27" s="12">
        <v>2</v>
      </c>
    </row>
    <row r="28" spans="2:9" ht="15" customHeight="1" x14ac:dyDescent="0.2">
      <c r="B28" t="s">
        <v>224</v>
      </c>
      <c r="C28" s="12">
        <v>19</v>
      </c>
      <c r="D28" s="8">
        <v>6.6</v>
      </c>
      <c r="E28" s="12">
        <v>16</v>
      </c>
      <c r="F28" s="8">
        <v>10.74</v>
      </c>
      <c r="G28" s="12">
        <v>3</v>
      </c>
      <c r="H28" s="8">
        <v>2.44</v>
      </c>
      <c r="I28" s="12">
        <v>0</v>
      </c>
    </row>
    <row r="29" spans="2:9" ht="15" customHeight="1" x14ac:dyDescent="0.2">
      <c r="B29" t="s">
        <v>213</v>
      </c>
      <c r="C29" s="12">
        <v>17</v>
      </c>
      <c r="D29" s="8">
        <v>5.9</v>
      </c>
      <c r="E29" s="12">
        <v>6</v>
      </c>
      <c r="F29" s="8">
        <v>4.03</v>
      </c>
      <c r="G29" s="12">
        <v>11</v>
      </c>
      <c r="H29" s="8">
        <v>8.94</v>
      </c>
      <c r="I29" s="12">
        <v>0</v>
      </c>
    </row>
    <row r="30" spans="2:9" ht="15" customHeight="1" x14ac:dyDescent="0.2">
      <c r="B30" t="s">
        <v>214</v>
      </c>
      <c r="C30" s="12">
        <v>12</v>
      </c>
      <c r="D30" s="8">
        <v>4.17</v>
      </c>
      <c r="E30" s="12">
        <v>4</v>
      </c>
      <c r="F30" s="8">
        <v>2.68</v>
      </c>
      <c r="G30" s="12">
        <v>8</v>
      </c>
      <c r="H30" s="8">
        <v>6.5</v>
      </c>
      <c r="I30" s="12">
        <v>0</v>
      </c>
    </row>
    <row r="31" spans="2:9" ht="15" customHeight="1" x14ac:dyDescent="0.2">
      <c r="B31" t="s">
        <v>222</v>
      </c>
      <c r="C31" s="12">
        <v>12</v>
      </c>
      <c r="D31" s="8">
        <v>4.17</v>
      </c>
      <c r="E31" s="12">
        <v>4</v>
      </c>
      <c r="F31" s="8">
        <v>2.68</v>
      </c>
      <c r="G31" s="12">
        <v>8</v>
      </c>
      <c r="H31" s="8">
        <v>6.5</v>
      </c>
      <c r="I31" s="12">
        <v>0</v>
      </c>
    </row>
    <row r="32" spans="2:9" ht="15" customHeight="1" x14ac:dyDescent="0.2">
      <c r="B32" t="s">
        <v>241</v>
      </c>
      <c r="C32" s="12">
        <v>11</v>
      </c>
      <c r="D32" s="8">
        <v>3.82</v>
      </c>
      <c r="E32" s="12">
        <v>0</v>
      </c>
      <c r="F32" s="8">
        <v>0</v>
      </c>
      <c r="G32" s="12">
        <v>11</v>
      </c>
      <c r="H32" s="8">
        <v>8.94</v>
      </c>
      <c r="I32" s="12">
        <v>0</v>
      </c>
    </row>
    <row r="33" spans="2:9" ht="15" customHeight="1" x14ac:dyDescent="0.2">
      <c r="B33" t="s">
        <v>216</v>
      </c>
      <c r="C33" s="12">
        <v>10</v>
      </c>
      <c r="D33" s="8">
        <v>3.47</v>
      </c>
      <c r="E33" s="12">
        <v>2</v>
      </c>
      <c r="F33" s="8">
        <v>1.34</v>
      </c>
      <c r="G33" s="12">
        <v>8</v>
      </c>
      <c r="H33" s="8">
        <v>6.5</v>
      </c>
      <c r="I33" s="12">
        <v>0</v>
      </c>
    </row>
    <row r="34" spans="2:9" ht="15" customHeight="1" x14ac:dyDescent="0.2">
      <c r="B34" t="s">
        <v>230</v>
      </c>
      <c r="C34" s="12">
        <v>10</v>
      </c>
      <c r="D34" s="8">
        <v>3.47</v>
      </c>
      <c r="E34" s="12">
        <v>5</v>
      </c>
      <c r="F34" s="8">
        <v>3.36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257</v>
      </c>
      <c r="C35" s="12">
        <v>7</v>
      </c>
      <c r="D35" s="8">
        <v>2.4300000000000002</v>
      </c>
      <c r="E35" s="12">
        <v>5</v>
      </c>
      <c r="F35" s="8">
        <v>3.36</v>
      </c>
      <c r="G35" s="12">
        <v>2</v>
      </c>
      <c r="H35" s="8">
        <v>1.63</v>
      </c>
      <c r="I35" s="12">
        <v>0</v>
      </c>
    </row>
    <row r="36" spans="2:9" ht="15" customHeight="1" x14ac:dyDescent="0.2">
      <c r="B36" t="s">
        <v>215</v>
      </c>
      <c r="C36" s="12">
        <v>6</v>
      </c>
      <c r="D36" s="8">
        <v>2.08</v>
      </c>
      <c r="E36" s="12">
        <v>2</v>
      </c>
      <c r="F36" s="8">
        <v>1.34</v>
      </c>
      <c r="G36" s="12">
        <v>4</v>
      </c>
      <c r="H36" s="8">
        <v>3.25</v>
      </c>
      <c r="I36" s="12">
        <v>0</v>
      </c>
    </row>
    <row r="37" spans="2:9" ht="15" customHeight="1" x14ac:dyDescent="0.2">
      <c r="B37" t="s">
        <v>220</v>
      </c>
      <c r="C37" s="12">
        <v>6</v>
      </c>
      <c r="D37" s="8">
        <v>2.08</v>
      </c>
      <c r="E37" s="12">
        <v>3</v>
      </c>
      <c r="F37" s="8">
        <v>2.0099999999999998</v>
      </c>
      <c r="G37" s="12">
        <v>3</v>
      </c>
      <c r="H37" s="8">
        <v>2.44</v>
      </c>
      <c r="I37" s="12">
        <v>0</v>
      </c>
    </row>
    <row r="38" spans="2:9" ht="15" customHeight="1" x14ac:dyDescent="0.2">
      <c r="B38" t="s">
        <v>231</v>
      </c>
      <c r="C38" s="12">
        <v>6</v>
      </c>
      <c r="D38" s="8">
        <v>2.08</v>
      </c>
      <c r="E38" s="12">
        <v>6</v>
      </c>
      <c r="F38" s="8">
        <v>4.03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217</v>
      </c>
      <c r="C39" s="12">
        <v>5</v>
      </c>
      <c r="D39" s="8">
        <v>1.74</v>
      </c>
      <c r="E39" s="12">
        <v>2</v>
      </c>
      <c r="F39" s="8">
        <v>1.34</v>
      </c>
      <c r="G39" s="12">
        <v>3</v>
      </c>
      <c r="H39" s="8">
        <v>2.44</v>
      </c>
      <c r="I39" s="12">
        <v>0</v>
      </c>
    </row>
    <row r="40" spans="2:9" ht="15" customHeight="1" x14ac:dyDescent="0.2">
      <c r="B40" t="s">
        <v>232</v>
      </c>
      <c r="C40" s="12">
        <v>5</v>
      </c>
      <c r="D40" s="8">
        <v>1.74</v>
      </c>
      <c r="E40" s="12">
        <v>0</v>
      </c>
      <c r="F40" s="8">
        <v>0</v>
      </c>
      <c r="G40" s="12">
        <v>3</v>
      </c>
      <c r="H40" s="8">
        <v>2.44</v>
      </c>
      <c r="I40" s="12">
        <v>0</v>
      </c>
    </row>
    <row r="41" spans="2:9" ht="15" customHeight="1" x14ac:dyDescent="0.2">
      <c r="B41" t="s">
        <v>240</v>
      </c>
      <c r="C41" s="12">
        <v>5</v>
      </c>
      <c r="D41" s="8">
        <v>1.74</v>
      </c>
      <c r="E41" s="12">
        <v>4</v>
      </c>
      <c r="F41" s="8">
        <v>2.68</v>
      </c>
      <c r="G41" s="12">
        <v>1</v>
      </c>
      <c r="H41" s="8">
        <v>0.81</v>
      </c>
      <c r="I41" s="12">
        <v>0</v>
      </c>
    </row>
    <row r="42" spans="2:9" ht="15" customHeight="1" x14ac:dyDescent="0.2">
      <c r="B42" t="s">
        <v>242</v>
      </c>
      <c r="C42" s="12">
        <v>5</v>
      </c>
      <c r="D42" s="8">
        <v>1.74</v>
      </c>
      <c r="E42" s="12">
        <v>4</v>
      </c>
      <c r="F42" s="8">
        <v>2.68</v>
      </c>
      <c r="G42" s="12">
        <v>1</v>
      </c>
      <c r="H42" s="8">
        <v>0.81</v>
      </c>
      <c r="I42" s="12">
        <v>0</v>
      </c>
    </row>
    <row r="43" spans="2:9" ht="15" customHeight="1" x14ac:dyDescent="0.2">
      <c r="B43" t="s">
        <v>229</v>
      </c>
      <c r="C43" s="12">
        <v>4</v>
      </c>
      <c r="D43" s="8">
        <v>1.39</v>
      </c>
      <c r="E43" s="12">
        <v>2</v>
      </c>
      <c r="F43" s="8">
        <v>1.34</v>
      </c>
      <c r="G43" s="12">
        <v>1</v>
      </c>
      <c r="H43" s="8">
        <v>0.81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18</v>
      </c>
      <c r="D47" s="8">
        <v>6.25</v>
      </c>
      <c r="E47" s="12">
        <v>15</v>
      </c>
      <c r="F47" s="8">
        <v>10.07</v>
      </c>
      <c r="G47" s="12">
        <v>3</v>
      </c>
      <c r="H47" s="8">
        <v>2.44</v>
      </c>
      <c r="I47" s="12">
        <v>0</v>
      </c>
    </row>
    <row r="48" spans="2:9" ht="15" customHeight="1" x14ac:dyDescent="0.2">
      <c r="B48" t="s">
        <v>304</v>
      </c>
      <c r="C48" s="12">
        <v>14</v>
      </c>
      <c r="D48" s="8">
        <v>4.8600000000000003</v>
      </c>
      <c r="E48" s="12">
        <v>13</v>
      </c>
      <c r="F48" s="8">
        <v>8.7200000000000006</v>
      </c>
      <c r="G48" s="12">
        <v>1</v>
      </c>
      <c r="H48" s="8">
        <v>0.81</v>
      </c>
      <c r="I48" s="12">
        <v>0</v>
      </c>
    </row>
    <row r="49" spans="2:9" ht="15" customHeight="1" x14ac:dyDescent="0.2">
      <c r="B49" t="s">
        <v>303</v>
      </c>
      <c r="C49" s="12">
        <v>12</v>
      </c>
      <c r="D49" s="8">
        <v>4.17</v>
      </c>
      <c r="E49" s="12">
        <v>12</v>
      </c>
      <c r="F49" s="8">
        <v>8.0500000000000007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295</v>
      </c>
      <c r="C50" s="12">
        <v>11</v>
      </c>
      <c r="D50" s="8">
        <v>3.82</v>
      </c>
      <c r="E50" s="12">
        <v>5</v>
      </c>
      <c r="F50" s="8">
        <v>3.36</v>
      </c>
      <c r="G50" s="12">
        <v>6</v>
      </c>
      <c r="H50" s="8">
        <v>4.88</v>
      </c>
      <c r="I50" s="12">
        <v>0</v>
      </c>
    </row>
    <row r="51" spans="2:9" ht="15" customHeight="1" x14ac:dyDescent="0.2">
      <c r="B51" t="s">
        <v>301</v>
      </c>
      <c r="C51" s="12">
        <v>9</v>
      </c>
      <c r="D51" s="8">
        <v>3.13</v>
      </c>
      <c r="E51" s="12">
        <v>9</v>
      </c>
      <c r="F51" s="8">
        <v>6.04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292</v>
      </c>
      <c r="C52" s="12">
        <v>8</v>
      </c>
      <c r="D52" s="8">
        <v>2.78</v>
      </c>
      <c r="E52" s="12">
        <v>2</v>
      </c>
      <c r="F52" s="8">
        <v>1.34</v>
      </c>
      <c r="G52" s="12">
        <v>6</v>
      </c>
      <c r="H52" s="8">
        <v>4.88</v>
      </c>
      <c r="I52" s="12">
        <v>0</v>
      </c>
    </row>
    <row r="53" spans="2:9" ht="15" customHeight="1" x14ac:dyDescent="0.2">
      <c r="B53" t="s">
        <v>324</v>
      </c>
      <c r="C53" s="12">
        <v>7</v>
      </c>
      <c r="D53" s="8">
        <v>2.4300000000000002</v>
      </c>
      <c r="E53" s="12">
        <v>1</v>
      </c>
      <c r="F53" s="8">
        <v>0.67</v>
      </c>
      <c r="G53" s="12">
        <v>6</v>
      </c>
      <c r="H53" s="8">
        <v>4.88</v>
      </c>
      <c r="I53" s="12">
        <v>0</v>
      </c>
    </row>
    <row r="54" spans="2:9" ht="15" customHeight="1" x14ac:dyDescent="0.2">
      <c r="B54" t="s">
        <v>288</v>
      </c>
      <c r="C54" s="12">
        <v>6</v>
      </c>
      <c r="D54" s="8">
        <v>2.08</v>
      </c>
      <c r="E54" s="12">
        <v>1</v>
      </c>
      <c r="F54" s="8">
        <v>0.67</v>
      </c>
      <c r="G54" s="12">
        <v>5</v>
      </c>
      <c r="H54" s="8">
        <v>4.07</v>
      </c>
      <c r="I54" s="12">
        <v>0</v>
      </c>
    </row>
    <row r="55" spans="2:9" ht="15" customHeight="1" x14ac:dyDescent="0.2">
      <c r="B55" t="s">
        <v>342</v>
      </c>
      <c r="C55" s="12">
        <v>6</v>
      </c>
      <c r="D55" s="8">
        <v>2.08</v>
      </c>
      <c r="E55" s="12">
        <v>0</v>
      </c>
      <c r="F55" s="8">
        <v>0</v>
      </c>
      <c r="G55" s="12">
        <v>6</v>
      </c>
      <c r="H55" s="8">
        <v>4.88</v>
      </c>
      <c r="I55" s="12">
        <v>0</v>
      </c>
    </row>
    <row r="56" spans="2:9" ht="15" customHeight="1" x14ac:dyDescent="0.2">
      <c r="B56" t="s">
        <v>357</v>
      </c>
      <c r="C56" s="12">
        <v>6</v>
      </c>
      <c r="D56" s="8">
        <v>2.08</v>
      </c>
      <c r="E56" s="12">
        <v>4</v>
      </c>
      <c r="F56" s="8">
        <v>2.68</v>
      </c>
      <c r="G56" s="12">
        <v>2</v>
      </c>
      <c r="H56" s="8">
        <v>1.63</v>
      </c>
      <c r="I56" s="12">
        <v>0</v>
      </c>
    </row>
    <row r="57" spans="2:9" ht="15" customHeight="1" x14ac:dyDescent="0.2">
      <c r="B57" t="s">
        <v>293</v>
      </c>
      <c r="C57" s="12">
        <v>6</v>
      </c>
      <c r="D57" s="8">
        <v>2.08</v>
      </c>
      <c r="E57" s="12">
        <v>4</v>
      </c>
      <c r="F57" s="8">
        <v>2.68</v>
      </c>
      <c r="G57" s="12">
        <v>2</v>
      </c>
      <c r="H57" s="8">
        <v>1.63</v>
      </c>
      <c r="I57" s="12">
        <v>0</v>
      </c>
    </row>
    <row r="58" spans="2:9" ht="15" customHeight="1" x14ac:dyDescent="0.2">
      <c r="B58" t="s">
        <v>335</v>
      </c>
      <c r="C58" s="12">
        <v>6</v>
      </c>
      <c r="D58" s="8">
        <v>2.08</v>
      </c>
      <c r="E58" s="12">
        <v>0</v>
      </c>
      <c r="F58" s="8">
        <v>0</v>
      </c>
      <c r="G58" s="12">
        <v>6</v>
      </c>
      <c r="H58" s="8">
        <v>4.88</v>
      </c>
      <c r="I58" s="12">
        <v>0</v>
      </c>
    </row>
    <row r="59" spans="2:9" ht="15" customHeight="1" x14ac:dyDescent="0.2">
      <c r="B59" t="s">
        <v>330</v>
      </c>
      <c r="C59" s="12">
        <v>6</v>
      </c>
      <c r="D59" s="8">
        <v>2.08</v>
      </c>
      <c r="E59" s="12">
        <v>1</v>
      </c>
      <c r="F59" s="8">
        <v>0.67</v>
      </c>
      <c r="G59" s="12">
        <v>5</v>
      </c>
      <c r="H59" s="8">
        <v>4.07</v>
      </c>
      <c r="I59" s="12">
        <v>0</v>
      </c>
    </row>
    <row r="60" spans="2:9" ht="15" customHeight="1" x14ac:dyDescent="0.2">
      <c r="B60" t="s">
        <v>289</v>
      </c>
      <c r="C60" s="12">
        <v>5</v>
      </c>
      <c r="D60" s="8">
        <v>1.74</v>
      </c>
      <c r="E60" s="12">
        <v>1</v>
      </c>
      <c r="F60" s="8">
        <v>0.67</v>
      </c>
      <c r="G60" s="12">
        <v>4</v>
      </c>
      <c r="H60" s="8">
        <v>3.25</v>
      </c>
      <c r="I60" s="12">
        <v>0</v>
      </c>
    </row>
    <row r="61" spans="2:9" ht="15" customHeight="1" x14ac:dyDescent="0.2">
      <c r="B61" t="s">
        <v>329</v>
      </c>
      <c r="C61" s="12">
        <v>5</v>
      </c>
      <c r="D61" s="8">
        <v>1.74</v>
      </c>
      <c r="E61" s="12">
        <v>2</v>
      </c>
      <c r="F61" s="8">
        <v>1.34</v>
      </c>
      <c r="G61" s="12">
        <v>3</v>
      </c>
      <c r="H61" s="8">
        <v>2.44</v>
      </c>
      <c r="I61" s="12">
        <v>0</v>
      </c>
    </row>
    <row r="62" spans="2:9" ht="15" customHeight="1" x14ac:dyDescent="0.2">
      <c r="B62" t="s">
        <v>334</v>
      </c>
      <c r="C62" s="12">
        <v>5</v>
      </c>
      <c r="D62" s="8">
        <v>1.74</v>
      </c>
      <c r="E62" s="12">
        <v>5</v>
      </c>
      <c r="F62" s="8">
        <v>3.36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299</v>
      </c>
      <c r="C63" s="12">
        <v>5</v>
      </c>
      <c r="D63" s="8">
        <v>1.74</v>
      </c>
      <c r="E63" s="12">
        <v>5</v>
      </c>
      <c r="F63" s="8">
        <v>3.36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300</v>
      </c>
      <c r="C64" s="12">
        <v>5</v>
      </c>
      <c r="D64" s="8">
        <v>1.74</v>
      </c>
      <c r="E64" s="12">
        <v>5</v>
      </c>
      <c r="F64" s="8">
        <v>3.36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340</v>
      </c>
      <c r="C65" s="12">
        <v>5</v>
      </c>
      <c r="D65" s="8">
        <v>1.74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307</v>
      </c>
      <c r="C66" s="12">
        <v>5</v>
      </c>
      <c r="D66" s="8">
        <v>1.74</v>
      </c>
      <c r="E66" s="12">
        <v>4</v>
      </c>
      <c r="F66" s="8">
        <v>2.68</v>
      </c>
      <c r="G66" s="12">
        <v>1</v>
      </c>
      <c r="H66" s="8">
        <v>0.81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7DB60-E9C6-40FF-AE5F-D3DA7441DF6E}">
  <sheetPr>
    <pageSetUpPr fitToPage="1"/>
  </sheetPr>
  <dimension ref="B2:I8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13</v>
      </c>
      <c r="D6" s="8">
        <v>8.84</v>
      </c>
      <c r="E6" s="12">
        <v>5</v>
      </c>
      <c r="F6" s="8">
        <v>5.62</v>
      </c>
      <c r="G6" s="12">
        <v>8</v>
      </c>
      <c r="H6" s="8">
        <v>17.39</v>
      </c>
      <c r="I6" s="12">
        <v>0</v>
      </c>
    </row>
    <row r="7" spans="2:9" ht="15" customHeight="1" x14ac:dyDescent="0.2">
      <c r="B7" t="s">
        <v>192</v>
      </c>
      <c r="C7" s="12">
        <v>20</v>
      </c>
      <c r="D7" s="8">
        <v>13.61</v>
      </c>
      <c r="E7" s="12">
        <v>11</v>
      </c>
      <c r="F7" s="8">
        <v>12.36</v>
      </c>
      <c r="G7" s="12">
        <v>9</v>
      </c>
      <c r="H7" s="8">
        <v>19.57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0.68</v>
      </c>
      <c r="E8" s="12">
        <v>0</v>
      </c>
      <c r="F8" s="8">
        <v>0</v>
      </c>
      <c r="G8" s="12">
        <v>1</v>
      </c>
      <c r="H8" s="8">
        <v>2.17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0.68</v>
      </c>
      <c r="E10" s="12">
        <v>0</v>
      </c>
      <c r="F10" s="8">
        <v>0</v>
      </c>
      <c r="G10" s="12">
        <v>1</v>
      </c>
      <c r="H10" s="8">
        <v>2.17</v>
      </c>
      <c r="I10" s="12">
        <v>0</v>
      </c>
    </row>
    <row r="11" spans="2:9" ht="15" customHeight="1" x14ac:dyDescent="0.2">
      <c r="B11" t="s">
        <v>196</v>
      </c>
      <c r="C11" s="12">
        <v>35</v>
      </c>
      <c r="D11" s="8">
        <v>23.81</v>
      </c>
      <c r="E11" s="12">
        <v>16</v>
      </c>
      <c r="F11" s="8">
        <v>17.98</v>
      </c>
      <c r="G11" s="12">
        <v>19</v>
      </c>
      <c r="H11" s="8">
        <v>41.3</v>
      </c>
      <c r="I11" s="12">
        <v>0</v>
      </c>
    </row>
    <row r="12" spans="2:9" ht="15" customHeight="1" x14ac:dyDescent="0.2">
      <c r="B12" t="s">
        <v>197</v>
      </c>
      <c r="C12" s="12">
        <v>2</v>
      </c>
      <c r="D12" s="8">
        <v>1.36</v>
      </c>
      <c r="E12" s="12">
        <v>0</v>
      </c>
      <c r="F12" s="8">
        <v>0</v>
      </c>
      <c r="G12" s="12">
        <v>2</v>
      </c>
      <c r="H12" s="8">
        <v>4.3499999999999996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2.04</v>
      </c>
      <c r="E13" s="12">
        <v>2</v>
      </c>
      <c r="F13" s="8">
        <v>2.25</v>
      </c>
      <c r="G13" s="12">
        <v>1</v>
      </c>
      <c r="H13" s="8">
        <v>2.17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2.04</v>
      </c>
      <c r="E14" s="12">
        <v>2</v>
      </c>
      <c r="F14" s="8">
        <v>2.25</v>
      </c>
      <c r="G14" s="12">
        <v>1</v>
      </c>
      <c r="H14" s="8">
        <v>2.17</v>
      </c>
      <c r="I14" s="12">
        <v>0</v>
      </c>
    </row>
    <row r="15" spans="2:9" ht="15" customHeight="1" x14ac:dyDescent="0.2">
      <c r="B15" t="s">
        <v>200</v>
      </c>
      <c r="C15" s="12">
        <v>29</v>
      </c>
      <c r="D15" s="8">
        <v>19.73</v>
      </c>
      <c r="E15" s="12">
        <v>27</v>
      </c>
      <c r="F15" s="8">
        <v>30.34</v>
      </c>
      <c r="G15" s="12">
        <v>2</v>
      </c>
      <c r="H15" s="8">
        <v>4.3499999999999996</v>
      </c>
      <c r="I15" s="12">
        <v>0</v>
      </c>
    </row>
    <row r="16" spans="2:9" ht="15" customHeight="1" x14ac:dyDescent="0.2">
      <c r="B16" t="s">
        <v>201</v>
      </c>
      <c r="C16" s="12">
        <v>24</v>
      </c>
      <c r="D16" s="8">
        <v>16.329999999999998</v>
      </c>
      <c r="E16" s="12">
        <v>20</v>
      </c>
      <c r="F16" s="8">
        <v>22.47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1.36</v>
      </c>
      <c r="E17" s="12">
        <v>2</v>
      </c>
      <c r="F17" s="8">
        <v>2.25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8</v>
      </c>
      <c r="D18" s="8">
        <v>5.44</v>
      </c>
      <c r="E18" s="12">
        <v>2</v>
      </c>
      <c r="F18" s="8">
        <v>2.25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4.08</v>
      </c>
      <c r="E19" s="12">
        <v>2</v>
      </c>
      <c r="F19" s="8">
        <v>2.25</v>
      </c>
      <c r="G19" s="12">
        <v>2</v>
      </c>
      <c r="H19" s="8">
        <v>4.3499999999999996</v>
      </c>
      <c r="I19" s="12">
        <v>0</v>
      </c>
    </row>
    <row r="20" spans="2:9" ht="15" customHeight="1" x14ac:dyDescent="0.2">
      <c r="B20" s="9" t="s">
        <v>529</v>
      </c>
      <c r="C20" s="12">
        <f>SUM(LTBL_01663[総数／事業所数])</f>
        <v>147</v>
      </c>
      <c r="E20" s="12">
        <f>SUBTOTAL(109,LTBL_01663[個人／事業所数])</f>
        <v>89</v>
      </c>
      <c r="G20" s="12">
        <f>SUBTOTAL(109,LTBL_01663[法人／事業所数])</f>
        <v>46</v>
      </c>
      <c r="I20" s="12">
        <f>SUBTOTAL(109,LTBL_01663[法人以外の団体／事業所数])</f>
        <v>0</v>
      </c>
    </row>
    <row r="21" spans="2:9" ht="15" customHeight="1" x14ac:dyDescent="0.2">
      <c r="E21" s="11">
        <f>LTBL_01663[[#Totals],[個人／事業所数]]/LTBL_01663[[#Totals],[総数／事業所数]]</f>
        <v>0.60544217687074831</v>
      </c>
      <c r="G21" s="11">
        <f>LTBL_01663[[#Totals],[法人／事業所数]]/LTBL_01663[[#Totals],[総数／事業所数]]</f>
        <v>0.31292517006802723</v>
      </c>
      <c r="I21" s="11">
        <f>LTBL_01663[[#Totals],[法人以外の団体／事業所数]]/LTBL_01663[[#Totals],[総数／事業所数]]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19</v>
      </c>
      <c r="D24" s="8">
        <v>12.93</v>
      </c>
      <c r="E24" s="12">
        <v>18</v>
      </c>
      <c r="F24" s="8">
        <v>20.22</v>
      </c>
      <c r="G24" s="12">
        <v>1</v>
      </c>
      <c r="H24" s="8">
        <v>2.17</v>
      </c>
      <c r="I24" s="12">
        <v>0</v>
      </c>
    </row>
    <row r="25" spans="2:9" ht="15" customHeight="1" x14ac:dyDescent="0.2">
      <c r="B25" t="s">
        <v>228</v>
      </c>
      <c r="C25" s="12">
        <v>18</v>
      </c>
      <c r="D25" s="8">
        <v>12.24</v>
      </c>
      <c r="E25" s="12">
        <v>18</v>
      </c>
      <c r="F25" s="8">
        <v>20.22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223</v>
      </c>
      <c r="C26" s="12">
        <v>14</v>
      </c>
      <c r="D26" s="8">
        <v>9.52</v>
      </c>
      <c r="E26" s="12">
        <v>4</v>
      </c>
      <c r="F26" s="8">
        <v>4.49</v>
      </c>
      <c r="G26" s="12">
        <v>10</v>
      </c>
      <c r="H26" s="8">
        <v>21.74</v>
      </c>
      <c r="I26" s="12">
        <v>0</v>
      </c>
    </row>
    <row r="27" spans="2:9" ht="15" customHeight="1" x14ac:dyDescent="0.2">
      <c r="B27" t="s">
        <v>221</v>
      </c>
      <c r="C27" s="12">
        <v>11</v>
      </c>
      <c r="D27" s="8">
        <v>7.48</v>
      </c>
      <c r="E27" s="12">
        <v>8</v>
      </c>
      <c r="F27" s="8">
        <v>8.99</v>
      </c>
      <c r="G27" s="12">
        <v>3</v>
      </c>
      <c r="H27" s="8">
        <v>6.52</v>
      </c>
      <c r="I27" s="12">
        <v>0</v>
      </c>
    </row>
    <row r="28" spans="2:9" ht="15" customHeight="1" x14ac:dyDescent="0.2">
      <c r="B28" t="s">
        <v>243</v>
      </c>
      <c r="C28" s="12">
        <v>10</v>
      </c>
      <c r="D28" s="8">
        <v>6.8</v>
      </c>
      <c r="E28" s="12">
        <v>9</v>
      </c>
      <c r="F28" s="8">
        <v>10.11</v>
      </c>
      <c r="G28" s="12">
        <v>1</v>
      </c>
      <c r="H28" s="8">
        <v>2.17</v>
      </c>
      <c r="I28" s="12">
        <v>0</v>
      </c>
    </row>
    <row r="29" spans="2:9" ht="15" customHeight="1" x14ac:dyDescent="0.2">
      <c r="B29" t="s">
        <v>214</v>
      </c>
      <c r="C29" s="12">
        <v>8</v>
      </c>
      <c r="D29" s="8">
        <v>5.44</v>
      </c>
      <c r="E29" s="12">
        <v>3</v>
      </c>
      <c r="F29" s="8">
        <v>3.37</v>
      </c>
      <c r="G29" s="12">
        <v>5</v>
      </c>
      <c r="H29" s="8">
        <v>10.87</v>
      </c>
      <c r="I29" s="12">
        <v>0</v>
      </c>
    </row>
    <row r="30" spans="2:9" ht="15" customHeight="1" x14ac:dyDescent="0.2">
      <c r="B30" t="s">
        <v>241</v>
      </c>
      <c r="C30" s="12">
        <v>6</v>
      </c>
      <c r="D30" s="8">
        <v>4.08</v>
      </c>
      <c r="E30" s="12">
        <v>3</v>
      </c>
      <c r="F30" s="8">
        <v>3.37</v>
      </c>
      <c r="G30" s="12">
        <v>3</v>
      </c>
      <c r="H30" s="8">
        <v>6.52</v>
      </c>
      <c r="I30" s="12">
        <v>0</v>
      </c>
    </row>
    <row r="31" spans="2:9" ht="15" customHeight="1" x14ac:dyDescent="0.2">
      <c r="B31" t="s">
        <v>257</v>
      </c>
      <c r="C31" s="12">
        <v>6</v>
      </c>
      <c r="D31" s="8">
        <v>4.08</v>
      </c>
      <c r="E31" s="12">
        <v>6</v>
      </c>
      <c r="F31" s="8">
        <v>6.74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232</v>
      </c>
      <c r="C32" s="12">
        <v>6</v>
      </c>
      <c r="D32" s="8">
        <v>4.08</v>
      </c>
      <c r="E32" s="12">
        <v>0</v>
      </c>
      <c r="F32" s="8">
        <v>0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247</v>
      </c>
      <c r="C33" s="12">
        <v>5</v>
      </c>
      <c r="D33" s="8">
        <v>3.4</v>
      </c>
      <c r="E33" s="12">
        <v>2</v>
      </c>
      <c r="F33" s="8">
        <v>2.25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213</v>
      </c>
      <c r="C34" s="12">
        <v>4</v>
      </c>
      <c r="D34" s="8">
        <v>2.72</v>
      </c>
      <c r="E34" s="12">
        <v>2</v>
      </c>
      <c r="F34" s="8">
        <v>2.25</v>
      </c>
      <c r="G34" s="12">
        <v>2</v>
      </c>
      <c r="H34" s="8">
        <v>4.3499999999999996</v>
      </c>
      <c r="I34" s="12">
        <v>0</v>
      </c>
    </row>
    <row r="35" spans="2:9" ht="15" customHeight="1" x14ac:dyDescent="0.2">
      <c r="B35" t="s">
        <v>244</v>
      </c>
      <c r="C35" s="12">
        <v>4</v>
      </c>
      <c r="D35" s="8">
        <v>2.72</v>
      </c>
      <c r="E35" s="12">
        <v>0</v>
      </c>
      <c r="F35" s="8">
        <v>0</v>
      </c>
      <c r="G35" s="12">
        <v>4</v>
      </c>
      <c r="H35" s="8">
        <v>8.6999999999999993</v>
      </c>
      <c r="I35" s="12">
        <v>0</v>
      </c>
    </row>
    <row r="36" spans="2:9" ht="15" customHeight="1" x14ac:dyDescent="0.2">
      <c r="B36" t="s">
        <v>216</v>
      </c>
      <c r="C36" s="12">
        <v>4</v>
      </c>
      <c r="D36" s="8">
        <v>2.72</v>
      </c>
      <c r="E36" s="12">
        <v>1</v>
      </c>
      <c r="F36" s="8">
        <v>1.1200000000000001</v>
      </c>
      <c r="G36" s="12">
        <v>3</v>
      </c>
      <c r="H36" s="8">
        <v>6.52</v>
      </c>
      <c r="I36" s="12">
        <v>0</v>
      </c>
    </row>
    <row r="37" spans="2:9" ht="15" customHeight="1" x14ac:dyDescent="0.2">
      <c r="B37" t="s">
        <v>226</v>
      </c>
      <c r="C37" s="12">
        <v>3</v>
      </c>
      <c r="D37" s="8">
        <v>2.04</v>
      </c>
      <c r="E37" s="12">
        <v>2</v>
      </c>
      <c r="F37" s="8">
        <v>2.25</v>
      </c>
      <c r="G37" s="12">
        <v>1</v>
      </c>
      <c r="H37" s="8">
        <v>2.17</v>
      </c>
      <c r="I37" s="12">
        <v>0</v>
      </c>
    </row>
    <row r="38" spans="2:9" ht="15" customHeight="1" x14ac:dyDescent="0.2">
      <c r="B38" t="s">
        <v>249</v>
      </c>
      <c r="C38" s="12">
        <v>3</v>
      </c>
      <c r="D38" s="8">
        <v>2.04</v>
      </c>
      <c r="E38" s="12">
        <v>0</v>
      </c>
      <c r="F38" s="8">
        <v>0</v>
      </c>
      <c r="G38" s="12">
        <v>1</v>
      </c>
      <c r="H38" s="8">
        <v>2.17</v>
      </c>
      <c r="I38" s="12">
        <v>0</v>
      </c>
    </row>
    <row r="39" spans="2:9" ht="15" customHeight="1" x14ac:dyDescent="0.2">
      <c r="B39" t="s">
        <v>218</v>
      </c>
      <c r="C39" s="12">
        <v>2</v>
      </c>
      <c r="D39" s="8">
        <v>1.36</v>
      </c>
      <c r="E39" s="12">
        <v>2</v>
      </c>
      <c r="F39" s="8">
        <v>2.25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220</v>
      </c>
      <c r="C40" s="12">
        <v>2</v>
      </c>
      <c r="D40" s="8">
        <v>1.36</v>
      </c>
      <c r="E40" s="12">
        <v>0</v>
      </c>
      <c r="F40" s="8">
        <v>0</v>
      </c>
      <c r="G40" s="12">
        <v>2</v>
      </c>
      <c r="H40" s="8">
        <v>4.3499999999999996</v>
      </c>
      <c r="I40" s="12">
        <v>0</v>
      </c>
    </row>
    <row r="41" spans="2:9" ht="15" customHeight="1" x14ac:dyDescent="0.2">
      <c r="B41" t="s">
        <v>222</v>
      </c>
      <c r="C41" s="12">
        <v>2</v>
      </c>
      <c r="D41" s="8">
        <v>1.36</v>
      </c>
      <c r="E41" s="12">
        <v>1</v>
      </c>
      <c r="F41" s="8">
        <v>1.1200000000000001</v>
      </c>
      <c r="G41" s="12">
        <v>1</v>
      </c>
      <c r="H41" s="8">
        <v>2.17</v>
      </c>
      <c r="I41" s="12">
        <v>0</v>
      </c>
    </row>
    <row r="42" spans="2:9" ht="15" customHeight="1" x14ac:dyDescent="0.2">
      <c r="B42" t="s">
        <v>237</v>
      </c>
      <c r="C42" s="12">
        <v>2</v>
      </c>
      <c r="D42" s="8">
        <v>1.36</v>
      </c>
      <c r="E42" s="12">
        <v>0</v>
      </c>
      <c r="F42" s="8">
        <v>0</v>
      </c>
      <c r="G42" s="12">
        <v>2</v>
      </c>
      <c r="H42" s="8">
        <v>4.3499999999999996</v>
      </c>
      <c r="I42" s="12">
        <v>0</v>
      </c>
    </row>
    <row r="43" spans="2:9" ht="15" customHeight="1" x14ac:dyDescent="0.2">
      <c r="B43" t="s">
        <v>224</v>
      </c>
      <c r="C43" s="12">
        <v>2</v>
      </c>
      <c r="D43" s="8">
        <v>1.36</v>
      </c>
      <c r="E43" s="12">
        <v>2</v>
      </c>
      <c r="F43" s="8">
        <v>2.25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230</v>
      </c>
      <c r="C44" s="12">
        <v>2</v>
      </c>
      <c r="D44" s="8">
        <v>1.36</v>
      </c>
      <c r="E44" s="12">
        <v>2</v>
      </c>
      <c r="F44" s="8">
        <v>2.25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231</v>
      </c>
      <c r="C45" s="12">
        <v>2</v>
      </c>
      <c r="D45" s="8">
        <v>1.36</v>
      </c>
      <c r="E45" s="12">
        <v>2</v>
      </c>
      <c r="F45" s="8">
        <v>2.25</v>
      </c>
      <c r="G45" s="12">
        <v>0</v>
      </c>
      <c r="H45" s="8">
        <v>0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303</v>
      </c>
      <c r="C49" s="12">
        <v>8</v>
      </c>
      <c r="D49" s="8">
        <v>5.44</v>
      </c>
      <c r="E49" s="12">
        <v>8</v>
      </c>
      <c r="F49" s="8">
        <v>8.99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304</v>
      </c>
      <c r="C50" s="12">
        <v>8</v>
      </c>
      <c r="D50" s="8">
        <v>5.44</v>
      </c>
      <c r="E50" s="12">
        <v>8</v>
      </c>
      <c r="F50" s="8">
        <v>8.99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339</v>
      </c>
      <c r="C51" s="12">
        <v>7</v>
      </c>
      <c r="D51" s="8">
        <v>4.76</v>
      </c>
      <c r="E51" s="12">
        <v>6</v>
      </c>
      <c r="F51" s="8">
        <v>6.74</v>
      </c>
      <c r="G51" s="12">
        <v>1</v>
      </c>
      <c r="H51" s="8">
        <v>2.17</v>
      </c>
      <c r="I51" s="12">
        <v>0</v>
      </c>
    </row>
    <row r="52" spans="2:9" ht="15" customHeight="1" x14ac:dyDescent="0.2">
      <c r="B52" t="s">
        <v>301</v>
      </c>
      <c r="C52" s="12">
        <v>7</v>
      </c>
      <c r="D52" s="8">
        <v>4.76</v>
      </c>
      <c r="E52" s="12">
        <v>7</v>
      </c>
      <c r="F52" s="8">
        <v>7.87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357</v>
      </c>
      <c r="C53" s="12">
        <v>6</v>
      </c>
      <c r="D53" s="8">
        <v>4.08</v>
      </c>
      <c r="E53" s="12">
        <v>6</v>
      </c>
      <c r="F53" s="8">
        <v>6.74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330</v>
      </c>
      <c r="C54" s="12">
        <v>6</v>
      </c>
      <c r="D54" s="8">
        <v>4.08</v>
      </c>
      <c r="E54" s="12">
        <v>0</v>
      </c>
      <c r="F54" s="8">
        <v>0</v>
      </c>
      <c r="G54" s="12">
        <v>6</v>
      </c>
      <c r="H54" s="8">
        <v>13.04</v>
      </c>
      <c r="I54" s="12">
        <v>0</v>
      </c>
    </row>
    <row r="55" spans="2:9" ht="15" customHeight="1" x14ac:dyDescent="0.2">
      <c r="B55" t="s">
        <v>341</v>
      </c>
      <c r="C55" s="12">
        <v>6</v>
      </c>
      <c r="D55" s="8">
        <v>4.08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292</v>
      </c>
      <c r="C56" s="12">
        <v>5</v>
      </c>
      <c r="D56" s="8">
        <v>3.4</v>
      </c>
      <c r="E56" s="12">
        <v>4</v>
      </c>
      <c r="F56" s="8">
        <v>4.49</v>
      </c>
      <c r="G56" s="12">
        <v>1</v>
      </c>
      <c r="H56" s="8">
        <v>2.17</v>
      </c>
      <c r="I56" s="12">
        <v>0</v>
      </c>
    </row>
    <row r="57" spans="2:9" ht="15" customHeight="1" x14ac:dyDescent="0.2">
      <c r="B57" t="s">
        <v>413</v>
      </c>
      <c r="C57" s="12">
        <v>4</v>
      </c>
      <c r="D57" s="8">
        <v>2.72</v>
      </c>
      <c r="E57" s="12">
        <v>1</v>
      </c>
      <c r="F57" s="8">
        <v>1.1200000000000001</v>
      </c>
      <c r="G57" s="12">
        <v>3</v>
      </c>
      <c r="H57" s="8">
        <v>6.52</v>
      </c>
      <c r="I57" s="12">
        <v>0</v>
      </c>
    </row>
    <row r="58" spans="2:9" ht="15" customHeight="1" x14ac:dyDescent="0.2">
      <c r="B58" t="s">
        <v>384</v>
      </c>
      <c r="C58" s="12">
        <v>4</v>
      </c>
      <c r="D58" s="8">
        <v>2.72</v>
      </c>
      <c r="E58" s="12">
        <v>0</v>
      </c>
      <c r="F58" s="8">
        <v>0</v>
      </c>
      <c r="G58" s="12">
        <v>4</v>
      </c>
      <c r="H58" s="8">
        <v>8.6999999999999993</v>
      </c>
      <c r="I58" s="12">
        <v>0</v>
      </c>
    </row>
    <row r="59" spans="2:9" ht="15" customHeight="1" x14ac:dyDescent="0.2">
      <c r="B59" t="s">
        <v>324</v>
      </c>
      <c r="C59" s="12">
        <v>4</v>
      </c>
      <c r="D59" s="8">
        <v>2.72</v>
      </c>
      <c r="E59" s="12">
        <v>1</v>
      </c>
      <c r="F59" s="8">
        <v>1.1200000000000001</v>
      </c>
      <c r="G59" s="12">
        <v>3</v>
      </c>
      <c r="H59" s="8">
        <v>6.52</v>
      </c>
      <c r="I59" s="12">
        <v>0</v>
      </c>
    </row>
    <row r="60" spans="2:9" ht="15" customHeight="1" x14ac:dyDescent="0.2">
      <c r="B60" t="s">
        <v>295</v>
      </c>
      <c r="C60" s="12">
        <v>4</v>
      </c>
      <c r="D60" s="8">
        <v>2.72</v>
      </c>
      <c r="E60" s="12">
        <v>3</v>
      </c>
      <c r="F60" s="8">
        <v>3.37</v>
      </c>
      <c r="G60" s="12">
        <v>1</v>
      </c>
      <c r="H60" s="8">
        <v>2.17</v>
      </c>
      <c r="I60" s="12">
        <v>0</v>
      </c>
    </row>
    <row r="61" spans="2:9" ht="15" customHeight="1" x14ac:dyDescent="0.2">
      <c r="B61" t="s">
        <v>375</v>
      </c>
      <c r="C61" s="12">
        <v>3</v>
      </c>
      <c r="D61" s="8">
        <v>2.04</v>
      </c>
      <c r="E61" s="12">
        <v>1</v>
      </c>
      <c r="F61" s="8">
        <v>1.1200000000000001</v>
      </c>
      <c r="G61" s="12">
        <v>2</v>
      </c>
      <c r="H61" s="8">
        <v>4.3499999999999996</v>
      </c>
      <c r="I61" s="12">
        <v>0</v>
      </c>
    </row>
    <row r="62" spans="2:9" ht="15" customHeight="1" x14ac:dyDescent="0.2">
      <c r="B62" t="s">
        <v>354</v>
      </c>
      <c r="C62" s="12">
        <v>3</v>
      </c>
      <c r="D62" s="8">
        <v>2.04</v>
      </c>
      <c r="E62" s="12">
        <v>1</v>
      </c>
      <c r="F62" s="8">
        <v>1.1200000000000001</v>
      </c>
      <c r="G62" s="12">
        <v>2</v>
      </c>
      <c r="H62" s="8">
        <v>4.3499999999999996</v>
      </c>
      <c r="I62" s="12">
        <v>0</v>
      </c>
    </row>
    <row r="63" spans="2:9" ht="15" customHeight="1" x14ac:dyDescent="0.2">
      <c r="B63" t="s">
        <v>422</v>
      </c>
      <c r="C63" s="12">
        <v>3</v>
      </c>
      <c r="D63" s="8">
        <v>2.04</v>
      </c>
      <c r="E63" s="12">
        <v>3</v>
      </c>
      <c r="F63" s="8">
        <v>3.37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334</v>
      </c>
      <c r="C64" s="12">
        <v>3</v>
      </c>
      <c r="D64" s="8">
        <v>2.04</v>
      </c>
      <c r="E64" s="12">
        <v>3</v>
      </c>
      <c r="F64" s="8">
        <v>3.37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368</v>
      </c>
      <c r="C65" s="12">
        <v>3</v>
      </c>
      <c r="D65" s="8">
        <v>2.04</v>
      </c>
      <c r="E65" s="12">
        <v>1</v>
      </c>
      <c r="F65" s="8">
        <v>1.1200000000000001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370</v>
      </c>
      <c r="C66" s="12">
        <v>3</v>
      </c>
      <c r="D66" s="8">
        <v>2.04</v>
      </c>
      <c r="E66" s="12">
        <v>0</v>
      </c>
      <c r="F66" s="8">
        <v>0</v>
      </c>
      <c r="G66" s="12">
        <v>1</v>
      </c>
      <c r="H66" s="8">
        <v>2.17</v>
      </c>
      <c r="I66" s="12">
        <v>0</v>
      </c>
    </row>
    <row r="67" spans="2:9" ht="15" customHeight="1" x14ac:dyDescent="0.2">
      <c r="B67" t="s">
        <v>288</v>
      </c>
      <c r="C67" s="12">
        <v>2</v>
      </c>
      <c r="D67" s="8">
        <v>1.36</v>
      </c>
      <c r="E67" s="12">
        <v>0</v>
      </c>
      <c r="F67" s="8">
        <v>0</v>
      </c>
      <c r="G67" s="12">
        <v>2</v>
      </c>
      <c r="H67" s="8">
        <v>4.3499999999999996</v>
      </c>
      <c r="I67" s="12">
        <v>0</v>
      </c>
    </row>
    <row r="68" spans="2:9" ht="15" customHeight="1" x14ac:dyDescent="0.2">
      <c r="B68" t="s">
        <v>328</v>
      </c>
      <c r="C68" s="12">
        <v>2</v>
      </c>
      <c r="D68" s="8">
        <v>1.36</v>
      </c>
      <c r="E68" s="12">
        <v>2</v>
      </c>
      <c r="F68" s="8">
        <v>2.25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332</v>
      </c>
      <c r="C69" s="12">
        <v>2</v>
      </c>
      <c r="D69" s="8">
        <v>1.36</v>
      </c>
      <c r="E69" s="12">
        <v>2</v>
      </c>
      <c r="F69" s="8">
        <v>2.25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337</v>
      </c>
      <c r="C70" s="12">
        <v>2</v>
      </c>
      <c r="D70" s="8">
        <v>1.36</v>
      </c>
      <c r="E70" s="12">
        <v>1</v>
      </c>
      <c r="F70" s="8">
        <v>1.1200000000000001</v>
      </c>
      <c r="G70" s="12">
        <v>1</v>
      </c>
      <c r="H70" s="8">
        <v>2.17</v>
      </c>
      <c r="I70" s="12">
        <v>0</v>
      </c>
    </row>
    <row r="71" spans="2:9" ht="15" customHeight="1" x14ac:dyDescent="0.2">
      <c r="B71" t="s">
        <v>322</v>
      </c>
      <c r="C71" s="12">
        <v>2</v>
      </c>
      <c r="D71" s="8">
        <v>1.36</v>
      </c>
      <c r="E71" s="12">
        <v>0</v>
      </c>
      <c r="F71" s="8">
        <v>0</v>
      </c>
      <c r="G71" s="12">
        <v>2</v>
      </c>
      <c r="H71" s="8">
        <v>4.3499999999999996</v>
      </c>
      <c r="I71" s="12">
        <v>0</v>
      </c>
    </row>
    <row r="72" spans="2:9" ht="15" customHeight="1" x14ac:dyDescent="0.2">
      <c r="B72" t="s">
        <v>297</v>
      </c>
      <c r="C72" s="12">
        <v>2</v>
      </c>
      <c r="D72" s="8">
        <v>1.36</v>
      </c>
      <c r="E72" s="12">
        <v>2</v>
      </c>
      <c r="F72" s="8">
        <v>2.25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299</v>
      </c>
      <c r="C73" s="12">
        <v>2</v>
      </c>
      <c r="D73" s="8">
        <v>1.36</v>
      </c>
      <c r="E73" s="12">
        <v>1</v>
      </c>
      <c r="F73" s="8">
        <v>1.1200000000000001</v>
      </c>
      <c r="G73" s="12">
        <v>1</v>
      </c>
      <c r="H73" s="8">
        <v>2.17</v>
      </c>
      <c r="I73" s="12">
        <v>0</v>
      </c>
    </row>
    <row r="74" spans="2:9" ht="15" customHeight="1" x14ac:dyDescent="0.2">
      <c r="B74" t="s">
        <v>349</v>
      </c>
      <c r="C74" s="12">
        <v>2</v>
      </c>
      <c r="D74" s="8">
        <v>1.36</v>
      </c>
      <c r="E74" s="12">
        <v>2</v>
      </c>
      <c r="F74" s="8">
        <v>2.25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300</v>
      </c>
      <c r="C75" s="12">
        <v>2</v>
      </c>
      <c r="D75" s="8">
        <v>1.36</v>
      </c>
      <c r="E75" s="12">
        <v>2</v>
      </c>
      <c r="F75" s="8">
        <v>2.25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302</v>
      </c>
      <c r="C76" s="12">
        <v>2</v>
      </c>
      <c r="D76" s="8">
        <v>1.36</v>
      </c>
      <c r="E76" s="12">
        <v>2</v>
      </c>
      <c r="F76" s="8">
        <v>2.25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323</v>
      </c>
      <c r="C77" s="12">
        <v>2</v>
      </c>
      <c r="D77" s="8">
        <v>1.36</v>
      </c>
      <c r="E77" s="12">
        <v>2</v>
      </c>
      <c r="F77" s="8">
        <v>2.25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411</v>
      </c>
      <c r="C78" s="12">
        <v>2</v>
      </c>
      <c r="D78" s="8">
        <v>1.36</v>
      </c>
      <c r="E78" s="12">
        <v>1</v>
      </c>
      <c r="F78" s="8">
        <v>1.1200000000000001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305</v>
      </c>
      <c r="C79" s="12">
        <v>2</v>
      </c>
      <c r="D79" s="8">
        <v>1.36</v>
      </c>
      <c r="E79" s="12">
        <v>2</v>
      </c>
      <c r="F79" s="8">
        <v>2.25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306</v>
      </c>
      <c r="C80" s="12">
        <v>2</v>
      </c>
      <c r="D80" s="8">
        <v>1.36</v>
      </c>
      <c r="E80" s="12">
        <v>2</v>
      </c>
      <c r="F80" s="8">
        <v>2.25</v>
      </c>
      <c r="G80" s="12">
        <v>0</v>
      </c>
      <c r="H80" s="8">
        <v>0</v>
      </c>
      <c r="I80" s="12">
        <v>0</v>
      </c>
    </row>
    <row r="82" spans="2:2" ht="15" customHeight="1" x14ac:dyDescent="0.2">
      <c r="B8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BAD1F-DE45-46CA-8DFA-7B26F7431553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25</v>
      </c>
      <c r="D6" s="8">
        <v>11.47</v>
      </c>
      <c r="E6" s="12">
        <v>4</v>
      </c>
      <c r="F6" s="8">
        <v>3.6</v>
      </c>
      <c r="G6" s="12">
        <v>21</v>
      </c>
      <c r="H6" s="8">
        <v>21.88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4.13</v>
      </c>
      <c r="E7" s="12">
        <v>1</v>
      </c>
      <c r="F7" s="8">
        <v>0.9</v>
      </c>
      <c r="G7" s="12">
        <v>8</v>
      </c>
      <c r="H7" s="8">
        <v>8.33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0.92</v>
      </c>
      <c r="E8" s="12">
        <v>0</v>
      </c>
      <c r="F8" s="8">
        <v>0</v>
      </c>
      <c r="G8" s="12">
        <v>2</v>
      </c>
      <c r="H8" s="8">
        <v>2.08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0.46</v>
      </c>
      <c r="E9" s="12">
        <v>0</v>
      </c>
      <c r="F9" s="8">
        <v>0</v>
      </c>
      <c r="G9" s="12">
        <v>1</v>
      </c>
      <c r="H9" s="8">
        <v>1.04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0.92</v>
      </c>
      <c r="E10" s="12">
        <v>0</v>
      </c>
      <c r="F10" s="8">
        <v>0</v>
      </c>
      <c r="G10" s="12">
        <v>2</v>
      </c>
      <c r="H10" s="8">
        <v>2.08</v>
      </c>
      <c r="I10" s="12">
        <v>0</v>
      </c>
    </row>
    <row r="11" spans="2:9" ht="15" customHeight="1" x14ac:dyDescent="0.2">
      <c r="B11" t="s">
        <v>196</v>
      </c>
      <c r="C11" s="12">
        <v>56</v>
      </c>
      <c r="D11" s="8">
        <v>25.69</v>
      </c>
      <c r="E11" s="12">
        <v>23</v>
      </c>
      <c r="F11" s="8">
        <v>20.72</v>
      </c>
      <c r="G11" s="12">
        <v>33</v>
      </c>
      <c r="H11" s="8">
        <v>34.380000000000003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0.46</v>
      </c>
      <c r="E12" s="12">
        <v>0</v>
      </c>
      <c r="F12" s="8">
        <v>0</v>
      </c>
      <c r="G12" s="12">
        <v>1</v>
      </c>
      <c r="H12" s="8">
        <v>1.04</v>
      </c>
      <c r="I12" s="12">
        <v>0</v>
      </c>
    </row>
    <row r="13" spans="2:9" ht="15" customHeight="1" x14ac:dyDescent="0.2">
      <c r="B13" t="s">
        <v>198</v>
      </c>
      <c r="C13" s="12">
        <v>17</v>
      </c>
      <c r="D13" s="8">
        <v>7.8</v>
      </c>
      <c r="E13" s="12">
        <v>10</v>
      </c>
      <c r="F13" s="8">
        <v>9.01</v>
      </c>
      <c r="G13" s="12">
        <v>7</v>
      </c>
      <c r="H13" s="8">
        <v>7.29</v>
      </c>
      <c r="I13" s="12">
        <v>0</v>
      </c>
    </row>
    <row r="14" spans="2:9" ht="15" customHeight="1" x14ac:dyDescent="0.2">
      <c r="B14" t="s">
        <v>199</v>
      </c>
      <c r="C14" s="12">
        <v>9</v>
      </c>
      <c r="D14" s="8">
        <v>4.13</v>
      </c>
      <c r="E14" s="12">
        <v>3</v>
      </c>
      <c r="F14" s="8">
        <v>2.7</v>
      </c>
      <c r="G14" s="12">
        <v>6</v>
      </c>
      <c r="H14" s="8">
        <v>6.25</v>
      </c>
      <c r="I14" s="12">
        <v>0</v>
      </c>
    </row>
    <row r="15" spans="2:9" ht="15" customHeight="1" x14ac:dyDescent="0.2">
      <c r="B15" t="s">
        <v>200</v>
      </c>
      <c r="C15" s="12">
        <v>40</v>
      </c>
      <c r="D15" s="8">
        <v>18.350000000000001</v>
      </c>
      <c r="E15" s="12">
        <v>37</v>
      </c>
      <c r="F15" s="8">
        <v>33.33</v>
      </c>
      <c r="G15" s="12">
        <v>3</v>
      </c>
      <c r="H15" s="8">
        <v>3.13</v>
      </c>
      <c r="I15" s="12">
        <v>0</v>
      </c>
    </row>
    <row r="16" spans="2:9" ht="15" customHeight="1" x14ac:dyDescent="0.2">
      <c r="B16" t="s">
        <v>201</v>
      </c>
      <c r="C16" s="12">
        <v>25</v>
      </c>
      <c r="D16" s="8">
        <v>11.47</v>
      </c>
      <c r="E16" s="12">
        <v>19</v>
      </c>
      <c r="F16" s="8">
        <v>17.12</v>
      </c>
      <c r="G16" s="12">
        <v>5</v>
      </c>
      <c r="H16" s="8">
        <v>5.21</v>
      </c>
      <c r="I16" s="12">
        <v>0</v>
      </c>
    </row>
    <row r="17" spans="2:9" ht="15" customHeight="1" x14ac:dyDescent="0.2">
      <c r="B17" t="s">
        <v>202</v>
      </c>
      <c r="C17" s="12">
        <v>9</v>
      </c>
      <c r="D17" s="8">
        <v>4.13</v>
      </c>
      <c r="E17" s="12">
        <v>3</v>
      </c>
      <c r="F17" s="8">
        <v>2.7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10</v>
      </c>
      <c r="D18" s="8">
        <v>4.59</v>
      </c>
      <c r="E18" s="12">
        <v>4</v>
      </c>
      <c r="F18" s="8">
        <v>3.6</v>
      </c>
      <c r="G18" s="12">
        <v>2</v>
      </c>
      <c r="H18" s="8">
        <v>2.08</v>
      </c>
      <c r="I18" s="12">
        <v>0</v>
      </c>
    </row>
    <row r="19" spans="2:9" ht="15" customHeight="1" x14ac:dyDescent="0.2">
      <c r="B19" t="s">
        <v>204</v>
      </c>
      <c r="C19" s="12">
        <v>12</v>
      </c>
      <c r="D19" s="8">
        <v>5.5</v>
      </c>
      <c r="E19" s="12">
        <v>7</v>
      </c>
      <c r="F19" s="8">
        <v>6.31</v>
      </c>
      <c r="G19" s="12">
        <v>5</v>
      </c>
      <c r="H19" s="8">
        <v>5.21</v>
      </c>
      <c r="I19" s="12">
        <v>0</v>
      </c>
    </row>
    <row r="20" spans="2:9" ht="15" customHeight="1" x14ac:dyDescent="0.2">
      <c r="B20" s="9" t="s">
        <v>529</v>
      </c>
      <c r="C20" s="12">
        <f>SUM(LTBL_01664[総数／事業所数])</f>
        <v>218</v>
      </c>
      <c r="E20" s="12">
        <f>SUBTOTAL(109,LTBL_01664[個人／事業所数])</f>
        <v>111</v>
      </c>
      <c r="G20" s="12">
        <f>SUBTOTAL(109,LTBL_01664[法人／事業所数])</f>
        <v>96</v>
      </c>
      <c r="I20" s="12">
        <f>SUBTOTAL(109,LTBL_01664[法人以外の団体／事業所数])</f>
        <v>0</v>
      </c>
    </row>
    <row r="21" spans="2:9" ht="15" customHeight="1" x14ac:dyDescent="0.2">
      <c r="E21" s="11">
        <f>LTBL_01664[[#Totals],[個人／事業所数]]/LTBL_01664[[#Totals],[総数／事業所数]]</f>
        <v>0.50917431192660545</v>
      </c>
      <c r="G21" s="11">
        <f>LTBL_01664[[#Totals],[法人／事業所数]]/LTBL_01664[[#Totals],[総数／事業所数]]</f>
        <v>0.44036697247706424</v>
      </c>
      <c r="I21" s="11">
        <f>LTBL_01664[[#Totals],[法人以外の団体／事業所数]]/LTBL_01664[[#Totals],[総数／事業所数]]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36</v>
      </c>
      <c r="D24" s="8">
        <v>16.510000000000002</v>
      </c>
      <c r="E24" s="12">
        <v>35</v>
      </c>
      <c r="F24" s="8">
        <v>31.53</v>
      </c>
      <c r="G24" s="12">
        <v>1</v>
      </c>
      <c r="H24" s="8">
        <v>1.04</v>
      </c>
      <c r="I24" s="12">
        <v>0</v>
      </c>
    </row>
    <row r="25" spans="2:9" ht="15" customHeight="1" x14ac:dyDescent="0.2">
      <c r="B25" t="s">
        <v>223</v>
      </c>
      <c r="C25" s="12">
        <v>22</v>
      </c>
      <c r="D25" s="8">
        <v>10.09</v>
      </c>
      <c r="E25" s="12">
        <v>8</v>
      </c>
      <c r="F25" s="8">
        <v>7.21</v>
      </c>
      <c r="G25" s="12">
        <v>14</v>
      </c>
      <c r="H25" s="8">
        <v>14.58</v>
      </c>
      <c r="I25" s="12">
        <v>0</v>
      </c>
    </row>
    <row r="26" spans="2:9" ht="15" customHeight="1" x14ac:dyDescent="0.2">
      <c r="B26" t="s">
        <v>228</v>
      </c>
      <c r="C26" s="12">
        <v>21</v>
      </c>
      <c r="D26" s="8">
        <v>9.6300000000000008</v>
      </c>
      <c r="E26" s="12">
        <v>17</v>
      </c>
      <c r="F26" s="8">
        <v>15.32</v>
      </c>
      <c r="G26" s="12">
        <v>4</v>
      </c>
      <c r="H26" s="8">
        <v>4.17</v>
      </c>
      <c r="I26" s="12">
        <v>0</v>
      </c>
    </row>
    <row r="27" spans="2:9" ht="15" customHeight="1" x14ac:dyDescent="0.2">
      <c r="B27" t="s">
        <v>221</v>
      </c>
      <c r="C27" s="12">
        <v>15</v>
      </c>
      <c r="D27" s="8">
        <v>6.88</v>
      </c>
      <c r="E27" s="12">
        <v>9</v>
      </c>
      <c r="F27" s="8">
        <v>8.11</v>
      </c>
      <c r="G27" s="12">
        <v>6</v>
      </c>
      <c r="H27" s="8">
        <v>6.25</v>
      </c>
      <c r="I27" s="12">
        <v>0</v>
      </c>
    </row>
    <row r="28" spans="2:9" ht="15" customHeight="1" x14ac:dyDescent="0.2">
      <c r="B28" t="s">
        <v>213</v>
      </c>
      <c r="C28" s="12">
        <v>12</v>
      </c>
      <c r="D28" s="8">
        <v>5.5</v>
      </c>
      <c r="E28" s="12">
        <v>1</v>
      </c>
      <c r="F28" s="8">
        <v>0.9</v>
      </c>
      <c r="G28" s="12">
        <v>11</v>
      </c>
      <c r="H28" s="8">
        <v>11.46</v>
      </c>
      <c r="I28" s="12">
        <v>0</v>
      </c>
    </row>
    <row r="29" spans="2:9" ht="15" customHeight="1" x14ac:dyDescent="0.2">
      <c r="B29" t="s">
        <v>224</v>
      </c>
      <c r="C29" s="12">
        <v>12</v>
      </c>
      <c r="D29" s="8">
        <v>5.5</v>
      </c>
      <c r="E29" s="12">
        <v>10</v>
      </c>
      <c r="F29" s="8">
        <v>9.01</v>
      </c>
      <c r="G29" s="12">
        <v>2</v>
      </c>
      <c r="H29" s="8">
        <v>2.08</v>
      </c>
      <c r="I29" s="12">
        <v>0</v>
      </c>
    </row>
    <row r="30" spans="2:9" ht="15" customHeight="1" x14ac:dyDescent="0.2">
      <c r="B30" t="s">
        <v>230</v>
      </c>
      <c r="C30" s="12">
        <v>9</v>
      </c>
      <c r="D30" s="8">
        <v>4.13</v>
      </c>
      <c r="E30" s="12">
        <v>3</v>
      </c>
      <c r="F30" s="8">
        <v>2.7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215</v>
      </c>
      <c r="C31" s="12">
        <v>7</v>
      </c>
      <c r="D31" s="8">
        <v>3.21</v>
      </c>
      <c r="E31" s="12">
        <v>2</v>
      </c>
      <c r="F31" s="8">
        <v>1.8</v>
      </c>
      <c r="G31" s="12">
        <v>5</v>
      </c>
      <c r="H31" s="8">
        <v>5.21</v>
      </c>
      <c r="I31" s="12">
        <v>0</v>
      </c>
    </row>
    <row r="32" spans="2:9" ht="15" customHeight="1" x14ac:dyDescent="0.2">
      <c r="B32" t="s">
        <v>226</v>
      </c>
      <c r="C32" s="12">
        <v>7</v>
      </c>
      <c r="D32" s="8">
        <v>3.21</v>
      </c>
      <c r="E32" s="12">
        <v>2</v>
      </c>
      <c r="F32" s="8">
        <v>1.8</v>
      </c>
      <c r="G32" s="12">
        <v>5</v>
      </c>
      <c r="H32" s="8">
        <v>5.21</v>
      </c>
      <c r="I32" s="12">
        <v>0</v>
      </c>
    </row>
    <row r="33" spans="2:9" ht="15" customHeight="1" x14ac:dyDescent="0.2">
      <c r="B33" t="s">
        <v>214</v>
      </c>
      <c r="C33" s="12">
        <v>6</v>
      </c>
      <c r="D33" s="8">
        <v>2.75</v>
      </c>
      <c r="E33" s="12">
        <v>1</v>
      </c>
      <c r="F33" s="8">
        <v>0.9</v>
      </c>
      <c r="G33" s="12">
        <v>5</v>
      </c>
      <c r="H33" s="8">
        <v>5.21</v>
      </c>
      <c r="I33" s="12">
        <v>0</v>
      </c>
    </row>
    <row r="34" spans="2:9" ht="15" customHeight="1" x14ac:dyDescent="0.2">
      <c r="B34" t="s">
        <v>222</v>
      </c>
      <c r="C34" s="12">
        <v>6</v>
      </c>
      <c r="D34" s="8">
        <v>2.75</v>
      </c>
      <c r="E34" s="12">
        <v>2</v>
      </c>
      <c r="F34" s="8">
        <v>1.8</v>
      </c>
      <c r="G34" s="12">
        <v>4</v>
      </c>
      <c r="H34" s="8">
        <v>4.17</v>
      </c>
      <c r="I34" s="12">
        <v>0</v>
      </c>
    </row>
    <row r="35" spans="2:9" ht="15" customHeight="1" x14ac:dyDescent="0.2">
      <c r="B35" t="s">
        <v>232</v>
      </c>
      <c r="C35" s="12">
        <v>6</v>
      </c>
      <c r="D35" s="8">
        <v>2.75</v>
      </c>
      <c r="E35" s="12">
        <v>0</v>
      </c>
      <c r="F35" s="8">
        <v>0</v>
      </c>
      <c r="G35" s="12">
        <v>2</v>
      </c>
      <c r="H35" s="8">
        <v>2.08</v>
      </c>
      <c r="I35" s="12">
        <v>0</v>
      </c>
    </row>
    <row r="36" spans="2:9" ht="15" customHeight="1" x14ac:dyDescent="0.2">
      <c r="B36" t="s">
        <v>241</v>
      </c>
      <c r="C36" s="12">
        <v>5</v>
      </c>
      <c r="D36" s="8">
        <v>2.29</v>
      </c>
      <c r="E36" s="12">
        <v>1</v>
      </c>
      <c r="F36" s="8">
        <v>0.9</v>
      </c>
      <c r="G36" s="12">
        <v>4</v>
      </c>
      <c r="H36" s="8">
        <v>4.17</v>
      </c>
      <c r="I36" s="12">
        <v>0</v>
      </c>
    </row>
    <row r="37" spans="2:9" ht="15" customHeight="1" x14ac:dyDescent="0.2">
      <c r="B37" t="s">
        <v>242</v>
      </c>
      <c r="C37" s="12">
        <v>5</v>
      </c>
      <c r="D37" s="8">
        <v>2.29</v>
      </c>
      <c r="E37" s="12">
        <v>3</v>
      </c>
      <c r="F37" s="8">
        <v>2.7</v>
      </c>
      <c r="G37" s="12">
        <v>2</v>
      </c>
      <c r="H37" s="8">
        <v>2.08</v>
      </c>
      <c r="I37" s="12">
        <v>0</v>
      </c>
    </row>
    <row r="38" spans="2:9" ht="15" customHeight="1" x14ac:dyDescent="0.2">
      <c r="B38" t="s">
        <v>216</v>
      </c>
      <c r="C38" s="12">
        <v>4</v>
      </c>
      <c r="D38" s="8">
        <v>1.83</v>
      </c>
      <c r="E38" s="12">
        <v>2</v>
      </c>
      <c r="F38" s="8">
        <v>1.8</v>
      </c>
      <c r="G38" s="12">
        <v>2</v>
      </c>
      <c r="H38" s="8">
        <v>2.08</v>
      </c>
      <c r="I38" s="12">
        <v>0</v>
      </c>
    </row>
    <row r="39" spans="2:9" ht="15" customHeight="1" x14ac:dyDescent="0.2">
      <c r="B39" t="s">
        <v>219</v>
      </c>
      <c r="C39" s="12">
        <v>4</v>
      </c>
      <c r="D39" s="8">
        <v>1.83</v>
      </c>
      <c r="E39" s="12">
        <v>0</v>
      </c>
      <c r="F39" s="8">
        <v>0</v>
      </c>
      <c r="G39" s="12">
        <v>4</v>
      </c>
      <c r="H39" s="8">
        <v>4.17</v>
      </c>
      <c r="I39" s="12">
        <v>0</v>
      </c>
    </row>
    <row r="40" spans="2:9" ht="15" customHeight="1" x14ac:dyDescent="0.2">
      <c r="B40" t="s">
        <v>243</v>
      </c>
      <c r="C40" s="12">
        <v>4</v>
      </c>
      <c r="D40" s="8">
        <v>1.83</v>
      </c>
      <c r="E40" s="12">
        <v>2</v>
      </c>
      <c r="F40" s="8">
        <v>1.8</v>
      </c>
      <c r="G40" s="12">
        <v>2</v>
      </c>
      <c r="H40" s="8">
        <v>2.08</v>
      </c>
      <c r="I40" s="12">
        <v>0</v>
      </c>
    </row>
    <row r="41" spans="2:9" ht="15" customHeight="1" x14ac:dyDescent="0.2">
      <c r="B41" t="s">
        <v>231</v>
      </c>
      <c r="C41" s="12">
        <v>4</v>
      </c>
      <c r="D41" s="8">
        <v>1.83</v>
      </c>
      <c r="E41" s="12">
        <v>4</v>
      </c>
      <c r="F41" s="8">
        <v>3.6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240</v>
      </c>
      <c r="C42" s="12">
        <v>4</v>
      </c>
      <c r="D42" s="8">
        <v>1.83</v>
      </c>
      <c r="E42" s="12">
        <v>3</v>
      </c>
      <c r="F42" s="8">
        <v>2.7</v>
      </c>
      <c r="G42" s="12">
        <v>1</v>
      </c>
      <c r="H42" s="8">
        <v>1.04</v>
      </c>
      <c r="I42" s="12">
        <v>0</v>
      </c>
    </row>
    <row r="43" spans="2:9" ht="15" customHeight="1" x14ac:dyDescent="0.2">
      <c r="B43" t="s">
        <v>218</v>
      </c>
      <c r="C43" s="12">
        <v>3</v>
      </c>
      <c r="D43" s="8">
        <v>1.38</v>
      </c>
      <c r="E43" s="12">
        <v>1</v>
      </c>
      <c r="F43" s="8">
        <v>0.9</v>
      </c>
      <c r="G43" s="12">
        <v>2</v>
      </c>
      <c r="H43" s="8">
        <v>2.08</v>
      </c>
      <c r="I43" s="12">
        <v>0</v>
      </c>
    </row>
    <row r="44" spans="2:9" ht="15" customHeight="1" x14ac:dyDescent="0.2">
      <c r="B44" t="s">
        <v>246</v>
      </c>
      <c r="C44" s="12">
        <v>3</v>
      </c>
      <c r="D44" s="8">
        <v>1.38</v>
      </c>
      <c r="E44" s="12">
        <v>0</v>
      </c>
      <c r="F44" s="8">
        <v>0</v>
      </c>
      <c r="G44" s="12">
        <v>3</v>
      </c>
      <c r="H44" s="8">
        <v>3.13</v>
      </c>
      <c r="I44" s="12">
        <v>0</v>
      </c>
    </row>
    <row r="45" spans="2:9" ht="15" customHeight="1" x14ac:dyDescent="0.2">
      <c r="B45" t="s">
        <v>229</v>
      </c>
      <c r="C45" s="12">
        <v>3</v>
      </c>
      <c r="D45" s="8">
        <v>1.38</v>
      </c>
      <c r="E45" s="12">
        <v>2</v>
      </c>
      <c r="F45" s="8">
        <v>1.8</v>
      </c>
      <c r="G45" s="12">
        <v>1</v>
      </c>
      <c r="H45" s="8">
        <v>1.04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297</v>
      </c>
      <c r="C49" s="12">
        <v>11</v>
      </c>
      <c r="D49" s="8">
        <v>5.05</v>
      </c>
      <c r="E49" s="12">
        <v>10</v>
      </c>
      <c r="F49" s="8">
        <v>9.01</v>
      </c>
      <c r="G49" s="12">
        <v>1</v>
      </c>
      <c r="H49" s="8">
        <v>1.04</v>
      </c>
      <c r="I49" s="12">
        <v>0</v>
      </c>
    </row>
    <row r="50" spans="2:9" ht="15" customHeight="1" x14ac:dyDescent="0.2">
      <c r="B50" t="s">
        <v>299</v>
      </c>
      <c r="C50" s="12">
        <v>11</v>
      </c>
      <c r="D50" s="8">
        <v>5.05</v>
      </c>
      <c r="E50" s="12">
        <v>10</v>
      </c>
      <c r="F50" s="8">
        <v>9.01</v>
      </c>
      <c r="G50" s="12">
        <v>1</v>
      </c>
      <c r="H50" s="8">
        <v>1.04</v>
      </c>
      <c r="I50" s="12">
        <v>0</v>
      </c>
    </row>
    <row r="51" spans="2:9" ht="15" customHeight="1" x14ac:dyDescent="0.2">
      <c r="B51" t="s">
        <v>300</v>
      </c>
      <c r="C51" s="12">
        <v>9</v>
      </c>
      <c r="D51" s="8">
        <v>4.13</v>
      </c>
      <c r="E51" s="12">
        <v>9</v>
      </c>
      <c r="F51" s="8">
        <v>8.11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303</v>
      </c>
      <c r="C52" s="12">
        <v>8</v>
      </c>
      <c r="D52" s="8">
        <v>3.67</v>
      </c>
      <c r="E52" s="12">
        <v>7</v>
      </c>
      <c r="F52" s="8">
        <v>6.31</v>
      </c>
      <c r="G52" s="12">
        <v>1</v>
      </c>
      <c r="H52" s="8">
        <v>1.04</v>
      </c>
      <c r="I52" s="12">
        <v>0</v>
      </c>
    </row>
    <row r="53" spans="2:9" ht="15" customHeight="1" x14ac:dyDescent="0.2">
      <c r="B53" t="s">
        <v>289</v>
      </c>
      <c r="C53" s="12">
        <v>7</v>
      </c>
      <c r="D53" s="8">
        <v>3.21</v>
      </c>
      <c r="E53" s="12">
        <v>0</v>
      </c>
      <c r="F53" s="8">
        <v>0</v>
      </c>
      <c r="G53" s="12">
        <v>7</v>
      </c>
      <c r="H53" s="8">
        <v>7.29</v>
      </c>
      <c r="I53" s="12">
        <v>0</v>
      </c>
    </row>
    <row r="54" spans="2:9" ht="15" customHeight="1" x14ac:dyDescent="0.2">
      <c r="B54" t="s">
        <v>330</v>
      </c>
      <c r="C54" s="12">
        <v>7</v>
      </c>
      <c r="D54" s="8">
        <v>3.21</v>
      </c>
      <c r="E54" s="12">
        <v>1</v>
      </c>
      <c r="F54" s="8">
        <v>0.9</v>
      </c>
      <c r="G54" s="12">
        <v>6</v>
      </c>
      <c r="H54" s="8">
        <v>6.25</v>
      </c>
      <c r="I54" s="12">
        <v>0</v>
      </c>
    </row>
    <row r="55" spans="2:9" ht="15" customHeight="1" x14ac:dyDescent="0.2">
      <c r="B55" t="s">
        <v>304</v>
      </c>
      <c r="C55" s="12">
        <v>6</v>
      </c>
      <c r="D55" s="8">
        <v>2.75</v>
      </c>
      <c r="E55" s="12">
        <v>6</v>
      </c>
      <c r="F55" s="8">
        <v>5.41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340</v>
      </c>
      <c r="C56" s="12">
        <v>6</v>
      </c>
      <c r="D56" s="8">
        <v>2.75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329</v>
      </c>
      <c r="C57" s="12">
        <v>5</v>
      </c>
      <c r="D57" s="8">
        <v>2.29</v>
      </c>
      <c r="E57" s="12">
        <v>4</v>
      </c>
      <c r="F57" s="8">
        <v>3.6</v>
      </c>
      <c r="G57" s="12">
        <v>1</v>
      </c>
      <c r="H57" s="8">
        <v>1.04</v>
      </c>
      <c r="I57" s="12">
        <v>0</v>
      </c>
    </row>
    <row r="58" spans="2:9" ht="15" customHeight="1" x14ac:dyDescent="0.2">
      <c r="B58" t="s">
        <v>292</v>
      </c>
      <c r="C58" s="12">
        <v>5</v>
      </c>
      <c r="D58" s="8">
        <v>2.29</v>
      </c>
      <c r="E58" s="12">
        <v>3</v>
      </c>
      <c r="F58" s="8">
        <v>2.7</v>
      </c>
      <c r="G58" s="12">
        <v>2</v>
      </c>
      <c r="H58" s="8">
        <v>2.08</v>
      </c>
      <c r="I58" s="12">
        <v>0</v>
      </c>
    </row>
    <row r="59" spans="2:9" ht="15" customHeight="1" x14ac:dyDescent="0.2">
      <c r="B59" t="s">
        <v>337</v>
      </c>
      <c r="C59" s="12">
        <v>5</v>
      </c>
      <c r="D59" s="8">
        <v>2.29</v>
      </c>
      <c r="E59" s="12">
        <v>5</v>
      </c>
      <c r="F59" s="8">
        <v>4.5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334</v>
      </c>
      <c r="C60" s="12">
        <v>5</v>
      </c>
      <c r="D60" s="8">
        <v>2.29</v>
      </c>
      <c r="E60" s="12">
        <v>5</v>
      </c>
      <c r="F60" s="8">
        <v>4.5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323</v>
      </c>
      <c r="C61" s="12">
        <v>5</v>
      </c>
      <c r="D61" s="8">
        <v>2.29</v>
      </c>
      <c r="E61" s="12">
        <v>3</v>
      </c>
      <c r="F61" s="8">
        <v>2.7</v>
      </c>
      <c r="G61" s="12">
        <v>2</v>
      </c>
      <c r="H61" s="8">
        <v>2.08</v>
      </c>
      <c r="I61" s="12">
        <v>0</v>
      </c>
    </row>
    <row r="62" spans="2:9" ht="15" customHeight="1" x14ac:dyDescent="0.2">
      <c r="B62" t="s">
        <v>371</v>
      </c>
      <c r="C62" s="12">
        <v>5</v>
      </c>
      <c r="D62" s="8">
        <v>2.29</v>
      </c>
      <c r="E62" s="12">
        <v>3</v>
      </c>
      <c r="F62" s="8">
        <v>2.7</v>
      </c>
      <c r="G62" s="12">
        <v>2</v>
      </c>
      <c r="H62" s="8">
        <v>2.08</v>
      </c>
      <c r="I62" s="12">
        <v>0</v>
      </c>
    </row>
    <row r="63" spans="2:9" ht="15" customHeight="1" x14ac:dyDescent="0.2">
      <c r="B63" t="s">
        <v>288</v>
      </c>
      <c r="C63" s="12">
        <v>4</v>
      </c>
      <c r="D63" s="8">
        <v>1.83</v>
      </c>
      <c r="E63" s="12">
        <v>1</v>
      </c>
      <c r="F63" s="8">
        <v>0.9</v>
      </c>
      <c r="G63" s="12">
        <v>3</v>
      </c>
      <c r="H63" s="8">
        <v>3.13</v>
      </c>
      <c r="I63" s="12">
        <v>0</v>
      </c>
    </row>
    <row r="64" spans="2:9" ht="15" customHeight="1" x14ac:dyDescent="0.2">
      <c r="B64" t="s">
        <v>290</v>
      </c>
      <c r="C64" s="12">
        <v>4</v>
      </c>
      <c r="D64" s="8">
        <v>1.83</v>
      </c>
      <c r="E64" s="12">
        <v>2</v>
      </c>
      <c r="F64" s="8">
        <v>1.8</v>
      </c>
      <c r="G64" s="12">
        <v>2</v>
      </c>
      <c r="H64" s="8">
        <v>2.08</v>
      </c>
      <c r="I64" s="12">
        <v>0</v>
      </c>
    </row>
    <row r="65" spans="2:9" ht="15" customHeight="1" x14ac:dyDescent="0.2">
      <c r="B65" t="s">
        <v>309</v>
      </c>
      <c r="C65" s="12">
        <v>4</v>
      </c>
      <c r="D65" s="8">
        <v>1.83</v>
      </c>
      <c r="E65" s="12">
        <v>0</v>
      </c>
      <c r="F65" s="8">
        <v>0</v>
      </c>
      <c r="G65" s="12">
        <v>4</v>
      </c>
      <c r="H65" s="8">
        <v>4.17</v>
      </c>
      <c r="I65" s="12">
        <v>0</v>
      </c>
    </row>
    <row r="66" spans="2:9" ht="15" customHeight="1" x14ac:dyDescent="0.2">
      <c r="B66" t="s">
        <v>301</v>
      </c>
      <c r="C66" s="12">
        <v>4</v>
      </c>
      <c r="D66" s="8">
        <v>1.83</v>
      </c>
      <c r="E66" s="12">
        <v>4</v>
      </c>
      <c r="F66" s="8">
        <v>3.6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302</v>
      </c>
      <c r="C67" s="12">
        <v>4</v>
      </c>
      <c r="D67" s="8">
        <v>1.83</v>
      </c>
      <c r="E67" s="12">
        <v>4</v>
      </c>
      <c r="F67" s="8">
        <v>3.6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307</v>
      </c>
      <c r="C68" s="12">
        <v>4</v>
      </c>
      <c r="D68" s="8">
        <v>1.83</v>
      </c>
      <c r="E68" s="12">
        <v>3</v>
      </c>
      <c r="F68" s="8">
        <v>2.7</v>
      </c>
      <c r="G68" s="12">
        <v>1</v>
      </c>
      <c r="H68" s="8">
        <v>1.04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B25B0-CACA-40C1-8124-F21506CCD997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26</v>
      </c>
      <c r="D6" s="8">
        <v>9.0299999999999994</v>
      </c>
      <c r="E6" s="12">
        <v>9</v>
      </c>
      <c r="F6" s="8">
        <v>5.92</v>
      </c>
      <c r="G6" s="12">
        <v>17</v>
      </c>
      <c r="H6" s="8">
        <v>13.82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3.13</v>
      </c>
      <c r="E7" s="12">
        <v>2</v>
      </c>
      <c r="F7" s="8">
        <v>1.32</v>
      </c>
      <c r="G7" s="12">
        <v>7</v>
      </c>
      <c r="H7" s="8">
        <v>5.69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0.35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0.69</v>
      </c>
      <c r="E9" s="12">
        <v>0</v>
      </c>
      <c r="F9" s="8">
        <v>0</v>
      </c>
      <c r="G9" s="12">
        <v>2</v>
      </c>
      <c r="H9" s="8">
        <v>1.63</v>
      </c>
      <c r="I9" s="12">
        <v>0</v>
      </c>
    </row>
    <row r="10" spans="2:9" ht="15" customHeight="1" x14ac:dyDescent="0.2">
      <c r="B10" t="s">
        <v>195</v>
      </c>
      <c r="C10" s="12">
        <v>10</v>
      </c>
      <c r="D10" s="8">
        <v>3.47</v>
      </c>
      <c r="E10" s="12">
        <v>2</v>
      </c>
      <c r="F10" s="8">
        <v>1.32</v>
      </c>
      <c r="G10" s="12">
        <v>7</v>
      </c>
      <c r="H10" s="8">
        <v>5.69</v>
      </c>
      <c r="I10" s="12">
        <v>0</v>
      </c>
    </row>
    <row r="11" spans="2:9" ht="15" customHeight="1" x14ac:dyDescent="0.2">
      <c r="B11" t="s">
        <v>196</v>
      </c>
      <c r="C11" s="12">
        <v>69</v>
      </c>
      <c r="D11" s="8">
        <v>23.96</v>
      </c>
      <c r="E11" s="12">
        <v>35</v>
      </c>
      <c r="F11" s="8">
        <v>23.03</v>
      </c>
      <c r="G11" s="12">
        <v>34</v>
      </c>
      <c r="H11" s="8">
        <v>27.64</v>
      </c>
      <c r="I11" s="12">
        <v>0</v>
      </c>
    </row>
    <row r="12" spans="2:9" ht="15" customHeight="1" x14ac:dyDescent="0.2">
      <c r="B12" t="s">
        <v>197</v>
      </c>
      <c r="C12" s="12">
        <v>2</v>
      </c>
      <c r="D12" s="8">
        <v>0.69</v>
      </c>
      <c r="E12" s="12">
        <v>0</v>
      </c>
      <c r="F12" s="8">
        <v>0</v>
      </c>
      <c r="G12" s="12">
        <v>2</v>
      </c>
      <c r="H12" s="8">
        <v>1.63</v>
      </c>
      <c r="I12" s="12">
        <v>0</v>
      </c>
    </row>
    <row r="13" spans="2:9" ht="15" customHeight="1" x14ac:dyDescent="0.2">
      <c r="B13" t="s">
        <v>198</v>
      </c>
      <c r="C13" s="12">
        <v>12</v>
      </c>
      <c r="D13" s="8">
        <v>4.17</v>
      </c>
      <c r="E13" s="12">
        <v>2</v>
      </c>
      <c r="F13" s="8">
        <v>1.32</v>
      </c>
      <c r="G13" s="12">
        <v>9</v>
      </c>
      <c r="H13" s="8">
        <v>7.32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1.39</v>
      </c>
      <c r="E14" s="12">
        <v>1</v>
      </c>
      <c r="F14" s="8">
        <v>0.66</v>
      </c>
      <c r="G14" s="12">
        <v>3</v>
      </c>
      <c r="H14" s="8">
        <v>2.44</v>
      </c>
      <c r="I14" s="12">
        <v>0</v>
      </c>
    </row>
    <row r="15" spans="2:9" ht="15" customHeight="1" x14ac:dyDescent="0.2">
      <c r="B15" t="s">
        <v>200</v>
      </c>
      <c r="C15" s="12">
        <v>81</v>
      </c>
      <c r="D15" s="8">
        <v>28.13</v>
      </c>
      <c r="E15" s="12">
        <v>61</v>
      </c>
      <c r="F15" s="8">
        <v>40.130000000000003</v>
      </c>
      <c r="G15" s="12">
        <v>20</v>
      </c>
      <c r="H15" s="8">
        <v>16.260000000000002</v>
      </c>
      <c r="I15" s="12">
        <v>0</v>
      </c>
    </row>
    <row r="16" spans="2:9" ht="15" customHeight="1" x14ac:dyDescent="0.2">
      <c r="B16" t="s">
        <v>201</v>
      </c>
      <c r="C16" s="12">
        <v>44</v>
      </c>
      <c r="D16" s="8">
        <v>15.28</v>
      </c>
      <c r="E16" s="12">
        <v>35</v>
      </c>
      <c r="F16" s="8">
        <v>23.03</v>
      </c>
      <c r="G16" s="12">
        <v>7</v>
      </c>
      <c r="H16" s="8">
        <v>5.69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2.4300000000000002</v>
      </c>
      <c r="E17" s="12">
        <v>2</v>
      </c>
      <c r="F17" s="8">
        <v>1.32</v>
      </c>
      <c r="G17" s="12">
        <v>2</v>
      </c>
      <c r="H17" s="8">
        <v>1.63</v>
      </c>
      <c r="I17" s="12">
        <v>0</v>
      </c>
    </row>
    <row r="18" spans="2:9" ht="15" customHeight="1" x14ac:dyDescent="0.2">
      <c r="B18" t="s">
        <v>203</v>
      </c>
      <c r="C18" s="12">
        <v>12</v>
      </c>
      <c r="D18" s="8">
        <v>4.17</v>
      </c>
      <c r="E18" s="12">
        <v>3</v>
      </c>
      <c r="F18" s="8">
        <v>1.97</v>
      </c>
      <c r="G18" s="12">
        <v>6</v>
      </c>
      <c r="H18" s="8">
        <v>4.88</v>
      </c>
      <c r="I18" s="12">
        <v>0</v>
      </c>
    </row>
    <row r="19" spans="2:9" ht="15" customHeight="1" x14ac:dyDescent="0.2">
      <c r="B19" t="s">
        <v>204</v>
      </c>
      <c r="C19" s="12">
        <v>9</v>
      </c>
      <c r="D19" s="8">
        <v>3.13</v>
      </c>
      <c r="E19" s="12">
        <v>0</v>
      </c>
      <c r="F19" s="8">
        <v>0</v>
      </c>
      <c r="G19" s="12">
        <v>7</v>
      </c>
      <c r="H19" s="8">
        <v>5.69</v>
      </c>
      <c r="I19" s="12">
        <v>0</v>
      </c>
    </row>
    <row r="20" spans="2:9" ht="15" customHeight="1" x14ac:dyDescent="0.2">
      <c r="B20" s="9" t="s">
        <v>529</v>
      </c>
      <c r="C20" s="12">
        <f>SUM(LTBL_01665[総数／事業所数])</f>
        <v>288</v>
      </c>
      <c r="E20" s="12">
        <f>SUBTOTAL(109,LTBL_01665[個人／事業所数])</f>
        <v>152</v>
      </c>
      <c r="G20" s="12">
        <f>SUBTOTAL(109,LTBL_01665[法人／事業所数])</f>
        <v>123</v>
      </c>
      <c r="I20" s="12">
        <f>SUBTOTAL(109,LTBL_01665[法人以外の団体／事業所数])</f>
        <v>0</v>
      </c>
    </row>
    <row r="21" spans="2:9" ht="15" customHeight="1" x14ac:dyDescent="0.2">
      <c r="E21" s="11">
        <f>LTBL_01665[[#Totals],[個人／事業所数]]/LTBL_01665[[#Totals],[総数／事業所数]]</f>
        <v>0.52777777777777779</v>
      </c>
      <c r="G21" s="11">
        <f>LTBL_01665[[#Totals],[法人／事業所数]]/LTBL_01665[[#Totals],[総数／事業所数]]</f>
        <v>0.42708333333333331</v>
      </c>
      <c r="I21" s="11">
        <f>LTBL_01665[[#Totals],[法人以外の団体／事業所数]]/LTBL_01665[[#Totals],[総数／事業所数]]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53</v>
      </c>
      <c r="D24" s="8">
        <v>18.399999999999999</v>
      </c>
      <c r="E24" s="12">
        <v>45</v>
      </c>
      <c r="F24" s="8">
        <v>29.61</v>
      </c>
      <c r="G24" s="12">
        <v>8</v>
      </c>
      <c r="H24" s="8">
        <v>6.5</v>
      </c>
      <c r="I24" s="12">
        <v>0</v>
      </c>
    </row>
    <row r="25" spans="2:9" ht="15" customHeight="1" x14ac:dyDescent="0.2">
      <c r="B25" t="s">
        <v>223</v>
      </c>
      <c r="C25" s="12">
        <v>32</v>
      </c>
      <c r="D25" s="8">
        <v>11.11</v>
      </c>
      <c r="E25" s="12">
        <v>20</v>
      </c>
      <c r="F25" s="8">
        <v>13.16</v>
      </c>
      <c r="G25" s="12">
        <v>12</v>
      </c>
      <c r="H25" s="8">
        <v>9.76</v>
      </c>
      <c r="I25" s="12">
        <v>0</v>
      </c>
    </row>
    <row r="26" spans="2:9" ht="15" customHeight="1" x14ac:dyDescent="0.2">
      <c r="B26" t="s">
        <v>228</v>
      </c>
      <c r="C26" s="12">
        <v>30</v>
      </c>
      <c r="D26" s="8">
        <v>10.42</v>
      </c>
      <c r="E26" s="12">
        <v>27</v>
      </c>
      <c r="F26" s="8">
        <v>17.760000000000002</v>
      </c>
      <c r="G26" s="12">
        <v>3</v>
      </c>
      <c r="H26" s="8">
        <v>2.44</v>
      </c>
      <c r="I26" s="12">
        <v>0</v>
      </c>
    </row>
    <row r="27" spans="2:9" ht="15" customHeight="1" x14ac:dyDescent="0.2">
      <c r="B27" t="s">
        <v>243</v>
      </c>
      <c r="C27" s="12">
        <v>27</v>
      </c>
      <c r="D27" s="8">
        <v>9.3800000000000008</v>
      </c>
      <c r="E27" s="12">
        <v>16</v>
      </c>
      <c r="F27" s="8">
        <v>10.53</v>
      </c>
      <c r="G27" s="12">
        <v>11</v>
      </c>
      <c r="H27" s="8">
        <v>8.94</v>
      </c>
      <c r="I27" s="12">
        <v>0</v>
      </c>
    </row>
    <row r="28" spans="2:9" ht="15" customHeight="1" x14ac:dyDescent="0.2">
      <c r="B28" t="s">
        <v>221</v>
      </c>
      <c r="C28" s="12">
        <v>11</v>
      </c>
      <c r="D28" s="8">
        <v>3.82</v>
      </c>
      <c r="E28" s="12">
        <v>5</v>
      </c>
      <c r="F28" s="8">
        <v>3.29</v>
      </c>
      <c r="G28" s="12">
        <v>6</v>
      </c>
      <c r="H28" s="8">
        <v>4.88</v>
      </c>
      <c r="I28" s="12">
        <v>0</v>
      </c>
    </row>
    <row r="29" spans="2:9" ht="15" customHeight="1" x14ac:dyDescent="0.2">
      <c r="B29" t="s">
        <v>213</v>
      </c>
      <c r="C29" s="12">
        <v>10</v>
      </c>
      <c r="D29" s="8">
        <v>3.47</v>
      </c>
      <c r="E29" s="12">
        <v>2</v>
      </c>
      <c r="F29" s="8">
        <v>1.32</v>
      </c>
      <c r="G29" s="12">
        <v>8</v>
      </c>
      <c r="H29" s="8">
        <v>6.5</v>
      </c>
      <c r="I29" s="12">
        <v>0</v>
      </c>
    </row>
    <row r="30" spans="2:9" ht="15" customHeight="1" x14ac:dyDescent="0.2">
      <c r="B30" t="s">
        <v>214</v>
      </c>
      <c r="C30" s="12">
        <v>10</v>
      </c>
      <c r="D30" s="8">
        <v>3.47</v>
      </c>
      <c r="E30" s="12">
        <v>7</v>
      </c>
      <c r="F30" s="8">
        <v>4.6100000000000003</v>
      </c>
      <c r="G30" s="12">
        <v>3</v>
      </c>
      <c r="H30" s="8">
        <v>2.44</v>
      </c>
      <c r="I30" s="12">
        <v>0</v>
      </c>
    </row>
    <row r="31" spans="2:9" ht="15" customHeight="1" x14ac:dyDescent="0.2">
      <c r="B31" t="s">
        <v>247</v>
      </c>
      <c r="C31" s="12">
        <v>10</v>
      </c>
      <c r="D31" s="8">
        <v>3.47</v>
      </c>
      <c r="E31" s="12">
        <v>6</v>
      </c>
      <c r="F31" s="8">
        <v>3.95</v>
      </c>
      <c r="G31" s="12">
        <v>2</v>
      </c>
      <c r="H31" s="8">
        <v>1.63</v>
      </c>
      <c r="I31" s="12">
        <v>0</v>
      </c>
    </row>
    <row r="32" spans="2:9" ht="15" customHeight="1" x14ac:dyDescent="0.2">
      <c r="B32" t="s">
        <v>222</v>
      </c>
      <c r="C32" s="12">
        <v>9</v>
      </c>
      <c r="D32" s="8">
        <v>3.13</v>
      </c>
      <c r="E32" s="12">
        <v>1</v>
      </c>
      <c r="F32" s="8">
        <v>0.66</v>
      </c>
      <c r="G32" s="12">
        <v>8</v>
      </c>
      <c r="H32" s="8">
        <v>6.5</v>
      </c>
      <c r="I32" s="12">
        <v>0</v>
      </c>
    </row>
    <row r="33" spans="2:9" ht="15" customHeight="1" x14ac:dyDescent="0.2">
      <c r="B33" t="s">
        <v>224</v>
      </c>
      <c r="C33" s="12">
        <v>9</v>
      </c>
      <c r="D33" s="8">
        <v>3.13</v>
      </c>
      <c r="E33" s="12">
        <v>2</v>
      </c>
      <c r="F33" s="8">
        <v>1.32</v>
      </c>
      <c r="G33" s="12">
        <v>6</v>
      </c>
      <c r="H33" s="8">
        <v>4.88</v>
      </c>
      <c r="I33" s="12">
        <v>0</v>
      </c>
    </row>
    <row r="34" spans="2:9" ht="15" customHeight="1" x14ac:dyDescent="0.2">
      <c r="B34" t="s">
        <v>232</v>
      </c>
      <c r="C34" s="12">
        <v>9</v>
      </c>
      <c r="D34" s="8">
        <v>3.13</v>
      </c>
      <c r="E34" s="12">
        <v>0</v>
      </c>
      <c r="F34" s="8">
        <v>0</v>
      </c>
      <c r="G34" s="12">
        <v>6</v>
      </c>
      <c r="H34" s="8">
        <v>4.88</v>
      </c>
      <c r="I34" s="12">
        <v>0</v>
      </c>
    </row>
    <row r="35" spans="2:9" ht="15" customHeight="1" x14ac:dyDescent="0.2">
      <c r="B35" t="s">
        <v>261</v>
      </c>
      <c r="C35" s="12">
        <v>7</v>
      </c>
      <c r="D35" s="8">
        <v>2.4300000000000002</v>
      </c>
      <c r="E35" s="12">
        <v>0</v>
      </c>
      <c r="F35" s="8">
        <v>0</v>
      </c>
      <c r="G35" s="12">
        <v>6</v>
      </c>
      <c r="H35" s="8">
        <v>4.88</v>
      </c>
      <c r="I35" s="12">
        <v>0</v>
      </c>
    </row>
    <row r="36" spans="2:9" ht="15" customHeight="1" x14ac:dyDescent="0.2">
      <c r="B36" t="s">
        <v>220</v>
      </c>
      <c r="C36" s="12">
        <v>7</v>
      </c>
      <c r="D36" s="8">
        <v>2.4300000000000002</v>
      </c>
      <c r="E36" s="12">
        <v>6</v>
      </c>
      <c r="F36" s="8">
        <v>3.95</v>
      </c>
      <c r="G36" s="12">
        <v>1</v>
      </c>
      <c r="H36" s="8">
        <v>0.81</v>
      </c>
      <c r="I36" s="12">
        <v>0</v>
      </c>
    </row>
    <row r="37" spans="2:9" ht="15" customHeight="1" x14ac:dyDescent="0.2">
      <c r="B37" t="s">
        <v>230</v>
      </c>
      <c r="C37" s="12">
        <v>7</v>
      </c>
      <c r="D37" s="8">
        <v>2.4300000000000002</v>
      </c>
      <c r="E37" s="12">
        <v>2</v>
      </c>
      <c r="F37" s="8">
        <v>1.32</v>
      </c>
      <c r="G37" s="12">
        <v>2</v>
      </c>
      <c r="H37" s="8">
        <v>1.63</v>
      </c>
      <c r="I37" s="12">
        <v>0</v>
      </c>
    </row>
    <row r="38" spans="2:9" ht="15" customHeight="1" x14ac:dyDescent="0.2">
      <c r="B38" t="s">
        <v>234</v>
      </c>
      <c r="C38" s="12">
        <v>7</v>
      </c>
      <c r="D38" s="8">
        <v>2.4300000000000002</v>
      </c>
      <c r="E38" s="12">
        <v>0</v>
      </c>
      <c r="F38" s="8">
        <v>0</v>
      </c>
      <c r="G38" s="12">
        <v>7</v>
      </c>
      <c r="H38" s="8">
        <v>5.69</v>
      </c>
      <c r="I38" s="12">
        <v>0</v>
      </c>
    </row>
    <row r="39" spans="2:9" ht="15" customHeight="1" x14ac:dyDescent="0.2">
      <c r="B39" t="s">
        <v>215</v>
      </c>
      <c r="C39" s="12">
        <v>6</v>
      </c>
      <c r="D39" s="8">
        <v>2.08</v>
      </c>
      <c r="E39" s="12">
        <v>0</v>
      </c>
      <c r="F39" s="8">
        <v>0</v>
      </c>
      <c r="G39" s="12">
        <v>6</v>
      </c>
      <c r="H39" s="8">
        <v>4.88</v>
      </c>
      <c r="I39" s="12">
        <v>0</v>
      </c>
    </row>
    <row r="40" spans="2:9" ht="15" customHeight="1" x14ac:dyDescent="0.2">
      <c r="B40" t="s">
        <v>217</v>
      </c>
      <c r="C40" s="12">
        <v>4</v>
      </c>
      <c r="D40" s="8">
        <v>1.39</v>
      </c>
      <c r="E40" s="12">
        <v>0</v>
      </c>
      <c r="F40" s="8">
        <v>0</v>
      </c>
      <c r="G40" s="12">
        <v>4</v>
      </c>
      <c r="H40" s="8">
        <v>3.25</v>
      </c>
      <c r="I40" s="12">
        <v>0</v>
      </c>
    </row>
    <row r="41" spans="2:9" ht="15" customHeight="1" x14ac:dyDescent="0.2">
      <c r="B41" t="s">
        <v>226</v>
      </c>
      <c r="C41" s="12">
        <v>4</v>
      </c>
      <c r="D41" s="8">
        <v>1.39</v>
      </c>
      <c r="E41" s="12">
        <v>1</v>
      </c>
      <c r="F41" s="8">
        <v>0.66</v>
      </c>
      <c r="G41" s="12">
        <v>3</v>
      </c>
      <c r="H41" s="8">
        <v>2.44</v>
      </c>
      <c r="I41" s="12">
        <v>0</v>
      </c>
    </row>
    <row r="42" spans="2:9" ht="15" customHeight="1" x14ac:dyDescent="0.2">
      <c r="B42" t="s">
        <v>229</v>
      </c>
      <c r="C42" s="12">
        <v>4</v>
      </c>
      <c r="D42" s="8">
        <v>1.39</v>
      </c>
      <c r="E42" s="12">
        <v>2</v>
      </c>
      <c r="F42" s="8">
        <v>1.32</v>
      </c>
      <c r="G42" s="12">
        <v>2</v>
      </c>
      <c r="H42" s="8">
        <v>1.63</v>
      </c>
      <c r="I42" s="12">
        <v>0</v>
      </c>
    </row>
    <row r="43" spans="2:9" ht="15" customHeight="1" x14ac:dyDescent="0.2">
      <c r="B43" t="s">
        <v>262</v>
      </c>
      <c r="C43" s="12">
        <v>3</v>
      </c>
      <c r="D43" s="8">
        <v>1.04</v>
      </c>
      <c r="E43" s="12">
        <v>0</v>
      </c>
      <c r="F43" s="8">
        <v>0</v>
      </c>
      <c r="G43" s="12">
        <v>3</v>
      </c>
      <c r="H43" s="8">
        <v>2.44</v>
      </c>
      <c r="I43" s="12">
        <v>0</v>
      </c>
    </row>
    <row r="44" spans="2:9" ht="15" customHeight="1" x14ac:dyDescent="0.2">
      <c r="B44" t="s">
        <v>248</v>
      </c>
      <c r="C44" s="12">
        <v>3</v>
      </c>
      <c r="D44" s="8">
        <v>1.04</v>
      </c>
      <c r="E44" s="12">
        <v>2</v>
      </c>
      <c r="F44" s="8">
        <v>1.32</v>
      </c>
      <c r="G44" s="12">
        <v>1</v>
      </c>
      <c r="H44" s="8">
        <v>0.81</v>
      </c>
      <c r="I44" s="12">
        <v>0</v>
      </c>
    </row>
    <row r="45" spans="2:9" ht="15" customHeight="1" x14ac:dyDescent="0.2">
      <c r="B45" t="s">
        <v>246</v>
      </c>
      <c r="C45" s="12">
        <v>3</v>
      </c>
      <c r="D45" s="8">
        <v>1.04</v>
      </c>
      <c r="E45" s="12">
        <v>0</v>
      </c>
      <c r="F45" s="8">
        <v>0</v>
      </c>
      <c r="G45" s="12">
        <v>3</v>
      </c>
      <c r="H45" s="8">
        <v>2.44</v>
      </c>
      <c r="I45" s="12">
        <v>0</v>
      </c>
    </row>
    <row r="46" spans="2:9" ht="15" customHeight="1" x14ac:dyDescent="0.2">
      <c r="B46" t="s">
        <v>231</v>
      </c>
      <c r="C46" s="12">
        <v>3</v>
      </c>
      <c r="D46" s="8">
        <v>1.04</v>
      </c>
      <c r="E46" s="12">
        <v>3</v>
      </c>
      <c r="F46" s="8">
        <v>1.97</v>
      </c>
      <c r="G46" s="12">
        <v>0</v>
      </c>
      <c r="H46" s="8">
        <v>0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339</v>
      </c>
      <c r="C50" s="12">
        <v>22</v>
      </c>
      <c r="D50" s="8">
        <v>7.64</v>
      </c>
      <c r="E50" s="12">
        <v>13</v>
      </c>
      <c r="F50" s="8">
        <v>8.5500000000000007</v>
      </c>
      <c r="G50" s="12">
        <v>9</v>
      </c>
      <c r="H50" s="8">
        <v>7.32</v>
      </c>
      <c r="I50" s="12">
        <v>0</v>
      </c>
    </row>
    <row r="51" spans="2:9" ht="15" customHeight="1" x14ac:dyDescent="0.2">
      <c r="B51" t="s">
        <v>295</v>
      </c>
      <c r="C51" s="12">
        <v>17</v>
      </c>
      <c r="D51" s="8">
        <v>5.9</v>
      </c>
      <c r="E51" s="12">
        <v>13</v>
      </c>
      <c r="F51" s="8">
        <v>8.5500000000000007</v>
      </c>
      <c r="G51" s="12">
        <v>4</v>
      </c>
      <c r="H51" s="8">
        <v>3.25</v>
      </c>
      <c r="I51" s="12">
        <v>0</v>
      </c>
    </row>
    <row r="52" spans="2:9" ht="15" customHeight="1" x14ac:dyDescent="0.2">
      <c r="B52" t="s">
        <v>304</v>
      </c>
      <c r="C52" s="12">
        <v>15</v>
      </c>
      <c r="D52" s="8">
        <v>5.21</v>
      </c>
      <c r="E52" s="12">
        <v>14</v>
      </c>
      <c r="F52" s="8">
        <v>9.2100000000000009</v>
      </c>
      <c r="G52" s="12">
        <v>1</v>
      </c>
      <c r="H52" s="8">
        <v>0.81</v>
      </c>
      <c r="I52" s="12">
        <v>0</v>
      </c>
    </row>
    <row r="53" spans="2:9" ht="15" customHeight="1" x14ac:dyDescent="0.2">
      <c r="B53" t="s">
        <v>301</v>
      </c>
      <c r="C53" s="12">
        <v>14</v>
      </c>
      <c r="D53" s="8">
        <v>4.8600000000000003</v>
      </c>
      <c r="E53" s="12">
        <v>13</v>
      </c>
      <c r="F53" s="8">
        <v>8.5500000000000007</v>
      </c>
      <c r="G53" s="12">
        <v>1</v>
      </c>
      <c r="H53" s="8">
        <v>0.81</v>
      </c>
      <c r="I53" s="12">
        <v>0</v>
      </c>
    </row>
    <row r="54" spans="2:9" ht="15" customHeight="1" x14ac:dyDescent="0.2">
      <c r="B54" t="s">
        <v>300</v>
      </c>
      <c r="C54" s="12">
        <v>11</v>
      </c>
      <c r="D54" s="8">
        <v>3.82</v>
      </c>
      <c r="E54" s="12">
        <v>9</v>
      </c>
      <c r="F54" s="8">
        <v>5.92</v>
      </c>
      <c r="G54" s="12">
        <v>2</v>
      </c>
      <c r="H54" s="8">
        <v>1.63</v>
      </c>
      <c r="I54" s="12">
        <v>0</v>
      </c>
    </row>
    <row r="55" spans="2:9" ht="15" customHeight="1" x14ac:dyDescent="0.2">
      <c r="B55" t="s">
        <v>299</v>
      </c>
      <c r="C55" s="12">
        <v>10</v>
      </c>
      <c r="D55" s="8">
        <v>3.47</v>
      </c>
      <c r="E55" s="12">
        <v>8</v>
      </c>
      <c r="F55" s="8">
        <v>5.26</v>
      </c>
      <c r="G55" s="12">
        <v>2</v>
      </c>
      <c r="H55" s="8">
        <v>1.63</v>
      </c>
      <c r="I55" s="12">
        <v>0</v>
      </c>
    </row>
    <row r="56" spans="2:9" ht="15" customHeight="1" x14ac:dyDescent="0.2">
      <c r="B56" t="s">
        <v>303</v>
      </c>
      <c r="C56" s="12">
        <v>10</v>
      </c>
      <c r="D56" s="8">
        <v>3.47</v>
      </c>
      <c r="E56" s="12">
        <v>10</v>
      </c>
      <c r="F56" s="8">
        <v>6.58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364</v>
      </c>
      <c r="C57" s="12">
        <v>7</v>
      </c>
      <c r="D57" s="8">
        <v>2.4300000000000002</v>
      </c>
      <c r="E57" s="12">
        <v>0</v>
      </c>
      <c r="F57" s="8">
        <v>0</v>
      </c>
      <c r="G57" s="12">
        <v>6</v>
      </c>
      <c r="H57" s="8">
        <v>4.88</v>
      </c>
      <c r="I57" s="12">
        <v>0</v>
      </c>
    </row>
    <row r="58" spans="2:9" ht="15" customHeight="1" x14ac:dyDescent="0.2">
      <c r="B58" t="s">
        <v>302</v>
      </c>
      <c r="C58" s="12">
        <v>7</v>
      </c>
      <c r="D58" s="8">
        <v>2.4300000000000002</v>
      </c>
      <c r="E58" s="12">
        <v>6</v>
      </c>
      <c r="F58" s="8">
        <v>3.95</v>
      </c>
      <c r="G58" s="12">
        <v>1</v>
      </c>
      <c r="H58" s="8">
        <v>0.81</v>
      </c>
      <c r="I58" s="12">
        <v>0</v>
      </c>
    </row>
    <row r="59" spans="2:9" ht="15" customHeight="1" x14ac:dyDescent="0.2">
      <c r="B59" t="s">
        <v>297</v>
      </c>
      <c r="C59" s="12">
        <v>6</v>
      </c>
      <c r="D59" s="8">
        <v>2.08</v>
      </c>
      <c r="E59" s="12">
        <v>2</v>
      </c>
      <c r="F59" s="8">
        <v>1.32</v>
      </c>
      <c r="G59" s="12">
        <v>3</v>
      </c>
      <c r="H59" s="8">
        <v>2.44</v>
      </c>
      <c r="I59" s="12">
        <v>0</v>
      </c>
    </row>
    <row r="60" spans="2:9" ht="15" customHeight="1" x14ac:dyDescent="0.2">
      <c r="B60" t="s">
        <v>411</v>
      </c>
      <c r="C60" s="12">
        <v>6</v>
      </c>
      <c r="D60" s="8">
        <v>2.08</v>
      </c>
      <c r="E60" s="12">
        <v>5</v>
      </c>
      <c r="F60" s="8">
        <v>3.29</v>
      </c>
      <c r="G60" s="12">
        <v>1</v>
      </c>
      <c r="H60" s="8">
        <v>0.81</v>
      </c>
      <c r="I60" s="12">
        <v>0</v>
      </c>
    </row>
    <row r="61" spans="2:9" ht="15" customHeight="1" x14ac:dyDescent="0.2">
      <c r="B61" t="s">
        <v>293</v>
      </c>
      <c r="C61" s="12">
        <v>5</v>
      </c>
      <c r="D61" s="8">
        <v>1.74</v>
      </c>
      <c r="E61" s="12">
        <v>0</v>
      </c>
      <c r="F61" s="8">
        <v>0</v>
      </c>
      <c r="G61" s="12">
        <v>5</v>
      </c>
      <c r="H61" s="8">
        <v>4.07</v>
      </c>
      <c r="I61" s="12">
        <v>0</v>
      </c>
    </row>
    <row r="62" spans="2:9" ht="15" customHeight="1" x14ac:dyDescent="0.2">
      <c r="B62" t="s">
        <v>334</v>
      </c>
      <c r="C62" s="12">
        <v>5</v>
      </c>
      <c r="D62" s="8">
        <v>1.74</v>
      </c>
      <c r="E62" s="12">
        <v>4</v>
      </c>
      <c r="F62" s="8">
        <v>2.63</v>
      </c>
      <c r="G62" s="12">
        <v>1</v>
      </c>
      <c r="H62" s="8">
        <v>0.81</v>
      </c>
      <c r="I62" s="12">
        <v>0</v>
      </c>
    </row>
    <row r="63" spans="2:9" ht="15" customHeight="1" x14ac:dyDescent="0.2">
      <c r="B63" t="s">
        <v>318</v>
      </c>
      <c r="C63" s="12">
        <v>5</v>
      </c>
      <c r="D63" s="8">
        <v>1.74</v>
      </c>
      <c r="E63" s="12">
        <v>0</v>
      </c>
      <c r="F63" s="8">
        <v>0</v>
      </c>
      <c r="G63" s="12">
        <v>5</v>
      </c>
      <c r="H63" s="8">
        <v>4.07</v>
      </c>
      <c r="I63" s="12">
        <v>0</v>
      </c>
    </row>
    <row r="64" spans="2:9" ht="15" customHeight="1" x14ac:dyDescent="0.2">
      <c r="B64" t="s">
        <v>346</v>
      </c>
      <c r="C64" s="12">
        <v>4</v>
      </c>
      <c r="D64" s="8">
        <v>1.39</v>
      </c>
      <c r="E64" s="12">
        <v>0</v>
      </c>
      <c r="F64" s="8">
        <v>0</v>
      </c>
      <c r="G64" s="12">
        <v>4</v>
      </c>
      <c r="H64" s="8">
        <v>3.25</v>
      </c>
      <c r="I64" s="12">
        <v>0</v>
      </c>
    </row>
    <row r="65" spans="2:9" ht="15" customHeight="1" x14ac:dyDescent="0.2">
      <c r="B65" t="s">
        <v>329</v>
      </c>
      <c r="C65" s="12">
        <v>4</v>
      </c>
      <c r="D65" s="8">
        <v>1.39</v>
      </c>
      <c r="E65" s="12">
        <v>2</v>
      </c>
      <c r="F65" s="8">
        <v>1.32</v>
      </c>
      <c r="G65" s="12">
        <v>2</v>
      </c>
      <c r="H65" s="8">
        <v>1.63</v>
      </c>
      <c r="I65" s="12">
        <v>0</v>
      </c>
    </row>
    <row r="66" spans="2:9" ht="15" customHeight="1" x14ac:dyDescent="0.2">
      <c r="B66" t="s">
        <v>292</v>
      </c>
      <c r="C66" s="12">
        <v>4</v>
      </c>
      <c r="D66" s="8">
        <v>1.39</v>
      </c>
      <c r="E66" s="12">
        <v>2</v>
      </c>
      <c r="F66" s="8">
        <v>1.32</v>
      </c>
      <c r="G66" s="12">
        <v>2</v>
      </c>
      <c r="H66" s="8">
        <v>1.63</v>
      </c>
      <c r="I66" s="12">
        <v>0</v>
      </c>
    </row>
    <row r="67" spans="2:9" ht="15" customHeight="1" x14ac:dyDescent="0.2">
      <c r="B67" t="s">
        <v>335</v>
      </c>
      <c r="C67" s="12">
        <v>4</v>
      </c>
      <c r="D67" s="8">
        <v>1.39</v>
      </c>
      <c r="E67" s="12">
        <v>1</v>
      </c>
      <c r="F67" s="8">
        <v>0.66</v>
      </c>
      <c r="G67" s="12">
        <v>3</v>
      </c>
      <c r="H67" s="8">
        <v>2.44</v>
      </c>
      <c r="I67" s="12">
        <v>0</v>
      </c>
    </row>
    <row r="68" spans="2:9" ht="15" customHeight="1" x14ac:dyDescent="0.2">
      <c r="B68" t="s">
        <v>294</v>
      </c>
      <c r="C68" s="12">
        <v>4</v>
      </c>
      <c r="D68" s="8">
        <v>1.39</v>
      </c>
      <c r="E68" s="12">
        <v>2</v>
      </c>
      <c r="F68" s="8">
        <v>1.32</v>
      </c>
      <c r="G68" s="12">
        <v>2</v>
      </c>
      <c r="H68" s="8">
        <v>1.63</v>
      </c>
      <c r="I68" s="12">
        <v>0</v>
      </c>
    </row>
    <row r="69" spans="2:9" ht="15" customHeight="1" x14ac:dyDescent="0.2">
      <c r="B69" t="s">
        <v>419</v>
      </c>
      <c r="C69" s="12">
        <v>4</v>
      </c>
      <c r="D69" s="8">
        <v>1.39</v>
      </c>
      <c r="E69" s="12">
        <v>4</v>
      </c>
      <c r="F69" s="8">
        <v>2.63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347</v>
      </c>
      <c r="C70" s="12">
        <v>4</v>
      </c>
      <c r="D70" s="8">
        <v>1.39</v>
      </c>
      <c r="E70" s="12">
        <v>0</v>
      </c>
      <c r="F70" s="8">
        <v>0</v>
      </c>
      <c r="G70" s="12">
        <v>4</v>
      </c>
      <c r="H70" s="8">
        <v>3.25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66AE2-115E-4AFD-9215-FB3670F3D381}">
  <sheetPr>
    <pageSetUpPr fitToPage="1"/>
  </sheetPr>
  <dimension ref="B2:I9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1.72</v>
      </c>
      <c r="E5" s="12">
        <v>0</v>
      </c>
      <c r="F5" s="8">
        <v>0</v>
      </c>
      <c r="G5" s="12">
        <v>1</v>
      </c>
      <c r="H5" s="8">
        <v>3.03</v>
      </c>
      <c r="I5" s="12">
        <v>0</v>
      </c>
    </row>
    <row r="6" spans="2:9" ht="15" customHeight="1" x14ac:dyDescent="0.2">
      <c r="B6" t="s">
        <v>191</v>
      </c>
      <c r="C6" s="12">
        <v>3</v>
      </c>
      <c r="D6" s="8">
        <v>5.17</v>
      </c>
      <c r="E6" s="12">
        <v>1</v>
      </c>
      <c r="F6" s="8">
        <v>4.55</v>
      </c>
      <c r="G6" s="12">
        <v>2</v>
      </c>
      <c r="H6" s="8">
        <v>6.06</v>
      </c>
      <c r="I6" s="12">
        <v>0</v>
      </c>
    </row>
    <row r="7" spans="2:9" ht="15" customHeight="1" x14ac:dyDescent="0.2">
      <c r="B7" t="s">
        <v>192</v>
      </c>
      <c r="C7" s="12">
        <v>4</v>
      </c>
      <c r="D7" s="8">
        <v>6.9</v>
      </c>
      <c r="E7" s="12">
        <v>0</v>
      </c>
      <c r="F7" s="8">
        <v>0</v>
      </c>
      <c r="G7" s="12">
        <v>4</v>
      </c>
      <c r="H7" s="8">
        <v>12.12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1.72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1.72</v>
      </c>
      <c r="E9" s="12">
        <v>0</v>
      </c>
      <c r="F9" s="8">
        <v>0</v>
      </c>
      <c r="G9" s="12">
        <v>1</v>
      </c>
      <c r="H9" s="8">
        <v>3.03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1.72</v>
      </c>
      <c r="E10" s="12">
        <v>0</v>
      </c>
      <c r="F10" s="8">
        <v>0</v>
      </c>
      <c r="G10" s="12">
        <v>1</v>
      </c>
      <c r="H10" s="8">
        <v>3.03</v>
      </c>
      <c r="I10" s="12">
        <v>0</v>
      </c>
    </row>
    <row r="11" spans="2:9" ht="15" customHeight="1" x14ac:dyDescent="0.2">
      <c r="B11" t="s">
        <v>196</v>
      </c>
      <c r="C11" s="12">
        <v>12</v>
      </c>
      <c r="D11" s="8">
        <v>20.69</v>
      </c>
      <c r="E11" s="12">
        <v>3</v>
      </c>
      <c r="F11" s="8">
        <v>13.64</v>
      </c>
      <c r="G11" s="12">
        <v>9</v>
      </c>
      <c r="H11" s="8">
        <v>27.27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</v>
      </c>
      <c r="D13" s="8">
        <v>1.72</v>
      </c>
      <c r="E13" s="12">
        <v>0</v>
      </c>
      <c r="F13" s="8">
        <v>0</v>
      </c>
      <c r="G13" s="12">
        <v>1</v>
      </c>
      <c r="H13" s="8">
        <v>3.03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5.17</v>
      </c>
      <c r="E14" s="12">
        <v>0</v>
      </c>
      <c r="F14" s="8">
        <v>0</v>
      </c>
      <c r="G14" s="12">
        <v>3</v>
      </c>
      <c r="H14" s="8">
        <v>9.09</v>
      </c>
      <c r="I14" s="12">
        <v>0</v>
      </c>
    </row>
    <row r="15" spans="2:9" ht="15" customHeight="1" x14ac:dyDescent="0.2">
      <c r="B15" t="s">
        <v>200</v>
      </c>
      <c r="C15" s="12">
        <v>15</v>
      </c>
      <c r="D15" s="8">
        <v>25.86</v>
      </c>
      <c r="E15" s="12">
        <v>11</v>
      </c>
      <c r="F15" s="8">
        <v>50</v>
      </c>
      <c r="G15" s="12">
        <v>4</v>
      </c>
      <c r="H15" s="8">
        <v>12.12</v>
      </c>
      <c r="I15" s="12">
        <v>0</v>
      </c>
    </row>
    <row r="16" spans="2:9" ht="15" customHeight="1" x14ac:dyDescent="0.2">
      <c r="B16" t="s">
        <v>201</v>
      </c>
      <c r="C16" s="12">
        <v>8</v>
      </c>
      <c r="D16" s="8">
        <v>13.79</v>
      </c>
      <c r="E16" s="12">
        <v>3</v>
      </c>
      <c r="F16" s="8">
        <v>13.64</v>
      </c>
      <c r="G16" s="12">
        <v>5</v>
      </c>
      <c r="H16" s="8">
        <v>15.15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5.17</v>
      </c>
      <c r="E17" s="12">
        <v>2</v>
      </c>
      <c r="F17" s="8">
        <v>9.09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6.9</v>
      </c>
      <c r="E18" s="12">
        <v>1</v>
      </c>
      <c r="F18" s="8">
        <v>4.55</v>
      </c>
      <c r="G18" s="12">
        <v>2</v>
      </c>
      <c r="H18" s="8">
        <v>6.06</v>
      </c>
      <c r="I18" s="12">
        <v>0</v>
      </c>
    </row>
    <row r="19" spans="2:9" ht="15" customHeight="1" x14ac:dyDescent="0.2">
      <c r="B19" t="s">
        <v>204</v>
      </c>
      <c r="C19" s="12">
        <v>1</v>
      </c>
      <c r="D19" s="8">
        <v>1.72</v>
      </c>
      <c r="E19" s="12">
        <v>1</v>
      </c>
      <c r="F19" s="8">
        <v>4.55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SUM(LTBL_01667[総数／事業所数])</f>
        <v>58</v>
      </c>
      <c r="E20" s="12">
        <f>SUBTOTAL(109,LTBL_01667[個人／事業所数])</f>
        <v>22</v>
      </c>
      <c r="G20" s="12">
        <f>SUBTOTAL(109,LTBL_01667[法人／事業所数])</f>
        <v>33</v>
      </c>
      <c r="I20" s="12">
        <f>SUBTOTAL(109,LTBL_01667[法人以外の団体／事業所数])</f>
        <v>0</v>
      </c>
    </row>
    <row r="21" spans="2:9" ht="15" customHeight="1" x14ac:dyDescent="0.2">
      <c r="E21" s="11">
        <f>LTBL_01667[[#Totals],[個人／事業所数]]/LTBL_01667[[#Totals],[総数／事業所数]]</f>
        <v>0.37931034482758619</v>
      </c>
      <c r="G21" s="11">
        <f>LTBL_01667[[#Totals],[法人／事業所数]]/LTBL_01667[[#Totals],[総数／事業所数]]</f>
        <v>0.56896551724137934</v>
      </c>
      <c r="I21" s="11">
        <f>LTBL_01667[[#Totals],[法人以外の団体／事業所数]]/LTBL_01667[[#Totals],[総数／事業所数]]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11</v>
      </c>
      <c r="D24" s="8">
        <v>18.97</v>
      </c>
      <c r="E24" s="12">
        <v>9</v>
      </c>
      <c r="F24" s="8">
        <v>40.909999999999997</v>
      </c>
      <c r="G24" s="12">
        <v>2</v>
      </c>
      <c r="H24" s="8">
        <v>6.06</v>
      </c>
      <c r="I24" s="12">
        <v>0</v>
      </c>
    </row>
    <row r="25" spans="2:9" ht="15" customHeight="1" x14ac:dyDescent="0.2">
      <c r="B25" t="s">
        <v>223</v>
      </c>
      <c r="C25" s="12">
        <v>4</v>
      </c>
      <c r="D25" s="8">
        <v>6.9</v>
      </c>
      <c r="E25" s="12">
        <v>1</v>
      </c>
      <c r="F25" s="8">
        <v>4.55</v>
      </c>
      <c r="G25" s="12">
        <v>3</v>
      </c>
      <c r="H25" s="8">
        <v>9.09</v>
      </c>
      <c r="I25" s="12">
        <v>0</v>
      </c>
    </row>
    <row r="26" spans="2:9" ht="15" customHeight="1" x14ac:dyDescent="0.2">
      <c r="B26" t="s">
        <v>243</v>
      </c>
      <c r="C26" s="12">
        <v>4</v>
      </c>
      <c r="D26" s="8">
        <v>6.9</v>
      </c>
      <c r="E26" s="12">
        <v>2</v>
      </c>
      <c r="F26" s="8">
        <v>9.09</v>
      </c>
      <c r="G26" s="12">
        <v>2</v>
      </c>
      <c r="H26" s="8">
        <v>6.06</v>
      </c>
      <c r="I26" s="12">
        <v>0</v>
      </c>
    </row>
    <row r="27" spans="2:9" ht="15" customHeight="1" x14ac:dyDescent="0.2">
      <c r="B27" t="s">
        <v>213</v>
      </c>
      <c r="C27" s="12">
        <v>3</v>
      </c>
      <c r="D27" s="8">
        <v>5.17</v>
      </c>
      <c r="E27" s="12">
        <v>1</v>
      </c>
      <c r="F27" s="8">
        <v>4.55</v>
      </c>
      <c r="G27" s="12">
        <v>2</v>
      </c>
      <c r="H27" s="8">
        <v>6.06</v>
      </c>
      <c r="I27" s="12">
        <v>0</v>
      </c>
    </row>
    <row r="28" spans="2:9" ht="15" customHeight="1" x14ac:dyDescent="0.2">
      <c r="B28" t="s">
        <v>221</v>
      </c>
      <c r="C28" s="12">
        <v>3</v>
      </c>
      <c r="D28" s="8">
        <v>5.17</v>
      </c>
      <c r="E28" s="12">
        <v>1</v>
      </c>
      <c r="F28" s="8">
        <v>4.55</v>
      </c>
      <c r="G28" s="12">
        <v>2</v>
      </c>
      <c r="H28" s="8">
        <v>6.06</v>
      </c>
      <c r="I28" s="12">
        <v>0</v>
      </c>
    </row>
    <row r="29" spans="2:9" ht="15" customHeight="1" x14ac:dyDescent="0.2">
      <c r="B29" t="s">
        <v>228</v>
      </c>
      <c r="C29" s="12">
        <v>3</v>
      </c>
      <c r="D29" s="8">
        <v>5.17</v>
      </c>
      <c r="E29" s="12">
        <v>3</v>
      </c>
      <c r="F29" s="8">
        <v>13.64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229</v>
      </c>
      <c r="C30" s="12">
        <v>3</v>
      </c>
      <c r="D30" s="8">
        <v>5.17</v>
      </c>
      <c r="E30" s="12">
        <v>0</v>
      </c>
      <c r="F30" s="8">
        <v>0</v>
      </c>
      <c r="G30" s="12">
        <v>3</v>
      </c>
      <c r="H30" s="8">
        <v>9.09</v>
      </c>
      <c r="I30" s="12">
        <v>0</v>
      </c>
    </row>
    <row r="31" spans="2:9" ht="15" customHeight="1" x14ac:dyDescent="0.2">
      <c r="B31" t="s">
        <v>230</v>
      </c>
      <c r="C31" s="12">
        <v>3</v>
      </c>
      <c r="D31" s="8">
        <v>5.17</v>
      </c>
      <c r="E31" s="12">
        <v>2</v>
      </c>
      <c r="F31" s="8">
        <v>9.09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262</v>
      </c>
      <c r="C32" s="12">
        <v>2</v>
      </c>
      <c r="D32" s="8">
        <v>3.45</v>
      </c>
      <c r="E32" s="12">
        <v>0</v>
      </c>
      <c r="F32" s="8">
        <v>0</v>
      </c>
      <c r="G32" s="12">
        <v>2</v>
      </c>
      <c r="H32" s="8">
        <v>6.06</v>
      </c>
      <c r="I32" s="12">
        <v>0</v>
      </c>
    </row>
    <row r="33" spans="2:9" ht="15" customHeight="1" x14ac:dyDescent="0.2">
      <c r="B33" t="s">
        <v>216</v>
      </c>
      <c r="C33" s="12">
        <v>2</v>
      </c>
      <c r="D33" s="8">
        <v>3.45</v>
      </c>
      <c r="E33" s="12">
        <v>0</v>
      </c>
      <c r="F33" s="8">
        <v>0</v>
      </c>
      <c r="G33" s="12">
        <v>2</v>
      </c>
      <c r="H33" s="8">
        <v>6.06</v>
      </c>
      <c r="I33" s="12">
        <v>0</v>
      </c>
    </row>
    <row r="34" spans="2:9" ht="15" customHeight="1" x14ac:dyDescent="0.2">
      <c r="B34" t="s">
        <v>225</v>
      </c>
      <c r="C34" s="12">
        <v>2</v>
      </c>
      <c r="D34" s="8">
        <v>3.45</v>
      </c>
      <c r="E34" s="12">
        <v>0</v>
      </c>
      <c r="F34" s="8">
        <v>0</v>
      </c>
      <c r="G34" s="12">
        <v>2</v>
      </c>
      <c r="H34" s="8">
        <v>6.06</v>
      </c>
      <c r="I34" s="12">
        <v>0</v>
      </c>
    </row>
    <row r="35" spans="2:9" ht="15" customHeight="1" x14ac:dyDescent="0.2">
      <c r="B35" t="s">
        <v>247</v>
      </c>
      <c r="C35" s="12">
        <v>2</v>
      </c>
      <c r="D35" s="8">
        <v>3.45</v>
      </c>
      <c r="E35" s="12">
        <v>0</v>
      </c>
      <c r="F35" s="8">
        <v>0</v>
      </c>
      <c r="G35" s="12">
        <v>2</v>
      </c>
      <c r="H35" s="8">
        <v>6.06</v>
      </c>
      <c r="I35" s="12">
        <v>0</v>
      </c>
    </row>
    <row r="36" spans="2:9" ht="15" customHeight="1" x14ac:dyDescent="0.2">
      <c r="B36" t="s">
        <v>231</v>
      </c>
      <c r="C36" s="12">
        <v>2</v>
      </c>
      <c r="D36" s="8">
        <v>3.45</v>
      </c>
      <c r="E36" s="12">
        <v>1</v>
      </c>
      <c r="F36" s="8">
        <v>4.55</v>
      </c>
      <c r="G36" s="12">
        <v>1</v>
      </c>
      <c r="H36" s="8">
        <v>3.03</v>
      </c>
      <c r="I36" s="12">
        <v>0</v>
      </c>
    </row>
    <row r="37" spans="2:9" ht="15" customHeight="1" x14ac:dyDescent="0.2">
      <c r="B37" t="s">
        <v>232</v>
      </c>
      <c r="C37" s="12">
        <v>2</v>
      </c>
      <c r="D37" s="8">
        <v>3.45</v>
      </c>
      <c r="E37" s="12">
        <v>0</v>
      </c>
      <c r="F37" s="8">
        <v>0</v>
      </c>
      <c r="G37" s="12">
        <v>1</v>
      </c>
      <c r="H37" s="8">
        <v>3.03</v>
      </c>
      <c r="I37" s="12">
        <v>0</v>
      </c>
    </row>
    <row r="38" spans="2:9" ht="15" customHeight="1" x14ac:dyDescent="0.2">
      <c r="B38" t="s">
        <v>273</v>
      </c>
      <c r="C38" s="12">
        <v>1</v>
      </c>
      <c r="D38" s="8">
        <v>1.72</v>
      </c>
      <c r="E38" s="12">
        <v>0</v>
      </c>
      <c r="F38" s="8">
        <v>0</v>
      </c>
      <c r="G38" s="12">
        <v>1</v>
      </c>
      <c r="H38" s="8">
        <v>3.03</v>
      </c>
      <c r="I38" s="12">
        <v>0</v>
      </c>
    </row>
    <row r="39" spans="2:9" ht="15" customHeight="1" x14ac:dyDescent="0.2">
      <c r="B39" t="s">
        <v>241</v>
      </c>
      <c r="C39" s="12">
        <v>1</v>
      </c>
      <c r="D39" s="8">
        <v>1.72</v>
      </c>
      <c r="E39" s="12">
        <v>0</v>
      </c>
      <c r="F39" s="8">
        <v>0</v>
      </c>
      <c r="G39" s="12">
        <v>1</v>
      </c>
      <c r="H39" s="8">
        <v>3.03</v>
      </c>
      <c r="I39" s="12">
        <v>0</v>
      </c>
    </row>
    <row r="40" spans="2:9" ht="15" customHeight="1" x14ac:dyDescent="0.2">
      <c r="B40" t="s">
        <v>244</v>
      </c>
      <c r="C40" s="12">
        <v>1</v>
      </c>
      <c r="D40" s="8">
        <v>1.72</v>
      </c>
      <c r="E40" s="12">
        <v>0</v>
      </c>
      <c r="F40" s="8">
        <v>0</v>
      </c>
      <c r="G40" s="12">
        <v>1</v>
      </c>
      <c r="H40" s="8">
        <v>3.03</v>
      </c>
      <c r="I40" s="12">
        <v>0</v>
      </c>
    </row>
    <row r="41" spans="2:9" ht="15" customHeight="1" x14ac:dyDescent="0.2">
      <c r="B41" t="s">
        <v>255</v>
      </c>
      <c r="C41" s="12">
        <v>1</v>
      </c>
      <c r="D41" s="8">
        <v>1.72</v>
      </c>
      <c r="E41" s="12">
        <v>0</v>
      </c>
      <c r="F41" s="8">
        <v>0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277</v>
      </c>
      <c r="C42" s="12">
        <v>1</v>
      </c>
      <c r="D42" s="8">
        <v>1.72</v>
      </c>
      <c r="E42" s="12">
        <v>0</v>
      </c>
      <c r="F42" s="8">
        <v>0</v>
      </c>
      <c r="G42" s="12">
        <v>1</v>
      </c>
      <c r="H42" s="8">
        <v>3.03</v>
      </c>
      <c r="I42" s="12">
        <v>0</v>
      </c>
    </row>
    <row r="43" spans="2:9" ht="15" customHeight="1" x14ac:dyDescent="0.2">
      <c r="B43" t="s">
        <v>261</v>
      </c>
      <c r="C43" s="12">
        <v>1</v>
      </c>
      <c r="D43" s="8">
        <v>1.72</v>
      </c>
      <c r="E43" s="12">
        <v>0</v>
      </c>
      <c r="F43" s="8">
        <v>0</v>
      </c>
      <c r="G43" s="12">
        <v>1</v>
      </c>
      <c r="H43" s="8">
        <v>3.03</v>
      </c>
      <c r="I43" s="12">
        <v>0</v>
      </c>
    </row>
    <row r="44" spans="2:9" ht="15" customHeight="1" x14ac:dyDescent="0.2">
      <c r="B44" t="s">
        <v>217</v>
      </c>
      <c r="C44" s="12">
        <v>1</v>
      </c>
      <c r="D44" s="8">
        <v>1.72</v>
      </c>
      <c r="E44" s="12">
        <v>0</v>
      </c>
      <c r="F44" s="8">
        <v>0</v>
      </c>
      <c r="G44" s="12">
        <v>1</v>
      </c>
      <c r="H44" s="8">
        <v>3.03</v>
      </c>
      <c r="I44" s="12">
        <v>0</v>
      </c>
    </row>
    <row r="45" spans="2:9" ht="15" customHeight="1" x14ac:dyDescent="0.2">
      <c r="B45" t="s">
        <v>220</v>
      </c>
      <c r="C45" s="12">
        <v>1</v>
      </c>
      <c r="D45" s="8">
        <v>1.72</v>
      </c>
      <c r="E45" s="12">
        <v>1</v>
      </c>
      <c r="F45" s="8">
        <v>4.55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222</v>
      </c>
      <c r="C46" s="12">
        <v>1</v>
      </c>
      <c r="D46" s="8">
        <v>1.72</v>
      </c>
      <c r="E46" s="12">
        <v>0</v>
      </c>
      <c r="F46" s="8">
        <v>0</v>
      </c>
      <c r="G46" s="12">
        <v>1</v>
      </c>
      <c r="H46" s="8">
        <v>3.03</v>
      </c>
      <c r="I46" s="12">
        <v>0</v>
      </c>
    </row>
    <row r="47" spans="2:9" ht="15" customHeight="1" x14ac:dyDescent="0.2">
      <c r="B47" t="s">
        <v>224</v>
      </c>
      <c r="C47" s="12">
        <v>1</v>
      </c>
      <c r="D47" s="8">
        <v>1.72</v>
      </c>
      <c r="E47" s="12">
        <v>0</v>
      </c>
      <c r="F47" s="8">
        <v>0</v>
      </c>
      <c r="G47" s="12">
        <v>1</v>
      </c>
      <c r="H47" s="8">
        <v>3.03</v>
      </c>
      <c r="I47" s="12">
        <v>0</v>
      </c>
    </row>
    <row r="48" spans="2:9" ht="15" customHeight="1" x14ac:dyDescent="0.2">
      <c r="B48" t="s">
        <v>256</v>
      </c>
      <c r="C48" s="12">
        <v>1</v>
      </c>
      <c r="D48" s="8">
        <v>1.72</v>
      </c>
      <c r="E48" s="12">
        <v>0</v>
      </c>
      <c r="F48" s="8">
        <v>0</v>
      </c>
      <c r="G48" s="12">
        <v>1</v>
      </c>
      <c r="H48" s="8">
        <v>3.03</v>
      </c>
      <c r="I48" s="12">
        <v>0</v>
      </c>
    </row>
    <row r="49" spans="2:9" ht="15" customHeight="1" x14ac:dyDescent="0.2">
      <c r="B49" t="s">
        <v>242</v>
      </c>
      <c r="C49" s="12">
        <v>1</v>
      </c>
      <c r="D49" s="8">
        <v>1.72</v>
      </c>
      <c r="E49" s="12">
        <v>1</v>
      </c>
      <c r="F49" s="8">
        <v>4.55</v>
      </c>
      <c r="G49" s="12">
        <v>0</v>
      </c>
      <c r="H49" s="8">
        <v>0</v>
      </c>
      <c r="I49" s="12">
        <v>0</v>
      </c>
    </row>
    <row r="52" spans="2:9" ht="33" customHeight="1" x14ac:dyDescent="0.2">
      <c r="B52" t="s">
        <v>531</v>
      </c>
      <c r="C52" s="10" t="s">
        <v>206</v>
      </c>
      <c r="D52" s="10" t="s">
        <v>207</v>
      </c>
      <c r="E52" s="10" t="s">
        <v>208</v>
      </c>
      <c r="F52" s="10" t="s">
        <v>209</v>
      </c>
      <c r="G52" s="10" t="s">
        <v>210</v>
      </c>
      <c r="H52" s="10" t="s">
        <v>211</v>
      </c>
      <c r="I52" s="10" t="s">
        <v>212</v>
      </c>
    </row>
    <row r="53" spans="2:9" ht="15" customHeight="1" x14ac:dyDescent="0.2">
      <c r="B53" t="s">
        <v>299</v>
      </c>
      <c r="C53" s="12">
        <v>5</v>
      </c>
      <c r="D53" s="8">
        <v>8.6199999999999992</v>
      </c>
      <c r="E53" s="12">
        <v>4</v>
      </c>
      <c r="F53" s="8">
        <v>18.18</v>
      </c>
      <c r="G53" s="12">
        <v>1</v>
      </c>
      <c r="H53" s="8">
        <v>3.03</v>
      </c>
      <c r="I53" s="12">
        <v>0</v>
      </c>
    </row>
    <row r="54" spans="2:9" ht="15" customHeight="1" x14ac:dyDescent="0.2">
      <c r="B54" t="s">
        <v>339</v>
      </c>
      <c r="C54" s="12">
        <v>4</v>
      </c>
      <c r="D54" s="8">
        <v>6.9</v>
      </c>
      <c r="E54" s="12">
        <v>2</v>
      </c>
      <c r="F54" s="8">
        <v>9.09</v>
      </c>
      <c r="G54" s="12">
        <v>2</v>
      </c>
      <c r="H54" s="8">
        <v>6.06</v>
      </c>
      <c r="I54" s="12">
        <v>0</v>
      </c>
    </row>
    <row r="55" spans="2:9" ht="15" customHeight="1" x14ac:dyDescent="0.2">
      <c r="B55" t="s">
        <v>302</v>
      </c>
      <c r="C55" s="12">
        <v>3</v>
      </c>
      <c r="D55" s="8">
        <v>5.17</v>
      </c>
      <c r="E55" s="12">
        <v>2</v>
      </c>
      <c r="F55" s="8">
        <v>9.09</v>
      </c>
      <c r="G55" s="12">
        <v>1</v>
      </c>
      <c r="H55" s="8">
        <v>3.03</v>
      </c>
      <c r="I55" s="12">
        <v>0</v>
      </c>
    </row>
    <row r="56" spans="2:9" ht="15" customHeight="1" x14ac:dyDescent="0.2">
      <c r="B56" t="s">
        <v>288</v>
      </c>
      <c r="C56" s="12">
        <v>2</v>
      </c>
      <c r="D56" s="8">
        <v>3.45</v>
      </c>
      <c r="E56" s="12">
        <v>0</v>
      </c>
      <c r="F56" s="8">
        <v>0</v>
      </c>
      <c r="G56" s="12">
        <v>2</v>
      </c>
      <c r="H56" s="8">
        <v>6.06</v>
      </c>
      <c r="I56" s="12">
        <v>0</v>
      </c>
    </row>
    <row r="57" spans="2:9" ht="15" customHeight="1" x14ac:dyDescent="0.2">
      <c r="B57" t="s">
        <v>378</v>
      </c>
      <c r="C57" s="12">
        <v>2</v>
      </c>
      <c r="D57" s="8">
        <v>3.45</v>
      </c>
      <c r="E57" s="12">
        <v>0</v>
      </c>
      <c r="F57" s="8">
        <v>0</v>
      </c>
      <c r="G57" s="12">
        <v>2</v>
      </c>
      <c r="H57" s="8">
        <v>6.06</v>
      </c>
      <c r="I57" s="12">
        <v>0</v>
      </c>
    </row>
    <row r="58" spans="2:9" ht="15" customHeight="1" x14ac:dyDescent="0.2">
      <c r="B58" t="s">
        <v>324</v>
      </c>
      <c r="C58" s="12">
        <v>2</v>
      </c>
      <c r="D58" s="8">
        <v>3.45</v>
      </c>
      <c r="E58" s="12">
        <v>0</v>
      </c>
      <c r="F58" s="8">
        <v>0</v>
      </c>
      <c r="G58" s="12">
        <v>2</v>
      </c>
      <c r="H58" s="8">
        <v>6.06</v>
      </c>
      <c r="I58" s="12">
        <v>0</v>
      </c>
    </row>
    <row r="59" spans="2:9" ht="15" customHeight="1" x14ac:dyDescent="0.2">
      <c r="B59" t="s">
        <v>372</v>
      </c>
      <c r="C59" s="12">
        <v>2</v>
      </c>
      <c r="D59" s="8">
        <v>3.45</v>
      </c>
      <c r="E59" s="12">
        <v>0</v>
      </c>
      <c r="F59" s="8">
        <v>0</v>
      </c>
      <c r="G59" s="12">
        <v>2</v>
      </c>
      <c r="H59" s="8">
        <v>6.06</v>
      </c>
      <c r="I59" s="12">
        <v>0</v>
      </c>
    </row>
    <row r="60" spans="2:9" ht="15" customHeight="1" x14ac:dyDescent="0.2">
      <c r="B60" t="s">
        <v>334</v>
      </c>
      <c r="C60" s="12">
        <v>2</v>
      </c>
      <c r="D60" s="8">
        <v>3.45</v>
      </c>
      <c r="E60" s="12">
        <v>2</v>
      </c>
      <c r="F60" s="8">
        <v>9.09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304</v>
      </c>
      <c r="C61" s="12">
        <v>2</v>
      </c>
      <c r="D61" s="8">
        <v>3.45</v>
      </c>
      <c r="E61" s="12">
        <v>2</v>
      </c>
      <c r="F61" s="8">
        <v>9.09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352</v>
      </c>
      <c r="C62" s="12">
        <v>2</v>
      </c>
      <c r="D62" s="8">
        <v>3.45</v>
      </c>
      <c r="E62" s="12">
        <v>0</v>
      </c>
      <c r="F62" s="8">
        <v>0</v>
      </c>
      <c r="G62" s="12">
        <v>2</v>
      </c>
      <c r="H62" s="8">
        <v>6.06</v>
      </c>
      <c r="I62" s="12">
        <v>0</v>
      </c>
    </row>
    <row r="63" spans="2:9" ht="15" customHeight="1" x14ac:dyDescent="0.2">
      <c r="B63" t="s">
        <v>305</v>
      </c>
      <c r="C63" s="12">
        <v>2</v>
      </c>
      <c r="D63" s="8">
        <v>3.45</v>
      </c>
      <c r="E63" s="12">
        <v>2</v>
      </c>
      <c r="F63" s="8">
        <v>9.09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427</v>
      </c>
      <c r="C64" s="12">
        <v>1</v>
      </c>
      <c r="D64" s="8">
        <v>1.72</v>
      </c>
      <c r="E64" s="12">
        <v>0</v>
      </c>
      <c r="F64" s="8">
        <v>0</v>
      </c>
      <c r="G64" s="12">
        <v>1</v>
      </c>
      <c r="H64" s="8">
        <v>3.03</v>
      </c>
      <c r="I64" s="12">
        <v>0</v>
      </c>
    </row>
    <row r="65" spans="2:9" ht="15" customHeight="1" x14ac:dyDescent="0.2">
      <c r="B65" t="s">
        <v>289</v>
      </c>
      <c r="C65" s="12">
        <v>1</v>
      </c>
      <c r="D65" s="8">
        <v>1.72</v>
      </c>
      <c r="E65" s="12">
        <v>1</v>
      </c>
      <c r="F65" s="8">
        <v>4.55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413</v>
      </c>
      <c r="C66" s="12">
        <v>1</v>
      </c>
      <c r="D66" s="8">
        <v>1.72</v>
      </c>
      <c r="E66" s="12">
        <v>0</v>
      </c>
      <c r="F66" s="8">
        <v>0</v>
      </c>
      <c r="G66" s="12">
        <v>1</v>
      </c>
      <c r="H66" s="8">
        <v>3.03</v>
      </c>
      <c r="I66" s="12">
        <v>0</v>
      </c>
    </row>
    <row r="67" spans="2:9" ht="15" customHeight="1" x14ac:dyDescent="0.2">
      <c r="B67" t="s">
        <v>384</v>
      </c>
      <c r="C67" s="12">
        <v>1</v>
      </c>
      <c r="D67" s="8">
        <v>1.72</v>
      </c>
      <c r="E67" s="12">
        <v>0</v>
      </c>
      <c r="F67" s="8">
        <v>0</v>
      </c>
      <c r="G67" s="12">
        <v>1</v>
      </c>
      <c r="H67" s="8">
        <v>3.03</v>
      </c>
      <c r="I67" s="12">
        <v>0</v>
      </c>
    </row>
    <row r="68" spans="2:9" ht="15" customHeight="1" x14ac:dyDescent="0.2">
      <c r="B68" t="s">
        <v>361</v>
      </c>
      <c r="C68" s="12">
        <v>1</v>
      </c>
      <c r="D68" s="8">
        <v>1.72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524</v>
      </c>
      <c r="C69" s="12">
        <v>1</v>
      </c>
      <c r="D69" s="8">
        <v>1.72</v>
      </c>
      <c r="E69" s="12">
        <v>0</v>
      </c>
      <c r="F69" s="8">
        <v>0</v>
      </c>
      <c r="G69" s="12">
        <v>1</v>
      </c>
      <c r="H69" s="8">
        <v>3.03</v>
      </c>
      <c r="I69" s="12">
        <v>0</v>
      </c>
    </row>
    <row r="70" spans="2:9" ht="15" customHeight="1" x14ac:dyDescent="0.2">
      <c r="B70" t="s">
        <v>364</v>
      </c>
      <c r="C70" s="12">
        <v>1</v>
      </c>
      <c r="D70" s="8">
        <v>1.72</v>
      </c>
      <c r="E70" s="12">
        <v>0</v>
      </c>
      <c r="F70" s="8">
        <v>0</v>
      </c>
      <c r="G70" s="12">
        <v>1</v>
      </c>
      <c r="H70" s="8">
        <v>3.03</v>
      </c>
      <c r="I70" s="12">
        <v>0</v>
      </c>
    </row>
    <row r="71" spans="2:9" ht="15" customHeight="1" x14ac:dyDescent="0.2">
      <c r="B71" t="s">
        <v>346</v>
      </c>
      <c r="C71" s="12">
        <v>1</v>
      </c>
      <c r="D71" s="8">
        <v>1.72</v>
      </c>
      <c r="E71" s="12">
        <v>0</v>
      </c>
      <c r="F71" s="8">
        <v>0</v>
      </c>
      <c r="G71" s="12">
        <v>1</v>
      </c>
      <c r="H71" s="8">
        <v>3.03</v>
      </c>
      <c r="I71" s="12">
        <v>0</v>
      </c>
    </row>
    <row r="72" spans="2:9" ht="15" customHeight="1" x14ac:dyDescent="0.2">
      <c r="B72" t="s">
        <v>314</v>
      </c>
      <c r="C72" s="12">
        <v>1</v>
      </c>
      <c r="D72" s="8">
        <v>1.72</v>
      </c>
      <c r="E72" s="12">
        <v>1</v>
      </c>
      <c r="F72" s="8">
        <v>4.55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354</v>
      </c>
      <c r="C73" s="12">
        <v>1</v>
      </c>
      <c r="D73" s="8">
        <v>1.72</v>
      </c>
      <c r="E73" s="12">
        <v>0</v>
      </c>
      <c r="F73" s="8">
        <v>0</v>
      </c>
      <c r="G73" s="12">
        <v>1</v>
      </c>
      <c r="H73" s="8">
        <v>3.03</v>
      </c>
      <c r="I73" s="12">
        <v>0</v>
      </c>
    </row>
    <row r="74" spans="2:9" ht="15" customHeight="1" x14ac:dyDescent="0.2">
      <c r="B74" t="s">
        <v>336</v>
      </c>
      <c r="C74" s="12">
        <v>1</v>
      </c>
      <c r="D74" s="8">
        <v>1.72</v>
      </c>
      <c r="E74" s="12">
        <v>0</v>
      </c>
      <c r="F74" s="8">
        <v>0</v>
      </c>
      <c r="G74" s="12">
        <v>1</v>
      </c>
      <c r="H74" s="8">
        <v>3.03</v>
      </c>
      <c r="I74" s="12">
        <v>0</v>
      </c>
    </row>
    <row r="75" spans="2:9" ht="15" customHeight="1" x14ac:dyDescent="0.2">
      <c r="B75" t="s">
        <v>292</v>
      </c>
      <c r="C75" s="12">
        <v>1</v>
      </c>
      <c r="D75" s="8">
        <v>1.72</v>
      </c>
      <c r="E75" s="12">
        <v>1</v>
      </c>
      <c r="F75" s="8">
        <v>4.55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293</v>
      </c>
      <c r="C76" s="12">
        <v>1</v>
      </c>
      <c r="D76" s="8">
        <v>1.72</v>
      </c>
      <c r="E76" s="12">
        <v>0</v>
      </c>
      <c r="F76" s="8">
        <v>0</v>
      </c>
      <c r="G76" s="12">
        <v>1</v>
      </c>
      <c r="H76" s="8">
        <v>3.03</v>
      </c>
      <c r="I76" s="12">
        <v>0</v>
      </c>
    </row>
    <row r="77" spans="2:9" ht="15" customHeight="1" x14ac:dyDescent="0.2">
      <c r="B77" t="s">
        <v>330</v>
      </c>
      <c r="C77" s="12">
        <v>1</v>
      </c>
      <c r="D77" s="8">
        <v>1.72</v>
      </c>
      <c r="E77" s="12">
        <v>0</v>
      </c>
      <c r="F77" s="8">
        <v>0</v>
      </c>
      <c r="G77" s="12">
        <v>1</v>
      </c>
      <c r="H77" s="8">
        <v>3.03</v>
      </c>
      <c r="I77" s="12">
        <v>0</v>
      </c>
    </row>
    <row r="78" spans="2:9" ht="15" customHeight="1" x14ac:dyDescent="0.2">
      <c r="B78" t="s">
        <v>295</v>
      </c>
      <c r="C78" s="12">
        <v>1</v>
      </c>
      <c r="D78" s="8">
        <v>1.72</v>
      </c>
      <c r="E78" s="12">
        <v>1</v>
      </c>
      <c r="F78" s="8">
        <v>4.55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296</v>
      </c>
      <c r="C79" s="12">
        <v>1</v>
      </c>
      <c r="D79" s="8">
        <v>1.72</v>
      </c>
      <c r="E79" s="12">
        <v>0</v>
      </c>
      <c r="F79" s="8">
        <v>0</v>
      </c>
      <c r="G79" s="12">
        <v>1</v>
      </c>
      <c r="H79" s="8">
        <v>3.03</v>
      </c>
      <c r="I79" s="12">
        <v>0</v>
      </c>
    </row>
    <row r="80" spans="2:9" ht="15" customHeight="1" x14ac:dyDescent="0.2">
      <c r="B80" t="s">
        <v>403</v>
      </c>
      <c r="C80" s="12">
        <v>1</v>
      </c>
      <c r="D80" s="8">
        <v>1.72</v>
      </c>
      <c r="E80" s="12">
        <v>0</v>
      </c>
      <c r="F80" s="8">
        <v>0</v>
      </c>
      <c r="G80" s="12">
        <v>1</v>
      </c>
      <c r="H80" s="8">
        <v>3.03</v>
      </c>
      <c r="I80" s="12">
        <v>0</v>
      </c>
    </row>
    <row r="81" spans="2:9" ht="15" customHeight="1" x14ac:dyDescent="0.2">
      <c r="B81" t="s">
        <v>495</v>
      </c>
      <c r="C81" s="12">
        <v>1</v>
      </c>
      <c r="D81" s="8">
        <v>1.72</v>
      </c>
      <c r="E81" s="12">
        <v>0</v>
      </c>
      <c r="F81" s="8">
        <v>0</v>
      </c>
      <c r="G81" s="12">
        <v>1</v>
      </c>
      <c r="H81" s="8">
        <v>3.03</v>
      </c>
      <c r="I81" s="12">
        <v>0</v>
      </c>
    </row>
    <row r="82" spans="2:9" ht="15" customHeight="1" x14ac:dyDescent="0.2">
      <c r="B82" t="s">
        <v>429</v>
      </c>
      <c r="C82" s="12">
        <v>1</v>
      </c>
      <c r="D82" s="8">
        <v>1.72</v>
      </c>
      <c r="E82" s="12">
        <v>0</v>
      </c>
      <c r="F82" s="8">
        <v>0</v>
      </c>
      <c r="G82" s="12">
        <v>1</v>
      </c>
      <c r="H82" s="8">
        <v>3.03</v>
      </c>
      <c r="I82" s="12">
        <v>0</v>
      </c>
    </row>
    <row r="83" spans="2:9" ht="15" customHeight="1" x14ac:dyDescent="0.2">
      <c r="B83" t="s">
        <v>300</v>
      </c>
      <c r="C83" s="12">
        <v>1</v>
      </c>
      <c r="D83" s="8">
        <v>1.72</v>
      </c>
      <c r="E83" s="12">
        <v>1</v>
      </c>
      <c r="F83" s="8">
        <v>4.55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303</v>
      </c>
      <c r="C84" s="12">
        <v>1</v>
      </c>
      <c r="D84" s="8">
        <v>1.72</v>
      </c>
      <c r="E84" s="12">
        <v>1</v>
      </c>
      <c r="F84" s="8">
        <v>4.55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391</v>
      </c>
      <c r="C85" s="12">
        <v>1</v>
      </c>
      <c r="D85" s="8">
        <v>1.72</v>
      </c>
      <c r="E85" s="12">
        <v>0</v>
      </c>
      <c r="F85" s="8">
        <v>0</v>
      </c>
      <c r="G85" s="12">
        <v>1</v>
      </c>
      <c r="H85" s="8">
        <v>3.03</v>
      </c>
      <c r="I85" s="12">
        <v>0</v>
      </c>
    </row>
    <row r="86" spans="2:9" ht="15" customHeight="1" x14ac:dyDescent="0.2">
      <c r="B86" t="s">
        <v>459</v>
      </c>
      <c r="C86" s="12">
        <v>1</v>
      </c>
      <c r="D86" s="8">
        <v>1.72</v>
      </c>
      <c r="E86" s="12">
        <v>0</v>
      </c>
      <c r="F86" s="8">
        <v>0</v>
      </c>
      <c r="G86" s="12">
        <v>1</v>
      </c>
      <c r="H86" s="8">
        <v>3.03</v>
      </c>
      <c r="I86" s="12">
        <v>0</v>
      </c>
    </row>
    <row r="87" spans="2:9" ht="15" customHeight="1" x14ac:dyDescent="0.2">
      <c r="B87" t="s">
        <v>411</v>
      </c>
      <c r="C87" s="12">
        <v>1</v>
      </c>
      <c r="D87" s="8">
        <v>1.72</v>
      </c>
      <c r="E87" s="12">
        <v>0</v>
      </c>
      <c r="F87" s="8">
        <v>0</v>
      </c>
      <c r="G87" s="12">
        <v>1</v>
      </c>
      <c r="H87" s="8">
        <v>3.03</v>
      </c>
      <c r="I87" s="12">
        <v>0</v>
      </c>
    </row>
    <row r="88" spans="2:9" ht="15" customHeight="1" x14ac:dyDescent="0.2">
      <c r="B88" t="s">
        <v>340</v>
      </c>
      <c r="C88" s="12">
        <v>1</v>
      </c>
      <c r="D88" s="8">
        <v>1.72</v>
      </c>
      <c r="E88" s="12">
        <v>0</v>
      </c>
      <c r="F88" s="8">
        <v>0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312</v>
      </c>
      <c r="C89" s="12">
        <v>1</v>
      </c>
      <c r="D89" s="8">
        <v>1.72</v>
      </c>
      <c r="E89" s="12">
        <v>1</v>
      </c>
      <c r="F89" s="8">
        <v>4.55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306</v>
      </c>
      <c r="C90" s="12">
        <v>1</v>
      </c>
      <c r="D90" s="8">
        <v>1.72</v>
      </c>
      <c r="E90" s="12">
        <v>0</v>
      </c>
      <c r="F90" s="8">
        <v>0</v>
      </c>
      <c r="G90" s="12">
        <v>1</v>
      </c>
      <c r="H90" s="8">
        <v>3.03</v>
      </c>
      <c r="I90" s="12">
        <v>0</v>
      </c>
    </row>
    <row r="91" spans="2:9" ht="15" customHeight="1" x14ac:dyDescent="0.2">
      <c r="B91" t="s">
        <v>331</v>
      </c>
      <c r="C91" s="12">
        <v>1</v>
      </c>
      <c r="D91" s="8">
        <v>1.72</v>
      </c>
      <c r="E91" s="12">
        <v>0</v>
      </c>
      <c r="F91" s="8">
        <v>0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369</v>
      </c>
      <c r="C92" s="12">
        <v>1</v>
      </c>
      <c r="D92" s="8">
        <v>1.72</v>
      </c>
      <c r="E92" s="12">
        <v>0</v>
      </c>
      <c r="F92" s="8">
        <v>0</v>
      </c>
      <c r="G92" s="12">
        <v>1</v>
      </c>
      <c r="H92" s="8">
        <v>3.03</v>
      </c>
      <c r="I92" s="12">
        <v>0</v>
      </c>
    </row>
    <row r="93" spans="2:9" ht="15" customHeight="1" x14ac:dyDescent="0.2">
      <c r="B93" t="s">
        <v>371</v>
      </c>
      <c r="C93" s="12">
        <v>1</v>
      </c>
      <c r="D93" s="8">
        <v>1.72</v>
      </c>
      <c r="E93" s="12">
        <v>1</v>
      </c>
      <c r="F93" s="8">
        <v>4.55</v>
      </c>
      <c r="G93" s="12">
        <v>0</v>
      </c>
      <c r="H93" s="8">
        <v>0</v>
      </c>
      <c r="I93" s="12">
        <v>0</v>
      </c>
    </row>
    <row r="95" spans="2:9" ht="15" customHeight="1" x14ac:dyDescent="0.2">
      <c r="B9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425A1-75B4-45E4-A673-A1488500E470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0.03</v>
      </c>
      <c r="E5" s="12">
        <v>0</v>
      </c>
      <c r="F5" s="8">
        <v>0</v>
      </c>
      <c r="G5" s="12">
        <v>2</v>
      </c>
      <c r="H5" s="8">
        <v>0.05</v>
      </c>
      <c r="I5" s="12">
        <v>0</v>
      </c>
    </row>
    <row r="6" spans="2:9" ht="15" customHeight="1" x14ac:dyDescent="0.2">
      <c r="B6" t="s">
        <v>191</v>
      </c>
      <c r="C6" s="12">
        <v>1036</v>
      </c>
      <c r="D6" s="8">
        <v>13.15</v>
      </c>
      <c r="E6" s="12">
        <v>206</v>
      </c>
      <c r="F6" s="8">
        <v>5.55</v>
      </c>
      <c r="G6" s="12">
        <v>830</v>
      </c>
      <c r="H6" s="8">
        <v>20.14</v>
      </c>
      <c r="I6" s="12">
        <v>0</v>
      </c>
    </row>
    <row r="7" spans="2:9" ht="15" customHeight="1" x14ac:dyDescent="0.2">
      <c r="B7" t="s">
        <v>192</v>
      </c>
      <c r="C7" s="12">
        <v>425</v>
      </c>
      <c r="D7" s="8">
        <v>5.39</v>
      </c>
      <c r="E7" s="12">
        <v>109</v>
      </c>
      <c r="F7" s="8">
        <v>2.93</v>
      </c>
      <c r="G7" s="12">
        <v>316</v>
      </c>
      <c r="H7" s="8">
        <v>7.67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0.01</v>
      </c>
      <c r="E8" s="12">
        <v>0</v>
      </c>
      <c r="F8" s="8">
        <v>0</v>
      </c>
      <c r="G8" s="12">
        <v>1</v>
      </c>
      <c r="H8" s="8">
        <v>0.02</v>
      </c>
      <c r="I8" s="12">
        <v>0</v>
      </c>
    </row>
    <row r="9" spans="2:9" ht="15" customHeight="1" x14ac:dyDescent="0.2">
      <c r="B9" t="s">
        <v>194</v>
      </c>
      <c r="C9" s="12">
        <v>66</v>
      </c>
      <c r="D9" s="8">
        <v>0.84</v>
      </c>
      <c r="E9" s="12">
        <v>4</v>
      </c>
      <c r="F9" s="8">
        <v>0.11</v>
      </c>
      <c r="G9" s="12">
        <v>62</v>
      </c>
      <c r="H9" s="8">
        <v>1.5</v>
      </c>
      <c r="I9" s="12">
        <v>0</v>
      </c>
    </row>
    <row r="10" spans="2:9" ht="15" customHeight="1" x14ac:dyDescent="0.2">
      <c r="B10" t="s">
        <v>195</v>
      </c>
      <c r="C10" s="12">
        <v>117</v>
      </c>
      <c r="D10" s="8">
        <v>1.48</v>
      </c>
      <c r="E10" s="12">
        <v>56</v>
      </c>
      <c r="F10" s="8">
        <v>1.51</v>
      </c>
      <c r="G10" s="12">
        <v>61</v>
      </c>
      <c r="H10" s="8">
        <v>1.48</v>
      </c>
      <c r="I10" s="12">
        <v>0</v>
      </c>
    </row>
    <row r="11" spans="2:9" ht="15" customHeight="1" x14ac:dyDescent="0.2">
      <c r="B11" t="s">
        <v>196</v>
      </c>
      <c r="C11" s="12">
        <v>1750</v>
      </c>
      <c r="D11" s="8">
        <v>22.21</v>
      </c>
      <c r="E11" s="12">
        <v>516</v>
      </c>
      <c r="F11" s="8">
        <v>13.89</v>
      </c>
      <c r="G11" s="12">
        <v>1233</v>
      </c>
      <c r="H11" s="8">
        <v>29.91</v>
      </c>
      <c r="I11" s="12">
        <v>1</v>
      </c>
    </row>
    <row r="12" spans="2:9" ht="15" customHeight="1" x14ac:dyDescent="0.2">
      <c r="B12" t="s">
        <v>197</v>
      </c>
      <c r="C12" s="12">
        <v>91</v>
      </c>
      <c r="D12" s="8">
        <v>1.1499999999999999</v>
      </c>
      <c r="E12" s="12">
        <v>11</v>
      </c>
      <c r="F12" s="8">
        <v>0.3</v>
      </c>
      <c r="G12" s="12">
        <v>80</v>
      </c>
      <c r="H12" s="8">
        <v>1.94</v>
      </c>
      <c r="I12" s="12">
        <v>0</v>
      </c>
    </row>
    <row r="13" spans="2:9" ht="15" customHeight="1" x14ac:dyDescent="0.2">
      <c r="B13" t="s">
        <v>198</v>
      </c>
      <c r="C13" s="12">
        <v>876</v>
      </c>
      <c r="D13" s="8">
        <v>11.12</v>
      </c>
      <c r="E13" s="12">
        <v>402</v>
      </c>
      <c r="F13" s="8">
        <v>10.82</v>
      </c>
      <c r="G13" s="12">
        <v>471</v>
      </c>
      <c r="H13" s="8">
        <v>11.43</v>
      </c>
      <c r="I13" s="12">
        <v>1</v>
      </c>
    </row>
    <row r="14" spans="2:9" ht="15" customHeight="1" x14ac:dyDescent="0.2">
      <c r="B14" t="s">
        <v>199</v>
      </c>
      <c r="C14" s="12">
        <v>334</v>
      </c>
      <c r="D14" s="8">
        <v>4.24</v>
      </c>
      <c r="E14" s="12">
        <v>161</v>
      </c>
      <c r="F14" s="8">
        <v>4.33</v>
      </c>
      <c r="G14" s="12">
        <v>173</v>
      </c>
      <c r="H14" s="8">
        <v>4.2</v>
      </c>
      <c r="I14" s="12">
        <v>0</v>
      </c>
    </row>
    <row r="15" spans="2:9" ht="15" customHeight="1" x14ac:dyDescent="0.2">
      <c r="B15" t="s">
        <v>200</v>
      </c>
      <c r="C15" s="12">
        <v>1176</v>
      </c>
      <c r="D15" s="8">
        <v>14.93</v>
      </c>
      <c r="E15" s="12">
        <v>936</v>
      </c>
      <c r="F15" s="8">
        <v>25.2</v>
      </c>
      <c r="G15" s="12">
        <v>239</v>
      </c>
      <c r="H15" s="8">
        <v>5.8</v>
      </c>
      <c r="I15" s="12">
        <v>1</v>
      </c>
    </row>
    <row r="16" spans="2:9" ht="15" customHeight="1" x14ac:dyDescent="0.2">
      <c r="B16" t="s">
        <v>201</v>
      </c>
      <c r="C16" s="12">
        <v>1027</v>
      </c>
      <c r="D16" s="8">
        <v>13.03</v>
      </c>
      <c r="E16" s="12">
        <v>808</v>
      </c>
      <c r="F16" s="8">
        <v>21.75</v>
      </c>
      <c r="G16" s="12">
        <v>217</v>
      </c>
      <c r="H16" s="8">
        <v>5.26</v>
      </c>
      <c r="I16" s="12">
        <v>2</v>
      </c>
    </row>
    <row r="17" spans="2:9" ht="15" customHeight="1" x14ac:dyDescent="0.2">
      <c r="B17" t="s">
        <v>202</v>
      </c>
      <c r="C17" s="12">
        <v>207</v>
      </c>
      <c r="D17" s="8">
        <v>2.63</v>
      </c>
      <c r="E17" s="12">
        <v>138</v>
      </c>
      <c r="F17" s="8">
        <v>3.71</v>
      </c>
      <c r="G17" s="12">
        <v>44</v>
      </c>
      <c r="H17" s="8">
        <v>1.07</v>
      </c>
      <c r="I17" s="12">
        <v>1</v>
      </c>
    </row>
    <row r="18" spans="2:9" ht="15" customHeight="1" x14ac:dyDescent="0.2">
      <c r="B18" t="s">
        <v>203</v>
      </c>
      <c r="C18" s="12">
        <v>501</v>
      </c>
      <c r="D18" s="8">
        <v>6.36</v>
      </c>
      <c r="E18" s="12">
        <v>280</v>
      </c>
      <c r="F18" s="8">
        <v>7.54</v>
      </c>
      <c r="G18" s="12">
        <v>219</v>
      </c>
      <c r="H18" s="8">
        <v>5.31</v>
      </c>
      <c r="I18" s="12">
        <v>0</v>
      </c>
    </row>
    <row r="19" spans="2:9" ht="15" customHeight="1" x14ac:dyDescent="0.2">
      <c r="B19" t="s">
        <v>204</v>
      </c>
      <c r="C19" s="12">
        <v>270</v>
      </c>
      <c r="D19" s="8">
        <v>3.43</v>
      </c>
      <c r="E19" s="12">
        <v>88</v>
      </c>
      <c r="F19" s="8">
        <v>2.37</v>
      </c>
      <c r="G19" s="12">
        <v>174</v>
      </c>
      <c r="H19" s="8">
        <v>4.22</v>
      </c>
      <c r="I19" s="12">
        <v>5</v>
      </c>
    </row>
    <row r="20" spans="2:9" ht="15" customHeight="1" x14ac:dyDescent="0.2">
      <c r="B20" s="9" t="s">
        <v>529</v>
      </c>
      <c r="C20" s="12">
        <f>SUM(LTBL_01204[総数／事業所数])</f>
        <v>7879</v>
      </c>
      <c r="E20" s="12">
        <f>SUBTOTAL(109,LTBL_01204[個人／事業所数])</f>
        <v>3715</v>
      </c>
      <c r="G20" s="12">
        <f>SUBTOTAL(109,LTBL_01204[法人／事業所数])</f>
        <v>4122</v>
      </c>
      <c r="I20" s="12">
        <f>SUBTOTAL(109,LTBL_01204[法人以外の団体／事業所数])</f>
        <v>11</v>
      </c>
    </row>
    <row r="21" spans="2:9" ht="15" customHeight="1" x14ac:dyDescent="0.2">
      <c r="E21" s="11">
        <f>LTBL_01204[[#Totals],[個人／事業所数]]/LTBL_01204[[#Totals],[総数／事業所数]]</f>
        <v>0.47150653636248258</v>
      </c>
      <c r="G21" s="11">
        <f>LTBL_01204[[#Totals],[法人／事業所数]]/LTBL_01204[[#Totals],[総数／事業所数]]</f>
        <v>0.52316283792359441</v>
      </c>
      <c r="I21" s="11">
        <f>LTBL_01204[[#Totals],[法人以外の団体／事業所数]]/LTBL_01204[[#Totals],[総数／事業所数]]</f>
        <v>1.3961162584084274E-3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1055</v>
      </c>
      <c r="D24" s="8">
        <v>13.39</v>
      </c>
      <c r="E24" s="12">
        <v>895</v>
      </c>
      <c r="F24" s="8">
        <v>24.09</v>
      </c>
      <c r="G24" s="12">
        <v>159</v>
      </c>
      <c r="H24" s="8">
        <v>3.86</v>
      </c>
      <c r="I24" s="12">
        <v>1</v>
      </c>
    </row>
    <row r="25" spans="2:9" ht="15" customHeight="1" x14ac:dyDescent="0.2">
      <c r="B25" t="s">
        <v>228</v>
      </c>
      <c r="C25" s="12">
        <v>902</v>
      </c>
      <c r="D25" s="8">
        <v>11.45</v>
      </c>
      <c r="E25" s="12">
        <v>757</v>
      </c>
      <c r="F25" s="8">
        <v>20.38</v>
      </c>
      <c r="G25" s="12">
        <v>145</v>
      </c>
      <c r="H25" s="8">
        <v>3.52</v>
      </c>
      <c r="I25" s="12">
        <v>0</v>
      </c>
    </row>
    <row r="26" spans="2:9" ht="15" customHeight="1" x14ac:dyDescent="0.2">
      <c r="B26" t="s">
        <v>224</v>
      </c>
      <c r="C26" s="12">
        <v>705</v>
      </c>
      <c r="D26" s="8">
        <v>8.9499999999999993</v>
      </c>
      <c r="E26" s="12">
        <v>397</v>
      </c>
      <c r="F26" s="8">
        <v>10.69</v>
      </c>
      <c r="G26" s="12">
        <v>306</v>
      </c>
      <c r="H26" s="8">
        <v>7.42</v>
      </c>
      <c r="I26" s="12">
        <v>0</v>
      </c>
    </row>
    <row r="27" spans="2:9" ht="15" customHeight="1" x14ac:dyDescent="0.2">
      <c r="B27" t="s">
        <v>223</v>
      </c>
      <c r="C27" s="12">
        <v>457</v>
      </c>
      <c r="D27" s="8">
        <v>5.8</v>
      </c>
      <c r="E27" s="12">
        <v>160</v>
      </c>
      <c r="F27" s="8">
        <v>4.3099999999999996</v>
      </c>
      <c r="G27" s="12">
        <v>297</v>
      </c>
      <c r="H27" s="8">
        <v>7.21</v>
      </c>
      <c r="I27" s="12">
        <v>0</v>
      </c>
    </row>
    <row r="28" spans="2:9" ht="15" customHeight="1" x14ac:dyDescent="0.2">
      <c r="B28" t="s">
        <v>213</v>
      </c>
      <c r="C28" s="12">
        <v>389</v>
      </c>
      <c r="D28" s="8">
        <v>4.9400000000000004</v>
      </c>
      <c r="E28" s="12">
        <v>47</v>
      </c>
      <c r="F28" s="8">
        <v>1.27</v>
      </c>
      <c r="G28" s="12">
        <v>342</v>
      </c>
      <c r="H28" s="8">
        <v>8.3000000000000007</v>
      </c>
      <c r="I28" s="12">
        <v>0</v>
      </c>
    </row>
    <row r="29" spans="2:9" ht="15" customHeight="1" x14ac:dyDescent="0.2">
      <c r="B29" t="s">
        <v>214</v>
      </c>
      <c r="C29" s="12">
        <v>386</v>
      </c>
      <c r="D29" s="8">
        <v>4.9000000000000004</v>
      </c>
      <c r="E29" s="12">
        <v>114</v>
      </c>
      <c r="F29" s="8">
        <v>3.07</v>
      </c>
      <c r="G29" s="12">
        <v>272</v>
      </c>
      <c r="H29" s="8">
        <v>6.6</v>
      </c>
      <c r="I29" s="12">
        <v>0</v>
      </c>
    </row>
    <row r="30" spans="2:9" ht="15" customHeight="1" x14ac:dyDescent="0.2">
      <c r="B30" t="s">
        <v>231</v>
      </c>
      <c r="C30" s="12">
        <v>333</v>
      </c>
      <c r="D30" s="8">
        <v>4.2300000000000004</v>
      </c>
      <c r="E30" s="12">
        <v>276</v>
      </c>
      <c r="F30" s="8">
        <v>7.43</v>
      </c>
      <c r="G30" s="12">
        <v>57</v>
      </c>
      <c r="H30" s="8">
        <v>1.38</v>
      </c>
      <c r="I30" s="12">
        <v>0</v>
      </c>
    </row>
    <row r="31" spans="2:9" ht="15" customHeight="1" x14ac:dyDescent="0.2">
      <c r="B31" t="s">
        <v>215</v>
      </c>
      <c r="C31" s="12">
        <v>261</v>
      </c>
      <c r="D31" s="8">
        <v>3.31</v>
      </c>
      <c r="E31" s="12">
        <v>45</v>
      </c>
      <c r="F31" s="8">
        <v>1.21</v>
      </c>
      <c r="G31" s="12">
        <v>216</v>
      </c>
      <c r="H31" s="8">
        <v>5.24</v>
      </c>
      <c r="I31" s="12">
        <v>0</v>
      </c>
    </row>
    <row r="32" spans="2:9" ht="15" customHeight="1" x14ac:dyDescent="0.2">
      <c r="B32" t="s">
        <v>222</v>
      </c>
      <c r="C32" s="12">
        <v>250</v>
      </c>
      <c r="D32" s="8">
        <v>3.17</v>
      </c>
      <c r="E32" s="12">
        <v>95</v>
      </c>
      <c r="F32" s="8">
        <v>2.56</v>
      </c>
      <c r="G32" s="12">
        <v>155</v>
      </c>
      <c r="H32" s="8">
        <v>3.76</v>
      </c>
      <c r="I32" s="12">
        <v>0</v>
      </c>
    </row>
    <row r="33" spans="2:9" ht="15" customHeight="1" x14ac:dyDescent="0.2">
      <c r="B33" t="s">
        <v>221</v>
      </c>
      <c r="C33" s="12">
        <v>241</v>
      </c>
      <c r="D33" s="8">
        <v>3.06</v>
      </c>
      <c r="E33" s="12">
        <v>115</v>
      </c>
      <c r="F33" s="8">
        <v>3.1</v>
      </c>
      <c r="G33" s="12">
        <v>126</v>
      </c>
      <c r="H33" s="8">
        <v>3.06</v>
      </c>
      <c r="I33" s="12">
        <v>0</v>
      </c>
    </row>
    <row r="34" spans="2:9" ht="15" customHeight="1" x14ac:dyDescent="0.2">
      <c r="B34" t="s">
        <v>220</v>
      </c>
      <c r="C34" s="12">
        <v>224</v>
      </c>
      <c r="D34" s="8">
        <v>2.84</v>
      </c>
      <c r="E34" s="12">
        <v>80</v>
      </c>
      <c r="F34" s="8">
        <v>2.15</v>
      </c>
      <c r="G34" s="12">
        <v>144</v>
      </c>
      <c r="H34" s="8">
        <v>3.49</v>
      </c>
      <c r="I34" s="12">
        <v>0</v>
      </c>
    </row>
    <row r="35" spans="2:9" ht="15" customHeight="1" x14ac:dyDescent="0.2">
      <c r="B35" t="s">
        <v>230</v>
      </c>
      <c r="C35" s="12">
        <v>207</v>
      </c>
      <c r="D35" s="8">
        <v>2.63</v>
      </c>
      <c r="E35" s="12">
        <v>138</v>
      </c>
      <c r="F35" s="8">
        <v>3.71</v>
      </c>
      <c r="G35" s="12">
        <v>44</v>
      </c>
      <c r="H35" s="8">
        <v>1.07</v>
      </c>
      <c r="I35" s="12">
        <v>1</v>
      </c>
    </row>
    <row r="36" spans="2:9" ht="15" customHeight="1" x14ac:dyDescent="0.2">
      <c r="B36" t="s">
        <v>225</v>
      </c>
      <c r="C36" s="12">
        <v>172</v>
      </c>
      <c r="D36" s="8">
        <v>2.1800000000000002</v>
      </c>
      <c r="E36" s="12">
        <v>118</v>
      </c>
      <c r="F36" s="8">
        <v>3.18</v>
      </c>
      <c r="G36" s="12">
        <v>54</v>
      </c>
      <c r="H36" s="8">
        <v>1.31</v>
      </c>
      <c r="I36" s="12">
        <v>0</v>
      </c>
    </row>
    <row r="37" spans="2:9" ht="15" customHeight="1" x14ac:dyDescent="0.2">
      <c r="B37" t="s">
        <v>232</v>
      </c>
      <c r="C37" s="12">
        <v>168</v>
      </c>
      <c r="D37" s="8">
        <v>2.13</v>
      </c>
      <c r="E37" s="12">
        <v>4</v>
      </c>
      <c r="F37" s="8">
        <v>0.11</v>
      </c>
      <c r="G37" s="12">
        <v>162</v>
      </c>
      <c r="H37" s="8">
        <v>3.93</v>
      </c>
      <c r="I37" s="12">
        <v>0</v>
      </c>
    </row>
    <row r="38" spans="2:9" ht="15" customHeight="1" x14ac:dyDescent="0.2">
      <c r="B38" t="s">
        <v>226</v>
      </c>
      <c r="C38" s="12">
        <v>149</v>
      </c>
      <c r="D38" s="8">
        <v>1.89</v>
      </c>
      <c r="E38" s="12">
        <v>42</v>
      </c>
      <c r="F38" s="8">
        <v>1.1299999999999999</v>
      </c>
      <c r="G38" s="12">
        <v>107</v>
      </c>
      <c r="H38" s="8">
        <v>2.6</v>
      </c>
      <c r="I38" s="12">
        <v>0</v>
      </c>
    </row>
    <row r="39" spans="2:9" ht="15" customHeight="1" x14ac:dyDescent="0.2">
      <c r="B39" t="s">
        <v>218</v>
      </c>
      <c r="C39" s="12">
        <v>143</v>
      </c>
      <c r="D39" s="8">
        <v>1.81</v>
      </c>
      <c r="E39" s="12">
        <v>12</v>
      </c>
      <c r="F39" s="8">
        <v>0.32</v>
      </c>
      <c r="G39" s="12">
        <v>131</v>
      </c>
      <c r="H39" s="8">
        <v>3.18</v>
      </c>
      <c r="I39" s="12">
        <v>0</v>
      </c>
    </row>
    <row r="40" spans="2:9" ht="15" customHeight="1" x14ac:dyDescent="0.2">
      <c r="B40" t="s">
        <v>219</v>
      </c>
      <c r="C40" s="12">
        <v>122</v>
      </c>
      <c r="D40" s="8">
        <v>1.55</v>
      </c>
      <c r="E40" s="12">
        <v>19</v>
      </c>
      <c r="F40" s="8">
        <v>0.51</v>
      </c>
      <c r="G40" s="12">
        <v>103</v>
      </c>
      <c r="H40" s="8">
        <v>2.5</v>
      </c>
      <c r="I40" s="12">
        <v>0</v>
      </c>
    </row>
    <row r="41" spans="2:9" ht="15" customHeight="1" x14ac:dyDescent="0.2">
      <c r="B41" t="s">
        <v>233</v>
      </c>
      <c r="C41" s="12">
        <v>122</v>
      </c>
      <c r="D41" s="8">
        <v>1.55</v>
      </c>
      <c r="E41" s="12">
        <v>3</v>
      </c>
      <c r="F41" s="8">
        <v>0.08</v>
      </c>
      <c r="G41" s="12">
        <v>119</v>
      </c>
      <c r="H41" s="8">
        <v>2.89</v>
      </c>
      <c r="I41" s="12">
        <v>0</v>
      </c>
    </row>
    <row r="42" spans="2:9" ht="15" customHeight="1" x14ac:dyDescent="0.2">
      <c r="B42" t="s">
        <v>217</v>
      </c>
      <c r="C42" s="12">
        <v>112</v>
      </c>
      <c r="D42" s="8">
        <v>1.42</v>
      </c>
      <c r="E42" s="12">
        <v>5</v>
      </c>
      <c r="F42" s="8">
        <v>0.13</v>
      </c>
      <c r="G42" s="12">
        <v>107</v>
      </c>
      <c r="H42" s="8">
        <v>2.6</v>
      </c>
      <c r="I42" s="12">
        <v>0</v>
      </c>
    </row>
    <row r="43" spans="2:9" ht="15" customHeight="1" x14ac:dyDescent="0.2">
      <c r="B43" t="s">
        <v>240</v>
      </c>
      <c r="C43" s="12">
        <v>97</v>
      </c>
      <c r="D43" s="8">
        <v>1.23</v>
      </c>
      <c r="E43" s="12">
        <v>57</v>
      </c>
      <c r="F43" s="8">
        <v>1.53</v>
      </c>
      <c r="G43" s="12">
        <v>40</v>
      </c>
      <c r="H43" s="8">
        <v>0.97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509</v>
      </c>
      <c r="D47" s="8">
        <v>6.46</v>
      </c>
      <c r="E47" s="12">
        <v>362</v>
      </c>
      <c r="F47" s="8">
        <v>9.74</v>
      </c>
      <c r="G47" s="12">
        <v>146</v>
      </c>
      <c r="H47" s="8">
        <v>3.54</v>
      </c>
      <c r="I47" s="12">
        <v>0</v>
      </c>
    </row>
    <row r="48" spans="2:9" ht="15" customHeight="1" x14ac:dyDescent="0.2">
      <c r="B48" t="s">
        <v>304</v>
      </c>
      <c r="C48" s="12">
        <v>458</v>
      </c>
      <c r="D48" s="8">
        <v>5.81</v>
      </c>
      <c r="E48" s="12">
        <v>415</v>
      </c>
      <c r="F48" s="8">
        <v>11.17</v>
      </c>
      <c r="G48" s="12">
        <v>43</v>
      </c>
      <c r="H48" s="8">
        <v>1.04</v>
      </c>
      <c r="I48" s="12">
        <v>0</v>
      </c>
    </row>
    <row r="49" spans="2:9" ht="15" customHeight="1" x14ac:dyDescent="0.2">
      <c r="B49" t="s">
        <v>303</v>
      </c>
      <c r="C49" s="12">
        <v>306</v>
      </c>
      <c r="D49" s="8">
        <v>3.88</v>
      </c>
      <c r="E49" s="12">
        <v>288</v>
      </c>
      <c r="F49" s="8">
        <v>7.75</v>
      </c>
      <c r="G49" s="12">
        <v>18</v>
      </c>
      <c r="H49" s="8">
        <v>0.44</v>
      </c>
      <c r="I49" s="12">
        <v>0</v>
      </c>
    </row>
    <row r="50" spans="2:9" ht="15" customHeight="1" x14ac:dyDescent="0.2">
      <c r="B50" t="s">
        <v>301</v>
      </c>
      <c r="C50" s="12">
        <v>276</v>
      </c>
      <c r="D50" s="8">
        <v>3.5</v>
      </c>
      <c r="E50" s="12">
        <v>266</v>
      </c>
      <c r="F50" s="8">
        <v>7.16</v>
      </c>
      <c r="G50" s="12">
        <v>10</v>
      </c>
      <c r="H50" s="8">
        <v>0.24</v>
      </c>
      <c r="I50" s="12">
        <v>0</v>
      </c>
    </row>
    <row r="51" spans="2:9" ht="15" customHeight="1" x14ac:dyDescent="0.2">
      <c r="B51" t="s">
        <v>299</v>
      </c>
      <c r="C51" s="12">
        <v>256</v>
      </c>
      <c r="D51" s="8">
        <v>3.25</v>
      </c>
      <c r="E51" s="12">
        <v>201</v>
      </c>
      <c r="F51" s="8">
        <v>5.41</v>
      </c>
      <c r="G51" s="12">
        <v>55</v>
      </c>
      <c r="H51" s="8">
        <v>1.33</v>
      </c>
      <c r="I51" s="12">
        <v>0</v>
      </c>
    </row>
    <row r="52" spans="2:9" ht="15" customHeight="1" x14ac:dyDescent="0.2">
      <c r="B52" t="s">
        <v>300</v>
      </c>
      <c r="C52" s="12">
        <v>231</v>
      </c>
      <c r="D52" s="8">
        <v>2.93</v>
      </c>
      <c r="E52" s="12">
        <v>187</v>
      </c>
      <c r="F52" s="8">
        <v>5.03</v>
      </c>
      <c r="G52" s="12">
        <v>44</v>
      </c>
      <c r="H52" s="8">
        <v>1.07</v>
      </c>
      <c r="I52" s="12">
        <v>0</v>
      </c>
    </row>
    <row r="53" spans="2:9" ht="15" customHeight="1" x14ac:dyDescent="0.2">
      <c r="B53" t="s">
        <v>306</v>
      </c>
      <c r="C53" s="12">
        <v>226</v>
      </c>
      <c r="D53" s="8">
        <v>2.87</v>
      </c>
      <c r="E53" s="12">
        <v>206</v>
      </c>
      <c r="F53" s="8">
        <v>5.55</v>
      </c>
      <c r="G53" s="12">
        <v>20</v>
      </c>
      <c r="H53" s="8">
        <v>0.49</v>
      </c>
      <c r="I53" s="12">
        <v>0</v>
      </c>
    </row>
    <row r="54" spans="2:9" ht="15" customHeight="1" x14ac:dyDescent="0.2">
      <c r="B54" t="s">
        <v>295</v>
      </c>
      <c r="C54" s="12">
        <v>149</v>
      </c>
      <c r="D54" s="8">
        <v>1.89</v>
      </c>
      <c r="E54" s="12">
        <v>62</v>
      </c>
      <c r="F54" s="8">
        <v>1.67</v>
      </c>
      <c r="G54" s="12">
        <v>87</v>
      </c>
      <c r="H54" s="8">
        <v>2.11</v>
      </c>
      <c r="I54" s="12">
        <v>0</v>
      </c>
    </row>
    <row r="55" spans="2:9" ht="15" customHeight="1" x14ac:dyDescent="0.2">
      <c r="B55" t="s">
        <v>293</v>
      </c>
      <c r="C55" s="12">
        <v>136</v>
      </c>
      <c r="D55" s="8">
        <v>1.73</v>
      </c>
      <c r="E55" s="12">
        <v>34</v>
      </c>
      <c r="F55" s="8">
        <v>0.92</v>
      </c>
      <c r="G55" s="12">
        <v>102</v>
      </c>
      <c r="H55" s="8">
        <v>2.4700000000000002</v>
      </c>
      <c r="I55" s="12">
        <v>0</v>
      </c>
    </row>
    <row r="56" spans="2:9" ht="15" customHeight="1" x14ac:dyDescent="0.2">
      <c r="B56" t="s">
        <v>302</v>
      </c>
      <c r="C56" s="12">
        <v>128</v>
      </c>
      <c r="D56" s="8">
        <v>1.62</v>
      </c>
      <c r="E56" s="12">
        <v>115</v>
      </c>
      <c r="F56" s="8">
        <v>3.1</v>
      </c>
      <c r="G56" s="12">
        <v>13</v>
      </c>
      <c r="H56" s="8">
        <v>0.32</v>
      </c>
      <c r="I56" s="12">
        <v>0</v>
      </c>
    </row>
    <row r="57" spans="2:9" ht="15" customHeight="1" x14ac:dyDescent="0.2">
      <c r="B57" t="s">
        <v>314</v>
      </c>
      <c r="C57" s="12">
        <v>113</v>
      </c>
      <c r="D57" s="8">
        <v>1.43</v>
      </c>
      <c r="E57" s="12">
        <v>42</v>
      </c>
      <c r="F57" s="8">
        <v>1.1299999999999999</v>
      </c>
      <c r="G57" s="12">
        <v>71</v>
      </c>
      <c r="H57" s="8">
        <v>1.72</v>
      </c>
      <c r="I57" s="12">
        <v>0</v>
      </c>
    </row>
    <row r="58" spans="2:9" ht="15" customHeight="1" x14ac:dyDescent="0.2">
      <c r="B58" t="s">
        <v>291</v>
      </c>
      <c r="C58" s="12">
        <v>110</v>
      </c>
      <c r="D58" s="8">
        <v>1.4</v>
      </c>
      <c r="E58" s="12">
        <v>19</v>
      </c>
      <c r="F58" s="8">
        <v>0.51</v>
      </c>
      <c r="G58" s="12">
        <v>91</v>
      </c>
      <c r="H58" s="8">
        <v>2.21</v>
      </c>
      <c r="I58" s="12">
        <v>0</v>
      </c>
    </row>
    <row r="59" spans="2:9" ht="15" customHeight="1" x14ac:dyDescent="0.2">
      <c r="B59" t="s">
        <v>296</v>
      </c>
      <c r="C59" s="12">
        <v>108</v>
      </c>
      <c r="D59" s="8">
        <v>1.37</v>
      </c>
      <c r="E59" s="12">
        <v>17</v>
      </c>
      <c r="F59" s="8">
        <v>0.46</v>
      </c>
      <c r="G59" s="12">
        <v>91</v>
      </c>
      <c r="H59" s="8">
        <v>2.21</v>
      </c>
      <c r="I59" s="12">
        <v>0</v>
      </c>
    </row>
    <row r="60" spans="2:9" ht="15" customHeight="1" x14ac:dyDescent="0.2">
      <c r="B60" t="s">
        <v>292</v>
      </c>
      <c r="C60" s="12">
        <v>106</v>
      </c>
      <c r="D60" s="8">
        <v>1.35</v>
      </c>
      <c r="E60" s="12">
        <v>48</v>
      </c>
      <c r="F60" s="8">
        <v>1.29</v>
      </c>
      <c r="G60" s="12">
        <v>58</v>
      </c>
      <c r="H60" s="8">
        <v>1.41</v>
      </c>
      <c r="I60" s="12">
        <v>0</v>
      </c>
    </row>
    <row r="61" spans="2:9" ht="15" customHeight="1" x14ac:dyDescent="0.2">
      <c r="B61" t="s">
        <v>305</v>
      </c>
      <c r="C61" s="12">
        <v>106</v>
      </c>
      <c r="D61" s="8">
        <v>1.35</v>
      </c>
      <c r="E61" s="12">
        <v>83</v>
      </c>
      <c r="F61" s="8">
        <v>2.23</v>
      </c>
      <c r="G61" s="12">
        <v>22</v>
      </c>
      <c r="H61" s="8">
        <v>0.53</v>
      </c>
      <c r="I61" s="12">
        <v>1</v>
      </c>
    </row>
    <row r="62" spans="2:9" ht="15" customHeight="1" x14ac:dyDescent="0.2">
      <c r="B62" t="s">
        <v>288</v>
      </c>
      <c r="C62" s="12">
        <v>98</v>
      </c>
      <c r="D62" s="8">
        <v>1.24</v>
      </c>
      <c r="E62" s="12">
        <v>3</v>
      </c>
      <c r="F62" s="8">
        <v>0.08</v>
      </c>
      <c r="G62" s="12">
        <v>95</v>
      </c>
      <c r="H62" s="8">
        <v>2.2999999999999998</v>
      </c>
      <c r="I62" s="12">
        <v>0</v>
      </c>
    </row>
    <row r="63" spans="2:9" ht="15" customHeight="1" x14ac:dyDescent="0.2">
      <c r="B63" t="s">
        <v>307</v>
      </c>
      <c r="C63" s="12">
        <v>97</v>
      </c>
      <c r="D63" s="8">
        <v>1.23</v>
      </c>
      <c r="E63" s="12">
        <v>57</v>
      </c>
      <c r="F63" s="8">
        <v>1.53</v>
      </c>
      <c r="G63" s="12">
        <v>40</v>
      </c>
      <c r="H63" s="8">
        <v>0.97</v>
      </c>
      <c r="I63" s="12">
        <v>0</v>
      </c>
    </row>
    <row r="64" spans="2:9" ht="15" customHeight="1" x14ac:dyDescent="0.2">
      <c r="B64" t="s">
        <v>331</v>
      </c>
      <c r="C64" s="12">
        <v>94</v>
      </c>
      <c r="D64" s="8">
        <v>1.19</v>
      </c>
      <c r="E64" s="12">
        <v>1</v>
      </c>
      <c r="F64" s="8">
        <v>0.03</v>
      </c>
      <c r="G64" s="12">
        <v>93</v>
      </c>
      <c r="H64" s="8">
        <v>2.2599999999999998</v>
      </c>
      <c r="I64" s="12">
        <v>0</v>
      </c>
    </row>
    <row r="65" spans="2:9" ht="15" customHeight="1" x14ac:dyDescent="0.2">
      <c r="B65" t="s">
        <v>289</v>
      </c>
      <c r="C65" s="12">
        <v>93</v>
      </c>
      <c r="D65" s="8">
        <v>1.18</v>
      </c>
      <c r="E65" s="12">
        <v>13</v>
      </c>
      <c r="F65" s="8">
        <v>0.35</v>
      </c>
      <c r="G65" s="12">
        <v>80</v>
      </c>
      <c r="H65" s="8">
        <v>1.94</v>
      </c>
      <c r="I65" s="12">
        <v>0</v>
      </c>
    </row>
    <row r="66" spans="2:9" ht="15" customHeight="1" x14ac:dyDescent="0.2">
      <c r="B66" t="s">
        <v>290</v>
      </c>
      <c r="C66" s="12">
        <v>91</v>
      </c>
      <c r="D66" s="8">
        <v>1.1499999999999999</v>
      </c>
      <c r="E66" s="12">
        <v>20</v>
      </c>
      <c r="F66" s="8">
        <v>0.54</v>
      </c>
      <c r="G66" s="12">
        <v>71</v>
      </c>
      <c r="H66" s="8">
        <v>1.72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B9AC4-62AA-4126-887E-FE30E57032A1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23</v>
      </c>
      <c r="D6" s="8">
        <v>11.17</v>
      </c>
      <c r="E6" s="12">
        <v>5</v>
      </c>
      <c r="F6" s="8">
        <v>5.15</v>
      </c>
      <c r="G6" s="12">
        <v>18</v>
      </c>
      <c r="H6" s="8">
        <v>17.14</v>
      </c>
      <c r="I6" s="12">
        <v>0</v>
      </c>
    </row>
    <row r="7" spans="2:9" ht="15" customHeight="1" x14ac:dyDescent="0.2">
      <c r="B7" t="s">
        <v>192</v>
      </c>
      <c r="C7" s="12">
        <v>27</v>
      </c>
      <c r="D7" s="8">
        <v>13.11</v>
      </c>
      <c r="E7" s="12">
        <v>5</v>
      </c>
      <c r="F7" s="8">
        <v>5.15</v>
      </c>
      <c r="G7" s="12">
        <v>22</v>
      </c>
      <c r="H7" s="8">
        <v>20.95</v>
      </c>
      <c r="I7" s="12">
        <v>0</v>
      </c>
    </row>
    <row r="8" spans="2:9" ht="15" customHeight="1" x14ac:dyDescent="0.2">
      <c r="B8" t="s">
        <v>193</v>
      </c>
      <c r="C8" s="12">
        <v>4</v>
      </c>
      <c r="D8" s="8">
        <v>1.94</v>
      </c>
      <c r="E8" s="12">
        <v>0</v>
      </c>
      <c r="F8" s="8">
        <v>0</v>
      </c>
      <c r="G8" s="12">
        <v>3</v>
      </c>
      <c r="H8" s="8">
        <v>2.86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6</v>
      </c>
      <c r="D10" s="8">
        <v>2.91</v>
      </c>
      <c r="E10" s="12">
        <v>2</v>
      </c>
      <c r="F10" s="8">
        <v>2.06</v>
      </c>
      <c r="G10" s="12">
        <v>4</v>
      </c>
      <c r="H10" s="8">
        <v>3.81</v>
      </c>
      <c r="I10" s="12">
        <v>0</v>
      </c>
    </row>
    <row r="11" spans="2:9" ht="15" customHeight="1" x14ac:dyDescent="0.2">
      <c r="B11" t="s">
        <v>196</v>
      </c>
      <c r="C11" s="12">
        <v>52</v>
      </c>
      <c r="D11" s="8">
        <v>25.24</v>
      </c>
      <c r="E11" s="12">
        <v>18</v>
      </c>
      <c r="F11" s="8">
        <v>18.559999999999999</v>
      </c>
      <c r="G11" s="12">
        <v>34</v>
      </c>
      <c r="H11" s="8">
        <v>32.380000000000003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0.49</v>
      </c>
      <c r="E12" s="12">
        <v>0</v>
      </c>
      <c r="F12" s="8">
        <v>0</v>
      </c>
      <c r="G12" s="12">
        <v>1</v>
      </c>
      <c r="H12" s="8">
        <v>0.95</v>
      </c>
      <c r="I12" s="12">
        <v>0</v>
      </c>
    </row>
    <row r="13" spans="2:9" ht="15" customHeight="1" x14ac:dyDescent="0.2">
      <c r="B13" t="s">
        <v>198</v>
      </c>
      <c r="C13" s="12">
        <v>5</v>
      </c>
      <c r="D13" s="8">
        <v>2.4300000000000002</v>
      </c>
      <c r="E13" s="12">
        <v>1</v>
      </c>
      <c r="F13" s="8">
        <v>1.03</v>
      </c>
      <c r="G13" s="12">
        <v>3</v>
      </c>
      <c r="H13" s="8">
        <v>2.86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1.46</v>
      </c>
      <c r="E14" s="12">
        <v>1</v>
      </c>
      <c r="F14" s="8">
        <v>1.03</v>
      </c>
      <c r="G14" s="12">
        <v>2</v>
      </c>
      <c r="H14" s="8">
        <v>1.9</v>
      </c>
      <c r="I14" s="12">
        <v>0</v>
      </c>
    </row>
    <row r="15" spans="2:9" ht="15" customHeight="1" x14ac:dyDescent="0.2">
      <c r="B15" t="s">
        <v>200</v>
      </c>
      <c r="C15" s="12">
        <v>27</v>
      </c>
      <c r="D15" s="8">
        <v>13.11</v>
      </c>
      <c r="E15" s="12">
        <v>25</v>
      </c>
      <c r="F15" s="8">
        <v>25.77</v>
      </c>
      <c r="G15" s="12">
        <v>2</v>
      </c>
      <c r="H15" s="8">
        <v>1.9</v>
      </c>
      <c r="I15" s="12">
        <v>0</v>
      </c>
    </row>
    <row r="16" spans="2:9" ht="15" customHeight="1" x14ac:dyDescent="0.2">
      <c r="B16" t="s">
        <v>201</v>
      </c>
      <c r="C16" s="12">
        <v>43</v>
      </c>
      <c r="D16" s="8">
        <v>20.87</v>
      </c>
      <c r="E16" s="12">
        <v>31</v>
      </c>
      <c r="F16" s="8">
        <v>31.96</v>
      </c>
      <c r="G16" s="12">
        <v>12</v>
      </c>
      <c r="H16" s="8">
        <v>11.43</v>
      </c>
      <c r="I16" s="12">
        <v>0</v>
      </c>
    </row>
    <row r="17" spans="2:9" ht="15" customHeight="1" x14ac:dyDescent="0.2">
      <c r="B17" t="s">
        <v>202</v>
      </c>
      <c r="C17" s="12">
        <v>6</v>
      </c>
      <c r="D17" s="8">
        <v>2.91</v>
      </c>
      <c r="E17" s="12">
        <v>4</v>
      </c>
      <c r="F17" s="8">
        <v>4.12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2.91</v>
      </c>
      <c r="E18" s="12">
        <v>3</v>
      </c>
      <c r="F18" s="8">
        <v>3.09</v>
      </c>
      <c r="G18" s="12">
        <v>3</v>
      </c>
      <c r="H18" s="8">
        <v>2.86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1.46</v>
      </c>
      <c r="E19" s="12">
        <v>2</v>
      </c>
      <c r="F19" s="8">
        <v>2.06</v>
      </c>
      <c r="G19" s="12">
        <v>1</v>
      </c>
      <c r="H19" s="8">
        <v>0.95</v>
      </c>
      <c r="I19" s="12">
        <v>0</v>
      </c>
    </row>
    <row r="20" spans="2:9" ht="15" customHeight="1" x14ac:dyDescent="0.2">
      <c r="B20" s="9" t="s">
        <v>529</v>
      </c>
      <c r="C20" s="12">
        <f>SUM(LTBL_01668[総数／事業所数])</f>
        <v>206</v>
      </c>
      <c r="E20" s="12">
        <f>SUBTOTAL(109,LTBL_01668[個人／事業所数])</f>
        <v>97</v>
      </c>
      <c r="G20" s="12">
        <f>SUBTOTAL(109,LTBL_01668[法人／事業所数])</f>
        <v>105</v>
      </c>
      <c r="I20" s="12">
        <f>SUBTOTAL(109,LTBL_01668[法人以外の団体／事業所数])</f>
        <v>0</v>
      </c>
    </row>
    <row r="21" spans="2:9" ht="15" customHeight="1" x14ac:dyDescent="0.2">
      <c r="E21" s="11">
        <f>LTBL_01668[[#Totals],[個人／事業所数]]/LTBL_01668[[#Totals],[総数／事業所数]]</f>
        <v>0.470873786407767</v>
      </c>
      <c r="G21" s="11">
        <f>LTBL_01668[[#Totals],[法人／事業所数]]/LTBL_01668[[#Totals],[総数／事業所数]]</f>
        <v>0.50970873786407767</v>
      </c>
      <c r="I21" s="11">
        <f>LTBL_01668[[#Totals],[法人以外の団体／事業所数]]/LTBL_01668[[#Totals],[総数／事業所数]]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31</v>
      </c>
      <c r="D24" s="8">
        <v>15.05</v>
      </c>
      <c r="E24" s="12">
        <v>27</v>
      </c>
      <c r="F24" s="8">
        <v>27.84</v>
      </c>
      <c r="G24" s="12">
        <v>4</v>
      </c>
      <c r="H24" s="8">
        <v>3.81</v>
      </c>
      <c r="I24" s="12">
        <v>0</v>
      </c>
    </row>
    <row r="25" spans="2:9" ht="15" customHeight="1" x14ac:dyDescent="0.2">
      <c r="B25" t="s">
        <v>227</v>
      </c>
      <c r="C25" s="12">
        <v>25</v>
      </c>
      <c r="D25" s="8">
        <v>12.14</v>
      </c>
      <c r="E25" s="12">
        <v>23</v>
      </c>
      <c r="F25" s="8">
        <v>23.71</v>
      </c>
      <c r="G25" s="12">
        <v>2</v>
      </c>
      <c r="H25" s="8">
        <v>1.9</v>
      </c>
      <c r="I25" s="12">
        <v>0</v>
      </c>
    </row>
    <row r="26" spans="2:9" ht="15" customHeight="1" x14ac:dyDescent="0.2">
      <c r="B26" t="s">
        <v>223</v>
      </c>
      <c r="C26" s="12">
        <v>18</v>
      </c>
      <c r="D26" s="8">
        <v>8.74</v>
      </c>
      <c r="E26" s="12">
        <v>4</v>
      </c>
      <c r="F26" s="8">
        <v>4.12</v>
      </c>
      <c r="G26" s="12">
        <v>14</v>
      </c>
      <c r="H26" s="8">
        <v>13.33</v>
      </c>
      <c r="I26" s="12">
        <v>0</v>
      </c>
    </row>
    <row r="27" spans="2:9" ht="15" customHeight="1" x14ac:dyDescent="0.2">
      <c r="B27" t="s">
        <v>241</v>
      </c>
      <c r="C27" s="12">
        <v>14</v>
      </c>
      <c r="D27" s="8">
        <v>6.8</v>
      </c>
      <c r="E27" s="12">
        <v>2</v>
      </c>
      <c r="F27" s="8">
        <v>2.06</v>
      </c>
      <c r="G27" s="12">
        <v>12</v>
      </c>
      <c r="H27" s="8">
        <v>11.43</v>
      </c>
      <c r="I27" s="12">
        <v>0</v>
      </c>
    </row>
    <row r="28" spans="2:9" ht="15" customHeight="1" x14ac:dyDescent="0.2">
      <c r="B28" t="s">
        <v>213</v>
      </c>
      <c r="C28" s="12">
        <v>12</v>
      </c>
      <c r="D28" s="8">
        <v>5.83</v>
      </c>
      <c r="E28" s="12">
        <v>3</v>
      </c>
      <c r="F28" s="8">
        <v>3.09</v>
      </c>
      <c r="G28" s="12">
        <v>9</v>
      </c>
      <c r="H28" s="8">
        <v>8.57</v>
      </c>
      <c r="I28" s="12">
        <v>0</v>
      </c>
    </row>
    <row r="29" spans="2:9" ht="15" customHeight="1" x14ac:dyDescent="0.2">
      <c r="B29" t="s">
        <v>221</v>
      </c>
      <c r="C29" s="12">
        <v>10</v>
      </c>
      <c r="D29" s="8">
        <v>4.8499999999999996</v>
      </c>
      <c r="E29" s="12">
        <v>5</v>
      </c>
      <c r="F29" s="8">
        <v>5.15</v>
      </c>
      <c r="G29" s="12">
        <v>5</v>
      </c>
      <c r="H29" s="8">
        <v>4.76</v>
      </c>
      <c r="I29" s="12">
        <v>0</v>
      </c>
    </row>
    <row r="30" spans="2:9" ht="15" customHeight="1" x14ac:dyDescent="0.2">
      <c r="B30" t="s">
        <v>214</v>
      </c>
      <c r="C30" s="12">
        <v>7</v>
      </c>
      <c r="D30" s="8">
        <v>3.4</v>
      </c>
      <c r="E30" s="12">
        <v>2</v>
      </c>
      <c r="F30" s="8">
        <v>2.06</v>
      </c>
      <c r="G30" s="12">
        <v>5</v>
      </c>
      <c r="H30" s="8">
        <v>4.76</v>
      </c>
      <c r="I30" s="12">
        <v>0</v>
      </c>
    </row>
    <row r="31" spans="2:9" ht="15" customHeight="1" x14ac:dyDescent="0.2">
      <c r="B31" t="s">
        <v>247</v>
      </c>
      <c r="C31" s="12">
        <v>7</v>
      </c>
      <c r="D31" s="8">
        <v>3.4</v>
      </c>
      <c r="E31" s="12">
        <v>0</v>
      </c>
      <c r="F31" s="8">
        <v>0</v>
      </c>
      <c r="G31" s="12">
        <v>7</v>
      </c>
      <c r="H31" s="8">
        <v>6.67</v>
      </c>
      <c r="I31" s="12">
        <v>0</v>
      </c>
    </row>
    <row r="32" spans="2:9" ht="15" customHeight="1" x14ac:dyDescent="0.2">
      <c r="B32" t="s">
        <v>217</v>
      </c>
      <c r="C32" s="12">
        <v>6</v>
      </c>
      <c r="D32" s="8">
        <v>2.91</v>
      </c>
      <c r="E32" s="12">
        <v>2</v>
      </c>
      <c r="F32" s="8">
        <v>2.06</v>
      </c>
      <c r="G32" s="12">
        <v>4</v>
      </c>
      <c r="H32" s="8">
        <v>3.81</v>
      </c>
      <c r="I32" s="12">
        <v>0</v>
      </c>
    </row>
    <row r="33" spans="2:9" ht="15" customHeight="1" x14ac:dyDescent="0.2">
      <c r="B33" t="s">
        <v>230</v>
      </c>
      <c r="C33" s="12">
        <v>6</v>
      </c>
      <c r="D33" s="8">
        <v>2.91</v>
      </c>
      <c r="E33" s="12">
        <v>4</v>
      </c>
      <c r="F33" s="8">
        <v>4.12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248</v>
      </c>
      <c r="C34" s="12">
        <v>5</v>
      </c>
      <c r="D34" s="8">
        <v>2.4300000000000002</v>
      </c>
      <c r="E34" s="12">
        <v>2</v>
      </c>
      <c r="F34" s="8">
        <v>2.06</v>
      </c>
      <c r="G34" s="12">
        <v>3</v>
      </c>
      <c r="H34" s="8">
        <v>2.86</v>
      </c>
      <c r="I34" s="12">
        <v>0</v>
      </c>
    </row>
    <row r="35" spans="2:9" ht="15" customHeight="1" x14ac:dyDescent="0.2">
      <c r="B35" t="s">
        <v>222</v>
      </c>
      <c r="C35" s="12">
        <v>5</v>
      </c>
      <c r="D35" s="8">
        <v>2.4300000000000002</v>
      </c>
      <c r="E35" s="12">
        <v>2</v>
      </c>
      <c r="F35" s="8">
        <v>2.06</v>
      </c>
      <c r="G35" s="12">
        <v>3</v>
      </c>
      <c r="H35" s="8">
        <v>2.86</v>
      </c>
      <c r="I35" s="12">
        <v>0</v>
      </c>
    </row>
    <row r="36" spans="2:9" ht="15" customHeight="1" x14ac:dyDescent="0.2">
      <c r="B36" t="s">
        <v>236</v>
      </c>
      <c r="C36" s="12">
        <v>5</v>
      </c>
      <c r="D36" s="8">
        <v>2.4300000000000002</v>
      </c>
      <c r="E36" s="12">
        <v>0</v>
      </c>
      <c r="F36" s="8">
        <v>0</v>
      </c>
      <c r="G36" s="12">
        <v>5</v>
      </c>
      <c r="H36" s="8">
        <v>4.76</v>
      </c>
      <c r="I36" s="12">
        <v>0</v>
      </c>
    </row>
    <row r="37" spans="2:9" ht="15" customHeight="1" x14ac:dyDescent="0.2">
      <c r="B37" t="s">
        <v>229</v>
      </c>
      <c r="C37" s="12">
        <v>5</v>
      </c>
      <c r="D37" s="8">
        <v>2.4300000000000002</v>
      </c>
      <c r="E37" s="12">
        <v>4</v>
      </c>
      <c r="F37" s="8">
        <v>4.12</v>
      </c>
      <c r="G37" s="12">
        <v>1</v>
      </c>
      <c r="H37" s="8">
        <v>0.95</v>
      </c>
      <c r="I37" s="12">
        <v>0</v>
      </c>
    </row>
    <row r="38" spans="2:9" ht="15" customHeight="1" x14ac:dyDescent="0.2">
      <c r="B38" t="s">
        <v>215</v>
      </c>
      <c r="C38" s="12">
        <v>4</v>
      </c>
      <c r="D38" s="8">
        <v>1.94</v>
      </c>
      <c r="E38" s="12">
        <v>0</v>
      </c>
      <c r="F38" s="8">
        <v>0</v>
      </c>
      <c r="G38" s="12">
        <v>4</v>
      </c>
      <c r="H38" s="8">
        <v>3.81</v>
      </c>
      <c r="I38" s="12">
        <v>0</v>
      </c>
    </row>
    <row r="39" spans="2:9" ht="15" customHeight="1" x14ac:dyDescent="0.2">
      <c r="B39" t="s">
        <v>231</v>
      </c>
      <c r="C39" s="12">
        <v>4</v>
      </c>
      <c r="D39" s="8">
        <v>1.94</v>
      </c>
      <c r="E39" s="12">
        <v>3</v>
      </c>
      <c r="F39" s="8">
        <v>3.09</v>
      </c>
      <c r="G39" s="12">
        <v>1</v>
      </c>
      <c r="H39" s="8">
        <v>0.95</v>
      </c>
      <c r="I39" s="12">
        <v>0</v>
      </c>
    </row>
    <row r="40" spans="2:9" ht="15" customHeight="1" x14ac:dyDescent="0.2">
      <c r="B40" t="s">
        <v>245</v>
      </c>
      <c r="C40" s="12">
        <v>3</v>
      </c>
      <c r="D40" s="8">
        <v>1.46</v>
      </c>
      <c r="E40" s="12">
        <v>1</v>
      </c>
      <c r="F40" s="8">
        <v>1.03</v>
      </c>
      <c r="G40" s="12">
        <v>2</v>
      </c>
      <c r="H40" s="8">
        <v>1.9</v>
      </c>
      <c r="I40" s="12">
        <v>0</v>
      </c>
    </row>
    <row r="41" spans="2:9" ht="15" customHeight="1" x14ac:dyDescent="0.2">
      <c r="B41" t="s">
        <v>219</v>
      </c>
      <c r="C41" s="12">
        <v>3</v>
      </c>
      <c r="D41" s="8">
        <v>1.46</v>
      </c>
      <c r="E41" s="12">
        <v>3</v>
      </c>
      <c r="F41" s="8">
        <v>3.09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224</v>
      </c>
      <c r="C42" s="12">
        <v>3</v>
      </c>
      <c r="D42" s="8">
        <v>1.46</v>
      </c>
      <c r="E42" s="12">
        <v>1</v>
      </c>
      <c r="F42" s="8">
        <v>1.03</v>
      </c>
      <c r="G42" s="12">
        <v>1</v>
      </c>
      <c r="H42" s="8">
        <v>0.95</v>
      </c>
      <c r="I42" s="12">
        <v>0</v>
      </c>
    </row>
    <row r="43" spans="2:9" ht="15" customHeight="1" x14ac:dyDescent="0.2">
      <c r="B43" t="s">
        <v>240</v>
      </c>
      <c r="C43" s="12">
        <v>3</v>
      </c>
      <c r="D43" s="8">
        <v>1.46</v>
      </c>
      <c r="E43" s="12">
        <v>2</v>
      </c>
      <c r="F43" s="8">
        <v>2.06</v>
      </c>
      <c r="G43" s="12">
        <v>1</v>
      </c>
      <c r="H43" s="8">
        <v>0.95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18</v>
      </c>
      <c r="D47" s="8">
        <v>8.74</v>
      </c>
      <c r="E47" s="12">
        <v>16</v>
      </c>
      <c r="F47" s="8">
        <v>16.489999999999998</v>
      </c>
      <c r="G47" s="12">
        <v>2</v>
      </c>
      <c r="H47" s="8">
        <v>1.9</v>
      </c>
      <c r="I47" s="12">
        <v>0</v>
      </c>
    </row>
    <row r="48" spans="2:9" ht="15" customHeight="1" x14ac:dyDescent="0.2">
      <c r="B48" t="s">
        <v>303</v>
      </c>
      <c r="C48" s="12">
        <v>10</v>
      </c>
      <c r="D48" s="8">
        <v>4.8499999999999996</v>
      </c>
      <c r="E48" s="12">
        <v>9</v>
      </c>
      <c r="F48" s="8">
        <v>9.2799999999999994</v>
      </c>
      <c r="G48" s="12">
        <v>1</v>
      </c>
      <c r="H48" s="8">
        <v>0.95</v>
      </c>
      <c r="I48" s="12">
        <v>0</v>
      </c>
    </row>
    <row r="49" spans="2:9" ht="15" customHeight="1" x14ac:dyDescent="0.2">
      <c r="B49" t="s">
        <v>342</v>
      </c>
      <c r="C49" s="12">
        <v>7</v>
      </c>
      <c r="D49" s="8">
        <v>3.4</v>
      </c>
      <c r="E49" s="12">
        <v>2</v>
      </c>
      <c r="F49" s="8">
        <v>2.06</v>
      </c>
      <c r="G49" s="12">
        <v>5</v>
      </c>
      <c r="H49" s="8">
        <v>4.76</v>
      </c>
      <c r="I49" s="12">
        <v>0</v>
      </c>
    </row>
    <row r="50" spans="2:9" ht="15" customHeight="1" x14ac:dyDescent="0.2">
      <c r="B50" t="s">
        <v>330</v>
      </c>
      <c r="C50" s="12">
        <v>7</v>
      </c>
      <c r="D50" s="8">
        <v>3.4</v>
      </c>
      <c r="E50" s="12">
        <v>0</v>
      </c>
      <c r="F50" s="8">
        <v>0</v>
      </c>
      <c r="G50" s="12">
        <v>7</v>
      </c>
      <c r="H50" s="8">
        <v>6.67</v>
      </c>
      <c r="I50" s="12">
        <v>0</v>
      </c>
    </row>
    <row r="51" spans="2:9" ht="15" customHeight="1" x14ac:dyDescent="0.2">
      <c r="B51" t="s">
        <v>368</v>
      </c>
      <c r="C51" s="12">
        <v>7</v>
      </c>
      <c r="D51" s="8">
        <v>3.4</v>
      </c>
      <c r="E51" s="12">
        <v>0</v>
      </c>
      <c r="F51" s="8">
        <v>0</v>
      </c>
      <c r="G51" s="12">
        <v>7</v>
      </c>
      <c r="H51" s="8">
        <v>6.67</v>
      </c>
      <c r="I51" s="12">
        <v>0</v>
      </c>
    </row>
    <row r="52" spans="2:9" ht="15" customHeight="1" x14ac:dyDescent="0.2">
      <c r="B52" t="s">
        <v>288</v>
      </c>
      <c r="C52" s="12">
        <v>6</v>
      </c>
      <c r="D52" s="8">
        <v>2.91</v>
      </c>
      <c r="E52" s="12">
        <v>0</v>
      </c>
      <c r="F52" s="8">
        <v>0</v>
      </c>
      <c r="G52" s="12">
        <v>6</v>
      </c>
      <c r="H52" s="8">
        <v>5.71</v>
      </c>
      <c r="I52" s="12">
        <v>0</v>
      </c>
    </row>
    <row r="53" spans="2:9" ht="15" customHeight="1" x14ac:dyDescent="0.2">
      <c r="B53" t="s">
        <v>300</v>
      </c>
      <c r="C53" s="12">
        <v>6</v>
      </c>
      <c r="D53" s="8">
        <v>2.91</v>
      </c>
      <c r="E53" s="12">
        <v>6</v>
      </c>
      <c r="F53" s="8">
        <v>6.19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413</v>
      </c>
      <c r="C54" s="12">
        <v>5</v>
      </c>
      <c r="D54" s="8">
        <v>2.4300000000000002</v>
      </c>
      <c r="E54" s="12">
        <v>0</v>
      </c>
      <c r="F54" s="8">
        <v>0</v>
      </c>
      <c r="G54" s="12">
        <v>5</v>
      </c>
      <c r="H54" s="8">
        <v>4.76</v>
      </c>
      <c r="I54" s="12">
        <v>0</v>
      </c>
    </row>
    <row r="55" spans="2:9" ht="15" customHeight="1" x14ac:dyDescent="0.2">
      <c r="B55" t="s">
        <v>350</v>
      </c>
      <c r="C55" s="12">
        <v>5</v>
      </c>
      <c r="D55" s="8">
        <v>2.4300000000000002</v>
      </c>
      <c r="E55" s="12">
        <v>2</v>
      </c>
      <c r="F55" s="8">
        <v>2.06</v>
      </c>
      <c r="G55" s="12">
        <v>3</v>
      </c>
      <c r="H55" s="8">
        <v>2.86</v>
      </c>
      <c r="I55" s="12">
        <v>0</v>
      </c>
    </row>
    <row r="56" spans="2:9" ht="15" customHeight="1" x14ac:dyDescent="0.2">
      <c r="B56" t="s">
        <v>301</v>
      </c>
      <c r="C56" s="12">
        <v>5</v>
      </c>
      <c r="D56" s="8">
        <v>2.4300000000000002</v>
      </c>
      <c r="E56" s="12">
        <v>5</v>
      </c>
      <c r="F56" s="8">
        <v>5.15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290</v>
      </c>
      <c r="C57" s="12">
        <v>4</v>
      </c>
      <c r="D57" s="8">
        <v>1.94</v>
      </c>
      <c r="E57" s="12">
        <v>0</v>
      </c>
      <c r="F57" s="8">
        <v>0</v>
      </c>
      <c r="G57" s="12">
        <v>4</v>
      </c>
      <c r="H57" s="8">
        <v>3.81</v>
      </c>
      <c r="I57" s="12">
        <v>0</v>
      </c>
    </row>
    <row r="58" spans="2:9" ht="15" customHeight="1" x14ac:dyDescent="0.2">
      <c r="B58" t="s">
        <v>293</v>
      </c>
      <c r="C58" s="12">
        <v>4</v>
      </c>
      <c r="D58" s="8">
        <v>1.94</v>
      </c>
      <c r="E58" s="12">
        <v>2</v>
      </c>
      <c r="F58" s="8">
        <v>2.06</v>
      </c>
      <c r="G58" s="12">
        <v>2</v>
      </c>
      <c r="H58" s="8">
        <v>1.9</v>
      </c>
      <c r="I58" s="12">
        <v>0</v>
      </c>
    </row>
    <row r="59" spans="2:9" ht="15" customHeight="1" x14ac:dyDescent="0.2">
      <c r="B59" t="s">
        <v>295</v>
      </c>
      <c r="C59" s="12">
        <v>4</v>
      </c>
      <c r="D59" s="8">
        <v>1.94</v>
      </c>
      <c r="E59" s="12">
        <v>3</v>
      </c>
      <c r="F59" s="8">
        <v>3.09</v>
      </c>
      <c r="G59" s="12">
        <v>1</v>
      </c>
      <c r="H59" s="8">
        <v>0.95</v>
      </c>
      <c r="I59" s="12">
        <v>0</v>
      </c>
    </row>
    <row r="60" spans="2:9" ht="15" customHeight="1" x14ac:dyDescent="0.2">
      <c r="B60" t="s">
        <v>299</v>
      </c>
      <c r="C60" s="12">
        <v>4</v>
      </c>
      <c r="D60" s="8">
        <v>1.94</v>
      </c>
      <c r="E60" s="12">
        <v>4</v>
      </c>
      <c r="F60" s="8">
        <v>4.12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305</v>
      </c>
      <c r="C61" s="12">
        <v>4</v>
      </c>
      <c r="D61" s="8">
        <v>1.94</v>
      </c>
      <c r="E61" s="12">
        <v>4</v>
      </c>
      <c r="F61" s="8">
        <v>4.12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346</v>
      </c>
      <c r="C62" s="12">
        <v>3</v>
      </c>
      <c r="D62" s="8">
        <v>1.46</v>
      </c>
      <c r="E62" s="12">
        <v>0</v>
      </c>
      <c r="F62" s="8">
        <v>0</v>
      </c>
      <c r="G62" s="12">
        <v>3</v>
      </c>
      <c r="H62" s="8">
        <v>2.86</v>
      </c>
      <c r="I62" s="12">
        <v>0</v>
      </c>
    </row>
    <row r="63" spans="2:9" ht="15" customHeight="1" x14ac:dyDescent="0.2">
      <c r="B63" t="s">
        <v>354</v>
      </c>
      <c r="C63" s="12">
        <v>3</v>
      </c>
      <c r="D63" s="8">
        <v>1.46</v>
      </c>
      <c r="E63" s="12">
        <v>2</v>
      </c>
      <c r="F63" s="8">
        <v>2.06</v>
      </c>
      <c r="G63" s="12">
        <v>1</v>
      </c>
      <c r="H63" s="8">
        <v>0.95</v>
      </c>
      <c r="I63" s="12">
        <v>0</v>
      </c>
    </row>
    <row r="64" spans="2:9" ht="15" customHeight="1" x14ac:dyDescent="0.2">
      <c r="B64" t="s">
        <v>344</v>
      </c>
      <c r="C64" s="12">
        <v>3</v>
      </c>
      <c r="D64" s="8">
        <v>1.46</v>
      </c>
      <c r="E64" s="12">
        <v>0</v>
      </c>
      <c r="F64" s="8">
        <v>0</v>
      </c>
      <c r="G64" s="12">
        <v>3</v>
      </c>
      <c r="H64" s="8">
        <v>2.86</v>
      </c>
      <c r="I64" s="12">
        <v>0</v>
      </c>
    </row>
    <row r="65" spans="2:9" ht="15" customHeight="1" x14ac:dyDescent="0.2">
      <c r="B65" t="s">
        <v>334</v>
      </c>
      <c r="C65" s="12">
        <v>3</v>
      </c>
      <c r="D65" s="8">
        <v>1.46</v>
      </c>
      <c r="E65" s="12">
        <v>2</v>
      </c>
      <c r="F65" s="8">
        <v>2.06</v>
      </c>
      <c r="G65" s="12">
        <v>1</v>
      </c>
      <c r="H65" s="8">
        <v>0.95</v>
      </c>
      <c r="I65" s="12">
        <v>0</v>
      </c>
    </row>
    <row r="66" spans="2:9" ht="15" customHeight="1" x14ac:dyDescent="0.2">
      <c r="B66" t="s">
        <v>419</v>
      </c>
      <c r="C66" s="12">
        <v>3</v>
      </c>
      <c r="D66" s="8">
        <v>1.46</v>
      </c>
      <c r="E66" s="12">
        <v>2</v>
      </c>
      <c r="F66" s="8">
        <v>2.06</v>
      </c>
      <c r="G66" s="12">
        <v>1</v>
      </c>
      <c r="H66" s="8">
        <v>0.95</v>
      </c>
      <c r="I66" s="12">
        <v>0</v>
      </c>
    </row>
    <row r="67" spans="2:9" ht="15" customHeight="1" x14ac:dyDescent="0.2">
      <c r="B67" t="s">
        <v>302</v>
      </c>
      <c r="C67" s="12">
        <v>3</v>
      </c>
      <c r="D67" s="8">
        <v>1.46</v>
      </c>
      <c r="E67" s="12">
        <v>3</v>
      </c>
      <c r="F67" s="8">
        <v>3.09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323</v>
      </c>
      <c r="C68" s="12">
        <v>3</v>
      </c>
      <c r="D68" s="8">
        <v>1.46</v>
      </c>
      <c r="E68" s="12">
        <v>2</v>
      </c>
      <c r="F68" s="8">
        <v>2.06</v>
      </c>
      <c r="G68" s="12">
        <v>1</v>
      </c>
      <c r="H68" s="8">
        <v>0.95</v>
      </c>
      <c r="I68" s="12">
        <v>0</v>
      </c>
    </row>
    <row r="69" spans="2:9" ht="15" customHeight="1" x14ac:dyDescent="0.2">
      <c r="B69" t="s">
        <v>391</v>
      </c>
      <c r="C69" s="12">
        <v>3</v>
      </c>
      <c r="D69" s="8">
        <v>1.46</v>
      </c>
      <c r="E69" s="12">
        <v>2</v>
      </c>
      <c r="F69" s="8">
        <v>2.06</v>
      </c>
      <c r="G69" s="12">
        <v>1</v>
      </c>
      <c r="H69" s="8">
        <v>0.95</v>
      </c>
      <c r="I69" s="12">
        <v>0</v>
      </c>
    </row>
    <row r="70" spans="2:9" ht="15" customHeight="1" x14ac:dyDescent="0.2">
      <c r="B70" t="s">
        <v>307</v>
      </c>
      <c r="C70" s="12">
        <v>3</v>
      </c>
      <c r="D70" s="8">
        <v>1.46</v>
      </c>
      <c r="E70" s="12">
        <v>2</v>
      </c>
      <c r="F70" s="8">
        <v>2.06</v>
      </c>
      <c r="G70" s="12">
        <v>1</v>
      </c>
      <c r="H70" s="8">
        <v>0.95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BCBE2-E75D-4C5D-982C-1D3B3F3B3366}">
  <sheetPr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46</v>
      </c>
      <c r="D6" s="8">
        <v>13.29</v>
      </c>
      <c r="E6" s="12">
        <v>14</v>
      </c>
      <c r="F6" s="8">
        <v>7.57</v>
      </c>
      <c r="G6" s="12">
        <v>32</v>
      </c>
      <c r="H6" s="8">
        <v>22.7</v>
      </c>
      <c r="I6" s="12">
        <v>0</v>
      </c>
    </row>
    <row r="7" spans="2:9" ht="15" customHeight="1" x14ac:dyDescent="0.2">
      <c r="B7" t="s">
        <v>192</v>
      </c>
      <c r="C7" s="12">
        <v>28</v>
      </c>
      <c r="D7" s="8">
        <v>8.09</v>
      </c>
      <c r="E7" s="12">
        <v>7</v>
      </c>
      <c r="F7" s="8">
        <v>3.78</v>
      </c>
      <c r="G7" s="12">
        <v>21</v>
      </c>
      <c r="H7" s="8">
        <v>14.89</v>
      </c>
      <c r="I7" s="12">
        <v>0</v>
      </c>
    </row>
    <row r="8" spans="2:9" ht="15" customHeight="1" x14ac:dyDescent="0.2">
      <c r="B8" t="s">
        <v>193</v>
      </c>
      <c r="C8" s="12">
        <v>4</v>
      </c>
      <c r="D8" s="8">
        <v>1.1599999999999999</v>
      </c>
      <c r="E8" s="12">
        <v>0</v>
      </c>
      <c r="F8" s="8">
        <v>0</v>
      </c>
      <c r="G8" s="12">
        <v>3</v>
      </c>
      <c r="H8" s="8">
        <v>2.13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1.45</v>
      </c>
      <c r="E10" s="12">
        <v>1</v>
      </c>
      <c r="F10" s="8">
        <v>0.54</v>
      </c>
      <c r="G10" s="12">
        <v>2</v>
      </c>
      <c r="H10" s="8">
        <v>1.42</v>
      </c>
      <c r="I10" s="12">
        <v>1</v>
      </c>
    </row>
    <row r="11" spans="2:9" ht="15" customHeight="1" x14ac:dyDescent="0.2">
      <c r="B11" t="s">
        <v>196</v>
      </c>
      <c r="C11" s="12">
        <v>78</v>
      </c>
      <c r="D11" s="8">
        <v>22.54</v>
      </c>
      <c r="E11" s="12">
        <v>30</v>
      </c>
      <c r="F11" s="8">
        <v>16.22</v>
      </c>
      <c r="G11" s="12">
        <v>48</v>
      </c>
      <c r="H11" s="8">
        <v>34.04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0.28999999999999998</v>
      </c>
      <c r="E12" s="12">
        <v>1</v>
      </c>
      <c r="F12" s="8">
        <v>0.54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38</v>
      </c>
      <c r="D13" s="8">
        <v>10.98</v>
      </c>
      <c r="E13" s="12">
        <v>30</v>
      </c>
      <c r="F13" s="8">
        <v>16.22</v>
      </c>
      <c r="G13" s="12">
        <v>8</v>
      </c>
      <c r="H13" s="8">
        <v>5.67</v>
      </c>
      <c r="I13" s="12">
        <v>0</v>
      </c>
    </row>
    <row r="14" spans="2:9" ht="15" customHeight="1" x14ac:dyDescent="0.2">
      <c r="B14" t="s">
        <v>199</v>
      </c>
      <c r="C14" s="12">
        <v>9</v>
      </c>
      <c r="D14" s="8">
        <v>2.6</v>
      </c>
      <c r="E14" s="12">
        <v>4</v>
      </c>
      <c r="F14" s="8">
        <v>2.16</v>
      </c>
      <c r="G14" s="12">
        <v>5</v>
      </c>
      <c r="H14" s="8">
        <v>3.55</v>
      </c>
      <c r="I14" s="12">
        <v>0</v>
      </c>
    </row>
    <row r="15" spans="2:9" ht="15" customHeight="1" x14ac:dyDescent="0.2">
      <c r="B15" t="s">
        <v>200</v>
      </c>
      <c r="C15" s="12">
        <v>53</v>
      </c>
      <c r="D15" s="8">
        <v>15.32</v>
      </c>
      <c r="E15" s="12">
        <v>45</v>
      </c>
      <c r="F15" s="8">
        <v>24.32</v>
      </c>
      <c r="G15" s="12">
        <v>8</v>
      </c>
      <c r="H15" s="8">
        <v>5.67</v>
      </c>
      <c r="I15" s="12">
        <v>0</v>
      </c>
    </row>
    <row r="16" spans="2:9" ht="15" customHeight="1" x14ac:dyDescent="0.2">
      <c r="B16" t="s">
        <v>201</v>
      </c>
      <c r="C16" s="12">
        <v>38</v>
      </c>
      <c r="D16" s="8">
        <v>10.98</v>
      </c>
      <c r="E16" s="12">
        <v>31</v>
      </c>
      <c r="F16" s="8">
        <v>16.760000000000002</v>
      </c>
      <c r="G16" s="12">
        <v>3</v>
      </c>
      <c r="H16" s="8">
        <v>2.13</v>
      </c>
      <c r="I16" s="12">
        <v>0</v>
      </c>
    </row>
    <row r="17" spans="2:9" ht="15" customHeight="1" x14ac:dyDescent="0.2">
      <c r="B17" t="s">
        <v>202</v>
      </c>
      <c r="C17" s="12">
        <v>10</v>
      </c>
      <c r="D17" s="8">
        <v>2.89</v>
      </c>
      <c r="E17" s="12">
        <v>7</v>
      </c>
      <c r="F17" s="8">
        <v>3.78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14</v>
      </c>
      <c r="D18" s="8">
        <v>4.05</v>
      </c>
      <c r="E18" s="12">
        <v>4</v>
      </c>
      <c r="F18" s="8">
        <v>2.16</v>
      </c>
      <c r="G18" s="12">
        <v>2</v>
      </c>
      <c r="H18" s="8">
        <v>1.42</v>
      </c>
      <c r="I18" s="12">
        <v>1</v>
      </c>
    </row>
    <row r="19" spans="2:9" ht="15" customHeight="1" x14ac:dyDescent="0.2">
      <c r="B19" t="s">
        <v>204</v>
      </c>
      <c r="C19" s="12">
        <v>22</v>
      </c>
      <c r="D19" s="8">
        <v>6.36</v>
      </c>
      <c r="E19" s="12">
        <v>11</v>
      </c>
      <c r="F19" s="8">
        <v>5.95</v>
      </c>
      <c r="G19" s="12">
        <v>9</v>
      </c>
      <c r="H19" s="8">
        <v>6.38</v>
      </c>
      <c r="I19" s="12">
        <v>1</v>
      </c>
    </row>
    <row r="20" spans="2:9" ht="15" customHeight="1" x14ac:dyDescent="0.2">
      <c r="B20" s="9" t="s">
        <v>529</v>
      </c>
      <c r="C20" s="12">
        <f>SUM(LTBL_01691[総数／事業所数])</f>
        <v>346</v>
      </c>
      <c r="E20" s="12">
        <f>SUBTOTAL(109,LTBL_01691[個人／事業所数])</f>
        <v>185</v>
      </c>
      <c r="G20" s="12">
        <f>SUBTOTAL(109,LTBL_01691[法人／事業所数])</f>
        <v>141</v>
      </c>
      <c r="I20" s="12">
        <f>SUBTOTAL(109,LTBL_01691[法人以外の団体／事業所数])</f>
        <v>3</v>
      </c>
    </row>
    <row r="21" spans="2:9" ht="15" customHeight="1" x14ac:dyDescent="0.2">
      <c r="E21" s="11">
        <f>LTBL_01691[[#Totals],[個人／事業所数]]/LTBL_01691[[#Totals],[総数／事業所数]]</f>
        <v>0.53468208092485547</v>
      </c>
      <c r="G21" s="11">
        <f>LTBL_01691[[#Totals],[法人／事業所数]]/LTBL_01691[[#Totals],[総数／事業所数]]</f>
        <v>0.40751445086705201</v>
      </c>
      <c r="I21" s="11">
        <f>LTBL_01691[[#Totals],[法人以外の団体／事業所数]]/LTBL_01691[[#Totals],[総数／事業所数]]</f>
        <v>8.670520231213872E-3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45</v>
      </c>
      <c r="D24" s="8">
        <v>13.01</v>
      </c>
      <c r="E24" s="12">
        <v>41</v>
      </c>
      <c r="F24" s="8">
        <v>22.16</v>
      </c>
      <c r="G24" s="12">
        <v>4</v>
      </c>
      <c r="H24" s="8">
        <v>2.84</v>
      </c>
      <c r="I24" s="12">
        <v>0</v>
      </c>
    </row>
    <row r="25" spans="2:9" ht="15" customHeight="1" x14ac:dyDescent="0.2">
      <c r="B25" t="s">
        <v>224</v>
      </c>
      <c r="C25" s="12">
        <v>33</v>
      </c>
      <c r="D25" s="8">
        <v>9.5399999999999991</v>
      </c>
      <c r="E25" s="12">
        <v>29</v>
      </c>
      <c r="F25" s="8">
        <v>15.68</v>
      </c>
      <c r="G25" s="12">
        <v>4</v>
      </c>
      <c r="H25" s="8">
        <v>2.84</v>
      </c>
      <c r="I25" s="12">
        <v>0</v>
      </c>
    </row>
    <row r="26" spans="2:9" ht="15" customHeight="1" x14ac:dyDescent="0.2">
      <c r="B26" t="s">
        <v>223</v>
      </c>
      <c r="C26" s="12">
        <v>31</v>
      </c>
      <c r="D26" s="8">
        <v>8.9600000000000009</v>
      </c>
      <c r="E26" s="12">
        <v>8</v>
      </c>
      <c r="F26" s="8">
        <v>4.32</v>
      </c>
      <c r="G26" s="12">
        <v>23</v>
      </c>
      <c r="H26" s="8">
        <v>16.309999999999999</v>
      </c>
      <c r="I26" s="12">
        <v>0</v>
      </c>
    </row>
    <row r="27" spans="2:9" ht="15" customHeight="1" x14ac:dyDescent="0.2">
      <c r="B27" t="s">
        <v>228</v>
      </c>
      <c r="C27" s="12">
        <v>30</v>
      </c>
      <c r="D27" s="8">
        <v>8.67</v>
      </c>
      <c r="E27" s="12">
        <v>28</v>
      </c>
      <c r="F27" s="8">
        <v>15.14</v>
      </c>
      <c r="G27" s="12">
        <v>2</v>
      </c>
      <c r="H27" s="8">
        <v>1.42</v>
      </c>
      <c r="I27" s="12">
        <v>0</v>
      </c>
    </row>
    <row r="28" spans="2:9" ht="15" customHeight="1" x14ac:dyDescent="0.2">
      <c r="B28" t="s">
        <v>213</v>
      </c>
      <c r="C28" s="12">
        <v>27</v>
      </c>
      <c r="D28" s="8">
        <v>7.8</v>
      </c>
      <c r="E28" s="12">
        <v>4</v>
      </c>
      <c r="F28" s="8">
        <v>2.16</v>
      </c>
      <c r="G28" s="12">
        <v>23</v>
      </c>
      <c r="H28" s="8">
        <v>16.309999999999999</v>
      </c>
      <c r="I28" s="12">
        <v>0</v>
      </c>
    </row>
    <row r="29" spans="2:9" ht="15" customHeight="1" x14ac:dyDescent="0.2">
      <c r="B29" t="s">
        <v>221</v>
      </c>
      <c r="C29" s="12">
        <v>17</v>
      </c>
      <c r="D29" s="8">
        <v>4.91</v>
      </c>
      <c r="E29" s="12">
        <v>9</v>
      </c>
      <c r="F29" s="8">
        <v>4.8600000000000003</v>
      </c>
      <c r="G29" s="12">
        <v>8</v>
      </c>
      <c r="H29" s="8">
        <v>5.67</v>
      </c>
      <c r="I29" s="12">
        <v>0</v>
      </c>
    </row>
    <row r="30" spans="2:9" ht="15" customHeight="1" x14ac:dyDescent="0.2">
      <c r="B30" t="s">
        <v>214</v>
      </c>
      <c r="C30" s="12">
        <v>11</v>
      </c>
      <c r="D30" s="8">
        <v>3.18</v>
      </c>
      <c r="E30" s="12">
        <v>7</v>
      </c>
      <c r="F30" s="8">
        <v>3.78</v>
      </c>
      <c r="G30" s="12">
        <v>4</v>
      </c>
      <c r="H30" s="8">
        <v>2.84</v>
      </c>
      <c r="I30" s="12">
        <v>0</v>
      </c>
    </row>
    <row r="31" spans="2:9" ht="15" customHeight="1" x14ac:dyDescent="0.2">
      <c r="B31" t="s">
        <v>230</v>
      </c>
      <c r="C31" s="12">
        <v>10</v>
      </c>
      <c r="D31" s="8">
        <v>2.89</v>
      </c>
      <c r="E31" s="12">
        <v>7</v>
      </c>
      <c r="F31" s="8">
        <v>3.78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232</v>
      </c>
      <c r="C32" s="12">
        <v>9</v>
      </c>
      <c r="D32" s="8">
        <v>2.6</v>
      </c>
      <c r="E32" s="12">
        <v>0</v>
      </c>
      <c r="F32" s="8">
        <v>0</v>
      </c>
      <c r="G32" s="12">
        <v>2</v>
      </c>
      <c r="H32" s="8">
        <v>1.42</v>
      </c>
      <c r="I32" s="12">
        <v>1</v>
      </c>
    </row>
    <row r="33" spans="2:9" ht="15" customHeight="1" x14ac:dyDescent="0.2">
      <c r="B33" t="s">
        <v>215</v>
      </c>
      <c r="C33" s="12">
        <v>8</v>
      </c>
      <c r="D33" s="8">
        <v>2.31</v>
      </c>
      <c r="E33" s="12">
        <v>3</v>
      </c>
      <c r="F33" s="8">
        <v>1.62</v>
      </c>
      <c r="G33" s="12">
        <v>5</v>
      </c>
      <c r="H33" s="8">
        <v>3.55</v>
      </c>
      <c r="I33" s="12">
        <v>0</v>
      </c>
    </row>
    <row r="34" spans="2:9" ht="15" customHeight="1" x14ac:dyDescent="0.2">
      <c r="B34" t="s">
        <v>262</v>
      </c>
      <c r="C34" s="12">
        <v>8</v>
      </c>
      <c r="D34" s="8">
        <v>2.31</v>
      </c>
      <c r="E34" s="12">
        <v>0</v>
      </c>
      <c r="F34" s="8">
        <v>0</v>
      </c>
      <c r="G34" s="12">
        <v>8</v>
      </c>
      <c r="H34" s="8">
        <v>5.67</v>
      </c>
      <c r="I34" s="12">
        <v>0</v>
      </c>
    </row>
    <row r="35" spans="2:9" ht="15" customHeight="1" x14ac:dyDescent="0.2">
      <c r="B35" t="s">
        <v>243</v>
      </c>
      <c r="C35" s="12">
        <v>8</v>
      </c>
      <c r="D35" s="8">
        <v>2.31</v>
      </c>
      <c r="E35" s="12">
        <v>4</v>
      </c>
      <c r="F35" s="8">
        <v>2.16</v>
      </c>
      <c r="G35" s="12">
        <v>4</v>
      </c>
      <c r="H35" s="8">
        <v>2.84</v>
      </c>
      <c r="I35" s="12">
        <v>0</v>
      </c>
    </row>
    <row r="36" spans="2:9" ht="15" customHeight="1" x14ac:dyDescent="0.2">
      <c r="B36" t="s">
        <v>240</v>
      </c>
      <c r="C36" s="12">
        <v>8</v>
      </c>
      <c r="D36" s="8">
        <v>2.31</v>
      </c>
      <c r="E36" s="12">
        <v>7</v>
      </c>
      <c r="F36" s="8">
        <v>3.78</v>
      </c>
      <c r="G36" s="12">
        <v>1</v>
      </c>
      <c r="H36" s="8">
        <v>0.71</v>
      </c>
      <c r="I36" s="12">
        <v>0</v>
      </c>
    </row>
    <row r="37" spans="2:9" ht="15" customHeight="1" x14ac:dyDescent="0.2">
      <c r="B37" t="s">
        <v>219</v>
      </c>
      <c r="C37" s="12">
        <v>7</v>
      </c>
      <c r="D37" s="8">
        <v>2.02</v>
      </c>
      <c r="E37" s="12">
        <v>1</v>
      </c>
      <c r="F37" s="8">
        <v>0.54</v>
      </c>
      <c r="G37" s="12">
        <v>6</v>
      </c>
      <c r="H37" s="8">
        <v>4.26</v>
      </c>
      <c r="I37" s="12">
        <v>0</v>
      </c>
    </row>
    <row r="38" spans="2:9" ht="15" customHeight="1" x14ac:dyDescent="0.2">
      <c r="B38" t="s">
        <v>220</v>
      </c>
      <c r="C38" s="12">
        <v>7</v>
      </c>
      <c r="D38" s="8">
        <v>2.02</v>
      </c>
      <c r="E38" s="12">
        <v>5</v>
      </c>
      <c r="F38" s="8">
        <v>2.7</v>
      </c>
      <c r="G38" s="12">
        <v>2</v>
      </c>
      <c r="H38" s="8">
        <v>1.42</v>
      </c>
      <c r="I38" s="12">
        <v>0</v>
      </c>
    </row>
    <row r="39" spans="2:9" ht="15" customHeight="1" x14ac:dyDescent="0.2">
      <c r="B39" t="s">
        <v>229</v>
      </c>
      <c r="C39" s="12">
        <v>7</v>
      </c>
      <c r="D39" s="8">
        <v>2.02</v>
      </c>
      <c r="E39" s="12">
        <v>2</v>
      </c>
      <c r="F39" s="8">
        <v>1.08</v>
      </c>
      <c r="G39" s="12">
        <v>1</v>
      </c>
      <c r="H39" s="8">
        <v>0.71</v>
      </c>
      <c r="I39" s="12">
        <v>0</v>
      </c>
    </row>
    <row r="40" spans="2:9" ht="15" customHeight="1" x14ac:dyDescent="0.2">
      <c r="B40" t="s">
        <v>241</v>
      </c>
      <c r="C40" s="12">
        <v>5</v>
      </c>
      <c r="D40" s="8">
        <v>1.45</v>
      </c>
      <c r="E40" s="12">
        <v>1</v>
      </c>
      <c r="F40" s="8">
        <v>0.54</v>
      </c>
      <c r="G40" s="12">
        <v>4</v>
      </c>
      <c r="H40" s="8">
        <v>2.84</v>
      </c>
      <c r="I40" s="12">
        <v>0</v>
      </c>
    </row>
    <row r="41" spans="2:9" ht="15" customHeight="1" x14ac:dyDescent="0.2">
      <c r="B41" t="s">
        <v>216</v>
      </c>
      <c r="C41" s="12">
        <v>5</v>
      </c>
      <c r="D41" s="8">
        <v>1.45</v>
      </c>
      <c r="E41" s="12">
        <v>4</v>
      </c>
      <c r="F41" s="8">
        <v>2.16</v>
      </c>
      <c r="G41" s="12">
        <v>1</v>
      </c>
      <c r="H41" s="8">
        <v>0.71</v>
      </c>
      <c r="I41" s="12">
        <v>0</v>
      </c>
    </row>
    <row r="42" spans="2:9" ht="15" customHeight="1" x14ac:dyDescent="0.2">
      <c r="B42" t="s">
        <v>222</v>
      </c>
      <c r="C42" s="12">
        <v>5</v>
      </c>
      <c r="D42" s="8">
        <v>1.45</v>
      </c>
      <c r="E42" s="12">
        <v>3</v>
      </c>
      <c r="F42" s="8">
        <v>1.62</v>
      </c>
      <c r="G42" s="12">
        <v>2</v>
      </c>
      <c r="H42" s="8">
        <v>1.42</v>
      </c>
      <c r="I42" s="12">
        <v>0</v>
      </c>
    </row>
    <row r="43" spans="2:9" ht="15" customHeight="1" x14ac:dyDescent="0.2">
      <c r="B43" t="s">
        <v>226</v>
      </c>
      <c r="C43" s="12">
        <v>5</v>
      </c>
      <c r="D43" s="8">
        <v>1.45</v>
      </c>
      <c r="E43" s="12">
        <v>2</v>
      </c>
      <c r="F43" s="8">
        <v>1.08</v>
      </c>
      <c r="G43" s="12">
        <v>3</v>
      </c>
      <c r="H43" s="8">
        <v>2.13</v>
      </c>
      <c r="I43" s="12">
        <v>0</v>
      </c>
    </row>
    <row r="44" spans="2:9" ht="15" customHeight="1" x14ac:dyDescent="0.2">
      <c r="B44" t="s">
        <v>231</v>
      </c>
      <c r="C44" s="12">
        <v>5</v>
      </c>
      <c r="D44" s="8">
        <v>1.45</v>
      </c>
      <c r="E44" s="12">
        <v>4</v>
      </c>
      <c r="F44" s="8">
        <v>2.16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242</v>
      </c>
      <c r="C45" s="12">
        <v>5</v>
      </c>
      <c r="D45" s="8">
        <v>1.45</v>
      </c>
      <c r="E45" s="12">
        <v>4</v>
      </c>
      <c r="F45" s="8">
        <v>2.16</v>
      </c>
      <c r="G45" s="12">
        <v>1</v>
      </c>
      <c r="H45" s="8">
        <v>0.71</v>
      </c>
      <c r="I45" s="12">
        <v>0</v>
      </c>
    </row>
    <row r="46" spans="2:9" ht="15" customHeight="1" x14ac:dyDescent="0.2">
      <c r="B46" t="s">
        <v>234</v>
      </c>
      <c r="C46" s="12">
        <v>5</v>
      </c>
      <c r="D46" s="8">
        <v>1.45</v>
      </c>
      <c r="E46" s="12">
        <v>0</v>
      </c>
      <c r="F46" s="8">
        <v>0</v>
      </c>
      <c r="G46" s="12">
        <v>5</v>
      </c>
      <c r="H46" s="8">
        <v>3.55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297</v>
      </c>
      <c r="C50" s="12">
        <v>33</v>
      </c>
      <c r="D50" s="8">
        <v>9.5399999999999991</v>
      </c>
      <c r="E50" s="12">
        <v>29</v>
      </c>
      <c r="F50" s="8">
        <v>15.68</v>
      </c>
      <c r="G50" s="12">
        <v>4</v>
      </c>
      <c r="H50" s="8">
        <v>2.84</v>
      </c>
      <c r="I50" s="12">
        <v>0</v>
      </c>
    </row>
    <row r="51" spans="2:9" ht="15" customHeight="1" x14ac:dyDescent="0.2">
      <c r="B51" t="s">
        <v>303</v>
      </c>
      <c r="C51" s="12">
        <v>15</v>
      </c>
      <c r="D51" s="8">
        <v>4.34</v>
      </c>
      <c r="E51" s="12">
        <v>15</v>
      </c>
      <c r="F51" s="8">
        <v>8.11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304</v>
      </c>
      <c r="C52" s="12">
        <v>13</v>
      </c>
      <c r="D52" s="8">
        <v>3.76</v>
      </c>
      <c r="E52" s="12">
        <v>13</v>
      </c>
      <c r="F52" s="8">
        <v>7.03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330</v>
      </c>
      <c r="C53" s="12">
        <v>12</v>
      </c>
      <c r="D53" s="8">
        <v>3.47</v>
      </c>
      <c r="E53" s="12">
        <v>1</v>
      </c>
      <c r="F53" s="8">
        <v>0.54</v>
      </c>
      <c r="G53" s="12">
        <v>11</v>
      </c>
      <c r="H53" s="8">
        <v>7.8</v>
      </c>
      <c r="I53" s="12">
        <v>0</v>
      </c>
    </row>
    <row r="54" spans="2:9" ht="15" customHeight="1" x14ac:dyDescent="0.2">
      <c r="B54" t="s">
        <v>301</v>
      </c>
      <c r="C54" s="12">
        <v>12</v>
      </c>
      <c r="D54" s="8">
        <v>3.47</v>
      </c>
      <c r="E54" s="12">
        <v>11</v>
      </c>
      <c r="F54" s="8">
        <v>5.95</v>
      </c>
      <c r="G54" s="12">
        <v>1</v>
      </c>
      <c r="H54" s="8">
        <v>0.71</v>
      </c>
      <c r="I54" s="12">
        <v>0</v>
      </c>
    </row>
    <row r="55" spans="2:9" ht="15" customHeight="1" x14ac:dyDescent="0.2">
      <c r="B55" t="s">
        <v>289</v>
      </c>
      <c r="C55" s="12">
        <v>11</v>
      </c>
      <c r="D55" s="8">
        <v>3.18</v>
      </c>
      <c r="E55" s="12">
        <v>0</v>
      </c>
      <c r="F55" s="8">
        <v>0</v>
      </c>
      <c r="G55" s="12">
        <v>11</v>
      </c>
      <c r="H55" s="8">
        <v>7.8</v>
      </c>
      <c r="I55" s="12">
        <v>0</v>
      </c>
    </row>
    <row r="56" spans="2:9" ht="15" customHeight="1" x14ac:dyDescent="0.2">
      <c r="B56" t="s">
        <v>334</v>
      </c>
      <c r="C56" s="12">
        <v>11</v>
      </c>
      <c r="D56" s="8">
        <v>3.18</v>
      </c>
      <c r="E56" s="12">
        <v>10</v>
      </c>
      <c r="F56" s="8">
        <v>5.41</v>
      </c>
      <c r="G56" s="12">
        <v>1</v>
      </c>
      <c r="H56" s="8">
        <v>0.71</v>
      </c>
      <c r="I56" s="12">
        <v>0</v>
      </c>
    </row>
    <row r="57" spans="2:9" ht="15" customHeight="1" x14ac:dyDescent="0.2">
      <c r="B57" t="s">
        <v>300</v>
      </c>
      <c r="C57" s="12">
        <v>9</v>
      </c>
      <c r="D57" s="8">
        <v>2.6</v>
      </c>
      <c r="E57" s="12">
        <v>8</v>
      </c>
      <c r="F57" s="8">
        <v>4.32</v>
      </c>
      <c r="G57" s="12">
        <v>1</v>
      </c>
      <c r="H57" s="8">
        <v>0.71</v>
      </c>
      <c r="I57" s="12">
        <v>0</v>
      </c>
    </row>
    <row r="58" spans="2:9" ht="15" customHeight="1" x14ac:dyDescent="0.2">
      <c r="B58" t="s">
        <v>378</v>
      </c>
      <c r="C58" s="12">
        <v>8</v>
      </c>
      <c r="D58" s="8">
        <v>2.31</v>
      </c>
      <c r="E58" s="12">
        <v>0</v>
      </c>
      <c r="F58" s="8">
        <v>0</v>
      </c>
      <c r="G58" s="12">
        <v>8</v>
      </c>
      <c r="H58" s="8">
        <v>5.67</v>
      </c>
      <c r="I58" s="12">
        <v>0</v>
      </c>
    </row>
    <row r="59" spans="2:9" ht="15" customHeight="1" x14ac:dyDescent="0.2">
      <c r="B59" t="s">
        <v>307</v>
      </c>
      <c r="C59" s="12">
        <v>8</v>
      </c>
      <c r="D59" s="8">
        <v>2.31</v>
      </c>
      <c r="E59" s="12">
        <v>7</v>
      </c>
      <c r="F59" s="8">
        <v>3.78</v>
      </c>
      <c r="G59" s="12">
        <v>1</v>
      </c>
      <c r="H59" s="8">
        <v>0.71</v>
      </c>
      <c r="I59" s="12">
        <v>0</v>
      </c>
    </row>
    <row r="60" spans="2:9" ht="15" customHeight="1" x14ac:dyDescent="0.2">
      <c r="B60" t="s">
        <v>309</v>
      </c>
      <c r="C60" s="12">
        <v>7</v>
      </c>
      <c r="D60" s="8">
        <v>2.02</v>
      </c>
      <c r="E60" s="12">
        <v>1</v>
      </c>
      <c r="F60" s="8">
        <v>0.54</v>
      </c>
      <c r="G60" s="12">
        <v>6</v>
      </c>
      <c r="H60" s="8">
        <v>4.26</v>
      </c>
      <c r="I60" s="12">
        <v>0</v>
      </c>
    </row>
    <row r="61" spans="2:9" ht="15" customHeight="1" x14ac:dyDescent="0.2">
      <c r="B61" t="s">
        <v>292</v>
      </c>
      <c r="C61" s="12">
        <v>7</v>
      </c>
      <c r="D61" s="8">
        <v>2.02</v>
      </c>
      <c r="E61" s="12">
        <v>4</v>
      </c>
      <c r="F61" s="8">
        <v>2.16</v>
      </c>
      <c r="G61" s="12">
        <v>3</v>
      </c>
      <c r="H61" s="8">
        <v>2.13</v>
      </c>
      <c r="I61" s="12">
        <v>0</v>
      </c>
    </row>
    <row r="62" spans="2:9" ht="15" customHeight="1" x14ac:dyDescent="0.2">
      <c r="B62" t="s">
        <v>341</v>
      </c>
      <c r="C62" s="12">
        <v>7</v>
      </c>
      <c r="D62" s="8">
        <v>2.02</v>
      </c>
      <c r="E62" s="12">
        <v>0</v>
      </c>
      <c r="F62" s="8">
        <v>0</v>
      </c>
      <c r="G62" s="12">
        <v>1</v>
      </c>
      <c r="H62" s="8">
        <v>0.71</v>
      </c>
      <c r="I62" s="12">
        <v>0</v>
      </c>
    </row>
    <row r="63" spans="2:9" ht="15" customHeight="1" x14ac:dyDescent="0.2">
      <c r="B63" t="s">
        <v>288</v>
      </c>
      <c r="C63" s="12">
        <v>6</v>
      </c>
      <c r="D63" s="8">
        <v>1.73</v>
      </c>
      <c r="E63" s="12">
        <v>0</v>
      </c>
      <c r="F63" s="8">
        <v>0</v>
      </c>
      <c r="G63" s="12">
        <v>6</v>
      </c>
      <c r="H63" s="8">
        <v>4.26</v>
      </c>
      <c r="I63" s="12">
        <v>0</v>
      </c>
    </row>
    <row r="64" spans="2:9" ht="15" customHeight="1" x14ac:dyDescent="0.2">
      <c r="B64" t="s">
        <v>328</v>
      </c>
      <c r="C64" s="12">
        <v>6</v>
      </c>
      <c r="D64" s="8">
        <v>1.73</v>
      </c>
      <c r="E64" s="12">
        <v>3</v>
      </c>
      <c r="F64" s="8">
        <v>1.62</v>
      </c>
      <c r="G64" s="12">
        <v>3</v>
      </c>
      <c r="H64" s="8">
        <v>2.13</v>
      </c>
      <c r="I64" s="12">
        <v>0</v>
      </c>
    </row>
    <row r="65" spans="2:9" ht="15" customHeight="1" x14ac:dyDescent="0.2">
      <c r="B65" t="s">
        <v>295</v>
      </c>
      <c r="C65" s="12">
        <v>6</v>
      </c>
      <c r="D65" s="8">
        <v>1.73</v>
      </c>
      <c r="E65" s="12">
        <v>2</v>
      </c>
      <c r="F65" s="8">
        <v>1.08</v>
      </c>
      <c r="G65" s="12">
        <v>4</v>
      </c>
      <c r="H65" s="8">
        <v>2.84</v>
      </c>
      <c r="I65" s="12">
        <v>0</v>
      </c>
    </row>
    <row r="66" spans="2:9" ht="15" customHeight="1" x14ac:dyDescent="0.2">
      <c r="B66" t="s">
        <v>305</v>
      </c>
      <c r="C66" s="12">
        <v>6</v>
      </c>
      <c r="D66" s="8">
        <v>1.73</v>
      </c>
      <c r="E66" s="12">
        <v>6</v>
      </c>
      <c r="F66" s="8">
        <v>3.24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342</v>
      </c>
      <c r="C67" s="12">
        <v>5</v>
      </c>
      <c r="D67" s="8">
        <v>1.45</v>
      </c>
      <c r="E67" s="12">
        <v>1</v>
      </c>
      <c r="F67" s="8">
        <v>0.54</v>
      </c>
      <c r="G67" s="12">
        <v>4</v>
      </c>
      <c r="H67" s="8">
        <v>2.84</v>
      </c>
      <c r="I67" s="12">
        <v>0</v>
      </c>
    </row>
    <row r="68" spans="2:9" ht="15" customHeight="1" x14ac:dyDescent="0.2">
      <c r="B68" t="s">
        <v>324</v>
      </c>
      <c r="C68" s="12">
        <v>5</v>
      </c>
      <c r="D68" s="8">
        <v>1.45</v>
      </c>
      <c r="E68" s="12">
        <v>4</v>
      </c>
      <c r="F68" s="8">
        <v>2.16</v>
      </c>
      <c r="G68" s="12">
        <v>1</v>
      </c>
      <c r="H68" s="8">
        <v>0.71</v>
      </c>
      <c r="I68" s="12">
        <v>0</v>
      </c>
    </row>
    <row r="69" spans="2:9" ht="15" customHeight="1" x14ac:dyDescent="0.2">
      <c r="B69" t="s">
        <v>339</v>
      </c>
      <c r="C69" s="12">
        <v>5</v>
      </c>
      <c r="D69" s="8">
        <v>1.45</v>
      </c>
      <c r="E69" s="12">
        <v>3</v>
      </c>
      <c r="F69" s="8">
        <v>1.62</v>
      </c>
      <c r="G69" s="12">
        <v>2</v>
      </c>
      <c r="H69" s="8">
        <v>1.42</v>
      </c>
      <c r="I69" s="12">
        <v>0</v>
      </c>
    </row>
    <row r="70" spans="2:9" ht="15" customHeight="1" x14ac:dyDescent="0.2">
      <c r="B70" t="s">
        <v>299</v>
      </c>
      <c r="C70" s="12">
        <v>5</v>
      </c>
      <c r="D70" s="8">
        <v>1.45</v>
      </c>
      <c r="E70" s="12">
        <v>5</v>
      </c>
      <c r="F70" s="8">
        <v>2.7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302</v>
      </c>
      <c r="C71" s="12">
        <v>5</v>
      </c>
      <c r="D71" s="8">
        <v>1.45</v>
      </c>
      <c r="E71" s="12">
        <v>4</v>
      </c>
      <c r="F71" s="8">
        <v>2.16</v>
      </c>
      <c r="G71" s="12">
        <v>1</v>
      </c>
      <c r="H71" s="8">
        <v>0.71</v>
      </c>
      <c r="I71" s="12">
        <v>0</v>
      </c>
    </row>
    <row r="73" spans="2:9" ht="15" customHeight="1" x14ac:dyDescent="0.2">
      <c r="B7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26B33-8EF6-48EC-9842-86FFDB940988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719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117</v>
      </c>
      <c r="D6" s="8">
        <v>14.18</v>
      </c>
      <c r="E6" s="12">
        <v>42</v>
      </c>
      <c r="F6" s="8">
        <v>9.0299999999999994</v>
      </c>
      <c r="G6" s="12">
        <v>75</v>
      </c>
      <c r="H6" s="8">
        <v>21.49</v>
      </c>
      <c r="I6" s="12">
        <v>0</v>
      </c>
    </row>
    <row r="7" spans="2:9" ht="15" customHeight="1" x14ac:dyDescent="0.2">
      <c r="B7" t="s">
        <v>192</v>
      </c>
      <c r="C7" s="12">
        <v>45</v>
      </c>
      <c r="D7" s="8">
        <v>5.45</v>
      </c>
      <c r="E7" s="12">
        <v>13</v>
      </c>
      <c r="F7" s="8">
        <v>2.8</v>
      </c>
      <c r="G7" s="12">
        <v>31</v>
      </c>
      <c r="H7" s="8">
        <v>8.8800000000000008</v>
      </c>
      <c r="I7" s="12">
        <v>1</v>
      </c>
    </row>
    <row r="8" spans="2:9" ht="15" customHeight="1" x14ac:dyDescent="0.2">
      <c r="B8" t="s">
        <v>193</v>
      </c>
      <c r="C8" s="12">
        <v>3</v>
      </c>
      <c r="D8" s="8">
        <v>0.36</v>
      </c>
      <c r="E8" s="12">
        <v>0</v>
      </c>
      <c r="F8" s="8">
        <v>0</v>
      </c>
      <c r="G8" s="12">
        <v>2</v>
      </c>
      <c r="H8" s="8">
        <v>0.56999999999999995</v>
      </c>
      <c r="I8" s="12">
        <v>0</v>
      </c>
    </row>
    <row r="9" spans="2:9" ht="15" customHeight="1" x14ac:dyDescent="0.2">
      <c r="B9" t="s">
        <v>194</v>
      </c>
      <c r="C9" s="12">
        <v>5</v>
      </c>
      <c r="D9" s="8">
        <v>0.61</v>
      </c>
      <c r="E9" s="12">
        <v>2</v>
      </c>
      <c r="F9" s="8">
        <v>0.43</v>
      </c>
      <c r="G9" s="12">
        <v>3</v>
      </c>
      <c r="H9" s="8">
        <v>0.86</v>
      </c>
      <c r="I9" s="12">
        <v>0</v>
      </c>
    </row>
    <row r="10" spans="2:9" ht="15" customHeight="1" x14ac:dyDescent="0.2">
      <c r="B10" t="s">
        <v>195</v>
      </c>
      <c r="C10" s="12">
        <v>13</v>
      </c>
      <c r="D10" s="8">
        <v>1.58</v>
      </c>
      <c r="E10" s="12">
        <v>2</v>
      </c>
      <c r="F10" s="8">
        <v>0.43</v>
      </c>
      <c r="G10" s="12">
        <v>11</v>
      </c>
      <c r="H10" s="8">
        <v>3.15</v>
      </c>
      <c r="I10" s="12">
        <v>0</v>
      </c>
    </row>
    <row r="11" spans="2:9" ht="15" customHeight="1" x14ac:dyDescent="0.2">
      <c r="B11" t="s">
        <v>196</v>
      </c>
      <c r="C11" s="12">
        <v>204</v>
      </c>
      <c r="D11" s="8">
        <v>24.73</v>
      </c>
      <c r="E11" s="12">
        <v>76</v>
      </c>
      <c r="F11" s="8">
        <v>16.34</v>
      </c>
      <c r="G11" s="12">
        <v>128</v>
      </c>
      <c r="H11" s="8">
        <v>36.68</v>
      </c>
      <c r="I11" s="12">
        <v>0</v>
      </c>
    </row>
    <row r="12" spans="2:9" ht="15" customHeight="1" x14ac:dyDescent="0.2">
      <c r="B12" t="s">
        <v>197</v>
      </c>
      <c r="C12" s="12">
        <v>11</v>
      </c>
      <c r="D12" s="8">
        <v>1.33</v>
      </c>
      <c r="E12" s="12">
        <v>3</v>
      </c>
      <c r="F12" s="8">
        <v>0.65</v>
      </c>
      <c r="G12" s="12">
        <v>8</v>
      </c>
      <c r="H12" s="8">
        <v>2.29</v>
      </c>
      <c r="I12" s="12">
        <v>0</v>
      </c>
    </row>
    <row r="13" spans="2:9" ht="15" customHeight="1" x14ac:dyDescent="0.2">
      <c r="B13" t="s">
        <v>198</v>
      </c>
      <c r="C13" s="12">
        <v>77</v>
      </c>
      <c r="D13" s="8">
        <v>9.33</v>
      </c>
      <c r="E13" s="12">
        <v>55</v>
      </c>
      <c r="F13" s="8">
        <v>11.83</v>
      </c>
      <c r="G13" s="12">
        <v>21</v>
      </c>
      <c r="H13" s="8">
        <v>6.02</v>
      </c>
      <c r="I13" s="12">
        <v>0</v>
      </c>
    </row>
    <row r="14" spans="2:9" ht="15" customHeight="1" x14ac:dyDescent="0.2">
      <c r="B14" t="s">
        <v>199</v>
      </c>
      <c r="C14" s="12">
        <v>36</v>
      </c>
      <c r="D14" s="8">
        <v>4.3600000000000003</v>
      </c>
      <c r="E14" s="12">
        <v>17</v>
      </c>
      <c r="F14" s="8">
        <v>3.66</v>
      </c>
      <c r="G14" s="12">
        <v>17</v>
      </c>
      <c r="H14" s="8">
        <v>4.87</v>
      </c>
      <c r="I14" s="12">
        <v>0</v>
      </c>
    </row>
    <row r="15" spans="2:9" ht="15" customHeight="1" x14ac:dyDescent="0.2">
      <c r="B15" t="s">
        <v>200</v>
      </c>
      <c r="C15" s="12">
        <v>123</v>
      </c>
      <c r="D15" s="8">
        <v>14.91</v>
      </c>
      <c r="E15" s="12">
        <v>110</v>
      </c>
      <c r="F15" s="8">
        <v>23.66</v>
      </c>
      <c r="G15" s="12">
        <v>13</v>
      </c>
      <c r="H15" s="8">
        <v>3.72</v>
      </c>
      <c r="I15" s="12">
        <v>0</v>
      </c>
    </row>
    <row r="16" spans="2:9" ht="15" customHeight="1" x14ac:dyDescent="0.2">
      <c r="B16" t="s">
        <v>201</v>
      </c>
      <c r="C16" s="12">
        <v>110</v>
      </c>
      <c r="D16" s="8">
        <v>13.33</v>
      </c>
      <c r="E16" s="12">
        <v>93</v>
      </c>
      <c r="F16" s="8">
        <v>20</v>
      </c>
      <c r="G16" s="12">
        <v>16</v>
      </c>
      <c r="H16" s="8">
        <v>4.58</v>
      </c>
      <c r="I16" s="12">
        <v>0</v>
      </c>
    </row>
    <row r="17" spans="2:9" ht="15" customHeight="1" x14ac:dyDescent="0.2">
      <c r="B17" t="s">
        <v>202</v>
      </c>
      <c r="C17" s="12">
        <v>25</v>
      </c>
      <c r="D17" s="8">
        <v>3.03</v>
      </c>
      <c r="E17" s="12">
        <v>19</v>
      </c>
      <c r="F17" s="8">
        <v>4.09</v>
      </c>
      <c r="G17" s="12">
        <v>4</v>
      </c>
      <c r="H17" s="8">
        <v>1.1499999999999999</v>
      </c>
      <c r="I17" s="12">
        <v>1</v>
      </c>
    </row>
    <row r="18" spans="2:9" ht="15" customHeight="1" x14ac:dyDescent="0.2">
      <c r="B18" t="s">
        <v>203</v>
      </c>
      <c r="C18" s="12">
        <v>31</v>
      </c>
      <c r="D18" s="8">
        <v>3.76</v>
      </c>
      <c r="E18" s="12">
        <v>22</v>
      </c>
      <c r="F18" s="8">
        <v>4.7300000000000004</v>
      </c>
      <c r="G18" s="12">
        <v>9</v>
      </c>
      <c r="H18" s="8">
        <v>2.58</v>
      </c>
      <c r="I18" s="12">
        <v>0</v>
      </c>
    </row>
    <row r="19" spans="2:9" ht="15" customHeight="1" x14ac:dyDescent="0.2">
      <c r="B19" t="s">
        <v>204</v>
      </c>
      <c r="C19" s="12">
        <v>25</v>
      </c>
      <c r="D19" s="8">
        <v>3.03</v>
      </c>
      <c r="E19" s="12">
        <v>11</v>
      </c>
      <c r="F19" s="8">
        <v>2.37</v>
      </c>
      <c r="G19" s="12">
        <v>11</v>
      </c>
      <c r="H19" s="8">
        <v>3.15</v>
      </c>
      <c r="I19" s="12">
        <v>1</v>
      </c>
    </row>
    <row r="20" spans="2:9" ht="15" customHeight="1" x14ac:dyDescent="0.2">
      <c r="B20" s="9" t="s">
        <v>529</v>
      </c>
      <c r="C20" s="12">
        <f>SUM(LTBL_01692[総数／事業所数])</f>
        <v>825</v>
      </c>
      <c r="E20" s="12">
        <f>SUBTOTAL(109,LTBL_01692[個人／事業所数])</f>
        <v>465</v>
      </c>
      <c r="G20" s="12">
        <f>SUBTOTAL(109,LTBL_01692[法人／事業所数])</f>
        <v>349</v>
      </c>
      <c r="I20" s="12">
        <f>SUBTOTAL(109,LTBL_01692[法人以外の団体／事業所数])</f>
        <v>3</v>
      </c>
    </row>
    <row r="21" spans="2:9" ht="15" customHeight="1" x14ac:dyDescent="0.2">
      <c r="E21" s="11">
        <f>LTBL_01692[[#Totals],[個人／事業所数]]/LTBL_01692[[#Totals],[総数／事業所数]]</f>
        <v>0.5636363636363636</v>
      </c>
      <c r="G21" s="11">
        <f>LTBL_01692[[#Totals],[法人／事業所数]]/LTBL_01692[[#Totals],[総数／事業所数]]</f>
        <v>0.42303030303030303</v>
      </c>
      <c r="I21" s="11">
        <f>LTBL_01692[[#Totals],[法人以外の団体／事業所数]]/LTBL_01692[[#Totals],[総数／事業所数]]</f>
        <v>3.6363636363636364E-3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107</v>
      </c>
      <c r="D24" s="8">
        <v>12.97</v>
      </c>
      <c r="E24" s="12">
        <v>96</v>
      </c>
      <c r="F24" s="8">
        <v>20.65</v>
      </c>
      <c r="G24" s="12">
        <v>11</v>
      </c>
      <c r="H24" s="8">
        <v>3.15</v>
      </c>
      <c r="I24" s="12">
        <v>0</v>
      </c>
    </row>
    <row r="25" spans="2:9" ht="15" customHeight="1" x14ac:dyDescent="0.2">
      <c r="B25" t="s">
        <v>228</v>
      </c>
      <c r="C25" s="12">
        <v>92</v>
      </c>
      <c r="D25" s="8">
        <v>11.15</v>
      </c>
      <c r="E25" s="12">
        <v>83</v>
      </c>
      <c r="F25" s="8">
        <v>17.850000000000001</v>
      </c>
      <c r="G25" s="12">
        <v>9</v>
      </c>
      <c r="H25" s="8">
        <v>2.58</v>
      </c>
      <c r="I25" s="12">
        <v>0</v>
      </c>
    </row>
    <row r="26" spans="2:9" ht="15" customHeight="1" x14ac:dyDescent="0.2">
      <c r="B26" t="s">
        <v>224</v>
      </c>
      <c r="C26" s="12">
        <v>67</v>
      </c>
      <c r="D26" s="8">
        <v>8.1199999999999992</v>
      </c>
      <c r="E26" s="12">
        <v>51</v>
      </c>
      <c r="F26" s="8">
        <v>10.97</v>
      </c>
      <c r="G26" s="12">
        <v>15</v>
      </c>
      <c r="H26" s="8">
        <v>4.3</v>
      </c>
      <c r="I26" s="12">
        <v>0</v>
      </c>
    </row>
    <row r="27" spans="2:9" ht="15" customHeight="1" x14ac:dyDescent="0.2">
      <c r="B27" t="s">
        <v>214</v>
      </c>
      <c r="C27" s="12">
        <v>45</v>
      </c>
      <c r="D27" s="8">
        <v>5.45</v>
      </c>
      <c r="E27" s="12">
        <v>23</v>
      </c>
      <c r="F27" s="8">
        <v>4.95</v>
      </c>
      <c r="G27" s="12">
        <v>22</v>
      </c>
      <c r="H27" s="8">
        <v>6.3</v>
      </c>
      <c r="I27" s="12">
        <v>0</v>
      </c>
    </row>
    <row r="28" spans="2:9" ht="15" customHeight="1" x14ac:dyDescent="0.2">
      <c r="B28" t="s">
        <v>223</v>
      </c>
      <c r="C28" s="12">
        <v>45</v>
      </c>
      <c r="D28" s="8">
        <v>5.45</v>
      </c>
      <c r="E28" s="12">
        <v>16</v>
      </c>
      <c r="F28" s="8">
        <v>3.44</v>
      </c>
      <c r="G28" s="12">
        <v>29</v>
      </c>
      <c r="H28" s="8">
        <v>8.31</v>
      </c>
      <c r="I28" s="12">
        <v>0</v>
      </c>
    </row>
    <row r="29" spans="2:9" ht="15" customHeight="1" x14ac:dyDescent="0.2">
      <c r="B29" t="s">
        <v>213</v>
      </c>
      <c r="C29" s="12">
        <v>42</v>
      </c>
      <c r="D29" s="8">
        <v>5.09</v>
      </c>
      <c r="E29" s="12">
        <v>10</v>
      </c>
      <c r="F29" s="8">
        <v>2.15</v>
      </c>
      <c r="G29" s="12">
        <v>32</v>
      </c>
      <c r="H29" s="8">
        <v>9.17</v>
      </c>
      <c r="I29" s="12">
        <v>0</v>
      </c>
    </row>
    <row r="30" spans="2:9" ht="15" customHeight="1" x14ac:dyDescent="0.2">
      <c r="B30" t="s">
        <v>222</v>
      </c>
      <c r="C30" s="12">
        <v>40</v>
      </c>
      <c r="D30" s="8">
        <v>4.8499999999999996</v>
      </c>
      <c r="E30" s="12">
        <v>21</v>
      </c>
      <c r="F30" s="8">
        <v>4.5199999999999996</v>
      </c>
      <c r="G30" s="12">
        <v>19</v>
      </c>
      <c r="H30" s="8">
        <v>5.44</v>
      </c>
      <c r="I30" s="12">
        <v>0</v>
      </c>
    </row>
    <row r="31" spans="2:9" ht="15" customHeight="1" x14ac:dyDescent="0.2">
      <c r="B31" t="s">
        <v>221</v>
      </c>
      <c r="C31" s="12">
        <v>34</v>
      </c>
      <c r="D31" s="8">
        <v>4.12</v>
      </c>
      <c r="E31" s="12">
        <v>19</v>
      </c>
      <c r="F31" s="8">
        <v>4.09</v>
      </c>
      <c r="G31" s="12">
        <v>15</v>
      </c>
      <c r="H31" s="8">
        <v>4.3</v>
      </c>
      <c r="I31" s="12">
        <v>0</v>
      </c>
    </row>
    <row r="32" spans="2:9" ht="15" customHeight="1" x14ac:dyDescent="0.2">
      <c r="B32" t="s">
        <v>215</v>
      </c>
      <c r="C32" s="12">
        <v>30</v>
      </c>
      <c r="D32" s="8">
        <v>3.64</v>
      </c>
      <c r="E32" s="12">
        <v>9</v>
      </c>
      <c r="F32" s="8">
        <v>1.94</v>
      </c>
      <c r="G32" s="12">
        <v>21</v>
      </c>
      <c r="H32" s="8">
        <v>6.02</v>
      </c>
      <c r="I32" s="12">
        <v>0</v>
      </c>
    </row>
    <row r="33" spans="2:9" ht="15" customHeight="1" x14ac:dyDescent="0.2">
      <c r="B33" t="s">
        <v>230</v>
      </c>
      <c r="C33" s="12">
        <v>25</v>
      </c>
      <c r="D33" s="8">
        <v>3.03</v>
      </c>
      <c r="E33" s="12">
        <v>19</v>
      </c>
      <c r="F33" s="8">
        <v>4.09</v>
      </c>
      <c r="G33" s="12">
        <v>4</v>
      </c>
      <c r="H33" s="8">
        <v>1.1499999999999999</v>
      </c>
      <c r="I33" s="12">
        <v>1</v>
      </c>
    </row>
    <row r="34" spans="2:9" ht="15" customHeight="1" x14ac:dyDescent="0.2">
      <c r="B34" t="s">
        <v>231</v>
      </c>
      <c r="C34" s="12">
        <v>25</v>
      </c>
      <c r="D34" s="8">
        <v>3.03</v>
      </c>
      <c r="E34" s="12">
        <v>21</v>
      </c>
      <c r="F34" s="8">
        <v>4.5199999999999996</v>
      </c>
      <c r="G34" s="12">
        <v>4</v>
      </c>
      <c r="H34" s="8">
        <v>1.1499999999999999</v>
      </c>
      <c r="I34" s="12">
        <v>0</v>
      </c>
    </row>
    <row r="35" spans="2:9" ht="15" customHeight="1" x14ac:dyDescent="0.2">
      <c r="B35" t="s">
        <v>220</v>
      </c>
      <c r="C35" s="12">
        <v>22</v>
      </c>
      <c r="D35" s="8">
        <v>2.67</v>
      </c>
      <c r="E35" s="12">
        <v>9</v>
      </c>
      <c r="F35" s="8">
        <v>1.94</v>
      </c>
      <c r="G35" s="12">
        <v>13</v>
      </c>
      <c r="H35" s="8">
        <v>3.72</v>
      </c>
      <c r="I35" s="12">
        <v>0</v>
      </c>
    </row>
    <row r="36" spans="2:9" ht="15" customHeight="1" x14ac:dyDescent="0.2">
      <c r="B36" t="s">
        <v>217</v>
      </c>
      <c r="C36" s="12">
        <v>18</v>
      </c>
      <c r="D36" s="8">
        <v>2.1800000000000002</v>
      </c>
      <c r="E36" s="12">
        <v>2</v>
      </c>
      <c r="F36" s="8">
        <v>0.43</v>
      </c>
      <c r="G36" s="12">
        <v>16</v>
      </c>
      <c r="H36" s="8">
        <v>4.58</v>
      </c>
      <c r="I36" s="12">
        <v>0</v>
      </c>
    </row>
    <row r="37" spans="2:9" ht="15" customHeight="1" x14ac:dyDescent="0.2">
      <c r="B37" t="s">
        <v>225</v>
      </c>
      <c r="C37" s="12">
        <v>18</v>
      </c>
      <c r="D37" s="8">
        <v>2.1800000000000002</v>
      </c>
      <c r="E37" s="12">
        <v>11</v>
      </c>
      <c r="F37" s="8">
        <v>2.37</v>
      </c>
      <c r="G37" s="12">
        <v>7</v>
      </c>
      <c r="H37" s="8">
        <v>2.0099999999999998</v>
      </c>
      <c r="I37" s="12">
        <v>0</v>
      </c>
    </row>
    <row r="38" spans="2:9" ht="15" customHeight="1" x14ac:dyDescent="0.2">
      <c r="B38" t="s">
        <v>226</v>
      </c>
      <c r="C38" s="12">
        <v>16</v>
      </c>
      <c r="D38" s="8">
        <v>1.94</v>
      </c>
      <c r="E38" s="12">
        <v>6</v>
      </c>
      <c r="F38" s="8">
        <v>1.29</v>
      </c>
      <c r="G38" s="12">
        <v>9</v>
      </c>
      <c r="H38" s="8">
        <v>2.58</v>
      </c>
      <c r="I38" s="12">
        <v>0</v>
      </c>
    </row>
    <row r="39" spans="2:9" ht="15" customHeight="1" x14ac:dyDescent="0.2">
      <c r="B39" t="s">
        <v>219</v>
      </c>
      <c r="C39" s="12">
        <v>15</v>
      </c>
      <c r="D39" s="8">
        <v>1.82</v>
      </c>
      <c r="E39" s="12">
        <v>2</v>
      </c>
      <c r="F39" s="8">
        <v>0.43</v>
      </c>
      <c r="G39" s="12">
        <v>13</v>
      </c>
      <c r="H39" s="8">
        <v>3.72</v>
      </c>
      <c r="I39" s="12">
        <v>0</v>
      </c>
    </row>
    <row r="40" spans="2:9" ht="15" customHeight="1" x14ac:dyDescent="0.2">
      <c r="B40" t="s">
        <v>243</v>
      </c>
      <c r="C40" s="12">
        <v>14</v>
      </c>
      <c r="D40" s="8">
        <v>1.7</v>
      </c>
      <c r="E40" s="12">
        <v>13</v>
      </c>
      <c r="F40" s="8">
        <v>2.8</v>
      </c>
      <c r="G40" s="12">
        <v>1</v>
      </c>
      <c r="H40" s="8">
        <v>0.28999999999999998</v>
      </c>
      <c r="I40" s="12">
        <v>0</v>
      </c>
    </row>
    <row r="41" spans="2:9" ht="15" customHeight="1" x14ac:dyDescent="0.2">
      <c r="B41" t="s">
        <v>218</v>
      </c>
      <c r="C41" s="12">
        <v>13</v>
      </c>
      <c r="D41" s="8">
        <v>1.58</v>
      </c>
      <c r="E41" s="12">
        <v>2</v>
      </c>
      <c r="F41" s="8">
        <v>0.43</v>
      </c>
      <c r="G41" s="12">
        <v>11</v>
      </c>
      <c r="H41" s="8">
        <v>3.15</v>
      </c>
      <c r="I41" s="12">
        <v>0</v>
      </c>
    </row>
    <row r="42" spans="2:9" ht="15" customHeight="1" x14ac:dyDescent="0.2">
      <c r="B42" t="s">
        <v>236</v>
      </c>
      <c r="C42" s="12">
        <v>12</v>
      </c>
      <c r="D42" s="8">
        <v>1.45</v>
      </c>
      <c r="E42" s="12">
        <v>2</v>
      </c>
      <c r="F42" s="8">
        <v>0.43</v>
      </c>
      <c r="G42" s="12">
        <v>10</v>
      </c>
      <c r="H42" s="8">
        <v>2.87</v>
      </c>
      <c r="I42" s="12">
        <v>0</v>
      </c>
    </row>
    <row r="43" spans="2:9" ht="15" customHeight="1" x14ac:dyDescent="0.2">
      <c r="B43" t="s">
        <v>237</v>
      </c>
      <c r="C43" s="12">
        <v>11</v>
      </c>
      <c r="D43" s="8">
        <v>1.33</v>
      </c>
      <c r="E43" s="12">
        <v>3</v>
      </c>
      <c r="F43" s="8">
        <v>0.65</v>
      </c>
      <c r="G43" s="12">
        <v>8</v>
      </c>
      <c r="H43" s="8">
        <v>2.29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55</v>
      </c>
      <c r="D47" s="8">
        <v>6.67</v>
      </c>
      <c r="E47" s="12">
        <v>43</v>
      </c>
      <c r="F47" s="8">
        <v>9.25</v>
      </c>
      <c r="G47" s="12">
        <v>11</v>
      </c>
      <c r="H47" s="8">
        <v>3.15</v>
      </c>
      <c r="I47" s="12">
        <v>0</v>
      </c>
    </row>
    <row r="48" spans="2:9" ht="15" customHeight="1" x14ac:dyDescent="0.2">
      <c r="B48" t="s">
        <v>304</v>
      </c>
      <c r="C48" s="12">
        <v>45</v>
      </c>
      <c r="D48" s="8">
        <v>5.45</v>
      </c>
      <c r="E48" s="12">
        <v>42</v>
      </c>
      <c r="F48" s="8">
        <v>9.0299999999999994</v>
      </c>
      <c r="G48" s="12">
        <v>3</v>
      </c>
      <c r="H48" s="8">
        <v>0.86</v>
      </c>
      <c r="I48" s="12">
        <v>0</v>
      </c>
    </row>
    <row r="49" spans="2:9" ht="15" customHeight="1" x14ac:dyDescent="0.2">
      <c r="B49" t="s">
        <v>301</v>
      </c>
      <c r="C49" s="12">
        <v>40</v>
      </c>
      <c r="D49" s="8">
        <v>4.8499999999999996</v>
      </c>
      <c r="E49" s="12">
        <v>40</v>
      </c>
      <c r="F49" s="8">
        <v>8.6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303</v>
      </c>
      <c r="C50" s="12">
        <v>33</v>
      </c>
      <c r="D50" s="8">
        <v>4</v>
      </c>
      <c r="E50" s="12">
        <v>33</v>
      </c>
      <c r="F50" s="8">
        <v>7.1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293</v>
      </c>
      <c r="C51" s="12">
        <v>26</v>
      </c>
      <c r="D51" s="8">
        <v>3.15</v>
      </c>
      <c r="E51" s="12">
        <v>13</v>
      </c>
      <c r="F51" s="8">
        <v>2.8</v>
      </c>
      <c r="G51" s="12">
        <v>13</v>
      </c>
      <c r="H51" s="8">
        <v>3.72</v>
      </c>
      <c r="I51" s="12">
        <v>0</v>
      </c>
    </row>
    <row r="52" spans="2:9" ht="15" customHeight="1" x14ac:dyDescent="0.2">
      <c r="B52" t="s">
        <v>300</v>
      </c>
      <c r="C52" s="12">
        <v>21</v>
      </c>
      <c r="D52" s="8">
        <v>2.5499999999999998</v>
      </c>
      <c r="E52" s="12">
        <v>20</v>
      </c>
      <c r="F52" s="8">
        <v>4.3</v>
      </c>
      <c r="G52" s="12">
        <v>1</v>
      </c>
      <c r="H52" s="8">
        <v>0.28999999999999998</v>
      </c>
      <c r="I52" s="12">
        <v>0</v>
      </c>
    </row>
    <row r="53" spans="2:9" ht="15" customHeight="1" x14ac:dyDescent="0.2">
      <c r="B53" t="s">
        <v>306</v>
      </c>
      <c r="C53" s="12">
        <v>18</v>
      </c>
      <c r="D53" s="8">
        <v>2.1800000000000002</v>
      </c>
      <c r="E53" s="12">
        <v>17</v>
      </c>
      <c r="F53" s="8">
        <v>3.66</v>
      </c>
      <c r="G53" s="12">
        <v>1</v>
      </c>
      <c r="H53" s="8">
        <v>0.28999999999999998</v>
      </c>
      <c r="I53" s="12">
        <v>0</v>
      </c>
    </row>
    <row r="54" spans="2:9" ht="15" customHeight="1" x14ac:dyDescent="0.2">
      <c r="B54" t="s">
        <v>328</v>
      </c>
      <c r="C54" s="12">
        <v>17</v>
      </c>
      <c r="D54" s="8">
        <v>2.06</v>
      </c>
      <c r="E54" s="12">
        <v>4</v>
      </c>
      <c r="F54" s="8">
        <v>0.86</v>
      </c>
      <c r="G54" s="12">
        <v>13</v>
      </c>
      <c r="H54" s="8">
        <v>3.72</v>
      </c>
      <c r="I54" s="12">
        <v>0</v>
      </c>
    </row>
    <row r="55" spans="2:9" ht="15" customHeight="1" x14ac:dyDescent="0.2">
      <c r="B55" t="s">
        <v>290</v>
      </c>
      <c r="C55" s="12">
        <v>17</v>
      </c>
      <c r="D55" s="8">
        <v>2.06</v>
      </c>
      <c r="E55" s="12">
        <v>3</v>
      </c>
      <c r="F55" s="8">
        <v>0.65</v>
      </c>
      <c r="G55" s="12">
        <v>14</v>
      </c>
      <c r="H55" s="8">
        <v>4.01</v>
      </c>
      <c r="I55" s="12">
        <v>0</v>
      </c>
    </row>
    <row r="56" spans="2:9" ht="15" customHeight="1" x14ac:dyDescent="0.2">
      <c r="B56" t="s">
        <v>299</v>
      </c>
      <c r="C56" s="12">
        <v>17</v>
      </c>
      <c r="D56" s="8">
        <v>2.06</v>
      </c>
      <c r="E56" s="12">
        <v>14</v>
      </c>
      <c r="F56" s="8">
        <v>3.01</v>
      </c>
      <c r="G56" s="12">
        <v>3</v>
      </c>
      <c r="H56" s="8">
        <v>0.86</v>
      </c>
      <c r="I56" s="12">
        <v>0</v>
      </c>
    </row>
    <row r="57" spans="2:9" ht="15" customHeight="1" x14ac:dyDescent="0.2">
      <c r="B57" t="s">
        <v>302</v>
      </c>
      <c r="C57" s="12">
        <v>15</v>
      </c>
      <c r="D57" s="8">
        <v>1.82</v>
      </c>
      <c r="E57" s="12">
        <v>11</v>
      </c>
      <c r="F57" s="8">
        <v>2.37</v>
      </c>
      <c r="G57" s="12">
        <v>4</v>
      </c>
      <c r="H57" s="8">
        <v>1.1499999999999999</v>
      </c>
      <c r="I57" s="12">
        <v>0</v>
      </c>
    </row>
    <row r="58" spans="2:9" ht="15" customHeight="1" x14ac:dyDescent="0.2">
      <c r="B58" t="s">
        <v>305</v>
      </c>
      <c r="C58" s="12">
        <v>15</v>
      </c>
      <c r="D58" s="8">
        <v>1.82</v>
      </c>
      <c r="E58" s="12">
        <v>14</v>
      </c>
      <c r="F58" s="8">
        <v>3.01</v>
      </c>
      <c r="G58" s="12">
        <v>1</v>
      </c>
      <c r="H58" s="8">
        <v>0.28999999999999998</v>
      </c>
      <c r="I58" s="12">
        <v>0</v>
      </c>
    </row>
    <row r="59" spans="2:9" ht="15" customHeight="1" x14ac:dyDescent="0.2">
      <c r="B59" t="s">
        <v>289</v>
      </c>
      <c r="C59" s="12">
        <v>13</v>
      </c>
      <c r="D59" s="8">
        <v>1.58</v>
      </c>
      <c r="E59" s="12">
        <v>3</v>
      </c>
      <c r="F59" s="8">
        <v>0.65</v>
      </c>
      <c r="G59" s="12">
        <v>10</v>
      </c>
      <c r="H59" s="8">
        <v>2.87</v>
      </c>
      <c r="I59" s="12">
        <v>0</v>
      </c>
    </row>
    <row r="60" spans="2:9" ht="15" customHeight="1" x14ac:dyDescent="0.2">
      <c r="B60" t="s">
        <v>309</v>
      </c>
      <c r="C60" s="12">
        <v>12</v>
      </c>
      <c r="D60" s="8">
        <v>1.45</v>
      </c>
      <c r="E60" s="12">
        <v>1</v>
      </c>
      <c r="F60" s="8">
        <v>0.22</v>
      </c>
      <c r="G60" s="12">
        <v>11</v>
      </c>
      <c r="H60" s="8">
        <v>3.15</v>
      </c>
      <c r="I60" s="12">
        <v>0</v>
      </c>
    </row>
    <row r="61" spans="2:9" ht="15" customHeight="1" x14ac:dyDescent="0.2">
      <c r="B61" t="s">
        <v>335</v>
      </c>
      <c r="C61" s="12">
        <v>12</v>
      </c>
      <c r="D61" s="8">
        <v>1.45</v>
      </c>
      <c r="E61" s="12">
        <v>7</v>
      </c>
      <c r="F61" s="8">
        <v>1.51</v>
      </c>
      <c r="G61" s="12">
        <v>5</v>
      </c>
      <c r="H61" s="8">
        <v>1.43</v>
      </c>
      <c r="I61" s="12">
        <v>0</v>
      </c>
    </row>
    <row r="62" spans="2:9" ht="15" customHeight="1" x14ac:dyDescent="0.2">
      <c r="B62" t="s">
        <v>329</v>
      </c>
      <c r="C62" s="12">
        <v>11</v>
      </c>
      <c r="D62" s="8">
        <v>1.33</v>
      </c>
      <c r="E62" s="12">
        <v>6</v>
      </c>
      <c r="F62" s="8">
        <v>1.29</v>
      </c>
      <c r="G62" s="12">
        <v>5</v>
      </c>
      <c r="H62" s="8">
        <v>1.43</v>
      </c>
      <c r="I62" s="12">
        <v>0</v>
      </c>
    </row>
    <row r="63" spans="2:9" ht="15" customHeight="1" x14ac:dyDescent="0.2">
      <c r="B63" t="s">
        <v>292</v>
      </c>
      <c r="C63" s="12">
        <v>10</v>
      </c>
      <c r="D63" s="8">
        <v>1.21</v>
      </c>
      <c r="E63" s="12">
        <v>5</v>
      </c>
      <c r="F63" s="8">
        <v>1.08</v>
      </c>
      <c r="G63" s="12">
        <v>5</v>
      </c>
      <c r="H63" s="8">
        <v>1.43</v>
      </c>
      <c r="I63" s="12">
        <v>0</v>
      </c>
    </row>
    <row r="64" spans="2:9" ht="15" customHeight="1" x14ac:dyDescent="0.2">
      <c r="B64" t="s">
        <v>330</v>
      </c>
      <c r="C64" s="12">
        <v>10</v>
      </c>
      <c r="D64" s="8">
        <v>1.21</v>
      </c>
      <c r="E64" s="12">
        <v>1</v>
      </c>
      <c r="F64" s="8">
        <v>0.22</v>
      </c>
      <c r="G64" s="12">
        <v>9</v>
      </c>
      <c r="H64" s="8">
        <v>2.58</v>
      </c>
      <c r="I64" s="12">
        <v>0</v>
      </c>
    </row>
    <row r="65" spans="2:9" ht="15" customHeight="1" x14ac:dyDescent="0.2">
      <c r="B65" t="s">
        <v>344</v>
      </c>
      <c r="C65" s="12">
        <v>10</v>
      </c>
      <c r="D65" s="8">
        <v>1.21</v>
      </c>
      <c r="E65" s="12">
        <v>2</v>
      </c>
      <c r="F65" s="8">
        <v>0.43</v>
      </c>
      <c r="G65" s="12">
        <v>8</v>
      </c>
      <c r="H65" s="8">
        <v>2.29</v>
      </c>
      <c r="I65" s="12">
        <v>0</v>
      </c>
    </row>
    <row r="66" spans="2:9" ht="15" customHeight="1" x14ac:dyDescent="0.2">
      <c r="B66" t="s">
        <v>296</v>
      </c>
      <c r="C66" s="12">
        <v>10</v>
      </c>
      <c r="D66" s="8">
        <v>1.21</v>
      </c>
      <c r="E66" s="12">
        <v>7</v>
      </c>
      <c r="F66" s="8">
        <v>1.51</v>
      </c>
      <c r="G66" s="12">
        <v>3</v>
      </c>
      <c r="H66" s="8">
        <v>0.86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3BCCA-B369-4E7F-AE3A-7E543FE9639B}">
  <sheetPr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720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21</v>
      </c>
      <c r="D6" s="8">
        <v>14.29</v>
      </c>
      <c r="E6" s="12">
        <v>6</v>
      </c>
      <c r="F6" s="8">
        <v>7.59</v>
      </c>
      <c r="G6" s="12">
        <v>15</v>
      </c>
      <c r="H6" s="8">
        <v>27.78</v>
      </c>
      <c r="I6" s="12">
        <v>0</v>
      </c>
    </row>
    <row r="7" spans="2:9" ht="15" customHeight="1" x14ac:dyDescent="0.2">
      <c r="B7" t="s">
        <v>192</v>
      </c>
      <c r="C7" s="12">
        <v>16</v>
      </c>
      <c r="D7" s="8">
        <v>10.88</v>
      </c>
      <c r="E7" s="12">
        <v>4</v>
      </c>
      <c r="F7" s="8">
        <v>5.0599999999999996</v>
      </c>
      <c r="G7" s="12">
        <v>12</v>
      </c>
      <c r="H7" s="8">
        <v>22.22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0.68</v>
      </c>
      <c r="E8" s="12">
        <v>0</v>
      </c>
      <c r="F8" s="8">
        <v>0</v>
      </c>
      <c r="G8" s="12">
        <v>1</v>
      </c>
      <c r="H8" s="8">
        <v>1.85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2.04</v>
      </c>
      <c r="E10" s="12">
        <v>0</v>
      </c>
      <c r="F10" s="8">
        <v>0</v>
      </c>
      <c r="G10" s="12">
        <v>3</v>
      </c>
      <c r="H10" s="8">
        <v>5.56</v>
      </c>
      <c r="I10" s="12">
        <v>0</v>
      </c>
    </row>
    <row r="11" spans="2:9" ht="15" customHeight="1" x14ac:dyDescent="0.2">
      <c r="B11" t="s">
        <v>196</v>
      </c>
      <c r="C11" s="12">
        <v>28</v>
      </c>
      <c r="D11" s="8">
        <v>19.05</v>
      </c>
      <c r="E11" s="12">
        <v>15</v>
      </c>
      <c r="F11" s="8">
        <v>18.989999999999998</v>
      </c>
      <c r="G11" s="12">
        <v>13</v>
      </c>
      <c r="H11" s="8">
        <v>24.07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0.68</v>
      </c>
      <c r="E12" s="12">
        <v>1</v>
      </c>
      <c r="F12" s="8">
        <v>1.27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9</v>
      </c>
      <c r="D13" s="8">
        <v>6.12</v>
      </c>
      <c r="E13" s="12">
        <v>7</v>
      </c>
      <c r="F13" s="8">
        <v>8.86</v>
      </c>
      <c r="G13" s="12">
        <v>1</v>
      </c>
      <c r="H13" s="8">
        <v>1.85</v>
      </c>
      <c r="I13" s="12">
        <v>0</v>
      </c>
    </row>
    <row r="14" spans="2:9" ht="15" customHeight="1" x14ac:dyDescent="0.2">
      <c r="B14" t="s">
        <v>199</v>
      </c>
      <c r="C14" s="12">
        <v>6</v>
      </c>
      <c r="D14" s="8">
        <v>4.08</v>
      </c>
      <c r="E14" s="12">
        <v>2</v>
      </c>
      <c r="F14" s="8">
        <v>2.5299999999999998</v>
      </c>
      <c r="G14" s="12">
        <v>3</v>
      </c>
      <c r="H14" s="8">
        <v>5.56</v>
      </c>
      <c r="I14" s="12">
        <v>0</v>
      </c>
    </row>
    <row r="15" spans="2:9" ht="15" customHeight="1" x14ac:dyDescent="0.2">
      <c r="B15" t="s">
        <v>200</v>
      </c>
      <c r="C15" s="12">
        <v>30</v>
      </c>
      <c r="D15" s="8">
        <v>20.41</v>
      </c>
      <c r="E15" s="12">
        <v>28</v>
      </c>
      <c r="F15" s="8">
        <v>35.44</v>
      </c>
      <c r="G15" s="12">
        <v>1</v>
      </c>
      <c r="H15" s="8">
        <v>1.85</v>
      </c>
      <c r="I15" s="12">
        <v>0</v>
      </c>
    </row>
    <row r="16" spans="2:9" ht="15" customHeight="1" x14ac:dyDescent="0.2">
      <c r="B16" t="s">
        <v>201</v>
      </c>
      <c r="C16" s="12">
        <v>9</v>
      </c>
      <c r="D16" s="8">
        <v>6.12</v>
      </c>
      <c r="E16" s="12">
        <v>8</v>
      </c>
      <c r="F16" s="8">
        <v>10.130000000000001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6</v>
      </c>
      <c r="D17" s="8">
        <v>4.08</v>
      </c>
      <c r="E17" s="12">
        <v>2</v>
      </c>
      <c r="F17" s="8">
        <v>2.5299999999999998</v>
      </c>
      <c r="G17" s="12">
        <v>1</v>
      </c>
      <c r="H17" s="8">
        <v>1.85</v>
      </c>
      <c r="I17" s="12">
        <v>0</v>
      </c>
    </row>
    <row r="18" spans="2:9" ht="15" customHeight="1" x14ac:dyDescent="0.2">
      <c r="B18" t="s">
        <v>203</v>
      </c>
      <c r="C18" s="12">
        <v>10</v>
      </c>
      <c r="D18" s="8">
        <v>6.8</v>
      </c>
      <c r="E18" s="12">
        <v>3</v>
      </c>
      <c r="F18" s="8">
        <v>3.8</v>
      </c>
      <c r="G18" s="12">
        <v>2</v>
      </c>
      <c r="H18" s="8">
        <v>3.7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4.76</v>
      </c>
      <c r="E19" s="12">
        <v>3</v>
      </c>
      <c r="F19" s="8">
        <v>3.8</v>
      </c>
      <c r="G19" s="12">
        <v>2</v>
      </c>
      <c r="H19" s="8">
        <v>3.7</v>
      </c>
      <c r="I19" s="12">
        <v>0</v>
      </c>
    </row>
    <row r="20" spans="2:9" ht="15" customHeight="1" x14ac:dyDescent="0.2">
      <c r="B20" s="9" t="s">
        <v>529</v>
      </c>
      <c r="C20" s="12">
        <f>SUM(LTBL_01693[総数／事業所数])</f>
        <v>147</v>
      </c>
      <c r="E20" s="12">
        <f>SUBTOTAL(109,LTBL_01693[個人／事業所数])</f>
        <v>79</v>
      </c>
      <c r="G20" s="12">
        <f>SUBTOTAL(109,LTBL_01693[法人／事業所数])</f>
        <v>54</v>
      </c>
      <c r="I20" s="12">
        <f>SUBTOTAL(109,LTBL_01693[法人以外の団体／事業所数])</f>
        <v>0</v>
      </c>
    </row>
    <row r="21" spans="2:9" ht="15" customHeight="1" x14ac:dyDescent="0.2">
      <c r="E21" s="11">
        <f>LTBL_01693[[#Totals],[個人／事業所数]]/LTBL_01693[[#Totals],[総数／事業所数]]</f>
        <v>0.5374149659863946</v>
      </c>
      <c r="G21" s="11">
        <f>LTBL_01693[[#Totals],[法人／事業所数]]/LTBL_01693[[#Totals],[総数／事業所数]]</f>
        <v>0.36734693877551022</v>
      </c>
      <c r="I21" s="11">
        <f>LTBL_01693[[#Totals],[法人以外の団体／事業所数]]/LTBL_01693[[#Totals],[総数／事業所数]]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20</v>
      </c>
      <c r="D24" s="8">
        <v>13.61</v>
      </c>
      <c r="E24" s="12">
        <v>20</v>
      </c>
      <c r="F24" s="8">
        <v>25.32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213</v>
      </c>
      <c r="C25" s="12">
        <v>9</v>
      </c>
      <c r="D25" s="8">
        <v>6.12</v>
      </c>
      <c r="E25" s="12">
        <v>2</v>
      </c>
      <c r="F25" s="8">
        <v>2.5299999999999998</v>
      </c>
      <c r="G25" s="12">
        <v>7</v>
      </c>
      <c r="H25" s="8">
        <v>12.96</v>
      </c>
      <c r="I25" s="12">
        <v>0</v>
      </c>
    </row>
    <row r="26" spans="2:9" ht="15" customHeight="1" x14ac:dyDescent="0.2">
      <c r="B26" t="s">
        <v>221</v>
      </c>
      <c r="C26" s="12">
        <v>9</v>
      </c>
      <c r="D26" s="8">
        <v>6.12</v>
      </c>
      <c r="E26" s="12">
        <v>6</v>
      </c>
      <c r="F26" s="8">
        <v>7.59</v>
      </c>
      <c r="G26" s="12">
        <v>3</v>
      </c>
      <c r="H26" s="8">
        <v>5.56</v>
      </c>
      <c r="I26" s="12">
        <v>0</v>
      </c>
    </row>
    <row r="27" spans="2:9" ht="15" customHeight="1" x14ac:dyDescent="0.2">
      <c r="B27" t="s">
        <v>223</v>
      </c>
      <c r="C27" s="12">
        <v>9</v>
      </c>
      <c r="D27" s="8">
        <v>6.12</v>
      </c>
      <c r="E27" s="12">
        <v>5</v>
      </c>
      <c r="F27" s="8">
        <v>6.33</v>
      </c>
      <c r="G27" s="12">
        <v>4</v>
      </c>
      <c r="H27" s="8">
        <v>7.41</v>
      </c>
      <c r="I27" s="12">
        <v>0</v>
      </c>
    </row>
    <row r="28" spans="2:9" ht="15" customHeight="1" x14ac:dyDescent="0.2">
      <c r="B28" t="s">
        <v>243</v>
      </c>
      <c r="C28" s="12">
        <v>9</v>
      </c>
      <c r="D28" s="8">
        <v>6.12</v>
      </c>
      <c r="E28" s="12">
        <v>8</v>
      </c>
      <c r="F28" s="8">
        <v>10.130000000000001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224</v>
      </c>
      <c r="C29" s="12">
        <v>8</v>
      </c>
      <c r="D29" s="8">
        <v>5.44</v>
      </c>
      <c r="E29" s="12">
        <v>7</v>
      </c>
      <c r="F29" s="8">
        <v>8.86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228</v>
      </c>
      <c r="C30" s="12">
        <v>8</v>
      </c>
      <c r="D30" s="8">
        <v>5.44</v>
      </c>
      <c r="E30" s="12">
        <v>8</v>
      </c>
      <c r="F30" s="8">
        <v>10.130000000000001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214</v>
      </c>
      <c r="C31" s="12">
        <v>7</v>
      </c>
      <c r="D31" s="8">
        <v>4.76</v>
      </c>
      <c r="E31" s="12">
        <v>4</v>
      </c>
      <c r="F31" s="8">
        <v>5.0599999999999996</v>
      </c>
      <c r="G31" s="12">
        <v>3</v>
      </c>
      <c r="H31" s="8">
        <v>5.56</v>
      </c>
      <c r="I31" s="12">
        <v>0</v>
      </c>
    </row>
    <row r="32" spans="2:9" ht="15" customHeight="1" x14ac:dyDescent="0.2">
      <c r="B32" t="s">
        <v>232</v>
      </c>
      <c r="C32" s="12">
        <v>7</v>
      </c>
      <c r="D32" s="8">
        <v>4.76</v>
      </c>
      <c r="E32" s="12">
        <v>0</v>
      </c>
      <c r="F32" s="8">
        <v>0</v>
      </c>
      <c r="G32" s="12">
        <v>2</v>
      </c>
      <c r="H32" s="8">
        <v>3.7</v>
      </c>
      <c r="I32" s="12">
        <v>0</v>
      </c>
    </row>
    <row r="33" spans="2:9" ht="15" customHeight="1" x14ac:dyDescent="0.2">
      <c r="B33" t="s">
        <v>241</v>
      </c>
      <c r="C33" s="12">
        <v>6</v>
      </c>
      <c r="D33" s="8">
        <v>4.08</v>
      </c>
      <c r="E33" s="12">
        <v>1</v>
      </c>
      <c r="F33" s="8">
        <v>1.27</v>
      </c>
      <c r="G33" s="12">
        <v>5</v>
      </c>
      <c r="H33" s="8">
        <v>9.26</v>
      </c>
      <c r="I33" s="12">
        <v>0</v>
      </c>
    </row>
    <row r="34" spans="2:9" ht="15" customHeight="1" x14ac:dyDescent="0.2">
      <c r="B34" t="s">
        <v>230</v>
      </c>
      <c r="C34" s="12">
        <v>6</v>
      </c>
      <c r="D34" s="8">
        <v>4.08</v>
      </c>
      <c r="E34" s="12">
        <v>2</v>
      </c>
      <c r="F34" s="8">
        <v>2.5299999999999998</v>
      </c>
      <c r="G34" s="12">
        <v>1</v>
      </c>
      <c r="H34" s="8">
        <v>1.85</v>
      </c>
      <c r="I34" s="12">
        <v>0</v>
      </c>
    </row>
    <row r="35" spans="2:9" ht="15" customHeight="1" x14ac:dyDescent="0.2">
      <c r="B35" t="s">
        <v>215</v>
      </c>
      <c r="C35" s="12">
        <v>5</v>
      </c>
      <c r="D35" s="8">
        <v>3.4</v>
      </c>
      <c r="E35" s="12">
        <v>0</v>
      </c>
      <c r="F35" s="8">
        <v>0</v>
      </c>
      <c r="G35" s="12">
        <v>5</v>
      </c>
      <c r="H35" s="8">
        <v>9.26</v>
      </c>
      <c r="I35" s="12">
        <v>0</v>
      </c>
    </row>
    <row r="36" spans="2:9" ht="15" customHeight="1" x14ac:dyDescent="0.2">
      <c r="B36" t="s">
        <v>222</v>
      </c>
      <c r="C36" s="12">
        <v>5</v>
      </c>
      <c r="D36" s="8">
        <v>3.4</v>
      </c>
      <c r="E36" s="12">
        <v>3</v>
      </c>
      <c r="F36" s="8">
        <v>3.8</v>
      </c>
      <c r="G36" s="12">
        <v>2</v>
      </c>
      <c r="H36" s="8">
        <v>3.7</v>
      </c>
      <c r="I36" s="12">
        <v>0</v>
      </c>
    </row>
    <row r="37" spans="2:9" ht="15" customHeight="1" x14ac:dyDescent="0.2">
      <c r="B37" t="s">
        <v>219</v>
      </c>
      <c r="C37" s="12">
        <v>3</v>
      </c>
      <c r="D37" s="8">
        <v>2.04</v>
      </c>
      <c r="E37" s="12">
        <v>1</v>
      </c>
      <c r="F37" s="8">
        <v>1.27</v>
      </c>
      <c r="G37" s="12">
        <v>2</v>
      </c>
      <c r="H37" s="8">
        <v>3.7</v>
      </c>
      <c r="I37" s="12">
        <v>0</v>
      </c>
    </row>
    <row r="38" spans="2:9" ht="15" customHeight="1" x14ac:dyDescent="0.2">
      <c r="B38" t="s">
        <v>231</v>
      </c>
      <c r="C38" s="12">
        <v>3</v>
      </c>
      <c r="D38" s="8">
        <v>2.04</v>
      </c>
      <c r="E38" s="12">
        <v>3</v>
      </c>
      <c r="F38" s="8">
        <v>3.8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242</v>
      </c>
      <c r="C39" s="12">
        <v>3</v>
      </c>
      <c r="D39" s="8">
        <v>2.04</v>
      </c>
      <c r="E39" s="12">
        <v>3</v>
      </c>
      <c r="F39" s="8">
        <v>3.8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262</v>
      </c>
      <c r="C40" s="12">
        <v>2</v>
      </c>
      <c r="D40" s="8">
        <v>1.36</v>
      </c>
      <c r="E40" s="12">
        <v>0</v>
      </c>
      <c r="F40" s="8">
        <v>0</v>
      </c>
      <c r="G40" s="12">
        <v>2</v>
      </c>
      <c r="H40" s="8">
        <v>3.7</v>
      </c>
      <c r="I40" s="12">
        <v>0</v>
      </c>
    </row>
    <row r="41" spans="2:9" ht="15" customHeight="1" x14ac:dyDescent="0.2">
      <c r="B41" t="s">
        <v>238</v>
      </c>
      <c r="C41" s="12">
        <v>2</v>
      </c>
      <c r="D41" s="8">
        <v>1.36</v>
      </c>
      <c r="E41" s="12">
        <v>0</v>
      </c>
      <c r="F41" s="8">
        <v>0</v>
      </c>
      <c r="G41" s="12">
        <v>2</v>
      </c>
      <c r="H41" s="8">
        <v>3.7</v>
      </c>
      <c r="I41" s="12">
        <v>0</v>
      </c>
    </row>
    <row r="42" spans="2:9" ht="15" customHeight="1" x14ac:dyDescent="0.2">
      <c r="B42" t="s">
        <v>256</v>
      </c>
      <c r="C42" s="12">
        <v>2</v>
      </c>
      <c r="D42" s="8">
        <v>1.36</v>
      </c>
      <c r="E42" s="12">
        <v>0</v>
      </c>
      <c r="F42" s="8">
        <v>0</v>
      </c>
      <c r="G42" s="12">
        <v>2</v>
      </c>
      <c r="H42" s="8">
        <v>3.7</v>
      </c>
      <c r="I42" s="12">
        <v>0</v>
      </c>
    </row>
    <row r="43" spans="2:9" ht="15" customHeight="1" x14ac:dyDescent="0.2">
      <c r="B43" t="s">
        <v>225</v>
      </c>
      <c r="C43" s="12">
        <v>2</v>
      </c>
      <c r="D43" s="8">
        <v>1.36</v>
      </c>
      <c r="E43" s="12">
        <v>2</v>
      </c>
      <c r="F43" s="8">
        <v>2.5299999999999998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226</v>
      </c>
      <c r="C44" s="12">
        <v>2</v>
      </c>
      <c r="D44" s="8">
        <v>1.36</v>
      </c>
      <c r="E44" s="12">
        <v>0</v>
      </c>
      <c r="F44" s="8">
        <v>0</v>
      </c>
      <c r="G44" s="12">
        <v>1</v>
      </c>
      <c r="H44" s="8">
        <v>1.85</v>
      </c>
      <c r="I44" s="12">
        <v>0</v>
      </c>
    </row>
    <row r="45" spans="2:9" ht="15" customHeight="1" x14ac:dyDescent="0.2">
      <c r="B45" t="s">
        <v>249</v>
      </c>
      <c r="C45" s="12">
        <v>2</v>
      </c>
      <c r="D45" s="8">
        <v>1.36</v>
      </c>
      <c r="E45" s="12">
        <v>0</v>
      </c>
      <c r="F45" s="8">
        <v>0</v>
      </c>
      <c r="G45" s="12">
        <v>0</v>
      </c>
      <c r="H45" s="8">
        <v>0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297</v>
      </c>
      <c r="C49" s="12">
        <v>8</v>
      </c>
      <c r="D49" s="8">
        <v>5.44</v>
      </c>
      <c r="E49" s="12">
        <v>7</v>
      </c>
      <c r="F49" s="8">
        <v>8.86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300</v>
      </c>
      <c r="C50" s="12">
        <v>8</v>
      </c>
      <c r="D50" s="8">
        <v>5.44</v>
      </c>
      <c r="E50" s="12">
        <v>8</v>
      </c>
      <c r="F50" s="8">
        <v>10.130000000000001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301</v>
      </c>
      <c r="C51" s="12">
        <v>6</v>
      </c>
      <c r="D51" s="8">
        <v>4.08</v>
      </c>
      <c r="E51" s="12">
        <v>6</v>
      </c>
      <c r="F51" s="8">
        <v>7.59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342</v>
      </c>
      <c r="C52" s="12">
        <v>5</v>
      </c>
      <c r="D52" s="8">
        <v>3.4</v>
      </c>
      <c r="E52" s="12">
        <v>0</v>
      </c>
      <c r="F52" s="8">
        <v>0</v>
      </c>
      <c r="G52" s="12">
        <v>5</v>
      </c>
      <c r="H52" s="8">
        <v>9.26</v>
      </c>
      <c r="I52" s="12">
        <v>0</v>
      </c>
    </row>
    <row r="53" spans="2:9" ht="15" customHeight="1" x14ac:dyDescent="0.2">
      <c r="B53" t="s">
        <v>339</v>
      </c>
      <c r="C53" s="12">
        <v>5</v>
      </c>
      <c r="D53" s="8">
        <v>3.4</v>
      </c>
      <c r="E53" s="12">
        <v>5</v>
      </c>
      <c r="F53" s="8">
        <v>6.33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328</v>
      </c>
      <c r="C54" s="12">
        <v>4</v>
      </c>
      <c r="D54" s="8">
        <v>2.72</v>
      </c>
      <c r="E54" s="12">
        <v>2</v>
      </c>
      <c r="F54" s="8">
        <v>2.5299999999999998</v>
      </c>
      <c r="G54" s="12">
        <v>2</v>
      </c>
      <c r="H54" s="8">
        <v>3.7</v>
      </c>
      <c r="I54" s="12">
        <v>0</v>
      </c>
    </row>
    <row r="55" spans="2:9" ht="15" customHeight="1" x14ac:dyDescent="0.2">
      <c r="B55" t="s">
        <v>292</v>
      </c>
      <c r="C55" s="12">
        <v>4</v>
      </c>
      <c r="D55" s="8">
        <v>2.72</v>
      </c>
      <c r="E55" s="12">
        <v>2</v>
      </c>
      <c r="F55" s="8">
        <v>2.5299999999999998</v>
      </c>
      <c r="G55" s="12">
        <v>2</v>
      </c>
      <c r="H55" s="8">
        <v>3.7</v>
      </c>
      <c r="I55" s="12">
        <v>0</v>
      </c>
    </row>
    <row r="56" spans="2:9" ht="15" customHeight="1" x14ac:dyDescent="0.2">
      <c r="B56" t="s">
        <v>335</v>
      </c>
      <c r="C56" s="12">
        <v>4</v>
      </c>
      <c r="D56" s="8">
        <v>2.72</v>
      </c>
      <c r="E56" s="12">
        <v>3</v>
      </c>
      <c r="F56" s="8">
        <v>3.8</v>
      </c>
      <c r="G56" s="12">
        <v>1</v>
      </c>
      <c r="H56" s="8">
        <v>1.85</v>
      </c>
      <c r="I56" s="12">
        <v>0</v>
      </c>
    </row>
    <row r="57" spans="2:9" ht="15" customHeight="1" x14ac:dyDescent="0.2">
      <c r="B57" t="s">
        <v>330</v>
      </c>
      <c r="C57" s="12">
        <v>4</v>
      </c>
      <c r="D57" s="8">
        <v>2.72</v>
      </c>
      <c r="E57" s="12">
        <v>1</v>
      </c>
      <c r="F57" s="8">
        <v>1.27</v>
      </c>
      <c r="G57" s="12">
        <v>3</v>
      </c>
      <c r="H57" s="8">
        <v>5.56</v>
      </c>
      <c r="I57" s="12">
        <v>0</v>
      </c>
    </row>
    <row r="58" spans="2:9" ht="15" customHeight="1" x14ac:dyDescent="0.2">
      <c r="B58" t="s">
        <v>303</v>
      </c>
      <c r="C58" s="12">
        <v>4</v>
      </c>
      <c r="D58" s="8">
        <v>2.72</v>
      </c>
      <c r="E58" s="12">
        <v>4</v>
      </c>
      <c r="F58" s="8">
        <v>5.0599999999999996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341</v>
      </c>
      <c r="C59" s="12">
        <v>4</v>
      </c>
      <c r="D59" s="8">
        <v>2.72</v>
      </c>
      <c r="E59" s="12">
        <v>0</v>
      </c>
      <c r="F59" s="8">
        <v>0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288</v>
      </c>
      <c r="C60" s="12">
        <v>3</v>
      </c>
      <c r="D60" s="8">
        <v>2.04</v>
      </c>
      <c r="E60" s="12">
        <v>0</v>
      </c>
      <c r="F60" s="8">
        <v>0</v>
      </c>
      <c r="G60" s="12">
        <v>3</v>
      </c>
      <c r="H60" s="8">
        <v>5.56</v>
      </c>
      <c r="I60" s="12">
        <v>0</v>
      </c>
    </row>
    <row r="61" spans="2:9" ht="15" customHeight="1" x14ac:dyDescent="0.2">
      <c r="B61" t="s">
        <v>320</v>
      </c>
      <c r="C61" s="12">
        <v>3</v>
      </c>
      <c r="D61" s="8">
        <v>2.04</v>
      </c>
      <c r="E61" s="12">
        <v>2</v>
      </c>
      <c r="F61" s="8">
        <v>2.5299999999999998</v>
      </c>
      <c r="G61" s="12">
        <v>1</v>
      </c>
      <c r="H61" s="8">
        <v>1.85</v>
      </c>
      <c r="I61" s="12">
        <v>0</v>
      </c>
    </row>
    <row r="62" spans="2:9" ht="15" customHeight="1" x14ac:dyDescent="0.2">
      <c r="B62" t="s">
        <v>291</v>
      </c>
      <c r="C62" s="12">
        <v>3</v>
      </c>
      <c r="D62" s="8">
        <v>2.04</v>
      </c>
      <c r="E62" s="12">
        <v>0</v>
      </c>
      <c r="F62" s="8">
        <v>0</v>
      </c>
      <c r="G62" s="12">
        <v>3</v>
      </c>
      <c r="H62" s="8">
        <v>5.56</v>
      </c>
      <c r="I62" s="12">
        <v>0</v>
      </c>
    </row>
    <row r="63" spans="2:9" ht="15" customHeight="1" x14ac:dyDescent="0.2">
      <c r="B63" t="s">
        <v>329</v>
      </c>
      <c r="C63" s="12">
        <v>3</v>
      </c>
      <c r="D63" s="8">
        <v>2.04</v>
      </c>
      <c r="E63" s="12">
        <v>3</v>
      </c>
      <c r="F63" s="8">
        <v>3.8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422</v>
      </c>
      <c r="C64" s="12">
        <v>3</v>
      </c>
      <c r="D64" s="8">
        <v>2.04</v>
      </c>
      <c r="E64" s="12">
        <v>3</v>
      </c>
      <c r="F64" s="8">
        <v>3.8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334</v>
      </c>
      <c r="C65" s="12">
        <v>3</v>
      </c>
      <c r="D65" s="8">
        <v>2.04</v>
      </c>
      <c r="E65" s="12">
        <v>3</v>
      </c>
      <c r="F65" s="8">
        <v>3.8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304</v>
      </c>
      <c r="C66" s="12">
        <v>3</v>
      </c>
      <c r="D66" s="8">
        <v>2.04</v>
      </c>
      <c r="E66" s="12">
        <v>3</v>
      </c>
      <c r="F66" s="8">
        <v>3.8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340</v>
      </c>
      <c r="C67" s="12">
        <v>3</v>
      </c>
      <c r="D67" s="8">
        <v>2.04</v>
      </c>
      <c r="E67" s="12">
        <v>0</v>
      </c>
      <c r="F67" s="8">
        <v>0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333</v>
      </c>
      <c r="C68" s="12">
        <v>2</v>
      </c>
      <c r="D68" s="8">
        <v>1.36</v>
      </c>
      <c r="E68" s="12">
        <v>1</v>
      </c>
      <c r="F68" s="8">
        <v>1.27</v>
      </c>
      <c r="G68" s="12">
        <v>1</v>
      </c>
      <c r="H68" s="8">
        <v>1.85</v>
      </c>
      <c r="I68" s="12">
        <v>0</v>
      </c>
    </row>
    <row r="69" spans="2:9" ht="15" customHeight="1" x14ac:dyDescent="0.2">
      <c r="B69" t="s">
        <v>290</v>
      </c>
      <c r="C69" s="12">
        <v>2</v>
      </c>
      <c r="D69" s="8">
        <v>1.36</v>
      </c>
      <c r="E69" s="12">
        <v>0</v>
      </c>
      <c r="F69" s="8">
        <v>0</v>
      </c>
      <c r="G69" s="12">
        <v>2</v>
      </c>
      <c r="H69" s="8">
        <v>3.7</v>
      </c>
      <c r="I69" s="12">
        <v>0</v>
      </c>
    </row>
    <row r="70" spans="2:9" ht="15" customHeight="1" x14ac:dyDescent="0.2">
      <c r="B70" t="s">
        <v>378</v>
      </c>
      <c r="C70" s="12">
        <v>2</v>
      </c>
      <c r="D70" s="8">
        <v>1.36</v>
      </c>
      <c r="E70" s="12">
        <v>0</v>
      </c>
      <c r="F70" s="8">
        <v>0</v>
      </c>
      <c r="G70" s="12">
        <v>2</v>
      </c>
      <c r="H70" s="8">
        <v>3.7</v>
      </c>
      <c r="I70" s="12">
        <v>0</v>
      </c>
    </row>
    <row r="71" spans="2:9" ht="15" customHeight="1" x14ac:dyDescent="0.2">
      <c r="B71" t="s">
        <v>309</v>
      </c>
      <c r="C71" s="12">
        <v>2</v>
      </c>
      <c r="D71" s="8">
        <v>1.36</v>
      </c>
      <c r="E71" s="12">
        <v>0</v>
      </c>
      <c r="F71" s="8">
        <v>0</v>
      </c>
      <c r="G71" s="12">
        <v>2</v>
      </c>
      <c r="H71" s="8">
        <v>3.7</v>
      </c>
      <c r="I71" s="12">
        <v>0</v>
      </c>
    </row>
    <row r="72" spans="2:9" ht="15" customHeight="1" x14ac:dyDescent="0.2">
      <c r="B72" t="s">
        <v>332</v>
      </c>
      <c r="C72" s="12">
        <v>2</v>
      </c>
      <c r="D72" s="8">
        <v>1.36</v>
      </c>
      <c r="E72" s="12">
        <v>1</v>
      </c>
      <c r="F72" s="8">
        <v>1.27</v>
      </c>
      <c r="G72" s="12">
        <v>1</v>
      </c>
      <c r="H72" s="8">
        <v>1.85</v>
      </c>
      <c r="I72" s="12">
        <v>0</v>
      </c>
    </row>
    <row r="73" spans="2:9" ht="15" customHeight="1" x14ac:dyDescent="0.2">
      <c r="B73" t="s">
        <v>295</v>
      </c>
      <c r="C73" s="12">
        <v>2</v>
      </c>
      <c r="D73" s="8">
        <v>1.36</v>
      </c>
      <c r="E73" s="12">
        <v>2</v>
      </c>
      <c r="F73" s="8">
        <v>2.5299999999999998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403</v>
      </c>
      <c r="C74" s="12">
        <v>2</v>
      </c>
      <c r="D74" s="8">
        <v>1.36</v>
      </c>
      <c r="E74" s="12">
        <v>0</v>
      </c>
      <c r="F74" s="8">
        <v>0</v>
      </c>
      <c r="G74" s="12">
        <v>2</v>
      </c>
      <c r="H74" s="8">
        <v>3.7</v>
      </c>
      <c r="I74" s="12">
        <v>0</v>
      </c>
    </row>
    <row r="75" spans="2:9" ht="15" customHeight="1" x14ac:dyDescent="0.2">
      <c r="B75" t="s">
        <v>299</v>
      </c>
      <c r="C75" s="12">
        <v>2</v>
      </c>
      <c r="D75" s="8">
        <v>1.36</v>
      </c>
      <c r="E75" s="12">
        <v>2</v>
      </c>
      <c r="F75" s="8">
        <v>2.5299999999999998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305</v>
      </c>
      <c r="C76" s="12">
        <v>2</v>
      </c>
      <c r="D76" s="8">
        <v>1.36</v>
      </c>
      <c r="E76" s="12">
        <v>1</v>
      </c>
      <c r="F76" s="8">
        <v>1.27</v>
      </c>
      <c r="G76" s="12">
        <v>1</v>
      </c>
      <c r="H76" s="8">
        <v>1.85</v>
      </c>
      <c r="I76" s="12">
        <v>0</v>
      </c>
    </row>
    <row r="77" spans="2:9" ht="15" customHeight="1" x14ac:dyDescent="0.2">
      <c r="B77" t="s">
        <v>306</v>
      </c>
      <c r="C77" s="12">
        <v>2</v>
      </c>
      <c r="D77" s="8">
        <v>1.36</v>
      </c>
      <c r="E77" s="12">
        <v>2</v>
      </c>
      <c r="F77" s="8">
        <v>2.5299999999999998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370</v>
      </c>
      <c r="C78" s="12">
        <v>2</v>
      </c>
      <c r="D78" s="8">
        <v>1.36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371</v>
      </c>
      <c r="C79" s="12">
        <v>2</v>
      </c>
      <c r="D79" s="8">
        <v>1.36</v>
      </c>
      <c r="E79" s="12">
        <v>2</v>
      </c>
      <c r="F79" s="8">
        <v>2.5299999999999998</v>
      </c>
      <c r="G79" s="12">
        <v>0</v>
      </c>
      <c r="H79" s="8">
        <v>0</v>
      </c>
      <c r="I79" s="12">
        <v>0</v>
      </c>
    </row>
    <row r="81" spans="2:2" ht="15" customHeight="1" x14ac:dyDescent="0.2">
      <c r="B8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9F65-11F0-48B3-A4CF-9E75164BE0C3}">
  <sheetPr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721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10</v>
      </c>
      <c r="D6" s="8">
        <v>5.81</v>
      </c>
      <c r="E6" s="12">
        <v>3</v>
      </c>
      <c r="F6" s="8">
        <v>3.49</v>
      </c>
      <c r="G6" s="12">
        <v>7</v>
      </c>
      <c r="H6" s="8">
        <v>8.5399999999999991</v>
      </c>
      <c r="I6" s="12">
        <v>0</v>
      </c>
    </row>
    <row r="7" spans="2:9" ht="15" customHeight="1" x14ac:dyDescent="0.2">
      <c r="B7" t="s">
        <v>192</v>
      </c>
      <c r="C7" s="12">
        <v>21</v>
      </c>
      <c r="D7" s="8">
        <v>12.21</v>
      </c>
      <c r="E7" s="12">
        <v>4</v>
      </c>
      <c r="F7" s="8">
        <v>4.6500000000000004</v>
      </c>
      <c r="G7" s="12">
        <v>17</v>
      </c>
      <c r="H7" s="8">
        <v>20.73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0.57999999999999996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0.57999999999999996</v>
      </c>
      <c r="E9" s="12">
        <v>0</v>
      </c>
      <c r="F9" s="8">
        <v>0</v>
      </c>
      <c r="G9" s="12">
        <v>1</v>
      </c>
      <c r="H9" s="8">
        <v>1.22</v>
      </c>
      <c r="I9" s="12">
        <v>0</v>
      </c>
    </row>
    <row r="10" spans="2:9" ht="15" customHeight="1" x14ac:dyDescent="0.2">
      <c r="B10" t="s">
        <v>195</v>
      </c>
      <c r="C10" s="12">
        <v>6</v>
      </c>
      <c r="D10" s="8">
        <v>3.49</v>
      </c>
      <c r="E10" s="12">
        <v>1</v>
      </c>
      <c r="F10" s="8">
        <v>1.1599999999999999</v>
      </c>
      <c r="G10" s="12">
        <v>5</v>
      </c>
      <c r="H10" s="8">
        <v>6.1</v>
      </c>
      <c r="I10" s="12">
        <v>0</v>
      </c>
    </row>
    <row r="11" spans="2:9" ht="15" customHeight="1" x14ac:dyDescent="0.2">
      <c r="B11" t="s">
        <v>196</v>
      </c>
      <c r="C11" s="12">
        <v>40</v>
      </c>
      <c r="D11" s="8">
        <v>23.26</v>
      </c>
      <c r="E11" s="12">
        <v>13</v>
      </c>
      <c r="F11" s="8">
        <v>15.12</v>
      </c>
      <c r="G11" s="12">
        <v>27</v>
      </c>
      <c r="H11" s="8">
        <v>32.93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0.57999999999999996</v>
      </c>
      <c r="E12" s="12">
        <v>0</v>
      </c>
      <c r="F12" s="8">
        <v>0</v>
      </c>
      <c r="G12" s="12">
        <v>1</v>
      </c>
      <c r="H12" s="8">
        <v>1.22</v>
      </c>
      <c r="I12" s="12">
        <v>0</v>
      </c>
    </row>
    <row r="13" spans="2:9" ht="15" customHeight="1" x14ac:dyDescent="0.2">
      <c r="B13" t="s">
        <v>198</v>
      </c>
      <c r="C13" s="12">
        <v>26</v>
      </c>
      <c r="D13" s="8">
        <v>15.12</v>
      </c>
      <c r="E13" s="12">
        <v>16</v>
      </c>
      <c r="F13" s="8">
        <v>18.600000000000001</v>
      </c>
      <c r="G13" s="12">
        <v>10</v>
      </c>
      <c r="H13" s="8">
        <v>12.2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1.1599999999999999</v>
      </c>
      <c r="E14" s="12">
        <v>1</v>
      </c>
      <c r="F14" s="8">
        <v>1.1599999999999999</v>
      </c>
      <c r="G14" s="12">
        <v>1</v>
      </c>
      <c r="H14" s="8">
        <v>1.22</v>
      </c>
      <c r="I14" s="12">
        <v>0</v>
      </c>
    </row>
    <row r="15" spans="2:9" ht="15" customHeight="1" x14ac:dyDescent="0.2">
      <c r="B15" t="s">
        <v>200</v>
      </c>
      <c r="C15" s="12">
        <v>33</v>
      </c>
      <c r="D15" s="8">
        <v>19.190000000000001</v>
      </c>
      <c r="E15" s="12">
        <v>29</v>
      </c>
      <c r="F15" s="8">
        <v>33.72</v>
      </c>
      <c r="G15" s="12">
        <v>4</v>
      </c>
      <c r="H15" s="8">
        <v>4.88</v>
      </c>
      <c r="I15" s="12">
        <v>0</v>
      </c>
    </row>
    <row r="16" spans="2:9" ht="15" customHeight="1" x14ac:dyDescent="0.2">
      <c r="B16" t="s">
        <v>201</v>
      </c>
      <c r="C16" s="12">
        <v>17</v>
      </c>
      <c r="D16" s="8">
        <v>9.8800000000000008</v>
      </c>
      <c r="E16" s="12">
        <v>14</v>
      </c>
      <c r="F16" s="8">
        <v>16.28</v>
      </c>
      <c r="G16" s="12">
        <v>2</v>
      </c>
      <c r="H16" s="8">
        <v>2.44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0.57999999999999996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3.49</v>
      </c>
      <c r="E18" s="12">
        <v>3</v>
      </c>
      <c r="F18" s="8">
        <v>3.49</v>
      </c>
      <c r="G18" s="12">
        <v>2</v>
      </c>
      <c r="H18" s="8">
        <v>2.44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4.07</v>
      </c>
      <c r="E19" s="12">
        <v>2</v>
      </c>
      <c r="F19" s="8">
        <v>2.33</v>
      </c>
      <c r="G19" s="12">
        <v>5</v>
      </c>
      <c r="H19" s="8">
        <v>6.1</v>
      </c>
      <c r="I19" s="12">
        <v>0</v>
      </c>
    </row>
    <row r="20" spans="2:9" ht="15" customHeight="1" x14ac:dyDescent="0.2">
      <c r="B20" s="9" t="s">
        <v>529</v>
      </c>
      <c r="C20" s="12">
        <f>SUM(LTBL_01694[総数／事業所数])</f>
        <v>172</v>
      </c>
      <c r="E20" s="12">
        <f>SUBTOTAL(109,LTBL_01694[個人／事業所数])</f>
        <v>86</v>
      </c>
      <c r="G20" s="12">
        <f>SUBTOTAL(109,LTBL_01694[法人／事業所数])</f>
        <v>82</v>
      </c>
      <c r="I20" s="12">
        <f>SUBTOTAL(109,LTBL_01694[法人以外の団体／事業所数])</f>
        <v>0</v>
      </c>
    </row>
    <row r="21" spans="2:9" ht="15" customHeight="1" x14ac:dyDescent="0.2">
      <c r="E21" s="11">
        <f>LTBL_01694[[#Totals],[個人／事業所数]]/LTBL_01694[[#Totals],[総数／事業所数]]</f>
        <v>0.5</v>
      </c>
      <c r="G21" s="11">
        <f>LTBL_01694[[#Totals],[法人／事業所数]]/LTBL_01694[[#Totals],[総数／事業所数]]</f>
        <v>0.47674418604651164</v>
      </c>
      <c r="I21" s="11">
        <f>LTBL_01694[[#Totals],[法人以外の団体／事業所数]]/LTBL_01694[[#Totals],[総数／事業所数]]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26</v>
      </c>
      <c r="D24" s="8">
        <v>15.12</v>
      </c>
      <c r="E24" s="12">
        <v>16</v>
      </c>
      <c r="F24" s="8">
        <v>18.600000000000001</v>
      </c>
      <c r="G24" s="12">
        <v>10</v>
      </c>
      <c r="H24" s="8">
        <v>12.2</v>
      </c>
      <c r="I24" s="12">
        <v>0</v>
      </c>
    </row>
    <row r="25" spans="2:9" ht="15" customHeight="1" x14ac:dyDescent="0.2">
      <c r="B25" t="s">
        <v>227</v>
      </c>
      <c r="C25" s="12">
        <v>23</v>
      </c>
      <c r="D25" s="8">
        <v>13.37</v>
      </c>
      <c r="E25" s="12">
        <v>23</v>
      </c>
      <c r="F25" s="8">
        <v>26.74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228</v>
      </c>
      <c r="C26" s="12">
        <v>15</v>
      </c>
      <c r="D26" s="8">
        <v>8.7200000000000006</v>
      </c>
      <c r="E26" s="12">
        <v>13</v>
      </c>
      <c r="F26" s="8">
        <v>15.12</v>
      </c>
      <c r="G26" s="12">
        <v>2</v>
      </c>
      <c r="H26" s="8">
        <v>2.44</v>
      </c>
      <c r="I26" s="12">
        <v>0</v>
      </c>
    </row>
    <row r="27" spans="2:9" ht="15" customHeight="1" x14ac:dyDescent="0.2">
      <c r="B27" t="s">
        <v>241</v>
      </c>
      <c r="C27" s="12">
        <v>13</v>
      </c>
      <c r="D27" s="8">
        <v>7.56</v>
      </c>
      <c r="E27" s="12">
        <v>4</v>
      </c>
      <c r="F27" s="8">
        <v>4.6500000000000004</v>
      </c>
      <c r="G27" s="12">
        <v>9</v>
      </c>
      <c r="H27" s="8">
        <v>10.98</v>
      </c>
      <c r="I27" s="12">
        <v>0</v>
      </c>
    </row>
    <row r="28" spans="2:9" ht="15" customHeight="1" x14ac:dyDescent="0.2">
      <c r="B28" t="s">
        <v>221</v>
      </c>
      <c r="C28" s="12">
        <v>12</v>
      </c>
      <c r="D28" s="8">
        <v>6.98</v>
      </c>
      <c r="E28" s="12">
        <v>6</v>
      </c>
      <c r="F28" s="8">
        <v>6.98</v>
      </c>
      <c r="G28" s="12">
        <v>6</v>
      </c>
      <c r="H28" s="8">
        <v>7.32</v>
      </c>
      <c r="I28" s="12">
        <v>0</v>
      </c>
    </row>
    <row r="29" spans="2:9" ht="15" customHeight="1" x14ac:dyDescent="0.2">
      <c r="B29" t="s">
        <v>223</v>
      </c>
      <c r="C29" s="12">
        <v>11</v>
      </c>
      <c r="D29" s="8">
        <v>6.4</v>
      </c>
      <c r="E29" s="12">
        <v>2</v>
      </c>
      <c r="F29" s="8">
        <v>2.33</v>
      </c>
      <c r="G29" s="12">
        <v>9</v>
      </c>
      <c r="H29" s="8">
        <v>10.98</v>
      </c>
      <c r="I29" s="12">
        <v>0</v>
      </c>
    </row>
    <row r="30" spans="2:9" ht="15" customHeight="1" x14ac:dyDescent="0.2">
      <c r="B30" t="s">
        <v>243</v>
      </c>
      <c r="C30" s="12">
        <v>10</v>
      </c>
      <c r="D30" s="8">
        <v>5.81</v>
      </c>
      <c r="E30" s="12">
        <v>6</v>
      </c>
      <c r="F30" s="8">
        <v>6.98</v>
      </c>
      <c r="G30" s="12">
        <v>4</v>
      </c>
      <c r="H30" s="8">
        <v>4.88</v>
      </c>
      <c r="I30" s="12">
        <v>0</v>
      </c>
    </row>
    <row r="31" spans="2:9" ht="15" customHeight="1" x14ac:dyDescent="0.2">
      <c r="B31" t="s">
        <v>220</v>
      </c>
      <c r="C31" s="12">
        <v>6</v>
      </c>
      <c r="D31" s="8">
        <v>3.49</v>
      </c>
      <c r="E31" s="12">
        <v>3</v>
      </c>
      <c r="F31" s="8">
        <v>3.49</v>
      </c>
      <c r="G31" s="12">
        <v>3</v>
      </c>
      <c r="H31" s="8">
        <v>3.66</v>
      </c>
      <c r="I31" s="12">
        <v>0</v>
      </c>
    </row>
    <row r="32" spans="2:9" ht="15" customHeight="1" x14ac:dyDescent="0.2">
      <c r="B32" t="s">
        <v>213</v>
      </c>
      <c r="C32" s="12">
        <v>4</v>
      </c>
      <c r="D32" s="8">
        <v>2.33</v>
      </c>
      <c r="E32" s="12">
        <v>0</v>
      </c>
      <c r="F32" s="8">
        <v>0</v>
      </c>
      <c r="G32" s="12">
        <v>4</v>
      </c>
      <c r="H32" s="8">
        <v>4.88</v>
      </c>
      <c r="I32" s="12">
        <v>0</v>
      </c>
    </row>
    <row r="33" spans="2:9" ht="15" customHeight="1" x14ac:dyDescent="0.2">
      <c r="B33" t="s">
        <v>214</v>
      </c>
      <c r="C33" s="12">
        <v>4</v>
      </c>
      <c r="D33" s="8">
        <v>2.33</v>
      </c>
      <c r="E33" s="12">
        <v>2</v>
      </c>
      <c r="F33" s="8">
        <v>2.33</v>
      </c>
      <c r="G33" s="12">
        <v>2</v>
      </c>
      <c r="H33" s="8">
        <v>2.44</v>
      </c>
      <c r="I33" s="12">
        <v>0</v>
      </c>
    </row>
    <row r="34" spans="2:9" ht="15" customHeight="1" x14ac:dyDescent="0.2">
      <c r="B34" t="s">
        <v>262</v>
      </c>
      <c r="C34" s="12">
        <v>4</v>
      </c>
      <c r="D34" s="8">
        <v>2.33</v>
      </c>
      <c r="E34" s="12">
        <v>0</v>
      </c>
      <c r="F34" s="8">
        <v>0</v>
      </c>
      <c r="G34" s="12">
        <v>4</v>
      </c>
      <c r="H34" s="8">
        <v>4.88</v>
      </c>
      <c r="I34" s="12">
        <v>0</v>
      </c>
    </row>
    <row r="35" spans="2:9" ht="15" customHeight="1" x14ac:dyDescent="0.2">
      <c r="B35" t="s">
        <v>216</v>
      </c>
      <c r="C35" s="12">
        <v>4</v>
      </c>
      <c r="D35" s="8">
        <v>2.33</v>
      </c>
      <c r="E35" s="12">
        <v>1</v>
      </c>
      <c r="F35" s="8">
        <v>1.1599999999999999</v>
      </c>
      <c r="G35" s="12">
        <v>3</v>
      </c>
      <c r="H35" s="8">
        <v>3.66</v>
      </c>
      <c r="I35" s="12">
        <v>0</v>
      </c>
    </row>
    <row r="36" spans="2:9" ht="15" customHeight="1" x14ac:dyDescent="0.2">
      <c r="B36" t="s">
        <v>231</v>
      </c>
      <c r="C36" s="12">
        <v>4</v>
      </c>
      <c r="D36" s="8">
        <v>2.33</v>
      </c>
      <c r="E36" s="12">
        <v>3</v>
      </c>
      <c r="F36" s="8">
        <v>3.49</v>
      </c>
      <c r="G36" s="12">
        <v>1</v>
      </c>
      <c r="H36" s="8">
        <v>1.22</v>
      </c>
      <c r="I36" s="12">
        <v>0</v>
      </c>
    </row>
    <row r="37" spans="2:9" ht="15" customHeight="1" x14ac:dyDescent="0.2">
      <c r="B37" t="s">
        <v>218</v>
      </c>
      <c r="C37" s="12">
        <v>3</v>
      </c>
      <c r="D37" s="8">
        <v>1.74</v>
      </c>
      <c r="E37" s="12">
        <v>0</v>
      </c>
      <c r="F37" s="8">
        <v>0</v>
      </c>
      <c r="G37" s="12">
        <v>3</v>
      </c>
      <c r="H37" s="8">
        <v>3.66</v>
      </c>
      <c r="I37" s="12">
        <v>0</v>
      </c>
    </row>
    <row r="38" spans="2:9" ht="15" customHeight="1" x14ac:dyDescent="0.2">
      <c r="B38" t="s">
        <v>215</v>
      </c>
      <c r="C38" s="12">
        <v>2</v>
      </c>
      <c r="D38" s="8">
        <v>1.1599999999999999</v>
      </c>
      <c r="E38" s="12">
        <v>1</v>
      </c>
      <c r="F38" s="8">
        <v>1.1599999999999999</v>
      </c>
      <c r="G38" s="12">
        <v>1</v>
      </c>
      <c r="H38" s="8">
        <v>1.22</v>
      </c>
      <c r="I38" s="12">
        <v>0</v>
      </c>
    </row>
    <row r="39" spans="2:9" ht="15" customHeight="1" x14ac:dyDescent="0.2">
      <c r="B39" t="s">
        <v>257</v>
      </c>
      <c r="C39" s="12">
        <v>2</v>
      </c>
      <c r="D39" s="8">
        <v>1.1599999999999999</v>
      </c>
      <c r="E39" s="12">
        <v>0</v>
      </c>
      <c r="F39" s="8">
        <v>0</v>
      </c>
      <c r="G39" s="12">
        <v>2</v>
      </c>
      <c r="H39" s="8">
        <v>2.44</v>
      </c>
      <c r="I39" s="12">
        <v>0</v>
      </c>
    </row>
    <row r="40" spans="2:9" ht="15" customHeight="1" x14ac:dyDescent="0.2">
      <c r="B40" t="s">
        <v>248</v>
      </c>
      <c r="C40" s="12">
        <v>2</v>
      </c>
      <c r="D40" s="8">
        <v>1.1599999999999999</v>
      </c>
      <c r="E40" s="12">
        <v>1</v>
      </c>
      <c r="F40" s="8">
        <v>1.1599999999999999</v>
      </c>
      <c r="G40" s="12">
        <v>1</v>
      </c>
      <c r="H40" s="8">
        <v>1.22</v>
      </c>
      <c r="I40" s="12">
        <v>0</v>
      </c>
    </row>
    <row r="41" spans="2:9" ht="15" customHeight="1" x14ac:dyDescent="0.2">
      <c r="B41" t="s">
        <v>261</v>
      </c>
      <c r="C41" s="12">
        <v>2</v>
      </c>
      <c r="D41" s="8">
        <v>1.1599999999999999</v>
      </c>
      <c r="E41" s="12">
        <v>0</v>
      </c>
      <c r="F41" s="8">
        <v>0</v>
      </c>
      <c r="G41" s="12">
        <v>2</v>
      </c>
      <c r="H41" s="8">
        <v>2.44</v>
      </c>
      <c r="I41" s="12">
        <v>0</v>
      </c>
    </row>
    <row r="42" spans="2:9" ht="15" customHeight="1" x14ac:dyDescent="0.2">
      <c r="B42" t="s">
        <v>222</v>
      </c>
      <c r="C42" s="12">
        <v>2</v>
      </c>
      <c r="D42" s="8">
        <v>1.1599999999999999</v>
      </c>
      <c r="E42" s="12">
        <v>1</v>
      </c>
      <c r="F42" s="8">
        <v>1.1599999999999999</v>
      </c>
      <c r="G42" s="12">
        <v>1</v>
      </c>
      <c r="H42" s="8">
        <v>1.22</v>
      </c>
      <c r="I42" s="12">
        <v>0</v>
      </c>
    </row>
    <row r="43" spans="2:9" ht="15" customHeight="1" x14ac:dyDescent="0.2">
      <c r="B43" t="s">
        <v>232</v>
      </c>
      <c r="C43" s="12">
        <v>2</v>
      </c>
      <c r="D43" s="8">
        <v>1.1599999999999999</v>
      </c>
      <c r="E43" s="12">
        <v>0</v>
      </c>
      <c r="F43" s="8">
        <v>0</v>
      </c>
      <c r="G43" s="12">
        <v>1</v>
      </c>
      <c r="H43" s="8">
        <v>1.22</v>
      </c>
      <c r="I43" s="12">
        <v>0</v>
      </c>
    </row>
    <row r="44" spans="2:9" ht="15" customHeight="1" x14ac:dyDescent="0.2">
      <c r="B44" t="s">
        <v>249</v>
      </c>
      <c r="C44" s="12">
        <v>2</v>
      </c>
      <c r="D44" s="8">
        <v>1.1599999999999999</v>
      </c>
      <c r="E44" s="12">
        <v>0</v>
      </c>
      <c r="F44" s="8">
        <v>0</v>
      </c>
      <c r="G44" s="12">
        <v>2</v>
      </c>
      <c r="H44" s="8">
        <v>2.44</v>
      </c>
      <c r="I44" s="12">
        <v>0</v>
      </c>
    </row>
    <row r="45" spans="2:9" ht="15" customHeight="1" x14ac:dyDescent="0.2">
      <c r="B45" t="s">
        <v>240</v>
      </c>
      <c r="C45" s="12">
        <v>2</v>
      </c>
      <c r="D45" s="8">
        <v>1.1599999999999999</v>
      </c>
      <c r="E45" s="12">
        <v>2</v>
      </c>
      <c r="F45" s="8">
        <v>2.33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242</v>
      </c>
      <c r="C46" s="12">
        <v>2</v>
      </c>
      <c r="D46" s="8">
        <v>1.1599999999999999</v>
      </c>
      <c r="E46" s="12">
        <v>0</v>
      </c>
      <c r="F46" s="8">
        <v>0</v>
      </c>
      <c r="G46" s="12">
        <v>2</v>
      </c>
      <c r="H46" s="8">
        <v>2.44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297</v>
      </c>
      <c r="C50" s="12">
        <v>21</v>
      </c>
      <c r="D50" s="8">
        <v>12.21</v>
      </c>
      <c r="E50" s="12">
        <v>14</v>
      </c>
      <c r="F50" s="8">
        <v>16.28</v>
      </c>
      <c r="G50" s="12">
        <v>7</v>
      </c>
      <c r="H50" s="8">
        <v>8.5399999999999991</v>
      </c>
      <c r="I50" s="12">
        <v>0</v>
      </c>
    </row>
    <row r="51" spans="2:9" ht="15" customHeight="1" x14ac:dyDescent="0.2">
      <c r="B51" t="s">
        <v>342</v>
      </c>
      <c r="C51" s="12">
        <v>12</v>
      </c>
      <c r="D51" s="8">
        <v>6.98</v>
      </c>
      <c r="E51" s="12">
        <v>4</v>
      </c>
      <c r="F51" s="8">
        <v>4.6500000000000004</v>
      </c>
      <c r="G51" s="12">
        <v>8</v>
      </c>
      <c r="H51" s="8">
        <v>9.76</v>
      </c>
      <c r="I51" s="12">
        <v>0</v>
      </c>
    </row>
    <row r="52" spans="2:9" ht="15" customHeight="1" x14ac:dyDescent="0.2">
      <c r="B52" t="s">
        <v>339</v>
      </c>
      <c r="C52" s="12">
        <v>9</v>
      </c>
      <c r="D52" s="8">
        <v>5.23</v>
      </c>
      <c r="E52" s="12">
        <v>5</v>
      </c>
      <c r="F52" s="8">
        <v>5.81</v>
      </c>
      <c r="G52" s="12">
        <v>4</v>
      </c>
      <c r="H52" s="8">
        <v>4.88</v>
      </c>
      <c r="I52" s="12">
        <v>0</v>
      </c>
    </row>
    <row r="53" spans="2:9" ht="15" customHeight="1" x14ac:dyDescent="0.2">
      <c r="B53" t="s">
        <v>301</v>
      </c>
      <c r="C53" s="12">
        <v>9</v>
      </c>
      <c r="D53" s="8">
        <v>5.23</v>
      </c>
      <c r="E53" s="12">
        <v>9</v>
      </c>
      <c r="F53" s="8">
        <v>10.47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304</v>
      </c>
      <c r="C54" s="12">
        <v>9</v>
      </c>
      <c r="D54" s="8">
        <v>5.23</v>
      </c>
      <c r="E54" s="12">
        <v>8</v>
      </c>
      <c r="F54" s="8">
        <v>9.3000000000000007</v>
      </c>
      <c r="G54" s="12">
        <v>1</v>
      </c>
      <c r="H54" s="8">
        <v>1.22</v>
      </c>
      <c r="I54" s="12">
        <v>0</v>
      </c>
    </row>
    <row r="55" spans="2:9" ht="15" customHeight="1" x14ac:dyDescent="0.2">
      <c r="B55" t="s">
        <v>292</v>
      </c>
      <c r="C55" s="12">
        <v>6</v>
      </c>
      <c r="D55" s="8">
        <v>3.49</v>
      </c>
      <c r="E55" s="12">
        <v>4</v>
      </c>
      <c r="F55" s="8">
        <v>4.6500000000000004</v>
      </c>
      <c r="G55" s="12">
        <v>2</v>
      </c>
      <c r="H55" s="8">
        <v>2.44</v>
      </c>
      <c r="I55" s="12">
        <v>0</v>
      </c>
    </row>
    <row r="56" spans="2:9" ht="15" customHeight="1" x14ac:dyDescent="0.2">
      <c r="B56" t="s">
        <v>300</v>
      </c>
      <c r="C56" s="12">
        <v>5</v>
      </c>
      <c r="D56" s="8">
        <v>2.91</v>
      </c>
      <c r="E56" s="12">
        <v>5</v>
      </c>
      <c r="F56" s="8">
        <v>5.81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303</v>
      </c>
      <c r="C57" s="12">
        <v>5</v>
      </c>
      <c r="D57" s="8">
        <v>2.91</v>
      </c>
      <c r="E57" s="12">
        <v>5</v>
      </c>
      <c r="F57" s="8">
        <v>5.81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314</v>
      </c>
      <c r="C58" s="12">
        <v>4</v>
      </c>
      <c r="D58" s="8">
        <v>2.33</v>
      </c>
      <c r="E58" s="12">
        <v>2</v>
      </c>
      <c r="F58" s="8">
        <v>2.33</v>
      </c>
      <c r="G58" s="12">
        <v>2</v>
      </c>
      <c r="H58" s="8">
        <v>2.44</v>
      </c>
      <c r="I58" s="12">
        <v>0</v>
      </c>
    </row>
    <row r="59" spans="2:9" ht="15" customHeight="1" x14ac:dyDescent="0.2">
      <c r="B59" t="s">
        <v>334</v>
      </c>
      <c r="C59" s="12">
        <v>4</v>
      </c>
      <c r="D59" s="8">
        <v>2.33</v>
      </c>
      <c r="E59" s="12">
        <v>4</v>
      </c>
      <c r="F59" s="8">
        <v>4.6500000000000004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333</v>
      </c>
      <c r="C60" s="12">
        <v>3</v>
      </c>
      <c r="D60" s="8">
        <v>1.74</v>
      </c>
      <c r="E60" s="12">
        <v>2</v>
      </c>
      <c r="F60" s="8">
        <v>2.33</v>
      </c>
      <c r="G60" s="12">
        <v>1</v>
      </c>
      <c r="H60" s="8">
        <v>1.22</v>
      </c>
      <c r="I60" s="12">
        <v>0</v>
      </c>
    </row>
    <row r="61" spans="2:9" ht="15" customHeight="1" x14ac:dyDescent="0.2">
      <c r="B61" t="s">
        <v>324</v>
      </c>
      <c r="C61" s="12">
        <v>3</v>
      </c>
      <c r="D61" s="8">
        <v>1.74</v>
      </c>
      <c r="E61" s="12">
        <v>1</v>
      </c>
      <c r="F61" s="8">
        <v>1.1599999999999999</v>
      </c>
      <c r="G61" s="12">
        <v>2</v>
      </c>
      <c r="H61" s="8">
        <v>2.44</v>
      </c>
      <c r="I61" s="12">
        <v>0</v>
      </c>
    </row>
    <row r="62" spans="2:9" ht="15" customHeight="1" x14ac:dyDescent="0.2">
      <c r="B62" t="s">
        <v>330</v>
      </c>
      <c r="C62" s="12">
        <v>3</v>
      </c>
      <c r="D62" s="8">
        <v>1.74</v>
      </c>
      <c r="E62" s="12">
        <v>1</v>
      </c>
      <c r="F62" s="8">
        <v>1.1599999999999999</v>
      </c>
      <c r="G62" s="12">
        <v>2</v>
      </c>
      <c r="H62" s="8">
        <v>2.44</v>
      </c>
      <c r="I62" s="12">
        <v>0</v>
      </c>
    </row>
    <row r="63" spans="2:9" ht="15" customHeight="1" x14ac:dyDescent="0.2">
      <c r="B63" t="s">
        <v>296</v>
      </c>
      <c r="C63" s="12">
        <v>3</v>
      </c>
      <c r="D63" s="8">
        <v>1.74</v>
      </c>
      <c r="E63" s="12">
        <v>1</v>
      </c>
      <c r="F63" s="8">
        <v>1.1599999999999999</v>
      </c>
      <c r="G63" s="12">
        <v>2</v>
      </c>
      <c r="H63" s="8">
        <v>2.44</v>
      </c>
      <c r="I63" s="12">
        <v>0</v>
      </c>
    </row>
    <row r="64" spans="2:9" ht="15" customHeight="1" x14ac:dyDescent="0.2">
      <c r="B64" t="s">
        <v>302</v>
      </c>
      <c r="C64" s="12">
        <v>3</v>
      </c>
      <c r="D64" s="8">
        <v>1.74</v>
      </c>
      <c r="E64" s="12">
        <v>3</v>
      </c>
      <c r="F64" s="8">
        <v>3.49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306</v>
      </c>
      <c r="C65" s="12">
        <v>3</v>
      </c>
      <c r="D65" s="8">
        <v>1.74</v>
      </c>
      <c r="E65" s="12">
        <v>3</v>
      </c>
      <c r="F65" s="8">
        <v>3.49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289</v>
      </c>
      <c r="C66" s="12">
        <v>2</v>
      </c>
      <c r="D66" s="8">
        <v>1.1599999999999999</v>
      </c>
      <c r="E66" s="12">
        <v>0</v>
      </c>
      <c r="F66" s="8">
        <v>0</v>
      </c>
      <c r="G66" s="12">
        <v>2</v>
      </c>
      <c r="H66" s="8">
        <v>2.44</v>
      </c>
      <c r="I66" s="12">
        <v>0</v>
      </c>
    </row>
    <row r="67" spans="2:9" ht="15" customHeight="1" x14ac:dyDescent="0.2">
      <c r="B67" t="s">
        <v>525</v>
      </c>
      <c r="C67" s="12">
        <v>2</v>
      </c>
      <c r="D67" s="8">
        <v>1.1599999999999999</v>
      </c>
      <c r="E67" s="12">
        <v>0</v>
      </c>
      <c r="F67" s="8">
        <v>0</v>
      </c>
      <c r="G67" s="12">
        <v>2</v>
      </c>
      <c r="H67" s="8">
        <v>2.44</v>
      </c>
      <c r="I67" s="12">
        <v>0</v>
      </c>
    </row>
    <row r="68" spans="2:9" ht="15" customHeight="1" x14ac:dyDescent="0.2">
      <c r="B68" t="s">
        <v>357</v>
      </c>
      <c r="C68" s="12">
        <v>2</v>
      </c>
      <c r="D68" s="8">
        <v>1.1599999999999999</v>
      </c>
      <c r="E68" s="12">
        <v>0</v>
      </c>
      <c r="F68" s="8">
        <v>0</v>
      </c>
      <c r="G68" s="12">
        <v>2</v>
      </c>
      <c r="H68" s="8">
        <v>2.44</v>
      </c>
      <c r="I68" s="12">
        <v>0</v>
      </c>
    </row>
    <row r="69" spans="2:9" ht="15" customHeight="1" x14ac:dyDescent="0.2">
      <c r="B69" t="s">
        <v>364</v>
      </c>
      <c r="C69" s="12">
        <v>2</v>
      </c>
      <c r="D69" s="8">
        <v>1.1599999999999999</v>
      </c>
      <c r="E69" s="12">
        <v>0</v>
      </c>
      <c r="F69" s="8">
        <v>0</v>
      </c>
      <c r="G69" s="12">
        <v>2</v>
      </c>
      <c r="H69" s="8">
        <v>2.44</v>
      </c>
      <c r="I69" s="12">
        <v>0</v>
      </c>
    </row>
    <row r="70" spans="2:9" ht="15" customHeight="1" x14ac:dyDescent="0.2">
      <c r="B70" t="s">
        <v>441</v>
      </c>
      <c r="C70" s="12">
        <v>2</v>
      </c>
      <c r="D70" s="8">
        <v>1.1599999999999999</v>
      </c>
      <c r="E70" s="12">
        <v>0</v>
      </c>
      <c r="F70" s="8">
        <v>0</v>
      </c>
      <c r="G70" s="12">
        <v>2</v>
      </c>
      <c r="H70" s="8">
        <v>2.44</v>
      </c>
      <c r="I70" s="12">
        <v>0</v>
      </c>
    </row>
    <row r="71" spans="2:9" ht="15" customHeight="1" x14ac:dyDescent="0.2">
      <c r="B71" t="s">
        <v>354</v>
      </c>
      <c r="C71" s="12">
        <v>2</v>
      </c>
      <c r="D71" s="8">
        <v>1.1599999999999999</v>
      </c>
      <c r="E71" s="12">
        <v>0</v>
      </c>
      <c r="F71" s="8">
        <v>0</v>
      </c>
      <c r="G71" s="12">
        <v>2</v>
      </c>
      <c r="H71" s="8">
        <v>2.44</v>
      </c>
      <c r="I71" s="12">
        <v>0</v>
      </c>
    </row>
    <row r="72" spans="2:9" ht="15" customHeight="1" x14ac:dyDescent="0.2">
      <c r="B72" t="s">
        <v>332</v>
      </c>
      <c r="C72" s="12">
        <v>2</v>
      </c>
      <c r="D72" s="8">
        <v>1.1599999999999999</v>
      </c>
      <c r="E72" s="12">
        <v>1</v>
      </c>
      <c r="F72" s="8">
        <v>1.1599999999999999</v>
      </c>
      <c r="G72" s="12">
        <v>1</v>
      </c>
      <c r="H72" s="8">
        <v>1.22</v>
      </c>
      <c r="I72" s="12">
        <v>0</v>
      </c>
    </row>
    <row r="73" spans="2:9" ht="15" customHeight="1" x14ac:dyDescent="0.2">
      <c r="B73" t="s">
        <v>294</v>
      </c>
      <c r="C73" s="12">
        <v>2</v>
      </c>
      <c r="D73" s="8">
        <v>1.1599999999999999</v>
      </c>
      <c r="E73" s="12">
        <v>0</v>
      </c>
      <c r="F73" s="8">
        <v>0</v>
      </c>
      <c r="G73" s="12">
        <v>2</v>
      </c>
      <c r="H73" s="8">
        <v>2.44</v>
      </c>
      <c r="I73" s="12">
        <v>0</v>
      </c>
    </row>
    <row r="74" spans="2:9" ht="15" customHeight="1" x14ac:dyDescent="0.2">
      <c r="B74" t="s">
        <v>295</v>
      </c>
      <c r="C74" s="12">
        <v>2</v>
      </c>
      <c r="D74" s="8">
        <v>1.1599999999999999</v>
      </c>
      <c r="E74" s="12">
        <v>1</v>
      </c>
      <c r="F74" s="8">
        <v>1.1599999999999999</v>
      </c>
      <c r="G74" s="12">
        <v>1</v>
      </c>
      <c r="H74" s="8">
        <v>1.22</v>
      </c>
      <c r="I74" s="12">
        <v>0</v>
      </c>
    </row>
    <row r="75" spans="2:9" ht="15" customHeight="1" x14ac:dyDescent="0.2">
      <c r="B75" t="s">
        <v>311</v>
      </c>
      <c r="C75" s="12">
        <v>2</v>
      </c>
      <c r="D75" s="8">
        <v>1.1599999999999999</v>
      </c>
      <c r="E75" s="12">
        <v>1</v>
      </c>
      <c r="F75" s="8">
        <v>1.1599999999999999</v>
      </c>
      <c r="G75" s="12">
        <v>1</v>
      </c>
      <c r="H75" s="8">
        <v>1.22</v>
      </c>
      <c r="I75" s="12">
        <v>0</v>
      </c>
    </row>
    <row r="76" spans="2:9" ht="15" customHeight="1" x14ac:dyDescent="0.2">
      <c r="B76" t="s">
        <v>419</v>
      </c>
      <c r="C76" s="12">
        <v>2</v>
      </c>
      <c r="D76" s="8">
        <v>1.1599999999999999</v>
      </c>
      <c r="E76" s="12">
        <v>2</v>
      </c>
      <c r="F76" s="8">
        <v>2.33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397</v>
      </c>
      <c r="C77" s="12">
        <v>2</v>
      </c>
      <c r="D77" s="8">
        <v>1.1599999999999999</v>
      </c>
      <c r="E77" s="12">
        <v>0</v>
      </c>
      <c r="F77" s="8">
        <v>0</v>
      </c>
      <c r="G77" s="12">
        <v>2</v>
      </c>
      <c r="H77" s="8">
        <v>2.44</v>
      </c>
      <c r="I77" s="12">
        <v>0</v>
      </c>
    </row>
    <row r="78" spans="2:9" ht="15" customHeight="1" x14ac:dyDescent="0.2">
      <c r="B78" t="s">
        <v>307</v>
      </c>
      <c r="C78" s="12">
        <v>2</v>
      </c>
      <c r="D78" s="8">
        <v>1.1599999999999999</v>
      </c>
      <c r="E78" s="12">
        <v>2</v>
      </c>
      <c r="F78" s="8">
        <v>2.33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371</v>
      </c>
      <c r="C79" s="12">
        <v>2</v>
      </c>
      <c r="D79" s="8">
        <v>1.1599999999999999</v>
      </c>
      <c r="E79" s="12">
        <v>0</v>
      </c>
      <c r="F79" s="8">
        <v>0</v>
      </c>
      <c r="G79" s="12">
        <v>2</v>
      </c>
      <c r="H79" s="8">
        <v>2.44</v>
      </c>
      <c r="I79" s="12">
        <v>0</v>
      </c>
    </row>
    <row r="81" spans="2:2" ht="15" customHeight="1" x14ac:dyDescent="0.2">
      <c r="B8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9C914-D437-450D-B8E0-2BEE2AAB7CA9}">
  <sheetPr>
    <pageSetUpPr fitToPage="1"/>
  </sheetPr>
  <dimension ref="A1:H3041"/>
  <sheetViews>
    <sheetView workbookViewId="0"/>
  </sheetViews>
  <sheetFormatPr defaultRowHeight="13.2" x14ac:dyDescent="0.2"/>
  <cols>
    <col min="1" max="1" width="40" bestFit="1" customWidth="1"/>
    <col min="2" max="8" width="10.44140625" customWidth="1"/>
  </cols>
  <sheetData>
    <row r="1" spans="1:8" ht="37.5" customHeight="1" x14ac:dyDescent="0.2">
      <c r="A1" s="6" t="s">
        <v>205</v>
      </c>
      <c r="B1" s="7" t="s">
        <v>206</v>
      </c>
      <c r="C1" s="7" t="s">
        <v>207</v>
      </c>
      <c r="D1" s="7" t="s">
        <v>208</v>
      </c>
      <c r="E1" s="7" t="s">
        <v>209</v>
      </c>
      <c r="F1" s="7" t="s">
        <v>210</v>
      </c>
      <c r="G1" s="7" t="s">
        <v>211</v>
      </c>
      <c r="H1" s="7" t="s">
        <v>212</v>
      </c>
    </row>
    <row r="2" spans="1:8" x14ac:dyDescent="0.2">
      <c r="A2" s="1" t="s">
        <v>0</v>
      </c>
      <c r="B2" s="4">
        <v>120327</v>
      </c>
      <c r="C2" s="5">
        <v>99.999999999999986</v>
      </c>
      <c r="D2" s="4">
        <v>53997</v>
      </c>
      <c r="E2" s="5">
        <v>99.99</v>
      </c>
      <c r="F2" s="4">
        <v>64400</v>
      </c>
      <c r="G2" s="5">
        <v>100.00000000000001</v>
      </c>
      <c r="H2" s="4">
        <v>416</v>
      </c>
    </row>
    <row r="3" spans="1:8" x14ac:dyDescent="0.2">
      <c r="A3" s="2" t="s">
        <v>190</v>
      </c>
      <c r="B3" s="4">
        <v>64</v>
      </c>
      <c r="C3" s="5">
        <v>0.05</v>
      </c>
      <c r="D3" s="4">
        <v>1</v>
      </c>
      <c r="E3" s="5">
        <v>0</v>
      </c>
      <c r="F3" s="4">
        <v>62</v>
      </c>
      <c r="G3" s="5">
        <v>0.1</v>
      </c>
      <c r="H3" s="4">
        <v>0</v>
      </c>
    </row>
    <row r="4" spans="1:8" x14ac:dyDescent="0.2">
      <c r="A4" s="2" t="s">
        <v>191</v>
      </c>
      <c r="B4" s="4">
        <v>15884</v>
      </c>
      <c r="C4" s="5">
        <v>13.2</v>
      </c>
      <c r="D4" s="4">
        <v>2998</v>
      </c>
      <c r="E4" s="5">
        <v>5.55</v>
      </c>
      <c r="F4" s="4">
        <v>12885</v>
      </c>
      <c r="G4" s="5">
        <v>20.010000000000002</v>
      </c>
      <c r="H4" s="4">
        <v>1</v>
      </c>
    </row>
    <row r="5" spans="1:8" x14ac:dyDescent="0.2">
      <c r="A5" s="2" t="s">
        <v>192</v>
      </c>
      <c r="B5" s="4">
        <v>6315</v>
      </c>
      <c r="C5" s="5">
        <v>5.25</v>
      </c>
      <c r="D5" s="4">
        <v>1393</v>
      </c>
      <c r="E5" s="5">
        <v>2.58</v>
      </c>
      <c r="F5" s="4">
        <v>4900</v>
      </c>
      <c r="G5" s="5">
        <v>7.61</v>
      </c>
      <c r="H5" s="4">
        <v>18</v>
      </c>
    </row>
    <row r="6" spans="1:8" x14ac:dyDescent="0.2">
      <c r="A6" s="2" t="s">
        <v>193</v>
      </c>
      <c r="B6" s="4">
        <v>320</v>
      </c>
      <c r="C6" s="5">
        <v>0.27</v>
      </c>
      <c r="D6" s="4">
        <v>3</v>
      </c>
      <c r="E6" s="5">
        <v>0.01</v>
      </c>
      <c r="F6" s="4">
        <v>186</v>
      </c>
      <c r="G6" s="5">
        <v>0.28999999999999998</v>
      </c>
      <c r="H6" s="4">
        <v>1</v>
      </c>
    </row>
    <row r="7" spans="1:8" x14ac:dyDescent="0.2">
      <c r="A7" s="2" t="s">
        <v>194</v>
      </c>
      <c r="B7" s="4">
        <v>1253</v>
      </c>
      <c r="C7" s="5">
        <v>1.04</v>
      </c>
      <c r="D7" s="4">
        <v>73</v>
      </c>
      <c r="E7" s="5">
        <v>0.14000000000000001</v>
      </c>
      <c r="F7" s="4">
        <v>1173</v>
      </c>
      <c r="G7" s="5">
        <v>1.82</v>
      </c>
      <c r="H7" s="4">
        <v>6</v>
      </c>
    </row>
    <row r="8" spans="1:8" x14ac:dyDescent="0.2">
      <c r="A8" s="2" t="s">
        <v>195</v>
      </c>
      <c r="B8" s="4">
        <v>1969</v>
      </c>
      <c r="C8" s="5">
        <v>1.64</v>
      </c>
      <c r="D8" s="4">
        <v>661</v>
      </c>
      <c r="E8" s="5">
        <v>1.22</v>
      </c>
      <c r="F8" s="4">
        <v>1265</v>
      </c>
      <c r="G8" s="5">
        <v>1.96</v>
      </c>
      <c r="H8" s="4">
        <v>28</v>
      </c>
    </row>
    <row r="9" spans="1:8" x14ac:dyDescent="0.2">
      <c r="A9" s="2" t="s">
        <v>196</v>
      </c>
      <c r="B9" s="4">
        <v>26797</v>
      </c>
      <c r="C9" s="5">
        <v>22.27</v>
      </c>
      <c r="D9" s="4">
        <v>8218</v>
      </c>
      <c r="E9" s="5">
        <v>15.22</v>
      </c>
      <c r="F9" s="4">
        <v>18535</v>
      </c>
      <c r="G9" s="5">
        <v>28.78</v>
      </c>
      <c r="H9" s="4">
        <v>42</v>
      </c>
    </row>
    <row r="10" spans="1:8" x14ac:dyDescent="0.2">
      <c r="A10" s="2" t="s">
        <v>197</v>
      </c>
      <c r="B10" s="4">
        <v>1148</v>
      </c>
      <c r="C10" s="5">
        <v>0.95</v>
      </c>
      <c r="D10" s="4">
        <v>150</v>
      </c>
      <c r="E10" s="5">
        <v>0.28000000000000003</v>
      </c>
      <c r="F10" s="4">
        <v>997</v>
      </c>
      <c r="G10" s="5">
        <v>1.55</v>
      </c>
      <c r="H10" s="4">
        <v>1</v>
      </c>
    </row>
    <row r="11" spans="1:8" x14ac:dyDescent="0.2">
      <c r="A11" s="2" t="s">
        <v>198</v>
      </c>
      <c r="B11" s="4">
        <v>12643</v>
      </c>
      <c r="C11" s="5">
        <v>10.51</v>
      </c>
      <c r="D11" s="4">
        <v>5612</v>
      </c>
      <c r="E11" s="5">
        <v>10.39</v>
      </c>
      <c r="F11" s="4">
        <v>6948</v>
      </c>
      <c r="G11" s="5">
        <v>10.79</v>
      </c>
      <c r="H11" s="4">
        <v>10</v>
      </c>
    </row>
    <row r="12" spans="1:8" x14ac:dyDescent="0.2">
      <c r="A12" s="2" t="s">
        <v>199</v>
      </c>
      <c r="B12" s="4">
        <v>5993</v>
      </c>
      <c r="C12" s="5">
        <v>4.9800000000000004</v>
      </c>
      <c r="D12" s="4">
        <v>2635</v>
      </c>
      <c r="E12" s="5">
        <v>4.88</v>
      </c>
      <c r="F12" s="4">
        <v>3259</v>
      </c>
      <c r="G12" s="5">
        <v>5.0599999999999996</v>
      </c>
      <c r="H12" s="4">
        <v>23</v>
      </c>
    </row>
    <row r="13" spans="1:8" x14ac:dyDescent="0.2">
      <c r="A13" s="2" t="s">
        <v>200</v>
      </c>
      <c r="B13" s="4">
        <v>17837</v>
      </c>
      <c r="C13" s="5">
        <v>14.82</v>
      </c>
      <c r="D13" s="4">
        <v>13711</v>
      </c>
      <c r="E13" s="5">
        <v>25.39</v>
      </c>
      <c r="F13" s="4">
        <v>4051</v>
      </c>
      <c r="G13" s="5">
        <v>6.29</v>
      </c>
      <c r="H13" s="4">
        <v>18</v>
      </c>
    </row>
    <row r="14" spans="1:8" x14ac:dyDescent="0.2">
      <c r="A14" s="2" t="s">
        <v>201</v>
      </c>
      <c r="B14" s="4">
        <v>14912</v>
      </c>
      <c r="C14" s="5">
        <v>12.39</v>
      </c>
      <c r="D14" s="4">
        <v>11336</v>
      </c>
      <c r="E14" s="5">
        <v>20.99</v>
      </c>
      <c r="F14" s="4">
        <v>3388</v>
      </c>
      <c r="G14" s="5">
        <v>5.26</v>
      </c>
      <c r="H14" s="4">
        <v>24</v>
      </c>
    </row>
    <row r="15" spans="1:8" x14ac:dyDescent="0.2">
      <c r="A15" s="2" t="s">
        <v>202</v>
      </c>
      <c r="B15" s="4">
        <v>3594</v>
      </c>
      <c r="C15" s="5">
        <v>2.99</v>
      </c>
      <c r="D15" s="4">
        <v>2361</v>
      </c>
      <c r="E15" s="5">
        <v>4.37</v>
      </c>
      <c r="F15" s="4">
        <v>889</v>
      </c>
      <c r="G15" s="5">
        <v>1.38</v>
      </c>
      <c r="H15" s="4">
        <v>21</v>
      </c>
    </row>
    <row r="16" spans="1:8" x14ac:dyDescent="0.2">
      <c r="A16" s="2" t="s">
        <v>203</v>
      </c>
      <c r="B16" s="4">
        <v>6746</v>
      </c>
      <c r="C16" s="5">
        <v>5.61</v>
      </c>
      <c r="D16" s="4">
        <v>3555</v>
      </c>
      <c r="E16" s="5">
        <v>6.58</v>
      </c>
      <c r="F16" s="4">
        <v>2705</v>
      </c>
      <c r="G16" s="5">
        <v>4.2</v>
      </c>
      <c r="H16" s="4">
        <v>33</v>
      </c>
    </row>
    <row r="17" spans="1:8" x14ac:dyDescent="0.2">
      <c r="A17" s="2" t="s">
        <v>204</v>
      </c>
      <c r="B17" s="4">
        <v>4852</v>
      </c>
      <c r="C17" s="5">
        <v>4.03</v>
      </c>
      <c r="D17" s="4">
        <v>1290</v>
      </c>
      <c r="E17" s="5">
        <v>2.39</v>
      </c>
      <c r="F17" s="4">
        <v>3157</v>
      </c>
      <c r="G17" s="5">
        <v>4.9000000000000004</v>
      </c>
      <c r="H17" s="4">
        <v>190</v>
      </c>
    </row>
    <row r="18" spans="1:8" x14ac:dyDescent="0.2">
      <c r="A18" s="1" t="s">
        <v>1</v>
      </c>
      <c r="B18" s="4">
        <v>39018</v>
      </c>
      <c r="C18" s="5">
        <v>99.990000000000009</v>
      </c>
      <c r="D18" s="4">
        <v>13749</v>
      </c>
      <c r="E18" s="5">
        <v>99.99</v>
      </c>
      <c r="F18" s="4">
        <v>25139</v>
      </c>
      <c r="G18" s="5">
        <v>100.01</v>
      </c>
      <c r="H18" s="4">
        <v>113</v>
      </c>
    </row>
    <row r="19" spans="1:8" x14ac:dyDescent="0.2">
      <c r="A19" s="2" t="s">
        <v>190</v>
      </c>
      <c r="B19" s="4">
        <v>4</v>
      </c>
      <c r="C19" s="5">
        <v>0.01</v>
      </c>
      <c r="D19" s="4">
        <v>0</v>
      </c>
      <c r="E19" s="5">
        <v>0</v>
      </c>
      <c r="F19" s="4">
        <v>4</v>
      </c>
      <c r="G19" s="5">
        <v>0.02</v>
      </c>
      <c r="H19" s="4">
        <v>0</v>
      </c>
    </row>
    <row r="20" spans="1:8" x14ac:dyDescent="0.2">
      <c r="A20" s="2" t="s">
        <v>191</v>
      </c>
      <c r="B20" s="4">
        <v>5142</v>
      </c>
      <c r="C20" s="5">
        <v>13.18</v>
      </c>
      <c r="D20" s="4">
        <v>277</v>
      </c>
      <c r="E20" s="5">
        <v>2.0099999999999998</v>
      </c>
      <c r="F20" s="4">
        <v>4864</v>
      </c>
      <c r="G20" s="5">
        <v>19.350000000000001</v>
      </c>
      <c r="H20" s="4">
        <v>1</v>
      </c>
    </row>
    <row r="21" spans="1:8" x14ac:dyDescent="0.2">
      <c r="A21" s="2" t="s">
        <v>192</v>
      </c>
      <c r="B21" s="4">
        <v>1547</v>
      </c>
      <c r="C21" s="5">
        <v>3.96</v>
      </c>
      <c r="D21" s="4">
        <v>214</v>
      </c>
      <c r="E21" s="5">
        <v>1.56</v>
      </c>
      <c r="F21" s="4">
        <v>1333</v>
      </c>
      <c r="G21" s="5">
        <v>5.3</v>
      </c>
      <c r="H21" s="4">
        <v>0</v>
      </c>
    </row>
    <row r="22" spans="1:8" x14ac:dyDescent="0.2">
      <c r="A22" s="2" t="s">
        <v>193</v>
      </c>
      <c r="B22" s="4">
        <v>16</v>
      </c>
      <c r="C22" s="5">
        <v>0.04</v>
      </c>
      <c r="D22" s="4">
        <v>0</v>
      </c>
      <c r="E22" s="5">
        <v>0</v>
      </c>
      <c r="F22" s="4">
        <v>15</v>
      </c>
      <c r="G22" s="5">
        <v>0.06</v>
      </c>
      <c r="H22" s="4">
        <v>0</v>
      </c>
    </row>
    <row r="23" spans="1:8" x14ac:dyDescent="0.2">
      <c r="A23" s="2" t="s">
        <v>194</v>
      </c>
      <c r="B23" s="4">
        <v>727</v>
      </c>
      <c r="C23" s="5">
        <v>1.86</v>
      </c>
      <c r="D23" s="4">
        <v>25</v>
      </c>
      <c r="E23" s="5">
        <v>0.18</v>
      </c>
      <c r="F23" s="4">
        <v>699</v>
      </c>
      <c r="G23" s="5">
        <v>2.78</v>
      </c>
      <c r="H23" s="4">
        <v>3</v>
      </c>
    </row>
    <row r="24" spans="1:8" x14ac:dyDescent="0.2">
      <c r="A24" s="2" t="s">
        <v>195</v>
      </c>
      <c r="B24" s="4">
        <v>605</v>
      </c>
      <c r="C24" s="5">
        <v>1.55</v>
      </c>
      <c r="D24" s="4">
        <v>281</v>
      </c>
      <c r="E24" s="5">
        <v>2.04</v>
      </c>
      <c r="F24" s="4">
        <v>324</v>
      </c>
      <c r="G24" s="5">
        <v>1.29</v>
      </c>
      <c r="H24" s="4">
        <v>0</v>
      </c>
    </row>
    <row r="25" spans="1:8" x14ac:dyDescent="0.2">
      <c r="A25" s="2" t="s">
        <v>196</v>
      </c>
      <c r="B25" s="4">
        <v>7820</v>
      </c>
      <c r="C25" s="5">
        <v>20.04</v>
      </c>
      <c r="D25" s="4">
        <v>1262</v>
      </c>
      <c r="E25" s="5">
        <v>9.18</v>
      </c>
      <c r="F25" s="4">
        <v>6552</v>
      </c>
      <c r="G25" s="5">
        <v>26.06</v>
      </c>
      <c r="H25" s="4">
        <v>6</v>
      </c>
    </row>
    <row r="26" spans="1:8" x14ac:dyDescent="0.2">
      <c r="A26" s="2" t="s">
        <v>197</v>
      </c>
      <c r="B26" s="4">
        <v>378</v>
      </c>
      <c r="C26" s="5">
        <v>0.97</v>
      </c>
      <c r="D26" s="4">
        <v>24</v>
      </c>
      <c r="E26" s="5">
        <v>0.17</v>
      </c>
      <c r="F26" s="4">
        <v>354</v>
      </c>
      <c r="G26" s="5">
        <v>1.41</v>
      </c>
      <c r="H26" s="4">
        <v>0</v>
      </c>
    </row>
    <row r="27" spans="1:8" x14ac:dyDescent="0.2">
      <c r="A27" s="2" t="s">
        <v>198</v>
      </c>
      <c r="B27" s="4">
        <v>5790</v>
      </c>
      <c r="C27" s="5">
        <v>14.84</v>
      </c>
      <c r="D27" s="4">
        <v>2134</v>
      </c>
      <c r="E27" s="5">
        <v>15.52</v>
      </c>
      <c r="F27" s="4">
        <v>3645</v>
      </c>
      <c r="G27" s="5">
        <v>14.5</v>
      </c>
      <c r="H27" s="4">
        <v>7</v>
      </c>
    </row>
    <row r="28" spans="1:8" x14ac:dyDescent="0.2">
      <c r="A28" s="2" t="s">
        <v>199</v>
      </c>
      <c r="B28" s="4">
        <v>2958</v>
      </c>
      <c r="C28" s="5">
        <v>7.58</v>
      </c>
      <c r="D28" s="4">
        <v>1160</v>
      </c>
      <c r="E28" s="5">
        <v>8.44</v>
      </c>
      <c r="F28" s="4">
        <v>1789</v>
      </c>
      <c r="G28" s="5">
        <v>7.12</v>
      </c>
      <c r="H28" s="4">
        <v>7</v>
      </c>
    </row>
    <row r="29" spans="1:8" x14ac:dyDescent="0.2">
      <c r="A29" s="2" t="s">
        <v>200</v>
      </c>
      <c r="B29" s="4">
        <v>4916</v>
      </c>
      <c r="C29" s="5">
        <v>12.6</v>
      </c>
      <c r="D29" s="4">
        <v>3437</v>
      </c>
      <c r="E29" s="5">
        <v>25</v>
      </c>
      <c r="F29" s="4">
        <v>1476</v>
      </c>
      <c r="G29" s="5">
        <v>5.87</v>
      </c>
      <c r="H29" s="4">
        <v>3</v>
      </c>
    </row>
    <row r="30" spans="1:8" x14ac:dyDescent="0.2">
      <c r="A30" s="2" t="s">
        <v>201</v>
      </c>
      <c r="B30" s="4">
        <v>4263</v>
      </c>
      <c r="C30" s="5">
        <v>10.93</v>
      </c>
      <c r="D30" s="4">
        <v>2776</v>
      </c>
      <c r="E30" s="5">
        <v>20.190000000000001</v>
      </c>
      <c r="F30" s="4">
        <v>1483</v>
      </c>
      <c r="G30" s="5">
        <v>5.9</v>
      </c>
      <c r="H30" s="4">
        <v>2</v>
      </c>
    </row>
    <row r="31" spans="1:8" x14ac:dyDescent="0.2">
      <c r="A31" s="2" t="s">
        <v>202</v>
      </c>
      <c r="B31" s="4">
        <v>1143</v>
      </c>
      <c r="C31" s="5">
        <v>2.93</v>
      </c>
      <c r="D31" s="4">
        <v>703</v>
      </c>
      <c r="E31" s="5">
        <v>5.1100000000000003</v>
      </c>
      <c r="F31" s="4">
        <v>429</v>
      </c>
      <c r="G31" s="5">
        <v>1.71</v>
      </c>
      <c r="H31" s="4">
        <v>6</v>
      </c>
    </row>
    <row r="32" spans="1:8" x14ac:dyDescent="0.2">
      <c r="A32" s="2" t="s">
        <v>203</v>
      </c>
      <c r="B32" s="4">
        <v>2252</v>
      </c>
      <c r="C32" s="5">
        <v>5.77</v>
      </c>
      <c r="D32" s="4">
        <v>1268</v>
      </c>
      <c r="E32" s="5">
        <v>9.2200000000000006</v>
      </c>
      <c r="F32" s="4">
        <v>977</v>
      </c>
      <c r="G32" s="5">
        <v>3.89</v>
      </c>
      <c r="H32" s="4">
        <v>7</v>
      </c>
    </row>
    <row r="33" spans="1:8" x14ac:dyDescent="0.2">
      <c r="A33" s="2" t="s">
        <v>204</v>
      </c>
      <c r="B33" s="4">
        <v>1457</v>
      </c>
      <c r="C33" s="5">
        <v>3.73</v>
      </c>
      <c r="D33" s="4">
        <v>188</v>
      </c>
      <c r="E33" s="5">
        <v>1.37</v>
      </c>
      <c r="F33" s="4">
        <v>1195</v>
      </c>
      <c r="G33" s="5">
        <v>4.75</v>
      </c>
      <c r="H33" s="4">
        <v>71</v>
      </c>
    </row>
    <row r="34" spans="1:8" x14ac:dyDescent="0.2">
      <c r="A34" s="1" t="s">
        <v>2</v>
      </c>
      <c r="B34" s="4">
        <v>10900</v>
      </c>
      <c r="C34" s="5">
        <v>100.01</v>
      </c>
      <c r="D34" s="4">
        <v>4056</v>
      </c>
      <c r="E34" s="5">
        <v>100</v>
      </c>
      <c r="F34" s="4">
        <v>6811</v>
      </c>
      <c r="G34" s="5">
        <v>100.00999999999999</v>
      </c>
      <c r="H34" s="4">
        <v>29</v>
      </c>
    </row>
    <row r="35" spans="1:8" x14ac:dyDescent="0.2">
      <c r="A35" s="2" t="s">
        <v>190</v>
      </c>
      <c r="B35" s="4">
        <v>0</v>
      </c>
      <c r="C35" s="5">
        <v>0</v>
      </c>
      <c r="D35" s="4">
        <v>0</v>
      </c>
      <c r="E35" s="5">
        <v>0</v>
      </c>
      <c r="F35" s="4">
        <v>0</v>
      </c>
      <c r="G35" s="5">
        <v>0</v>
      </c>
      <c r="H35" s="4">
        <v>0</v>
      </c>
    </row>
    <row r="36" spans="1:8" x14ac:dyDescent="0.2">
      <c r="A36" s="2" t="s">
        <v>191</v>
      </c>
      <c r="B36" s="4">
        <v>502</v>
      </c>
      <c r="C36" s="5">
        <v>4.6100000000000003</v>
      </c>
      <c r="D36" s="4">
        <v>12</v>
      </c>
      <c r="E36" s="5">
        <v>0.3</v>
      </c>
      <c r="F36" s="4">
        <v>490</v>
      </c>
      <c r="G36" s="5">
        <v>7.19</v>
      </c>
      <c r="H36" s="4">
        <v>0</v>
      </c>
    </row>
    <row r="37" spans="1:8" x14ac:dyDescent="0.2">
      <c r="A37" s="2" t="s">
        <v>192</v>
      </c>
      <c r="B37" s="4">
        <v>211</v>
      </c>
      <c r="C37" s="5">
        <v>1.94</v>
      </c>
      <c r="D37" s="4">
        <v>32</v>
      </c>
      <c r="E37" s="5">
        <v>0.79</v>
      </c>
      <c r="F37" s="4">
        <v>179</v>
      </c>
      <c r="G37" s="5">
        <v>2.63</v>
      </c>
      <c r="H37" s="4">
        <v>0</v>
      </c>
    </row>
    <row r="38" spans="1:8" x14ac:dyDescent="0.2">
      <c r="A38" s="2" t="s">
        <v>193</v>
      </c>
      <c r="B38" s="4">
        <v>9</v>
      </c>
      <c r="C38" s="5">
        <v>0.08</v>
      </c>
      <c r="D38" s="4">
        <v>0</v>
      </c>
      <c r="E38" s="5">
        <v>0</v>
      </c>
      <c r="F38" s="4">
        <v>8</v>
      </c>
      <c r="G38" s="5">
        <v>0.12</v>
      </c>
      <c r="H38" s="4">
        <v>0</v>
      </c>
    </row>
    <row r="39" spans="1:8" x14ac:dyDescent="0.2">
      <c r="A39" s="2" t="s">
        <v>194</v>
      </c>
      <c r="B39" s="4">
        <v>354</v>
      </c>
      <c r="C39" s="5">
        <v>3.25</v>
      </c>
      <c r="D39" s="4">
        <v>16</v>
      </c>
      <c r="E39" s="5">
        <v>0.39</v>
      </c>
      <c r="F39" s="4">
        <v>338</v>
      </c>
      <c r="G39" s="5">
        <v>4.96</v>
      </c>
      <c r="H39" s="4">
        <v>0</v>
      </c>
    </row>
    <row r="40" spans="1:8" x14ac:dyDescent="0.2">
      <c r="A40" s="2" t="s">
        <v>195</v>
      </c>
      <c r="B40" s="4">
        <v>71</v>
      </c>
      <c r="C40" s="5">
        <v>0.65</v>
      </c>
      <c r="D40" s="4">
        <v>6</v>
      </c>
      <c r="E40" s="5">
        <v>0.15</v>
      </c>
      <c r="F40" s="4">
        <v>65</v>
      </c>
      <c r="G40" s="5">
        <v>0.95</v>
      </c>
      <c r="H40" s="4">
        <v>0</v>
      </c>
    </row>
    <row r="41" spans="1:8" x14ac:dyDescent="0.2">
      <c r="A41" s="2" t="s">
        <v>196</v>
      </c>
      <c r="B41" s="4">
        <v>2304</v>
      </c>
      <c r="C41" s="5">
        <v>21.14</v>
      </c>
      <c r="D41" s="4">
        <v>294</v>
      </c>
      <c r="E41" s="5">
        <v>7.25</v>
      </c>
      <c r="F41" s="4">
        <v>2007</v>
      </c>
      <c r="G41" s="5">
        <v>29.47</v>
      </c>
      <c r="H41" s="4">
        <v>3</v>
      </c>
    </row>
    <row r="42" spans="1:8" x14ac:dyDescent="0.2">
      <c r="A42" s="2" t="s">
        <v>197</v>
      </c>
      <c r="B42" s="4">
        <v>141</v>
      </c>
      <c r="C42" s="5">
        <v>1.29</v>
      </c>
      <c r="D42" s="4">
        <v>4</v>
      </c>
      <c r="E42" s="5">
        <v>0.1</v>
      </c>
      <c r="F42" s="4">
        <v>137</v>
      </c>
      <c r="G42" s="5">
        <v>2.0099999999999998</v>
      </c>
      <c r="H42" s="4">
        <v>0</v>
      </c>
    </row>
    <row r="43" spans="1:8" x14ac:dyDescent="0.2">
      <c r="A43" s="2" t="s">
        <v>198</v>
      </c>
      <c r="B43" s="4">
        <v>1341</v>
      </c>
      <c r="C43" s="5">
        <v>12.3</v>
      </c>
      <c r="D43" s="4">
        <v>319</v>
      </c>
      <c r="E43" s="5">
        <v>7.86</v>
      </c>
      <c r="F43" s="4">
        <v>1020</v>
      </c>
      <c r="G43" s="5">
        <v>14.98</v>
      </c>
      <c r="H43" s="4">
        <v>0</v>
      </c>
    </row>
    <row r="44" spans="1:8" x14ac:dyDescent="0.2">
      <c r="A44" s="2" t="s">
        <v>199</v>
      </c>
      <c r="B44" s="4">
        <v>1312</v>
      </c>
      <c r="C44" s="5">
        <v>12.04</v>
      </c>
      <c r="D44" s="4">
        <v>641</v>
      </c>
      <c r="E44" s="5">
        <v>15.8</v>
      </c>
      <c r="F44" s="4">
        <v>665</v>
      </c>
      <c r="G44" s="5">
        <v>9.76</v>
      </c>
      <c r="H44" s="4">
        <v>6</v>
      </c>
    </row>
    <row r="45" spans="1:8" x14ac:dyDescent="0.2">
      <c r="A45" s="2" t="s">
        <v>200</v>
      </c>
      <c r="B45" s="4">
        <v>2364</v>
      </c>
      <c r="C45" s="5">
        <v>21.69</v>
      </c>
      <c r="D45" s="4">
        <v>1643</v>
      </c>
      <c r="E45" s="5">
        <v>40.51</v>
      </c>
      <c r="F45" s="4">
        <v>721</v>
      </c>
      <c r="G45" s="5">
        <v>10.59</v>
      </c>
      <c r="H45" s="4">
        <v>0</v>
      </c>
    </row>
    <row r="46" spans="1:8" x14ac:dyDescent="0.2">
      <c r="A46" s="2" t="s">
        <v>201</v>
      </c>
      <c r="B46" s="4">
        <v>1056</v>
      </c>
      <c r="C46" s="5">
        <v>9.69</v>
      </c>
      <c r="D46" s="4">
        <v>580</v>
      </c>
      <c r="E46" s="5">
        <v>14.3</v>
      </c>
      <c r="F46" s="4">
        <v>474</v>
      </c>
      <c r="G46" s="5">
        <v>6.96</v>
      </c>
      <c r="H46" s="4">
        <v>2</v>
      </c>
    </row>
    <row r="47" spans="1:8" x14ac:dyDescent="0.2">
      <c r="A47" s="2" t="s">
        <v>202</v>
      </c>
      <c r="B47" s="4">
        <v>336</v>
      </c>
      <c r="C47" s="5">
        <v>3.08</v>
      </c>
      <c r="D47" s="4">
        <v>178</v>
      </c>
      <c r="E47" s="5">
        <v>4.3899999999999997</v>
      </c>
      <c r="F47" s="4">
        <v>155</v>
      </c>
      <c r="G47" s="5">
        <v>2.2799999999999998</v>
      </c>
      <c r="H47" s="4">
        <v>2</v>
      </c>
    </row>
    <row r="48" spans="1:8" x14ac:dyDescent="0.2">
      <c r="A48" s="2" t="s">
        <v>203</v>
      </c>
      <c r="B48" s="4">
        <v>497</v>
      </c>
      <c r="C48" s="5">
        <v>4.5599999999999996</v>
      </c>
      <c r="D48" s="4">
        <v>310</v>
      </c>
      <c r="E48" s="5">
        <v>7.64</v>
      </c>
      <c r="F48" s="4">
        <v>185</v>
      </c>
      <c r="G48" s="5">
        <v>2.72</v>
      </c>
      <c r="H48" s="4">
        <v>2</v>
      </c>
    </row>
    <row r="49" spans="1:8" x14ac:dyDescent="0.2">
      <c r="A49" s="2" t="s">
        <v>204</v>
      </c>
      <c r="B49" s="4">
        <v>402</v>
      </c>
      <c r="C49" s="5">
        <v>3.69</v>
      </c>
      <c r="D49" s="4">
        <v>21</v>
      </c>
      <c r="E49" s="5">
        <v>0.52</v>
      </c>
      <c r="F49" s="4">
        <v>367</v>
      </c>
      <c r="G49" s="5">
        <v>5.39</v>
      </c>
      <c r="H49" s="4">
        <v>14</v>
      </c>
    </row>
    <row r="50" spans="1:8" x14ac:dyDescent="0.2">
      <c r="A50" s="1" t="s">
        <v>3</v>
      </c>
      <c r="B50" s="4">
        <v>4968</v>
      </c>
      <c r="C50" s="5">
        <v>100.03</v>
      </c>
      <c r="D50" s="4">
        <v>1574</v>
      </c>
      <c r="E50" s="5">
        <v>100.01</v>
      </c>
      <c r="F50" s="4">
        <v>3378</v>
      </c>
      <c r="G50" s="5">
        <v>99.989999999999981</v>
      </c>
      <c r="H50" s="4">
        <v>13</v>
      </c>
    </row>
    <row r="51" spans="1:8" x14ac:dyDescent="0.2">
      <c r="A51" s="2" t="s">
        <v>190</v>
      </c>
      <c r="B51" s="4">
        <v>0</v>
      </c>
      <c r="C51" s="5">
        <v>0</v>
      </c>
      <c r="D51" s="4">
        <v>0</v>
      </c>
      <c r="E51" s="5">
        <v>0</v>
      </c>
      <c r="F51" s="4">
        <v>0</v>
      </c>
      <c r="G51" s="5">
        <v>0</v>
      </c>
      <c r="H51" s="4">
        <v>0</v>
      </c>
    </row>
    <row r="52" spans="1:8" x14ac:dyDescent="0.2">
      <c r="A52" s="2" t="s">
        <v>191</v>
      </c>
      <c r="B52" s="4">
        <v>971</v>
      </c>
      <c r="C52" s="5">
        <v>19.55</v>
      </c>
      <c r="D52" s="4">
        <v>45</v>
      </c>
      <c r="E52" s="5">
        <v>2.86</v>
      </c>
      <c r="F52" s="4">
        <v>926</v>
      </c>
      <c r="G52" s="5">
        <v>27.41</v>
      </c>
      <c r="H52" s="4">
        <v>0</v>
      </c>
    </row>
    <row r="53" spans="1:8" x14ac:dyDescent="0.2">
      <c r="A53" s="2" t="s">
        <v>192</v>
      </c>
      <c r="B53" s="4">
        <v>206</v>
      </c>
      <c r="C53" s="5">
        <v>4.1500000000000004</v>
      </c>
      <c r="D53" s="4">
        <v>30</v>
      </c>
      <c r="E53" s="5">
        <v>1.91</v>
      </c>
      <c r="F53" s="4">
        <v>176</v>
      </c>
      <c r="G53" s="5">
        <v>5.21</v>
      </c>
      <c r="H53" s="4">
        <v>0</v>
      </c>
    </row>
    <row r="54" spans="1:8" x14ac:dyDescent="0.2">
      <c r="A54" s="2" t="s">
        <v>193</v>
      </c>
      <c r="B54" s="4">
        <v>1</v>
      </c>
      <c r="C54" s="5">
        <v>0.02</v>
      </c>
      <c r="D54" s="4">
        <v>0</v>
      </c>
      <c r="E54" s="5">
        <v>0</v>
      </c>
      <c r="F54" s="4">
        <v>1</v>
      </c>
      <c r="G54" s="5">
        <v>0.03</v>
      </c>
      <c r="H54" s="4">
        <v>0</v>
      </c>
    </row>
    <row r="55" spans="1:8" x14ac:dyDescent="0.2">
      <c r="A55" s="2" t="s">
        <v>194</v>
      </c>
      <c r="B55" s="4">
        <v>90</v>
      </c>
      <c r="C55" s="5">
        <v>1.81</v>
      </c>
      <c r="D55" s="4">
        <v>0</v>
      </c>
      <c r="E55" s="5">
        <v>0</v>
      </c>
      <c r="F55" s="4">
        <v>90</v>
      </c>
      <c r="G55" s="5">
        <v>2.66</v>
      </c>
      <c r="H55" s="4">
        <v>0</v>
      </c>
    </row>
    <row r="56" spans="1:8" x14ac:dyDescent="0.2">
      <c r="A56" s="2" t="s">
        <v>195</v>
      </c>
      <c r="B56" s="4">
        <v>80</v>
      </c>
      <c r="C56" s="5">
        <v>1.61</v>
      </c>
      <c r="D56" s="4">
        <v>39</v>
      </c>
      <c r="E56" s="5">
        <v>2.48</v>
      </c>
      <c r="F56" s="4">
        <v>41</v>
      </c>
      <c r="G56" s="5">
        <v>1.21</v>
      </c>
      <c r="H56" s="4">
        <v>0</v>
      </c>
    </row>
    <row r="57" spans="1:8" x14ac:dyDescent="0.2">
      <c r="A57" s="2" t="s">
        <v>196</v>
      </c>
      <c r="B57" s="4">
        <v>944</v>
      </c>
      <c r="C57" s="5">
        <v>19</v>
      </c>
      <c r="D57" s="4">
        <v>165</v>
      </c>
      <c r="E57" s="5">
        <v>10.48</v>
      </c>
      <c r="F57" s="4">
        <v>779</v>
      </c>
      <c r="G57" s="5">
        <v>23.06</v>
      </c>
      <c r="H57" s="4">
        <v>0</v>
      </c>
    </row>
    <row r="58" spans="1:8" x14ac:dyDescent="0.2">
      <c r="A58" s="2" t="s">
        <v>197</v>
      </c>
      <c r="B58" s="4">
        <v>50</v>
      </c>
      <c r="C58" s="5">
        <v>1.01</v>
      </c>
      <c r="D58" s="4">
        <v>5</v>
      </c>
      <c r="E58" s="5">
        <v>0.32</v>
      </c>
      <c r="F58" s="4">
        <v>45</v>
      </c>
      <c r="G58" s="5">
        <v>1.33</v>
      </c>
      <c r="H58" s="4">
        <v>0</v>
      </c>
    </row>
    <row r="59" spans="1:8" x14ac:dyDescent="0.2">
      <c r="A59" s="2" t="s">
        <v>198</v>
      </c>
      <c r="B59" s="4">
        <v>625</v>
      </c>
      <c r="C59" s="5">
        <v>12.58</v>
      </c>
      <c r="D59" s="4">
        <v>194</v>
      </c>
      <c r="E59" s="5">
        <v>12.33</v>
      </c>
      <c r="F59" s="4">
        <v>429</v>
      </c>
      <c r="G59" s="5">
        <v>12.7</v>
      </c>
      <c r="H59" s="4">
        <v>2</v>
      </c>
    </row>
    <row r="60" spans="1:8" x14ac:dyDescent="0.2">
      <c r="A60" s="2" t="s">
        <v>199</v>
      </c>
      <c r="B60" s="4">
        <v>356</v>
      </c>
      <c r="C60" s="5">
        <v>7.17</v>
      </c>
      <c r="D60" s="4">
        <v>113</v>
      </c>
      <c r="E60" s="5">
        <v>7.18</v>
      </c>
      <c r="F60" s="4">
        <v>242</v>
      </c>
      <c r="G60" s="5">
        <v>7.16</v>
      </c>
      <c r="H60" s="4">
        <v>0</v>
      </c>
    </row>
    <row r="61" spans="1:8" x14ac:dyDescent="0.2">
      <c r="A61" s="2" t="s">
        <v>200</v>
      </c>
      <c r="B61" s="4">
        <v>440</v>
      </c>
      <c r="C61" s="5">
        <v>8.86</v>
      </c>
      <c r="D61" s="4">
        <v>307</v>
      </c>
      <c r="E61" s="5">
        <v>19.5</v>
      </c>
      <c r="F61" s="4">
        <v>132</v>
      </c>
      <c r="G61" s="5">
        <v>3.91</v>
      </c>
      <c r="H61" s="4">
        <v>1</v>
      </c>
    </row>
    <row r="62" spans="1:8" x14ac:dyDescent="0.2">
      <c r="A62" s="2" t="s">
        <v>201</v>
      </c>
      <c r="B62" s="4">
        <v>585</v>
      </c>
      <c r="C62" s="5">
        <v>11.78</v>
      </c>
      <c r="D62" s="4">
        <v>417</v>
      </c>
      <c r="E62" s="5">
        <v>26.49</v>
      </c>
      <c r="F62" s="4">
        <v>168</v>
      </c>
      <c r="G62" s="5">
        <v>4.97</v>
      </c>
      <c r="H62" s="4">
        <v>0</v>
      </c>
    </row>
    <row r="63" spans="1:8" x14ac:dyDescent="0.2">
      <c r="A63" s="2" t="s">
        <v>202</v>
      </c>
      <c r="B63" s="4">
        <v>128</v>
      </c>
      <c r="C63" s="5">
        <v>2.58</v>
      </c>
      <c r="D63" s="4">
        <v>71</v>
      </c>
      <c r="E63" s="5">
        <v>4.51</v>
      </c>
      <c r="F63" s="4">
        <v>56</v>
      </c>
      <c r="G63" s="5">
        <v>1.66</v>
      </c>
      <c r="H63" s="4">
        <v>0</v>
      </c>
    </row>
    <row r="64" spans="1:8" x14ac:dyDescent="0.2">
      <c r="A64" s="2" t="s">
        <v>203</v>
      </c>
      <c r="B64" s="4">
        <v>293</v>
      </c>
      <c r="C64" s="5">
        <v>5.9</v>
      </c>
      <c r="D64" s="4">
        <v>161</v>
      </c>
      <c r="E64" s="5">
        <v>10.23</v>
      </c>
      <c r="F64" s="4">
        <v>131</v>
      </c>
      <c r="G64" s="5">
        <v>3.88</v>
      </c>
      <c r="H64" s="4">
        <v>1</v>
      </c>
    </row>
    <row r="65" spans="1:8" x14ac:dyDescent="0.2">
      <c r="A65" s="2" t="s">
        <v>204</v>
      </c>
      <c r="B65" s="4">
        <v>199</v>
      </c>
      <c r="C65" s="5">
        <v>4.01</v>
      </c>
      <c r="D65" s="4">
        <v>27</v>
      </c>
      <c r="E65" s="5">
        <v>1.72</v>
      </c>
      <c r="F65" s="4">
        <v>162</v>
      </c>
      <c r="G65" s="5">
        <v>4.8</v>
      </c>
      <c r="H65" s="4">
        <v>9</v>
      </c>
    </row>
    <row r="66" spans="1:8" x14ac:dyDescent="0.2">
      <c r="A66" s="1" t="s">
        <v>4</v>
      </c>
      <c r="B66" s="4">
        <v>4652</v>
      </c>
      <c r="C66" s="5">
        <v>99.990000000000009</v>
      </c>
      <c r="D66" s="4">
        <v>1358</v>
      </c>
      <c r="E66" s="5">
        <v>100</v>
      </c>
      <c r="F66" s="4">
        <v>3280</v>
      </c>
      <c r="G66" s="5">
        <v>99.999999999999972</v>
      </c>
      <c r="H66" s="4">
        <v>13</v>
      </c>
    </row>
    <row r="67" spans="1:8" x14ac:dyDescent="0.2">
      <c r="A67" s="2" t="s">
        <v>190</v>
      </c>
      <c r="B67" s="4">
        <v>0</v>
      </c>
      <c r="C67" s="5">
        <v>0</v>
      </c>
      <c r="D67" s="4">
        <v>0</v>
      </c>
      <c r="E67" s="5">
        <v>0</v>
      </c>
      <c r="F67" s="4">
        <v>0</v>
      </c>
      <c r="G67" s="5">
        <v>0</v>
      </c>
      <c r="H67" s="4">
        <v>0</v>
      </c>
    </row>
    <row r="68" spans="1:8" x14ac:dyDescent="0.2">
      <c r="A68" s="2" t="s">
        <v>191</v>
      </c>
      <c r="B68" s="4">
        <v>886</v>
      </c>
      <c r="C68" s="5">
        <v>19.05</v>
      </c>
      <c r="D68" s="4">
        <v>46</v>
      </c>
      <c r="E68" s="5">
        <v>3.39</v>
      </c>
      <c r="F68" s="4">
        <v>840</v>
      </c>
      <c r="G68" s="5">
        <v>25.61</v>
      </c>
      <c r="H68" s="4">
        <v>0</v>
      </c>
    </row>
    <row r="69" spans="1:8" x14ac:dyDescent="0.2">
      <c r="A69" s="2" t="s">
        <v>192</v>
      </c>
      <c r="B69" s="4">
        <v>319</v>
      </c>
      <c r="C69" s="5">
        <v>6.86</v>
      </c>
      <c r="D69" s="4">
        <v>34</v>
      </c>
      <c r="E69" s="5">
        <v>2.5</v>
      </c>
      <c r="F69" s="4">
        <v>285</v>
      </c>
      <c r="G69" s="5">
        <v>8.69</v>
      </c>
      <c r="H69" s="4">
        <v>0</v>
      </c>
    </row>
    <row r="70" spans="1:8" x14ac:dyDescent="0.2">
      <c r="A70" s="2" t="s">
        <v>193</v>
      </c>
      <c r="B70" s="4">
        <v>3</v>
      </c>
      <c r="C70" s="5">
        <v>0.06</v>
      </c>
      <c r="D70" s="4">
        <v>0</v>
      </c>
      <c r="E70" s="5">
        <v>0</v>
      </c>
      <c r="F70" s="4">
        <v>3</v>
      </c>
      <c r="G70" s="5">
        <v>0.09</v>
      </c>
      <c r="H70" s="4">
        <v>0</v>
      </c>
    </row>
    <row r="71" spans="1:8" x14ac:dyDescent="0.2">
      <c r="A71" s="2" t="s">
        <v>194</v>
      </c>
      <c r="B71" s="4">
        <v>62</v>
      </c>
      <c r="C71" s="5">
        <v>1.33</v>
      </c>
      <c r="D71" s="4">
        <v>3</v>
      </c>
      <c r="E71" s="5">
        <v>0.22</v>
      </c>
      <c r="F71" s="4">
        <v>57</v>
      </c>
      <c r="G71" s="5">
        <v>1.74</v>
      </c>
      <c r="H71" s="4">
        <v>2</v>
      </c>
    </row>
    <row r="72" spans="1:8" x14ac:dyDescent="0.2">
      <c r="A72" s="2" t="s">
        <v>195</v>
      </c>
      <c r="B72" s="4">
        <v>74</v>
      </c>
      <c r="C72" s="5">
        <v>1.59</v>
      </c>
      <c r="D72" s="4">
        <v>29</v>
      </c>
      <c r="E72" s="5">
        <v>2.14</v>
      </c>
      <c r="F72" s="4">
        <v>45</v>
      </c>
      <c r="G72" s="5">
        <v>1.37</v>
      </c>
      <c r="H72" s="4">
        <v>0</v>
      </c>
    </row>
    <row r="73" spans="1:8" x14ac:dyDescent="0.2">
      <c r="A73" s="2" t="s">
        <v>196</v>
      </c>
      <c r="B73" s="4">
        <v>981</v>
      </c>
      <c r="C73" s="5">
        <v>21.09</v>
      </c>
      <c r="D73" s="4">
        <v>129</v>
      </c>
      <c r="E73" s="5">
        <v>9.5</v>
      </c>
      <c r="F73" s="4">
        <v>850</v>
      </c>
      <c r="G73" s="5">
        <v>25.91</v>
      </c>
      <c r="H73" s="4">
        <v>2</v>
      </c>
    </row>
    <row r="74" spans="1:8" x14ac:dyDescent="0.2">
      <c r="A74" s="2" t="s">
        <v>197</v>
      </c>
      <c r="B74" s="4">
        <v>30</v>
      </c>
      <c r="C74" s="5">
        <v>0.64</v>
      </c>
      <c r="D74" s="4">
        <v>3</v>
      </c>
      <c r="E74" s="5">
        <v>0.22</v>
      </c>
      <c r="F74" s="4">
        <v>27</v>
      </c>
      <c r="G74" s="5">
        <v>0.82</v>
      </c>
      <c r="H74" s="4">
        <v>0</v>
      </c>
    </row>
    <row r="75" spans="1:8" x14ac:dyDescent="0.2">
      <c r="A75" s="2" t="s">
        <v>198</v>
      </c>
      <c r="B75" s="4">
        <v>752</v>
      </c>
      <c r="C75" s="5">
        <v>16.170000000000002</v>
      </c>
      <c r="D75" s="4">
        <v>282</v>
      </c>
      <c r="E75" s="5">
        <v>20.77</v>
      </c>
      <c r="F75" s="4">
        <v>469</v>
      </c>
      <c r="G75" s="5">
        <v>14.3</v>
      </c>
      <c r="H75" s="4">
        <v>1</v>
      </c>
    </row>
    <row r="76" spans="1:8" x14ac:dyDescent="0.2">
      <c r="A76" s="2" t="s">
        <v>199</v>
      </c>
      <c r="B76" s="4">
        <v>233</v>
      </c>
      <c r="C76" s="5">
        <v>5.01</v>
      </c>
      <c r="D76" s="4">
        <v>72</v>
      </c>
      <c r="E76" s="5">
        <v>5.3</v>
      </c>
      <c r="F76" s="4">
        <v>160</v>
      </c>
      <c r="G76" s="5">
        <v>4.88</v>
      </c>
      <c r="H76" s="4">
        <v>1</v>
      </c>
    </row>
    <row r="77" spans="1:8" x14ac:dyDescent="0.2">
      <c r="A77" s="2" t="s">
        <v>200</v>
      </c>
      <c r="B77" s="4">
        <v>304</v>
      </c>
      <c r="C77" s="5">
        <v>6.53</v>
      </c>
      <c r="D77" s="4">
        <v>223</v>
      </c>
      <c r="E77" s="5">
        <v>16.420000000000002</v>
      </c>
      <c r="F77" s="4">
        <v>79</v>
      </c>
      <c r="G77" s="5">
        <v>2.41</v>
      </c>
      <c r="H77" s="4">
        <v>2</v>
      </c>
    </row>
    <row r="78" spans="1:8" x14ac:dyDescent="0.2">
      <c r="A78" s="2" t="s">
        <v>201</v>
      </c>
      <c r="B78" s="4">
        <v>454</v>
      </c>
      <c r="C78" s="5">
        <v>9.76</v>
      </c>
      <c r="D78" s="4">
        <v>321</v>
      </c>
      <c r="E78" s="5">
        <v>23.64</v>
      </c>
      <c r="F78" s="4">
        <v>133</v>
      </c>
      <c r="G78" s="5">
        <v>4.05</v>
      </c>
      <c r="H78" s="4">
        <v>0</v>
      </c>
    </row>
    <row r="79" spans="1:8" x14ac:dyDescent="0.2">
      <c r="A79" s="2" t="s">
        <v>202</v>
      </c>
      <c r="B79" s="4">
        <v>101</v>
      </c>
      <c r="C79" s="5">
        <v>2.17</v>
      </c>
      <c r="D79" s="4">
        <v>60</v>
      </c>
      <c r="E79" s="5">
        <v>4.42</v>
      </c>
      <c r="F79" s="4">
        <v>40</v>
      </c>
      <c r="G79" s="5">
        <v>1.22</v>
      </c>
      <c r="H79" s="4">
        <v>0</v>
      </c>
    </row>
    <row r="80" spans="1:8" x14ac:dyDescent="0.2">
      <c r="A80" s="2" t="s">
        <v>203</v>
      </c>
      <c r="B80" s="4">
        <v>256</v>
      </c>
      <c r="C80" s="5">
        <v>5.5</v>
      </c>
      <c r="D80" s="4">
        <v>122</v>
      </c>
      <c r="E80" s="5">
        <v>8.98</v>
      </c>
      <c r="F80" s="4">
        <v>134</v>
      </c>
      <c r="G80" s="5">
        <v>4.09</v>
      </c>
      <c r="H80" s="4">
        <v>0</v>
      </c>
    </row>
    <row r="81" spans="1:8" x14ac:dyDescent="0.2">
      <c r="A81" s="2" t="s">
        <v>204</v>
      </c>
      <c r="B81" s="4">
        <v>197</v>
      </c>
      <c r="C81" s="5">
        <v>4.2300000000000004</v>
      </c>
      <c r="D81" s="4">
        <v>34</v>
      </c>
      <c r="E81" s="5">
        <v>2.5</v>
      </c>
      <c r="F81" s="4">
        <v>158</v>
      </c>
      <c r="G81" s="5">
        <v>4.82</v>
      </c>
      <c r="H81" s="4">
        <v>5</v>
      </c>
    </row>
    <row r="82" spans="1:8" x14ac:dyDescent="0.2">
      <c r="A82" s="1" t="s">
        <v>5</v>
      </c>
      <c r="B82" s="4">
        <v>4465</v>
      </c>
      <c r="C82" s="5">
        <v>99.990000000000009</v>
      </c>
      <c r="D82" s="4">
        <v>1485</v>
      </c>
      <c r="E82" s="5">
        <v>99.990000000000009</v>
      </c>
      <c r="F82" s="4">
        <v>2967</v>
      </c>
      <c r="G82" s="5">
        <v>99.990000000000009</v>
      </c>
      <c r="H82" s="4">
        <v>12</v>
      </c>
    </row>
    <row r="83" spans="1:8" x14ac:dyDescent="0.2">
      <c r="A83" s="2" t="s">
        <v>190</v>
      </c>
      <c r="B83" s="4">
        <v>0</v>
      </c>
      <c r="C83" s="5">
        <v>0</v>
      </c>
      <c r="D83" s="4">
        <v>0</v>
      </c>
      <c r="E83" s="5">
        <v>0</v>
      </c>
      <c r="F83" s="4">
        <v>0</v>
      </c>
      <c r="G83" s="5">
        <v>0</v>
      </c>
      <c r="H83" s="4">
        <v>0</v>
      </c>
    </row>
    <row r="84" spans="1:8" x14ac:dyDescent="0.2">
      <c r="A84" s="2" t="s">
        <v>191</v>
      </c>
      <c r="B84" s="4">
        <v>785</v>
      </c>
      <c r="C84" s="5">
        <v>17.579999999999998</v>
      </c>
      <c r="D84" s="4">
        <v>35</v>
      </c>
      <c r="E84" s="5">
        <v>2.36</v>
      </c>
      <c r="F84" s="4">
        <v>750</v>
      </c>
      <c r="G84" s="5">
        <v>25.28</v>
      </c>
      <c r="H84" s="4">
        <v>0</v>
      </c>
    </row>
    <row r="85" spans="1:8" x14ac:dyDescent="0.2">
      <c r="A85" s="2" t="s">
        <v>192</v>
      </c>
      <c r="B85" s="4">
        <v>254</v>
      </c>
      <c r="C85" s="5">
        <v>5.69</v>
      </c>
      <c r="D85" s="4">
        <v>32</v>
      </c>
      <c r="E85" s="5">
        <v>2.15</v>
      </c>
      <c r="F85" s="4">
        <v>222</v>
      </c>
      <c r="G85" s="5">
        <v>7.48</v>
      </c>
      <c r="H85" s="4">
        <v>0</v>
      </c>
    </row>
    <row r="86" spans="1:8" x14ac:dyDescent="0.2">
      <c r="A86" s="2" t="s">
        <v>193</v>
      </c>
      <c r="B86" s="4">
        <v>1</v>
      </c>
      <c r="C86" s="5">
        <v>0.02</v>
      </c>
      <c r="D86" s="4">
        <v>0</v>
      </c>
      <c r="E86" s="5">
        <v>0</v>
      </c>
      <c r="F86" s="4">
        <v>1</v>
      </c>
      <c r="G86" s="5">
        <v>0.03</v>
      </c>
      <c r="H86" s="4">
        <v>0</v>
      </c>
    </row>
    <row r="87" spans="1:8" x14ac:dyDescent="0.2">
      <c r="A87" s="2" t="s">
        <v>194</v>
      </c>
      <c r="B87" s="4">
        <v>48</v>
      </c>
      <c r="C87" s="5">
        <v>1.08</v>
      </c>
      <c r="D87" s="4">
        <v>0</v>
      </c>
      <c r="E87" s="5">
        <v>0</v>
      </c>
      <c r="F87" s="4">
        <v>48</v>
      </c>
      <c r="G87" s="5">
        <v>1.62</v>
      </c>
      <c r="H87" s="4">
        <v>0</v>
      </c>
    </row>
    <row r="88" spans="1:8" x14ac:dyDescent="0.2">
      <c r="A88" s="2" t="s">
        <v>195</v>
      </c>
      <c r="B88" s="4">
        <v>102</v>
      </c>
      <c r="C88" s="5">
        <v>2.2799999999999998</v>
      </c>
      <c r="D88" s="4">
        <v>26</v>
      </c>
      <c r="E88" s="5">
        <v>1.75</v>
      </c>
      <c r="F88" s="4">
        <v>76</v>
      </c>
      <c r="G88" s="5">
        <v>2.56</v>
      </c>
      <c r="H88" s="4">
        <v>0</v>
      </c>
    </row>
    <row r="89" spans="1:8" x14ac:dyDescent="0.2">
      <c r="A89" s="2" t="s">
        <v>196</v>
      </c>
      <c r="B89" s="4">
        <v>1006</v>
      </c>
      <c r="C89" s="5">
        <v>22.53</v>
      </c>
      <c r="D89" s="4">
        <v>141</v>
      </c>
      <c r="E89" s="5">
        <v>9.49</v>
      </c>
      <c r="F89" s="4">
        <v>865</v>
      </c>
      <c r="G89" s="5">
        <v>29.15</v>
      </c>
      <c r="H89" s="4">
        <v>0</v>
      </c>
    </row>
    <row r="90" spans="1:8" x14ac:dyDescent="0.2">
      <c r="A90" s="2" t="s">
        <v>197</v>
      </c>
      <c r="B90" s="4">
        <v>29</v>
      </c>
      <c r="C90" s="5">
        <v>0.65</v>
      </c>
      <c r="D90" s="4">
        <v>3</v>
      </c>
      <c r="E90" s="5">
        <v>0.2</v>
      </c>
      <c r="F90" s="4">
        <v>26</v>
      </c>
      <c r="G90" s="5">
        <v>0.88</v>
      </c>
      <c r="H90" s="4">
        <v>0</v>
      </c>
    </row>
    <row r="91" spans="1:8" x14ac:dyDescent="0.2">
      <c r="A91" s="2" t="s">
        <v>198</v>
      </c>
      <c r="B91" s="4">
        <v>777</v>
      </c>
      <c r="C91" s="5">
        <v>17.399999999999999</v>
      </c>
      <c r="D91" s="4">
        <v>417</v>
      </c>
      <c r="E91" s="5">
        <v>28.08</v>
      </c>
      <c r="F91" s="4">
        <v>360</v>
      </c>
      <c r="G91" s="5">
        <v>12.13</v>
      </c>
      <c r="H91" s="4">
        <v>0</v>
      </c>
    </row>
    <row r="92" spans="1:8" x14ac:dyDescent="0.2">
      <c r="A92" s="2" t="s">
        <v>199</v>
      </c>
      <c r="B92" s="4">
        <v>200</v>
      </c>
      <c r="C92" s="5">
        <v>4.4800000000000004</v>
      </c>
      <c r="D92" s="4">
        <v>52</v>
      </c>
      <c r="E92" s="5">
        <v>3.5</v>
      </c>
      <c r="F92" s="4">
        <v>147</v>
      </c>
      <c r="G92" s="5">
        <v>4.95</v>
      </c>
      <c r="H92" s="4">
        <v>0</v>
      </c>
    </row>
    <row r="93" spans="1:8" x14ac:dyDescent="0.2">
      <c r="A93" s="2" t="s">
        <v>200</v>
      </c>
      <c r="B93" s="4">
        <v>359</v>
      </c>
      <c r="C93" s="5">
        <v>8.0399999999999991</v>
      </c>
      <c r="D93" s="4">
        <v>277</v>
      </c>
      <c r="E93" s="5">
        <v>18.649999999999999</v>
      </c>
      <c r="F93" s="4">
        <v>82</v>
      </c>
      <c r="G93" s="5">
        <v>2.76</v>
      </c>
      <c r="H93" s="4">
        <v>0</v>
      </c>
    </row>
    <row r="94" spans="1:8" x14ac:dyDescent="0.2">
      <c r="A94" s="2" t="s">
        <v>201</v>
      </c>
      <c r="B94" s="4">
        <v>427</v>
      </c>
      <c r="C94" s="5">
        <v>9.56</v>
      </c>
      <c r="D94" s="4">
        <v>295</v>
      </c>
      <c r="E94" s="5">
        <v>19.87</v>
      </c>
      <c r="F94" s="4">
        <v>132</v>
      </c>
      <c r="G94" s="5">
        <v>4.45</v>
      </c>
      <c r="H94" s="4">
        <v>0</v>
      </c>
    </row>
    <row r="95" spans="1:8" x14ac:dyDescent="0.2">
      <c r="A95" s="2" t="s">
        <v>202</v>
      </c>
      <c r="B95" s="4">
        <v>72</v>
      </c>
      <c r="C95" s="5">
        <v>1.61</v>
      </c>
      <c r="D95" s="4">
        <v>47</v>
      </c>
      <c r="E95" s="5">
        <v>3.16</v>
      </c>
      <c r="F95" s="4">
        <v>23</v>
      </c>
      <c r="G95" s="5">
        <v>0.78</v>
      </c>
      <c r="H95" s="4">
        <v>2</v>
      </c>
    </row>
    <row r="96" spans="1:8" x14ac:dyDescent="0.2">
      <c r="A96" s="2" t="s">
        <v>203</v>
      </c>
      <c r="B96" s="4">
        <v>232</v>
      </c>
      <c r="C96" s="5">
        <v>5.2</v>
      </c>
      <c r="D96" s="4">
        <v>132</v>
      </c>
      <c r="E96" s="5">
        <v>8.89</v>
      </c>
      <c r="F96" s="4">
        <v>100</v>
      </c>
      <c r="G96" s="5">
        <v>3.37</v>
      </c>
      <c r="H96" s="4">
        <v>0</v>
      </c>
    </row>
    <row r="97" spans="1:8" x14ac:dyDescent="0.2">
      <c r="A97" s="2" t="s">
        <v>204</v>
      </c>
      <c r="B97" s="4">
        <v>173</v>
      </c>
      <c r="C97" s="5">
        <v>3.87</v>
      </c>
      <c r="D97" s="4">
        <v>28</v>
      </c>
      <c r="E97" s="5">
        <v>1.89</v>
      </c>
      <c r="F97" s="4">
        <v>135</v>
      </c>
      <c r="G97" s="5">
        <v>4.55</v>
      </c>
      <c r="H97" s="4">
        <v>10</v>
      </c>
    </row>
    <row r="98" spans="1:8" x14ac:dyDescent="0.2">
      <c r="A98" s="1" t="s">
        <v>6</v>
      </c>
      <c r="B98" s="4">
        <v>3427</v>
      </c>
      <c r="C98" s="5">
        <v>100.01</v>
      </c>
      <c r="D98" s="4">
        <v>1352</v>
      </c>
      <c r="E98" s="5">
        <v>100.00999999999999</v>
      </c>
      <c r="F98" s="4">
        <v>2066</v>
      </c>
      <c r="G98" s="5">
        <v>99.999999999999986</v>
      </c>
      <c r="H98" s="4">
        <v>8</v>
      </c>
    </row>
    <row r="99" spans="1:8" x14ac:dyDescent="0.2">
      <c r="A99" s="2" t="s">
        <v>190</v>
      </c>
      <c r="B99" s="4">
        <v>0</v>
      </c>
      <c r="C99" s="5">
        <v>0</v>
      </c>
      <c r="D99" s="4">
        <v>0</v>
      </c>
      <c r="E99" s="5">
        <v>0</v>
      </c>
      <c r="F99" s="4">
        <v>0</v>
      </c>
      <c r="G99" s="5">
        <v>0</v>
      </c>
      <c r="H99" s="4">
        <v>0</v>
      </c>
    </row>
    <row r="100" spans="1:8" x14ac:dyDescent="0.2">
      <c r="A100" s="2" t="s">
        <v>191</v>
      </c>
      <c r="B100" s="4">
        <v>411</v>
      </c>
      <c r="C100" s="5">
        <v>11.99</v>
      </c>
      <c r="D100" s="4">
        <v>20</v>
      </c>
      <c r="E100" s="5">
        <v>1.48</v>
      </c>
      <c r="F100" s="4">
        <v>391</v>
      </c>
      <c r="G100" s="5">
        <v>18.93</v>
      </c>
      <c r="H100" s="4">
        <v>0</v>
      </c>
    </row>
    <row r="101" spans="1:8" x14ac:dyDescent="0.2">
      <c r="A101" s="2" t="s">
        <v>192</v>
      </c>
      <c r="B101" s="4">
        <v>90</v>
      </c>
      <c r="C101" s="5">
        <v>2.63</v>
      </c>
      <c r="D101" s="4">
        <v>14</v>
      </c>
      <c r="E101" s="5">
        <v>1.04</v>
      </c>
      <c r="F101" s="4">
        <v>76</v>
      </c>
      <c r="G101" s="5">
        <v>3.68</v>
      </c>
      <c r="H101" s="4">
        <v>0</v>
      </c>
    </row>
    <row r="102" spans="1:8" x14ac:dyDescent="0.2">
      <c r="A102" s="2" t="s">
        <v>193</v>
      </c>
      <c r="B102" s="4">
        <v>0</v>
      </c>
      <c r="C102" s="5">
        <v>0</v>
      </c>
      <c r="D102" s="4">
        <v>0</v>
      </c>
      <c r="E102" s="5">
        <v>0</v>
      </c>
      <c r="F102" s="4">
        <v>0</v>
      </c>
      <c r="G102" s="5">
        <v>0</v>
      </c>
      <c r="H102" s="4">
        <v>0</v>
      </c>
    </row>
    <row r="103" spans="1:8" x14ac:dyDescent="0.2">
      <c r="A103" s="2" t="s">
        <v>194</v>
      </c>
      <c r="B103" s="4">
        <v>42</v>
      </c>
      <c r="C103" s="5">
        <v>1.23</v>
      </c>
      <c r="D103" s="4">
        <v>3</v>
      </c>
      <c r="E103" s="5">
        <v>0.22</v>
      </c>
      <c r="F103" s="4">
        <v>39</v>
      </c>
      <c r="G103" s="5">
        <v>1.89</v>
      </c>
      <c r="H103" s="4">
        <v>0</v>
      </c>
    </row>
    <row r="104" spans="1:8" x14ac:dyDescent="0.2">
      <c r="A104" s="2" t="s">
        <v>195</v>
      </c>
      <c r="B104" s="4">
        <v>38</v>
      </c>
      <c r="C104" s="5">
        <v>1.1100000000000001</v>
      </c>
      <c r="D104" s="4">
        <v>25</v>
      </c>
      <c r="E104" s="5">
        <v>1.85</v>
      </c>
      <c r="F104" s="4">
        <v>13</v>
      </c>
      <c r="G104" s="5">
        <v>0.63</v>
      </c>
      <c r="H104" s="4">
        <v>0</v>
      </c>
    </row>
    <row r="105" spans="1:8" x14ac:dyDescent="0.2">
      <c r="A105" s="2" t="s">
        <v>196</v>
      </c>
      <c r="B105" s="4">
        <v>588</v>
      </c>
      <c r="C105" s="5">
        <v>17.16</v>
      </c>
      <c r="D105" s="4">
        <v>108</v>
      </c>
      <c r="E105" s="5">
        <v>7.99</v>
      </c>
      <c r="F105" s="4">
        <v>480</v>
      </c>
      <c r="G105" s="5">
        <v>23.23</v>
      </c>
      <c r="H105" s="4">
        <v>0</v>
      </c>
    </row>
    <row r="106" spans="1:8" x14ac:dyDescent="0.2">
      <c r="A106" s="2" t="s">
        <v>197</v>
      </c>
      <c r="B106" s="4">
        <v>47</v>
      </c>
      <c r="C106" s="5">
        <v>1.37</v>
      </c>
      <c r="D106" s="4">
        <v>2</v>
      </c>
      <c r="E106" s="5">
        <v>0.15</v>
      </c>
      <c r="F106" s="4">
        <v>45</v>
      </c>
      <c r="G106" s="5">
        <v>2.1800000000000002</v>
      </c>
      <c r="H106" s="4">
        <v>0</v>
      </c>
    </row>
    <row r="107" spans="1:8" x14ac:dyDescent="0.2">
      <c r="A107" s="2" t="s">
        <v>198</v>
      </c>
      <c r="B107" s="4">
        <v>798</v>
      </c>
      <c r="C107" s="5">
        <v>23.29</v>
      </c>
      <c r="D107" s="4">
        <v>381</v>
      </c>
      <c r="E107" s="5">
        <v>28.18</v>
      </c>
      <c r="F107" s="4">
        <v>415</v>
      </c>
      <c r="G107" s="5">
        <v>20.09</v>
      </c>
      <c r="H107" s="4">
        <v>2</v>
      </c>
    </row>
    <row r="108" spans="1:8" x14ac:dyDescent="0.2">
      <c r="A108" s="2" t="s">
        <v>199</v>
      </c>
      <c r="B108" s="4">
        <v>204</v>
      </c>
      <c r="C108" s="5">
        <v>5.95</v>
      </c>
      <c r="D108" s="4">
        <v>63</v>
      </c>
      <c r="E108" s="5">
        <v>4.66</v>
      </c>
      <c r="F108" s="4">
        <v>141</v>
      </c>
      <c r="G108" s="5">
        <v>6.82</v>
      </c>
      <c r="H108" s="4">
        <v>0</v>
      </c>
    </row>
    <row r="109" spans="1:8" x14ac:dyDescent="0.2">
      <c r="A109" s="2" t="s">
        <v>200</v>
      </c>
      <c r="B109" s="4">
        <v>307</v>
      </c>
      <c r="C109" s="5">
        <v>8.9600000000000009</v>
      </c>
      <c r="D109" s="4">
        <v>219</v>
      </c>
      <c r="E109" s="5">
        <v>16.2</v>
      </c>
      <c r="F109" s="4">
        <v>88</v>
      </c>
      <c r="G109" s="5">
        <v>4.26</v>
      </c>
      <c r="H109" s="4">
        <v>0</v>
      </c>
    </row>
    <row r="110" spans="1:8" x14ac:dyDescent="0.2">
      <c r="A110" s="2" t="s">
        <v>201</v>
      </c>
      <c r="B110" s="4">
        <v>446</v>
      </c>
      <c r="C110" s="5">
        <v>13.01</v>
      </c>
      <c r="D110" s="4">
        <v>298</v>
      </c>
      <c r="E110" s="5">
        <v>22.04</v>
      </c>
      <c r="F110" s="4">
        <v>148</v>
      </c>
      <c r="G110" s="5">
        <v>7.16</v>
      </c>
      <c r="H110" s="4">
        <v>0</v>
      </c>
    </row>
    <row r="111" spans="1:8" x14ac:dyDescent="0.2">
      <c r="A111" s="2" t="s">
        <v>202</v>
      </c>
      <c r="B111" s="4">
        <v>101</v>
      </c>
      <c r="C111" s="5">
        <v>2.95</v>
      </c>
      <c r="D111" s="4">
        <v>69</v>
      </c>
      <c r="E111" s="5">
        <v>5.0999999999999996</v>
      </c>
      <c r="F111" s="4">
        <v>31</v>
      </c>
      <c r="G111" s="5">
        <v>1.5</v>
      </c>
      <c r="H111" s="4">
        <v>0</v>
      </c>
    </row>
    <row r="112" spans="1:8" x14ac:dyDescent="0.2">
      <c r="A112" s="2" t="s">
        <v>203</v>
      </c>
      <c r="B112" s="4">
        <v>248</v>
      </c>
      <c r="C112" s="5">
        <v>7.24</v>
      </c>
      <c r="D112" s="4">
        <v>131</v>
      </c>
      <c r="E112" s="5">
        <v>9.69</v>
      </c>
      <c r="F112" s="4">
        <v>116</v>
      </c>
      <c r="G112" s="5">
        <v>5.61</v>
      </c>
      <c r="H112" s="4">
        <v>1</v>
      </c>
    </row>
    <row r="113" spans="1:8" x14ac:dyDescent="0.2">
      <c r="A113" s="2" t="s">
        <v>204</v>
      </c>
      <c r="B113" s="4">
        <v>107</v>
      </c>
      <c r="C113" s="5">
        <v>3.12</v>
      </c>
      <c r="D113" s="4">
        <v>19</v>
      </c>
      <c r="E113" s="5">
        <v>1.41</v>
      </c>
      <c r="F113" s="4">
        <v>83</v>
      </c>
      <c r="G113" s="5">
        <v>4.0199999999999996</v>
      </c>
      <c r="H113" s="4">
        <v>5</v>
      </c>
    </row>
    <row r="114" spans="1:8" x14ac:dyDescent="0.2">
      <c r="A114" s="1" t="s">
        <v>7</v>
      </c>
      <c r="B114" s="4">
        <v>2037</v>
      </c>
      <c r="C114" s="5">
        <v>100.01</v>
      </c>
      <c r="D114" s="4">
        <v>817</v>
      </c>
      <c r="E114" s="5">
        <v>100</v>
      </c>
      <c r="F114" s="4">
        <v>1202</v>
      </c>
      <c r="G114" s="5">
        <v>99.990000000000009</v>
      </c>
      <c r="H114" s="4">
        <v>14</v>
      </c>
    </row>
    <row r="115" spans="1:8" x14ac:dyDescent="0.2">
      <c r="A115" s="2" t="s">
        <v>190</v>
      </c>
      <c r="B115" s="4">
        <v>1</v>
      </c>
      <c r="C115" s="5">
        <v>0.05</v>
      </c>
      <c r="D115" s="4">
        <v>0</v>
      </c>
      <c r="E115" s="5">
        <v>0</v>
      </c>
      <c r="F115" s="4">
        <v>1</v>
      </c>
      <c r="G115" s="5">
        <v>0.08</v>
      </c>
      <c r="H115" s="4">
        <v>0</v>
      </c>
    </row>
    <row r="116" spans="1:8" x14ac:dyDescent="0.2">
      <c r="A116" s="2" t="s">
        <v>191</v>
      </c>
      <c r="B116" s="4">
        <v>291</v>
      </c>
      <c r="C116" s="5">
        <v>14.29</v>
      </c>
      <c r="D116" s="4">
        <v>20</v>
      </c>
      <c r="E116" s="5">
        <v>2.4500000000000002</v>
      </c>
      <c r="F116" s="4">
        <v>270</v>
      </c>
      <c r="G116" s="5">
        <v>22.46</v>
      </c>
      <c r="H116" s="4">
        <v>1</v>
      </c>
    </row>
    <row r="117" spans="1:8" x14ac:dyDescent="0.2">
      <c r="A117" s="2" t="s">
        <v>192</v>
      </c>
      <c r="B117" s="4">
        <v>71</v>
      </c>
      <c r="C117" s="5">
        <v>3.49</v>
      </c>
      <c r="D117" s="4">
        <v>14</v>
      </c>
      <c r="E117" s="5">
        <v>1.71</v>
      </c>
      <c r="F117" s="4">
        <v>57</v>
      </c>
      <c r="G117" s="5">
        <v>4.74</v>
      </c>
      <c r="H117" s="4">
        <v>0</v>
      </c>
    </row>
    <row r="118" spans="1:8" x14ac:dyDescent="0.2">
      <c r="A118" s="2" t="s">
        <v>193</v>
      </c>
      <c r="B118" s="4">
        <v>1</v>
      </c>
      <c r="C118" s="5">
        <v>0.05</v>
      </c>
      <c r="D118" s="4">
        <v>0</v>
      </c>
      <c r="E118" s="5">
        <v>0</v>
      </c>
      <c r="F118" s="4">
        <v>1</v>
      </c>
      <c r="G118" s="5">
        <v>0.08</v>
      </c>
      <c r="H118" s="4">
        <v>0</v>
      </c>
    </row>
    <row r="119" spans="1:8" x14ac:dyDescent="0.2">
      <c r="A119" s="2" t="s">
        <v>194</v>
      </c>
      <c r="B119" s="4">
        <v>19</v>
      </c>
      <c r="C119" s="5">
        <v>0.93</v>
      </c>
      <c r="D119" s="4">
        <v>0</v>
      </c>
      <c r="E119" s="5">
        <v>0</v>
      </c>
      <c r="F119" s="4">
        <v>18</v>
      </c>
      <c r="G119" s="5">
        <v>1.5</v>
      </c>
      <c r="H119" s="4">
        <v>1</v>
      </c>
    </row>
    <row r="120" spans="1:8" x14ac:dyDescent="0.2">
      <c r="A120" s="2" t="s">
        <v>195</v>
      </c>
      <c r="B120" s="4">
        <v>51</v>
      </c>
      <c r="C120" s="5">
        <v>2.5</v>
      </c>
      <c r="D120" s="4">
        <v>30</v>
      </c>
      <c r="E120" s="5">
        <v>3.67</v>
      </c>
      <c r="F120" s="4">
        <v>21</v>
      </c>
      <c r="G120" s="5">
        <v>1.75</v>
      </c>
      <c r="H120" s="4">
        <v>0</v>
      </c>
    </row>
    <row r="121" spans="1:8" x14ac:dyDescent="0.2">
      <c r="A121" s="2" t="s">
        <v>196</v>
      </c>
      <c r="B121" s="4">
        <v>346</v>
      </c>
      <c r="C121" s="5">
        <v>16.989999999999998</v>
      </c>
      <c r="D121" s="4">
        <v>99</v>
      </c>
      <c r="E121" s="5">
        <v>12.12</v>
      </c>
      <c r="F121" s="4">
        <v>247</v>
      </c>
      <c r="G121" s="5">
        <v>20.55</v>
      </c>
      <c r="H121" s="4">
        <v>0</v>
      </c>
    </row>
    <row r="122" spans="1:8" x14ac:dyDescent="0.2">
      <c r="A122" s="2" t="s">
        <v>197</v>
      </c>
      <c r="B122" s="4">
        <v>11</v>
      </c>
      <c r="C122" s="5">
        <v>0.54</v>
      </c>
      <c r="D122" s="4">
        <v>0</v>
      </c>
      <c r="E122" s="5">
        <v>0</v>
      </c>
      <c r="F122" s="4">
        <v>11</v>
      </c>
      <c r="G122" s="5">
        <v>0.92</v>
      </c>
      <c r="H122" s="4">
        <v>0</v>
      </c>
    </row>
    <row r="123" spans="1:8" x14ac:dyDescent="0.2">
      <c r="A123" s="2" t="s">
        <v>198</v>
      </c>
      <c r="B123" s="4">
        <v>319</v>
      </c>
      <c r="C123" s="5">
        <v>15.66</v>
      </c>
      <c r="D123" s="4">
        <v>140</v>
      </c>
      <c r="E123" s="5">
        <v>17.14</v>
      </c>
      <c r="F123" s="4">
        <v>175</v>
      </c>
      <c r="G123" s="5">
        <v>14.56</v>
      </c>
      <c r="H123" s="4">
        <v>2</v>
      </c>
    </row>
    <row r="124" spans="1:8" x14ac:dyDescent="0.2">
      <c r="A124" s="2" t="s">
        <v>199</v>
      </c>
      <c r="B124" s="4">
        <v>124</v>
      </c>
      <c r="C124" s="5">
        <v>6.09</v>
      </c>
      <c r="D124" s="4">
        <v>40</v>
      </c>
      <c r="E124" s="5">
        <v>4.9000000000000004</v>
      </c>
      <c r="F124" s="4">
        <v>84</v>
      </c>
      <c r="G124" s="5">
        <v>6.99</v>
      </c>
      <c r="H124" s="4">
        <v>0</v>
      </c>
    </row>
    <row r="125" spans="1:8" x14ac:dyDescent="0.2">
      <c r="A125" s="2" t="s">
        <v>200</v>
      </c>
      <c r="B125" s="4">
        <v>253</v>
      </c>
      <c r="C125" s="5">
        <v>12.42</v>
      </c>
      <c r="D125" s="4">
        <v>167</v>
      </c>
      <c r="E125" s="5">
        <v>20.440000000000001</v>
      </c>
      <c r="F125" s="4">
        <v>86</v>
      </c>
      <c r="G125" s="5">
        <v>7.15</v>
      </c>
      <c r="H125" s="4">
        <v>0</v>
      </c>
    </row>
    <row r="126" spans="1:8" x14ac:dyDescent="0.2">
      <c r="A126" s="2" t="s">
        <v>201</v>
      </c>
      <c r="B126" s="4">
        <v>273</v>
      </c>
      <c r="C126" s="5">
        <v>13.4</v>
      </c>
      <c r="D126" s="4">
        <v>184</v>
      </c>
      <c r="E126" s="5">
        <v>22.52</v>
      </c>
      <c r="F126" s="4">
        <v>89</v>
      </c>
      <c r="G126" s="5">
        <v>7.4</v>
      </c>
      <c r="H126" s="4">
        <v>0</v>
      </c>
    </row>
    <row r="127" spans="1:8" x14ac:dyDescent="0.2">
      <c r="A127" s="2" t="s">
        <v>202</v>
      </c>
      <c r="B127" s="4">
        <v>65</v>
      </c>
      <c r="C127" s="5">
        <v>3.19</v>
      </c>
      <c r="D127" s="4">
        <v>43</v>
      </c>
      <c r="E127" s="5">
        <v>5.26</v>
      </c>
      <c r="F127" s="4">
        <v>21</v>
      </c>
      <c r="G127" s="5">
        <v>1.75</v>
      </c>
      <c r="H127" s="4">
        <v>0</v>
      </c>
    </row>
    <row r="128" spans="1:8" x14ac:dyDescent="0.2">
      <c r="A128" s="2" t="s">
        <v>203</v>
      </c>
      <c r="B128" s="4">
        <v>130</v>
      </c>
      <c r="C128" s="5">
        <v>6.38</v>
      </c>
      <c r="D128" s="4">
        <v>70</v>
      </c>
      <c r="E128" s="5">
        <v>8.57</v>
      </c>
      <c r="F128" s="4">
        <v>60</v>
      </c>
      <c r="G128" s="5">
        <v>4.99</v>
      </c>
      <c r="H128" s="4">
        <v>0</v>
      </c>
    </row>
    <row r="129" spans="1:8" x14ac:dyDescent="0.2">
      <c r="A129" s="2" t="s">
        <v>204</v>
      </c>
      <c r="B129" s="4">
        <v>82</v>
      </c>
      <c r="C129" s="5">
        <v>4.03</v>
      </c>
      <c r="D129" s="4">
        <v>10</v>
      </c>
      <c r="E129" s="5">
        <v>1.22</v>
      </c>
      <c r="F129" s="4">
        <v>61</v>
      </c>
      <c r="G129" s="5">
        <v>5.07</v>
      </c>
      <c r="H129" s="4">
        <v>10</v>
      </c>
    </row>
    <row r="130" spans="1:8" x14ac:dyDescent="0.2">
      <c r="A130" s="1" t="s">
        <v>8</v>
      </c>
      <c r="B130" s="4">
        <v>3661</v>
      </c>
      <c r="C130" s="5">
        <v>100.00999999999999</v>
      </c>
      <c r="D130" s="4">
        <v>1373</v>
      </c>
      <c r="E130" s="5">
        <v>100.01</v>
      </c>
      <c r="F130" s="4">
        <v>2273</v>
      </c>
      <c r="G130" s="5">
        <v>100.01</v>
      </c>
      <c r="H130" s="4">
        <v>13</v>
      </c>
    </row>
    <row r="131" spans="1:8" x14ac:dyDescent="0.2">
      <c r="A131" s="2" t="s">
        <v>190</v>
      </c>
      <c r="B131" s="4">
        <v>0</v>
      </c>
      <c r="C131" s="5">
        <v>0</v>
      </c>
      <c r="D131" s="4">
        <v>0</v>
      </c>
      <c r="E131" s="5">
        <v>0</v>
      </c>
      <c r="F131" s="4">
        <v>0</v>
      </c>
      <c r="G131" s="5">
        <v>0</v>
      </c>
      <c r="H131" s="4">
        <v>0</v>
      </c>
    </row>
    <row r="132" spans="1:8" x14ac:dyDescent="0.2">
      <c r="A132" s="2" t="s">
        <v>191</v>
      </c>
      <c r="B132" s="4">
        <v>485</v>
      </c>
      <c r="C132" s="5">
        <v>13.25</v>
      </c>
      <c r="D132" s="4">
        <v>29</v>
      </c>
      <c r="E132" s="5">
        <v>2.11</v>
      </c>
      <c r="F132" s="4">
        <v>456</v>
      </c>
      <c r="G132" s="5">
        <v>20.059999999999999</v>
      </c>
      <c r="H132" s="4">
        <v>0</v>
      </c>
    </row>
    <row r="133" spans="1:8" x14ac:dyDescent="0.2">
      <c r="A133" s="2" t="s">
        <v>192</v>
      </c>
      <c r="B133" s="4">
        <v>194</v>
      </c>
      <c r="C133" s="5">
        <v>5.3</v>
      </c>
      <c r="D133" s="4">
        <v>26</v>
      </c>
      <c r="E133" s="5">
        <v>1.89</v>
      </c>
      <c r="F133" s="4">
        <v>168</v>
      </c>
      <c r="G133" s="5">
        <v>7.39</v>
      </c>
      <c r="H133" s="4">
        <v>0</v>
      </c>
    </row>
    <row r="134" spans="1:8" x14ac:dyDescent="0.2">
      <c r="A134" s="2" t="s">
        <v>193</v>
      </c>
      <c r="B134" s="4">
        <v>0</v>
      </c>
      <c r="C134" s="5">
        <v>0</v>
      </c>
      <c r="D134" s="4">
        <v>0</v>
      </c>
      <c r="E134" s="5">
        <v>0</v>
      </c>
      <c r="F134" s="4">
        <v>0</v>
      </c>
      <c r="G134" s="5">
        <v>0</v>
      </c>
      <c r="H134" s="4">
        <v>0</v>
      </c>
    </row>
    <row r="135" spans="1:8" x14ac:dyDescent="0.2">
      <c r="A135" s="2" t="s">
        <v>194</v>
      </c>
      <c r="B135" s="4">
        <v>57</v>
      </c>
      <c r="C135" s="5">
        <v>1.56</v>
      </c>
      <c r="D135" s="4">
        <v>3</v>
      </c>
      <c r="E135" s="5">
        <v>0.22</v>
      </c>
      <c r="F135" s="4">
        <v>54</v>
      </c>
      <c r="G135" s="5">
        <v>2.38</v>
      </c>
      <c r="H135" s="4">
        <v>0</v>
      </c>
    </row>
    <row r="136" spans="1:8" x14ac:dyDescent="0.2">
      <c r="A136" s="2" t="s">
        <v>195</v>
      </c>
      <c r="B136" s="4">
        <v>43</v>
      </c>
      <c r="C136" s="5">
        <v>1.17</v>
      </c>
      <c r="D136" s="4">
        <v>24</v>
      </c>
      <c r="E136" s="5">
        <v>1.75</v>
      </c>
      <c r="F136" s="4">
        <v>19</v>
      </c>
      <c r="G136" s="5">
        <v>0.84</v>
      </c>
      <c r="H136" s="4">
        <v>0</v>
      </c>
    </row>
    <row r="137" spans="1:8" x14ac:dyDescent="0.2">
      <c r="A137" s="2" t="s">
        <v>196</v>
      </c>
      <c r="B137" s="4">
        <v>685</v>
      </c>
      <c r="C137" s="5">
        <v>18.71</v>
      </c>
      <c r="D137" s="4">
        <v>147</v>
      </c>
      <c r="E137" s="5">
        <v>10.71</v>
      </c>
      <c r="F137" s="4">
        <v>538</v>
      </c>
      <c r="G137" s="5">
        <v>23.67</v>
      </c>
      <c r="H137" s="4">
        <v>0</v>
      </c>
    </row>
    <row r="138" spans="1:8" x14ac:dyDescent="0.2">
      <c r="A138" s="2" t="s">
        <v>197</v>
      </c>
      <c r="B138" s="4">
        <v>29</v>
      </c>
      <c r="C138" s="5">
        <v>0.79</v>
      </c>
      <c r="D138" s="4">
        <v>3</v>
      </c>
      <c r="E138" s="5">
        <v>0.22</v>
      </c>
      <c r="F138" s="4">
        <v>26</v>
      </c>
      <c r="G138" s="5">
        <v>1.1399999999999999</v>
      </c>
      <c r="H138" s="4">
        <v>0</v>
      </c>
    </row>
    <row r="139" spans="1:8" x14ac:dyDescent="0.2">
      <c r="A139" s="2" t="s">
        <v>198</v>
      </c>
      <c r="B139" s="4">
        <v>590</v>
      </c>
      <c r="C139" s="5">
        <v>16.12</v>
      </c>
      <c r="D139" s="4">
        <v>257</v>
      </c>
      <c r="E139" s="5">
        <v>18.72</v>
      </c>
      <c r="F139" s="4">
        <v>333</v>
      </c>
      <c r="G139" s="5">
        <v>14.65</v>
      </c>
      <c r="H139" s="4">
        <v>0</v>
      </c>
    </row>
    <row r="140" spans="1:8" x14ac:dyDescent="0.2">
      <c r="A140" s="2" t="s">
        <v>199</v>
      </c>
      <c r="B140" s="4">
        <v>256</v>
      </c>
      <c r="C140" s="5">
        <v>6.99</v>
      </c>
      <c r="D140" s="4">
        <v>84</v>
      </c>
      <c r="E140" s="5">
        <v>6.12</v>
      </c>
      <c r="F140" s="4">
        <v>172</v>
      </c>
      <c r="G140" s="5">
        <v>7.57</v>
      </c>
      <c r="H140" s="4">
        <v>0</v>
      </c>
    </row>
    <row r="141" spans="1:8" x14ac:dyDescent="0.2">
      <c r="A141" s="2" t="s">
        <v>200</v>
      </c>
      <c r="B141" s="4">
        <v>425</v>
      </c>
      <c r="C141" s="5">
        <v>11.61</v>
      </c>
      <c r="D141" s="4">
        <v>300</v>
      </c>
      <c r="E141" s="5">
        <v>21.85</v>
      </c>
      <c r="F141" s="4">
        <v>125</v>
      </c>
      <c r="G141" s="5">
        <v>5.5</v>
      </c>
      <c r="H141" s="4">
        <v>0</v>
      </c>
    </row>
    <row r="142" spans="1:8" x14ac:dyDescent="0.2">
      <c r="A142" s="2" t="s">
        <v>201</v>
      </c>
      <c r="B142" s="4">
        <v>389</v>
      </c>
      <c r="C142" s="5">
        <v>10.63</v>
      </c>
      <c r="D142" s="4">
        <v>255</v>
      </c>
      <c r="E142" s="5">
        <v>18.57</v>
      </c>
      <c r="F142" s="4">
        <v>133</v>
      </c>
      <c r="G142" s="5">
        <v>5.85</v>
      </c>
      <c r="H142" s="4">
        <v>0</v>
      </c>
    </row>
    <row r="143" spans="1:8" x14ac:dyDescent="0.2">
      <c r="A143" s="2" t="s">
        <v>202</v>
      </c>
      <c r="B143" s="4">
        <v>130</v>
      </c>
      <c r="C143" s="5">
        <v>3.55</v>
      </c>
      <c r="D143" s="4">
        <v>87</v>
      </c>
      <c r="E143" s="5">
        <v>6.34</v>
      </c>
      <c r="F143" s="4">
        <v>41</v>
      </c>
      <c r="G143" s="5">
        <v>1.8</v>
      </c>
      <c r="H143" s="4">
        <v>2</v>
      </c>
    </row>
    <row r="144" spans="1:8" x14ac:dyDescent="0.2">
      <c r="A144" s="2" t="s">
        <v>203</v>
      </c>
      <c r="B144" s="4">
        <v>262</v>
      </c>
      <c r="C144" s="5">
        <v>7.16</v>
      </c>
      <c r="D144" s="4">
        <v>142</v>
      </c>
      <c r="E144" s="5">
        <v>10.34</v>
      </c>
      <c r="F144" s="4">
        <v>119</v>
      </c>
      <c r="G144" s="5">
        <v>5.24</v>
      </c>
      <c r="H144" s="4">
        <v>1</v>
      </c>
    </row>
    <row r="145" spans="1:8" x14ac:dyDescent="0.2">
      <c r="A145" s="2" t="s">
        <v>204</v>
      </c>
      <c r="B145" s="4">
        <v>116</v>
      </c>
      <c r="C145" s="5">
        <v>3.17</v>
      </c>
      <c r="D145" s="4">
        <v>16</v>
      </c>
      <c r="E145" s="5">
        <v>1.17</v>
      </c>
      <c r="F145" s="4">
        <v>89</v>
      </c>
      <c r="G145" s="5">
        <v>3.92</v>
      </c>
      <c r="H145" s="4">
        <v>10</v>
      </c>
    </row>
    <row r="146" spans="1:8" x14ac:dyDescent="0.2">
      <c r="A146" s="1" t="s">
        <v>9</v>
      </c>
      <c r="B146" s="4">
        <v>1375</v>
      </c>
      <c r="C146" s="5">
        <v>100.01000000000002</v>
      </c>
      <c r="D146" s="4">
        <v>403</v>
      </c>
      <c r="E146" s="5">
        <v>100.00999999999999</v>
      </c>
      <c r="F146" s="4">
        <v>967</v>
      </c>
      <c r="G146" s="5">
        <v>99.99</v>
      </c>
      <c r="H146" s="4">
        <v>5</v>
      </c>
    </row>
    <row r="147" spans="1:8" x14ac:dyDescent="0.2">
      <c r="A147" s="2" t="s">
        <v>190</v>
      </c>
      <c r="B147" s="4">
        <v>0</v>
      </c>
      <c r="C147" s="5">
        <v>0</v>
      </c>
      <c r="D147" s="4">
        <v>0</v>
      </c>
      <c r="E147" s="5">
        <v>0</v>
      </c>
      <c r="F147" s="4">
        <v>0</v>
      </c>
      <c r="G147" s="5">
        <v>0</v>
      </c>
      <c r="H147" s="4">
        <v>0</v>
      </c>
    </row>
    <row r="148" spans="1:8" x14ac:dyDescent="0.2">
      <c r="A148" s="2" t="s">
        <v>191</v>
      </c>
      <c r="B148" s="4">
        <v>151</v>
      </c>
      <c r="C148" s="5">
        <v>10.98</v>
      </c>
      <c r="D148" s="4">
        <v>11</v>
      </c>
      <c r="E148" s="5">
        <v>2.73</v>
      </c>
      <c r="F148" s="4">
        <v>140</v>
      </c>
      <c r="G148" s="5">
        <v>14.48</v>
      </c>
      <c r="H148" s="4">
        <v>0</v>
      </c>
    </row>
    <row r="149" spans="1:8" x14ac:dyDescent="0.2">
      <c r="A149" s="2" t="s">
        <v>192</v>
      </c>
      <c r="B149" s="4">
        <v>40</v>
      </c>
      <c r="C149" s="5">
        <v>2.91</v>
      </c>
      <c r="D149" s="4">
        <v>7</v>
      </c>
      <c r="E149" s="5">
        <v>1.74</v>
      </c>
      <c r="F149" s="4">
        <v>33</v>
      </c>
      <c r="G149" s="5">
        <v>3.41</v>
      </c>
      <c r="H149" s="4">
        <v>0</v>
      </c>
    </row>
    <row r="150" spans="1:8" x14ac:dyDescent="0.2">
      <c r="A150" s="2" t="s">
        <v>193</v>
      </c>
      <c r="B150" s="4">
        <v>1</v>
      </c>
      <c r="C150" s="5">
        <v>7.0000000000000007E-2</v>
      </c>
      <c r="D150" s="4">
        <v>0</v>
      </c>
      <c r="E150" s="5">
        <v>0</v>
      </c>
      <c r="F150" s="4">
        <v>1</v>
      </c>
      <c r="G150" s="5">
        <v>0.1</v>
      </c>
      <c r="H150" s="4">
        <v>0</v>
      </c>
    </row>
    <row r="151" spans="1:8" x14ac:dyDescent="0.2">
      <c r="A151" s="2" t="s">
        <v>194</v>
      </c>
      <c r="B151" s="4">
        <v>33</v>
      </c>
      <c r="C151" s="5">
        <v>2.4</v>
      </c>
      <c r="D151" s="4">
        <v>0</v>
      </c>
      <c r="E151" s="5">
        <v>0</v>
      </c>
      <c r="F151" s="4">
        <v>33</v>
      </c>
      <c r="G151" s="5">
        <v>3.41</v>
      </c>
      <c r="H151" s="4">
        <v>0</v>
      </c>
    </row>
    <row r="152" spans="1:8" x14ac:dyDescent="0.2">
      <c r="A152" s="2" t="s">
        <v>195</v>
      </c>
      <c r="B152" s="4">
        <v>23</v>
      </c>
      <c r="C152" s="5">
        <v>1.67</v>
      </c>
      <c r="D152" s="4">
        <v>7</v>
      </c>
      <c r="E152" s="5">
        <v>1.74</v>
      </c>
      <c r="F152" s="4">
        <v>16</v>
      </c>
      <c r="G152" s="5">
        <v>1.65</v>
      </c>
      <c r="H152" s="4">
        <v>0</v>
      </c>
    </row>
    <row r="153" spans="1:8" x14ac:dyDescent="0.2">
      <c r="A153" s="2" t="s">
        <v>196</v>
      </c>
      <c r="B153" s="4">
        <v>300</v>
      </c>
      <c r="C153" s="5">
        <v>21.82</v>
      </c>
      <c r="D153" s="4">
        <v>40</v>
      </c>
      <c r="E153" s="5">
        <v>9.93</v>
      </c>
      <c r="F153" s="4">
        <v>259</v>
      </c>
      <c r="G153" s="5">
        <v>26.78</v>
      </c>
      <c r="H153" s="4">
        <v>1</v>
      </c>
    </row>
    <row r="154" spans="1:8" x14ac:dyDescent="0.2">
      <c r="A154" s="2" t="s">
        <v>197</v>
      </c>
      <c r="B154" s="4">
        <v>13</v>
      </c>
      <c r="C154" s="5">
        <v>0.95</v>
      </c>
      <c r="D154" s="4">
        <v>2</v>
      </c>
      <c r="E154" s="5">
        <v>0.5</v>
      </c>
      <c r="F154" s="4">
        <v>11</v>
      </c>
      <c r="G154" s="5">
        <v>1.1399999999999999</v>
      </c>
      <c r="H154" s="4">
        <v>0</v>
      </c>
    </row>
    <row r="155" spans="1:8" x14ac:dyDescent="0.2">
      <c r="A155" s="2" t="s">
        <v>198</v>
      </c>
      <c r="B155" s="4">
        <v>239</v>
      </c>
      <c r="C155" s="5">
        <v>17.38</v>
      </c>
      <c r="D155" s="4">
        <v>63</v>
      </c>
      <c r="E155" s="5">
        <v>15.63</v>
      </c>
      <c r="F155" s="4">
        <v>176</v>
      </c>
      <c r="G155" s="5">
        <v>18.2</v>
      </c>
      <c r="H155" s="4">
        <v>0</v>
      </c>
    </row>
    <row r="156" spans="1:8" x14ac:dyDescent="0.2">
      <c r="A156" s="2" t="s">
        <v>199</v>
      </c>
      <c r="B156" s="4">
        <v>75</v>
      </c>
      <c r="C156" s="5">
        <v>5.45</v>
      </c>
      <c r="D156" s="4">
        <v>17</v>
      </c>
      <c r="E156" s="5">
        <v>4.22</v>
      </c>
      <c r="F156" s="4">
        <v>58</v>
      </c>
      <c r="G156" s="5">
        <v>6</v>
      </c>
      <c r="H156" s="4">
        <v>0</v>
      </c>
    </row>
    <row r="157" spans="1:8" x14ac:dyDescent="0.2">
      <c r="A157" s="2" t="s">
        <v>200</v>
      </c>
      <c r="B157" s="4">
        <v>145</v>
      </c>
      <c r="C157" s="5">
        <v>10.55</v>
      </c>
      <c r="D157" s="4">
        <v>76</v>
      </c>
      <c r="E157" s="5">
        <v>18.86</v>
      </c>
      <c r="F157" s="4">
        <v>69</v>
      </c>
      <c r="G157" s="5">
        <v>7.14</v>
      </c>
      <c r="H157" s="4">
        <v>0</v>
      </c>
    </row>
    <row r="158" spans="1:8" x14ac:dyDescent="0.2">
      <c r="A158" s="2" t="s">
        <v>201</v>
      </c>
      <c r="B158" s="4">
        <v>167</v>
      </c>
      <c r="C158" s="5">
        <v>12.15</v>
      </c>
      <c r="D158" s="4">
        <v>102</v>
      </c>
      <c r="E158" s="5">
        <v>25.31</v>
      </c>
      <c r="F158" s="4">
        <v>65</v>
      </c>
      <c r="G158" s="5">
        <v>6.72</v>
      </c>
      <c r="H158" s="4">
        <v>0</v>
      </c>
    </row>
    <row r="159" spans="1:8" x14ac:dyDescent="0.2">
      <c r="A159" s="2" t="s">
        <v>202</v>
      </c>
      <c r="B159" s="4">
        <v>43</v>
      </c>
      <c r="C159" s="5">
        <v>3.13</v>
      </c>
      <c r="D159" s="4">
        <v>26</v>
      </c>
      <c r="E159" s="5">
        <v>6.45</v>
      </c>
      <c r="F159" s="4">
        <v>17</v>
      </c>
      <c r="G159" s="5">
        <v>1.76</v>
      </c>
      <c r="H159" s="4">
        <v>0</v>
      </c>
    </row>
    <row r="160" spans="1:8" x14ac:dyDescent="0.2">
      <c r="A160" s="2" t="s">
        <v>203</v>
      </c>
      <c r="B160" s="4">
        <v>88</v>
      </c>
      <c r="C160" s="5">
        <v>6.4</v>
      </c>
      <c r="D160" s="4">
        <v>47</v>
      </c>
      <c r="E160" s="5">
        <v>11.66</v>
      </c>
      <c r="F160" s="4">
        <v>41</v>
      </c>
      <c r="G160" s="5">
        <v>4.24</v>
      </c>
      <c r="H160" s="4">
        <v>0</v>
      </c>
    </row>
    <row r="161" spans="1:8" x14ac:dyDescent="0.2">
      <c r="A161" s="2" t="s">
        <v>204</v>
      </c>
      <c r="B161" s="4">
        <v>57</v>
      </c>
      <c r="C161" s="5">
        <v>4.1500000000000004</v>
      </c>
      <c r="D161" s="4">
        <v>5</v>
      </c>
      <c r="E161" s="5">
        <v>1.24</v>
      </c>
      <c r="F161" s="4">
        <v>48</v>
      </c>
      <c r="G161" s="5">
        <v>4.96</v>
      </c>
      <c r="H161" s="4">
        <v>4</v>
      </c>
    </row>
    <row r="162" spans="1:8" x14ac:dyDescent="0.2">
      <c r="A162" s="1" t="s">
        <v>10</v>
      </c>
      <c r="B162" s="4">
        <v>1898</v>
      </c>
      <c r="C162" s="5">
        <v>100.00000000000001</v>
      </c>
      <c r="D162" s="4">
        <v>754</v>
      </c>
      <c r="E162" s="5">
        <v>100</v>
      </c>
      <c r="F162" s="4">
        <v>1140</v>
      </c>
      <c r="G162" s="5">
        <v>100</v>
      </c>
      <c r="H162" s="4">
        <v>4</v>
      </c>
    </row>
    <row r="163" spans="1:8" x14ac:dyDescent="0.2">
      <c r="A163" s="2" t="s">
        <v>190</v>
      </c>
      <c r="B163" s="4">
        <v>2</v>
      </c>
      <c r="C163" s="5">
        <v>0.11</v>
      </c>
      <c r="D163" s="4">
        <v>0</v>
      </c>
      <c r="E163" s="5">
        <v>0</v>
      </c>
      <c r="F163" s="4">
        <v>2</v>
      </c>
      <c r="G163" s="5">
        <v>0.18</v>
      </c>
      <c r="H163" s="4">
        <v>0</v>
      </c>
    </row>
    <row r="164" spans="1:8" x14ac:dyDescent="0.2">
      <c r="A164" s="2" t="s">
        <v>191</v>
      </c>
      <c r="B164" s="4">
        <v>339</v>
      </c>
      <c r="C164" s="5">
        <v>17.86</v>
      </c>
      <c r="D164" s="4">
        <v>37</v>
      </c>
      <c r="E164" s="5">
        <v>4.91</v>
      </c>
      <c r="F164" s="4">
        <v>302</v>
      </c>
      <c r="G164" s="5">
        <v>26.49</v>
      </c>
      <c r="H164" s="4">
        <v>0</v>
      </c>
    </row>
    <row r="165" spans="1:8" x14ac:dyDescent="0.2">
      <c r="A165" s="2" t="s">
        <v>192</v>
      </c>
      <c r="B165" s="4">
        <v>112</v>
      </c>
      <c r="C165" s="5">
        <v>5.9</v>
      </c>
      <c r="D165" s="4">
        <v>16</v>
      </c>
      <c r="E165" s="5">
        <v>2.12</v>
      </c>
      <c r="F165" s="4">
        <v>96</v>
      </c>
      <c r="G165" s="5">
        <v>8.42</v>
      </c>
      <c r="H165" s="4">
        <v>0</v>
      </c>
    </row>
    <row r="166" spans="1:8" x14ac:dyDescent="0.2">
      <c r="A166" s="2" t="s">
        <v>193</v>
      </c>
      <c r="B166" s="4">
        <v>0</v>
      </c>
      <c r="C166" s="5">
        <v>0</v>
      </c>
      <c r="D166" s="4">
        <v>0</v>
      </c>
      <c r="E166" s="5">
        <v>0</v>
      </c>
      <c r="F166" s="4">
        <v>0</v>
      </c>
      <c r="G166" s="5">
        <v>0</v>
      </c>
      <c r="H166" s="4">
        <v>0</v>
      </c>
    </row>
    <row r="167" spans="1:8" x14ac:dyDescent="0.2">
      <c r="A167" s="2" t="s">
        <v>194</v>
      </c>
      <c r="B167" s="4">
        <v>9</v>
      </c>
      <c r="C167" s="5">
        <v>0.47</v>
      </c>
      <c r="D167" s="4">
        <v>0</v>
      </c>
      <c r="E167" s="5">
        <v>0</v>
      </c>
      <c r="F167" s="4">
        <v>9</v>
      </c>
      <c r="G167" s="5">
        <v>0.79</v>
      </c>
      <c r="H167" s="4">
        <v>0</v>
      </c>
    </row>
    <row r="168" spans="1:8" x14ac:dyDescent="0.2">
      <c r="A168" s="2" t="s">
        <v>195</v>
      </c>
      <c r="B168" s="4">
        <v>62</v>
      </c>
      <c r="C168" s="5">
        <v>3.27</v>
      </c>
      <c r="D168" s="4">
        <v>51</v>
      </c>
      <c r="E168" s="5">
        <v>6.76</v>
      </c>
      <c r="F168" s="4">
        <v>11</v>
      </c>
      <c r="G168" s="5">
        <v>0.96</v>
      </c>
      <c r="H168" s="4">
        <v>0</v>
      </c>
    </row>
    <row r="169" spans="1:8" x14ac:dyDescent="0.2">
      <c r="A169" s="2" t="s">
        <v>196</v>
      </c>
      <c r="B169" s="4">
        <v>352</v>
      </c>
      <c r="C169" s="5">
        <v>18.55</v>
      </c>
      <c r="D169" s="4">
        <v>83</v>
      </c>
      <c r="E169" s="5">
        <v>11.01</v>
      </c>
      <c r="F169" s="4">
        <v>269</v>
      </c>
      <c r="G169" s="5">
        <v>23.6</v>
      </c>
      <c r="H169" s="4">
        <v>0</v>
      </c>
    </row>
    <row r="170" spans="1:8" x14ac:dyDescent="0.2">
      <c r="A170" s="2" t="s">
        <v>197</v>
      </c>
      <c r="B170" s="4">
        <v>12</v>
      </c>
      <c r="C170" s="5">
        <v>0.63</v>
      </c>
      <c r="D170" s="4">
        <v>0</v>
      </c>
      <c r="E170" s="5">
        <v>0</v>
      </c>
      <c r="F170" s="4">
        <v>12</v>
      </c>
      <c r="G170" s="5">
        <v>1.05</v>
      </c>
      <c r="H170" s="4">
        <v>0</v>
      </c>
    </row>
    <row r="171" spans="1:8" x14ac:dyDescent="0.2">
      <c r="A171" s="2" t="s">
        <v>198</v>
      </c>
      <c r="B171" s="4">
        <v>180</v>
      </c>
      <c r="C171" s="5">
        <v>9.48</v>
      </c>
      <c r="D171" s="4">
        <v>48</v>
      </c>
      <c r="E171" s="5">
        <v>6.37</v>
      </c>
      <c r="F171" s="4">
        <v>132</v>
      </c>
      <c r="G171" s="5">
        <v>11.58</v>
      </c>
      <c r="H171" s="4">
        <v>0</v>
      </c>
    </row>
    <row r="172" spans="1:8" x14ac:dyDescent="0.2">
      <c r="A172" s="2" t="s">
        <v>199</v>
      </c>
      <c r="B172" s="4">
        <v>88</v>
      </c>
      <c r="C172" s="5">
        <v>4.6399999999999997</v>
      </c>
      <c r="D172" s="4">
        <v>31</v>
      </c>
      <c r="E172" s="5">
        <v>4.1100000000000003</v>
      </c>
      <c r="F172" s="4">
        <v>57</v>
      </c>
      <c r="G172" s="5">
        <v>5</v>
      </c>
      <c r="H172" s="4">
        <v>0</v>
      </c>
    </row>
    <row r="173" spans="1:8" x14ac:dyDescent="0.2">
      <c r="A173" s="2" t="s">
        <v>200</v>
      </c>
      <c r="B173" s="4">
        <v>183</v>
      </c>
      <c r="C173" s="5">
        <v>9.64</v>
      </c>
      <c r="D173" s="4">
        <v>123</v>
      </c>
      <c r="E173" s="5">
        <v>16.309999999999999</v>
      </c>
      <c r="F173" s="4">
        <v>60</v>
      </c>
      <c r="G173" s="5">
        <v>5.26</v>
      </c>
      <c r="H173" s="4">
        <v>0</v>
      </c>
    </row>
    <row r="174" spans="1:8" x14ac:dyDescent="0.2">
      <c r="A174" s="2" t="s">
        <v>201</v>
      </c>
      <c r="B174" s="4">
        <v>259</v>
      </c>
      <c r="C174" s="5">
        <v>13.65</v>
      </c>
      <c r="D174" s="4">
        <v>185</v>
      </c>
      <c r="E174" s="5">
        <v>24.54</v>
      </c>
      <c r="F174" s="4">
        <v>74</v>
      </c>
      <c r="G174" s="5">
        <v>6.49</v>
      </c>
      <c r="H174" s="4">
        <v>0</v>
      </c>
    </row>
    <row r="175" spans="1:8" x14ac:dyDescent="0.2">
      <c r="A175" s="2" t="s">
        <v>202</v>
      </c>
      <c r="B175" s="4">
        <v>91</v>
      </c>
      <c r="C175" s="5">
        <v>4.79</v>
      </c>
      <c r="D175" s="4">
        <v>66</v>
      </c>
      <c r="E175" s="5">
        <v>8.75</v>
      </c>
      <c r="F175" s="4">
        <v>25</v>
      </c>
      <c r="G175" s="5">
        <v>2.19</v>
      </c>
      <c r="H175" s="4">
        <v>0</v>
      </c>
    </row>
    <row r="176" spans="1:8" x14ac:dyDescent="0.2">
      <c r="A176" s="2" t="s">
        <v>203</v>
      </c>
      <c r="B176" s="4">
        <v>145</v>
      </c>
      <c r="C176" s="5">
        <v>7.64</v>
      </c>
      <c r="D176" s="4">
        <v>98</v>
      </c>
      <c r="E176" s="5">
        <v>13</v>
      </c>
      <c r="F176" s="4">
        <v>46</v>
      </c>
      <c r="G176" s="5">
        <v>4.04</v>
      </c>
      <c r="H176" s="4">
        <v>1</v>
      </c>
    </row>
    <row r="177" spans="1:8" x14ac:dyDescent="0.2">
      <c r="A177" s="2" t="s">
        <v>204</v>
      </c>
      <c r="B177" s="4">
        <v>64</v>
      </c>
      <c r="C177" s="5">
        <v>3.37</v>
      </c>
      <c r="D177" s="4">
        <v>16</v>
      </c>
      <c r="E177" s="5">
        <v>2.12</v>
      </c>
      <c r="F177" s="4">
        <v>45</v>
      </c>
      <c r="G177" s="5">
        <v>3.95</v>
      </c>
      <c r="H177" s="4">
        <v>3</v>
      </c>
    </row>
    <row r="178" spans="1:8" x14ac:dyDescent="0.2">
      <c r="A178" s="1" t="s">
        <v>11</v>
      </c>
      <c r="B178" s="4">
        <v>1635</v>
      </c>
      <c r="C178" s="5">
        <v>100.01</v>
      </c>
      <c r="D178" s="4">
        <v>577</v>
      </c>
      <c r="E178" s="5">
        <v>100.02</v>
      </c>
      <c r="F178" s="4">
        <v>1055</v>
      </c>
      <c r="G178" s="5">
        <v>99.99</v>
      </c>
      <c r="H178" s="4">
        <v>2</v>
      </c>
    </row>
    <row r="179" spans="1:8" x14ac:dyDescent="0.2">
      <c r="A179" s="2" t="s">
        <v>190</v>
      </c>
      <c r="B179" s="4">
        <v>1</v>
      </c>
      <c r="C179" s="5">
        <v>0.06</v>
      </c>
      <c r="D179" s="4">
        <v>0</v>
      </c>
      <c r="E179" s="5">
        <v>0</v>
      </c>
      <c r="F179" s="4">
        <v>1</v>
      </c>
      <c r="G179" s="5">
        <v>0.09</v>
      </c>
      <c r="H179" s="4">
        <v>0</v>
      </c>
    </row>
    <row r="180" spans="1:8" x14ac:dyDescent="0.2">
      <c r="A180" s="2" t="s">
        <v>191</v>
      </c>
      <c r="B180" s="4">
        <v>321</v>
      </c>
      <c r="C180" s="5">
        <v>19.63</v>
      </c>
      <c r="D180" s="4">
        <v>22</v>
      </c>
      <c r="E180" s="5">
        <v>3.81</v>
      </c>
      <c r="F180" s="4">
        <v>299</v>
      </c>
      <c r="G180" s="5">
        <v>28.34</v>
      </c>
      <c r="H180" s="4">
        <v>0</v>
      </c>
    </row>
    <row r="181" spans="1:8" x14ac:dyDescent="0.2">
      <c r="A181" s="2" t="s">
        <v>192</v>
      </c>
      <c r="B181" s="4">
        <v>50</v>
      </c>
      <c r="C181" s="5">
        <v>3.06</v>
      </c>
      <c r="D181" s="4">
        <v>9</v>
      </c>
      <c r="E181" s="5">
        <v>1.56</v>
      </c>
      <c r="F181" s="4">
        <v>41</v>
      </c>
      <c r="G181" s="5">
        <v>3.89</v>
      </c>
      <c r="H181" s="4">
        <v>0</v>
      </c>
    </row>
    <row r="182" spans="1:8" x14ac:dyDescent="0.2">
      <c r="A182" s="2" t="s">
        <v>193</v>
      </c>
      <c r="B182" s="4">
        <v>0</v>
      </c>
      <c r="C182" s="5">
        <v>0</v>
      </c>
      <c r="D182" s="4">
        <v>0</v>
      </c>
      <c r="E182" s="5">
        <v>0</v>
      </c>
      <c r="F182" s="4">
        <v>0</v>
      </c>
      <c r="G182" s="5">
        <v>0</v>
      </c>
      <c r="H182" s="4">
        <v>0</v>
      </c>
    </row>
    <row r="183" spans="1:8" x14ac:dyDescent="0.2">
      <c r="A183" s="2" t="s">
        <v>194</v>
      </c>
      <c r="B183" s="4">
        <v>13</v>
      </c>
      <c r="C183" s="5">
        <v>0.8</v>
      </c>
      <c r="D183" s="4">
        <v>0</v>
      </c>
      <c r="E183" s="5">
        <v>0</v>
      </c>
      <c r="F183" s="4">
        <v>13</v>
      </c>
      <c r="G183" s="5">
        <v>1.23</v>
      </c>
      <c r="H183" s="4">
        <v>0</v>
      </c>
    </row>
    <row r="184" spans="1:8" x14ac:dyDescent="0.2">
      <c r="A184" s="2" t="s">
        <v>195</v>
      </c>
      <c r="B184" s="4">
        <v>61</v>
      </c>
      <c r="C184" s="5">
        <v>3.73</v>
      </c>
      <c r="D184" s="4">
        <v>44</v>
      </c>
      <c r="E184" s="5">
        <v>7.63</v>
      </c>
      <c r="F184" s="4">
        <v>17</v>
      </c>
      <c r="G184" s="5">
        <v>1.61</v>
      </c>
      <c r="H184" s="4">
        <v>0</v>
      </c>
    </row>
    <row r="185" spans="1:8" x14ac:dyDescent="0.2">
      <c r="A185" s="2" t="s">
        <v>196</v>
      </c>
      <c r="B185" s="4">
        <v>314</v>
      </c>
      <c r="C185" s="5">
        <v>19.2</v>
      </c>
      <c r="D185" s="4">
        <v>56</v>
      </c>
      <c r="E185" s="5">
        <v>9.7100000000000009</v>
      </c>
      <c r="F185" s="4">
        <v>258</v>
      </c>
      <c r="G185" s="5">
        <v>24.45</v>
      </c>
      <c r="H185" s="4">
        <v>0</v>
      </c>
    </row>
    <row r="186" spans="1:8" x14ac:dyDescent="0.2">
      <c r="A186" s="2" t="s">
        <v>197</v>
      </c>
      <c r="B186" s="4">
        <v>16</v>
      </c>
      <c r="C186" s="5">
        <v>0.98</v>
      </c>
      <c r="D186" s="4">
        <v>2</v>
      </c>
      <c r="E186" s="5">
        <v>0.35</v>
      </c>
      <c r="F186" s="4">
        <v>14</v>
      </c>
      <c r="G186" s="5">
        <v>1.33</v>
      </c>
      <c r="H186" s="4">
        <v>0</v>
      </c>
    </row>
    <row r="187" spans="1:8" x14ac:dyDescent="0.2">
      <c r="A187" s="2" t="s">
        <v>198</v>
      </c>
      <c r="B187" s="4">
        <v>169</v>
      </c>
      <c r="C187" s="5">
        <v>10.34</v>
      </c>
      <c r="D187" s="4">
        <v>33</v>
      </c>
      <c r="E187" s="5">
        <v>5.72</v>
      </c>
      <c r="F187" s="4">
        <v>136</v>
      </c>
      <c r="G187" s="5">
        <v>12.89</v>
      </c>
      <c r="H187" s="4">
        <v>0</v>
      </c>
    </row>
    <row r="188" spans="1:8" x14ac:dyDescent="0.2">
      <c r="A188" s="2" t="s">
        <v>199</v>
      </c>
      <c r="B188" s="4">
        <v>110</v>
      </c>
      <c r="C188" s="5">
        <v>6.73</v>
      </c>
      <c r="D188" s="4">
        <v>47</v>
      </c>
      <c r="E188" s="5">
        <v>8.15</v>
      </c>
      <c r="F188" s="4">
        <v>63</v>
      </c>
      <c r="G188" s="5">
        <v>5.97</v>
      </c>
      <c r="H188" s="4">
        <v>0</v>
      </c>
    </row>
    <row r="189" spans="1:8" x14ac:dyDescent="0.2">
      <c r="A189" s="2" t="s">
        <v>200</v>
      </c>
      <c r="B189" s="4">
        <v>136</v>
      </c>
      <c r="C189" s="5">
        <v>8.32</v>
      </c>
      <c r="D189" s="4">
        <v>102</v>
      </c>
      <c r="E189" s="5">
        <v>17.68</v>
      </c>
      <c r="F189" s="4">
        <v>34</v>
      </c>
      <c r="G189" s="5">
        <v>3.22</v>
      </c>
      <c r="H189" s="4">
        <v>0</v>
      </c>
    </row>
    <row r="190" spans="1:8" x14ac:dyDescent="0.2">
      <c r="A190" s="2" t="s">
        <v>201</v>
      </c>
      <c r="B190" s="4">
        <v>207</v>
      </c>
      <c r="C190" s="5">
        <v>12.66</v>
      </c>
      <c r="D190" s="4">
        <v>139</v>
      </c>
      <c r="E190" s="5">
        <v>24.09</v>
      </c>
      <c r="F190" s="4">
        <v>67</v>
      </c>
      <c r="G190" s="5">
        <v>6.35</v>
      </c>
      <c r="H190" s="4">
        <v>0</v>
      </c>
    </row>
    <row r="191" spans="1:8" x14ac:dyDescent="0.2">
      <c r="A191" s="2" t="s">
        <v>202</v>
      </c>
      <c r="B191" s="4">
        <v>76</v>
      </c>
      <c r="C191" s="5">
        <v>4.6500000000000004</v>
      </c>
      <c r="D191" s="4">
        <v>56</v>
      </c>
      <c r="E191" s="5">
        <v>9.7100000000000009</v>
      </c>
      <c r="F191" s="4">
        <v>20</v>
      </c>
      <c r="G191" s="5">
        <v>1.9</v>
      </c>
      <c r="H191" s="4">
        <v>0</v>
      </c>
    </row>
    <row r="192" spans="1:8" x14ac:dyDescent="0.2">
      <c r="A192" s="2" t="s">
        <v>203</v>
      </c>
      <c r="B192" s="4">
        <v>101</v>
      </c>
      <c r="C192" s="5">
        <v>6.18</v>
      </c>
      <c r="D192" s="4">
        <v>55</v>
      </c>
      <c r="E192" s="5">
        <v>9.5299999999999994</v>
      </c>
      <c r="F192" s="4">
        <v>45</v>
      </c>
      <c r="G192" s="5">
        <v>4.2699999999999996</v>
      </c>
      <c r="H192" s="4">
        <v>1</v>
      </c>
    </row>
    <row r="193" spans="1:8" x14ac:dyDescent="0.2">
      <c r="A193" s="2" t="s">
        <v>204</v>
      </c>
      <c r="B193" s="4">
        <v>60</v>
      </c>
      <c r="C193" s="5">
        <v>3.67</v>
      </c>
      <c r="D193" s="4">
        <v>12</v>
      </c>
      <c r="E193" s="5">
        <v>2.08</v>
      </c>
      <c r="F193" s="4">
        <v>47</v>
      </c>
      <c r="G193" s="5">
        <v>4.45</v>
      </c>
      <c r="H193" s="4">
        <v>1</v>
      </c>
    </row>
    <row r="194" spans="1:8" x14ac:dyDescent="0.2">
      <c r="A194" s="1" t="s">
        <v>12</v>
      </c>
      <c r="B194" s="4">
        <v>6688</v>
      </c>
      <c r="C194" s="5">
        <v>99.999999999999986</v>
      </c>
      <c r="D194" s="4">
        <v>3185</v>
      </c>
      <c r="E194" s="5">
        <v>100.03</v>
      </c>
      <c r="F194" s="4">
        <v>3466</v>
      </c>
      <c r="G194" s="5">
        <v>100.00999999999999</v>
      </c>
      <c r="H194" s="4">
        <v>7</v>
      </c>
    </row>
    <row r="195" spans="1:8" x14ac:dyDescent="0.2">
      <c r="A195" s="2" t="s">
        <v>190</v>
      </c>
      <c r="B195" s="4">
        <v>0</v>
      </c>
      <c r="C195" s="5">
        <v>0</v>
      </c>
      <c r="D195" s="4">
        <v>0</v>
      </c>
      <c r="E195" s="5">
        <v>0</v>
      </c>
      <c r="F195" s="4">
        <v>0</v>
      </c>
      <c r="G195" s="5">
        <v>0</v>
      </c>
      <c r="H195" s="4">
        <v>0</v>
      </c>
    </row>
    <row r="196" spans="1:8" x14ac:dyDescent="0.2">
      <c r="A196" s="2" t="s">
        <v>191</v>
      </c>
      <c r="B196" s="4">
        <v>852</v>
      </c>
      <c r="C196" s="5">
        <v>12.74</v>
      </c>
      <c r="D196" s="4">
        <v>178</v>
      </c>
      <c r="E196" s="5">
        <v>5.59</v>
      </c>
      <c r="F196" s="4">
        <v>674</v>
      </c>
      <c r="G196" s="5">
        <v>19.45</v>
      </c>
      <c r="H196" s="4">
        <v>0</v>
      </c>
    </row>
    <row r="197" spans="1:8" x14ac:dyDescent="0.2">
      <c r="A197" s="2" t="s">
        <v>192</v>
      </c>
      <c r="B197" s="4">
        <v>304</v>
      </c>
      <c r="C197" s="5">
        <v>4.55</v>
      </c>
      <c r="D197" s="4">
        <v>70</v>
      </c>
      <c r="E197" s="5">
        <v>2.2000000000000002</v>
      </c>
      <c r="F197" s="4">
        <v>234</v>
      </c>
      <c r="G197" s="5">
        <v>6.75</v>
      </c>
      <c r="H197" s="4">
        <v>0</v>
      </c>
    </row>
    <row r="198" spans="1:8" x14ac:dyDescent="0.2">
      <c r="A198" s="2" t="s">
        <v>193</v>
      </c>
      <c r="B198" s="4">
        <v>3</v>
      </c>
      <c r="C198" s="5">
        <v>0.04</v>
      </c>
      <c r="D198" s="4">
        <v>1</v>
      </c>
      <c r="E198" s="5">
        <v>0.03</v>
      </c>
      <c r="F198" s="4">
        <v>2</v>
      </c>
      <c r="G198" s="5">
        <v>0.06</v>
      </c>
      <c r="H198" s="4">
        <v>0</v>
      </c>
    </row>
    <row r="199" spans="1:8" x14ac:dyDescent="0.2">
      <c r="A199" s="2" t="s">
        <v>194</v>
      </c>
      <c r="B199" s="4">
        <v>55</v>
      </c>
      <c r="C199" s="5">
        <v>0.82</v>
      </c>
      <c r="D199" s="4">
        <v>5</v>
      </c>
      <c r="E199" s="5">
        <v>0.16</v>
      </c>
      <c r="F199" s="4">
        <v>50</v>
      </c>
      <c r="G199" s="5">
        <v>1.44</v>
      </c>
      <c r="H199" s="4">
        <v>0</v>
      </c>
    </row>
    <row r="200" spans="1:8" x14ac:dyDescent="0.2">
      <c r="A200" s="2" t="s">
        <v>195</v>
      </c>
      <c r="B200" s="4">
        <v>85</v>
      </c>
      <c r="C200" s="5">
        <v>1.27</v>
      </c>
      <c r="D200" s="4">
        <v>41</v>
      </c>
      <c r="E200" s="5">
        <v>1.29</v>
      </c>
      <c r="F200" s="4">
        <v>44</v>
      </c>
      <c r="G200" s="5">
        <v>1.27</v>
      </c>
      <c r="H200" s="4">
        <v>0</v>
      </c>
    </row>
    <row r="201" spans="1:8" x14ac:dyDescent="0.2">
      <c r="A201" s="2" t="s">
        <v>196</v>
      </c>
      <c r="B201" s="4">
        <v>1644</v>
      </c>
      <c r="C201" s="5">
        <v>24.58</v>
      </c>
      <c r="D201" s="4">
        <v>599</v>
      </c>
      <c r="E201" s="5">
        <v>18.809999999999999</v>
      </c>
      <c r="F201" s="4">
        <v>1045</v>
      </c>
      <c r="G201" s="5">
        <v>30.15</v>
      </c>
      <c r="H201" s="4">
        <v>0</v>
      </c>
    </row>
    <row r="202" spans="1:8" x14ac:dyDescent="0.2">
      <c r="A202" s="2" t="s">
        <v>197</v>
      </c>
      <c r="B202" s="4">
        <v>72</v>
      </c>
      <c r="C202" s="5">
        <v>1.08</v>
      </c>
      <c r="D202" s="4">
        <v>10</v>
      </c>
      <c r="E202" s="5">
        <v>0.31</v>
      </c>
      <c r="F202" s="4">
        <v>62</v>
      </c>
      <c r="G202" s="5">
        <v>1.79</v>
      </c>
      <c r="H202" s="4">
        <v>0</v>
      </c>
    </row>
    <row r="203" spans="1:8" x14ac:dyDescent="0.2">
      <c r="A203" s="2" t="s">
        <v>198</v>
      </c>
      <c r="B203" s="4">
        <v>670</v>
      </c>
      <c r="C203" s="5">
        <v>10.02</v>
      </c>
      <c r="D203" s="4">
        <v>276</v>
      </c>
      <c r="E203" s="5">
        <v>8.67</v>
      </c>
      <c r="F203" s="4">
        <v>393</v>
      </c>
      <c r="G203" s="5">
        <v>11.34</v>
      </c>
      <c r="H203" s="4">
        <v>0</v>
      </c>
    </row>
    <row r="204" spans="1:8" x14ac:dyDescent="0.2">
      <c r="A204" s="2" t="s">
        <v>199</v>
      </c>
      <c r="B204" s="4">
        <v>306</v>
      </c>
      <c r="C204" s="5">
        <v>4.58</v>
      </c>
      <c r="D204" s="4">
        <v>126</v>
      </c>
      <c r="E204" s="5">
        <v>3.96</v>
      </c>
      <c r="F204" s="4">
        <v>177</v>
      </c>
      <c r="G204" s="5">
        <v>5.1100000000000003</v>
      </c>
      <c r="H204" s="4">
        <v>0</v>
      </c>
    </row>
    <row r="205" spans="1:8" x14ac:dyDescent="0.2">
      <c r="A205" s="2" t="s">
        <v>200</v>
      </c>
      <c r="B205" s="4">
        <v>982</v>
      </c>
      <c r="C205" s="5">
        <v>14.68</v>
      </c>
      <c r="D205" s="4">
        <v>735</v>
      </c>
      <c r="E205" s="5">
        <v>23.08</v>
      </c>
      <c r="F205" s="4">
        <v>247</v>
      </c>
      <c r="G205" s="5">
        <v>7.13</v>
      </c>
      <c r="H205" s="4">
        <v>0</v>
      </c>
    </row>
    <row r="206" spans="1:8" x14ac:dyDescent="0.2">
      <c r="A206" s="2" t="s">
        <v>201</v>
      </c>
      <c r="B206" s="4">
        <v>929</v>
      </c>
      <c r="C206" s="5">
        <v>13.89</v>
      </c>
      <c r="D206" s="4">
        <v>741</v>
      </c>
      <c r="E206" s="5">
        <v>23.27</v>
      </c>
      <c r="F206" s="4">
        <v>185</v>
      </c>
      <c r="G206" s="5">
        <v>5.34</v>
      </c>
      <c r="H206" s="4">
        <v>2</v>
      </c>
    </row>
    <row r="207" spans="1:8" x14ac:dyDescent="0.2">
      <c r="A207" s="2" t="s">
        <v>202</v>
      </c>
      <c r="B207" s="4">
        <v>199</v>
      </c>
      <c r="C207" s="5">
        <v>2.98</v>
      </c>
      <c r="D207" s="4">
        <v>148</v>
      </c>
      <c r="E207" s="5">
        <v>4.6500000000000004</v>
      </c>
      <c r="F207" s="4">
        <v>48</v>
      </c>
      <c r="G207" s="5">
        <v>1.38</v>
      </c>
      <c r="H207" s="4">
        <v>1</v>
      </c>
    </row>
    <row r="208" spans="1:8" x14ac:dyDescent="0.2">
      <c r="A208" s="2" t="s">
        <v>203</v>
      </c>
      <c r="B208" s="4">
        <v>338</v>
      </c>
      <c r="C208" s="5">
        <v>5.05</v>
      </c>
      <c r="D208" s="4">
        <v>172</v>
      </c>
      <c r="E208" s="5">
        <v>5.4</v>
      </c>
      <c r="F208" s="4">
        <v>142</v>
      </c>
      <c r="G208" s="5">
        <v>4.0999999999999996</v>
      </c>
      <c r="H208" s="4">
        <v>3</v>
      </c>
    </row>
    <row r="209" spans="1:8" x14ac:dyDescent="0.2">
      <c r="A209" s="2" t="s">
        <v>204</v>
      </c>
      <c r="B209" s="4">
        <v>249</v>
      </c>
      <c r="C209" s="5">
        <v>3.72</v>
      </c>
      <c r="D209" s="4">
        <v>83</v>
      </c>
      <c r="E209" s="5">
        <v>2.61</v>
      </c>
      <c r="F209" s="4">
        <v>163</v>
      </c>
      <c r="G209" s="5">
        <v>4.7</v>
      </c>
      <c r="H209" s="4">
        <v>1</v>
      </c>
    </row>
    <row r="210" spans="1:8" x14ac:dyDescent="0.2">
      <c r="A210" s="1" t="s">
        <v>13</v>
      </c>
      <c r="B210" s="4">
        <v>2956</v>
      </c>
      <c r="C210" s="5">
        <v>100</v>
      </c>
      <c r="D210" s="4">
        <v>1312</v>
      </c>
      <c r="E210" s="5">
        <v>100.00000000000001</v>
      </c>
      <c r="F210" s="4">
        <v>1628</v>
      </c>
      <c r="G210" s="5">
        <v>99.999999999999986</v>
      </c>
      <c r="H210" s="4">
        <v>6</v>
      </c>
    </row>
    <row r="211" spans="1:8" x14ac:dyDescent="0.2">
      <c r="A211" s="2" t="s">
        <v>190</v>
      </c>
      <c r="B211" s="4">
        <v>0</v>
      </c>
      <c r="C211" s="5">
        <v>0</v>
      </c>
      <c r="D211" s="4">
        <v>0</v>
      </c>
      <c r="E211" s="5">
        <v>0</v>
      </c>
      <c r="F211" s="4">
        <v>0</v>
      </c>
      <c r="G211" s="5">
        <v>0</v>
      </c>
      <c r="H211" s="4">
        <v>0</v>
      </c>
    </row>
    <row r="212" spans="1:8" x14ac:dyDescent="0.2">
      <c r="A212" s="2" t="s">
        <v>191</v>
      </c>
      <c r="B212" s="4">
        <v>313</v>
      </c>
      <c r="C212" s="5">
        <v>10.59</v>
      </c>
      <c r="D212" s="4">
        <v>71</v>
      </c>
      <c r="E212" s="5">
        <v>5.41</v>
      </c>
      <c r="F212" s="4">
        <v>242</v>
      </c>
      <c r="G212" s="5">
        <v>14.86</v>
      </c>
      <c r="H212" s="4">
        <v>0</v>
      </c>
    </row>
    <row r="213" spans="1:8" x14ac:dyDescent="0.2">
      <c r="A213" s="2" t="s">
        <v>192</v>
      </c>
      <c r="B213" s="4">
        <v>201</v>
      </c>
      <c r="C213" s="5">
        <v>6.8</v>
      </c>
      <c r="D213" s="4">
        <v>43</v>
      </c>
      <c r="E213" s="5">
        <v>3.28</v>
      </c>
      <c r="F213" s="4">
        <v>157</v>
      </c>
      <c r="G213" s="5">
        <v>9.64</v>
      </c>
      <c r="H213" s="4">
        <v>1</v>
      </c>
    </row>
    <row r="214" spans="1:8" x14ac:dyDescent="0.2">
      <c r="A214" s="2" t="s">
        <v>193</v>
      </c>
      <c r="B214" s="4">
        <v>2</v>
      </c>
      <c r="C214" s="5">
        <v>7.0000000000000007E-2</v>
      </c>
      <c r="D214" s="4">
        <v>0</v>
      </c>
      <c r="E214" s="5">
        <v>0</v>
      </c>
      <c r="F214" s="4">
        <v>1</v>
      </c>
      <c r="G214" s="5">
        <v>0.06</v>
      </c>
      <c r="H214" s="4">
        <v>0</v>
      </c>
    </row>
    <row r="215" spans="1:8" x14ac:dyDescent="0.2">
      <c r="A215" s="2" t="s">
        <v>194</v>
      </c>
      <c r="B215" s="4">
        <v>19</v>
      </c>
      <c r="C215" s="5">
        <v>0.64</v>
      </c>
      <c r="D215" s="4">
        <v>1</v>
      </c>
      <c r="E215" s="5">
        <v>0.08</v>
      </c>
      <c r="F215" s="4">
        <v>18</v>
      </c>
      <c r="G215" s="5">
        <v>1.1100000000000001</v>
      </c>
      <c r="H215" s="4">
        <v>0</v>
      </c>
    </row>
    <row r="216" spans="1:8" x14ac:dyDescent="0.2">
      <c r="A216" s="2" t="s">
        <v>195</v>
      </c>
      <c r="B216" s="4">
        <v>61</v>
      </c>
      <c r="C216" s="5">
        <v>2.06</v>
      </c>
      <c r="D216" s="4">
        <v>29</v>
      </c>
      <c r="E216" s="5">
        <v>2.21</v>
      </c>
      <c r="F216" s="4">
        <v>32</v>
      </c>
      <c r="G216" s="5">
        <v>1.97</v>
      </c>
      <c r="H216" s="4">
        <v>0</v>
      </c>
    </row>
    <row r="217" spans="1:8" x14ac:dyDescent="0.2">
      <c r="A217" s="2" t="s">
        <v>196</v>
      </c>
      <c r="B217" s="4">
        <v>907</v>
      </c>
      <c r="C217" s="5">
        <v>30.68</v>
      </c>
      <c r="D217" s="4">
        <v>261</v>
      </c>
      <c r="E217" s="5">
        <v>19.89</v>
      </c>
      <c r="F217" s="4">
        <v>645</v>
      </c>
      <c r="G217" s="5">
        <v>39.619999999999997</v>
      </c>
      <c r="H217" s="4">
        <v>1</v>
      </c>
    </row>
    <row r="218" spans="1:8" x14ac:dyDescent="0.2">
      <c r="A218" s="2" t="s">
        <v>197</v>
      </c>
      <c r="B218" s="4">
        <v>28</v>
      </c>
      <c r="C218" s="5">
        <v>0.95</v>
      </c>
      <c r="D218" s="4">
        <v>1</v>
      </c>
      <c r="E218" s="5">
        <v>0.08</v>
      </c>
      <c r="F218" s="4">
        <v>27</v>
      </c>
      <c r="G218" s="5">
        <v>1.66</v>
      </c>
      <c r="H218" s="4">
        <v>0</v>
      </c>
    </row>
    <row r="219" spans="1:8" x14ac:dyDescent="0.2">
      <c r="A219" s="2" t="s">
        <v>198</v>
      </c>
      <c r="B219" s="4">
        <v>147</v>
      </c>
      <c r="C219" s="5">
        <v>4.97</v>
      </c>
      <c r="D219" s="4">
        <v>25</v>
      </c>
      <c r="E219" s="5">
        <v>1.91</v>
      </c>
      <c r="F219" s="4">
        <v>122</v>
      </c>
      <c r="G219" s="5">
        <v>7.49</v>
      </c>
      <c r="H219" s="4">
        <v>0</v>
      </c>
    </row>
    <row r="220" spans="1:8" x14ac:dyDescent="0.2">
      <c r="A220" s="2" t="s">
        <v>199</v>
      </c>
      <c r="B220" s="4">
        <v>88</v>
      </c>
      <c r="C220" s="5">
        <v>2.98</v>
      </c>
      <c r="D220" s="4">
        <v>44</v>
      </c>
      <c r="E220" s="5">
        <v>3.35</v>
      </c>
      <c r="F220" s="4">
        <v>43</v>
      </c>
      <c r="G220" s="5">
        <v>2.64</v>
      </c>
      <c r="H220" s="4">
        <v>0</v>
      </c>
    </row>
    <row r="221" spans="1:8" x14ac:dyDescent="0.2">
      <c r="A221" s="2" t="s">
        <v>200</v>
      </c>
      <c r="B221" s="4">
        <v>506</v>
      </c>
      <c r="C221" s="5">
        <v>17.12</v>
      </c>
      <c r="D221" s="4">
        <v>380</v>
      </c>
      <c r="E221" s="5">
        <v>28.96</v>
      </c>
      <c r="F221" s="4">
        <v>126</v>
      </c>
      <c r="G221" s="5">
        <v>7.74</v>
      </c>
      <c r="H221" s="4">
        <v>0</v>
      </c>
    </row>
    <row r="222" spans="1:8" x14ac:dyDescent="0.2">
      <c r="A222" s="2" t="s">
        <v>201</v>
      </c>
      <c r="B222" s="4">
        <v>360</v>
      </c>
      <c r="C222" s="5">
        <v>12.18</v>
      </c>
      <c r="D222" s="4">
        <v>283</v>
      </c>
      <c r="E222" s="5">
        <v>21.57</v>
      </c>
      <c r="F222" s="4">
        <v>76</v>
      </c>
      <c r="G222" s="5">
        <v>4.67</v>
      </c>
      <c r="H222" s="4">
        <v>0</v>
      </c>
    </row>
    <row r="223" spans="1:8" x14ac:dyDescent="0.2">
      <c r="A223" s="2" t="s">
        <v>202</v>
      </c>
      <c r="B223" s="4">
        <v>70</v>
      </c>
      <c r="C223" s="5">
        <v>2.37</v>
      </c>
      <c r="D223" s="4">
        <v>47</v>
      </c>
      <c r="E223" s="5">
        <v>3.58</v>
      </c>
      <c r="F223" s="4">
        <v>18</v>
      </c>
      <c r="G223" s="5">
        <v>1.1100000000000001</v>
      </c>
      <c r="H223" s="4">
        <v>2</v>
      </c>
    </row>
    <row r="224" spans="1:8" x14ac:dyDescent="0.2">
      <c r="A224" s="2" t="s">
        <v>203</v>
      </c>
      <c r="B224" s="4">
        <v>170</v>
      </c>
      <c r="C224" s="5">
        <v>5.75</v>
      </c>
      <c r="D224" s="4">
        <v>105</v>
      </c>
      <c r="E224" s="5">
        <v>8</v>
      </c>
      <c r="F224" s="4">
        <v>63</v>
      </c>
      <c r="G224" s="5">
        <v>3.87</v>
      </c>
      <c r="H224" s="4">
        <v>0</v>
      </c>
    </row>
    <row r="225" spans="1:8" x14ac:dyDescent="0.2">
      <c r="A225" s="2" t="s">
        <v>204</v>
      </c>
      <c r="B225" s="4">
        <v>84</v>
      </c>
      <c r="C225" s="5">
        <v>2.84</v>
      </c>
      <c r="D225" s="4">
        <v>22</v>
      </c>
      <c r="E225" s="5">
        <v>1.68</v>
      </c>
      <c r="F225" s="4">
        <v>58</v>
      </c>
      <c r="G225" s="5">
        <v>3.56</v>
      </c>
      <c r="H225" s="4">
        <v>2</v>
      </c>
    </row>
    <row r="226" spans="1:8" x14ac:dyDescent="0.2">
      <c r="A226" s="1" t="s">
        <v>14</v>
      </c>
      <c r="B226" s="4">
        <v>7879</v>
      </c>
      <c r="C226" s="5">
        <v>100</v>
      </c>
      <c r="D226" s="4">
        <v>3715</v>
      </c>
      <c r="E226" s="5">
        <v>100.01</v>
      </c>
      <c r="F226" s="4">
        <v>4122</v>
      </c>
      <c r="G226" s="5">
        <v>99.999999999999986</v>
      </c>
      <c r="H226" s="4">
        <v>11</v>
      </c>
    </row>
    <row r="227" spans="1:8" x14ac:dyDescent="0.2">
      <c r="A227" s="2" t="s">
        <v>190</v>
      </c>
      <c r="B227" s="4">
        <v>2</v>
      </c>
      <c r="C227" s="5">
        <v>0.03</v>
      </c>
      <c r="D227" s="4">
        <v>0</v>
      </c>
      <c r="E227" s="5">
        <v>0</v>
      </c>
      <c r="F227" s="4">
        <v>2</v>
      </c>
      <c r="G227" s="5">
        <v>0.05</v>
      </c>
      <c r="H227" s="4">
        <v>0</v>
      </c>
    </row>
    <row r="228" spans="1:8" x14ac:dyDescent="0.2">
      <c r="A228" s="2" t="s">
        <v>191</v>
      </c>
      <c r="B228" s="4">
        <v>1036</v>
      </c>
      <c r="C228" s="5">
        <v>13.15</v>
      </c>
      <c r="D228" s="4">
        <v>206</v>
      </c>
      <c r="E228" s="5">
        <v>5.55</v>
      </c>
      <c r="F228" s="4">
        <v>830</v>
      </c>
      <c r="G228" s="5">
        <v>20.14</v>
      </c>
      <c r="H228" s="4">
        <v>0</v>
      </c>
    </row>
    <row r="229" spans="1:8" x14ac:dyDescent="0.2">
      <c r="A229" s="2" t="s">
        <v>192</v>
      </c>
      <c r="B229" s="4">
        <v>425</v>
      </c>
      <c r="C229" s="5">
        <v>5.39</v>
      </c>
      <c r="D229" s="4">
        <v>109</v>
      </c>
      <c r="E229" s="5">
        <v>2.93</v>
      </c>
      <c r="F229" s="4">
        <v>316</v>
      </c>
      <c r="G229" s="5">
        <v>7.67</v>
      </c>
      <c r="H229" s="4">
        <v>0</v>
      </c>
    </row>
    <row r="230" spans="1:8" x14ac:dyDescent="0.2">
      <c r="A230" s="2" t="s">
        <v>193</v>
      </c>
      <c r="B230" s="4">
        <v>1</v>
      </c>
      <c r="C230" s="5">
        <v>0.01</v>
      </c>
      <c r="D230" s="4">
        <v>0</v>
      </c>
      <c r="E230" s="5">
        <v>0</v>
      </c>
      <c r="F230" s="4">
        <v>1</v>
      </c>
      <c r="G230" s="5">
        <v>0.02</v>
      </c>
      <c r="H230" s="4">
        <v>0</v>
      </c>
    </row>
    <row r="231" spans="1:8" x14ac:dyDescent="0.2">
      <c r="A231" s="2" t="s">
        <v>194</v>
      </c>
      <c r="B231" s="4">
        <v>66</v>
      </c>
      <c r="C231" s="5">
        <v>0.84</v>
      </c>
      <c r="D231" s="4">
        <v>4</v>
      </c>
      <c r="E231" s="5">
        <v>0.11</v>
      </c>
      <c r="F231" s="4">
        <v>62</v>
      </c>
      <c r="G231" s="5">
        <v>1.5</v>
      </c>
      <c r="H231" s="4">
        <v>0</v>
      </c>
    </row>
    <row r="232" spans="1:8" x14ac:dyDescent="0.2">
      <c r="A232" s="2" t="s">
        <v>195</v>
      </c>
      <c r="B232" s="4">
        <v>117</v>
      </c>
      <c r="C232" s="5">
        <v>1.48</v>
      </c>
      <c r="D232" s="4">
        <v>56</v>
      </c>
      <c r="E232" s="5">
        <v>1.51</v>
      </c>
      <c r="F232" s="4">
        <v>61</v>
      </c>
      <c r="G232" s="5">
        <v>1.48</v>
      </c>
      <c r="H232" s="4">
        <v>0</v>
      </c>
    </row>
    <row r="233" spans="1:8" x14ac:dyDescent="0.2">
      <c r="A233" s="2" t="s">
        <v>196</v>
      </c>
      <c r="B233" s="4">
        <v>1750</v>
      </c>
      <c r="C233" s="5">
        <v>22.21</v>
      </c>
      <c r="D233" s="4">
        <v>516</v>
      </c>
      <c r="E233" s="5">
        <v>13.89</v>
      </c>
      <c r="F233" s="4">
        <v>1233</v>
      </c>
      <c r="G233" s="5">
        <v>29.91</v>
      </c>
      <c r="H233" s="4">
        <v>1</v>
      </c>
    </row>
    <row r="234" spans="1:8" x14ac:dyDescent="0.2">
      <c r="A234" s="2" t="s">
        <v>197</v>
      </c>
      <c r="B234" s="4">
        <v>91</v>
      </c>
      <c r="C234" s="5">
        <v>1.1499999999999999</v>
      </c>
      <c r="D234" s="4">
        <v>11</v>
      </c>
      <c r="E234" s="5">
        <v>0.3</v>
      </c>
      <c r="F234" s="4">
        <v>80</v>
      </c>
      <c r="G234" s="5">
        <v>1.94</v>
      </c>
      <c r="H234" s="4">
        <v>0</v>
      </c>
    </row>
    <row r="235" spans="1:8" x14ac:dyDescent="0.2">
      <c r="A235" s="2" t="s">
        <v>198</v>
      </c>
      <c r="B235" s="4">
        <v>876</v>
      </c>
      <c r="C235" s="5">
        <v>11.12</v>
      </c>
      <c r="D235" s="4">
        <v>402</v>
      </c>
      <c r="E235" s="5">
        <v>10.82</v>
      </c>
      <c r="F235" s="4">
        <v>471</v>
      </c>
      <c r="G235" s="5">
        <v>11.43</v>
      </c>
      <c r="H235" s="4">
        <v>1</v>
      </c>
    </row>
    <row r="236" spans="1:8" x14ac:dyDescent="0.2">
      <c r="A236" s="2" t="s">
        <v>199</v>
      </c>
      <c r="B236" s="4">
        <v>334</v>
      </c>
      <c r="C236" s="5">
        <v>4.24</v>
      </c>
      <c r="D236" s="4">
        <v>161</v>
      </c>
      <c r="E236" s="5">
        <v>4.33</v>
      </c>
      <c r="F236" s="4">
        <v>173</v>
      </c>
      <c r="G236" s="5">
        <v>4.2</v>
      </c>
      <c r="H236" s="4">
        <v>0</v>
      </c>
    </row>
    <row r="237" spans="1:8" x14ac:dyDescent="0.2">
      <c r="A237" s="2" t="s">
        <v>200</v>
      </c>
      <c r="B237" s="4">
        <v>1176</v>
      </c>
      <c r="C237" s="5">
        <v>14.93</v>
      </c>
      <c r="D237" s="4">
        <v>936</v>
      </c>
      <c r="E237" s="5">
        <v>25.2</v>
      </c>
      <c r="F237" s="4">
        <v>239</v>
      </c>
      <c r="G237" s="5">
        <v>5.8</v>
      </c>
      <c r="H237" s="4">
        <v>1</v>
      </c>
    </row>
    <row r="238" spans="1:8" x14ac:dyDescent="0.2">
      <c r="A238" s="2" t="s">
        <v>201</v>
      </c>
      <c r="B238" s="4">
        <v>1027</v>
      </c>
      <c r="C238" s="5">
        <v>13.03</v>
      </c>
      <c r="D238" s="4">
        <v>808</v>
      </c>
      <c r="E238" s="5">
        <v>21.75</v>
      </c>
      <c r="F238" s="4">
        <v>217</v>
      </c>
      <c r="G238" s="5">
        <v>5.26</v>
      </c>
      <c r="H238" s="4">
        <v>2</v>
      </c>
    </row>
    <row r="239" spans="1:8" x14ac:dyDescent="0.2">
      <c r="A239" s="2" t="s">
        <v>202</v>
      </c>
      <c r="B239" s="4">
        <v>207</v>
      </c>
      <c r="C239" s="5">
        <v>2.63</v>
      </c>
      <c r="D239" s="4">
        <v>138</v>
      </c>
      <c r="E239" s="5">
        <v>3.71</v>
      </c>
      <c r="F239" s="4">
        <v>44</v>
      </c>
      <c r="G239" s="5">
        <v>1.07</v>
      </c>
      <c r="H239" s="4">
        <v>1</v>
      </c>
    </row>
    <row r="240" spans="1:8" x14ac:dyDescent="0.2">
      <c r="A240" s="2" t="s">
        <v>203</v>
      </c>
      <c r="B240" s="4">
        <v>501</v>
      </c>
      <c r="C240" s="5">
        <v>6.36</v>
      </c>
      <c r="D240" s="4">
        <v>280</v>
      </c>
      <c r="E240" s="5">
        <v>7.54</v>
      </c>
      <c r="F240" s="4">
        <v>219</v>
      </c>
      <c r="G240" s="5">
        <v>5.31</v>
      </c>
      <c r="H240" s="4">
        <v>0</v>
      </c>
    </row>
    <row r="241" spans="1:8" x14ac:dyDescent="0.2">
      <c r="A241" s="2" t="s">
        <v>204</v>
      </c>
      <c r="B241" s="4">
        <v>270</v>
      </c>
      <c r="C241" s="5">
        <v>3.43</v>
      </c>
      <c r="D241" s="4">
        <v>88</v>
      </c>
      <c r="E241" s="5">
        <v>2.37</v>
      </c>
      <c r="F241" s="4">
        <v>174</v>
      </c>
      <c r="G241" s="5">
        <v>4.22</v>
      </c>
      <c r="H241" s="4">
        <v>5</v>
      </c>
    </row>
    <row r="242" spans="1:8" x14ac:dyDescent="0.2">
      <c r="A242" s="1" t="s">
        <v>15</v>
      </c>
      <c r="B242" s="4">
        <v>2066</v>
      </c>
      <c r="C242" s="5">
        <v>100.01</v>
      </c>
      <c r="D242" s="4">
        <v>994</v>
      </c>
      <c r="E242" s="5">
        <v>99.999999999999986</v>
      </c>
      <c r="F242" s="4">
        <v>1052</v>
      </c>
      <c r="G242" s="5">
        <v>99.990000000000009</v>
      </c>
      <c r="H242" s="4">
        <v>4</v>
      </c>
    </row>
    <row r="243" spans="1:8" x14ac:dyDescent="0.2">
      <c r="A243" s="2" t="s">
        <v>190</v>
      </c>
      <c r="B243" s="4">
        <v>0</v>
      </c>
      <c r="C243" s="5">
        <v>0</v>
      </c>
      <c r="D243" s="4">
        <v>0</v>
      </c>
      <c r="E243" s="5">
        <v>0</v>
      </c>
      <c r="F243" s="4">
        <v>0</v>
      </c>
      <c r="G243" s="5">
        <v>0</v>
      </c>
      <c r="H243" s="4">
        <v>0</v>
      </c>
    </row>
    <row r="244" spans="1:8" x14ac:dyDescent="0.2">
      <c r="A244" s="2" t="s">
        <v>191</v>
      </c>
      <c r="B244" s="4">
        <v>265</v>
      </c>
      <c r="C244" s="5">
        <v>12.83</v>
      </c>
      <c r="D244" s="4">
        <v>43</v>
      </c>
      <c r="E244" s="5">
        <v>4.33</v>
      </c>
      <c r="F244" s="4">
        <v>222</v>
      </c>
      <c r="G244" s="5">
        <v>21.1</v>
      </c>
      <c r="H244" s="4">
        <v>0</v>
      </c>
    </row>
    <row r="245" spans="1:8" x14ac:dyDescent="0.2">
      <c r="A245" s="2" t="s">
        <v>192</v>
      </c>
      <c r="B245" s="4">
        <v>110</v>
      </c>
      <c r="C245" s="5">
        <v>5.32</v>
      </c>
      <c r="D245" s="4">
        <v>30</v>
      </c>
      <c r="E245" s="5">
        <v>3.02</v>
      </c>
      <c r="F245" s="4">
        <v>80</v>
      </c>
      <c r="G245" s="5">
        <v>7.6</v>
      </c>
      <c r="H245" s="4">
        <v>0</v>
      </c>
    </row>
    <row r="246" spans="1:8" x14ac:dyDescent="0.2">
      <c r="A246" s="2" t="s">
        <v>193</v>
      </c>
      <c r="B246" s="4">
        <v>2</v>
      </c>
      <c r="C246" s="5">
        <v>0.1</v>
      </c>
      <c r="D246" s="4">
        <v>0</v>
      </c>
      <c r="E246" s="5">
        <v>0</v>
      </c>
      <c r="F246" s="4">
        <v>1</v>
      </c>
      <c r="G246" s="5">
        <v>0.1</v>
      </c>
      <c r="H246" s="4">
        <v>0</v>
      </c>
    </row>
    <row r="247" spans="1:8" x14ac:dyDescent="0.2">
      <c r="A247" s="2" t="s">
        <v>194</v>
      </c>
      <c r="B247" s="4">
        <v>15</v>
      </c>
      <c r="C247" s="5">
        <v>0.73</v>
      </c>
      <c r="D247" s="4">
        <v>1</v>
      </c>
      <c r="E247" s="5">
        <v>0.1</v>
      </c>
      <c r="F247" s="4">
        <v>14</v>
      </c>
      <c r="G247" s="5">
        <v>1.33</v>
      </c>
      <c r="H247" s="4">
        <v>0</v>
      </c>
    </row>
    <row r="248" spans="1:8" x14ac:dyDescent="0.2">
      <c r="A248" s="2" t="s">
        <v>195</v>
      </c>
      <c r="B248" s="4">
        <v>37</v>
      </c>
      <c r="C248" s="5">
        <v>1.79</v>
      </c>
      <c r="D248" s="4">
        <v>13</v>
      </c>
      <c r="E248" s="5">
        <v>1.31</v>
      </c>
      <c r="F248" s="4">
        <v>24</v>
      </c>
      <c r="G248" s="5">
        <v>2.2799999999999998</v>
      </c>
      <c r="H248" s="4">
        <v>0</v>
      </c>
    </row>
    <row r="249" spans="1:8" x14ac:dyDescent="0.2">
      <c r="A249" s="2" t="s">
        <v>196</v>
      </c>
      <c r="B249" s="4">
        <v>486</v>
      </c>
      <c r="C249" s="5">
        <v>23.52</v>
      </c>
      <c r="D249" s="4">
        <v>164</v>
      </c>
      <c r="E249" s="5">
        <v>16.5</v>
      </c>
      <c r="F249" s="4">
        <v>322</v>
      </c>
      <c r="G249" s="5">
        <v>30.61</v>
      </c>
      <c r="H249" s="4">
        <v>0</v>
      </c>
    </row>
    <row r="250" spans="1:8" x14ac:dyDescent="0.2">
      <c r="A250" s="2" t="s">
        <v>197</v>
      </c>
      <c r="B250" s="4">
        <v>34</v>
      </c>
      <c r="C250" s="5">
        <v>1.65</v>
      </c>
      <c r="D250" s="4">
        <v>5</v>
      </c>
      <c r="E250" s="5">
        <v>0.5</v>
      </c>
      <c r="F250" s="4">
        <v>29</v>
      </c>
      <c r="G250" s="5">
        <v>2.76</v>
      </c>
      <c r="H250" s="4">
        <v>0</v>
      </c>
    </row>
    <row r="251" spans="1:8" x14ac:dyDescent="0.2">
      <c r="A251" s="2" t="s">
        <v>198</v>
      </c>
      <c r="B251" s="4">
        <v>213</v>
      </c>
      <c r="C251" s="5">
        <v>10.31</v>
      </c>
      <c r="D251" s="4">
        <v>98</v>
      </c>
      <c r="E251" s="5">
        <v>9.86</v>
      </c>
      <c r="F251" s="4">
        <v>113</v>
      </c>
      <c r="G251" s="5">
        <v>10.74</v>
      </c>
      <c r="H251" s="4">
        <v>1</v>
      </c>
    </row>
    <row r="252" spans="1:8" x14ac:dyDescent="0.2">
      <c r="A252" s="2" t="s">
        <v>199</v>
      </c>
      <c r="B252" s="4">
        <v>77</v>
      </c>
      <c r="C252" s="5">
        <v>3.73</v>
      </c>
      <c r="D252" s="4">
        <v>41</v>
      </c>
      <c r="E252" s="5">
        <v>4.12</v>
      </c>
      <c r="F252" s="4">
        <v>32</v>
      </c>
      <c r="G252" s="5">
        <v>3.04</v>
      </c>
      <c r="H252" s="4">
        <v>0</v>
      </c>
    </row>
    <row r="253" spans="1:8" x14ac:dyDescent="0.2">
      <c r="A253" s="2" t="s">
        <v>200</v>
      </c>
      <c r="B253" s="4">
        <v>358</v>
      </c>
      <c r="C253" s="5">
        <v>17.329999999999998</v>
      </c>
      <c r="D253" s="4">
        <v>297</v>
      </c>
      <c r="E253" s="5">
        <v>29.88</v>
      </c>
      <c r="F253" s="4">
        <v>60</v>
      </c>
      <c r="G253" s="5">
        <v>5.7</v>
      </c>
      <c r="H253" s="4">
        <v>0</v>
      </c>
    </row>
    <row r="254" spans="1:8" x14ac:dyDescent="0.2">
      <c r="A254" s="2" t="s">
        <v>201</v>
      </c>
      <c r="B254" s="4">
        <v>253</v>
      </c>
      <c r="C254" s="5">
        <v>12.25</v>
      </c>
      <c r="D254" s="4">
        <v>205</v>
      </c>
      <c r="E254" s="5">
        <v>20.62</v>
      </c>
      <c r="F254" s="4">
        <v>46</v>
      </c>
      <c r="G254" s="5">
        <v>4.37</v>
      </c>
      <c r="H254" s="4">
        <v>1</v>
      </c>
    </row>
    <row r="255" spans="1:8" x14ac:dyDescent="0.2">
      <c r="A255" s="2" t="s">
        <v>202</v>
      </c>
      <c r="B255" s="4">
        <v>44</v>
      </c>
      <c r="C255" s="5">
        <v>2.13</v>
      </c>
      <c r="D255" s="4">
        <v>24</v>
      </c>
      <c r="E255" s="5">
        <v>2.41</v>
      </c>
      <c r="F255" s="4">
        <v>14</v>
      </c>
      <c r="G255" s="5">
        <v>1.33</v>
      </c>
      <c r="H255" s="4">
        <v>0</v>
      </c>
    </row>
    <row r="256" spans="1:8" x14ac:dyDescent="0.2">
      <c r="A256" s="2" t="s">
        <v>203</v>
      </c>
      <c r="B256" s="4">
        <v>81</v>
      </c>
      <c r="C256" s="5">
        <v>3.92</v>
      </c>
      <c r="D256" s="4">
        <v>46</v>
      </c>
      <c r="E256" s="5">
        <v>4.63</v>
      </c>
      <c r="F256" s="4">
        <v>34</v>
      </c>
      <c r="G256" s="5">
        <v>3.23</v>
      </c>
      <c r="H256" s="4">
        <v>0</v>
      </c>
    </row>
    <row r="257" spans="1:8" x14ac:dyDescent="0.2">
      <c r="A257" s="2" t="s">
        <v>204</v>
      </c>
      <c r="B257" s="4">
        <v>91</v>
      </c>
      <c r="C257" s="5">
        <v>4.4000000000000004</v>
      </c>
      <c r="D257" s="4">
        <v>27</v>
      </c>
      <c r="E257" s="5">
        <v>2.72</v>
      </c>
      <c r="F257" s="4">
        <v>61</v>
      </c>
      <c r="G257" s="5">
        <v>5.8</v>
      </c>
      <c r="H257" s="4">
        <v>2</v>
      </c>
    </row>
    <row r="258" spans="1:8" x14ac:dyDescent="0.2">
      <c r="A258" s="1" t="s">
        <v>16</v>
      </c>
      <c r="B258" s="4">
        <v>4580</v>
      </c>
      <c r="C258" s="5">
        <v>100.00000000000001</v>
      </c>
      <c r="D258" s="4">
        <v>2364</v>
      </c>
      <c r="E258" s="5">
        <v>99.97999999999999</v>
      </c>
      <c r="F258" s="4">
        <v>2181</v>
      </c>
      <c r="G258" s="5">
        <v>100.01000000000002</v>
      </c>
      <c r="H258" s="4">
        <v>12</v>
      </c>
    </row>
    <row r="259" spans="1:8" x14ac:dyDescent="0.2">
      <c r="A259" s="2" t="s">
        <v>190</v>
      </c>
      <c r="B259" s="4">
        <v>5</v>
      </c>
      <c r="C259" s="5">
        <v>0.11</v>
      </c>
      <c r="D259" s="4">
        <v>0</v>
      </c>
      <c r="E259" s="5">
        <v>0</v>
      </c>
      <c r="F259" s="4">
        <v>5</v>
      </c>
      <c r="G259" s="5">
        <v>0.23</v>
      </c>
      <c r="H259" s="4">
        <v>0</v>
      </c>
    </row>
    <row r="260" spans="1:8" x14ac:dyDescent="0.2">
      <c r="A260" s="2" t="s">
        <v>191</v>
      </c>
      <c r="B260" s="4">
        <v>481</v>
      </c>
      <c r="C260" s="5">
        <v>10.5</v>
      </c>
      <c r="D260" s="4">
        <v>87</v>
      </c>
      <c r="E260" s="5">
        <v>3.68</v>
      </c>
      <c r="F260" s="4">
        <v>394</v>
      </c>
      <c r="G260" s="5">
        <v>18.07</v>
      </c>
      <c r="H260" s="4">
        <v>0</v>
      </c>
    </row>
    <row r="261" spans="1:8" x14ac:dyDescent="0.2">
      <c r="A261" s="2" t="s">
        <v>192</v>
      </c>
      <c r="B261" s="4">
        <v>202</v>
      </c>
      <c r="C261" s="5">
        <v>4.41</v>
      </c>
      <c r="D261" s="4">
        <v>44</v>
      </c>
      <c r="E261" s="5">
        <v>1.86</v>
      </c>
      <c r="F261" s="4">
        <v>157</v>
      </c>
      <c r="G261" s="5">
        <v>7.2</v>
      </c>
      <c r="H261" s="4">
        <v>1</v>
      </c>
    </row>
    <row r="262" spans="1:8" x14ac:dyDescent="0.2">
      <c r="A262" s="2" t="s">
        <v>193</v>
      </c>
      <c r="B262" s="4">
        <v>8</v>
      </c>
      <c r="C262" s="5">
        <v>0.17</v>
      </c>
      <c r="D262" s="4">
        <v>0</v>
      </c>
      <c r="E262" s="5">
        <v>0</v>
      </c>
      <c r="F262" s="4">
        <v>8</v>
      </c>
      <c r="G262" s="5">
        <v>0.37</v>
      </c>
      <c r="H262" s="4">
        <v>0</v>
      </c>
    </row>
    <row r="263" spans="1:8" x14ac:dyDescent="0.2">
      <c r="A263" s="2" t="s">
        <v>194</v>
      </c>
      <c r="B263" s="4">
        <v>30</v>
      </c>
      <c r="C263" s="5">
        <v>0.66</v>
      </c>
      <c r="D263" s="4">
        <v>1</v>
      </c>
      <c r="E263" s="5">
        <v>0.04</v>
      </c>
      <c r="F263" s="4">
        <v>29</v>
      </c>
      <c r="G263" s="5">
        <v>1.33</v>
      </c>
      <c r="H263" s="4">
        <v>0</v>
      </c>
    </row>
    <row r="264" spans="1:8" x14ac:dyDescent="0.2">
      <c r="A264" s="2" t="s">
        <v>195</v>
      </c>
      <c r="B264" s="4">
        <v>74</v>
      </c>
      <c r="C264" s="5">
        <v>1.62</v>
      </c>
      <c r="D264" s="4">
        <v>22</v>
      </c>
      <c r="E264" s="5">
        <v>0.93</v>
      </c>
      <c r="F264" s="4">
        <v>51</v>
      </c>
      <c r="G264" s="5">
        <v>2.34</v>
      </c>
      <c r="H264" s="4">
        <v>1</v>
      </c>
    </row>
    <row r="265" spans="1:8" x14ac:dyDescent="0.2">
      <c r="A265" s="2" t="s">
        <v>196</v>
      </c>
      <c r="B265" s="4">
        <v>951</v>
      </c>
      <c r="C265" s="5">
        <v>20.76</v>
      </c>
      <c r="D265" s="4">
        <v>292</v>
      </c>
      <c r="E265" s="5">
        <v>12.35</v>
      </c>
      <c r="F265" s="4">
        <v>659</v>
      </c>
      <c r="G265" s="5">
        <v>30.22</v>
      </c>
      <c r="H265" s="4">
        <v>0</v>
      </c>
    </row>
    <row r="266" spans="1:8" x14ac:dyDescent="0.2">
      <c r="A266" s="2" t="s">
        <v>197</v>
      </c>
      <c r="B266" s="4">
        <v>56</v>
      </c>
      <c r="C266" s="5">
        <v>1.22</v>
      </c>
      <c r="D266" s="4">
        <v>5</v>
      </c>
      <c r="E266" s="5">
        <v>0.21</v>
      </c>
      <c r="F266" s="4">
        <v>51</v>
      </c>
      <c r="G266" s="5">
        <v>2.34</v>
      </c>
      <c r="H266" s="4">
        <v>0</v>
      </c>
    </row>
    <row r="267" spans="1:8" x14ac:dyDescent="0.2">
      <c r="A267" s="2" t="s">
        <v>198</v>
      </c>
      <c r="B267" s="4">
        <v>583</v>
      </c>
      <c r="C267" s="5">
        <v>12.73</v>
      </c>
      <c r="D267" s="4">
        <v>383</v>
      </c>
      <c r="E267" s="5">
        <v>16.2</v>
      </c>
      <c r="F267" s="4">
        <v>199</v>
      </c>
      <c r="G267" s="5">
        <v>9.1199999999999992</v>
      </c>
      <c r="H267" s="4">
        <v>0</v>
      </c>
    </row>
    <row r="268" spans="1:8" x14ac:dyDescent="0.2">
      <c r="A268" s="2" t="s">
        <v>199</v>
      </c>
      <c r="B268" s="4">
        <v>187</v>
      </c>
      <c r="C268" s="5">
        <v>4.08</v>
      </c>
      <c r="D268" s="4">
        <v>76</v>
      </c>
      <c r="E268" s="5">
        <v>3.21</v>
      </c>
      <c r="F268" s="4">
        <v>109</v>
      </c>
      <c r="G268" s="5">
        <v>5</v>
      </c>
      <c r="H268" s="4">
        <v>0</v>
      </c>
    </row>
    <row r="269" spans="1:8" x14ac:dyDescent="0.2">
      <c r="A269" s="2" t="s">
        <v>200</v>
      </c>
      <c r="B269" s="4">
        <v>863</v>
      </c>
      <c r="C269" s="5">
        <v>18.84</v>
      </c>
      <c r="D269" s="4">
        <v>720</v>
      </c>
      <c r="E269" s="5">
        <v>30.46</v>
      </c>
      <c r="F269" s="4">
        <v>142</v>
      </c>
      <c r="G269" s="5">
        <v>6.51</v>
      </c>
      <c r="H269" s="4">
        <v>1</v>
      </c>
    </row>
    <row r="270" spans="1:8" x14ac:dyDescent="0.2">
      <c r="A270" s="2" t="s">
        <v>201</v>
      </c>
      <c r="B270" s="4">
        <v>593</v>
      </c>
      <c r="C270" s="5">
        <v>12.95</v>
      </c>
      <c r="D270" s="4">
        <v>461</v>
      </c>
      <c r="E270" s="5">
        <v>19.5</v>
      </c>
      <c r="F270" s="4">
        <v>126</v>
      </c>
      <c r="G270" s="5">
        <v>5.78</v>
      </c>
      <c r="H270" s="4">
        <v>0</v>
      </c>
    </row>
    <row r="271" spans="1:8" x14ac:dyDescent="0.2">
      <c r="A271" s="2" t="s">
        <v>202</v>
      </c>
      <c r="B271" s="4">
        <v>140</v>
      </c>
      <c r="C271" s="5">
        <v>3.06</v>
      </c>
      <c r="D271" s="4">
        <v>105</v>
      </c>
      <c r="E271" s="5">
        <v>4.4400000000000004</v>
      </c>
      <c r="F271" s="4">
        <v>28</v>
      </c>
      <c r="G271" s="5">
        <v>1.28</v>
      </c>
      <c r="H271" s="4">
        <v>1</v>
      </c>
    </row>
    <row r="272" spans="1:8" x14ac:dyDescent="0.2">
      <c r="A272" s="2" t="s">
        <v>203</v>
      </c>
      <c r="B272" s="4">
        <v>202</v>
      </c>
      <c r="C272" s="5">
        <v>4.41</v>
      </c>
      <c r="D272" s="4">
        <v>105</v>
      </c>
      <c r="E272" s="5">
        <v>4.4400000000000004</v>
      </c>
      <c r="F272" s="4">
        <v>91</v>
      </c>
      <c r="G272" s="5">
        <v>4.17</v>
      </c>
      <c r="H272" s="4">
        <v>2</v>
      </c>
    </row>
    <row r="273" spans="1:8" x14ac:dyDescent="0.2">
      <c r="A273" s="2" t="s">
        <v>204</v>
      </c>
      <c r="B273" s="4">
        <v>205</v>
      </c>
      <c r="C273" s="5">
        <v>4.4800000000000004</v>
      </c>
      <c r="D273" s="4">
        <v>63</v>
      </c>
      <c r="E273" s="5">
        <v>2.66</v>
      </c>
      <c r="F273" s="4">
        <v>132</v>
      </c>
      <c r="G273" s="5">
        <v>6.05</v>
      </c>
      <c r="H273" s="4">
        <v>6</v>
      </c>
    </row>
    <row r="274" spans="1:8" x14ac:dyDescent="0.2">
      <c r="A274" s="1" t="s">
        <v>17</v>
      </c>
      <c r="B274" s="4">
        <v>4978</v>
      </c>
      <c r="C274" s="5">
        <v>100.00999999999999</v>
      </c>
      <c r="D274" s="4">
        <v>2403</v>
      </c>
      <c r="E274" s="5">
        <v>99.999999999999986</v>
      </c>
      <c r="F274" s="4">
        <v>2520</v>
      </c>
      <c r="G274" s="5">
        <v>100.01</v>
      </c>
      <c r="H274" s="4">
        <v>6</v>
      </c>
    </row>
    <row r="275" spans="1:8" x14ac:dyDescent="0.2">
      <c r="A275" s="2" t="s">
        <v>190</v>
      </c>
      <c r="B275" s="4">
        <v>4</v>
      </c>
      <c r="C275" s="5">
        <v>0.08</v>
      </c>
      <c r="D275" s="4">
        <v>0</v>
      </c>
      <c r="E275" s="5">
        <v>0</v>
      </c>
      <c r="F275" s="4">
        <v>4</v>
      </c>
      <c r="G275" s="5">
        <v>0.16</v>
      </c>
      <c r="H275" s="4">
        <v>0</v>
      </c>
    </row>
    <row r="276" spans="1:8" x14ac:dyDescent="0.2">
      <c r="A276" s="2" t="s">
        <v>191</v>
      </c>
      <c r="B276" s="4">
        <v>646</v>
      </c>
      <c r="C276" s="5">
        <v>12.98</v>
      </c>
      <c r="D276" s="4">
        <v>166</v>
      </c>
      <c r="E276" s="5">
        <v>6.91</v>
      </c>
      <c r="F276" s="4">
        <v>480</v>
      </c>
      <c r="G276" s="5">
        <v>19.05</v>
      </c>
      <c r="H276" s="4">
        <v>0</v>
      </c>
    </row>
    <row r="277" spans="1:8" x14ac:dyDescent="0.2">
      <c r="A277" s="2" t="s">
        <v>192</v>
      </c>
      <c r="B277" s="4">
        <v>218</v>
      </c>
      <c r="C277" s="5">
        <v>4.38</v>
      </c>
      <c r="D277" s="4">
        <v>56</v>
      </c>
      <c r="E277" s="5">
        <v>2.33</v>
      </c>
      <c r="F277" s="4">
        <v>162</v>
      </c>
      <c r="G277" s="5">
        <v>6.43</v>
      </c>
      <c r="H277" s="4">
        <v>0</v>
      </c>
    </row>
    <row r="278" spans="1:8" x14ac:dyDescent="0.2">
      <c r="A278" s="2" t="s">
        <v>193</v>
      </c>
      <c r="B278" s="4">
        <v>17</v>
      </c>
      <c r="C278" s="5">
        <v>0.34</v>
      </c>
      <c r="D278" s="4">
        <v>0</v>
      </c>
      <c r="E278" s="5">
        <v>0</v>
      </c>
      <c r="F278" s="4">
        <v>17</v>
      </c>
      <c r="G278" s="5">
        <v>0.67</v>
      </c>
      <c r="H278" s="4">
        <v>0</v>
      </c>
    </row>
    <row r="279" spans="1:8" x14ac:dyDescent="0.2">
      <c r="A279" s="2" t="s">
        <v>194</v>
      </c>
      <c r="B279" s="4">
        <v>38</v>
      </c>
      <c r="C279" s="5">
        <v>0.76</v>
      </c>
      <c r="D279" s="4">
        <v>1</v>
      </c>
      <c r="E279" s="5">
        <v>0.04</v>
      </c>
      <c r="F279" s="4">
        <v>37</v>
      </c>
      <c r="G279" s="5">
        <v>1.47</v>
      </c>
      <c r="H279" s="4">
        <v>0</v>
      </c>
    </row>
    <row r="280" spans="1:8" x14ac:dyDescent="0.2">
      <c r="A280" s="2" t="s">
        <v>195</v>
      </c>
      <c r="B280" s="4">
        <v>68</v>
      </c>
      <c r="C280" s="5">
        <v>1.37</v>
      </c>
      <c r="D280" s="4">
        <v>32</v>
      </c>
      <c r="E280" s="5">
        <v>1.33</v>
      </c>
      <c r="F280" s="4">
        <v>35</v>
      </c>
      <c r="G280" s="5">
        <v>1.39</v>
      </c>
      <c r="H280" s="4">
        <v>1</v>
      </c>
    </row>
    <row r="281" spans="1:8" x14ac:dyDescent="0.2">
      <c r="A281" s="2" t="s">
        <v>196</v>
      </c>
      <c r="B281" s="4">
        <v>1085</v>
      </c>
      <c r="C281" s="5">
        <v>21.8</v>
      </c>
      <c r="D281" s="4">
        <v>287</v>
      </c>
      <c r="E281" s="5">
        <v>11.94</v>
      </c>
      <c r="F281" s="4">
        <v>797</v>
      </c>
      <c r="G281" s="5">
        <v>31.63</v>
      </c>
      <c r="H281" s="4">
        <v>1</v>
      </c>
    </row>
    <row r="282" spans="1:8" x14ac:dyDescent="0.2">
      <c r="A282" s="2" t="s">
        <v>197</v>
      </c>
      <c r="B282" s="4">
        <v>66</v>
      </c>
      <c r="C282" s="5">
        <v>1.33</v>
      </c>
      <c r="D282" s="4">
        <v>11</v>
      </c>
      <c r="E282" s="5">
        <v>0.46</v>
      </c>
      <c r="F282" s="4">
        <v>55</v>
      </c>
      <c r="G282" s="5">
        <v>2.1800000000000002</v>
      </c>
      <c r="H282" s="4">
        <v>0</v>
      </c>
    </row>
    <row r="283" spans="1:8" x14ac:dyDescent="0.2">
      <c r="A283" s="2" t="s">
        <v>198</v>
      </c>
      <c r="B283" s="4">
        <v>421</v>
      </c>
      <c r="C283" s="5">
        <v>8.4600000000000009</v>
      </c>
      <c r="D283" s="4">
        <v>145</v>
      </c>
      <c r="E283" s="5">
        <v>6.03</v>
      </c>
      <c r="F283" s="4">
        <v>275</v>
      </c>
      <c r="G283" s="5">
        <v>10.91</v>
      </c>
      <c r="H283" s="4">
        <v>0</v>
      </c>
    </row>
    <row r="284" spans="1:8" x14ac:dyDescent="0.2">
      <c r="A284" s="2" t="s">
        <v>199</v>
      </c>
      <c r="B284" s="4">
        <v>248</v>
      </c>
      <c r="C284" s="5">
        <v>4.9800000000000004</v>
      </c>
      <c r="D284" s="4">
        <v>122</v>
      </c>
      <c r="E284" s="5">
        <v>5.08</v>
      </c>
      <c r="F284" s="4">
        <v>125</v>
      </c>
      <c r="G284" s="5">
        <v>4.96</v>
      </c>
      <c r="H284" s="4">
        <v>1</v>
      </c>
    </row>
    <row r="285" spans="1:8" x14ac:dyDescent="0.2">
      <c r="A285" s="2" t="s">
        <v>200</v>
      </c>
      <c r="B285" s="4">
        <v>834</v>
      </c>
      <c r="C285" s="5">
        <v>16.75</v>
      </c>
      <c r="D285" s="4">
        <v>699</v>
      </c>
      <c r="E285" s="5">
        <v>29.09</v>
      </c>
      <c r="F285" s="4">
        <v>133</v>
      </c>
      <c r="G285" s="5">
        <v>5.28</v>
      </c>
      <c r="H285" s="4">
        <v>2</v>
      </c>
    </row>
    <row r="286" spans="1:8" x14ac:dyDescent="0.2">
      <c r="A286" s="2" t="s">
        <v>201</v>
      </c>
      <c r="B286" s="4">
        <v>645</v>
      </c>
      <c r="C286" s="5">
        <v>12.96</v>
      </c>
      <c r="D286" s="4">
        <v>504</v>
      </c>
      <c r="E286" s="5">
        <v>20.97</v>
      </c>
      <c r="F286" s="4">
        <v>138</v>
      </c>
      <c r="G286" s="5">
        <v>5.48</v>
      </c>
      <c r="H286" s="4">
        <v>0</v>
      </c>
    </row>
    <row r="287" spans="1:8" x14ac:dyDescent="0.2">
      <c r="A287" s="2" t="s">
        <v>202</v>
      </c>
      <c r="B287" s="4">
        <v>179</v>
      </c>
      <c r="C287" s="5">
        <v>3.6</v>
      </c>
      <c r="D287" s="4">
        <v>134</v>
      </c>
      <c r="E287" s="5">
        <v>5.58</v>
      </c>
      <c r="F287" s="4">
        <v>42</v>
      </c>
      <c r="G287" s="5">
        <v>1.67</v>
      </c>
      <c r="H287" s="4">
        <v>0</v>
      </c>
    </row>
    <row r="288" spans="1:8" x14ac:dyDescent="0.2">
      <c r="A288" s="2" t="s">
        <v>203</v>
      </c>
      <c r="B288" s="4">
        <v>251</v>
      </c>
      <c r="C288" s="5">
        <v>5.04</v>
      </c>
      <c r="D288" s="4">
        <v>166</v>
      </c>
      <c r="E288" s="5">
        <v>6.91</v>
      </c>
      <c r="F288" s="4">
        <v>84</v>
      </c>
      <c r="G288" s="5">
        <v>3.33</v>
      </c>
      <c r="H288" s="4">
        <v>1</v>
      </c>
    </row>
    <row r="289" spans="1:8" x14ac:dyDescent="0.2">
      <c r="A289" s="2" t="s">
        <v>204</v>
      </c>
      <c r="B289" s="4">
        <v>258</v>
      </c>
      <c r="C289" s="5">
        <v>5.18</v>
      </c>
      <c r="D289" s="4">
        <v>80</v>
      </c>
      <c r="E289" s="5">
        <v>3.33</v>
      </c>
      <c r="F289" s="4">
        <v>136</v>
      </c>
      <c r="G289" s="5">
        <v>5.4</v>
      </c>
      <c r="H289" s="4">
        <v>0</v>
      </c>
    </row>
    <row r="290" spans="1:8" x14ac:dyDescent="0.2">
      <c r="A290" s="1" t="s">
        <v>18</v>
      </c>
      <c r="B290" s="4">
        <v>2805</v>
      </c>
      <c r="C290" s="5">
        <v>100.00999999999999</v>
      </c>
      <c r="D290" s="4">
        <v>1306</v>
      </c>
      <c r="E290" s="5">
        <v>100.01</v>
      </c>
      <c r="F290" s="4">
        <v>1465</v>
      </c>
      <c r="G290" s="5">
        <v>100.02000000000001</v>
      </c>
      <c r="H290" s="4">
        <v>7</v>
      </c>
    </row>
    <row r="291" spans="1:8" x14ac:dyDescent="0.2">
      <c r="A291" s="2" t="s">
        <v>190</v>
      </c>
      <c r="B291" s="4">
        <v>2</v>
      </c>
      <c r="C291" s="5">
        <v>7.0000000000000007E-2</v>
      </c>
      <c r="D291" s="4">
        <v>0</v>
      </c>
      <c r="E291" s="5">
        <v>0</v>
      </c>
      <c r="F291" s="4">
        <v>2</v>
      </c>
      <c r="G291" s="5">
        <v>0.14000000000000001</v>
      </c>
      <c r="H291" s="4">
        <v>0</v>
      </c>
    </row>
    <row r="292" spans="1:8" x14ac:dyDescent="0.2">
      <c r="A292" s="2" t="s">
        <v>191</v>
      </c>
      <c r="B292" s="4">
        <v>334</v>
      </c>
      <c r="C292" s="5">
        <v>11.91</v>
      </c>
      <c r="D292" s="4">
        <v>74</v>
      </c>
      <c r="E292" s="5">
        <v>5.67</v>
      </c>
      <c r="F292" s="4">
        <v>260</v>
      </c>
      <c r="G292" s="5">
        <v>17.75</v>
      </c>
      <c r="H292" s="4">
        <v>0</v>
      </c>
    </row>
    <row r="293" spans="1:8" x14ac:dyDescent="0.2">
      <c r="A293" s="2" t="s">
        <v>192</v>
      </c>
      <c r="B293" s="4">
        <v>157</v>
      </c>
      <c r="C293" s="5">
        <v>5.6</v>
      </c>
      <c r="D293" s="4">
        <v>40</v>
      </c>
      <c r="E293" s="5">
        <v>3.06</v>
      </c>
      <c r="F293" s="4">
        <v>117</v>
      </c>
      <c r="G293" s="5">
        <v>7.99</v>
      </c>
      <c r="H293" s="4">
        <v>0</v>
      </c>
    </row>
    <row r="294" spans="1:8" x14ac:dyDescent="0.2">
      <c r="A294" s="2" t="s">
        <v>193</v>
      </c>
      <c r="B294" s="4">
        <v>8</v>
      </c>
      <c r="C294" s="5">
        <v>0.28999999999999998</v>
      </c>
      <c r="D294" s="4">
        <v>0</v>
      </c>
      <c r="E294" s="5">
        <v>0</v>
      </c>
      <c r="F294" s="4">
        <v>8</v>
      </c>
      <c r="G294" s="5">
        <v>0.55000000000000004</v>
      </c>
      <c r="H294" s="4">
        <v>0</v>
      </c>
    </row>
    <row r="295" spans="1:8" x14ac:dyDescent="0.2">
      <c r="A295" s="2" t="s">
        <v>194</v>
      </c>
      <c r="B295" s="4">
        <v>28</v>
      </c>
      <c r="C295" s="5">
        <v>1</v>
      </c>
      <c r="D295" s="4">
        <v>2</v>
      </c>
      <c r="E295" s="5">
        <v>0.15</v>
      </c>
      <c r="F295" s="4">
        <v>25</v>
      </c>
      <c r="G295" s="5">
        <v>1.71</v>
      </c>
      <c r="H295" s="4">
        <v>1</v>
      </c>
    </row>
    <row r="296" spans="1:8" x14ac:dyDescent="0.2">
      <c r="A296" s="2" t="s">
        <v>195</v>
      </c>
      <c r="B296" s="4">
        <v>38</v>
      </c>
      <c r="C296" s="5">
        <v>1.35</v>
      </c>
      <c r="D296" s="4">
        <v>13</v>
      </c>
      <c r="E296" s="5">
        <v>1</v>
      </c>
      <c r="F296" s="4">
        <v>25</v>
      </c>
      <c r="G296" s="5">
        <v>1.71</v>
      </c>
      <c r="H296" s="4">
        <v>0</v>
      </c>
    </row>
    <row r="297" spans="1:8" x14ac:dyDescent="0.2">
      <c r="A297" s="2" t="s">
        <v>196</v>
      </c>
      <c r="B297" s="4">
        <v>689</v>
      </c>
      <c r="C297" s="5">
        <v>24.56</v>
      </c>
      <c r="D297" s="4">
        <v>224</v>
      </c>
      <c r="E297" s="5">
        <v>17.149999999999999</v>
      </c>
      <c r="F297" s="4">
        <v>465</v>
      </c>
      <c r="G297" s="5">
        <v>31.74</v>
      </c>
      <c r="H297" s="4">
        <v>0</v>
      </c>
    </row>
    <row r="298" spans="1:8" x14ac:dyDescent="0.2">
      <c r="A298" s="2" t="s">
        <v>197</v>
      </c>
      <c r="B298" s="4">
        <v>31</v>
      </c>
      <c r="C298" s="5">
        <v>1.1100000000000001</v>
      </c>
      <c r="D298" s="4">
        <v>3</v>
      </c>
      <c r="E298" s="5">
        <v>0.23</v>
      </c>
      <c r="F298" s="4">
        <v>28</v>
      </c>
      <c r="G298" s="5">
        <v>1.91</v>
      </c>
      <c r="H298" s="4">
        <v>0</v>
      </c>
    </row>
    <row r="299" spans="1:8" x14ac:dyDescent="0.2">
      <c r="A299" s="2" t="s">
        <v>198</v>
      </c>
      <c r="B299" s="4">
        <v>277</v>
      </c>
      <c r="C299" s="5">
        <v>9.8800000000000008</v>
      </c>
      <c r="D299" s="4">
        <v>123</v>
      </c>
      <c r="E299" s="5">
        <v>9.42</v>
      </c>
      <c r="F299" s="4">
        <v>154</v>
      </c>
      <c r="G299" s="5">
        <v>10.51</v>
      </c>
      <c r="H299" s="4">
        <v>0</v>
      </c>
    </row>
    <row r="300" spans="1:8" x14ac:dyDescent="0.2">
      <c r="A300" s="2" t="s">
        <v>199</v>
      </c>
      <c r="B300" s="4">
        <v>99</v>
      </c>
      <c r="C300" s="5">
        <v>3.53</v>
      </c>
      <c r="D300" s="4">
        <v>45</v>
      </c>
      <c r="E300" s="5">
        <v>3.45</v>
      </c>
      <c r="F300" s="4">
        <v>52</v>
      </c>
      <c r="G300" s="5">
        <v>3.55</v>
      </c>
      <c r="H300" s="4">
        <v>0</v>
      </c>
    </row>
    <row r="301" spans="1:8" x14ac:dyDescent="0.2">
      <c r="A301" s="2" t="s">
        <v>200</v>
      </c>
      <c r="B301" s="4">
        <v>428</v>
      </c>
      <c r="C301" s="5">
        <v>15.26</v>
      </c>
      <c r="D301" s="4">
        <v>346</v>
      </c>
      <c r="E301" s="5">
        <v>26.49</v>
      </c>
      <c r="F301" s="4">
        <v>80</v>
      </c>
      <c r="G301" s="5">
        <v>5.46</v>
      </c>
      <c r="H301" s="4">
        <v>1</v>
      </c>
    </row>
    <row r="302" spans="1:8" x14ac:dyDescent="0.2">
      <c r="A302" s="2" t="s">
        <v>201</v>
      </c>
      <c r="B302" s="4">
        <v>349</v>
      </c>
      <c r="C302" s="5">
        <v>12.44</v>
      </c>
      <c r="D302" s="4">
        <v>285</v>
      </c>
      <c r="E302" s="5">
        <v>21.82</v>
      </c>
      <c r="F302" s="4">
        <v>64</v>
      </c>
      <c r="G302" s="5">
        <v>4.37</v>
      </c>
      <c r="H302" s="4">
        <v>0</v>
      </c>
    </row>
    <row r="303" spans="1:8" x14ac:dyDescent="0.2">
      <c r="A303" s="2" t="s">
        <v>202</v>
      </c>
      <c r="B303" s="4">
        <v>55</v>
      </c>
      <c r="C303" s="5">
        <v>1.96</v>
      </c>
      <c r="D303" s="4">
        <v>30</v>
      </c>
      <c r="E303" s="5">
        <v>2.2999999999999998</v>
      </c>
      <c r="F303" s="4">
        <v>18</v>
      </c>
      <c r="G303" s="5">
        <v>1.23</v>
      </c>
      <c r="H303" s="4">
        <v>0</v>
      </c>
    </row>
    <row r="304" spans="1:8" x14ac:dyDescent="0.2">
      <c r="A304" s="2" t="s">
        <v>203</v>
      </c>
      <c r="B304" s="4">
        <v>183</v>
      </c>
      <c r="C304" s="5">
        <v>6.52</v>
      </c>
      <c r="D304" s="4">
        <v>85</v>
      </c>
      <c r="E304" s="5">
        <v>6.51</v>
      </c>
      <c r="F304" s="4">
        <v>79</v>
      </c>
      <c r="G304" s="5">
        <v>5.39</v>
      </c>
      <c r="H304" s="4">
        <v>2</v>
      </c>
    </row>
    <row r="305" spans="1:8" x14ac:dyDescent="0.2">
      <c r="A305" s="2" t="s">
        <v>204</v>
      </c>
      <c r="B305" s="4">
        <v>127</v>
      </c>
      <c r="C305" s="5">
        <v>4.53</v>
      </c>
      <c r="D305" s="4">
        <v>36</v>
      </c>
      <c r="E305" s="5">
        <v>2.76</v>
      </c>
      <c r="F305" s="4">
        <v>88</v>
      </c>
      <c r="G305" s="5">
        <v>6.01</v>
      </c>
      <c r="H305" s="4">
        <v>3</v>
      </c>
    </row>
    <row r="306" spans="1:8" x14ac:dyDescent="0.2">
      <c r="A306" s="1" t="s">
        <v>19</v>
      </c>
      <c r="B306" s="4">
        <v>191</v>
      </c>
      <c r="C306" s="5">
        <v>99.97999999999999</v>
      </c>
      <c r="D306" s="4">
        <v>106</v>
      </c>
      <c r="E306" s="5">
        <v>100</v>
      </c>
      <c r="F306" s="4">
        <v>78</v>
      </c>
      <c r="G306" s="5">
        <v>100.00999999999999</v>
      </c>
      <c r="H306" s="4">
        <v>2</v>
      </c>
    </row>
    <row r="307" spans="1:8" x14ac:dyDescent="0.2">
      <c r="A307" s="2" t="s">
        <v>190</v>
      </c>
      <c r="B307" s="4">
        <v>0</v>
      </c>
      <c r="C307" s="5">
        <v>0</v>
      </c>
      <c r="D307" s="4">
        <v>0</v>
      </c>
      <c r="E307" s="5">
        <v>0</v>
      </c>
      <c r="F307" s="4">
        <v>0</v>
      </c>
      <c r="G307" s="5">
        <v>0</v>
      </c>
      <c r="H307" s="4">
        <v>0</v>
      </c>
    </row>
    <row r="308" spans="1:8" x14ac:dyDescent="0.2">
      <c r="A308" s="2" t="s">
        <v>191</v>
      </c>
      <c r="B308" s="4">
        <v>14</v>
      </c>
      <c r="C308" s="5">
        <v>7.33</v>
      </c>
      <c r="D308" s="4">
        <v>1</v>
      </c>
      <c r="E308" s="5">
        <v>0.94</v>
      </c>
      <c r="F308" s="4">
        <v>13</v>
      </c>
      <c r="G308" s="5">
        <v>16.670000000000002</v>
      </c>
      <c r="H308" s="4">
        <v>0</v>
      </c>
    </row>
    <row r="309" spans="1:8" x14ac:dyDescent="0.2">
      <c r="A309" s="2" t="s">
        <v>192</v>
      </c>
      <c r="B309" s="4">
        <v>8</v>
      </c>
      <c r="C309" s="5">
        <v>4.1900000000000004</v>
      </c>
      <c r="D309" s="4">
        <v>0</v>
      </c>
      <c r="E309" s="5">
        <v>0</v>
      </c>
      <c r="F309" s="4">
        <v>8</v>
      </c>
      <c r="G309" s="5">
        <v>10.26</v>
      </c>
      <c r="H309" s="4">
        <v>0</v>
      </c>
    </row>
    <row r="310" spans="1:8" x14ac:dyDescent="0.2">
      <c r="A310" s="2" t="s">
        <v>193</v>
      </c>
      <c r="B310" s="4">
        <v>1</v>
      </c>
      <c r="C310" s="5">
        <v>0.52</v>
      </c>
      <c r="D310" s="4">
        <v>0</v>
      </c>
      <c r="E310" s="5">
        <v>0</v>
      </c>
      <c r="F310" s="4">
        <v>1</v>
      </c>
      <c r="G310" s="5">
        <v>1.28</v>
      </c>
      <c r="H310" s="4">
        <v>0</v>
      </c>
    </row>
    <row r="311" spans="1:8" x14ac:dyDescent="0.2">
      <c r="A311" s="2" t="s">
        <v>194</v>
      </c>
      <c r="B311" s="4">
        <v>1</v>
      </c>
      <c r="C311" s="5">
        <v>0.52</v>
      </c>
      <c r="D311" s="4">
        <v>0</v>
      </c>
      <c r="E311" s="5">
        <v>0</v>
      </c>
      <c r="F311" s="4">
        <v>1</v>
      </c>
      <c r="G311" s="5">
        <v>1.28</v>
      </c>
      <c r="H311" s="4">
        <v>0</v>
      </c>
    </row>
    <row r="312" spans="1:8" x14ac:dyDescent="0.2">
      <c r="A312" s="2" t="s">
        <v>195</v>
      </c>
      <c r="B312" s="4">
        <v>0</v>
      </c>
      <c r="C312" s="5">
        <v>0</v>
      </c>
      <c r="D312" s="4">
        <v>0</v>
      </c>
      <c r="E312" s="5">
        <v>0</v>
      </c>
      <c r="F312" s="4">
        <v>0</v>
      </c>
      <c r="G312" s="5">
        <v>0</v>
      </c>
      <c r="H312" s="4">
        <v>0</v>
      </c>
    </row>
    <row r="313" spans="1:8" x14ac:dyDescent="0.2">
      <c r="A313" s="2" t="s">
        <v>196</v>
      </c>
      <c r="B313" s="4">
        <v>60</v>
      </c>
      <c r="C313" s="5">
        <v>31.41</v>
      </c>
      <c r="D313" s="4">
        <v>33</v>
      </c>
      <c r="E313" s="5">
        <v>31.13</v>
      </c>
      <c r="F313" s="4">
        <v>27</v>
      </c>
      <c r="G313" s="5">
        <v>34.619999999999997</v>
      </c>
      <c r="H313" s="4">
        <v>0</v>
      </c>
    </row>
    <row r="314" spans="1:8" x14ac:dyDescent="0.2">
      <c r="A314" s="2" t="s">
        <v>197</v>
      </c>
      <c r="B314" s="4">
        <v>0</v>
      </c>
      <c r="C314" s="5">
        <v>0</v>
      </c>
      <c r="D314" s="4">
        <v>0</v>
      </c>
      <c r="E314" s="5">
        <v>0</v>
      </c>
      <c r="F314" s="4">
        <v>0</v>
      </c>
      <c r="G314" s="5">
        <v>0</v>
      </c>
      <c r="H314" s="4">
        <v>0</v>
      </c>
    </row>
    <row r="315" spans="1:8" x14ac:dyDescent="0.2">
      <c r="A315" s="2" t="s">
        <v>198</v>
      </c>
      <c r="B315" s="4">
        <v>7</v>
      </c>
      <c r="C315" s="5">
        <v>3.66</v>
      </c>
      <c r="D315" s="4">
        <v>2</v>
      </c>
      <c r="E315" s="5">
        <v>1.89</v>
      </c>
      <c r="F315" s="4">
        <v>5</v>
      </c>
      <c r="G315" s="5">
        <v>6.41</v>
      </c>
      <c r="H315" s="4">
        <v>0</v>
      </c>
    </row>
    <row r="316" spans="1:8" x14ac:dyDescent="0.2">
      <c r="A316" s="2" t="s">
        <v>199</v>
      </c>
      <c r="B316" s="4">
        <v>3</v>
      </c>
      <c r="C316" s="5">
        <v>1.57</v>
      </c>
      <c r="D316" s="4">
        <v>1</v>
      </c>
      <c r="E316" s="5">
        <v>0.94</v>
      </c>
      <c r="F316" s="4">
        <v>2</v>
      </c>
      <c r="G316" s="5">
        <v>2.56</v>
      </c>
      <c r="H316" s="4">
        <v>0</v>
      </c>
    </row>
    <row r="317" spans="1:8" x14ac:dyDescent="0.2">
      <c r="A317" s="2" t="s">
        <v>200</v>
      </c>
      <c r="B317" s="4">
        <v>31</v>
      </c>
      <c r="C317" s="5">
        <v>16.23</v>
      </c>
      <c r="D317" s="4">
        <v>27</v>
      </c>
      <c r="E317" s="5">
        <v>25.47</v>
      </c>
      <c r="F317" s="4">
        <v>4</v>
      </c>
      <c r="G317" s="5">
        <v>5.13</v>
      </c>
      <c r="H317" s="4">
        <v>0</v>
      </c>
    </row>
    <row r="318" spans="1:8" x14ac:dyDescent="0.2">
      <c r="A318" s="2" t="s">
        <v>201</v>
      </c>
      <c r="B318" s="4">
        <v>36</v>
      </c>
      <c r="C318" s="5">
        <v>18.850000000000001</v>
      </c>
      <c r="D318" s="4">
        <v>31</v>
      </c>
      <c r="E318" s="5">
        <v>29.25</v>
      </c>
      <c r="F318" s="4">
        <v>3</v>
      </c>
      <c r="G318" s="5">
        <v>3.85</v>
      </c>
      <c r="H318" s="4">
        <v>2</v>
      </c>
    </row>
    <row r="319" spans="1:8" x14ac:dyDescent="0.2">
      <c r="A319" s="2" t="s">
        <v>202</v>
      </c>
      <c r="B319" s="4">
        <v>3</v>
      </c>
      <c r="C319" s="5">
        <v>1.57</v>
      </c>
      <c r="D319" s="4">
        <v>0</v>
      </c>
      <c r="E319" s="5">
        <v>0</v>
      </c>
      <c r="F319" s="4">
        <v>2</v>
      </c>
      <c r="G319" s="5">
        <v>2.56</v>
      </c>
      <c r="H319" s="4">
        <v>0</v>
      </c>
    </row>
    <row r="320" spans="1:8" x14ac:dyDescent="0.2">
      <c r="A320" s="2" t="s">
        <v>203</v>
      </c>
      <c r="B320" s="4">
        <v>18</v>
      </c>
      <c r="C320" s="5">
        <v>9.42</v>
      </c>
      <c r="D320" s="4">
        <v>5</v>
      </c>
      <c r="E320" s="5">
        <v>4.72</v>
      </c>
      <c r="F320" s="4">
        <v>9</v>
      </c>
      <c r="G320" s="5">
        <v>11.54</v>
      </c>
      <c r="H320" s="4">
        <v>0</v>
      </c>
    </row>
    <row r="321" spans="1:8" x14ac:dyDescent="0.2">
      <c r="A321" s="2" t="s">
        <v>204</v>
      </c>
      <c r="B321" s="4">
        <v>9</v>
      </c>
      <c r="C321" s="5">
        <v>4.71</v>
      </c>
      <c r="D321" s="4">
        <v>6</v>
      </c>
      <c r="E321" s="5">
        <v>5.66</v>
      </c>
      <c r="F321" s="4">
        <v>3</v>
      </c>
      <c r="G321" s="5">
        <v>3.85</v>
      </c>
      <c r="H321" s="4">
        <v>0</v>
      </c>
    </row>
    <row r="322" spans="1:8" x14ac:dyDescent="0.2">
      <c r="A322" s="1" t="s">
        <v>20</v>
      </c>
      <c r="B322" s="4">
        <v>1659</v>
      </c>
      <c r="C322" s="5">
        <v>99.99</v>
      </c>
      <c r="D322" s="4">
        <v>799</v>
      </c>
      <c r="E322" s="5">
        <v>100.00999999999999</v>
      </c>
      <c r="F322" s="4">
        <v>811</v>
      </c>
      <c r="G322" s="5">
        <v>99.999999999999986</v>
      </c>
      <c r="H322" s="4">
        <v>14</v>
      </c>
    </row>
    <row r="323" spans="1:8" x14ac:dyDescent="0.2">
      <c r="A323" s="2" t="s">
        <v>190</v>
      </c>
      <c r="B323" s="4">
        <v>0</v>
      </c>
      <c r="C323" s="5">
        <v>0</v>
      </c>
      <c r="D323" s="4">
        <v>0</v>
      </c>
      <c r="E323" s="5">
        <v>0</v>
      </c>
      <c r="F323" s="4">
        <v>0</v>
      </c>
      <c r="G323" s="5">
        <v>0</v>
      </c>
      <c r="H323" s="4">
        <v>0</v>
      </c>
    </row>
    <row r="324" spans="1:8" x14ac:dyDescent="0.2">
      <c r="A324" s="2" t="s">
        <v>191</v>
      </c>
      <c r="B324" s="4">
        <v>216</v>
      </c>
      <c r="C324" s="5">
        <v>13.02</v>
      </c>
      <c r="D324" s="4">
        <v>51</v>
      </c>
      <c r="E324" s="5">
        <v>6.38</v>
      </c>
      <c r="F324" s="4">
        <v>165</v>
      </c>
      <c r="G324" s="5">
        <v>20.350000000000001</v>
      </c>
      <c r="H324" s="4">
        <v>0</v>
      </c>
    </row>
    <row r="325" spans="1:8" x14ac:dyDescent="0.2">
      <c r="A325" s="2" t="s">
        <v>192</v>
      </c>
      <c r="B325" s="4">
        <v>73</v>
      </c>
      <c r="C325" s="5">
        <v>4.4000000000000004</v>
      </c>
      <c r="D325" s="4">
        <v>20</v>
      </c>
      <c r="E325" s="5">
        <v>2.5</v>
      </c>
      <c r="F325" s="4">
        <v>52</v>
      </c>
      <c r="G325" s="5">
        <v>6.41</v>
      </c>
      <c r="H325" s="4">
        <v>1</v>
      </c>
    </row>
    <row r="326" spans="1:8" x14ac:dyDescent="0.2">
      <c r="A326" s="2" t="s">
        <v>193</v>
      </c>
      <c r="B326" s="4">
        <v>3</v>
      </c>
      <c r="C326" s="5">
        <v>0.18</v>
      </c>
      <c r="D326" s="4">
        <v>0</v>
      </c>
      <c r="E326" s="5">
        <v>0</v>
      </c>
      <c r="F326" s="4">
        <v>2</v>
      </c>
      <c r="G326" s="5">
        <v>0.25</v>
      </c>
      <c r="H326" s="4">
        <v>0</v>
      </c>
    </row>
    <row r="327" spans="1:8" x14ac:dyDescent="0.2">
      <c r="A327" s="2" t="s">
        <v>194</v>
      </c>
      <c r="B327" s="4">
        <v>22</v>
      </c>
      <c r="C327" s="5">
        <v>1.33</v>
      </c>
      <c r="D327" s="4">
        <v>2</v>
      </c>
      <c r="E327" s="5">
        <v>0.25</v>
      </c>
      <c r="F327" s="4">
        <v>20</v>
      </c>
      <c r="G327" s="5">
        <v>2.4700000000000002</v>
      </c>
      <c r="H327" s="4">
        <v>0</v>
      </c>
    </row>
    <row r="328" spans="1:8" x14ac:dyDescent="0.2">
      <c r="A328" s="2" t="s">
        <v>195</v>
      </c>
      <c r="B328" s="4">
        <v>17</v>
      </c>
      <c r="C328" s="5">
        <v>1.02</v>
      </c>
      <c r="D328" s="4">
        <v>1</v>
      </c>
      <c r="E328" s="5">
        <v>0.13</v>
      </c>
      <c r="F328" s="4">
        <v>16</v>
      </c>
      <c r="G328" s="5">
        <v>1.97</v>
      </c>
      <c r="H328" s="4">
        <v>0</v>
      </c>
    </row>
    <row r="329" spans="1:8" x14ac:dyDescent="0.2">
      <c r="A329" s="2" t="s">
        <v>196</v>
      </c>
      <c r="B329" s="4">
        <v>349</v>
      </c>
      <c r="C329" s="5">
        <v>21.04</v>
      </c>
      <c r="D329" s="4">
        <v>109</v>
      </c>
      <c r="E329" s="5">
        <v>13.64</v>
      </c>
      <c r="F329" s="4">
        <v>239</v>
      </c>
      <c r="G329" s="5">
        <v>29.47</v>
      </c>
      <c r="H329" s="4">
        <v>1</v>
      </c>
    </row>
    <row r="330" spans="1:8" x14ac:dyDescent="0.2">
      <c r="A330" s="2" t="s">
        <v>197</v>
      </c>
      <c r="B330" s="4">
        <v>13</v>
      </c>
      <c r="C330" s="5">
        <v>0.78</v>
      </c>
      <c r="D330" s="4">
        <v>3</v>
      </c>
      <c r="E330" s="5">
        <v>0.38</v>
      </c>
      <c r="F330" s="4">
        <v>10</v>
      </c>
      <c r="G330" s="5">
        <v>1.23</v>
      </c>
      <c r="H330" s="4">
        <v>0</v>
      </c>
    </row>
    <row r="331" spans="1:8" x14ac:dyDescent="0.2">
      <c r="A331" s="2" t="s">
        <v>198</v>
      </c>
      <c r="B331" s="4">
        <v>219</v>
      </c>
      <c r="C331" s="5">
        <v>13.2</v>
      </c>
      <c r="D331" s="4">
        <v>124</v>
      </c>
      <c r="E331" s="5">
        <v>15.52</v>
      </c>
      <c r="F331" s="4">
        <v>94</v>
      </c>
      <c r="G331" s="5">
        <v>11.59</v>
      </c>
      <c r="H331" s="4">
        <v>0</v>
      </c>
    </row>
    <row r="332" spans="1:8" x14ac:dyDescent="0.2">
      <c r="A332" s="2" t="s">
        <v>199</v>
      </c>
      <c r="B332" s="4">
        <v>86</v>
      </c>
      <c r="C332" s="5">
        <v>5.18</v>
      </c>
      <c r="D332" s="4">
        <v>40</v>
      </c>
      <c r="E332" s="5">
        <v>5.01</v>
      </c>
      <c r="F332" s="4">
        <v>40</v>
      </c>
      <c r="G332" s="5">
        <v>4.93</v>
      </c>
      <c r="H332" s="4">
        <v>2</v>
      </c>
    </row>
    <row r="333" spans="1:8" x14ac:dyDescent="0.2">
      <c r="A333" s="2" t="s">
        <v>200</v>
      </c>
      <c r="B333" s="4">
        <v>209</v>
      </c>
      <c r="C333" s="5">
        <v>12.6</v>
      </c>
      <c r="D333" s="4">
        <v>168</v>
      </c>
      <c r="E333" s="5">
        <v>21.03</v>
      </c>
      <c r="F333" s="4">
        <v>41</v>
      </c>
      <c r="G333" s="5">
        <v>5.0599999999999996</v>
      </c>
      <c r="H333" s="4">
        <v>0</v>
      </c>
    </row>
    <row r="334" spans="1:8" x14ac:dyDescent="0.2">
      <c r="A334" s="2" t="s">
        <v>201</v>
      </c>
      <c r="B334" s="4">
        <v>228</v>
      </c>
      <c r="C334" s="5">
        <v>13.74</v>
      </c>
      <c r="D334" s="4">
        <v>184</v>
      </c>
      <c r="E334" s="5">
        <v>23.03</v>
      </c>
      <c r="F334" s="4">
        <v>43</v>
      </c>
      <c r="G334" s="5">
        <v>5.3</v>
      </c>
      <c r="H334" s="4">
        <v>0</v>
      </c>
    </row>
    <row r="335" spans="1:8" x14ac:dyDescent="0.2">
      <c r="A335" s="2" t="s">
        <v>202</v>
      </c>
      <c r="B335" s="4">
        <v>47</v>
      </c>
      <c r="C335" s="5">
        <v>2.83</v>
      </c>
      <c r="D335" s="4">
        <v>33</v>
      </c>
      <c r="E335" s="5">
        <v>4.13</v>
      </c>
      <c r="F335" s="4">
        <v>7</v>
      </c>
      <c r="G335" s="5">
        <v>0.86</v>
      </c>
      <c r="H335" s="4">
        <v>1</v>
      </c>
    </row>
    <row r="336" spans="1:8" x14ac:dyDescent="0.2">
      <c r="A336" s="2" t="s">
        <v>203</v>
      </c>
      <c r="B336" s="4">
        <v>121</v>
      </c>
      <c r="C336" s="5">
        <v>7.29</v>
      </c>
      <c r="D336" s="4">
        <v>49</v>
      </c>
      <c r="E336" s="5">
        <v>6.13</v>
      </c>
      <c r="F336" s="4">
        <v>48</v>
      </c>
      <c r="G336" s="5">
        <v>5.92</v>
      </c>
      <c r="H336" s="4">
        <v>6</v>
      </c>
    </row>
    <row r="337" spans="1:8" x14ac:dyDescent="0.2">
      <c r="A337" s="2" t="s">
        <v>204</v>
      </c>
      <c r="B337" s="4">
        <v>56</v>
      </c>
      <c r="C337" s="5">
        <v>3.38</v>
      </c>
      <c r="D337" s="4">
        <v>15</v>
      </c>
      <c r="E337" s="5">
        <v>1.88</v>
      </c>
      <c r="F337" s="4">
        <v>34</v>
      </c>
      <c r="G337" s="5">
        <v>4.1900000000000004</v>
      </c>
      <c r="H337" s="4">
        <v>3</v>
      </c>
    </row>
    <row r="338" spans="1:8" x14ac:dyDescent="0.2">
      <c r="A338" s="1" t="s">
        <v>21</v>
      </c>
      <c r="B338" s="4">
        <v>885</v>
      </c>
      <c r="C338" s="5">
        <v>100.01</v>
      </c>
      <c r="D338" s="4">
        <v>452</v>
      </c>
      <c r="E338" s="5">
        <v>99.999999999999986</v>
      </c>
      <c r="F338" s="4">
        <v>415</v>
      </c>
      <c r="G338" s="5">
        <v>100.00999999999999</v>
      </c>
      <c r="H338" s="4">
        <v>7</v>
      </c>
    </row>
    <row r="339" spans="1:8" x14ac:dyDescent="0.2">
      <c r="A339" s="2" t="s">
        <v>190</v>
      </c>
      <c r="B339" s="4">
        <v>2</v>
      </c>
      <c r="C339" s="5">
        <v>0.23</v>
      </c>
      <c r="D339" s="4">
        <v>0</v>
      </c>
      <c r="E339" s="5">
        <v>0</v>
      </c>
      <c r="F339" s="4">
        <v>2</v>
      </c>
      <c r="G339" s="5">
        <v>0.48</v>
      </c>
      <c r="H339" s="4">
        <v>0</v>
      </c>
    </row>
    <row r="340" spans="1:8" x14ac:dyDescent="0.2">
      <c r="A340" s="2" t="s">
        <v>191</v>
      </c>
      <c r="B340" s="4">
        <v>115</v>
      </c>
      <c r="C340" s="5">
        <v>12.99</v>
      </c>
      <c r="D340" s="4">
        <v>33</v>
      </c>
      <c r="E340" s="5">
        <v>7.3</v>
      </c>
      <c r="F340" s="4">
        <v>82</v>
      </c>
      <c r="G340" s="5">
        <v>19.760000000000002</v>
      </c>
      <c r="H340" s="4">
        <v>0</v>
      </c>
    </row>
    <row r="341" spans="1:8" x14ac:dyDescent="0.2">
      <c r="A341" s="2" t="s">
        <v>192</v>
      </c>
      <c r="B341" s="4">
        <v>56</v>
      </c>
      <c r="C341" s="5">
        <v>6.33</v>
      </c>
      <c r="D341" s="4">
        <v>9</v>
      </c>
      <c r="E341" s="5">
        <v>1.99</v>
      </c>
      <c r="F341" s="4">
        <v>47</v>
      </c>
      <c r="G341" s="5">
        <v>11.33</v>
      </c>
      <c r="H341" s="4">
        <v>0</v>
      </c>
    </row>
    <row r="342" spans="1:8" x14ac:dyDescent="0.2">
      <c r="A342" s="2" t="s">
        <v>193</v>
      </c>
      <c r="B342" s="4">
        <v>0</v>
      </c>
      <c r="C342" s="5">
        <v>0</v>
      </c>
      <c r="D342" s="4">
        <v>0</v>
      </c>
      <c r="E342" s="5">
        <v>0</v>
      </c>
      <c r="F342" s="4">
        <v>0</v>
      </c>
      <c r="G342" s="5">
        <v>0</v>
      </c>
      <c r="H342" s="4">
        <v>0</v>
      </c>
    </row>
    <row r="343" spans="1:8" x14ac:dyDescent="0.2">
      <c r="A343" s="2" t="s">
        <v>194</v>
      </c>
      <c r="B343" s="4">
        <v>8</v>
      </c>
      <c r="C343" s="5">
        <v>0.9</v>
      </c>
      <c r="D343" s="4">
        <v>1</v>
      </c>
      <c r="E343" s="5">
        <v>0.22</v>
      </c>
      <c r="F343" s="4">
        <v>7</v>
      </c>
      <c r="G343" s="5">
        <v>1.69</v>
      </c>
      <c r="H343" s="4">
        <v>0</v>
      </c>
    </row>
    <row r="344" spans="1:8" x14ac:dyDescent="0.2">
      <c r="A344" s="2" t="s">
        <v>195</v>
      </c>
      <c r="B344" s="4">
        <v>10</v>
      </c>
      <c r="C344" s="5">
        <v>1.1299999999999999</v>
      </c>
      <c r="D344" s="4">
        <v>1</v>
      </c>
      <c r="E344" s="5">
        <v>0.22</v>
      </c>
      <c r="F344" s="4">
        <v>8</v>
      </c>
      <c r="G344" s="5">
        <v>1.93</v>
      </c>
      <c r="H344" s="4">
        <v>1</v>
      </c>
    </row>
    <row r="345" spans="1:8" x14ac:dyDescent="0.2">
      <c r="A345" s="2" t="s">
        <v>196</v>
      </c>
      <c r="B345" s="4">
        <v>199</v>
      </c>
      <c r="C345" s="5">
        <v>22.49</v>
      </c>
      <c r="D345" s="4">
        <v>83</v>
      </c>
      <c r="E345" s="5">
        <v>18.36</v>
      </c>
      <c r="F345" s="4">
        <v>114</v>
      </c>
      <c r="G345" s="5">
        <v>27.47</v>
      </c>
      <c r="H345" s="4">
        <v>2</v>
      </c>
    </row>
    <row r="346" spans="1:8" x14ac:dyDescent="0.2">
      <c r="A346" s="2" t="s">
        <v>197</v>
      </c>
      <c r="B346" s="4">
        <v>6</v>
      </c>
      <c r="C346" s="5">
        <v>0.68</v>
      </c>
      <c r="D346" s="4">
        <v>0</v>
      </c>
      <c r="E346" s="5">
        <v>0</v>
      </c>
      <c r="F346" s="4">
        <v>6</v>
      </c>
      <c r="G346" s="5">
        <v>1.45</v>
      </c>
      <c r="H346" s="4">
        <v>0</v>
      </c>
    </row>
    <row r="347" spans="1:8" x14ac:dyDescent="0.2">
      <c r="A347" s="2" t="s">
        <v>198</v>
      </c>
      <c r="B347" s="4">
        <v>127</v>
      </c>
      <c r="C347" s="5">
        <v>14.35</v>
      </c>
      <c r="D347" s="4">
        <v>81</v>
      </c>
      <c r="E347" s="5">
        <v>17.920000000000002</v>
      </c>
      <c r="F347" s="4">
        <v>44</v>
      </c>
      <c r="G347" s="5">
        <v>10.6</v>
      </c>
      <c r="H347" s="4">
        <v>0</v>
      </c>
    </row>
    <row r="348" spans="1:8" x14ac:dyDescent="0.2">
      <c r="A348" s="2" t="s">
        <v>199</v>
      </c>
      <c r="B348" s="4">
        <v>41</v>
      </c>
      <c r="C348" s="5">
        <v>4.63</v>
      </c>
      <c r="D348" s="4">
        <v>21</v>
      </c>
      <c r="E348" s="5">
        <v>4.6500000000000004</v>
      </c>
      <c r="F348" s="4">
        <v>18</v>
      </c>
      <c r="G348" s="5">
        <v>4.34</v>
      </c>
      <c r="H348" s="4">
        <v>0</v>
      </c>
    </row>
    <row r="349" spans="1:8" x14ac:dyDescent="0.2">
      <c r="A349" s="2" t="s">
        <v>200</v>
      </c>
      <c r="B349" s="4">
        <v>113</v>
      </c>
      <c r="C349" s="5">
        <v>12.77</v>
      </c>
      <c r="D349" s="4">
        <v>88</v>
      </c>
      <c r="E349" s="5">
        <v>19.47</v>
      </c>
      <c r="F349" s="4">
        <v>25</v>
      </c>
      <c r="G349" s="5">
        <v>6.02</v>
      </c>
      <c r="H349" s="4">
        <v>0</v>
      </c>
    </row>
    <row r="350" spans="1:8" x14ac:dyDescent="0.2">
      <c r="A350" s="2" t="s">
        <v>201</v>
      </c>
      <c r="B350" s="4">
        <v>123</v>
      </c>
      <c r="C350" s="5">
        <v>13.9</v>
      </c>
      <c r="D350" s="4">
        <v>96</v>
      </c>
      <c r="E350" s="5">
        <v>21.24</v>
      </c>
      <c r="F350" s="4">
        <v>27</v>
      </c>
      <c r="G350" s="5">
        <v>6.51</v>
      </c>
      <c r="H350" s="4">
        <v>0</v>
      </c>
    </row>
    <row r="351" spans="1:8" x14ac:dyDescent="0.2">
      <c r="A351" s="2" t="s">
        <v>202</v>
      </c>
      <c r="B351" s="4">
        <v>16</v>
      </c>
      <c r="C351" s="5">
        <v>1.81</v>
      </c>
      <c r="D351" s="4">
        <v>8</v>
      </c>
      <c r="E351" s="5">
        <v>1.77</v>
      </c>
      <c r="F351" s="4">
        <v>4</v>
      </c>
      <c r="G351" s="5">
        <v>0.96</v>
      </c>
      <c r="H351" s="4">
        <v>1</v>
      </c>
    </row>
    <row r="352" spans="1:8" x14ac:dyDescent="0.2">
      <c r="A352" s="2" t="s">
        <v>203</v>
      </c>
      <c r="B352" s="4">
        <v>43</v>
      </c>
      <c r="C352" s="5">
        <v>4.8600000000000003</v>
      </c>
      <c r="D352" s="4">
        <v>21</v>
      </c>
      <c r="E352" s="5">
        <v>4.6500000000000004</v>
      </c>
      <c r="F352" s="4">
        <v>18</v>
      </c>
      <c r="G352" s="5">
        <v>4.34</v>
      </c>
      <c r="H352" s="4">
        <v>0</v>
      </c>
    </row>
    <row r="353" spans="1:8" x14ac:dyDescent="0.2">
      <c r="A353" s="2" t="s">
        <v>204</v>
      </c>
      <c r="B353" s="4">
        <v>26</v>
      </c>
      <c r="C353" s="5">
        <v>2.94</v>
      </c>
      <c r="D353" s="4">
        <v>10</v>
      </c>
      <c r="E353" s="5">
        <v>2.21</v>
      </c>
      <c r="F353" s="4">
        <v>13</v>
      </c>
      <c r="G353" s="5">
        <v>3.13</v>
      </c>
      <c r="H353" s="4">
        <v>3</v>
      </c>
    </row>
    <row r="354" spans="1:8" x14ac:dyDescent="0.2">
      <c r="A354" s="1" t="s">
        <v>22</v>
      </c>
      <c r="B354" s="4">
        <v>610</v>
      </c>
      <c r="C354" s="5">
        <v>100.01</v>
      </c>
      <c r="D354" s="4">
        <v>331</v>
      </c>
      <c r="E354" s="5">
        <v>99.99</v>
      </c>
      <c r="F354" s="4">
        <v>266</v>
      </c>
      <c r="G354" s="5">
        <v>100.00999999999999</v>
      </c>
      <c r="H354" s="4">
        <v>7</v>
      </c>
    </row>
    <row r="355" spans="1:8" x14ac:dyDescent="0.2">
      <c r="A355" s="2" t="s">
        <v>190</v>
      </c>
      <c r="B355" s="4">
        <v>1</v>
      </c>
      <c r="C355" s="5">
        <v>0.16</v>
      </c>
      <c r="D355" s="4">
        <v>0</v>
      </c>
      <c r="E355" s="5">
        <v>0</v>
      </c>
      <c r="F355" s="4">
        <v>1</v>
      </c>
      <c r="G355" s="5">
        <v>0.38</v>
      </c>
      <c r="H355" s="4">
        <v>0</v>
      </c>
    </row>
    <row r="356" spans="1:8" x14ac:dyDescent="0.2">
      <c r="A356" s="2" t="s">
        <v>191</v>
      </c>
      <c r="B356" s="4">
        <v>73</v>
      </c>
      <c r="C356" s="5">
        <v>11.97</v>
      </c>
      <c r="D356" s="4">
        <v>29</v>
      </c>
      <c r="E356" s="5">
        <v>8.76</v>
      </c>
      <c r="F356" s="4">
        <v>44</v>
      </c>
      <c r="G356" s="5">
        <v>16.54</v>
      </c>
      <c r="H356" s="4">
        <v>0</v>
      </c>
    </row>
    <row r="357" spans="1:8" x14ac:dyDescent="0.2">
      <c r="A357" s="2" t="s">
        <v>192</v>
      </c>
      <c r="B357" s="4">
        <v>22</v>
      </c>
      <c r="C357" s="5">
        <v>3.61</v>
      </c>
      <c r="D357" s="4">
        <v>4</v>
      </c>
      <c r="E357" s="5">
        <v>1.21</v>
      </c>
      <c r="F357" s="4">
        <v>18</v>
      </c>
      <c r="G357" s="5">
        <v>6.77</v>
      </c>
      <c r="H357" s="4">
        <v>0</v>
      </c>
    </row>
    <row r="358" spans="1:8" x14ac:dyDescent="0.2">
      <c r="A358" s="2" t="s">
        <v>193</v>
      </c>
      <c r="B358" s="4">
        <v>1</v>
      </c>
      <c r="C358" s="5">
        <v>0.16</v>
      </c>
      <c r="D358" s="4">
        <v>0</v>
      </c>
      <c r="E358" s="5">
        <v>0</v>
      </c>
      <c r="F358" s="4">
        <v>1</v>
      </c>
      <c r="G358" s="5">
        <v>0.38</v>
      </c>
      <c r="H358" s="4">
        <v>0</v>
      </c>
    </row>
    <row r="359" spans="1:8" x14ac:dyDescent="0.2">
      <c r="A359" s="2" t="s">
        <v>194</v>
      </c>
      <c r="B359" s="4">
        <v>4</v>
      </c>
      <c r="C359" s="5">
        <v>0.66</v>
      </c>
      <c r="D359" s="4">
        <v>0</v>
      </c>
      <c r="E359" s="5">
        <v>0</v>
      </c>
      <c r="F359" s="4">
        <v>4</v>
      </c>
      <c r="G359" s="5">
        <v>1.5</v>
      </c>
      <c r="H359" s="4">
        <v>0</v>
      </c>
    </row>
    <row r="360" spans="1:8" x14ac:dyDescent="0.2">
      <c r="A360" s="2" t="s">
        <v>195</v>
      </c>
      <c r="B360" s="4">
        <v>12</v>
      </c>
      <c r="C360" s="5">
        <v>1.97</v>
      </c>
      <c r="D360" s="4">
        <v>3</v>
      </c>
      <c r="E360" s="5">
        <v>0.91</v>
      </c>
      <c r="F360" s="4">
        <v>9</v>
      </c>
      <c r="G360" s="5">
        <v>3.38</v>
      </c>
      <c r="H360" s="4">
        <v>0</v>
      </c>
    </row>
    <row r="361" spans="1:8" x14ac:dyDescent="0.2">
      <c r="A361" s="2" t="s">
        <v>196</v>
      </c>
      <c r="B361" s="4">
        <v>159</v>
      </c>
      <c r="C361" s="5">
        <v>26.07</v>
      </c>
      <c r="D361" s="4">
        <v>71</v>
      </c>
      <c r="E361" s="5">
        <v>21.45</v>
      </c>
      <c r="F361" s="4">
        <v>88</v>
      </c>
      <c r="G361" s="5">
        <v>33.08</v>
      </c>
      <c r="H361" s="4">
        <v>0</v>
      </c>
    </row>
    <row r="362" spans="1:8" x14ac:dyDescent="0.2">
      <c r="A362" s="2" t="s">
        <v>197</v>
      </c>
      <c r="B362" s="4">
        <v>8</v>
      </c>
      <c r="C362" s="5">
        <v>1.31</v>
      </c>
      <c r="D362" s="4">
        <v>0</v>
      </c>
      <c r="E362" s="5">
        <v>0</v>
      </c>
      <c r="F362" s="4">
        <v>8</v>
      </c>
      <c r="G362" s="5">
        <v>3.01</v>
      </c>
      <c r="H362" s="4">
        <v>0</v>
      </c>
    </row>
    <row r="363" spans="1:8" x14ac:dyDescent="0.2">
      <c r="A363" s="2" t="s">
        <v>198</v>
      </c>
      <c r="B363" s="4">
        <v>44</v>
      </c>
      <c r="C363" s="5">
        <v>7.21</v>
      </c>
      <c r="D363" s="4">
        <v>16</v>
      </c>
      <c r="E363" s="5">
        <v>4.83</v>
      </c>
      <c r="F363" s="4">
        <v>27</v>
      </c>
      <c r="G363" s="5">
        <v>10.15</v>
      </c>
      <c r="H363" s="4">
        <v>0</v>
      </c>
    </row>
    <row r="364" spans="1:8" x14ac:dyDescent="0.2">
      <c r="A364" s="2" t="s">
        <v>199</v>
      </c>
      <c r="B364" s="4">
        <v>26</v>
      </c>
      <c r="C364" s="5">
        <v>4.26</v>
      </c>
      <c r="D364" s="4">
        <v>16</v>
      </c>
      <c r="E364" s="5">
        <v>4.83</v>
      </c>
      <c r="F364" s="4">
        <v>9</v>
      </c>
      <c r="G364" s="5">
        <v>3.38</v>
      </c>
      <c r="H364" s="4">
        <v>0</v>
      </c>
    </row>
    <row r="365" spans="1:8" x14ac:dyDescent="0.2">
      <c r="A365" s="2" t="s">
        <v>200</v>
      </c>
      <c r="B365" s="4">
        <v>100</v>
      </c>
      <c r="C365" s="5">
        <v>16.39</v>
      </c>
      <c r="D365" s="4">
        <v>89</v>
      </c>
      <c r="E365" s="5">
        <v>26.89</v>
      </c>
      <c r="F365" s="4">
        <v>11</v>
      </c>
      <c r="G365" s="5">
        <v>4.1399999999999997</v>
      </c>
      <c r="H365" s="4">
        <v>0</v>
      </c>
    </row>
    <row r="366" spans="1:8" x14ac:dyDescent="0.2">
      <c r="A366" s="2" t="s">
        <v>201</v>
      </c>
      <c r="B366" s="4">
        <v>83</v>
      </c>
      <c r="C366" s="5">
        <v>13.61</v>
      </c>
      <c r="D366" s="4">
        <v>73</v>
      </c>
      <c r="E366" s="5">
        <v>22.05</v>
      </c>
      <c r="F366" s="4">
        <v>10</v>
      </c>
      <c r="G366" s="5">
        <v>3.76</v>
      </c>
      <c r="H366" s="4">
        <v>0</v>
      </c>
    </row>
    <row r="367" spans="1:8" x14ac:dyDescent="0.2">
      <c r="A367" s="2" t="s">
        <v>202</v>
      </c>
      <c r="B367" s="4">
        <v>9</v>
      </c>
      <c r="C367" s="5">
        <v>1.48</v>
      </c>
      <c r="D367" s="4">
        <v>7</v>
      </c>
      <c r="E367" s="5">
        <v>2.11</v>
      </c>
      <c r="F367" s="4">
        <v>1</v>
      </c>
      <c r="G367" s="5">
        <v>0.38</v>
      </c>
      <c r="H367" s="4">
        <v>0</v>
      </c>
    </row>
    <row r="368" spans="1:8" x14ac:dyDescent="0.2">
      <c r="A368" s="2" t="s">
        <v>203</v>
      </c>
      <c r="B368" s="4">
        <v>30</v>
      </c>
      <c r="C368" s="5">
        <v>4.92</v>
      </c>
      <c r="D368" s="4">
        <v>17</v>
      </c>
      <c r="E368" s="5">
        <v>5.14</v>
      </c>
      <c r="F368" s="4">
        <v>11</v>
      </c>
      <c r="G368" s="5">
        <v>4.1399999999999997</v>
      </c>
      <c r="H368" s="4">
        <v>0</v>
      </c>
    </row>
    <row r="369" spans="1:8" x14ac:dyDescent="0.2">
      <c r="A369" s="2" t="s">
        <v>204</v>
      </c>
      <c r="B369" s="4">
        <v>38</v>
      </c>
      <c r="C369" s="5">
        <v>6.23</v>
      </c>
      <c r="D369" s="4">
        <v>6</v>
      </c>
      <c r="E369" s="5">
        <v>1.81</v>
      </c>
      <c r="F369" s="4">
        <v>24</v>
      </c>
      <c r="G369" s="5">
        <v>9.02</v>
      </c>
      <c r="H369" s="4">
        <v>7</v>
      </c>
    </row>
    <row r="370" spans="1:8" x14ac:dyDescent="0.2">
      <c r="A370" s="1" t="s">
        <v>23</v>
      </c>
      <c r="B370" s="4">
        <v>3643</v>
      </c>
      <c r="C370" s="5">
        <v>100.02000000000001</v>
      </c>
      <c r="D370" s="4">
        <v>1549</v>
      </c>
      <c r="E370" s="5">
        <v>100.00000000000001</v>
      </c>
      <c r="F370" s="4">
        <v>2034</v>
      </c>
      <c r="G370" s="5">
        <v>99.980000000000018</v>
      </c>
      <c r="H370" s="4">
        <v>32</v>
      </c>
    </row>
    <row r="371" spans="1:8" x14ac:dyDescent="0.2">
      <c r="A371" s="2" t="s">
        <v>190</v>
      </c>
      <c r="B371" s="4">
        <v>1</v>
      </c>
      <c r="C371" s="5">
        <v>0.03</v>
      </c>
      <c r="D371" s="4">
        <v>0</v>
      </c>
      <c r="E371" s="5">
        <v>0</v>
      </c>
      <c r="F371" s="4">
        <v>1</v>
      </c>
      <c r="G371" s="5">
        <v>0.05</v>
      </c>
      <c r="H371" s="4">
        <v>0</v>
      </c>
    </row>
    <row r="372" spans="1:8" x14ac:dyDescent="0.2">
      <c r="A372" s="2" t="s">
        <v>191</v>
      </c>
      <c r="B372" s="4">
        <v>612</v>
      </c>
      <c r="C372" s="5">
        <v>16.8</v>
      </c>
      <c r="D372" s="4">
        <v>76</v>
      </c>
      <c r="E372" s="5">
        <v>4.91</v>
      </c>
      <c r="F372" s="4">
        <v>536</v>
      </c>
      <c r="G372" s="5">
        <v>26.35</v>
      </c>
      <c r="H372" s="4">
        <v>0</v>
      </c>
    </row>
    <row r="373" spans="1:8" x14ac:dyDescent="0.2">
      <c r="A373" s="2" t="s">
        <v>192</v>
      </c>
      <c r="B373" s="4">
        <v>182</v>
      </c>
      <c r="C373" s="5">
        <v>5</v>
      </c>
      <c r="D373" s="4">
        <v>19</v>
      </c>
      <c r="E373" s="5">
        <v>1.23</v>
      </c>
      <c r="F373" s="4">
        <v>162</v>
      </c>
      <c r="G373" s="5">
        <v>7.96</v>
      </c>
      <c r="H373" s="4">
        <v>1</v>
      </c>
    </row>
    <row r="374" spans="1:8" x14ac:dyDescent="0.2">
      <c r="A374" s="2" t="s">
        <v>193</v>
      </c>
      <c r="B374" s="4">
        <v>14</v>
      </c>
      <c r="C374" s="5">
        <v>0.38</v>
      </c>
      <c r="D374" s="4">
        <v>0</v>
      </c>
      <c r="E374" s="5">
        <v>0</v>
      </c>
      <c r="F374" s="4">
        <v>12</v>
      </c>
      <c r="G374" s="5">
        <v>0.59</v>
      </c>
      <c r="H374" s="4">
        <v>0</v>
      </c>
    </row>
    <row r="375" spans="1:8" x14ac:dyDescent="0.2">
      <c r="A375" s="2" t="s">
        <v>194</v>
      </c>
      <c r="B375" s="4">
        <v>19</v>
      </c>
      <c r="C375" s="5">
        <v>0.52</v>
      </c>
      <c r="D375" s="4">
        <v>2</v>
      </c>
      <c r="E375" s="5">
        <v>0.13</v>
      </c>
      <c r="F375" s="4">
        <v>17</v>
      </c>
      <c r="G375" s="5">
        <v>0.84</v>
      </c>
      <c r="H375" s="4">
        <v>0</v>
      </c>
    </row>
    <row r="376" spans="1:8" x14ac:dyDescent="0.2">
      <c r="A376" s="2" t="s">
        <v>195</v>
      </c>
      <c r="B376" s="4">
        <v>127</v>
      </c>
      <c r="C376" s="5">
        <v>3.49</v>
      </c>
      <c r="D376" s="4">
        <v>18</v>
      </c>
      <c r="E376" s="5">
        <v>1.1599999999999999</v>
      </c>
      <c r="F376" s="4">
        <v>109</v>
      </c>
      <c r="G376" s="5">
        <v>5.36</v>
      </c>
      <c r="H376" s="4">
        <v>0</v>
      </c>
    </row>
    <row r="377" spans="1:8" x14ac:dyDescent="0.2">
      <c r="A377" s="2" t="s">
        <v>196</v>
      </c>
      <c r="B377" s="4">
        <v>744</v>
      </c>
      <c r="C377" s="5">
        <v>20.420000000000002</v>
      </c>
      <c r="D377" s="4">
        <v>221</v>
      </c>
      <c r="E377" s="5">
        <v>14.27</v>
      </c>
      <c r="F377" s="4">
        <v>522</v>
      </c>
      <c r="G377" s="5">
        <v>25.66</v>
      </c>
      <c r="H377" s="4">
        <v>1</v>
      </c>
    </row>
    <row r="378" spans="1:8" x14ac:dyDescent="0.2">
      <c r="A378" s="2" t="s">
        <v>197</v>
      </c>
      <c r="B378" s="4">
        <v>40</v>
      </c>
      <c r="C378" s="5">
        <v>1.1000000000000001</v>
      </c>
      <c r="D378" s="4">
        <v>6</v>
      </c>
      <c r="E378" s="5">
        <v>0.39</v>
      </c>
      <c r="F378" s="4">
        <v>34</v>
      </c>
      <c r="G378" s="5">
        <v>1.67</v>
      </c>
      <c r="H378" s="4">
        <v>0</v>
      </c>
    </row>
    <row r="379" spans="1:8" x14ac:dyDescent="0.2">
      <c r="A379" s="2" t="s">
        <v>198</v>
      </c>
      <c r="B379" s="4">
        <v>233</v>
      </c>
      <c r="C379" s="5">
        <v>6.4</v>
      </c>
      <c r="D379" s="4">
        <v>97</v>
      </c>
      <c r="E379" s="5">
        <v>6.26</v>
      </c>
      <c r="F379" s="4">
        <v>129</v>
      </c>
      <c r="G379" s="5">
        <v>6.34</v>
      </c>
      <c r="H379" s="4">
        <v>0</v>
      </c>
    </row>
    <row r="380" spans="1:8" x14ac:dyDescent="0.2">
      <c r="A380" s="2" t="s">
        <v>199</v>
      </c>
      <c r="B380" s="4">
        <v>143</v>
      </c>
      <c r="C380" s="5">
        <v>3.93</v>
      </c>
      <c r="D380" s="4">
        <v>69</v>
      </c>
      <c r="E380" s="5">
        <v>4.45</v>
      </c>
      <c r="F380" s="4">
        <v>73</v>
      </c>
      <c r="G380" s="5">
        <v>3.59</v>
      </c>
      <c r="H380" s="4">
        <v>0</v>
      </c>
    </row>
    <row r="381" spans="1:8" x14ac:dyDescent="0.2">
      <c r="A381" s="2" t="s">
        <v>200</v>
      </c>
      <c r="B381" s="4">
        <v>527</v>
      </c>
      <c r="C381" s="5">
        <v>14.47</v>
      </c>
      <c r="D381" s="4">
        <v>400</v>
      </c>
      <c r="E381" s="5">
        <v>25.82</v>
      </c>
      <c r="F381" s="4">
        <v>126</v>
      </c>
      <c r="G381" s="5">
        <v>6.19</v>
      </c>
      <c r="H381" s="4">
        <v>0</v>
      </c>
    </row>
    <row r="382" spans="1:8" x14ac:dyDescent="0.2">
      <c r="A382" s="2" t="s">
        <v>201</v>
      </c>
      <c r="B382" s="4">
        <v>519</v>
      </c>
      <c r="C382" s="5">
        <v>14.25</v>
      </c>
      <c r="D382" s="4">
        <v>402</v>
      </c>
      <c r="E382" s="5">
        <v>25.95</v>
      </c>
      <c r="F382" s="4">
        <v>117</v>
      </c>
      <c r="G382" s="5">
        <v>5.75</v>
      </c>
      <c r="H382" s="4">
        <v>0</v>
      </c>
    </row>
    <row r="383" spans="1:8" x14ac:dyDescent="0.2">
      <c r="A383" s="2" t="s">
        <v>202</v>
      </c>
      <c r="B383" s="4">
        <v>132</v>
      </c>
      <c r="C383" s="5">
        <v>3.62</v>
      </c>
      <c r="D383" s="4">
        <v>101</v>
      </c>
      <c r="E383" s="5">
        <v>6.52</v>
      </c>
      <c r="F383" s="4">
        <v>27</v>
      </c>
      <c r="G383" s="5">
        <v>1.33</v>
      </c>
      <c r="H383" s="4">
        <v>0</v>
      </c>
    </row>
    <row r="384" spans="1:8" x14ac:dyDescent="0.2">
      <c r="A384" s="2" t="s">
        <v>203</v>
      </c>
      <c r="B384" s="4">
        <v>178</v>
      </c>
      <c r="C384" s="5">
        <v>4.8899999999999997</v>
      </c>
      <c r="D384" s="4">
        <v>97</v>
      </c>
      <c r="E384" s="5">
        <v>6.26</v>
      </c>
      <c r="F384" s="4">
        <v>67</v>
      </c>
      <c r="G384" s="5">
        <v>3.29</v>
      </c>
      <c r="H384" s="4">
        <v>1</v>
      </c>
    </row>
    <row r="385" spans="1:8" x14ac:dyDescent="0.2">
      <c r="A385" s="2" t="s">
        <v>204</v>
      </c>
      <c r="B385" s="4">
        <v>172</v>
      </c>
      <c r="C385" s="5">
        <v>4.72</v>
      </c>
      <c r="D385" s="4">
        <v>41</v>
      </c>
      <c r="E385" s="5">
        <v>2.65</v>
      </c>
      <c r="F385" s="4">
        <v>102</v>
      </c>
      <c r="G385" s="5">
        <v>5.01</v>
      </c>
      <c r="H385" s="4">
        <v>29</v>
      </c>
    </row>
    <row r="386" spans="1:8" x14ac:dyDescent="0.2">
      <c r="A386" s="1" t="s">
        <v>24</v>
      </c>
      <c r="B386" s="4">
        <v>964</v>
      </c>
      <c r="C386" s="5">
        <v>100.01</v>
      </c>
      <c r="D386" s="4">
        <v>481</v>
      </c>
      <c r="E386" s="5">
        <v>100.01</v>
      </c>
      <c r="F386" s="4">
        <v>465</v>
      </c>
      <c r="G386" s="5">
        <v>100.02000000000001</v>
      </c>
      <c r="H386" s="4">
        <v>4</v>
      </c>
    </row>
    <row r="387" spans="1:8" x14ac:dyDescent="0.2">
      <c r="A387" s="2" t="s">
        <v>190</v>
      </c>
      <c r="B387" s="4">
        <v>2</v>
      </c>
      <c r="C387" s="5">
        <v>0.21</v>
      </c>
      <c r="D387" s="4">
        <v>0</v>
      </c>
      <c r="E387" s="5">
        <v>0</v>
      </c>
      <c r="F387" s="4">
        <v>2</v>
      </c>
      <c r="G387" s="5">
        <v>0.43</v>
      </c>
      <c r="H387" s="4">
        <v>0</v>
      </c>
    </row>
    <row r="388" spans="1:8" x14ac:dyDescent="0.2">
      <c r="A388" s="2" t="s">
        <v>191</v>
      </c>
      <c r="B388" s="4">
        <v>121</v>
      </c>
      <c r="C388" s="5">
        <v>12.55</v>
      </c>
      <c r="D388" s="4">
        <v>30</v>
      </c>
      <c r="E388" s="5">
        <v>6.24</v>
      </c>
      <c r="F388" s="4">
        <v>91</v>
      </c>
      <c r="G388" s="5">
        <v>19.57</v>
      </c>
      <c r="H388" s="4">
        <v>0</v>
      </c>
    </row>
    <row r="389" spans="1:8" x14ac:dyDescent="0.2">
      <c r="A389" s="2" t="s">
        <v>192</v>
      </c>
      <c r="B389" s="4">
        <v>60</v>
      </c>
      <c r="C389" s="5">
        <v>6.22</v>
      </c>
      <c r="D389" s="4">
        <v>11</v>
      </c>
      <c r="E389" s="5">
        <v>2.29</v>
      </c>
      <c r="F389" s="4">
        <v>48</v>
      </c>
      <c r="G389" s="5">
        <v>10.32</v>
      </c>
      <c r="H389" s="4">
        <v>1</v>
      </c>
    </row>
    <row r="390" spans="1:8" x14ac:dyDescent="0.2">
      <c r="A390" s="2" t="s">
        <v>193</v>
      </c>
      <c r="B390" s="4">
        <v>1</v>
      </c>
      <c r="C390" s="5">
        <v>0.1</v>
      </c>
      <c r="D390" s="4">
        <v>0</v>
      </c>
      <c r="E390" s="5">
        <v>0</v>
      </c>
      <c r="F390" s="4">
        <v>1</v>
      </c>
      <c r="G390" s="5">
        <v>0.22</v>
      </c>
      <c r="H390" s="4">
        <v>0</v>
      </c>
    </row>
    <row r="391" spans="1:8" x14ac:dyDescent="0.2">
      <c r="A391" s="2" t="s">
        <v>194</v>
      </c>
      <c r="B391" s="4">
        <v>8</v>
      </c>
      <c r="C391" s="5">
        <v>0.83</v>
      </c>
      <c r="D391" s="4">
        <v>0</v>
      </c>
      <c r="E391" s="5">
        <v>0</v>
      </c>
      <c r="F391" s="4">
        <v>8</v>
      </c>
      <c r="G391" s="5">
        <v>1.72</v>
      </c>
      <c r="H391" s="4">
        <v>0</v>
      </c>
    </row>
    <row r="392" spans="1:8" x14ac:dyDescent="0.2">
      <c r="A392" s="2" t="s">
        <v>195</v>
      </c>
      <c r="B392" s="4">
        <v>10</v>
      </c>
      <c r="C392" s="5">
        <v>1.04</v>
      </c>
      <c r="D392" s="4">
        <v>1</v>
      </c>
      <c r="E392" s="5">
        <v>0.21</v>
      </c>
      <c r="F392" s="4">
        <v>9</v>
      </c>
      <c r="G392" s="5">
        <v>1.94</v>
      </c>
      <c r="H392" s="4">
        <v>0</v>
      </c>
    </row>
    <row r="393" spans="1:8" x14ac:dyDescent="0.2">
      <c r="A393" s="2" t="s">
        <v>196</v>
      </c>
      <c r="B393" s="4">
        <v>219</v>
      </c>
      <c r="C393" s="5">
        <v>22.72</v>
      </c>
      <c r="D393" s="4">
        <v>72</v>
      </c>
      <c r="E393" s="5">
        <v>14.97</v>
      </c>
      <c r="F393" s="4">
        <v>147</v>
      </c>
      <c r="G393" s="5">
        <v>31.61</v>
      </c>
      <c r="H393" s="4">
        <v>0</v>
      </c>
    </row>
    <row r="394" spans="1:8" x14ac:dyDescent="0.2">
      <c r="A394" s="2" t="s">
        <v>197</v>
      </c>
      <c r="B394" s="4">
        <v>15</v>
      </c>
      <c r="C394" s="5">
        <v>1.56</v>
      </c>
      <c r="D394" s="4">
        <v>2</v>
      </c>
      <c r="E394" s="5">
        <v>0.42</v>
      </c>
      <c r="F394" s="4">
        <v>13</v>
      </c>
      <c r="G394" s="5">
        <v>2.8</v>
      </c>
      <c r="H394" s="4">
        <v>0</v>
      </c>
    </row>
    <row r="395" spans="1:8" x14ac:dyDescent="0.2">
      <c r="A395" s="2" t="s">
        <v>198</v>
      </c>
      <c r="B395" s="4">
        <v>85</v>
      </c>
      <c r="C395" s="5">
        <v>8.82</v>
      </c>
      <c r="D395" s="4">
        <v>48</v>
      </c>
      <c r="E395" s="5">
        <v>9.98</v>
      </c>
      <c r="F395" s="4">
        <v>35</v>
      </c>
      <c r="G395" s="5">
        <v>7.53</v>
      </c>
      <c r="H395" s="4">
        <v>0</v>
      </c>
    </row>
    <row r="396" spans="1:8" x14ac:dyDescent="0.2">
      <c r="A396" s="2" t="s">
        <v>199</v>
      </c>
      <c r="B396" s="4">
        <v>29</v>
      </c>
      <c r="C396" s="5">
        <v>3.01</v>
      </c>
      <c r="D396" s="4">
        <v>14</v>
      </c>
      <c r="E396" s="5">
        <v>2.91</v>
      </c>
      <c r="F396" s="4">
        <v>13</v>
      </c>
      <c r="G396" s="5">
        <v>2.8</v>
      </c>
      <c r="H396" s="4">
        <v>1</v>
      </c>
    </row>
    <row r="397" spans="1:8" x14ac:dyDescent="0.2">
      <c r="A397" s="2" t="s">
        <v>200</v>
      </c>
      <c r="B397" s="4">
        <v>176</v>
      </c>
      <c r="C397" s="5">
        <v>18.260000000000002</v>
      </c>
      <c r="D397" s="4">
        <v>153</v>
      </c>
      <c r="E397" s="5">
        <v>31.81</v>
      </c>
      <c r="F397" s="4">
        <v>23</v>
      </c>
      <c r="G397" s="5">
        <v>4.95</v>
      </c>
      <c r="H397" s="4">
        <v>0</v>
      </c>
    </row>
    <row r="398" spans="1:8" x14ac:dyDescent="0.2">
      <c r="A398" s="2" t="s">
        <v>201</v>
      </c>
      <c r="B398" s="4">
        <v>132</v>
      </c>
      <c r="C398" s="5">
        <v>13.69</v>
      </c>
      <c r="D398" s="4">
        <v>114</v>
      </c>
      <c r="E398" s="5">
        <v>23.7</v>
      </c>
      <c r="F398" s="4">
        <v>18</v>
      </c>
      <c r="G398" s="5">
        <v>3.87</v>
      </c>
      <c r="H398" s="4">
        <v>0</v>
      </c>
    </row>
    <row r="399" spans="1:8" x14ac:dyDescent="0.2">
      <c r="A399" s="2" t="s">
        <v>202</v>
      </c>
      <c r="B399" s="4">
        <v>19</v>
      </c>
      <c r="C399" s="5">
        <v>1.97</v>
      </c>
      <c r="D399" s="4">
        <v>9</v>
      </c>
      <c r="E399" s="5">
        <v>1.87</v>
      </c>
      <c r="F399" s="4">
        <v>5</v>
      </c>
      <c r="G399" s="5">
        <v>1.08</v>
      </c>
      <c r="H399" s="4">
        <v>0</v>
      </c>
    </row>
    <row r="400" spans="1:8" x14ac:dyDescent="0.2">
      <c r="A400" s="2" t="s">
        <v>203</v>
      </c>
      <c r="B400" s="4">
        <v>40</v>
      </c>
      <c r="C400" s="5">
        <v>4.1500000000000004</v>
      </c>
      <c r="D400" s="4">
        <v>18</v>
      </c>
      <c r="E400" s="5">
        <v>3.74</v>
      </c>
      <c r="F400" s="4">
        <v>18</v>
      </c>
      <c r="G400" s="5">
        <v>3.87</v>
      </c>
      <c r="H400" s="4">
        <v>0</v>
      </c>
    </row>
    <row r="401" spans="1:8" x14ac:dyDescent="0.2">
      <c r="A401" s="2" t="s">
        <v>204</v>
      </c>
      <c r="B401" s="4">
        <v>47</v>
      </c>
      <c r="C401" s="5">
        <v>4.88</v>
      </c>
      <c r="D401" s="4">
        <v>9</v>
      </c>
      <c r="E401" s="5">
        <v>1.87</v>
      </c>
      <c r="F401" s="4">
        <v>34</v>
      </c>
      <c r="G401" s="5">
        <v>7.31</v>
      </c>
      <c r="H401" s="4">
        <v>2</v>
      </c>
    </row>
    <row r="402" spans="1:8" x14ac:dyDescent="0.2">
      <c r="A402" s="1" t="s">
        <v>25</v>
      </c>
      <c r="B402" s="4">
        <v>499</v>
      </c>
      <c r="C402" s="5">
        <v>100</v>
      </c>
      <c r="D402" s="4">
        <v>276</v>
      </c>
      <c r="E402" s="5">
        <v>99.99</v>
      </c>
      <c r="F402" s="4">
        <v>216</v>
      </c>
      <c r="G402" s="5">
        <v>100.02000000000002</v>
      </c>
      <c r="H402" s="4">
        <v>3</v>
      </c>
    </row>
    <row r="403" spans="1:8" x14ac:dyDescent="0.2">
      <c r="A403" s="2" t="s">
        <v>190</v>
      </c>
      <c r="B403" s="4">
        <v>0</v>
      </c>
      <c r="C403" s="5">
        <v>0</v>
      </c>
      <c r="D403" s="4">
        <v>0</v>
      </c>
      <c r="E403" s="5">
        <v>0</v>
      </c>
      <c r="F403" s="4">
        <v>0</v>
      </c>
      <c r="G403" s="5">
        <v>0</v>
      </c>
      <c r="H403" s="4">
        <v>0</v>
      </c>
    </row>
    <row r="404" spans="1:8" x14ac:dyDescent="0.2">
      <c r="A404" s="2" t="s">
        <v>191</v>
      </c>
      <c r="B404" s="4">
        <v>81</v>
      </c>
      <c r="C404" s="5">
        <v>16.23</v>
      </c>
      <c r="D404" s="4">
        <v>32</v>
      </c>
      <c r="E404" s="5">
        <v>11.59</v>
      </c>
      <c r="F404" s="4">
        <v>49</v>
      </c>
      <c r="G404" s="5">
        <v>22.69</v>
      </c>
      <c r="H404" s="4">
        <v>0</v>
      </c>
    </row>
    <row r="405" spans="1:8" x14ac:dyDescent="0.2">
      <c r="A405" s="2" t="s">
        <v>192</v>
      </c>
      <c r="B405" s="4">
        <v>32</v>
      </c>
      <c r="C405" s="5">
        <v>6.41</v>
      </c>
      <c r="D405" s="4">
        <v>3</v>
      </c>
      <c r="E405" s="5">
        <v>1.0900000000000001</v>
      </c>
      <c r="F405" s="4">
        <v>29</v>
      </c>
      <c r="G405" s="5">
        <v>13.43</v>
      </c>
      <c r="H405" s="4">
        <v>0</v>
      </c>
    </row>
    <row r="406" spans="1:8" x14ac:dyDescent="0.2">
      <c r="A406" s="2" t="s">
        <v>193</v>
      </c>
      <c r="B406" s="4">
        <v>2</v>
      </c>
      <c r="C406" s="5">
        <v>0.4</v>
      </c>
      <c r="D406" s="4">
        <v>0</v>
      </c>
      <c r="E406" s="5">
        <v>0</v>
      </c>
      <c r="F406" s="4">
        <v>1</v>
      </c>
      <c r="G406" s="5">
        <v>0.46</v>
      </c>
      <c r="H406" s="4">
        <v>0</v>
      </c>
    </row>
    <row r="407" spans="1:8" x14ac:dyDescent="0.2">
      <c r="A407" s="2" t="s">
        <v>194</v>
      </c>
      <c r="B407" s="4">
        <v>3</v>
      </c>
      <c r="C407" s="5">
        <v>0.6</v>
      </c>
      <c r="D407" s="4">
        <v>0</v>
      </c>
      <c r="E407" s="5">
        <v>0</v>
      </c>
      <c r="F407" s="4">
        <v>3</v>
      </c>
      <c r="G407" s="5">
        <v>1.39</v>
      </c>
      <c r="H407" s="4">
        <v>0</v>
      </c>
    </row>
    <row r="408" spans="1:8" x14ac:dyDescent="0.2">
      <c r="A408" s="2" t="s">
        <v>195</v>
      </c>
      <c r="B408" s="4">
        <v>4</v>
      </c>
      <c r="C408" s="5">
        <v>0.8</v>
      </c>
      <c r="D408" s="4">
        <v>1</v>
      </c>
      <c r="E408" s="5">
        <v>0.36</v>
      </c>
      <c r="F408" s="4">
        <v>3</v>
      </c>
      <c r="G408" s="5">
        <v>1.39</v>
      </c>
      <c r="H408" s="4">
        <v>0</v>
      </c>
    </row>
    <row r="409" spans="1:8" x14ac:dyDescent="0.2">
      <c r="A409" s="2" t="s">
        <v>196</v>
      </c>
      <c r="B409" s="4">
        <v>122</v>
      </c>
      <c r="C409" s="5">
        <v>24.45</v>
      </c>
      <c r="D409" s="4">
        <v>55</v>
      </c>
      <c r="E409" s="5">
        <v>19.93</v>
      </c>
      <c r="F409" s="4">
        <v>66</v>
      </c>
      <c r="G409" s="5">
        <v>30.56</v>
      </c>
      <c r="H409" s="4">
        <v>1</v>
      </c>
    </row>
    <row r="410" spans="1:8" x14ac:dyDescent="0.2">
      <c r="A410" s="2" t="s">
        <v>197</v>
      </c>
      <c r="B410" s="4">
        <v>3</v>
      </c>
      <c r="C410" s="5">
        <v>0.6</v>
      </c>
      <c r="D410" s="4">
        <v>1</v>
      </c>
      <c r="E410" s="5">
        <v>0.36</v>
      </c>
      <c r="F410" s="4">
        <v>2</v>
      </c>
      <c r="G410" s="5">
        <v>0.93</v>
      </c>
      <c r="H410" s="4">
        <v>0</v>
      </c>
    </row>
    <row r="411" spans="1:8" x14ac:dyDescent="0.2">
      <c r="A411" s="2" t="s">
        <v>198</v>
      </c>
      <c r="B411" s="4">
        <v>58</v>
      </c>
      <c r="C411" s="5">
        <v>11.62</v>
      </c>
      <c r="D411" s="4">
        <v>35</v>
      </c>
      <c r="E411" s="5">
        <v>12.68</v>
      </c>
      <c r="F411" s="4">
        <v>23</v>
      </c>
      <c r="G411" s="5">
        <v>10.65</v>
      </c>
      <c r="H411" s="4">
        <v>0</v>
      </c>
    </row>
    <row r="412" spans="1:8" x14ac:dyDescent="0.2">
      <c r="A412" s="2" t="s">
        <v>199</v>
      </c>
      <c r="B412" s="4">
        <v>7</v>
      </c>
      <c r="C412" s="5">
        <v>1.4</v>
      </c>
      <c r="D412" s="4">
        <v>4</v>
      </c>
      <c r="E412" s="5">
        <v>1.45</v>
      </c>
      <c r="F412" s="4">
        <v>3</v>
      </c>
      <c r="G412" s="5">
        <v>1.39</v>
      </c>
      <c r="H412" s="4">
        <v>0</v>
      </c>
    </row>
    <row r="413" spans="1:8" x14ac:dyDescent="0.2">
      <c r="A413" s="2" t="s">
        <v>200</v>
      </c>
      <c r="B413" s="4">
        <v>63</v>
      </c>
      <c r="C413" s="5">
        <v>12.63</v>
      </c>
      <c r="D413" s="4">
        <v>53</v>
      </c>
      <c r="E413" s="5">
        <v>19.2</v>
      </c>
      <c r="F413" s="4">
        <v>10</v>
      </c>
      <c r="G413" s="5">
        <v>4.63</v>
      </c>
      <c r="H413" s="4">
        <v>0</v>
      </c>
    </row>
    <row r="414" spans="1:8" x14ac:dyDescent="0.2">
      <c r="A414" s="2" t="s">
        <v>201</v>
      </c>
      <c r="B414" s="4">
        <v>75</v>
      </c>
      <c r="C414" s="5">
        <v>15.03</v>
      </c>
      <c r="D414" s="4">
        <v>62</v>
      </c>
      <c r="E414" s="5">
        <v>22.46</v>
      </c>
      <c r="F414" s="4">
        <v>11</v>
      </c>
      <c r="G414" s="5">
        <v>5.09</v>
      </c>
      <c r="H414" s="4">
        <v>1</v>
      </c>
    </row>
    <row r="415" spans="1:8" x14ac:dyDescent="0.2">
      <c r="A415" s="2" t="s">
        <v>202</v>
      </c>
      <c r="B415" s="4">
        <v>14</v>
      </c>
      <c r="C415" s="5">
        <v>2.81</v>
      </c>
      <c r="D415" s="4">
        <v>11</v>
      </c>
      <c r="E415" s="5">
        <v>3.99</v>
      </c>
      <c r="F415" s="4">
        <v>2</v>
      </c>
      <c r="G415" s="5">
        <v>0.93</v>
      </c>
      <c r="H415" s="4">
        <v>0</v>
      </c>
    </row>
    <row r="416" spans="1:8" x14ac:dyDescent="0.2">
      <c r="A416" s="2" t="s">
        <v>203</v>
      </c>
      <c r="B416" s="4">
        <v>18</v>
      </c>
      <c r="C416" s="5">
        <v>3.61</v>
      </c>
      <c r="D416" s="4">
        <v>15</v>
      </c>
      <c r="E416" s="5">
        <v>5.43</v>
      </c>
      <c r="F416" s="4">
        <v>3</v>
      </c>
      <c r="G416" s="5">
        <v>1.39</v>
      </c>
      <c r="H416" s="4">
        <v>0</v>
      </c>
    </row>
    <row r="417" spans="1:8" x14ac:dyDescent="0.2">
      <c r="A417" s="2" t="s">
        <v>204</v>
      </c>
      <c r="B417" s="4">
        <v>17</v>
      </c>
      <c r="C417" s="5">
        <v>3.41</v>
      </c>
      <c r="D417" s="4">
        <v>4</v>
      </c>
      <c r="E417" s="5">
        <v>1.45</v>
      </c>
      <c r="F417" s="4">
        <v>11</v>
      </c>
      <c r="G417" s="5">
        <v>5.09</v>
      </c>
      <c r="H417" s="4">
        <v>1</v>
      </c>
    </row>
    <row r="418" spans="1:8" x14ac:dyDescent="0.2">
      <c r="A418" s="1" t="s">
        <v>26</v>
      </c>
      <c r="B418" s="4">
        <v>343</v>
      </c>
      <c r="C418" s="5">
        <v>99.97999999999999</v>
      </c>
      <c r="D418" s="4">
        <v>178</v>
      </c>
      <c r="E418" s="5">
        <v>99.990000000000009</v>
      </c>
      <c r="F418" s="4">
        <v>153</v>
      </c>
      <c r="G418" s="5">
        <v>100.00999999999999</v>
      </c>
      <c r="H418" s="4">
        <v>3</v>
      </c>
    </row>
    <row r="419" spans="1:8" x14ac:dyDescent="0.2">
      <c r="A419" s="2" t="s">
        <v>190</v>
      </c>
      <c r="B419" s="4">
        <v>0</v>
      </c>
      <c r="C419" s="5">
        <v>0</v>
      </c>
      <c r="D419" s="4">
        <v>0</v>
      </c>
      <c r="E419" s="5">
        <v>0</v>
      </c>
      <c r="F419" s="4">
        <v>0</v>
      </c>
      <c r="G419" s="5">
        <v>0</v>
      </c>
      <c r="H419" s="4">
        <v>0</v>
      </c>
    </row>
    <row r="420" spans="1:8" x14ac:dyDescent="0.2">
      <c r="A420" s="2" t="s">
        <v>191</v>
      </c>
      <c r="B420" s="4">
        <v>32</v>
      </c>
      <c r="C420" s="5">
        <v>9.33</v>
      </c>
      <c r="D420" s="4">
        <v>8</v>
      </c>
      <c r="E420" s="5">
        <v>4.49</v>
      </c>
      <c r="F420" s="4">
        <v>24</v>
      </c>
      <c r="G420" s="5">
        <v>15.69</v>
      </c>
      <c r="H420" s="4">
        <v>0</v>
      </c>
    </row>
    <row r="421" spans="1:8" x14ac:dyDescent="0.2">
      <c r="A421" s="2" t="s">
        <v>192</v>
      </c>
      <c r="B421" s="4">
        <v>23</v>
      </c>
      <c r="C421" s="5">
        <v>6.71</v>
      </c>
      <c r="D421" s="4">
        <v>7</v>
      </c>
      <c r="E421" s="5">
        <v>3.93</v>
      </c>
      <c r="F421" s="4">
        <v>16</v>
      </c>
      <c r="G421" s="5">
        <v>10.46</v>
      </c>
      <c r="H421" s="4">
        <v>0</v>
      </c>
    </row>
    <row r="422" spans="1:8" x14ac:dyDescent="0.2">
      <c r="A422" s="2" t="s">
        <v>193</v>
      </c>
      <c r="B422" s="4">
        <v>1</v>
      </c>
      <c r="C422" s="5">
        <v>0.28999999999999998</v>
      </c>
      <c r="D422" s="4">
        <v>0</v>
      </c>
      <c r="E422" s="5">
        <v>0</v>
      </c>
      <c r="F422" s="4">
        <v>0</v>
      </c>
      <c r="G422" s="5">
        <v>0</v>
      </c>
      <c r="H422" s="4">
        <v>0</v>
      </c>
    </row>
    <row r="423" spans="1:8" x14ac:dyDescent="0.2">
      <c r="A423" s="2" t="s">
        <v>194</v>
      </c>
      <c r="B423" s="4">
        <v>2</v>
      </c>
      <c r="C423" s="5">
        <v>0.57999999999999996</v>
      </c>
      <c r="D423" s="4">
        <v>0</v>
      </c>
      <c r="E423" s="5">
        <v>0</v>
      </c>
      <c r="F423" s="4">
        <v>2</v>
      </c>
      <c r="G423" s="5">
        <v>1.31</v>
      </c>
      <c r="H423" s="4">
        <v>0</v>
      </c>
    </row>
    <row r="424" spans="1:8" x14ac:dyDescent="0.2">
      <c r="A424" s="2" t="s">
        <v>195</v>
      </c>
      <c r="B424" s="4">
        <v>2</v>
      </c>
      <c r="C424" s="5">
        <v>0.57999999999999996</v>
      </c>
      <c r="D424" s="4">
        <v>2</v>
      </c>
      <c r="E424" s="5">
        <v>1.1200000000000001</v>
      </c>
      <c r="F424" s="4">
        <v>0</v>
      </c>
      <c r="G424" s="5">
        <v>0</v>
      </c>
      <c r="H424" s="4">
        <v>0</v>
      </c>
    </row>
    <row r="425" spans="1:8" x14ac:dyDescent="0.2">
      <c r="A425" s="2" t="s">
        <v>196</v>
      </c>
      <c r="B425" s="4">
        <v>79</v>
      </c>
      <c r="C425" s="5">
        <v>23.03</v>
      </c>
      <c r="D425" s="4">
        <v>30</v>
      </c>
      <c r="E425" s="5">
        <v>16.850000000000001</v>
      </c>
      <c r="F425" s="4">
        <v>49</v>
      </c>
      <c r="G425" s="5">
        <v>32.03</v>
      </c>
      <c r="H425" s="4">
        <v>0</v>
      </c>
    </row>
    <row r="426" spans="1:8" x14ac:dyDescent="0.2">
      <c r="A426" s="2" t="s">
        <v>197</v>
      </c>
      <c r="B426" s="4">
        <v>6</v>
      </c>
      <c r="C426" s="5">
        <v>1.75</v>
      </c>
      <c r="D426" s="4">
        <v>1</v>
      </c>
      <c r="E426" s="5">
        <v>0.56000000000000005</v>
      </c>
      <c r="F426" s="4">
        <v>5</v>
      </c>
      <c r="G426" s="5">
        <v>3.27</v>
      </c>
      <c r="H426" s="4">
        <v>0</v>
      </c>
    </row>
    <row r="427" spans="1:8" x14ac:dyDescent="0.2">
      <c r="A427" s="2" t="s">
        <v>198</v>
      </c>
      <c r="B427" s="4">
        <v>21</v>
      </c>
      <c r="C427" s="5">
        <v>6.12</v>
      </c>
      <c r="D427" s="4">
        <v>11</v>
      </c>
      <c r="E427" s="5">
        <v>6.18</v>
      </c>
      <c r="F427" s="4">
        <v>9</v>
      </c>
      <c r="G427" s="5">
        <v>5.88</v>
      </c>
      <c r="H427" s="4">
        <v>0</v>
      </c>
    </row>
    <row r="428" spans="1:8" x14ac:dyDescent="0.2">
      <c r="A428" s="2" t="s">
        <v>199</v>
      </c>
      <c r="B428" s="4">
        <v>3</v>
      </c>
      <c r="C428" s="5">
        <v>0.87</v>
      </c>
      <c r="D428" s="4">
        <v>3</v>
      </c>
      <c r="E428" s="5">
        <v>1.69</v>
      </c>
      <c r="F428" s="4">
        <v>0</v>
      </c>
      <c r="G428" s="5">
        <v>0</v>
      </c>
      <c r="H428" s="4">
        <v>0</v>
      </c>
    </row>
    <row r="429" spans="1:8" x14ac:dyDescent="0.2">
      <c r="A429" s="2" t="s">
        <v>200</v>
      </c>
      <c r="B429" s="4">
        <v>60</v>
      </c>
      <c r="C429" s="5">
        <v>17.489999999999998</v>
      </c>
      <c r="D429" s="4">
        <v>57</v>
      </c>
      <c r="E429" s="5">
        <v>32.020000000000003</v>
      </c>
      <c r="F429" s="4">
        <v>3</v>
      </c>
      <c r="G429" s="5">
        <v>1.96</v>
      </c>
      <c r="H429" s="4">
        <v>0</v>
      </c>
    </row>
    <row r="430" spans="1:8" x14ac:dyDescent="0.2">
      <c r="A430" s="2" t="s">
        <v>201</v>
      </c>
      <c r="B430" s="4">
        <v>55</v>
      </c>
      <c r="C430" s="5">
        <v>16.03</v>
      </c>
      <c r="D430" s="4">
        <v>47</v>
      </c>
      <c r="E430" s="5">
        <v>26.4</v>
      </c>
      <c r="F430" s="4">
        <v>5</v>
      </c>
      <c r="G430" s="5">
        <v>3.27</v>
      </c>
      <c r="H430" s="4">
        <v>2</v>
      </c>
    </row>
    <row r="431" spans="1:8" x14ac:dyDescent="0.2">
      <c r="A431" s="2" t="s">
        <v>202</v>
      </c>
      <c r="B431" s="4">
        <v>4</v>
      </c>
      <c r="C431" s="5">
        <v>1.17</v>
      </c>
      <c r="D431" s="4">
        <v>3</v>
      </c>
      <c r="E431" s="5">
        <v>1.69</v>
      </c>
      <c r="F431" s="4">
        <v>1</v>
      </c>
      <c r="G431" s="5">
        <v>0.65</v>
      </c>
      <c r="H431" s="4">
        <v>0</v>
      </c>
    </row>
    <row r="432" spans="1:8" x14ac:dyDescent="0.2">
      <c r="A432" s="2" t="s">
        <v>203</v>
      </c>
      <c r="B432" s="4">
        <v>34</v>
      </c>
      <c r="C432" s="5">
        <v>9.91</v>
      </c>
      <c r="D432" s="4">
        <v>5</v>
      </c>
      <c r="E432" s="5">
        <v>2.81</v>
      </c>
      <c r="F432" s="4">
        <v>24</v>
      </c>
      <c r="G432" s="5">
        <v>15.69</v>
      </c>
      <c r="H432" s="4">
        <v>0</v>
      </c>
    </row>
    <row r="433" spans="1:8" x14ac:dyDescent="0.2">
      <c r="A433" s="2" t="s">
        <v>204</v>
      </c>
      <c r="B433" s="4">
        <v>21</v>
      </c>
      <c r="C433" s="5">
        <v>6.12</v>
      </c>
      <c r="D433" s="4">
        <v>4</v>
      </c>
      <c r="E433" s="5">
        <v>2.25</v>
      </c>
      <c r="F433" s="4">
        <v>15</v>
      </c>
      <c r="G433" s="5">
        <v>9.8000000000000007</v>
      </c>
      <c r="H433" s="4">
        <v>1</v>
      </c>
    </row>
    <row r="434" spans="1:8" x14ac:dyDescent="0.2">
      <c r="A434" s="1" t="s">
        <v>27</v>
      </c>
      <c r="B434" s="4">
        <v>1823</v>
      </c>
      <c r="C434" s="5">
        <v>99.990000000000009</v>
      </c>
      <c r="D434" s="4">
        <v>889</v>
      </c>
      <c r="E434" s="5">
        <v>99.999999999999986</v>
      </c>
      <c r="F434" s="4">
        <v>921</v>
      </c>
      <c r="G434" s="5">
        <v>99.990000000000023</v>
      </c>
      <c r="H434" s="4">
        <v>2</v>
      </c>
    </row>
    <row r="435" spans="1:8" x14ac:dyDescent="0.2">
      <c r="A435" s="2" t="s">
        <v>190</v>
      </c>
      <c r="B435" s="4">
        <v>0</v>
      </c>
      <c r="C435" s="5">
        <v>0</v>
      </c>
      <c r="D435" s="4">
        <v>0</v>
      </c>
      <c r="E435" s="5">
        <v>0</v>
      </c>
      <c r="F435" s="4">
        <v>0</v>
      </c>
      <c r="G435" s="5">
        <v>0</v>
      </c>
      <c r="H435" s="4">
        <v>0</v>
      </c>
    </row>
    <row r="436" spans="1:8" x14ac:dyDescent="0.2">
      <c r="A436" s="2" t="s">
        <v>191</v>
      </c>
      <c r="B436" s="4">
        <v>310</v>
      </c>
      <c r="C436" s="5">
        <v>17</v>
      </c>
      <c r="D436" s="4">
        <v>52</v>
      </c>
      <c r="E436" s="5">
        <v>5.85</v>
      </c>
      <c r="F436" s="4">
        <v>258</v>
      </c>
      <c r="G436" s="5">
        <v>28.01</v>
      </c>
      <c r="H436" s="4">
        <v>0</v>
      </c>
    </row>
    <row r="437" spans="1:8" x14ac:dyDescent="0.2">
      <c r="A437" s="2" t="s">
        <v>192</v>
      </c>
      <c r="B437" s="4">
        <v>73</v>
      </c>
      <c r="C437" s="5">
        <v>4</v>
      </c>
      <c r="D437" s="4">
        <v>7</v>
      </c>
      <c r="E437" s="5">
        <v>0.79</v>
      </c>
      <c r="F437" s="4">
        <v>66</v>
      </c>
      <c r="G437" s="5">
        <v>7.17</v>
      </c>
      <c r="H437" s="4">
        <v>0</v>
      </c>
    </row>
    <row r="438" spans="1:8" x14ac:dyDescent="0.2">
      <c r="A438" s="2" t="s">
        <v>193</v>
      </c>
      <c r="B438" s="4">
        <v>0</v>
      </c>
      <c r="C438" s="5">
        <v>0</v>
      </c>
      <c r="D438" s="4">
        <v>0</v>
      </c>
      <c r="E438" s="5">
        <v>0</v>
      </c>
      <c r="F438" s="4">
        <v>0</v>
      </c>
      <c r="G438" s="5">
        <v>0</v>
      </c>
      <c r="H438" s="4">
        <v>0</v>
      </c>
    </row>
    <row r="439" spans="1:8" x14ac:dyDescent="0.2">
      <c r="A439" s="2" t="s">
        <v>194</v>
      </c>
      <c r="B439" s="4">
        <v>19</v>
      </c>
      <c r="C439" s="5">
        <v>1.04</v>
      </c>
      <c r="D439" s="4">
        <v>1</v>
      </c>
      <c r="E439" s="5">
        <v>0.11</v>
      </c>
      <c r="F439" s="4">
        <v>18</v>
      </c>
      <c r="G439" s="5">
        <v>1.95</v>
      </c>
      <c r="H439" s="4">
        <v>0</v>
      </c>
    </row>
    <row r="440" spans="1:8" x14ac:dyDescent="0.2">
      <c r="A440" s="2" t="s">
        <v>195</v>
      </c>
      <c r="B440" s="4">
        <v>37</v>
      </c>
      <c r="C440" s="5">
        <v>2.0299999999999998</v>
      </c>
      <c r="D440" s="4">
        <v>12</v>
      </c>
      <c r="E440" s="5">
        <v>1.35</v>
      </c>
      <c r="F440" s="4">
        <v>25</v>
      </c>
      <c r="G440" s="5">
        <v>2.71</v>
      </c>
      <c r="H440" s="4">
        <v>0</v>
      </c>
    </row>
    <row r="441" spans="1:8" x14ac:dyDescent="0.2">
      <c r="A441" s="2" t="s">
        <v>196</v>
      </c>
      <c r="B441" s="4">
        <v>350</v>
      </c>
      <c r="C441" s="5">
        <v>19.2</v>
      </c>
      <c r="D441" s="4">
        <v>109</v>
      </c>
      <c r="E441" s="5">
        <v>12.26</v>
      </c>
      <c r="F441" s="4">
        <v>240</v>
      </c>
      <c r="G441" s="5">
        <v>26.06</v>
      </c>
      <c r="H441" s="4">
        <v>1</v>
      </c>
    </row>
    <row r="442" spans="1:8" x14ac:dyDescent="0.2">
      <c r="A442" s="2" t="s">
        <v>197</v>
      </c>
      <c r="B442" s="4">
        <v>11</v>
      </c>
      <c r="C442" s="5">
        <v>0.6</v>
      </c>
      <c r="D442" s="4">
        <v>4</v>
      </c>
      <c r="E442" s="5">
        <v>0.45</v>
      </c>
      <c r="F442" s="4">
        <v>7</v>
      </c>
      <c r="G442" s="5">
        <v>0.76</v>
      </c>
      <c r="H442" s="4">
        <v>0</v>
      </c>
    </row>
    <row r="443" spans="1:8" x14ac:dyDescent="0.2">
      <c r="A443" s="2" t="s">
        <v>198</v>
      </c>
      <c r="B443" s="4">
        <v>160</v>
      </c>
      <c r="C443" s="5">
        <v>8.7799999999999994</v>
      </c>
      <c r="D443" s="4">
        <v>99</v>
      </c>
      <c r="E443" s="5">
        <v>11.14</v>
      </c>
      <c r="F443" s="4">
        <v>61</v>
      </c>
      <c r="G443" s="5">
        <v>6.62</v>
      </c>
      <c r="H443" s="4">
        <v>0</v>
      </c>
    </row>
    <row r="444" spans="1:8" x14ac:dyDescent="0.2">
      <c r="A444" s="2" t="s">
        <v>199</v>
      </c>
      <c r="B444" s="4">
        <v>87</v>
      </c>
      <c r="C444" s="5">
        <v>4.7699999999999996</v>
      </c>
      <c r="D444" s="4">
        <v>45</v>
      </c>
      <c r="E444" s="5">
        <v>5.0599999999999996</v>
      </c>
      <c r="F444" s="4">
        <v>42</v>
      </c>
      <c r="G444" s="5">
        <v>4.5599999999999996</v>
      </c>
      <c r="H444" s="4">
        <v>0</v>
      </c>
    </row>
    <row r="445" spans="1:8" x14ac:dyDescent="0.2">
      <c r="A445" s="2" t="s">
        <v>200</v>
      </c>
      <c r="B445" s="4">
        <v>189</v>
      </c>
      <c r="C445" s="5">
        <v>10.37</v>
      </c>
      <c r="D445" s="4">
        <v>142</v>
      </c>
      <c r="E445" s="5">
        <v>15.97</v>
      </c>
      <c r="F445" s="4">
        <v>47</v>
      </c>
      <c r="G445" s="5">
        <v>5.0999999999999996</v>
      </c>
      <c r="H445" s="4">
        <v>0</v>
      </c>
    </row>
    <row r="446" spans="1:8" x14ac:dyDescent="0.2">
      <c r="A446" s="2" t="s">
        <v>201</v>
      </c>
      <c r="B446" s="4">
        <v>243</v>
      </c>
      <c r="C446" s="5">
        <v>13.33</v>
      </c>
      <c r="D446" s="4">
        <v>194</v>
      </c>
      <c r="E446" s="5">
        <v>21.82</v>
      </c>
      <c r="F446" s="4">
        <v>49</v>
      </c>
      <c r="G446" s="5">
        <v>5.32</v>
      </c>
      <c r="H446" s="4">
        <v>0</v>
      </c>
    </row>
    <row r="447" spans="1:8" x14ac:dyDescent="0.2">
      <c r="A447" s="2" t="s">
        <v>202</v>
      </c>
      <c r="B447" s="4">
        <v>121</v>
      </c>
      <c r="C447" s="5">
        <v>6.64</v>
      </c>
      <c r="D447" s="4">
        <v>98</v>
      </c>
      <c r="E447" s="5">
        <v>11.02</v>
      </c>
      <c r="F447" s="4">
        <v>19</v>
      </c>
      <c r="G447" s="5">
        <v>2.06</v>
      </c>
      <c r="H447" s="4">
        <v>0</v>
      </c>
    </row>
    <row r="448" spans="1:8" x14ac:dyDescent="0.2">
      <c r="A448" s="2" t="s">
        <v>203</v>
      </c>
      <c r="B448" s="4">
        <v>165</v>
      </c>
      <c r="C448" s="5">
        <v>9.0500000000000007</v>
      </c>
      <c r="D448" s="4">
        <v>107</v>
      </c>
      <c r="E448" s="5">
        <v>12.04</v>
      </c>
      <c r="F448" s="4">
        <v>51</v>
      </c>
      <c r="G448" s="5">
        <v>5.54</v>
      </c>
      <c r="H448" s="4">
        <v>0</v>
      </c>
    </row>
    <row r="449" spans="1:8" x14ac:dyDescent="0.2">
      <c r="A449" s="2" t="s">
        <v>204</v>
      </c>
      <c r="B449" s="4">
        <v>58</v>
      </c>
      <c r="C449" s="5">
        <v>3.18</v>
      </c>
      <c r="D449" s="4">
        <v>19</v>
      </c>
      <c r="E449" s="5">
        <v>2.14</v>
      </c>
      <c r="F449" s="4">
        <v>38</v>
      </c>
      <c r="G449" s="5">
        <v>4.13</v>
      </c>
      <c r="H449" s="4">
        <v>1</v>
      </c>
    </row>
    <row r="450" spans="1:8" x14ac:dyDescent="0.2">
      <c r="A450" s="1" t="s">
        <v>28</v>
      </c>
      <c r="B450" s="4">
        <v>240</v>
      </c>
      <c r="C450" s="5">
        <v>99.99</v>
      </c>
      <c r="D450" s="4">
        <v>111</v>
      </c>
      <c r="E450" s="5">
        <v>99.99</v>
      </c>
      <c r="F450" s="4">
        <v>111</v>
      </c>
      <c r="G450" s="5">
        <v>99.990000000000009</v>
      </c>
      <c r="H450" s="4">
        <v>2</v>
      </c>
    </row>
    <row r="451" spans="1:8" x14ac:dyDescent="0.2">
      <c r="A451" s="2" t="s">
        <v>190</v>
      </c>
      <c r="B451" s="4">
        <v>0</v>
      </c>
      <c r="C451" s="5">
        <v>0</v>
      </c>
      <c r="D451" s="4">
        <v>0</v>
      </c>
      <c r="E451" s="5">
        <v>0</v>
      </c>
      <c r="F451" s="4">
        <v>0</v>
      </c>
      <c r="G451" s="5">
        <v>0</v>
      </c>
      <c r="H451" s="4">
        <v>0</v>
      </c>
    </row>
    <row r="452" spans="1:8" x14ac:dyDescent="0.2">
      <c r="A452" s="2" t="s">
        <v>191</v>
      </c>
      <c r="B452" s="4">
        <v>32</v>
      </c>
      <c r="C452" s="5">
        <v>13.33</v>
      </c>
      <c r="D452" s="4">
        <v>11</v>
      </c>
      <c r="E452" s="5">
        <v>9.91</v>
      </c>
      <c r="F452" s="4">
        <v>21</v>
      </c>
      <c r="G452" s="5">
        <v>18.920000000000002</v>
      </c>
      <c r="H452" s="4">
        <v>0</v>
      </c>
    </row>
    <row r="453" spans="1:8" x14ac:dyDescent="0.2">
      <c r="A453" s="2" t="s">
        <v>192</v>
      </c>
      <c r="B453" s="4">
        <v>12</v>
      </c>
      <c r="C453" s="5">
        <v>5</v>
      </c>
      <c r="D453" s="4">
        <v>1</v>
      </c>
      <c r="E453" s="5">
        <v>0.9</v>
      </c>
      <c r="F453" s="4">
        <v>11</v>
      </c>
      <c r="G453" s="5">
        <v>9.91</v>
      </c>
      <c r="H453" s="4">
        <v>0</v>
      </c>
    </row>
    <row r="454" spans="1:8" x14ac:dyDescent="0.2">
      <c r="A454" s="2" t="s">
        <v>193</v>
      </c>
      <c r="B454" s="4">
        <v>1</v>
      </c>
      <c r="C454" s="5">
        <v>0.42</v>
      </c>
      <c r="D454" s="4">
        <v>0</v>
      </c>
      <c r="E454" s="5">
        <v>0</v>
      </c>
      <c r="F454" s="4">
        <v>0</v>
      </c>
      <c r="G454" s="5">
        <v>0</v>
      </c>
      <c r="H454" s="4">
        <v>0</v>
      </c>
    </row>
    <row r="455" spans="1:8" x14ac:dyDescent="0.2">
      <c r="A455" s="2" t="s">
        <v>194</v>
      </c>
      <c r="B455" s="4">
        <v>1</v>
      </c>
      <c r="C455" s="5">
        <v>0.42</v>
      </c>
      <c r="D455" s="4">
        <v>0</v>
      </c>
      <c r="E455" s="5">
        <v>0</v>
      </c>
      <c r="F455" s="4">
        <v>1</v>
      </c>
      <c r="G455" s="5">
        <v>0.9</v>
      </c>
      <c r="H455" s="4">
        <v>0</v>
      </c>
    </row>
    <row r="456" spans="1:8" x14ac:dyDescent="0.2">
      <c r="A456" s="2" t="s">
        <v>195</v>
      </c>
      <c r="B456" s="4">
        <v>2</v>
      </c>
      <c r="C456" s="5">
        <v>0.83</v>
      </c>
      <c r="D456" s="4">
        <v>0</v>
      </c>
      <c r="E456" s="5">
        <v>0</v>
      </c>
      <c r="F456" s="4">
        <v>2</v>
      </c>
      <c r="G456" s="5">
        <v>1.8</v>
      </c>
      <c r="H456" s="4">
        <v>0</v>
      </c>
    </row>
    <row r="457" spans="1:8" x14ac:dyDescent="0.2">
      <c r="A457" s="2" t="s">
        <v>196</v>
      </c>
      <c r="B457" s="4">
        <v>75</v>
      </c>
      <c r="C457" s="5">
        <v>31.25</v>
      </c>
      <c r="D457" s="4">
        <v>26</v>
      </c>
      <c r="E457" s="5">
        <v>23.42</v>
      </c>
      <c r="F457" s="4">
        <v>47</v>
      </c>
      <c r="G457" s="5">
        <v>42.34</v>
      </c>
      <c r="H457" s="4">
        <v>2</v>
      </c>
    </row>
    <row r="458" spans="1:8" x14ac:dyDescent="0.2">
      <c r="A458" s="2" t="s">
        <v>197</v>
      </c>
      <c r="B458" s="4">
        <v>0</v>
      </c>
      <c r="C458" s="5">
        <v>0</v>
      </c>
      <c r="D458" s="4">
        <v>0</v>
      </c>
      <c r="E458" s="5">
        <v>0</v>
      </c>
      <c r="F458" s="4">
        <v>0</v>
      </c>
      <c r="G458" s="5">
        <v>0</v>
      </c>
      <c r="H458" s="4">
        <v>0</v>
      </c>
    </row>
    <row r="459" spans="1:8" x14ac:dyDescent="0.2">
      <c r="A459" s="2" t="s">
        <v>198</v>
      </c>
      <c r="B459" s="4">
        <v>5</v>
      </c>
      <c r="C459" s="5">
        <v>2.08</v>
      </c>
      <c r="D459" s="4">
        <v>2</v>
      </c>
      <c r="E459" s="5">
        <v>1.8</v>
      </c>
      <c r="F459" s="4">
        <v>3</v>
      </c>
      <c r="G459" s="5">
        <v>2.7</v>
      </c>
      <c r="H459" s="4">
        <v>0</v>
      </c>
    </row>
    <row r="460" spans="1:8" x14ac:dyDescent="0.2">
      <c r="A460" s="2" t="s">
        <v>199</v>
      </c>
      <c r="B460" s="4">
        <v>3</v>
      </c>
      <c r="C460" s="5">
        <v>1.25</v>
      </c>
      <c r="D460" s="4">
        <v>1</v>
      </c>
      <c r="E460" s="5">
        <v>0.9</v>
      </c>
      <c r="F460" s="4">
        <v>2</v>
      </c>
      <c r="G460" s="5">
        <v>1.8</v>
      </c>
      <c r="H460" s="4">
        <v>0</v>
      </c>
    </row>
    <row r="461" spans="1:8" x14ac:dyDescent="0.2">
      <c r="A461" s="2" t="s">
        <v>200</v>
      </c>
      <c r="B461" s="4">
        <v>36</v>
      </c>
      <c r="C461" s="5">
        <v>15</v>
      </c>
      <c r="D461" s="4">
        <v>25</v>
      </c>
      <c r="E461" s="5">
        <v>22.52</v>
      </c>
      <c r="F461" s="4">
        <v>10</v>
      </c>
      <c r="G461" s="5">
        <v>9.01</v>
      </c>
      <c r="H461" s="4">
        <v>0</v>
      </c>
    </row>
    <row r="462" spans="1:8" x14ac:dyDescent="0.2">
      <c r="A462" s="2" t="s">
        <v>201</v>
      </c>
      <c r="B462" s="4">
        <v>42</v>
      </c>
      <c r="C462" s="5">
        <v>17.5</v>
      </c>
      <c r="D462" s="4">
        <v>35</v>
      </c>
      <c r="E462" s="5">
        <v>31.53</v>
      </c>
      <c r="F462" s="4">
        <v>7</v>
      </c>
      <c r="G462" s="5">
        <v>6.31</v>
      </c>
      <c r="H462" s="4">
        <v>0</v>
      </c>
    </row>
    <row r="463" spans="1:8" x14ac:dyDescent="0.2">
      <c r="A463" s="2" t="s">
        <v>202</v>
      </c>
      <c r="B463" s="4">
        <v>5</v>
      </c>
      <c r="C463" s="5">
        <v>2.08</v>
      </c>
      <c r="D463" s="4">
        <v>2</v>
      </c>
      <c r="E463" s="5">
        <v>1.8</v>
      </c>
      <c r="F463" s="4">
        <v>0</v>
      </c>
      <c r="G463" s="5">
        <v>0</v>
      </c>
      <c r="H463" s="4">
        <v>0</v>
      </c>
    </row>
    <row r="464" spans="1:8" x14ac:dyDescent="0.2">
      <c r="A464" s="2" t="s">
        <v>203</v>
      </c>
      <c r="B464" s="4">
        <v>20</v>
      </c>
      <c r="C464" s="5">
        <v>8.33</v>
      </c>
      <c r="D464" s="4">
        <v>6</v>
      </c>
      <c r="E464" s="5">
        <v>5.41</v>
      </c>
      <c r="F464" s="4">
        <v>4</v>
      </c>
      <c r="G464" s="5">
        <v>3.6</v>
      </c>
      <c r="H464" s="4">
        <v>0</v>
      </c>
    </row>
    <row r="465" spans="1:8" x14ac:dyDescent="0.2">
      <c r="A465" s="2" t="s">
        <v>204</v>
      </c>
      <c r="B465" s="4">
        <v>6</v>
      </c>
      <c r="C465" s="5">
        <v>2.5</v>
      </c>
      <c r="D465" s="4">
        <v>2</v>
      </c>
      <c r="E465" s="5">
        <v>1.8</v>
      </c>
      <c r="F465" s="4">
        <v>3</v>
      </c>
      <c r="G465" s="5">
        <v>2.7</v>
      </c>
      <c r="H465" s="4">
        <v>0</v>
      </c>
    </row>
    <row r="466" spans="1:8" x14ac:dyDescent="0.2">
      <c r="A466" s="1" t="s">
        <v>29</v>
      </c>
      <c r="B466" s="4">
        <v>786</v>
      </c>
      <c r="C466" s="5">
        <v>100.00999999999999</v>
      </c>
      <c r="D466" s="4">
        <v>447</v>
      </c>
      <c r="E466" s="5">
        <v>100</v>
      </c>
      <c r="F466" s="4">
        <v>315</v>
      </c>
      <c r="G466" s="5">
        <v>100</v>
      </c>
      <c r="H466" s="4">
        <v>4</v>
      </c>
    </row>
    <row r="467" spans="1:8" x14ac:dyDescent="0.2">
      <c r="A467" s="2" t="s">
        <v>190</v>
      </c>
      <c r="B467" s="4">
        <v>0</v>
      </c>
      <c r="C467" s="5">
        <v>0</v>
      </c>
      <c r="D467" s="4">
        <v>0</v>
      </c>
      <c r="E467" s="5">
        <v>0</v>
      </c>
      <c r="F467" s="4">
        <v>0</v>
      </c>
      <c r="G467" s="5">
        <v>0</v>
      </c>
      <c r="H467" s="4">
        <v>0</v>
      </c>
    </row>
    <row r="468" spans="1:8" x14ac:dyDescent="0.2">
      <c r="A468" s="2" t="s">
        <v>191</v>
      </c>
      <c r="B468" s="4">
        <v>86</v>
      </c>
      <c r="C468" s="5">
        <v>10.94</v>
      </c>
      <c r="D468" s="4">
        <v>40</v>
      </c>
      <c r="E468" s="5">
        <v>8.9499999999999993</v>
      </c>
      <c r="F468" s="4">
        <v>46</v>
      </c>
      <c r="G468" s="5">
        <v>14.6</v>
      </c>
      <c r="H468" s="4">
        <v>0</v>
      </c>
    </row>
    <row r="469" spans="1:8" x14ac:dyDescent="0.2">
      <c r="A469" s="2" t="s">
        <v>192</v>
      </c>
      <c r="B469" s="4">
        <v>47</v>
      </c>
      <c r="C469" s="5">
        <v>5.98</v>
      </c>
      <c r="D469" s="4">
        <v>16</v>
      </c>
      <c r="E469" s="5">
        <v>3.58</v>
      </c>
      <c r="F469" s="4">
        <v>31</v>
      </c>
      <c r="G469" s="5">
        <v>9.84</v>
      </c>
      <c r="H469" s="4">
        <v>0</v>
      </c>
    </row>
    <row r="470" spans="1:8" x14ac:dyDescent="0.2">
      <c r="A470" s="2" t="s">
        <v>193</v>
      </c>
      <c r="B470" s="4">
        <v>1</v>
      </c>
      <c r="C470" s="5">
        <v>0.13</v>
      </c>
      <c r="D470" s="4">
        <v>0</v>
      </c>
      <c r="E470" s="5">
        <v>0</v>
      </c>
      <c r="F470" s="4">
        <v>1</v>
      </c>
      <c r="G470" s="5">
        <v>0.32</v>
      </c>
      <c r="H470" s="4">
        <v>0</v>
      </c>
    </row>
    <row r="471" spans="1:8" x14ac:dyDescent="0.2">
      <c r="A471" s="2" t="s">
        <v>194</v>
      </c>
      <c r="B471" s="4">
        <v>6</v>
      </c>
      <c r="C471" s="5">
        <v>0.76</v>
      </c>
      <c r="D471" s="4">
        <v>1</v>
      </c>
      <c r="E471" s="5">
        <v>0.22</v>
      </c>
      <c r="F471" s="4">
        <v>5</v>
      </c>
      <c r="G471" s="5">
        <v>1.59</v>
      </c>
      <c r="H471" s="4">
        <v>0</v>
      </c>
    </row>
    <row r="472" spans="1:8" x14ac:dyDescent="0.2">
      <c r="A472" s="2" t="s">
        <v>195</v>
      </c>
      <c r="B472" s="4">
        <v>16</v>
      </c>
      <c r="C472" s="5">
        <v>2.04</v>
      </c>
      <c r="D472" s="4">
        <v>3</v>
      </c>
      <c r="E472" s="5">
        <v>0.67</v>
      </c>
      <c r="F472" s="4">
        <v>13</v>
      </c>
      <c r="G472" s="5">
        <v>4.13</v>
      </c>
      <c r="H472" s="4">
        <v>0</v>
      </c>
    </row>
    <row r="473" spans="1:8" x14ac:dyDescent="0.2">
      <c r="A473" s="2" t="s">
        <v>196</v>
      </c>
      <c r="B473" s="4">
        <v>183</v>
      </c>
      <c r="C473" s="5">
        <v>23.28</v>
      </c>
      <c r="D473" s="4">
        <v>67</v>
      </c>
      <c r="E473" s="5">
        <v>14.99</v>
      </c>
      <c r="F473" s="4">
        <v>116</v>
      </c>
      <c r="G473" s="5">
        <v>36.83</v>
      </c>
      <c r="H473" s="4">
        <v>0</v>
      </c>
    </row>
    <row r="474" spans="1:8" x14ac:dyDescent="0.2">
      <c r="A474" s="2" t="s">
        <v>197</v>
      </c>
      <c r="B474" s="4">
        <v>15</v>
      </c>
      <c r="C474" s="5">
        <v>1.91</v>
      </c>
      <c r="D474" s="4">
        <v>1</v>
      </c>
      <c r="E474" s="5">
        <v>0.22</v>
      </c>
      <c r="F474" s="4">
        <v>14</v>
      </c>
      <c r="G474" s="5">
        <v>4.4400000000000004</v>
      </c>
      <c r="H474" s="4">
        <v>0</v>
      </c>
    </row>
    <row r="475" spans="1:8" x14ac:dyDescent="0.2">
      <c r="A475" s="2" t="s">
        <v>198</v>
      </c>
      <c r="B475" s="4">
        <v>73</v>
      </c>
      <c r="C475" s="5">
        <v>9.2899999999999991</v>
      </c>
      <c r="D475" s="4">
        <v>48</v>
      </c>
      <c r="E475" s="5">
        <v>10.74</v>
      </c>
      <c r="F475" s="4">
        <v>25</v>
      </c>
      <c r="G475" s="5">
        <v>7.94</v>
      </c>
      <c r="H475" s="4">
        <v>0</v>
      </c>
    </row>
    <row r="476" spans="1:8" x14ac:dyDescent="0.2">
      <c r="A476" s="2" t="s">
        <v>199</v>
      </c>
      <c r="B476" s="4">
        <v>28</v>
      </c>
      <c r="C476" s="5">
        <v>3.56</v>
      </c>
      <c r="D476" s="4">
        <v>18</v>
      </c>
      <c r="E476" s="5">
        <v>4.03</v>
      </c>
      <c r="F476" s="4">
        <v>6</v>
      </c>
      <c r="G476" s="5">
        <v>1.9</v>
      </c>
      <c r="H476" s="4">
        <v>3</v>
      </c>
    </row>
    <row r="477" spans="1:8" x14ac:dyDescent="0.2">
      <c r="A477" s="2" t="s">
        <v>200</v>
      </c>
      <c r="B477" s="4">
        <v>153</v>
      </c>
      <c r="C477" s="5">
        <v>19.47</v>
      </c>
      <c r="D477" s="4">
        <v>123</v>
      </c>
      <c r="E477" s="5">
        <v>27.52</v>
      </c>
      <c r="F477" s="4">
        <v>29</v>
      </c>
      <c r="G477" s="5">
        <v>9.2100000000000009</v>
      </c>
      <c r="H477" s="4">
        <v>0</v>
      </c>
    </row>
    <row r="478" spans="1:8" x14ac:dyDescent="0.2">
      <c r="A478" s="2" t="s">
        <v>201</v>
      </c>
      <c r="B478" s="4">
        <v>100</v>
      </c>
      <c r="C478" s="5">
        <v>12.72</v>
      </c>
      <c r="D478" s="4">
        <v>88</v>
      </c>
      <c r="E478" s="5">
        <v>19.690000000000001</v>
      </c>
      <c r="F478" s="4">
        <v>12</v>
      </c>
      <c r="G478" s="5">
        <v>3.81</v>
      </c>
      <c r="H478" s="4">
        <v>0</v>
      </c>
    </row>
    <row r="479" spans="1:8" x14ac:dyDescent="0.2">
      <c r="A479" s="2" t="s">
        <v>202</v>
      </c>
      <c r="B479" s="4">
        <v>15</v>
      </c>
      <c r="C479" s="5">
        <v>1.91</v>
      </c>
      <c r="D479" s="4">
        <v>12</v>
      </c>
      <c r="E479" s="5">
        <v>2.68</v>
      </c>
      <c r="F479" s="4">
        <v>2</v>
      </c>
      <c r="G479" s="5">
        <v>0.63</v>
      </c>
      <c r="H479" s="4">
        <v>0</v>
      </c>
    </row>
    <row r="480" spans="1:8" x14ac:dyDescent="0.2">
      <c r="A480" s="2" t="s">
        <v>203</v>
      </c>
      <c r="B480" s="4">
        <v>33</v>
      </c>
      <c r="C480" s="5">
        <v>4.2</v>
      </c>
      <c r="D480" s="4">
        <v>14</v>
      </c>
      <c r="E480" s="5">
        <v>3.13</v>
      </c>
      <c r="F480" s="4">
        <v>4</v>
      </c>
      <c r="G480" s="5">
        <v>1.27</v>
      </c>
      <c r="H480" s="4">
        <v>0</v>
      </c>
    </row>
    <row r="481" spans="1:8" x14ac:dyDescent="0.2">
      <c r="A481" s="2" t="s">
        <v>204</v>
      </c>
      <c r="B481" s="4">
        <v>30</v>
      </c>
      <c r="C481" s="5">
        <v>3.82</v>
      </c>
      <c r="D481" s="4">
        <v>16</v>
      </c>
      <c r="E481" s="5">
        <v>3.58</v>
      </c>
      <c r="F481" s="4">
        <v>11</v>
      </c>
      <c r="G481" s="5">
        <v>3.49</v>
      </c>
      <c r="H481" s="4">
        <v>1</v>
      </c>
    </row>
    <row r="482" spans="1:8" x14ac:dyDescent="0.2">
      <c r="A482" s="1" t="s">
        <v>30</v>
      </c>
      <c r="B482" s="4">
        <v>584</v>
      </c>
      <c r="C482" s="5">
        <v>99.98</v>
      </c>
      <c r="D482" s="4">
        <v>344</v>
      </c>
      <c r="E482" s="5">
        <v>99.999999999999986</v>
      </c>
      <c r="F482" s="4">
        <v>222</v>
      </c>
      <c r="G482" s="5">
        <v>99.970000000000013</v>
      </c>
      <c r="H482" s="4">
        <v>6</v>
      </c>
    </row>
    <row r="483" spans="1:8" x14ac:dyDescent="0.2">
      <c r="A483" s="2" t="s">
        <v>190</v>
      </c>
      <c r="B483" s="4">
        <v>1</v>
      </c>
      <c r="C483" s="5">
        <v>0.17</v>
      </c>
      <c r="D483" s="4">
        <v>0</v>
      </c>
      <c r="E483" s="5">
        <v>0</v>
      </c>
      <c r="F483" s="4">
        <v>1</v>
      </c>
      <c r="G483" s="5">
        <v>0.45</v>
      </c>
      <c r="H483" s="4">
        <v>0</v>
      </c>
    </row>
    <row r="484" spans="1:8" x14ac:dyDescent="0.2">
      <c r="A484" s="2" t="s">
        <v>191</v>
      </c>
      <c r="B484" s="4">
        <v>68</v>
      </c>
      <c r="C484" s="5">
        <v>11.64</v>
      </c>
      <c r="D484" s="4">
        <v>24</v>
      </c>
      <c r="E484" s="5">
        <v>6.98</v>
      </c>
      <c r="F484" s="4">
        <v>44</v>
      </c>
      <c r="G484" s="5">
        <v>19.82</v>
      </c>
      <c r="H484" s="4">
        <v>0</v>
      </c>
    </row>
    <row r="485" spans="1:8" x14ac:dyDescent="0.2">
      <c r="A485" s="2" t="s">
        <v>192</v>
      </c>
      <c r="B485" s="4">
        <v>37</v>
      </c>
      <c r="C485" s="5">
        <v>6.34</v>
      </c>
      <c r="D485" s="4">
        <v>6</v>
      </c>
      <c r="E485" s="5">
        <v>1.74</v>
      </c>
      <c r="F485" s="4">
        <v>30</v>
      </c>
      <c r="G485" s="5">
        <v>13.51</v>
      </c>
      <c r="H485" s="4">
        <v>0</v>
      </c>
    </row>
    <row r="486" spans="1:8" x14ac:dyDescent="0.2">
      <c r="A486" s="2" t="s">
        <v>193</v>
      </c>
      <c r="B486" s="4">
        <v>3</v>
      </c>
      <c r="C486" s="5">
        <v>0.51</v>
      </c>
      <c r="D486" s="4">
        <v>0</v>
      </c>
      <c r="E486" s="5">
        <v>0</v>
      </c>
      <c r="F486" s="4">
        <v>2</v>
      </c>
      <c r="G486" s="5">
        <v>0.9</v>
      </c>
      <c r="H486" s="4">
        <v>0</v>
      </c>
    </row>
    <row r="487" spans="1:8" x14ac:dyDescent="0.2">
      <c r="A487" s="2" t="s">
        <v>194</v>
      </c>
      <c r="B487" s="4">
        <v>1</v>
      </c>
      <c r="C487" s="5">
        <v>0.17</v>
      </c>
      <c r="D487" s="4">
        <v>0</v>
      </c>
      <c r="E487" s="5">
        <v>0</v>
      </c>
      <c r="F487" s="4">
        <v>1</v>
      </c>
      <c r="G487" s="5">
        <v>0.45</v>
      </c>
      <c r="H487" s="4">
        <v>0</v>
      </c>
    </row>
    <row r="488" spans="1:8" x14ac:dyDescent="0.2">
      <c r="A488" s="2" t="s">
        <v>195</v>
      </c>
      <c r="B488" s="4">
        <v>7</v>
      </c>
      <c r="C488" s="5">
        <v>1.2</v>
      </c>
      <c r="D488" s="4">
        <v>1</v>
      </c>
      <c r="E488" s="5">
        <v>0.28999999999999998</v>
      </c>
      <c r="F488" s="4">
        <v>4</v>
      </c>
      <c r="G488" s="5">
        <v>1.8</v>
      </c>
      <c r="H488" s="4">
        <v>2</v>
      </c>
    </row>
    <row r="489" spans="1:8" x14ac:dyDescent="0.2">
      <c r="A489" s="2" t="s">
        <v>196</v>
      </c>
      <c r="B489" s="4">
        <v>135</v>
      </c>
      <c r="C489" s="5">
        <v>23.12</v>
      </c>
      <c r="D489" s="4">
        <v>62</v>
      </c>
      <c r="E489" s="5">
        <v>18.02</v>
      </c>
      <c r="F489" s="4">
        <v>73</v>
      </c>
      <c r="G489" s="5">
        <v>32.880000000000003</v>
      </c>
      <c r="H489" s="4">
        <v>0</v>
      </c>
    </row>
    <row r="490" spans="1:8" x14ac:dyDescent="0.2">
      <c r="A490" s="2" t="s">
        <v>197</v>
      </c>
      <c r="B490" s="4">
        <v>4</v>
      </c>
      <c r="C490" s="5">
        <v>0.68</v>
      </c>
      <c r="D490" s="4">
        <v>1</v>
      </c>
      <c r="E490" s="5">
        <v>0.28999999999999998</v>
      </c>
      <c r="F490" s="4">
        <v>3</v>
      </c>
      <c r="G490" s="5">
        <v>1.35</v>
      </c>
      <c r="H490" s="4">
        <v>0</v>
      </c>
    </row>
    <row r="491" spans="1:8" x14ac:dyDescent="0.2">
      <c r="A491" s="2" t="s">
        <v>198</v>
      </c>
      <c r="B491" s="4">
        <v>41</v>
      </c>
      <c r="C491" s="5">
        <v>7.02</v>
      </c>
      <c r="D491" s="4">
        <v>33</v>
      </c>
      <c r="E491" s="5">
        <v>9.59</v>
      </c>
      <c r="F491" s="4">
        <v>7</v>
      </c>
      <c r="G491" s="5">
        <v>3.15</v>
      </c>
      <c r="H491" s="4">
        <v>0</v>
      </c>
    </row>
    <row r="492" spans="1:8" x14ac:dyDescent="0.2">
      <c r="A492" s="2" t="s">
        <v>199</v>
      </c>
      <c r="B492" s="4">
        <v>20</v>
      </c>
      <c r="C492" s="5">
        <v>3.42</v>
      </c>
      <c r="D492" s="4">
        <v>9</v>
      </c>
      <c r="E492" s="5">
        <v>2.62</v>
      </c>
      <c r="F492" s="4">
        <v>10</v>
      </c>
      <c r="G492" s="5">
        <v>4.5</v>
      </c>
      <c r="H492" s="4">
        <v>1</v>
      </c>
    </row>
    <row r="493" spans="1:8" x14ac:dyDescent="0.2">
      <c r="A493" s="2" t="s">
        <v>200</v>
      </c>
      <c r="B493" s="4">
        <v>107</v>
      </c>
      <c r="C493" s="5">
        <v>18.32</v>
      </c>
      <c r="D493" s="4">
        <v>97</v>
      </c>
      <c r="E493" s="5">
        <v>28.2</v>
      </c>
      <c r="F493" s="4">
        <v>10</v>
      </c>
      <c r="G493" s="5">
        <v>4.5</v>
      </c>
      <c r="H493" s="4">
        <v>0</v>
      </c>
    </row>
    <row r="494" spans="1:8" x14ac:dyDescent="0.2">
      <c r="A494" s="2" t="s">
        <v>201</v>
      </c>
      <c r="B494" s="4">
        <v>77</v>
      </c>
      <c r="C494" s="5">
        <v>13.18</v>
      </c>
      <c r="D494" s="4">
        <v>69</v>
      </c>
      <c r="E494" s="5">
        <v>20.059999999999999</v>
      </c>
      <c r="F494" s="4">
        <v>7</v>
      </c>
      <c r="G494" s="5">
        <v>3.15</v>
      </c>
      <c r="H494" s="4">
        <v>1</v>
      </c>
    </row>
    <row r="495" spans="1:8" x14ac:dyDescent="0.2">
      <c r="A495" s="2" t="s">
        <v>202</v>
      </c>
      <c r="B495" s="4">
        <v>24</v>
      </c>
      <c r="C495" s="5">
        <v>4.1100000000000003</v>
      </c>
      <c r="D495" s="4">
        <v>14</v>
      </c>
      <c r="E495" s="5">
        <v>4.07</v>
      </c>
      <c r="F495" s="4">
        <v>2</v>
      </c>
      <c r="G495" s="5">
        <v>0.9</v>
      </c>
      <c r="H495" s="4">
        <v>1</v>
      </c>
    </row>
    <row r="496" spans="1:8" x14ac:dyDescent="0.2">
      <c r="A496" s="2" t="s">
        <v>203</v>
      </c>
      <c r="B496" s="4">
        <v>39</v>
      </c>
      <c r="C496" s="5">
        <v>6.68</v>
      </c>
      <c r="D496" s="4">
        <v>15</v>
      </c>
      <c r="E496" s="5">
        <v>4.3600000000000003</v>
      </c>
      <c r="F496" s="4">
        <v>22</v>
      </c>
      <c r="G496" s="5">
        <v>9.91</v>
      </c>
      <c r="H496" s="4">
        <v>1</v>
      </c>
    </row>
    <row r="497" spans="1:8" x14ac:dyDescent="0.2">
      <c r="A497" s="2" t="s">
        <v>204</v>
      </c>
      <c r="B497" s="4">
        <v>20</v>
      </c>
      <c r="C497" s="5">
        <v>3.42</v>
      </c>
      <c r="D497" s="4">
        <v>13</v>
      </c>
      <c r="E497" s="5">
        <v>3.78</v>
      </c>
      <c r="F497" s="4">
        <v>6</v>
      </c>
      <c r="G497" s="5">
        <v>2.7</v>
      </c>
      <c r="H497" s="4">
        <v>0</v>
      </c>
    </row>
    <row r="498" spans="1:8" x14ac:dyDescent="0.2">
      <c r="A498" s="1" t="s">
        <v>31</v>
      </c>
      <c r="B498" s="4">
        <v>782</v>
      </c>
      <c r="C498" s="5">
        <v>99.989999999999981</v>
      </c>
      <c r="D498" s="4">
        <v>475</v>
      </c>
      <c r="E498" s="5">
        <v>99.99</v>
      </c>
      <c r="F498" s="4">
        <v>292</v>
      </c>
      <c r="G498" s="5">
        <v>99.97999999999999</v>
      </c>
      <c r="H498" s="4">
        <v>3</v>
      </c>
    </row>
    <row r="499" spans="1:8" x14ac:dyDescent="0.2">
      <c r="A499" s="2" t="s">
        <v>190</v>
      </c>
      <c r="B499" s="4">
        <v>0</v>
      </c>
      <c r="C499" s="5">
        <v>0</v>
      </c>
      <c r="D499" s="4">
        <v>0</v>
      </c>
      <c r="E499" s="5">
        <v>0</v>
      </c>
      <c r="F499" s="4">
        <v>0</v>
      </c>
      <c r="G499" s="5">
        <v>0</v>
      </c>
      <c r="H499" s="4">
        <v>0</v>
      </c>
    </row>
    <row r="500" spans="1:8" x14ac:dyDescent="0.2">
      <c r="A500" s="2" t="s">
        <v>191</v>
      </c>
      <c r="B500" s="4">
        <v>65</v>
      </c>
      <c r="C500" s="5">
        <v>8.31</v>
      </c>
      <c r="D500" s="4">
        <v>28</v>
      </c>
      <c r="E500" s="5">
        <v>5.89</v>
      </c>
      <c r="F500" s="4">
        <v>37</v>
      </c>
      <c r="G500" s="5">
        <v>12.67</v>
      </c>
      <c r="H500" s="4">
        <v>0</v>
      </c>
    </row>
    <row r="501" spans="1:8" x14ac:dyDescent="0.2">
      <c r="A501" s="2" t="s">
        <v>192</v>
      </c>
      <c r="B501" s="4">
        <v>31</v>
      </c>
      <c r="C501" s="5">
        <v>3.96</v>
      </c>
      <c r="D501" s="4">
        <v>6</v>
      </c>
      <c r="E501" s="5">
        <v>1.26</v>
      </c>
      <c r="F501" s="4">
        <v>25</v>
      </c>
      <c r="G501" s="5">
        <v>8.56</v>
      </c>
      <c r="H501" s="4">
        <v>0</v>
      </c>
    </row>
    <row r="502" spans="1:8" x14ac:dyDescent="0.2">
      <c r="A502" s="2" t="s">
        <v>193</v>
      </c>
      <c r="B502" s="4">
        <v>2</v>
      </c>
      <c r="C502" s="5">
        <v>0.26</v>
      </c>
      <c r="D502" s="4">
        <v>0</v>
      </c>
      <c r="E502" s="5">
        <v>0</v>
      </c>
      <c r="F502" s="4">
        <v>1</v>
      </c>
      <c r="G502" s="5">
        <v>0.34</v>
      </c>
      <c r="H502" s="4">
        <v>0</v>
      </c>
    </row>
    <row r="503" spans="1:8" x14ac:dyDescent="0.2">
      <c r="A503" s="2" t="s">
        <v>194</v>
      </c>
      <c r="B503" s="4">
        <v>3</v>
      </c>
      <c r="C503" s="5">
        <v>0.38</v>
      </c>
      <c r="D503" s="4">
        <v>1</v>
      </c>
      <c r="E503" s="5">
        <v>0.21</v>
      </c>
      <c r="F503" s="4">
        <v>2</v>
      </c>
      <c r="G503" s="5">
        <v>0.68</v>
      </c>
      <c r="H503" s="4">
        <v>0</v>
      </c>
    </row>
    <row r="504" spans="1:8" x14ac:dyDescent="0.2">
      <c r="A504" s="2" t="s">
        <v>195</v>
      </c>
      <c r="B504" s="4">
        <v>10</v>
      </c>
      <c r="C504" s="5">
        <v>1.28</v>
      </c>
      <c r="D504" s="4">
        <v>3</v>
      </c>
      <c r="E504" s="5">
        <v>0.63</v>
      </c>
      <c r="F504" s="4">
        <v>7</v>
      </c>
      <c r="G504" s="5">
        <v>2.4</v>
      </c>
      <c r="H504" s="4">
        <v>0</v>
      </c>
    </row>
    <row r="505" spans="1:8" x14ac:dyDescent="0.2">
      <c r="A505" s="2" t="s">
        <v>196</v>
      </c>
      <c r="B505" s="4">
        <v>166</v>
      </c>
      <c r="C505" s="5">
        <v>21.23</v>
      </c>
      <c r="D505" s="4">
        <v>68</v>
      </c>
      <c r="E505" s="5">
        <v>14.32</v>
      </c>
      <c r="F505" s="4">
        <v>98</v>
      </c>
      <c r="G505" s="5">
        <v>33.56</v>
      </c>
      <c r="H505" s="4">
        <v>0</v>
      </c>
    </row>
    <row r="506" spans="1:8" x14ac:dyDescent="0.2">
      <c r="A506" s="2" t="s">
        <v>197</v>
      </c>
      <c r="B506" s="4">
        <v>13</v>
      </c>
      <c r="C506" s="5">
        <v>1.66</v>
      </c>
      <c r="D506" s="4">
        <v>3</v>
      </c>
      <c r="E506" s="5">
        <v>0.63</v>
      </c>
      <c r="F506" s="4">
        <v>10</v>
      </c>
      <c r="G506" s="5">
        <v>3.42</v>
      </c>
      <c r="H506" s="4">
        <v>0</v>
      </c>
    </row>
    <row r="507" spans="1:8" x14ac:dyDescent="0.2">
      <c r="A507" s="2" t="s">
        <v>198</v>
      </c>
      <c r="B507" s="4">
        <v>123</v>
      </c>
      <c r="C507" s="5">
        <v>15.73</v>
      </c>
      <c r="D507" s="4">
        <v>95</v>
      </c>
      <c r="E507" s="5">
        <v>20</v>
      </c>
      <c r="F507" s="4">
        <v>28</v>
      </c>
      <c r="G507" s="5">
        <v>9.59</v>
      </c>
      <c r="H507" s="4">
        <v>0</v>
      </c>
    </row>
    <row r="508" spans="1:8" x14ac:dyDescent="0.2">
      <c r="A508" s="2" t="s">
        <v>199</v>
      </c>
      <c r="B508" s="4">
        <v>24</v>
      </c>
      <c r="C508" s="5">
        <v>3.07</v>
      </c>
      <c r="D508" s="4">
        <v>18</v>
      </c>
      <c r="E508" s="5">
        <v>3.79</v>
      </c>
      <c r="F508" s="4">
        <v>5</v>
      </c>
      <c r="G508" s="5">
        <v>1.71</v>
      </c>
      <c r="H508" s="4">
        <v>0</v>
      </c>
    </row>
    <row r="509" spans="1:8" x14ac:dyDescent="0.2">
      <c r="A509" s="2" t="s">
        <v>200</v>
      </c>
      <c r="B509" s="4">
        <v>130</v>
      </c>
      <c r="C509" s="5">
        <v>16.62</v>
      </c>
      <c r="D509" s="4">
        <v>118</v>
      </c>
      <c r="E509" s="5">
        <v>24.84</v>
      </c>
      <c r="F509" s="4">
        <v>12</v>
      </c>
      <c r="G509" s="5">
        <v>4.1100000000000003</v>
      </c>
      <c r="H509" s="4">
        <v>0</v>
      </c>
    </row>
    <row r="510" spans="1:8" x14ac:dyDescent="0.2">
      <c r="A510" s="2" t="s">
        <v>201</v>
      </c>
      <c r="B510" s="4">
        <v>112</v>
      </c>
      <c r="C510" s="5">
        <v>14.32</v>
      </c>
      <c r="D510" s="4">
        <v>86</v>
      </c>
      <c r="E510" s="5">
        <v>18.11</v>
      </c>
      <c r="F510" s="4">
        <v>25</v>
      </c>
      <c r="G510" s="5">
        <v>8.56</v>
      </c>
      <c r="H510" s="4">
        <v>1</v>
      </c>
    </row>
    <row r="511" spans="1:8" x14ac:dyDescent="0.2">
      <c r="A511" s="2" t="s">
        <v>202</v>
      </c>
      <c r="B511" s="4">
        <v>21</v>
      </c>
      <c r="C511" s="5">
        <v>2.69</v>
      </c>
      <c r="D511" s="4">
        <v>16</v>
      </c>
      <c r="E511" s="5">
        <v>3.37</v>
      </c>
      <c r="F511" s="4">
        <v>2</v>
      </c>
      <c r="G511" s="5">
        <v>0.68</v>
      </c>
      <c r="H511" s="4">
        <v>0</v>
      </c>
    </row>
    <row r="512" spans="1:8" x14ac:dyDescent="0.2">
      <c r="A512" s="2" t="s">
        <v>203</v>
      </c>
      <c r="B512" s="4">
        <v>51</v>
      </c>
      <c r="C512" s="5">
        <v>6.52</v>
      </c>
      <c r="D512" s="4">
        <v>24</v>
      </c>
      <c r="E512" s="5">
        <v>5.05</v>
      </c>
      <c r="F512" s="4">
        <v>23</v>
      </c>
      <c r="G512" s="5">
        <v>7.88</v>
      </c>
      <c r="H512" s="4">
        <v>0</v>
      </c>
    </row>
    <row r="513" spans="1:8" x14ac:dyDescent="0.2">
      <c r="A513" s="2" t="s">
        <v>204</v>
      </c>
      <c r="B513" s="4">
        <v>31</v>
      </c>
      <c r="C513" s="5">
        <v>3.96</v>
      </c>
      <c r="D513" s="4">
        <v>9</v>
      </c>
      <c r="E513" s="5">
        <v>1.89</v>
      </c>
      <c r="F513" s="4">
        <v>17</v>
      </c>
      <c r="G513" s="5">
        <v>5.82</v>
      </c>
      <c r="H513" s="4">
        <v>2</v>
      </c>
    </row>
    <row r="514" spans="1:8" x14ac:dyDescent="0.2">
      <c r="A514" s="1" t="s">
        <v>32</v>
      </c>
      <c r="B514" s="4">
        <v>187</v>
      </c>
      <c r="C514" s="5">
        <v>99.97</v>
      </c>
      <c r="D514" s="4">
        <v>75</v>
      </c>
      <c r="E514" s="5">
        <v>100</v>
      </c>
      <c r="F514" s="4">
        <v>103</v>
      </c>
      <c r="G514" s="5">
        <v>99.989999999999981</v>
      </c>
      <c r="H514" s="4">
        <v>2</v>
      </c>
    </row>
    <row r="515" spans="1:8" x14ac:dyDescent="0.2">
      <c r="A515" s="2" t="s">
        <v>190</v>
      </c>
      <c r="B515" s="4">
        <v>0</v>
      </c>
      <c r="C515" s="5">
        <v>0</v>
      </c>
      <c r="D515" s="4">
        <v>0</v>
      </c>
      <c r="E515" s="5">
        <v>0</v>
      </c>
      <c r="F515" s="4">
        <v>0</v>
      </c>
      <c r="G515" s="5">
        <v>0</v>
      </c>
      <c r="H515" s="4">
        <v>0</v>
      </c>
    </row>
    <row r="516" spans="1:8" x14ac:dyDescent="0.2">
      <c r="A516" s="2" t="s">
        <v>191</v>
      </c>
      <c r="B516" s="4">
        <v>30</v>
      </c>
      <c r="C516" s="5">
        <v>16.04</v>
      </c>
      <c r="D516" s="4">
        <v>5</v>
      </c>
      <c r="E516" s="5">
        <v>6.67</v>
      </c>
      <c r="F516" s="4">
        <v>25</v>
      </c>
      <c r="G516" s="5">
        <v>24.27</v>
      </c>
      <c r="H516" s="4">
        <v>0</v>
      </c>
    </row>
    <row r="517" spans="1:8" x14ac:dyDescent="0.2">
      <c r="A517" s="2" t="s">
        <v>192</v>
      </c>
      <c r="B517" s="4">
        <v>13</v>
      </c>
      <c r="C517" s="5">
        <v>6.95</v>
      </c>
      <c r="D517" s="4">
        <v>2</v>
      </c>
      <c r="E517" s="5">
        <v>2.67</v>
      </c>
      <c r="F517" s="4">
        <v>11</v>
      </c>
      <c r="G517" s="5">
        <v>10.68</v>
      </c>
      <c r="H517" s="4">
        <v>0</v>
      </c>
    </row>
    <row r="518" spans="1:8" x14ac:dyDescent="0.2">
      <c r="A518" s="2" t="s">
        <v>193</v>
      </c>
      <c r="B518" s="4">
        <v>3</v>
      </c>
      <c r="C518" s="5">
        <v>1.6</v>
      </c>
      <c r="D518" s="4">
        <v>0</v>
      </c>
      <c r="E518" s="5">
        <v>0</v>
      </c>
      <c r="F518" s="4">
        <v>1</v>
      </c>
      <c r="G518" s="5">
        <v>0.97</v>
      </c>
      <c r="H518" s="4">
        <v>0</v>
      </c>
    </row>
    <row r="519" spans="1:8" x14ac:dyDescent="0.2">
      <c r="A519" s="2" t="s">
        <v>194</v>
      </c>
      <c r="B519" s="4">
        <v>0</v>
      </c>
      <c r="C519" s="5">
        <v>0</v>
      </c>
      <c r="D519" s="4">
        <v>0</v>
      </c>
      <c r="E519" s="5">
        <v>0</v>
      </c>
      <c r="F519" s="4">
        <v>0</v>
      </c>
      <c r="G519" s="5">
        <v>0</v>
      </c>
      <c r="H519" s="4">
        <v>0</v>
      </c>
    </row>
    <row r="520" spans="1:8" x14ac:dyDescent="0.2">
      <c r="A520" s="2" t="s">
        <v>195</v>
      </c>
      <c r="B520" s="4">
        <v>0</v>
      </c>
      <c r="C520" s="5">
        <v>0</v>
      </c>
      <c r="D520" s="4">
        <v>0</v>
      </c>
      <c r="E520" s="5">
        <v>0</v>
      </c>
      <c r="F520" s="4">
        <v>0</v>
      </c>
      <c r="G520" s="5">
        <v>0</v>
      </c>
      <c r="H520" s="4">
        <v>0</v>
      </c>
    </row>
    <row r="521" spans="1:8" x14ac:dyDescent="0.2">
      <c r="A521" s="2" t="s">
        <v>196</v>
      </c>
      <c r="B521" s="4">
        <v>60</v>
      </c>
      <c r="C521" s="5">
        <v>32.090000000000003</v>
      </c>
      <c r="D521" s="4">
        <v>21</v>
      </c>
      <c r="E521" s="5">
        <v>28</v>
      </c>
      <c r="F521" s="4">
        <v>39</v>
      </c>
      <c r="G521" s="5">
        <v>37.86</v>
      </c>
      <c r="H521" s="4">
        <v>0</v>
      </c>
    </row>
    <row r="522" spans="1:8" x14ac:dyDescent="0.2">
      <c r="A522" s="2" t="s">
        <v>197</v>
      </c>
      <c r="B522" s="4">
        <v>1</v>
      </c>
      <c r="C522" s="5">
        <v>0.53</v>
      </c>
      <c r="D522" s="4">
        <v>0</v>
      </c>
      <c r="E522" s="5">
        <v>0</v>
      </c>
      <c r="F522" s="4">
        <v>1</v>
      </c>
      <c r="G522" s="5">
        <v>0.97</v>
      </c>
      <c r="H522" s="4">
        <v>0</v>
      </c>
    </row>
    <row r="523" spans="1:8" x14ac:dyDescent="0.2">
      <c r="A523" s="2" t="s">
        <v>198</v>
      </c>
      <c r="B523" s="4">
        <v>5</v>
      </c>
      <c r="C523" s="5">
        <v>2.67</v>
      </c>
      <c r="D523" s="4">
        <v>0</v>
      </c>
      <c r="E523" s="5">
        <v>0</v>
      </c>
      <c r="F523" s="4">
        <v>4</v>
      </c>
      <c r="G523" s="5">
        <v>3.88</v>
      </c>
      <c r="H523" s="4">
        <v>0</v>
      </c>
    </row>
    <row r="524" spans="1:8" x14ac:dyDescent="0.2">
      <c r="A524" s="2" t="s">
        <v>199</v>
      </c>
      <c r="B524" s="4">
        <v>3</v>
      </c>
      <c r="C524" s="5">
        <v>1.6</v>
      </c>
      <c r="D524" s="4">
        <v>1</v>
      </c>
      <c r="E524" s="5">
        <v>1.33</v>
      </c>
      <c r="F524" s="4">
        <v>1</v>
      </c>
      <c r="G524" s="5">
        <v>0.97</v>
      </c>
      <c r="H524" s="4">
        <v>0</v>
      </c>
    </row>
    <row r="525" spans="1:8" x14ac:dyDescent="0.2">
      <c r="A525" s="2" t="s">
        <v>200</v>
      </c>
      <c r="B525" s="4">
        <v>24</v>
      </c>
      <c r="C525" s="5">
        <v>12.83</v>
      </c>
      <c r="D525" s="4">
        <v>17</v>
      </c>
      <c r="E525" s="5">
        <v>22.67</v>
      </c>
      <c r="F525" s="4">
        <v>6</v>
      </c>
      <c r="G525" s="5">
        <v>5.83</v>
      </c>
      <c r="H525" s="4">
        <v>0</v>
      </c>
    </row>
    <row r="526" spans="1:8" x14ac:dyDescent="0.2">
      <c r="A526" s="2" t="s">
        <v>201</v>
      </c>
      <c r="B526" s="4">
        <v>32</v>
      </c>
      <c r="C526" s="5">
        <v>17.11</v>
      </c>
      <c r="D526" s="4">
        <v>23</v>
      </c>
      <c r="E526" s="5">
        <v>30.67</v>
      </c>
      <c r="F526" s="4">
        <v>9</v>
      </c>
      <c r="G526" s="5">
        <v>8.74</v>
      </c>
      <c r="H526" s="4">
        <v>0</v>
      </c>
    </row>
    <row r="527" spans="1:8" x14ac:dyDescent="0.2">
      <c r="A527" s="2" t="s">
        <v>202</v>
      </c>
      <c r="B527" s="4">
        <v>3</v>
      </c>
      <c r="C527" s="5">
        <v>1.6</v>
      </c>
      <c r="D527" s="4">
        <v>1</v>
      </c>
      <c r="E527" s="5">
        <v>1.33</v>
      </c>
      <c r="F527" s="4">
        <v>0</v>
      </c>
      <c r="G527" s="5">
        <v>0</v>
      </c>
      <c r="H527" s="4">
        <v>0</v>
      </c>
    </row>
    <row r="528" spans="1:8" x14ac:dyDescent="0.2">
      <c r="A528" s="2" t="s">
        <v>203</v>
      </c>
      <c r="B528" s="4">
        <v>6</v>
      </c>
      <c r="C528" s="5">
        <v>3.21</v>
      </c>
      <c r="D528" s="4">
        <v>1</v>
      </c>
      <c r="E528" s="5">
        <v>1.33</v>
      </c>
      <c r="F528" s="4">
        <v>4</v>
      </c>
      <c r="G528" s="5">
        <v>3.88</v>
      </c>
      <c r="H528" s="4">
        <v>1</v>
      </c>
    </row>
    <row r="529" spans="1:8" x14ac:dyDescent="0.2">
      <c r="A529" s="2" t="s">
        <v>204</v>
      </c>
      <c r="B529" s="4">
        <v>7</v>
      </c>
      <c r="C529" s="5">
        <v>3.74</v>
      </c>
      <c r="D529" s="4">
        <v>4</v>
      </c>
      <c r="E529" s="5">
        <v>5.33</v>
      </c>
      <c r="F529" s="4">
        <v>2</v>
      </c>
      <c r="G529" s="5">
        <v>1.94</v>
      </c>
      <c r="H529" s="4">
        <v>1</v>
      </c>
    </row>
    <row r="530" spans="1:8" x14ac:dyDescent="0.2">
      <c r="A530" s="1" t="s">
        <v>33</v>
      </c>
      <c r="B530" s="4">
        <v>804</v>
      </c>
      <c r="C530" s="5">
        <v>100</v>
      </c>
      <c r="D530" s="4">
        <v>435</v>
      </c>
      <c r="E530" s="5">
        <v>100.01</v>
      </c>
      <c r="F530" s="4">
        <v>345</v>
      </c>
      <c r="G530" s="5">
        <v>100.00999999999998</v>
      </c>
      <c r="H530" s="4">
        <v>3</v>
      </c>
    </row>
    <row r="531" spans="1:8" x14ac:dyDescent="0.2">
      <c r="A531" s="2" t="s">
        <v>190</v>
      </c>
      <c r="B531" s="4">
        <v>0</v>
      </c>
      <c r="C531" s="5">
        <v>0</v>
      </c>
      <c r="D531" s="4">
        <v>0</v>
      </c>
      <c r="E531" s="5">
        <v>0</v>
      </c>
      <c r="F531" s="4">
        <v>0</v>
      </c>
      <c r="G531" s="5">
        <v>0</v>
      </c>
      <c r="H531" s="4">
        <v>0</v>
      </c>
    </row>
    <row r="532" spans="1:8" x14ac:dyDescent="0.2">
      <c r="A532" s="2" t="s">
        <v>191</v>
      </c>
      <c r="B532" s="4">
        <v>82</v>
      </c>
      <c r="C532" s="5">
        <v>10.199999999999999</v>
      </c>
      <c r="D532" s="4">
        <v>29</v>
      </c>
      <c r="E532" s="5">
        <v>6.67</v>
      </c>
      <c r="F532" s="4">
        <v>53</v>
      </c>
      <c r="G532" s="5">
        <v>15.36</v>
      </c>
      <c r="H532" s="4">
        <v>0</v>
      </c>
    </row>
    <row r="533" spans="1:8" x14ac:dyDescent="0.2">
      <c r="A533" s="2" t="s">
        <v>192</v>
      </c>
      <c r="B533" s="4">
        <v>79</v>
      </c>
      <c r="C533" s="5">
        <v>9.83</v>
      </c>
      <c r="D533" s="4">
        <v>23</v>
      </c>
      <c r="E533" s="5">
        <v>5.29</v>
      </c>
      <c r="F533" s="4">
        <v>55</v>
      </c>
      <c r="G533" s="5">
        <v>15.94</v>
      </c>
      <c r="H533" s="4">
        <v>1</v>
      </c>
    </row>
    <row r="534" spans="1:8" x14ac:dyDescent="0.2">
      <c r="A534" s="2" t="s">
        <v>193</v>
      </c>
      <c r="B534" s="4">
        <v>4</v>
      </c>
      <c r="C534" s="5">
        <v>0.5</v>
      </c>
      <c r="D534" s="4">
        <v>0</v>
      </c>
      <c r="E534" s="5">
        <v>0</v>
      </c>
      <c r="F534" s="4">
        <v>3</v>
      </c>
      <c r="G534" s="5">
        <v>0.87</v>
      </c>
      <c r="H534" s="4">
        <v>0</v>
      </c>
    </row>
    <row r="535" spans="1:8" x14ac:dyDescent="0.2">
      <c r="A535" s="2" t="s">
        <v>194</v>
      </c>
      <c r="B535" s="4">
        <v>7</v>
      </c>
      <c r="C535" s="5">
        <v>0.87</v>
      </c>
      <c r="D535" s="4">
        <v>1</v>
      </c>
      <c r="E535" s="5">
        <v>0.23</v>
      </c>
      <c r="F535" s="4">
        <v>6</v>
      </c>
      <c r="G535" s="5">
        <v>1.74</v>
      </c>
      <c r="H535" s="4">
        <v>0</v>
      </c>
    </row>
    <row r="536" spans="1:8" x14ac:dyDescent="0.2">
      <c r="A536" s="2" t="s">
        <v>195</v>
      </c>
      <c r="B536" s="4">
        <v>14</v>
      </c>
      <c r="C536" s="5">
        <v>1.74</v>
      </c>
      <c r="D536" s="4">
        <v>0</v>
      </c>
      <c r="E536" s="5">
        <v>0</v>
      </c>
      <c r="F536" s="4">
        <v>10</v>
      </c>
      <c r="G536" s="5">
        <v>2.9</v>
      </c>
      <c r="H536" s="4">
        <v>2</v>
      </c>
    </row>
    <row r="537" spans="1:8" x14ac:dyDescent="0.2">
      <c r="A537" s="2" t="s">
        <v>196</v>
      </c>
      <c r="B537" s="4">
        <v>184</v>
      </c>
      <c r="C537" s="5">
        <v>22.89</v>
      </c>
      <c r="D537" s="4">
        <v>70</v>
      </c>
      <c r="E537" s="5">
        <v>16.09</v>
      </c>
      <c r="F537" s="4">
        <v>114</v>
      </c>
      <c r="G537" s="5">
        <v>33.04</v>
      </c>
      <c r="H537" s="4">
        <v>0</v>
      </c>
    </row>
    <row r="538" spans="1:8" x14ac:dyDescent="0.2">
      <c r="A538" s="2" t="s">
        <v>197</v>
      </c>
      <c r="B538" s="4">
        <v>9</v>
      </c>
      <c r="C538" s="5">
        <v>1.1200000000000001</v>
      </c>
      <c r="D538" s="4">
        <v>3</v>
      </c>
      <c r="E538" s="5">
        <v>0.69</v>
      </c>
      <c r="F538" s="4">
        <v>6</v>
      </c>
      <c r="G538" s="5">
        <v>1.74</v>
      </c>
      <c r="H538" s="4">
        <v>0</v>
      </c>
    </row>
    <row r="539" spans="1:8" x14ac:dyDescent="0.2">
      <c r="A539" s="2" t="s">
        <v>198</v>
      </c>
      <c r="B539" s="4">
        <v>49</v>
      </c>
      <c r="C539" s="5">
        <v>6.09</v>
      </c>
      <c r="D539" s="4">
        <v>16</v>
      </c>
      <c r="E539" s="5">
        <v>3.68</v>
      </c>
      <c r="F539" s="4">
        <v>31</v>
      </c>
      <c r="G539" s="5">
        <v>8.99</v>
      </c>
      <c r="H539" s="4">
        <v>0</v>
      </c>
    </row>
    <row r="540" spans="1:8" x14ac:dyDescent="0.2">
      <c r="A540" s="2" t="s">
        <v>199</v>
      </c>
      <c r="B540" s="4">
        <v>19</v>
      </c>
      <c r="C540" s="5">
        <v>2.36</v>
      </c>
      <c r="D540" s="4">
        <v>11</v>
      </c>
      <c r="E540" s="5">
        <v>2.5299999999999998</v>
      </c>
      <c r="F540" s="4">
        <v>6</v>
      </c>
      <c r="G540" s="5">
        <v>1.74</v>
      </c>
      <c r="H540" s="4">
        <v>0</v>
      </c>
    </row>
    <row r="541" spans="1:8" x14ac:dyDescent="0.2">
      <c r="A541" s="2" t="s">
        <v>200</v>
      </c>
      <c r="B541" s="4">
        <v>148</v>
      </c>
      <c r="C541" s="5">
        <v>18.41</v>
      </c>
      <c r="D541" s="4">
        <v>133</v>
      </c>
      <c r="E541" s="5">
        <v>30.57</v>
      </c>
      <c r="F541" s="4">
        <v>15</v>
      </c>
      <c r="G541" s="5">
        <v>4.3499999999999996</v>
      </c>
      <c r="H541" s="4">
        <v>0</v>
      </c>
    </row>
    <row r="542" spans="1:8" x14ac:dyDescent="0.2">
      <c r="A542" s="2" t="s">
        <v>201</v>
      </c>
      <c r="B542" s="4">
        <v>126</v>
      </c>
      <c r="C542" s="5">
        <v>15.67</v>
      </c>
      <c r="D542" s="4">
        <v>104</v>
      </c>
      <c r="E542" s="5">
        <v>23.91</v>
      </c>
      <c r="F542" s="4">
        <v>20</v>
      </c>
      <c r="G542" s="5">
        <v>5.8</v>
      </c>
      <c r="H542" s="4">
        <v>0</v>
      </c>
    </row>
    <row r="543" spans="1:8" x14ac:dyDescent="0.2">
      <c r="A543" s="2" t="s">
        <v>202</v>
      </c>
      <c r="B543" s="4">
        <v>19</v>
      </c>
      <c r="C543" s="5">
        <v>2.36</v>
      </c>
      <c r="D543" s="4">
        <v>16</v>
      </c>
      <c r="E543" s="5">
        <v>3.68</v>
      </c>
      <c r="F543" s="4">
        <v>1</v>
      </c>
      <c r="G543" s="5">
        <v>0.28999999999999998</v>
      </c>
      <c r="H543" s="4">
        <v>0</v>
      </c>
    </row>
    <row r="544" spans="1:8" x14ac:dyDescent="0.2">
      <c r="A544" s="2" t="s">
        <v>203</v>
      </c>
      <c r="B544" s="4">
        <v>30</v>
      </c>
      <c r="C544" s="5">
        <v>3.73</v>
      </c>
      <c r="D544" s="4">
        <v>14</v>
      </c>
      <c r="E544" s="5">
        <v>3.22</v>
      </c>
      <c r="F544" s="4">
        <v>10</v>
      </c>
      <c r="G544" s="5">
        <v>2.9</v>
      </c>
      <c r="H544" s="4">
        <v>0</v>
      </c>
    </row>
    <row r="545" spans="1:8" x14ac:dyDescent="0.2">
      <c r="A545" s="2" t="s">
        <v>204</v>
      </c>
      <c r="B545" s="4">
        <v>34</v>
      </c>
      <c r="C545" s="5">
        <v>4.2300000000000004</v>
      </c>
      <c r="D545" s="4">
        <v>15</v>
      </c>
      <c r="E545" s="5">
        <v>3.45</v>
      </c>
      <c r="F545" s="4">
        <v>15</v>
      </c>
      <c r="G545" s="5">
        <v>4.3499999999999996</v>
      </c>
      <c r="H545" s="4">
        <v>0</v>
      </c>
    </row>
    <row r="546" spans="1:8" x14ac:dyDescent="0.2">
      <c r="A546" s="1" t="s">
        <v>34</v>
      </c>
      <c r="B546" s="4">
        <v>1525</v>
      </c>
      <c r="C546" s="5">
        <v>100.01</v>
      </c>
      <c r="D546" s="4">
        <v>624</v>
      </c>
      <c r="E546" s="5">
        <v>99.97999999999999</v>
      </c>
      <c r="F546" s="4">
        <v>890</v>
      </c>
      <c r="G546" s="5">
        <v>99.990000000000009</v>
      </c>
      <c r="H546" s="4">
        <v>0</v>
      </c>
    </row>
    <row r="547" spans="1:8" x14ac:dyDescent="0.2">
      <c r="A547" s="2" t="s">
        <v>190</v>
      </c>
      <c r="B547" s="4">
        <v>0</v>
      </c>
      <c r="C547" s="5">
        <v>0</v>
      </c>
      <c r="D547" s="4">
        <v>0</v>
      </c>
      <c r="E547" s="5">
        <v>0</v>
      </c>
      <c r="F547" s="4">
        <v>0</v>
      </c>
      <c r="G547" s="5">
        <v>0</v>
      </c>
      <c r="H547" s="4">
        <v>0</v>
      </c>
    </row>
    <row r="548" spans="1:8" x14ac:dyDescent="0.2">
      <c r="A548" s="2" t="s">
        <v>191</v>
      </c>
      <c r="B548" s="4">
        <v>173</v>
      </c>
      <c r="C548" s="5">
        <v>11.34</v>
      </c>
      <c r="D548" s="4">
        <v>19</v>
      </c>
      <c r="E548" s="5">
        <v>3.04</v>
      </c>
      <c r="F548" s="4">
        <v>154</v>
      </c>
      <c r="G548" s="5">
        <v>17.3</v>
      </c>
      <c r="H548" s="4">
        <v>0</v>
      </c>
    </row>
    <row r="549" spans="1:8" x14ac:dyDescent="0.2">
      <c r="A549" s="2" t="s">
        <v>192</v>
      </c>
      <c r="B549" s="4">
        <v>64</v>
      </c>
      <c r="C549" s="5">
        <v>4.2</v>
      </c>
      <c r="D549" s="4">
        <v>9</v>
      </c>
      <c r="E549" s="5">
        <v>1.44</v>
      </c>
      <c r="F549" s="4">
        <v>55</v>
      </c>
      <c r="G549" s="5">
        <v>6.18</v>
      </c>
      <c r="H549" s="4">
        <v>0</v>
      </c>
    </row>
    <row r="550" spans="1:8" x14ac:dyDescent="0.2">
      <c r="A550" s="2" t="s">
        <v>193</v>
      </c>
      <c r="B550" s="4">
        <v>1</v>
      </c>
      <c r="C550" s="5">
        <v>7.0000000000000007E-2</v>
      </c>
      <c r="D550" s="4">
        <v>0</v>
      </c>
      <c r="E550" s="5">
        <v>0</v>
      </c>
      <c r="F550" s="4">
        <v>1</v>
      </c>
      <c r="G550" s="5">
        <v>0.11</v>
      </c>
      <c r="H550" s="4">
        <v>0</v>
      </c>
    </row>
    <row r="551" spans="1:8" x14ac:dyDescent="0.2">
      <c r="A551" s="2" t="s">
        <v>194</v>
      </c>
      <c r="B551" s="4">
        <v>14</v>
      </c>
      <c r="C551" s="5">
        <v>0.92</v>
      </c>
      <c r="D551" s="4">
        <v>0</v>
      </c>
      <c r="E551" s="5">
        <v>0</v>
      </c>
      <c r="F551" s="4">
        <v>14</v>
      </c>
      <c r="G551" s="5">
        <v>1.57</v>
      </c>
      <c r="H551" s="4">
        <v>0</v>
      </c>
    </row>
    <row r="552" spans="1:8" x14ac:dyDescent="0.2">
      <c r="A552" s="2" t="s">
        <v>195</v>
      </c>
      <c r="B552" s="4">
        <v>48</v>
      </c>
      <c r="C552" s="5">
        <v>3.15</v>
      </c>
      <c r="D552" s="4">
        <v>3</v>
      </c>
      <c r="E552" s="5">
        <v>0.48</v>
      </c>
      <c r="F552" s="4">
        <v>45</v>
      </c>
      <c r="G552" s="5">
        <v>5.0599999999999996</v>
      </c>
      <c r="H552" s="4">
        <v>0</v>
      </c>
    </row>
    <row r="553" spans="1:8" x14ac:dyDescent="0.2">
      <c r="A553" s="2" t="s">
        <v>196</v>
      </c>
      <c r="B553" s="4">
        <v>349</v>
      </c>
      <c r="C553" s="5">
        <v>22.89</v>
      </c>
      <c r="D553" s="4">
        <v>81</v>
      </c>
      <c r="E553" s="5">
        <v>12.98</v>
      </c>
      <c r="F553" s="4">
        <v>268</v>
      </c>
      <c r="G553" s="5">
        <v>30.11</v>
      </c>
      <c r="H553" s="4">
        <v>0</v>
      </c>
    </row>
    <row r="554" spans="1:8" x14ac:dyDescent="0.2">
      <c r="A554" s="2" t="s">
        <v>197</v>
      </c>
      <c r="B554" s="4">
        <v>15</v>
      </c>
      <c r="C554" s="5">
        <v>0.98</v>
      </c>
      <c r="D554" s="4">
        <v>2</v>
      </c>
      <c r="E554" s="5">
        <v>0.32</v>
      </c>
      <c r="F554" s="4">
        <v>13</v>
      </c>
      <c r="G554" s="5">
        <v>1.46</v>
      </c>
      <c r="H554" s="4">
        <v>0</v>
      </c>
    </row>
    <row r="555" spans="1:8" x14ac:dyDescent="0.2">
      <c r="A555" s="2" t="s">
        <v>198</v>
      </c>
      <c r="B555" s="4">
        <v>92</v>
      </c>
      <c r="C555" s="5">
        <v>6.03</v>
      </c>
      <c r="D555" s="4">
        <v>4</v>
      </c>
      <c r="E555" s="5">
        <v>0.64</v>
      </c>
      <c r="F555" s="4">
        <v>86</v>
      </c>
      <c r="G555" s="5">
        <v>9.66</v>
      </c>
      <c r="H555" s="4">
        <v>0</v>
      </c>
    </row>
    <row r="556" spans="1:8" x14ac:dyDescent="0.2">
      <c r="A556" s="2" t="s">
        <v>199</v>
      </c>
      <c r="B556" s="4">
        <v>65</v>
      </c>
      <c r="C556" s="5">
        <v>4.26</v>
      </c>
      <c r="D556" s="4">
        <v>35</v>
      </c>
      <c r="E556" s="5">
        <v>5.61</v>
      </c>
      <c r="F556" s="4">
        <v>30</v>
      </c>
      <c r="G556" s="5">
        <v>3.37</v>
      </c>
      <c r="H556" s="4">
        <v>0</v>
      </c>
    </row>
    <row r="557" spans="1:8" x14ac:dyDescent="0.2">
      <c r="A557" s="2" t="s">
        <v>200</v>
      </c>
      <c r="B557" s="4">
        <v>290</v>
      </c>
      <c r="C557" s="5">
        <v>19.02</v>
      </c>
      <c r="D557" s="4">
        <v>205</v>
      </c>
      <c r="E557" s="5">
        <v>32.85</v>
      </c>
      <c r="F557" s="4">
        <v>85</v>
      </c>
      <c r="G557" s="5">
        <v>9.5500000000000007</v>
      </c>
      <c r="H557" s="4">
        <v>0</v>
      </c>
    </row>
    <row r="558" spans="1:8" x14ac:dyDescent="0.2">
      <c r="A558" s="2" t="s">
        <v>201</v>
      </c>
      <c r="B558" s="4">
        <v>208</v>
      </c>
      <c r="C558" s="5">
        <v>13.64</v>
      </c>
      <c r="D558" s="4">
        <v>150</v>
      </c>
      <c r="E558" s="5">
        <v>24.04</v>
      </c>
      <c r="F558" s="4">
        <v>57</v>
      </c>
      <c r="G558" s="5">
        <v>6.4</v>
      </c>
      <c r="H558" s="4">
        <v>0</v>
      </c>
    </row>
    <row r="559" spans="1:8" x14ac:dyDescent="0.2">
      <c r="A559" s="2" t="s">
        <v>202</v>
      </c>
      <c r="B559" s="4">
        <v>65</v>
      </c>
      <c r="C559" s="5">
        <v>4.26</v>
      </c>
      <c r="D559" s="4">
        <v>49</v>
      </c>
      <c r="E559" s="5">
        <v>7.85</v>
      </c>
      <c r="F559" s="4">
        <v>16</v>
      </c>
      <c r="G559" s="5">
        <v>1.8</v>
      </c>
      <c r="H559" s="4">
        <v>0</v>
      </c>
    </row>
    <row r="560" spans="1:8" x14ac:dyDescent="0.2">
      <c r="A560" s="2" t="s">
        <v>203</v>
      </c>
      <c r="B560" s="4">
        <v>86</v>
      </c>
      <c r="C560" s="5">
        <v>5.64</v>
      </c>
      <c r="D560" s="4">
        <v>53</v>
      </c>
      <c r="E560" s="5">
        <v>8.49</v>
      </c>
      <c r="F560" s="4">
        <v>29</v>
      </c>
      <c r="G560" s="5">
        <v>3.26</v>
      </c>
      <c r="H560" s="4">
        <v>0</v>
      </c>
    </row>
    <row r="561" spans="1:8" x14ac:dyDescent="0.2">
      <c r="A561" s="2" t="s">
        <v>204</v>
      </c>
      <c r="B561" s="4">
        <v>55</v>
      </c>
      <c r="C561" s="5">
        <v>3.61</v>
      </c>
      <c r="D561" s="4">
        <v>14</v>
      </c>
      <c r="E561" s="5">
        <v>2.2400000000000002</v>
      </c>
      <c r="F561" s="4">
        <v>37</v>
      </c>
      <c r="G561" s="5">
        <v>4.16</v>
      </c>
      <c r="H561" s="4">
        <v>0</v>
      </c>
    </row>
    <row r="562" spans="1:8" x14ac:dyDescent="0.2">
      <c r="A562" s="1" t="s">
        <v>35</v>
      </c>
      <c r="B562" s="4">
        <v>1012</v>
      </c>
      <c r="C562" s="5">
        <v>100.00000000000003</v>
      </c>
      <c r="D562" s="4">
        <v>522</v>
      </c>
      <c r="E562" s="5">
        <v>100</v>
      </c>
      <c r="F562" s="4">
        <v>461</v>
      </c>
      <c r="G562" s="5">
        <v>100.00999999999999</v>
      </c>
      <c r="H562" s="4">
        <v>13</v>
      </c>
    </row>
    <row r="563" spans="1:8" x14ac:dyDescent="0.2">
      <c r="A563" s="2" t="s">
        <v>190</v>
      </c>
      <c r="B563" s="4">
        <v>1</v>
      </c>
      <c r="C563" s="5">
        <v>0.1</v>
      </c>
      <c r="D563" s="4">
        <v>0</v>
      </c>
      <c r="E563" s="5">
        <v>0</v>
      </c>
      <c r="F563" s="4">
        <v>1</v>
      </c>
      <c r="G563" s="5">
        <v>0.22</v>
      </c>
      <c r="H563" s="4">
        <v>0</v>
      </c>
    </row>
    <row r="564" spans="1:8" x14ac:dyDescent="0.2">
      <c r="A564" s="2" t="s">
        <v>191</v>
      </c>
      <c r="B564" s="4">
        <v>136</v>
      </c>
      <c r="C564" s="5">
        <v>13.44</v>
      </c>
      <c r="D564" s="4">
        <v>31</v>
      </c>
      <c r="E564" s="5">
        <v>5.94</v>
      </c>
      <c r="F564" s="4">
        <v>105</v>
      </c>
      <c r="G564" s="5">
        <v>22.78</v>
      </c>
      <c r="H564" s="4">
        <v>0</v>
      </c>
    </row>
    <row r="565" spans="1:8" x14ac:dyDescent="0.2">
      <c r="A565" s="2" t="s">
        <v>192</v>
      </c>
      <c r="B565" s="4">
        <v>41</v>
      </c>
      <c r="C565" s="5">
        <v>4.05</v>
      </c>
      <c r="D565" s="4">
        <v>9</v>
      </c>
      <c r="E565" s="5">
        <v>1.72</v>
      </c>
      <c r="F565" s="4">
        <v>32</v>
      </c>
      <c r="G565" s="5">
        <v>6.94</v>
      </c>
      <c r="H565" s="4">
        <v>0</v>
      </c>
    </row>
    <row r="566" spans="1:8" x14ac:dyDescent="0.2">
      <c r="A566" s="2" t="s">
        <v>193</v>
      </c>
      <c r="B566" s="4">
        <v>1</v>
      </c>
      <c r="C566" s="5">
        <v>0.1</v>
      </c>
      <c r="D566" s="4">
        <v>0</v>
      </c>
      <c r="E566" s="5">
        <v>0</v>
      </c>
      <c r="F566" s="4">
        <v>0</v>
      </c>
      <c r="G566" s="5">
        <v>0</v>
      </c>
      <c r="H566" s="4">
        <v>0</v>
      </c>
    </row>
    <row r="567" spans="1:8" x14ac:dyDescent="0.2">
      <c r="A567" s="2" t="s">
        <v>194</v>
      </c>
      <c r="B567" s="4">
        <v>3</v>
      </c>
      <c r="C567" s="5">
        <v>0.3</v>
      </c>
      <c r="D567" s="4">
        <v>0</v>
      </c>
      <c r="E567" s="5">
        <v>0</v>
      </c>
      <c r="F567" s="4">
        <v>3</v>
      </c>
      <c r="G567" s="5">
        <v>0.65</v>
      </c>
      <c r="H567" s="4">
        <v>0</v>
      </c>
    </row>
    <row r="568" spans="1:8" x14ac:dyDescent="0.2">
      <c r="A568" s="2" t="s">
        <v>195</v>
      </c>
      <c r="B568" s="4">
        <v>13</v>
      </c>
      <c r="C568" s="5">
        <v>1.28</v>
      </c>
      <c r="D568" s="4">
        <v>4</v>
      </c>
      <c r="E568" s="5">
        <v>0.77</v>
      </c>
      <c r="F568" s="4">
        <v>9</v>
      </c>
      <c r="G568" s="5">
        <v>1.95</v>
      </c>
      <c r="H568" s="4">
        <v>0</v>
      </c>
    </row>
    <row r="569" spans="1:8" x14ac:dyDescent="0.2">
      <c r="A569" s="2" t="s">
        <v>196</v>
      </c>
      <c r="B569" s="4">
        <v>213</v>
      </c>
      <c r="C569" s="5">
        <v>21.05</v>
      </c>
      <c r="D569" s="4">
        <v>69</v>
      </c>
      <c r="E569" s="5">
        <v>13.22</v>
      </c>
      <c r="F569" s="4">
        <v>144</v>
      </c>
      <c r="G569" s="5">
        <v>31.24</v>
      </c>
      <c r="H569" s="4">
        <v>0</v>
      </c>
    </row>
    <row r="570" spans="1:8" x14ac:dyDescent="0.2">
      <c r="A570" s="2" t="s">
        <v>197</v>
      </c>
      <c r="B570" s="4">
        <v>10</v>
      </c>
      <c r="C570" s="5">
        <v>0.99</v>
      </c>
      <c r="D570" s="4">
        <v>3</v>
      </c>
      <c r="E570" s="5">
        <v>0.56999999999999995</v>
      </c>
      <c r="F570" s="4">
        <v>7</v>
      </c>
      <c r="G570" s="5">
        <v>1.52</v>
      </c>
      <c r="H570" s="4">
        <v>0</v>
      </c>
    </row>
    <row r="571" spans="1:8" x14ac:dyDescent="0.2">
      <c r="A571" s="2" t="s">
        <v>198</v>
      </c>
      <c r="B571" s="4">
        <v>79</v>
      </c>
      <c r="C571" s="5">
        <v>7.81</v>
      </c>
      <c r="D571" s="4">
        <v>43</v>
      </c>
      <c r="E571" s="5">
        <v>8.24</v>
      </c>
      <c r="F571" s="4">
        <v>36</v>
      </c>
      <c r="G571" s="5">
        <v>7.81</v>
      </c>
      <c r="H571" s="4">
        <v>0</v>
      </c>
    </row>
    <row r="572" spans="1:8" x14ac:dyDescent="0.2">
      <c r="A572" s="2" t="s">
        <v>199</v>
      </c>
      <c r="B572" s="4">
        <v>40</v>
      </c>
      <c r="C572" s="5">
        <v>3.95</v>
      </c>
      <c r="D572" s="4">
        <v>24</v>
      </c>
      <c r="E572" s="5">
        <v>4.5999999999999996</v>
      </c>
      <c r="F572" s="4">
        <v>15</v>
      </c>
      <c r="G572" s="5">
        <v>3.25</v>
      </c>
      <c r="H572" s="4">
        <v>0</v>
      </c>
    </row>
    <row r="573" spans="1:8" x14ac:dyDescent="0.2">
      <c r="A573" s="2" t="s">
        <v>200</v>
      </c>
      <c r="B573" s="4">
        <v>177</v>
      </c>
      <c r="C573" s="5">
        <v>17.489999999999998</v>
      </c>
      <c r="D573" s="4">
        <v>140</v>
      </c>
      <c r="E573" s="5">
        <v>26.82</v>
      </c>
      <c r="F573" s="4">
        <v>37</v>
      </c>
      <c r="G573" s="5">
        <v>8.0299999999999994</v>
      </c>
      <c r="H573" s="4">
        <v>0</v>
      </c>
    </row>
    <row r="574" spans="1:8" x14ac:dyDescent="0.2">
      <c r="A574" s="2" t="s">
        <v>201</v>
      </c>
      <c r="B574" s="4">
        <v>153</v>
      </c>
      <c r="C574" s="5">
        <v>15.12</v>
      </c>
      <c r="D574" s="4">
        <v>125</v>
      </c>
      <c r="E574" s="5">
        <v>23.95</v>
      </c>
      <c r="F574" s="4">
        <v>25</v>
      </c>
      <c r="G574" s="5">
        <v>5.42</v>
      </c>
      <c r="H574" s="4">
        <v>0</v>
      </c>
    </row>
    <row r="575" spans="1:8" x14ac:dyDescent="0.2">
      <c r="A575" s="2" t="s">
        <v>202</v>
      </c>
      <c r="B575" s="4">
        <v>33</v>
      </c>
      <c r="C575" s="5">
        <v>3.26</v>
      </c>
      <c r="D575" s="4">
        <v>21</v>
      </c>
      <c r="E575" s="5">
        <v>4.0199999999999996</v>
      </c>
      <c r="F575" s="4">
        <v>8</v>
      </c>
      <c r="G575" s="5">
        <v>1.74</v>
      </c>
      <c r="H575" s="4">
        <v>0</v>
      </c>
    </row>
    <row r="576" spans="1:8" x14ac:dyDescent="0.2">
      <c r="A576" s="2" t="s">
        <v>203</v>
      </c>
      <c r="B576" s="4">
        <v>57</v>
      </c>
      <c r="C576" s="5">
        <v>5.63</v>
      </c>
      <c r="D576" s="4">
        <v>35</v>
      </c>
      <c r="E576" s="5">
        <v>6.7</v>
      </c>
      <c r="F576" s="4">
        <v>17</v>
      </c>
      <c r="G576" s="5">
        <v>3.69</v>
      </c>
      <c r="H576" s="4">
        <v>0</v>
      </c>
    </row>
    <row r="577" spans="1:8" x14ac:dyDescent="0.2">
      <c r="A577" s="2" t="s">
        <v>204</v>
      </c>
      <c r="B577" s="4">
        <v>55</v>
      </c>
      <c r="C577" s="5">
        <v>5.43</v>
      </c>
      <c r="D577" s="4">
        <v>18</v>
      </c>
      <c r="E577" s="5">
        <v>3.45</v>
      </c>
      <c r="F577" s="4">
        <v>22</v>
      </c>
      <c r="G577" s="5">
        <v>4.7699999999999996</v>
      </c>
      <c r="H577" s="4">
        <v>13</v>
      </c>
    </row>
    <row r="578" spans="1:8" x14ac:dyDescent="0.2">
      <c r="A578" s="1" t="s">
        <v>36</v>
      </c>
      <c r="B578" s="4">
        <v>416</v>
      </c>
      <c r="C578" s="5">
        <v>99.989999999999981</v>
      </c>
      <c r="D578" s="4">
        <v>226</v>
      </c>
      <c r="E578" s="5">
        <v>99.990000000000023</v>
      </c>
      <c r="F578" s="4">
        <v>178</v>
      </c>
      <c r="G578" s="5">
        <v>100.00999999999999</v>
      </c>
      <c r="H578" s="4">
        <v>3</v>
      </c>
    </row>
    <row r="579" spans="1:8" x14ac:dyDescent="0.2">
      <c r="A579" s="2" t="s">
        <v>190</v>
      </c>
      <c r="B579" s="4">
        <v>1</v>
      </c>
      <c r="C579" s="5">
        <v>0.24</v>
      </c>
      <c r="D579" s="4">
        <v>0</v>
      </c>
      <c r="E579" s="5">
        <v>0</v>
      </c>
      <c r="F579" s="4">
        <v>1</v>
      </c>
      <c r="G579" s="5">
        <v>0.56000000000000005</v>
      </c>
      <c r="H579" s="4">
        <v>0</v>
      </c>
    </row>
    <row r="580" spans="1:8" x14ac:dyDescent="0.2">
      <c r="A580" s="2" t="s">
        <v>191</v>
      </c>
      <c r="B580" s="4">
        <v>56</v>
      </c>
      <c r="C580" s="5">
        <v>13.46</v>
      </c>
      <c r="D580" s="4">
        <v>12</v>
      </c>
      <c r="E580" s="5">
        <v>5.31</v>
      </c>
      <c r="F580" s="4">
        <v>44</v>
      </c>
      <c r="G580" s="5">
        <v>24.72</v>
      </c>
      <c r="H580" s="4">
        <v>0</v>
      </c>
    </row>
    <row r="581" spans="1:8" x14ac:dyDescent="0.2">
      <c r="A581" s="2" t="s">
        <v>192</v>
      </c>
      <c r="B581" s="4">
        <v>16</v>
      </c>
      <c r="C581" s="5">
        <v>3.85</v>
      </c>
      <c r="D581" s="4">
        <v>6</v>
      </c>
      <c r="E581" s="5">
        <v>2.65</v>
      </c>
      <c r="F581" s="4">
        <v>10</v>
      </c>
      <c r="G581" s="5">
        <v>5.62</v>
      </c>
      <c r="H581" s="4">
        <v>0</v>
      </c>
    </row>
    <row r="582" spans="1:8" x14ac:dyDescent="0.2">
      <c r="A582" s="2" t="s">
        <v>193</v>
      </c>
      <c r="B582" s="4">
        <v>2</v>
      </c>
      <c r="C582" s="5">
        <v>0.48</v>
      </c>
      <c r="D582" s="4">
        <v>0</v>
      </c>
      <c r="E582" s="5">
        <v>0</v>
      </c>
      <c r="F582" s="4">
        <v>0</v>
      </c>
      <c r="G582" s="5">
        <v>0</v>
      </c>
      <c r="H582" s="4">
        <v>0</v>
      </c>
    </row>
    <row r="583" spans="1:8" x14ac:dyDescent="0.2">
      <c r="A583" s="2" t="s">
        <v>194</v>
      </c>
      <c r="B583" s="4">
        <v>2</v>
      </c>
      <c r="C583" s="5">
        <v>0.48</v>
      </c>
      <c r="D583" s="4">
        <v>0</v>
      </c>
      <c r="E583" s="5">
        <v>0</v>
      </c>
      <c r="F583" s="4">
        <v>2</v>
      </c>
      <c r="G583" s="5">
        <v>1.1200000000000001</v>
      </c>
      <c r="H583" s="4">
        <v>0</v>
      </c>
    </row>
    <row r="584" spans="1:8" x14ac:dyDescent="0.2">
      <c r="A584" s="2" t="s">
        <v>195</v>
      </c>
      <c r="B584" s="4">
        <v>5</v>
      </c>
      <c r="C584" s="5">
        <v>1.2</v>
      </c>
      <c r="D584" s="4">
        <v>1</v>
      </c>
      <c r="E584" s="5">
        <v>0.44</v>
      </c>
      <c r="F584" s="4">
        <v>3</v>
      </c>
      <c r="G584" s="5">
        <v>1.69</v>
      </c>
      <c r="H584" s="4">
        <v>1</v>
      </c>
    </row>
    <row r="585" spans="1:8" x14ac:dyDescent="0.2">
      <c r="A585" s="2" t="s">
        <v>196</v>
      </c>
      <c r="B585" s="4">
        <v>85</v>
      </c>
      <c r="C585" s="5">
        <v>20.43</v>
      </c>
      <c r="D585" s="4">
        <v>34</v>
      </c>
      <c r="E585" s="5">
        <v>15.04</v>
      </c>
      <c r="F585" s="4">
        <v>51</v>
      </c>
      <c r="G585" s="5">
        <v>28.65</v>
      </c>
      <c r="H585" s="4">
        <v>0</v>
      </c>
    </row>
    <row r="586" spans="1:8" x14ac:dyDescent="0.2">
      <c r="A586" s="2" t="s">
        <v>197</v>
      </c>
      <c r="B586" s="4">
        <v>3</v>
      </c>
      <c r="C586" s="5">
        <v>0.72</v>
      </c>
      <c r="D586" s="4">
        <v>1</v>
      </c>
      <c r="E586" s="5">
        <v>0.44</v>
      </c>
      <c r="F586" s="4">
        <v>2</v>
      </c>
      <c r="G586" s="5">
        <v>1.1200000000000001</v>
      </c>
      <c r="H586" s="4">
        <v>0</v>
      </c>
    </row>
    <row r="587" spans="1:8" x14ac:dyDescent="0.2">
      <c r="A587" s="2" t="s">
        <v>198</v>
      </c>
      <c r="B587" s="4">
        <v>32</v>
      </c>
      <c r="C587" s="5">
        <v>7.69</v>
      </c>
      <c r="D587" s="4">
        <v>16</v>
      </c>
      <c r="E587" s="5">
        <v>7.08</v>
      </c>
      <c r="F587" s="4">
        <v>15</v>
      </c>
      <c r="G587" s="5">
        <v>8.43</v>
      </c>
      <c r="H587" s="4">
        <v>0</v>
      </c>
    </row>
    <row r="588" spans="1:8" x14ac:dyDescent="0.2">
      <c r="A588" s="2" t="s">
        <v>199</v>
      </c>
      <c r="B588" s="4">
        <v>16</v>
      </c>
      <c r="C588" s="5">
        <v>3.85</v>
      </c>
      <c r="D588" s="4">
        <v>7</v>
      </c>
      <c r="E588" s="5">
        <v>3.1</v>
      </c>
      <c r="F588" s="4">
        <v>9</v>
      </c>
      <c r="G588" s="5">
        <v>5.0599999999999996</v>
      </c>
      <c r="H588" s="4">
        <v>0</v>
      </c>
    </row>
    <row r="589" spans="1:8" x14ac:dyDescent="0.2">
      <c r="A589" s="2" t="s">
        <v>200</v>
      </c>
      <c r="B589" s="4">
        <v>86</v>
      </c>
      <c r="C589" s="5">
        <v>20.67</v>
      </c>
      <c r="D589" s="4">
        <v>74</v>
      </c>
      <c r="E589" s="5">
        <v>32.74</v>
      </c>
      <c r="F589" s="4">
        <v>12</v>
      </c>
      <c r="G589" s="5">
        <v>6.74</v>
      </c>
      <c r="H589" s="4">
        <v>0</v>
      </c>
    </row>
    <row r="590" spans="1:8" x14ac:dyDescent="0.2">
      <c r="A590" s="2" t="s">
        <v>201</v>
      </c>
      <c r="B590" s="4">
        <v>58</v>
      </c>
      <c r="C590" s="5">
        <v>13.94</v>
      </c>
      <c r="D590" s="4">
        <v>49</v>
      </c>
      <c r="E590" s="5">
        <v>21.68</v>
      </c>
      <c r="F590" s="4">
        <v>9</v>
      </c>
      <c r="G590" s="5">
        <v>5.0599999999999996</v>
      </c>
      <c r="H590" s="4">
        <v>0</v>
      </c>
    </row>
    <row r="591" spans="1:8" x14ac:dyDescent="0.2">
      <c r="A591" s="2" t="s">
        <v>202</v>
      </c>
      <c r="B591" s="4">
        <v>12</v>
      </c>
      <c r="C591" s="5">
        <v>2.88</v>
      </c>
      <c r="D591" s="4">
        <v>11</v>
      </c>
      <c r="E591" s="5">
        <v>4.87</v>
      </c>
      <c r="F591" s="4">
        <v>0</v>
      </c>
      <c r="G591" s="5">
        <v>0</v>
      </c>
      <c r="H591" s="4">
        <v>0</v>
      </c>
    </row>
    <row r="592" spans="1:8" x14ac:dyDescent="0.2">
      <c r="A592" s="2" t="s">
        <v>203</v>
      </c>
      <c r="B592" s="4">
        <v>27</v>
      </c>
      <c r="C592" s="5">
        <v>6.49</v>
      </c>
      <c r="D592" s="4">
        <v>12</v>
      </c>
      <c r="E592" s="5">
        <v>5.31</v>
      </c>
      <c r="F592" s="4">
        <v>11</v>
      </c>
      <c r="G592" s="5">
        <v>6.18</v>
      </c>
      <c r="H592" s="4">
        <v>0</v>
      </c>
    </row>
    <row r="593" spans="1:8" x14ac:dyDescent="0.2">
      <c r="A593" s="2" t="s">
        <v>204</v>
      </c>
      <c r="B593" s="4">
        <v>15</v>
      </c>
      <c r="C593" s="5">
        <v>3.61</v>
      </c>
      <c r="D593" s="4">
        <v>3</v>
      </c>
      <c r="E593" s="5">
        <v>1.33</v>
      </c>
      <c r="F593" s="4">
        <v>9</v>
      </c>
      <c r="G593" s="5">
        <v>5.0599999999999996</v>
      </c>
      <c r="H593" s="4">
        <v>2</v>
      </c>
    </row>
    <row r="594" spans="1:8" x14ac:dyDescent="0.2">
      <c r="A594" s="1" t="s">
        <v>37</v>
      </c>
      <c r="B594" s="4">
        <v>67</v>
      </c>
      <c r="C594" s="5">
        <v>100.01</v>
      </c>
      <c r="D594" s="4">
        <v>33</v>
      </c>
      <c r="E594" s="5">
        <v>99.99</v>
      </c>
      <c r="F594" s="4">
        <v>24</v>
      </c>
      <c r="G594" s="5">
        <v>100.01</v>
      </c>
      <c r="H594" s="4">
        <v>0</v>
      </c>
    </row>
    <row r="595" spans="1:8" x14ac:dyDescent="0.2">
      <c r="A595" s="2" t="s">
        <v>190</v>
      </c>
      <c r="B595" s="4">
        <v>0</v>
      </c>
      <c r="C595" s="5">
        <v>0</v>
      </c>
      <c r="D595" s="4">
        <v>0</v>
      </c>
      <c r="E595" s="5">
        <v>0</v>
      </c>
      <c r="F595" s="4">
        <v>0</v>
      </c>
      <c r="G595" s="5">
        <v>0</v>
      </c>
      <c r="H595" s="4">
        <v>0</v>
      </c>
    </row>
    <row r="596" spans="1:8" x14ac:dyDescent="0.2">
      <c r="A596" s="2" t="s">
        <v>191</v>
      </c>
      <c r="B596" s="4">
        <v>11</v>
      </c>
      <c r="C596" s="5">
        <v>16.420000000000002</v>
      </c>
      <c r="D596" s="4">
        <v>3</v>
      </c>
      <c r="E596" s="5">
        <v>9.09</v>
      </c>
      <c r="F596" s="4">
        <v>8</v>
      </c>
      <c r="G596" s="5">
        <v>33.33</v>
      </c>
      <c r="H596" s="4">
        <v>0</v>
      </c>
    </row>
    <row r="597" spans="1:8" x14ac:dyDescent="0.2">
      <c r="A597" s="2" t="s">
        <v>192</v>
      </c>
      <c r="B597" s="4">
        <v>2</v>
      </c>
      <c r="C597" s="5">
        <v>2.99</v>
      </c>
      <c r="D597" s="4">
        <v>1</v>
      </c>
      <c r="E597" s="5">
        <v>3.03</v>
      </c>
      <c r="F597" s="4">
        <v>1</v>
      </c>
      <c r="G597" s="5">
        <v>4.17</v>
      </c>
      <c r="H597" s="4">
        <v>0</v>
      </c>
    </row>
    <row r="598" spans="1:8" x14ac:dyDescent="0.2">
      <c r="A598" s="2" t="s">
        <v>193</v>
      </c>
      <c r="B598" s="4">
        <v>2</v>
      </c>
      <c r="C598" s="5">
        <v>2.99</v>
      </c>
      <c r="D598" s="4">
        <v>0</v>
      </c>
      <c r="E598" s="5">
        <v>0</v>
      </c>
      <c r="F598" s="4">
        <v>0</v>
      </c>
      <c r="G598" s="5">
        <v>0</v>
      </c>
      <c r="H598" s="4">
        <v>0</v>
      </c>
    </row>
    <row r="599" spans="1:8" x14ac:dyDescent="0.2">
      <c r="A599" s="2" t="s">
        <v>194</v>
      </c>
      <c r="B599" s="4">
        <v>1</v>
      </c>
      <c r="C599" s="5">
        <v>1.49</v>
      </c>
      <c r="D599" s="4">
        <v>0</v>
      </c>
      <c r="E599" s="5">
        <v>0</v>
      </c>
      <c r="F599" s="4">
        <v>1</v>
      </c>
      <c r="G599" s="5">
        <v>4.17</v>
      </c>
      <c r="H599" s="4">
        <v>0</v>
      </c>
    </row>
    <row r="600" spans="1:8" x14ac:dyDescent="0.2">
      <c r="A600" s="2" t="s">
        <v>195</v>
      </c>
      <c r="B600" s="4">
        <v>2</v>
      </c>
      <c r="C600" s="5">
        <v>2.99</v>
      </c>
      <c r="D600" s="4">
        <v>0</v>
      </c>
      <c r="E600" s="5">
        <v>0</v>
      </c>
      <c r="F600" s="4">
        <v>1</v>
      </c>
      <c r="G600" s="5">
        <v>4.17</v>
      </c>
      <c r="H600" s="4">
        <v>0</v>
      </c>
    </row>
    <row r="601" spans="1:8" x14ac:dyDescent="0.2">
      <c r="A601" s="2" t="s">
        <v>196</v>
      </c>
      <c r="B601" s="4">
        <v>16</v>
      </c>
      <c r="C601" s="5">
        <v>23.88</v>
      </c>
      <c r="D601" s="4">
        <v>11</v>
      </c>
      <c r="E601" s="5">
        <v>33.33</v>
      </c>
      <c r="F601" s="4">
        <v>5</v>
      </c>
      <c r="G601" s="5">
        <v>20.83</v>
      </c>
      <c r="H601" s="4">
        <v>0</v>
      </c>
    </row>
    <row r="602" spans="1:8" x14ac:dyDescent="0.2">
      <c r="A602" s="2" t="s">
        <v>197</v>
      </c>
      <c r="B602" s="4">
        <v>1</v>
      </c>
      <c r="C602" s="5">
        <v>1.49</v>
      </c>
      <c r="D602" s="4">
        <v>0</v>
      </c>
      <c r="E602" s="5">
        <v>0</v>
      </c>
      <c r="F602" s="4">
        <v>1</v>
      </c>
      <c r="G602" s="5">
        <v>4.17</v>
      </c>
      <c r="H602" s="4">
        <v>0</v>
      </c>
    </row>
    <row r="603" spans="1:8" x14ac:dyDescent="0.2">
      <c r="A603" s="2" t="s">
        <v>198</v>
      </c>
      <c r="B603" s="4">
        <v>2</v>
      </c>
      <c r="C603" s="5">
        <v>2.99</v>
      </c>
      <c r="D603" s="4">
        <v>0</v>
      </c>
      <c r="E603" s="5">
        <v>0</v>
      </c>
      <c r="F603" s="4">
        <v>1</v>
      </c>
      <c r="G603" s="5">
        <v>4.17</v>
      </c>
      <c r="H603" s="4">
        <v>0</v>
      </c>
    </row>
    <row r="604" spans="1:8" x14ac:dyDescent="0.2">
      <c r="A604" s="2" t="s">
        <v>199</v>
      </c>
      <c r="B604" s="4">
        <v>0</v>
      </c>
      <c r="C604" s="5">
        <v>0</v>
      </c>
      <c r="D604" s="4">
        <v>0</v>
      </c>
      <c r="E604" s="5">
        <v>0</v>
      </c>
      <c r="F604" s="4">
        <v>0</v>
      </c>
      <c r="G604" s="5">
        <v>0</v>
      </c>
      <c r="H604" s="4">
        <v>0</v>
      </c>
    </row>
    <row r="605" spans="1:8" x14ac:dyDescent="0.2">
      <c r="A605" s="2" t="s">
        <v>200</v>
      </c>
      <c r="B605" s="4">
        <v>5</v>
      </c>
      <c r="C605" s="5">
        <v>7.46</v>
      </c>
      <c r="D605" s="4">
        <v>4</v>
      </c>
      <c r="E605" s="5">
        <v>12.12</v>
      </c>
      <c r="F605" s="4">
        <v>1</v>
      </c>
      <c r="G605" s="5">
        <v>4.17</v>
      </c>
      <c r="H605" s="4">
        <v>0</v>
      </c>
    </row>
    <row r="606" spans="1:8" x14ac:dyDescent="0.2">
      <c r="A606" s="2" t="s">
        <v>201</v>
      </c>
      <c r="B606" s="4">
        <v>9</v>
      </c>
      <c r="C606" s="5">
        <v>13.43</v>
      </c>
      <c r="D606" s="4">
        <v>8</v>
      </c>
      <c r="E606" s="5">
        <v>24.24</v>
      </c>
      <c r="F606" s="4">
        <v>0</v>
      </c>
      <c r="G606" s="5">
        <v>0</v>
      </c>
      <c r="H606" s="4">
        <v>0</v>
      </c>
    </row>
    <row r="607" spans="1:8" x14ac:dyDescent="0.2">
      <c r="A607" s="2" t="s">
        <v>202</v>
      </c>
      <c r="B607" s="4">
        <v>4</v>
      </c>
      <c r="C607" s="5">
        <v>5.97</v>
      </c>
      <c r="D607" s="4">
        <v>2</v>
      </c>
      <c r="E607" s="5">
        <v>6.06</v>
      </c>
      <c r="F607" s="4">
        <v>0</v>
      </c>
      <c r="G607" s="5">
        <v>0</v>
      </c>
      <c r="H607" s="4">
        <v>0</v>
      </c>
    </row>
    <row r="608" spans="1:8" x14ac:dyDescent="0.2">
      <c r="A608" s="2" t="s">
        <v>203</v>
      </c>
      <c r="B608" s="4">
        <v>7</v>
      </c>
      <c r="C608" s="5">
        <v>10.45</v>
      </c>
      <c r="D608" s="4">
        <v>2</v>
      </c>
      <c r="E608" s="5">
        <v>6.06</v>
      </c>
      <c r="F608" s="4">
        <v>3</v>
      </c>
      <c r="G608" s="5">
        <v>12.5</v>
      </c>
      <c r="H608" s="4">
        <v>0</v>
      </c>
    </row>
    <row r="609" spans="1:8" x14ac:dyDescent="0.2">
      <c r="A609" s="2" t="s">
        <v>204</v>
      </c>
      <c r="B609" s="4">
        <v>5</v>
      </c>
      <c r="C609" s="5">
        <v>7.46</v>
      </c>
      <c r="D609" s="4">
        <v>2</v>
      </c>
      <c r="E609" s="5">
        <v>6.06</v>
      </c>
      <c r="F609" s="4">
        <v>2</v>
      </c>
      <c r="G609" s="5">
        <v>8.33</v>
      </c>
      <c r="H609" s="4">
        <v>0</v>
      </c>
    </row>
    <row r="610" spans="1:8" x14ac:dyDescent="0.2">
      <c r="A610" s="1" t="s">
        <v>38</v>
      </c>
      <c r="B610" s="4">
        <v>539</v>
      </c>
      <c r="C610" s="5">
        <v>100.00999999999999</v>
      </c>
      <c r="D610" s="4">
        <v>297</v>
      </c>
      <c r="E610" s="5">
        <v>100</v>
      </c>
      <c r="F610" s="4">
        <v>235</v>
      </c>
      <c r="G610" s="5">
        <v>100.02000000000001</v>
      </c>
      <c r="H610" s="4">
        <v>2</v>
      </c>
    </row>
    <row r="611" spans="1:8" x14ac:dyDescent="0.2">
      <c r="A611" s="2" t="s">
        <v>190</v>
      </c>
      <c r="B611" s="4">
        <v>0</v>
      </c>
      <c r="C611" s="5">
        <v>0</v>
      </c>
      <c r="D611" s="4">
        <v>0</v>
      </c>
      <c r="E611" s="5">
        <v>0</v>
      </c>
      <c r="F611" s="4">
        <v>0</v>
      </c>
      <c r="G611" s="5">
        <v>0</v>
      </c>
      <c r="H611" s="4">
        <v>0</v>
      </c>
    </row>
    <row r="612" spans="1:8" x14ac:dyDescent="0.2">
      <c r="A612" s="2" t="s">
        <v>191</v>
      </c>
      <c r="B612" s="4">
        <v>56</v>
      </c>
      <c r="C612" s="5">
        <v>10.39</v>
      </c>
      <c r="D612" s="4">
        <v>20</v>
      </c>
      <c r="E612" s="5">
        <v>6.73</v>
      </c>
      <c r="F612" s="4">
        <v>36</v>
      </c>
      <c r="G612" s="5">
        <v>15.32</v>
      </c>
      <c r="H612" s="4">
        <v>0</v>
      </c>
    </row>
    <row r="613" spans="1:8" x14ac:dyDescent="0.2">
      <c r="A613" s="2" t="s">
        <v>192</v>
      </c>
      <c r="B613" s="4">
        <v>27</v>
      </c>
      <c r="C613" s="5">
        <v>5.01</v>
      </c>
      <c r="D613" s="4">
        <v>6</v>
      </c>
      <c r="E613" s="5">
        <v>2.02</v>
      </c>
      <c r="F613" s="4">
        <v>21</v>
      </c>
      <c r="G613" s="5">
        <v>8.94</v>
      </c>
      <c r="H613" s="4">
        <v>0</v>
      </c>
    </row>
    <row r="614" spans="1:8" x14ac:dyDescent="0.2">
      <c r="A614" s="2" t="s">
        <v>193</v>
      </c>
      <c r="B614" s="4">
        <v>2</v>
      </c>
      <c r="C614" s="5">
        <v>0.37</v>
      </c>
      <c r="D614" s="4">
        <v>0</v>
      </c>
      <c r="E614" s="5">
        <v>0</v>
      </c>
      <c r="F614" s="4">
        <v>2</v>
      </c>
      <c r="G614" s="5">
        <v>0.85</v>
      </c>
      <c r="H614" s="4">
        <v>0</v>
      </c>
    </row>
    <row r="615" spans="1:8" x14ac:dyDescent="0.2">
      <c r="A615" s="2" t="s">
        <v>194</v>
      </c>
      <c r="B615" s="4">
        <v>2</v>
      </c>
      <c r="C615" s="5">
        <v>0.37</v>
      </c>
      <c r="D615" s="4">
        <v>0</v>
      </c>
      <c r="E615" s="5">
        <v>0</v>
      </c>
      <c r="F615" s="4">
        <v>1</v>
      </c>
      <c r="G615" s="5">
        <v>0.43</v>
      </c>
      <c r="H615" s="4">
        <v>1</v>
      </c>
    </row>
    <row r="616" spans="1:8" x14ac:dyDescent="0.2">
      <c r="A616" s="2" t="s">
        <v>195</v>
      </c>
      <c r="B616" s="4">
        <v>7</v>
      </c>
      <c r="C616" s="5">
        <v>1.3</v>
      </c>
      <c r="D616" s="4">
        <v>1</v>
      </c>
      <c r="E616" s="5">
        <v>0.34</v>
      </c>
      <c r="F616" s="4">
        <v>6</v>
      </c>
      <c r="G616" s="5">
        <v>2.5499999999999998</v>
      </c>
      <c r="H616" s="4">
        <v>0</v>
      </c>
    </row>
    <row r="617" spans="1:8" x14ac:dyDescent="0.2">
      <c r="A617" s="2" t="s">
        <v>196</v>
      </c>
      <c r="B617" s="4">
        <v>141</v>
      </c>
      <c r="C617" s="5">
        <v>26.16</v>
      </c>
      <c r="D617" s="4">
        <v>64</v>
      </c>
      <c r="E617" s="5">
        <v>21.55</v>
      </c>
      <c r="F617" s="4">
        <v>77</v>
      </c>
      <c r="G617" s="5">
        <v>32.770000000000003</v>
      </c>
      <c r="H617" s="4">
        <v>0</v>
      </c>
    </row>
    <row r="618" spans="1:8" x14ac:dyDescent="0.2">
      <c r="A618" s="2" t="s">
        <v>197</v>
      </c>
      <c r="B618" s="4">
        <v>5</v>
      </c>
      <c r="C618" s="5">
        <v>0.93</v>
      </c>
      <c r="D618" s="4">
        <v>1</v>
      </c>
      <c r="E618" s="5">
        <v>0.34</v>
      </c>
      <c r="F618" s="4">
        <v>4</v>
      </c>
      <c r="G618" s="5">
        <v>1.7</v>
      </c>
      <c r="H618" s="4">
        <v>0</v>
      </c>
    </row>
    <row r="619" spans="1:8" x14ac:dyDescent="0.2">
      <c r="A619" s="2" t="s">
        <v>198</v>
      </c>
      <c r="B619" s="4">
        <v>47</v>
      </c>
      <c r="C619" s="5">
        <v>8.7200000000000006</v>
      </c>
      <c r="D619" s="4">
        <v>29</v>
      </c>
      <c r="E619" s="5">
        <v>9.76</v>
      </c>
      <c r="F619" s="4">
        <v>18</v>
      </c>
      <c r="G619" s="5">
        <v>7.66</v>
      </c>
      <c r="H619" s="4">
        <v>0</v>
      </c>
    </row>
    <row r="620" spans="1:8" x14ac:dyDescent="0.2">
      <c r="A620" s="2" t="s">
        <v>199</v>
      </c>
      <c r="B620" s="4">
        <v>22</v>
      </c>
      <c r="C620" s="5">
        <v>4.08</v>
      </c>
      <c r="D620" s="4">
        <v>10</v>
      </c>
      <c r="E620" s="5">
        <v>3.37</v>
      </c>
      <c r="F620" s="4">
        <v>12</v>
      </c>
      <c r="G620" s="5">
        <v>5.1100000000000003</v>
      </c>
      <c r="H620" s="4">
        <v>0</v>
      </c>
    </row>
    <row r="621" spans="1:8" x14ac:dyDescent="0.2">
      <c r="A621" s="2" t="s">
        <v>200</v>
      </c>
      <c r="B621" s="4">
        <v>95</v>
      </c>
      <c r="C621" s="5">
        <v>17.63</v>
      </c>
      <c r="D621" s="4">
        <v>73</v>
      </c>
      <c r="E621" s="5">
        <v>24.58</v>
      </c>
      <c r="F621" s="4">
        <v>21</v>
      </c>
      <c r="G621" s="5">
        <v>8.94</v>
      </c>
      <c r="H621" s="4">
        <v>0</v>
      </c>
    </row>
    <row r="622" spans="1:8" x14ac:dyDescent="0.2">
      <c r="A622" s="2" t="s">
        <v>201</v>
      </c>
      <c r="B622" s="4">
        <v>87</v>
      </c>
      <c r="C622" s="5">
        <v>16.14</v>
      </c>
      <c r="D622" s="4">
        <v>71</v>
      </c>
      <c r="E622" s="5">
        <v>23.91</v>
      </c>
      <c r="F622" s="4">
        <v>16</v>
      </c>
      <c r="G622" s="5">
        <v>6.81</v>
      </c>
      <c r="H622" s="4">
        <v>0</v>
      </c>
    </row>
    <row r="623" spans="1:8" x14ac:dyDescent="0.2">
      <c r="A623" s="2" t="s">
        <v>202</v>
      </c>
      <c r="B623" s="4">
        <v>10</v>
      </c>
      <c r="C623" s="5">
        <v>1.86</v>
      </c>
      <c r="D623" s="4">
        <v>5</v>
      </c>
      <c r="E623" s="5">
        <v>1.68</v>
      </c>
      <c r="F623" s="4">
        <v>4</v>
      </c>
      <c r="G623" s="5">
        <v>1.7</v>
      </c>
      <c r="H623" s="4">
        <v>0</v>
      </c>
    </row>
    <row r="624" spans="1:8" x14ac:dyDescent="0.2">
      <c r="A624" s="2" t="s">
        <v>203</v>
      </c>
      <c r="B624" s="4">
        <v>24</v>
      </c>
      <c r="C624" s="5">
        <v>4.45</v>
      </c>
      <c r="D624" s="4">
        <v>15</v>
      </c>
      <c r="E624" s="5">
        <v>5.05</v>
      </c>
      <c r="F624" s="4">
        <v>7</v>
      </c>
      <c r="G624" s="5">
        <v>2.98</v>
      </c>
      <c r="H624" s="4">
        <v>0</v>
      </c>
    </row>
    <row r="625" spans="1:8" x14ac:dyDescent="0.2">
      <c r="A625" s="2" t="s">
        <v>204</v>
      </c>
      <c r="B625" s="4">
        <v>14</v>
      </c>
      <c r="C625" s="5">
        <v>2.6</v>
      </c>
      <c r="D625" s="4">
        <v>2</v>
      </c>
      <c r="E625" s="5">
        <v>0.67</v>
      </c>
      <c r="F625" s="4">
        <v>10</v>
      </c>
      <c r="G625" s="5">
        <v>4.26</v>
      </c>
      <c r="H625" s="4">
        <v>1</v>
      </c>
    </row>
    <row r="626" spans="1:8" x14ac:dyDescent="0.2">
      <c r="A626" s="1" t="s">
        <v>39</v>
      </c>
      <c r="B626" s="4">
        <v>641</v>
      </c>
      <c r="C626" s="5">
        <v>99.999999999999986</v>
      </c>
      <c r="D626" s="4">
        <v>377</v>
      </c>
      <c r="E626" s="5">
        <v>99.990000000000009</v>
      </c>
      <c r="F626" s="4">
        <v>253</v>
      </c>
      <c r="G626" s="5">
        <v>100.02000000000001</v>
      </c>
      <c r="H626" s="4">
        <v>3</v>
      </c>
    </row>
    <row r="627" spans="1:8" x14ac:dyDescent="0.2">
      <c r="A627" s="2" t="s">
        <v>190</v>
      </c>
      <c r="B627" s="4">
        <v>0</v>
      </c>
      <c r="C627" s="5">
        <v>0</v>
      </c>
      <c r="D627" s="4">
        <v>0</v>
      </c>
      <c r="E627" s="5">
        <v>0</v>
      </c>
      <c r="F627" s="4">
        <v>0</v>
      </c>
      <c r="G627" s="5">
        <v>0</v>
      </c>
      <c r="H627" s="4">
        <v>0</v>
      </c>
    </row>
    <row r="628" spans="1:8" x14ac:dyDescent="0.2">
      <c r="A628" s="2" t="s">
        <v>191</v>
      </c>
      <c r="B628" s="4">
        <v>47</v>
      </c>
      <c r="C628" s="5">
        <v>7.33</v>
      </c>
      <c r="D628" s="4">
        <v>22</v>
      </c>
      <c r="E628" s="5">
        <v>5.84</v>
      </c>
      <c r="F628" s="4">
        <v>25</v>
      </c>
      <c r="G628" s="5">
        <v>9.8800000000000008</v>
      </c>
      <c r="H628" s="4">
        <v>0</v>
      </c>
    </row>
    <row r="629" spans="1:8" x14ac:dyDescent="0.2">
      <c r="A629" s="2" t="s">
        <v>192</v>
      </c>
      <c r="B629" s="4">
        <v>30</v>
      </c>
      <c r="C629" s="5">
        <v>4.68</v>
      </c>
      <c r="D629" s="4">
        <v>6</v>
      </c>
      <c r="E629" s="5">
        <v>1.59</v>
      </c>
      <c r="F629" s="4">
        <v>24</v>
      </c>
      <c r="G629" s="5">
        <v>9.49</v>
      </c>
      <c r="H629" s="4">
        <v>0</v>
      </c>
    </row>
    <row r="630" spans="1:8" x14ac:dyDescent="0.2">
      <c r="A630" s="2" t="s">
        <v>193</v>
      </c>
      <c r="B630" s="4">
        <v>1</v>
      </c>
      <c r="C630" s="5">
        <v>0.16</v>
      </c>
      <c r="D630" s="4">
        <v>0</v>
      </c>
      <c r="E630" s="5">
        <v>0</v>
      </c>
      <c r="F630" s="4">
        <v>1</v>
      </c>
      <c r="G630" s="5">
        <v>0.4</v>
      </c>
      <c r="H630" s="4">
        <v>0</v>
      </c>
    </row>
    <row r="631" spans="1:8" x14ac:dyDescent="0.2">
      <c r="A631" s="2" t="s">
        <v>194</v>
      </c>
      <c r="B631" s="4">
        <v>2</v>
      </c>
      <c r="C631" s="5">
        <v>0.31</v>
      </c>
      <c r="D631" s="4">
        <v>0</v>
      </c>
      <c r="E631" s="5">
        <v>0</v>
      </c>
      <c r="F631" s="4">
        <v>2</v>
      </c>
      <c r="G631" s="5">
        <v>0.79</v>
      </c>
      <c r="H631" s="4">
        <v>0</v>
      </c>
    </row>
    <row r="632" spans="1:8" x14ac:dyDescent="0.2">
      <c r="A632" s="2" t="s">
        <v>195</v>
      </c>
      <c r="B632" s="4">
        <v>5</v>
      </c>
      <c r="C632" s="5">
        <v>0.78</v>
      </c>
      <c r="D632" s="4">
        <v>2</v>
      </c>
      <c r="E632" s="5">
        <v>0.53</v>
      </c>
      <c r="F632" s="4">
        <v>3</v>
      </c>
      <c r="G632" s="5">
        <v>1.19</v>
      </c>
      <c r="H632" s="4">
        <v>0</v>
      </c>
    </row>
    <row r="633" spans="1:8" x14ac:dyDescent="0.2">
      <c r="A633" s="2" t="s">
        <v>196</v>
      </c>
      <c r="B633" s="4">
        <v>156</v>
      </c>
      <c r="C633" s="5">
        <v>24.34</v>
      </c>
      <c r="D633" s="4">
        <v>63</v>
      </c>
      <c r="E633" s="5">
        <v>16.71</v>
      </c>
      <c r="F633" s="4">
        <v>91</v>
      </c>
      <c r="G633" s="5">
        <v>35.97</v>
      </c>
      <c r="H633" s="4">
        <v>2</v>
      </c>
    </row>
    <row r="634" spans="1:8" x14ac:dyDescent="0.2">
      <c r="A634" s="2" t="s">
        <v>197</v>
      </c>
      <c r="B634" s="4">
        <v>6</v>
      </c>
      <c r="C634" s="5">
        <v>0.94</v>
      </c>
      <c r="D634" s="4">
        <v>0</v>
      </c>
      <c r="E634" s="5">
        <v>0</v>
      </c>
      <c r="F634" s="4">
        <v>6</v>
      </c>
      <c r="G634" s="5">
        <v>2.37</v>
      </c>
      <c r="H634" s="4">
        <v>0</v>
      </c>
    </row>
    <row r="635" spans="1:8" x14ac:dyDescent="0.2">
      <c r="A635" s="2" t="s">
        <v>198</v>
      </c>
      <c r="B635" s="4">
        <v>71</v>
      </c>
      <c r="C635" s="5">
        <v>11.08</v>
      </c>
      <c r="D635" s="4">
        <v>52</v>
      </c>
      <c r="E635" s="5">
        <v>13.79</v>
      </c>
      <c r="F635" s="4">
        <v>19</v>
      </c>
      <c r="G635" s="5">
        <v>7.51</v>
      </c>
      <c r="H635" s="4">
        <v>0</v>
      </c>
    </row>
    <row r="636" spans="1:8" x14ac:dyDescent="0.2">
      <c r="A636" s="2" t="s">
        <v>199</v>
      </c>
      <c r="B636" s="4">
        <v>22</v>
      </c>
      <c r="C636" s="5">
        <v>3.43</v>
      </c>
      <c r="D636" s="4">
        <v>16</v>
      </c>
      <c r="E636" s="5">
        <v>4.24</v>
      </c>
      <c r="F636" s="4">
        <v>5</v>
      </c>
      <c r="G636" s="5">
        <v>1.98</v>
      </c>
      <c r="H636" s="4">
        <v>0</v>
      </c>
    </row>
    <row r="637" spans="1:8" x14ac:dyDescent="0.2">
      <c r="A637" s="2" t="s">
        <v>200</v>
      </c>
      <c r="B637" s="4">
        <v>147</v>
      </c>
      <c r="C637" s="5">
        <v>22.93</v>
      </c>
      <c r="D637" s="4">
        <v>105</v>
      </c>
      <c r="E637" s="5">
        <v>27.85</v>
      </c>
      <c r="F637" s="4">
        <v>42</v>
      </c>
      <c r="G637" s="5">
        <v>16.600000000000001</v>
      </c>
      <c r="H637" s="4">
        <v>0</v>
      </c>
    </row>
    <row r="638" spans="1:8" x14ac:dyDescent="0.2">
      <c r="A638" s="2" t="s">
        <v>201</v>
      </c>
      <c r="B638" s="4">
        <v>80</v>
      </c>
      <c r="C638" s="5">
        <v>12.48</v>
      </c>
      <c r="D638" s="4">
        <v>67</v>
      </c>
      <c r="E638" s="5">
        <v>17.77</v>
      </c>
      <c r="F638" s="4">
        <v>13</v>
      </c>
      <c r="G638" s="5">
        <v>5.14</v>
      </c>
      <c r="H638" s="4">
        <v>0</v>
      </c>
    </row>
    <row r="639" spans="1:8" x14ac:dyDescent="0.2">
      <c r="A639" s="2" t="s">
        <v>202</v>
      </c>
      <c r="B639" s="4">
        <v>18</v>
      </c>
      <c r="C639" s="5">
        <v>2.81</v>
      </c>
      <c r="D639" s="4">
        <v>14</v>
      </c>
      <c r="E639" s="5">
        <v>3.71</v>
      </c>
      <c r="F639" s="4">
        <v>2</v>
      </c>
      <c r="G639" s="5">
        <v>0.79</v>
      </c>
      <c r="H639" s="4">
        <v>1</v>
      </c>
    </row>
    <row r="640" spans="1:8" x14ac:dyDescent="0.2">
      <c r="A640" s="2" t="s">
        <v>203</v>
      </c>
      <c r="B640" s="4">
        <v>37</v>
      </c>
      <c r="C640" s="5">
        <v>5.77</v>
      </c>
      <c r="D640" s="4">
        <v>26</v>
      </c>
      <c r="E640" s="5">
        <v>6.9</v>
      </c>
      <c r="F640" s="4">
        <v>7</v>
      </c>
      <c r="G640" s="5">
        <v>2.77</v>
      </c>
      <c r="H640" s="4">
        <v>0</v>
      </c>
    </row>
    <row r="641" spans="1:8" x14ac:dyDescent="0.2">
      <c r="A641" s="2" t="s">
        <v>204</v>
      </c>
      <c r="B641" s="4">
        <v>19</v>
      </c>
      <c r="C641" s="5">
        <v>2.96</v>
      </c>
      <c r="D641" s="4">
        <v>4</v>
      </c>
      <c r="E641" s="5">
        <v>1.06</v>
      </c>
      <c r="F641" s="4">
        <v>13</v>
      </c>
      <c r="G641" s="5">
        <v>5.14</v>
      </c>
      <c r="H641" s="4">
        <v>0</v>
      </c>
    </row>
    <row r="642" spans="1:8" x14ac:dyDescent="0.2">
      <c r="A642" s="1" t="s">
        <v>40</v>
      </c>
      <c r="B642" s="4">
        <v>929</v>
      </c>
      <c r="C642" s="5">
        <v>100.00999999999999</v>
      </c>
      <c r="D642" s="4">
        <v>447</v>
      </c>
      <c r="E642" s="5">
        <v>100</v>
      </c>
      <c r="F642" s="4">
        <v>459</v>
      </c>
      <c r="G642" s="5">
        <v>100.00999999999999</v>
      </c>
      <c r="H642" s="4">
        <v>1</v>
      </c>
    </row>
    <row r="643" spans="1:8" x14ac:dyDescent="0.2">
      <c r="A643" s="2" t="s">
        <v>190</v>
      </c>
      <c r="B643" s="4">
        <v>0</v>
      </c>
      <c r="C643" s="5">
        <v>0</v>
      </c>
      <c r="D643" s="4">
        <v>0</v>
      </c>
      <c r="E643" s="5">
        <v>0</v>
      </c>
      <c r="F643" s="4">
        <v>0</v>
      </c>
      <c r="G643" s="5">
        <v>0</v>
      </c>
      <c r="H643" s="4">
        <v>0</v>
      </c>
    </row>
    <row r="644" spans="1:8" x14ac:dyDescent="0.2">
      <c r="A644" s="2" t="s">
        <v>191</v>
      </c>
      <c r="B644" s="4">
        <v>179</v>
      </c>
      <c r="C644" s="5">
        <v>19.27</v>
      </c>
      <c r="D644" s="4">
        <v>49</v>
      </c>
      <c r="E644" s="5">
        <v>10.96</v>
      </c>
      <c r="F644" s="4">
        <v>130</v>
      </c>
      <c r="G644" s="5">
        <v>28.32</v>
      </c>
      <c r="H644" s="4">
        <v>0</v>
      </c>
    </row>
    <row r="645" spans="1:8" x14ac:dyDescent="0.2">
      <c r="A645" s="2" t="s">
        <v>192</v>
      </c>
      <c r="B645" s="4">
        <v>45</v>
      </c>
      <c r="C645" s="5">
        <v>4.84</v>
      </c>
      <c r="D645" s="4">
        <v>8</v>
      </c>
      <c r="E645" s="5">
        <v>1.79</v>
      </c>
      <c r="F645" s="4">
        <v>37</v>
      </c>
      <c r="G645" s="5">
        <v>8.06</v>
      </c>
      <c r="H645" s="4">
        <v>0</v>
      </c>
    </row>
    <row r="646" spans="1:8" x14ac:dyDescent="0.2">
      <c r="A646" s="2" t="s">
        <v>193</v>
      </c>
      <c r="B646" s="4">
        <v>0</v>
      </c>
      <c r="C646" s="5">
        <v>0</v>
      </c>
      <c r="D646" s="4">
        <v>0</v>
      </c>
      <c r="E646" s="5">
        <v>0</v>
      </c>
      <c r="F646" s="4">
        <v>0</v>
      </c>
      <c r="G646" s="5">
        <v>0</v>
      </c>
      <c r="H646" s="4">
        <v>0</v>
      </c>
    </row>
    <row r="647" spans="1:8" x14ac:dyDescent="0.2">
      <c r="A647" s="2" t="s">
        <v>194</v>
      </c>
      <c r="B647" s="4">
        <v>2</v>
      </c>
      <c r="C647" s="5">
        <v>0.22</v>
      </c>
      <c r="D647" s="4">
        <v>0</v>
      </c>
      <c r="E647" s="5">
        <v>0</v>
      </c>
      <c r="F647" s="4">
        <v>2</v>
      </c>
      <c r="G647" s="5">
        <v>0.44</v>
      </c>
      <c r="H647" s="4">
        <v>0</v>
      </c>
    </row>
    <row r="648" spans="1:8" x14ac:dyDescent="0.2">
      <c r="A648" s="2" t="s">
        <v>195</v>
      </c>
      <c r="B648" s="4">
        <v>6</v>
      </c>
      <c r="C648" s="5">
        <v>0.65</v>
      </c>
      <c r="D648" s="4">
        <v>0</v>
      </c>
      <c r="E648" s="5">
        <v>0</v>
      </c>
      <c r="F648" s="4">
        <v>6</v>
      </c>
      <c r="G648" s="5">
        <v>1.31</v>
      </c>
      <c r="H648" s="4">
        <v>0</v>
      </c>
    </row>
    <row r="649" spans="1:8" x14ac:dyDescent="0.2">
      <c r="A649" s="2" t="s">
        <v>196</v>
      </c>
      <c r="B649" s="4">
        <v>182</v>
      </c>
      <c r="C649" s="5">
        <v>19.59</v>
      </c>
      <c r="D649" s="4">
        <v>58</v>
      </c>
      <c r="E649" s="5">
        <v>12.98</v>
      </c>
      <c r="F649" s="4">
        <v>123</v>
      </c>
      <c r="G649" s="5">
        <v>26.8</v>
      </c>
      <c r="H649" s="4">
        <v>1</v>
      </c>
    </row>
    <row r="650" spans="1:8" x14ac:dyDescent="0.2">
      <c r="A650" s="2" t="s">
        <v>197</v>
      </c>
      <c r="B650" s="4">
        <v>11</v>
      </c>
      <c r="C650" s="5">
        <v>1.18</v>
      </c>
      <c r="D650" s="4">
        <v>1</v>
      </c>
      <c r="E650" s="5">
        <v>0.22</v>
      </c>
      <c r="F650" s="4">
        <v>10</v>
      </c>
      <c r="G650" s="5">
        <v>2.1800000000000002</v>
      </c>
      <c r="H650" s="4">
        <v>0</v>
      </c>
    </row>
    <row r="651" spans="1:8" x14ac:dyDescent="0.2">
      <c r="A651" s="2" t="s">
        <v>198</v>
      </c>
      <c r="B651" s="4">
        <v>85</v>
      </c>
      <c r="C651" s="5">
        <v>9.15</v>
      </c>
      <c r="D651" s="4">
        <v>49</v>
      </c>
      <c r="E651" s="5">
        <v>10.96</v>
      </c>
      <c r="F651" s="4">
        <v>35</v>
      </c>
      <c r="G651" s="5">
        <v>7.63</v>
      </c>
      <c r="H651" s="4">
        <v>0</v>
      </c>
    </row>
    <row r="652" spans="1:8" x14ac:dyDescent="0.2">
      <c r="A652" s="2" t="s">
        <v>199</v>
      </c>
      <c r="B652" s="4">
        <v>29</v>
      </c>
      <c r="C652" s="5">
        <v>3.12</v>
      </c>
      <c r="D652" s="4">
        <v>15</v>
      </c>
      <c r="E652" s="5">
        <v>3.36</v>
      </c>
      <c r="F652" s="4">
        <v>14</v>
      </c>
      <c r="G652" s="5">
        <v>3.05</v>
      </c>
      <c r="H652" s="4">
        <v>0</v>
      </c>
    </row>
    <row r="653" spans="1:8" x14ac:dyDescent="0.2">
      <c r="A653" s="2" t="s">
        <v>200</v>
      </c>
      <c r="B653" s="4">
        <v>116</v>
      </c>
      <c r="C653" s="5">
        <v>12.49</v>
      </c>
      <c r="D653" s="4">
        <v>90</v>
      </c>
      <c r="E653" s="5">
        <v>20.13</v>
      </c>
      <c r="F653" s="4">
        <v>26</v>
      </c>
      <c r="G653" s="5">
        <v>5.66</v>
      </c>
      <c r="H653" s="4">
        <v>0</v>
      </c>
    </row>
    <row r="654" spans="1:8" x14ac:dyDescent="0.2">
      <c r="A654" s="2" t="s">
        <v>201</v>
      </c>
      <c r="B654" s="4">
        <v>146</v>
      </c>
      <c r="C654" s="5">
        <v>15.72</v>
      </c>
      <c r="D654" s="4">
        <v>111</v>
      </c>
      <c r="E654" s="5">
        <v>24.83</v>
      </c>
      <c r="F654" s="4">
        <v>35</v>
      </c>
      <c r="G654" s="5">
        <v>7.63</v>
      </c>
      <c r="H654" s="4">
        <v>0</v>
      </c>
    </row>
    <row r="655" spans="1:8" x14ac:dyDescent="0.2">
      <c r="A655" s="2" t="s">
        <v>202</v>
      </c>
      <c r="B655" s="4">
        <v>36</v>
      </c>
      <c r="C655" s="5">
        <v>3.88</v>
      </c>
      <c r="D655" s="4">
        <v>23</v>
      </c>
      <c r="E655" s="5">
        <v>5.15</v>
      </c>
      <c r="F655" s="4">
        <v>9</v>
      </c>
      <c r="G655" s="5">
        <v>1.96</v>
      </c>
      <c r="H655" s="4">
        <v>0</v>
      </c>
    </row>
    <row r="656" spans="1:8" x14ac:dyDescent="0.2">
      <c r="A656" s="2" t="s">
        <v>203</v>
      </c>
      <c r="B656" s="4">
        <v>63</v>
      </c>
      <c r="C656" s="5">
        <v>6.78</v>
      </c>
      <c r="D656" s="4">
        <v>34</v>
      </c>
      <c r="E656" s="5">
        <v>7.61</v>
      </c>
      <c r="F656" s="4">
        <v>12</v>
      </c>
      <c r="G656" s="5">
        <v>2.61</v>
      </c>
      <c r="H656" s="4">
        <v>0</v>
      </c>
    </row>
    <row r="657" spans="1:8" x14ac:dyDescent="0.2">
      <c r="A657" s="2" t="s">
        <v>204</v>
      </c>
      <c r="B657" s="4">
        <v>29</v>
      </c>
      <c r="C657" s="5">
        <v>3.12</v>
      </c>
      <c r="D657" s="4">
        <v>9</v>
      </c>
      <c r="E657" s="5">
        <v>2.0099999999999998</v>
      </c>
      <c r="F657" s="4">
        <v>20</v>
      </c>
      <c r="G657" s="5">
        <v>4.3600000000000003</v>
      </c>
      <c r="H657" s="4">
        <v>0</v>
      </c>
    </row>
    <row r="658" spans="1:8" x14ac:dyDescent="0.2">
      <c r="A658" s="1" t="s">
        <v>41</v>
      </c>
      <c r="B658" s="4">
        <v>1011</v>
      </c>
      <c r="C658" s="5">
        <v>100</v>
      </c>
      <c r="D658" s="4">
        <v>487</v>
      </c>
      <c r="E658" s="5">
        <v>100</v>
      </c>
      <c r="F658" s="4">
        <v>510</v>
      </c>
      <c r="G658" s="5">
        <v>100.02000000000001</v>
      </c>
      <c r="H658" s="4">
        <v>1</v>
      </c>
    </row>
    <row r="659" spans="1:8" x14ac:dyDescent="0.2">
      <c r="A659" s="2" t="s">
        <v>190</v>
      </c>
      <c r="B659" s="4">
        <v>1</v>
      </c>
      <c r="C659" s="5">
        <v>0.1</v>
      </c>
      <c r="D659" s="4">
        <v>0</v>
      </c>
      <c r="E659" s="5">
        <v>0</v>
      </c>
      <c r="F659" s="4">
        <v>1</v>
      </c>
      <c r="G659" s="5">
        <v>0.2</v>
      </c>
      <c r="H659" s="4">
        <v>0</v>
      </c>
    </row>
    <row r="660" spans="1:8" x14ac:dyDescent="0.2">
      <c r="A660" s="2" t="s">
        <v>191</v>
      </c>
      <c r="B660" s="4">
        <v>138</v>
      </c>
      <c r="C660" s="5">
        <v>13.65</v>
      </c>
      <c r="D660" s="4">
        <v>30</v>
      </c>
      <c r="E660" s="5">
        <v>6.16</v>
      </c>
      <c r="F660" s="4">
        <v>108</v>
      </c>
      <c r="G660" s="5">
        <v>21.18</v>
      </c>
      <c r="H660" s="4">
        <v>0</v>
      </c>
    </row>
    <row r="661" spans="1:8" x14ac:dyDescent="0.2">
      <c r="A661" s="2" t="s">
        <v>192</v>
      </c>
      <c r="B661" s="4">
        <v>44</v>
      </c>
      <c r="C661" s="5">
        <v>4.3499999999999996</v>
      </c>
      <c r="D661" s="4">
        <v>5</v>
      </c>
      <c r="E661" s="5">
        <v>1.03</v>
      </c>
      <c r="F661" s="4">
        <v>39</v>
      </c>
      <c r="G661" s="5">
        <v>7.65</v>
      </c>
      <c r="H661" s="4">
        <v>0</v>
      </c>
    </row>
    <row r="662" spans="1:8" x14ac:dyDescent="0.2">
      <c r="A662" s="2" t="s">
        <v>193</v>
      </c>
      <c r="B662" s="4">
        <v>4</v>
      </c>
      <c r="C662" s="5">
        <v>0.4</v>
      </c>
      <c r="D662" s="4">
        <v>0</v>
      </c>
      <c r="E662" s="5">
        <v>0</v>
      </c>
      <c r="F662" s="4">
        <v>3</v>
      </c>
      <c r="G662" s="5">
        <v>0.59</v>
      </c>
      <c r="H662" s="4">
        <v>0</v>
      </c>
    </row>
    <row r="663" spans="1:8" x14ac:dyDescent="0.2">
      <c r="A663" s="2" t="s">
        <v>194</v>
      </c>
      <c r="B663" s="4">
        <v>3</v>
      </c>
      <c r="C663" s="5">
        <v>0.3</v>
      </c>
      <c r="D663" s="4">
        <v>0</v>
      </c>
      <c r="E663" s="5">
        <v>0</v>
      </c>
      <c r="F663" s="4">
        <v>3</v>
      </c>
      <c r="G663" s="5">
        <v>0.59</v>
      </c>
      <c r="H663" s="4">
        <v>0</v>
      </c>
    </row>
    <row r="664" spans="1:8" x14ac:dyDescent="0.2">
      <c r="A664" s="2" t="s">
        <v>195</v>
      </c>
      <c r="B664" s="4">
        <v>18</v>
      </c>
      <c r="C664" s="5">
        <v>1.78</v>
      </c>
      <c r="D664" s="4">
        <v>4</v>
      </c>
      <c r="E664" s="5">
        <v>0.82</v>
      </c>
      <c r="F664" s="4">
        <v>14</v>
      </c>
      <c r="G664" s="5">
        <v>2.75</v>
      </c>
      <c r="H664" s="4">
        <v>0</v>
      </c>
    </row>
    <row r="665" spans="1:8" x14ac:dyDescent="0.2">
      <c r="A665" s="2" t="s">
        <v>196</v>
      </c>
      <c r="B665" s="4">
        <v>182</v>
      </c>
      <c r="C665" s="5">
        <v>18</v>
      </c>
      <c r="D665" s="4">
        <v>64</v>
      </c>
      <c r="E665" s="5">
        <v>13.14</v>
      </c>
      <c r="F665" s="4">
        <v>117</v>
      </c>
      <c r="G665" s="5">
        <v>22.94</v>
      </c>
      <c r="H665" s="4">
        <v>1</v>
      </c>
    </row>
    <row r="666" spans="1:8" x14ac:dyDescent="0.2">
      <c r="A666" s="2" t="s">
        <v>197</v>
      </c>
      <c r="B666" s="4">
        <v>14</v>
      </c>
      <c r="C666" s="5">
        <v>1.38</v>
      </c>
      <c r="D666" s="4">
        <v>4</v>
      </c>
      <c r="E666" s="5">
        <v>0.82</v>
      </c>
      <c r="F666" s="4">
        <v>10</v>
      </c>
      <c r="G666" s="5">
        <v>1.96</v>
      </c>
      <c r="H666" s="4">
        <v>0</v>
      </c>
    </row>
    <row r="667" spans="1:8" x14ac:dyDescent="0.2">
      <c r="A667" s="2" t="s">
        <v>198</v>
      </c>
      <c r="B667" s="4">
        <v>102</v>
      </c>
      <c r="C667" s="5">
        <v>10.09</v>
      </c>
      <c r="D667" s="4">
        <v>48</v>
      </c>
      <c r="E667" s="5">
        <v>9.86</v>
      </c>
      <c r="F667" s="4">
        <v>54</v>
      </c>
      <c r="G667" s="5">
        <v>10.59</v>
      </c>
      <c r="H667" s="4">
        <v>0</v>
      </c>
    </row>
    <row r="668" spans="1:8" x14ac:dyDescent="0.2">
      <c r="A668" s="2" t="s">
        <v>199</v>
      </c>
      <c r="B668" s="4">
        <v>45</v>
      </c>
      <c r="C668" s="5">
        <v>4.45</v>
      </c>
      <c r="D668" s="4">
        <v>20</v>
      </c>
      <c r="E668" s="5">
        <v>4.1100000000000003</v>
      </c>
      <c r="F668" s="4">
        <v>25</v>
      </c>
      <c r="G668" s="5">
        <v>4.9000000000000004</v>
      </c>
      <c r="H668" s="4">
        <v>0</v>
      </c>
    </row>
    <row r="669" spans="1:8" x14ac:dyDescent="0.2">
      <c r="A669" s="2" t="s">
        <v>200</v>
      </c>
      <c r="B669" s="4">
        <v>121</v>
      </c>
      <c r="C669" s="5">
        <v>11.97</v>
      </c>
      <c r="D669" s="4">
        <v>87</v>
      </c>
      <c r="E669" s="5">
        <v>17.86</v>
      </c>
      <c r="F669" s="4">
        <v>33</v>
      </c>
      <c r="G669" s="5">
        <v>6.47</v>
      </c>
      <c r="H669" s="4">
        <v>0</v>
      </c>
    </row>
    <row r="670" spans="1:8" x14ac:dyDescent="0.2">
      <c r="A670" s="2" t="s">
        <v>201</v>
      </c>
      <c r="B670" s="4">
        <v>180</v>
      </c>
      <c r="C670" s="5">
        <v>17.8</v>
      </c>
      <c r="D670" s="4">
        <v>137</v>
      </c>
      <c r="E670" s="5">
        <v>28.13</v>
      </c>
      <c r="F670" s="4">
        <v>42</v>
      </c>
      <c r="G670" s="5">
        <v>8.24</v>
      </c>
      <c r="H670" s="4">
        <v>0</v>
      </c>
    </row>
    <row r="671" spans="1:8" x14ac:dyDescent="0.2">
      <c r="A671" s="2" t="s">
        <v>202</v>
      </c>
      <c r="B671" s="4">
        <v>58</v>
      </c>
      <c r="C671" s="5">
        <v>5.74</v>
      </c>
      <c r="D671" s="4">
        <v>39</v>
      </c>
      <c r="E671" s="5">
        <v>8.01</v>
      </c>
      <c r="F671" s="4">
        <v>16</v>
      </c>
      <c r="G671" s="5">
        <v>3.14</v>
      </c>
      <c r="H671" s="4">
        <v>0</v>
      </c>
    </row>
    <row r="672" spans="1:8" x14ac:dyDescent="0.2">
      <c r="A672" s="2" t="s">
        <v>203</v>
      </c>
      <c r="B672" s="4">
        <v>63</v>
      </c>
      <c r="C672" s="5">
        <v>6.23</v>
      </c>
      <c r="D672" s="4">
        <v>38</v>
      </c>
      <c r="E672" s="5">
        <v>7.8</v>
      </c>
      <c r="F672" s="4">
        <v>20</v>
      </c>
      <c r="G672" s="5">
        <v>3.92</v>
      </c>
      <c r="H672" s="4">
        <v>0</v>
      </c>
    </row>
    <row r="673" spans="1:8" x14ac:dyDescent="0.2">
      <c r="A673" s="2" t="s">
        <v>204</v>
      </c>
      <c r="B673" s="4">
        <v>38</v>
      </c>
      <c r="C673" s="5">
        <v>3.76</v>
      </c>
      <c r="D673" s="4">
        <v>11</v>
      </c>
      <c r="E673" s="5">
        <v>2.2599999999999998</v>
      </c>
      <c r="F673" s="4">
        <v>25</v>
      </c>
      <c r="G673" s="5">
        <v>4.9000000000000004</v>
      </c>
      <c r="H673" s="4">
        <v>0</v>
      </c>
    </row>
    <row r="674" spans="1:8" x14ac:dyDescent="0.2">
      <c r="A674" s="1" t="s">
        <v>42</v>
      </c>
      <c r="B674" s="4">
        <v>770</v>
      </c>
      <c r="C674" s="5">
        <v>100.02</v>
      </c>
      <c r="D674" s="4">
        <v>439</v>
      </c>
      <c r="E674" s="5">
        <v>100.01</v>
      </c>
      <c r="F674" s="4">
        <v>320</v>
      </c>
      <c r="G674" s="5">
        <v>100.00999999999999</v>
      </c>
      <c r="H674" s="4">
        <v>2</v>
      </c>
    </row>
    <row r="675" spans="1:8" x14ac:dyDescent="0.2">
      <c r="A675" s="2" t="s">
        <v>190</v>
      </c>
      <c r="B675" s="4">
        <v>0</v>
      </c>
      <c r="C675" s="5">
        <v>0</v>
      </c>
      <c r="D675" s="4">
        <v>0</v>
      </c>
      <c r="E675" s="5">
        <v>0</v>
      </c>
      <c r="F675" s="4">
        <v>0</v>
      </c>
      <c r="G675" s="5">
        <v>0</v>
      </c>
      <c r="H675" s="4">
        <v>0</v>
      </c>
    </row>
    <row r="676" spans="1:8" x14ac:dyDescent="0.2">
      <c r="A676" s="2" t="s">
        <v>191</v>
      </c>
      <c r="B676" s="4">
        <v>81</v>
      </c>
      <c r="C676" s="5">
        <v>10.52</v>
      </c>
      <c r="D676" s="4">
        <v>19</v>
      </c>
      <c r="E676" s="5">
        <v>4.33</v>
      </c>
      <c r="F676" s="4">
        <v>62</v>
      </c>
      <c r="G676" s="5">
        <v>19.38</v>
      </c>
      <c r="H676" s="4">
        <v>0</v>
      </c>
    </row>
    <row r="677" spans="1:8" x14ac:dyDescent="0.2">
      <c r="A677" s="2" t="s">
        <v>192</v>
      </c>
      <c r="B677" s="4">
        <v>33</v>
      </c>
      <c r="C677" s="5">
        <v>4.29</v>
      </c>
      <c r="D677" s="4">
        <v>12</v>
      </c>
      <c r="E677" s="5">
        <v>2.73</v>
      </c>
      <c r="F677" s="4">
        <v>21</v>
      </c>
      <c r="G677" s="5">
        <v>6.56</v>
      </c>
      <c r="H677" s="4">
        <v>0</v>
      </c>
    </row>
    <row r="678" spans="1:8" x14ac:dyDescent="0.2">
      <c r="A678" s="2" t="s">
        <v>193</v>
      </c>
      <c r="B678" s="4">
        <v>2</v>
      </c>
      <c r="C678" s="5">
        <v>0.26</v>
      </c>
      <c r="D678" s="4">
        <v>0</v>
      </c>
      <c r="E678" s="5">
        <v>0</v>
      </c>
      <c r="F678" s="4">
        <v>1</v>
      </c>
      <c r="G678" s="5">
        <v>0.31</v>
      </c>
      <c r="H678" s="4">
        <v>0</v>
      </c>
    </row>
    <row r="679" spans="1:8" x14ac:dyDescent="0.2">
      <c r="A679" s="2" t="s">
        <v>194</v>
      </c>
      <c r="B679" s="4">
        <v>5</v>
      </c>
      <c r="C679" s="5">
        <v>0.65</v>
      </c>
      <c r="D679" s="4">
        <v>1</v>
      </c>
      <c r="E679" s="5">
        <v>0.23</v>
      </c>
      <c r="F679" s="4">
        <v>4</v>
      </c>
      <c r="G679" s="5">
        <v>1.25</v>
      </c>
      <c r="H679" s="4">
        <v>0</v>
      </c>
    </row>
    <row r="680" spans="1:8" x14ac:dyDescent="0.2">
      <c r="A680" s="2" t="s">
        <v>195</v>
      </c>
      <c r="B680" s="4">
        <v>5</v>
      </c>
      <c r="C680" s="5">
        <v>0.65</v>
      </c>
      <c r="D680" s="4">
        <v>2</v>
      </c>
      <c r="E680" s="5">
        <v>0.46</v>
      </c>
      <c r="F680" s="4">
        <v>2</v>
      </c>
      <c r="G680" s="5">
        <v>0.63</v>
      </c>
      <c r="H680" s="4">
        <v>1</v>
      </c>
    </row>
    <row r="681" spans="1:8" x14ac:dyDescent="0.2">
      <c r="A681" s="2" t="s">
        <v>196</v>
      </c>
      <c r="B681" s="4">
        <v>163</v>
      </c>
      <c r="C681" s="5">
        <v>21.17</v>
      </c>
      <c r="D681" s="4">
        <v>78</v>
      </c>
      <c r="E681" s="5">
        <v>17.77</v>
      </c>
      <c r="F681" s="4">
        <v>84</v>
      </c>
      <c r="G681" s="5">
        <v>26.25</v>
      </c>
      <c r="H681" s="4">
        <v>1</v>
      </c>
    </row>
    <row r="682" spans="1:8" x14ac:dyDescent="0.2">
      <c r="A682" s="2" t="s">
        <v>197</v>
      </c>
      <c r="B682" s="4">
        <v>9</v>
      </c>
      <c r="C682" s="5">
        <v>1.17</v>
      </c>
      <c r="D682" s="4">
        <v>3</v>
      </c>
      <c r="E682" s="5">
        <v>0.68</v>
      </c>
      <c r="F682" s="4">
        <v>6</v>
      </c>
      <c r="G682" s="5">
        <v>1.88</v>
      </c>
      <c r="H682" s="4">
        <v>0</v>
      </c>
    </row>
    <row r="683" spans="1:8" x14ac:dyDescent="0.2">
      <c r="A683" s="2" t="s">
        <v>198</v>
      </c>
      <c r="B683" s="4">
        <v>102</v>
      </c>
      <c r="C683" s="5">
        <v>13.25</v>
      </c>
      <c r="D683" s="4">
        <v>61</v>
      </c>
      <c r="E683" s="5">
        <v>13.9</v>
      </c>
      <c r="F683" s="4">
        <v>41</v>
      </c>
      <c r="G683" s="5">
        <v>12.81</v>
      </c>
      <c r="H683" s="4">
        <v>0</v>
      </c>
    </row>
    <row r="684" spans="1:8" x14ac:dyDescent="0.2">
      <c r="A684" s="2" t="s">
        <v>199</v>
      </c>
      <c r="B684" s="4">
        <v>28</v>
      </c>
      <c r="C684" s="5">
        <v>3.64</v>
      </c>
      <c r="D684" s="4">
        <v>16</v>
      </c>
      <c r="E684" s="5">
        <v>3.64</v>
      </c>
      <c r="F684" s="4">
        <v>12</v>
      </c>
      <c r="G684" s="5">
        <v>3.75</v>
      </c>
      <c r="H684" s="4">
        <v>0</v>
      </c>
    </row>
    <row r="685" spans="1:8" x14ac:dyDescent="0.2">
      <c r="A685" s="2" t="s">
        <v>200</v>
      </c>
      <c r="B685" s="4">
        <v>129</v>
      </c>
      <c r="C685" s="5">
        <v>16.75</v>
      </c>
      <c r="D685" s="4">
        <v>99</v>
      </c>
      <c r="E685" s="5">
        <v>22.55</v>
      </c>
      <c r="F685" s="4">
        <v>30</v>
      </c>
      <c r="G685" s="5">
        <v>9.3800000000000008</v>
      </c>
      <c r="H685" s="4">
        <v>0</v>
      </c>
    </row>
    <row r="686" spans="1:8" x14ac:dyDescent="0.2">
      <c r="A686" s="2" t="s">
        <v>201</v>
      </c>
      <c r="B686" s="4">
        <v>108</v>
      </c>
      <c r="C686" s="5">
        <v>14.03</v>
      </c>
      <c r="D686" s="4">
        <v>92</v>
      </c>
      <c r="E686" s="5">
        <v>20.96</v>
      </c>
      <c r="F686" s="4">
        <v>16</v>
      </c>
      <c r="G686" s="5">
        <v>5</v>
      </c>
      <c r="H686" s="4">
        <v>0</v>
      </c>
    </row>
    <row r="687" spans="1:8" x14ac:dyDescent="0.2">
      <c r="A687" s="2" t="s">
        <v>202</v>
      </c>
      <c r="B687" s="4">
        <v>21</v>
      </c>
      <c r="C687" s="5">
        <v>2.73</v>
      </c>
      <c r="D687" s="4">
        <v>14</v>
      </c>
      <c r="E687" s="5">
        <v>3.19</v>
      </c>
      <c r="F687" s="4">
        <v>7</v>
      </c>
      <c r="G687" s="5">
        <v>2.19</v>
      </c>
      <c r="H687" s="4">
        <v>0</v>
      </c>
    </row>
    <row r="688" spans="1:8" x14ac:dyDescent="0.2">
      <c r="A688" s="2" t="s">
        <v>203</v>
      </c>
      <c r="B688" s="4">
        <v>58</v>
      </c>
      <c r="C688" s="5">
        <v>7.53</v>
      </c>
      <c r="D688" s="4">
        <v>31</v>
      </c>
      <c r="E688" s="5">
        <v>7.06</v>
      </c>
      <c r="F688" s="4">
        <v>21</v>
      </c>
      <c r="G688" s="5">
        <v>6.56</v>
      </c>
      <c r="H688" s="4">
        <v>0</v>
      </c>
    </row>
    <row r="689" spans="1:8" x14ac:dyDescent="0.2">
      <c r="A689" s="2" t="s">
        <v>204</v>
      </c>
      <c r="B689" s="4">
        <v>26</v>
      </c>
      <c r="C689" s="5">
        <v>3.38</v>
      </c>
      <c r="D689" s="4">
        <v>11</v>
      </c>
      <c r="E689" s="5">
        <v>2.5099999999999998</v>
      </c>
      <c r="F689" s="4">
        <v>13</v>
      </c>
      <c r="G689" s="5">
        <v>4.0599999999999996</v>
      </c>
      <c r="H689" s="4">
        <v>0</v>
      </c>
    </row>
    <row r="690" spans="1:8" x14ac:dyDescent="0.2">
      <c r="A690" s="1" t="s">
        <v>43</v>
      </c>
      <c r="B690" s="4">
        <v>845</v>
      </c>
      <c r="C690" s="5">
        <v>100.02000000000001</v>
      </c>
      <c r="D690" s="4">
        <v>248</v>
      </c>
      <c r="E690" s="5">
        <v>99.99</v>
      </c>
      <c r="F690" s="4">
        <v>588</v>
      </c>
      <c r="G690" s="5">
        <v>99.980000000000018</v>
      </c>
      <c r="H690" s="4">
        <v>2</v>
      </c>
    </row>
    <row r="691" spans="1:8" x14ac:dyDescent="0.2">
      <c r="A691" s="2" t="s">
        <v>190</v>
      </c>
      <c r="B691" s="4">
        <v>1</v>
      </c>
      <c r="C691" s="5">
        <v>0.12</v>
      </c>
      <c r="D691" s="4">
        <v>0</v>
      </c>
      <c r="E691" s="5">
        <v>0</v>
      </c>
      <c r="F691" s="4">
        <v>1</v>
      </c>
      <c r="G691" s="5">
        <v>0.17</v>
      </c>
      <c r="H691" s="4">
        <v>0</v>
      </c>
    </row>
    <row r="692" spans="1:8" x14ac:dyDescent="0.2">
      <c r="A692" s="2" t="s">
        <v>191</v>
      </c>
      <c r="B692" s="4">
        <v>162</v>
      </c>
      <c r="C692" s="5">
        <v>19.170000000000002</v>
      </c>
      <c r="D692" s="4">
        <v>13</v>
      </c>
      <c r="E692" s="5">
        <v>5.24</v>
      </c>
      <c r="F692" s="4">
        <v>149</v>
      </c>
      <c r="G692" s="5">
        <v>25.34</v>
      </c>
      <c r="H692" s="4">
        <v>0</v>
      </c>
    </row>
    <row r="693" spans="1:8" x14ac:dyDescent="0.2">
      <c r="A693" s="2" t="s">
        <v>192</v>
      </c>
      <c r="B693" s="4">
        <v>49</v>
      </c>
      <c r="C693" s="5">
        <v>5.8</v>
      </c>
      <c r="D693" s="4">
        <v>10</v>
      </c>
      <c r="E693" s="5">
        <v>4.03</v>
      </c>
      <c r="F693" s="4">
        <v>39</v>
      </c>
      <c r="G693" s="5">
        <v>6.63</v>
      </c>
      <c r="H693" s="4">
        <v>0</v>
      </c>
    </row>
    <row r="694" spans="1:8" x14ac:dyDescent="0.2">
      <c r="A694" s="2" t="s">
        <v>193</v>
      </c>
      <c r="B694" s="4">
        <v>2</v>
      </c>
      <c r="C694" s="5">
        <v>0.24</v>
      </c>
      <c r="D694" s="4">
        <v>0</v>
      </c>
      <c r="E694" s="5">
        <v>0</v>
      </c>
      <c r="F694" s="4">
        <v>1</v>
      </c>
      <c r="G694" s="5">
        <v>0.17</v>
      </c>
      <c r="H694" s="4">
        <v>0</v>
      </c>
    </row>
    <row r="695" spans="1:8" x14ac:dyDescent="0.2">
      <c r="A695" s="2" t="s">
        <v>194</v>
      </c>
      <c r="B695" s="4">
        <v>8</v>
      </c>
      <c r="C695" s="5">
        <v>0.95</v>
      </c>
      <c r="D695" s="4">
        <v>0</v>
      </c>
      <c r="E695" s="5">
        <v>0</v>
      </c>
      <c r="F695" s="4">
        <v>8</v>
      </c>
      <c r="G695" s="5">
        <v>1.36</v>
      </c>
      <c r="H695" s="4">
        <v>0</v>
      </c>
    </row>
    <row r="696" spans="1:8" x14ac:dyDescent="0.2">
      <c r="A696" s="2" t="s">
        <v>195</v>
      </c>
      <c r="B696" s="4">
        <v>29</v>
      </c>
      <c r="C696" s="5">
        <v>3.43</v>
      </c>
      <c r="D696" s="4">
        <v>7</v>
      </c>
      <c r="E696" s="5">
        <v>2.82</v>
      </c>
      <c r="F696" s="4">
        <v>22</v>
      </c>
      <c r="G696" s="5">
        <v>3.74</v>
      </c>
      <c r="H696" s="4">
        <v>0</v>
      </c>
    </row>
    <row r="697" spans="1:8" x14ac:dyDescent="0.2">
      <c r="A697" s="2" t="s">
        <v>196</v>
      </c>
      <c r="B697" s="4">
        <v>218</v>
      </c>
      <c r="C697" s="5">
        <v>25.8</v>
      </c>
      <c r="D697" s="4">
        <v>33</v>
      </c>
      <c r="E697" s="5">
        <v>13.31</v>
      </c>
      <c r="F697" s="4">
        <v>185</v>
      </c>
      <c r="G697" s="5">
        <v>31.46</v>
      </c>
      <c r="H697" s="4">
        <v>0</v>
      </c>
    </row>
    <row r="698" spans="1:8" x14ac:dyDescent="0.2">
      <c r="A698" s="2" t="s">
        <v>197</v>
      </c>
      <c r="B698" s="4">
        <v>9</v>
      </c>
      <c r="C698" s="5">
        <v>1.07</v>
      </c>
      <c r="D698" s="4">
        <v>3</v>
      </c>
      <c r="E698" s="5">
        <v>1.21</v>
      </c>
      <c r="F698" s="4">
        <v>6</v>
      </c>
      <c r="G698" s="5">
        <v>1.02</v>
      </c>
      <c r="H698" s="4">
        <v>0</v>
      </c>
    </row>
    <row r="699" spans="1:8" x14ac:dyDescent="0.2">
      <c r="A699" s="2" t="s">
        <v>198</v>
      </c>
      <c r="B699" s="4">
        <v>56</v>
      </c>
      <c r="C699" s="5">
        <v>6.63</v>
      </c>
      <c r="D699" s="4">
        <v>19</v>
      </c>
      <c r="E699" s="5">
        <v>7.66</v>
      </c>
      <c r="F699" s="4">
        <v>37</v>
      </c>
      <c r="G699" s="5">
        <v>6.29</v>
      </c>
      <c r="H699" s="4">
        <v>0</v>
      </c>
    </row>
    <row r="700" spans="1:8" x14ac:dyDescent="0.2">
      <c r="A700" s="2" t="s">
        <v>199</v>
      </c>
      <c r="B700" s="4">
        <v>48</v>
      </c>
      <c r="C700" s="5">
        <v>5.68</v>
      </c>
      <c r="D700" s="4">
        <v>20</v>
      </c>
      <c r="E700" s="5">
        <v>8.06</v>
      </c>
      <c r="F700" s="4">
        <v>28</v>
      </c>
      <c r="G700" s="5">
        <v>4.76</v>
      </c>
      <c r="H700" s="4">
        <v>0</v>
      </c>
    </row>
    <row r="701" spans="1:8" x14ac:dyDescent="0.2">
      <c r="A701" s="2" t="s">
        <v>200</v>
      </c>
      <c r="B701" s="4">
        <v>61</v>
      </c>
      <c r="C701" s="5">
        <v>7.22</v>
      </c>
      <c r="D701" s="4">
        <v>41</v>
      </c>
      <c r="E701" s="5">
        <v>16.53</v>
      </c>
      <c r="F701" s="4">
        <v>18</v>
      </c>
      <c r="G701" s="5">
        <v>3.06</v>
      </c>
      <c r="H701" s="4">
        <v>0</v>
      </c>
    </row>
    <row r="702" spans="1:8" x14ac:dyDescent="0.2">
      <c r="A702" s="2" t="s">
        <v>201</v>
      </c>
      <c r="B702" s="4">
        <v>79</v>
      </c>
      <c r="C702" s="5">
        <v>9.35</v>
      </c>
      <c r="D702" s="4">
        <v>49</v>
      </c>
      <c r="E702" s="5">
        <v>19.760000000000002</v>
      </c>
      <c r="F702" s="4">
        <v>30</v>
      </c>
      <c r="G702" s="5">
        <v>5.0999999999999996</v>
      </c>
      <c r="H702" s="4">
        <v>0</v>
      </c>
    </row>
    <row r="703" spans="1:8" x14ac:dyDescent="0.2">
      <c r="A703" s="2" t="s">
        <v>202</v>
      </c>
      <c r="B703" s="4">
        <v>21</v>
      </c>
      <c r="C703" s="5">
        <v>2.4900000000000002</v>
      </c>
      <c r="D703" s="4">
        <v>13</v>
      </c>
      <c r="E703" s="5">
        <v>5.24</v>
      </c>
      <c r="F703" s="4">
        <v>4</v>
      </c>
      <c r="G703" s="5">
        <v>0.68</v>
      </c>
      <c r="H703" s="4">
        <v>2</v>
      </c>
    </row>
    <row r="704" spans="1:8" x14ac:dyDescent="0.2">
      <c r="A704" s="2" t="s">
        <v>203</v>
      </c>
      <c r="B704" s="4">
        <v>54</v>
      </c>
      <c r="C704" s="5">
        <v>6.39</v>
      </c>
      <c r="D704" s="4">
        <v>29</v>
      </c>
      <c r="E704" s="5">
        <v>11.69</v>
      </c>
      <c r="F704" s="4">
        <v>25</v>
      </c>
      <c r="G704" s="5">
        <v>4.25</v>
      </c>
      <c r="H704" s="4">
        <v>0</v>
      </c>
    </row>
    <row r="705" spans="1:8" x14ac:dyDescent="0.2">
      <c r="A705" s="2" t="s">
        <v>204</v>
      </c>
      <c r="B705" s="4">
        <v>48</v>
      </c>
      <c r="C705" s="5">
        <v>5.68</v>
      </c>
      <c r="D705" s="4">
        <v>11</v>
      </c>
      <c r="E705" s="5">
        <v>4.4400000000000004</v>
      </c>
      <c r="F705" s="4">
        <v>35</v>
      </c>
      <c r="G705" s="5">
        <v>5.95</v>
      </c>
      <c r="H705" s="4">
        <v>0</v>
      </c>
    </row>
    <row r="706" spans="1:8" x14ac:dyDescent="0.2">
      <c r="A706" s="1" t="s">
        <v>44</v>
      </c>
      <c r="B706" s="4">
        <v>1120</v>
      </c>
      <c r="C706" s="5">
        <v>99.999999999999972</v>
      </c>
      <c r="D706" s="4">
        <v>331</v>
      </c>
      <c r="E706" s="5">
        <v>100</v>
      </c>
      <c r="F706" s="4">
        <v>779</v>
      </c>
      <c r="G706" s="5">
        <v>99.990000000000009</v>
      </c>
      <c r="H706" s="4">
        <v>2</v>
      </c>
    </row>
    <row r="707" spans="1:8" x14ac:dyDescent="0.2">
      <c r="A707" s="2" t="s">
        <v>190</v>
      </c>
      <c r="B707" s="4">
        <v>1</v>
      </c>
      <c r="C707" s="5">
        <v>0.09</v>
      </c>
      <c r="D707" s="4">
        <v>0</v>
      </c>
      <c r="E707" s="5">
        <v>0</v>
      </c>
      <c r="F707" s="4">
        <v>1</v>
      </c>
      <c r="G707" s="5">
        <v>0.13</v>
      </c>
      <c r="H707" s="4">
        <v>0</v>
      </c>
    </row>
    <row r="708" spans="1:8" x14ac:dyDescent="0.2">
      <c r="A708" s="2" t="s">
        <v>191</v>
      </c>
      <c r="B708" s="4">
        <v>275</v>
      </c>
      <c r="C708" s="5">
        <v>24.55</v>
      </c>
      <c r="D708" s="4">
        <v>25</v>
      </c>
      <c r="E708" s="5">
        <v>7.55</v>
      </c>
      <c r="F708" s="4">
        <v>250</v>
      </c>
      <c r="G708" s="5">
        <v>32.090000000000003</v>
      </c>
      <c r="H708" s="4">
        <v>0</v>
      </c>
    </row>
    <row r="709" spans="1:8" x14ac:dyDescent="0.2">
      <c r="A709" s="2" t="s">
        <v>192</v>
      </c>
      <c r="B709" s="4">
        <v>100</v>
      </c>
      <c r="C709" s="5">
        <v>8.93</v>
      </c>
      <c r="D709" s="4">
        <v>9</v>
      </c>
      <c r="E709" s="5">
        <v>2.72</v>
      </c>
      <c r="F709" s="4">
        <v>91</v>
      </c>
      <c r="G709" s="5">
        <v>11.68</v>
      </c>
      <c r="H709" s="4">
        <v>0</v>
      </c>
    </row>
    <row r="710" spans="1:8" x14ac:dyDescent="0.2">
      <c r="A710" s="2" t="s">
        <v>193</v>
      </c>
      <c r="B710" s="4">
        <v>1</v>
      </c>
      <c r="C710" s="5">
        <v>0.09</v>
      </c>
      <c r="D710" s="4">
        <v>0</v>
      </c>
      <c r="E710" s="5">
        <v>0</v>
      </c>
      <c r="F710" s="4">
        <v>1</v>
      </c>
      <c r="G710" s="5">
        <v>0.13</v>
      </c>
      <c r="H710" s="4">
        <v>0</v>
      </c>
    </row>
    <row r="711" spans="1:8" x14ac:dyDescent="0.2">
      <c r="A711" s="2" t="s">
        <v>194</v>
      </c>
      <c r="B711" s="4">
        <v>12</v>
      </c>
      <c r="C711" s="5">
        <v>1.07</v>
      </c>
      <c r="D711" s="4">
        <v>2</v>
      </c>
      <c r="E711" s="5">
        <v>0.6</v>
      </c>
      <c r="F711" s="4">
        <v>10</v>
      </c>
      <c r="G711" s="5">
        <v>1.28</v>
      </c>
      <c r="H711" s="4">
        <v>0</v>
      </c>
    </row>
    <row r="712" spans="1:8" x14ac:dyDescent="0.2">
      <c r="A712" s="2" t="s">
        <v>195</v>
      </c>
      <c r="B712" s="4">
        <v>37</v>
      </c>
      <c r="C712" s="5">
        <v>3.3</v>
      </c>
      <c r="D712" s="4">
        <v>9</v>
      </c>
      <c r="E712" s="5">
        <v>2.72</v>
      </c>
      <c r="F712" s="4">
        <v>28</v>
      </c>
      <c r="G712" s="5">
        <v>3.59</v>
      </c>
      <c r="H712" s="4">
        <v>0</v>
      </c>
    </row>
    <row r="713" spans="1:8" x14ac:dyDescent="0.2">
      <c r="A713" s="2" t="s">
        <v>196</v>
      </c>
      <c r="B713" s="4">
        <v>219</v>
      </c>
      <c r="C713" s="5">
        <v>19.55</v>
      </c>
      <c r="D713" s="4">
        <v>47</v>
      </c>
      <c r="E713" s="5">
        <v>14.2</v>
      </c>
      <c r="F713" s="4">
        <v>172</v>
      </c>
      <c r="G713" s="5">
        <v>22.08</v>
      </c>
      <c r="H713" s="4">
        <v>0</v>
      </c>
    </row>
    <row r="714" spans="1:8" x14ac:dyDescent="0.2">
      <c r="A714" s="2" t="s">
        <v>197</v>
      </c>
      <c r="B714" s="4">
        <v>12</v>
      </c>
      <c r="C714" s="5">
        <v>1.07</v>
      </c>
      <c r="D714" s="4">
        <v>3</v>
      </c>
      <c r="E714" s="5">
        <v>0.91</v>
      </c>
      <c r="F714" s="4">
        <v>9</v>
      </c>
      <c r="G714" s="5">
        <v>1.1599999999999999</v>
      </c>
      <c r="H714" s="4">
        <v>0</v>
      </c>
    </row>
    <row r="715" spans="1:8" x14ac:dyDescent="0.2">
      <c r="A715" s="2" t="s">
        <v>198</v>
      </c>
      <c r="B715" s="4">
        <v>44</v>
      </c>
      <c r="C715" s="5">
        <v>3.93</v>
      </c>
      <c r="D715" s="4">
        <v>4</v>
      </c>
      <c r="E715" s="5">
        <v>1.21</v>
      </c>
      <c r="F715" s="4">
        <v>40</v>
      </c>
      <c r="G715" s="5">
        <v>5.13</v>
      </c>
      <c r="H715" s="4">
        <v>0</v>
      </c>
    </row>
    <row r="716" spans="1:8" x14ac:dyDescent="0.2">
      <c r="A716" s="2" t="s">
        <v>199</v>
      </c>
      <c r="B716" s="4">
        <v>38</v>
      </c>
      <c r="C716" s="5">
        <v>3.39</v>
      </c>
      <c r="D716" s="4">
        <v>11</v>
      </c>
      <c r="E716" s="5">
        <v>3.32</v>
      </c>
      <c r="F716" s="4">
        <v>26</v>
      </c>
      <c r="G716" s="5">
        <v>3.34</v>
      </c>
      <c r="H716" s="4">
        <v>0</v>
      </c>
    </row>
    <row r="717" spans="1:8" x14ac:dyDescent="0.2">
      <c r="A717" s="2" t="s">
        <v>200</v>
      </c>
      <c r="B717" s="4">
        <v>104</v>
      </c>
      <c r="C717" s="5">
        <v>9.2899999999999991</v>
      </c>
      <c r="D717" s="4">
        <v>82</v>
      </c>
      <c r="E717" s="5">
        <v>24.77</v>
      </c>
      <c r="F717" s="4">
        <v>21</v>
      </c>
      <c r="G717" s="5">
        <v>2.7</v>
      </c>
      <c r="H717" s="4">
        <v>1</v>
      </c>
    </row>
    <row r="718" spans="1:8" x14ac:dyDescent="0.2">
      <c r="A718" s="2" t="s">
        <v>201</v>
      </c>
      <c r="B718" s="4">
        <v>111</v>
      </c>
      <c r="C718" s="5">
        <v>9.91</v>
      </c>
      <c r="D718" s="4">
        <v>83</v>
      </c>
      <c r="E718" s="5">
        <v>25.08</v>
      </c>
      <c r="F718" s="4">
        <v>28</v>
      </c>
      <c r="G718" s="5">
        <v>3.59</v>
      </c>
      <c r="H718" s="4">
        <v>0</v>
      </c>
    </row>
    <row r="719" spans="1:8" x14ac:dyDescent="0.2">
      <c r="A719" s="2" t="s">
        <v>202</v>
      </c>
      <c r="B719" s="4">
        <v>26</v>
      </c>
      <c r="C719" s="5">
        <v>2.3199999999999998</v>
      </c>
      <c r="D719" s="4">
        <v>15</v>
      </c>
      <c r="E719" s="5">
        <v>4.53</v>
      </c>
      <c r="F719" s="4">
        <v>5</v>
      </c>
      <c r="G719" s="5">
        <v>0.64</v>
      </c>
      <c r="H719" s="4">
        <v>0</v>
      </c>
    </row>
    <row r="720" spans="1:8" x14ac:dyDescent="0.2">
      <c r="A720" s="2" t="s">
        <v>203</v>
      </c>
      <c r="B720" s="4">
        <v>77</v>
      </c>
      <c r="C720" s="5">
        <v>6.88</v>
      </c>
      <c r="D720" s="4">
        <v>27</v>
      </c>
      <c r="E720" s="5">
        <v>8.16</v>
      </c>
      <c r="F720" s="4">
        <v>50</v>
      </c>
      <c r="G720" s="5">
        <v>6.42</v>
      </c>
      <c r="H720" s="4">
        <v>0</v>
      </c>
    </row>
    <row r="721" spans="1:8" x14ac:dyDescent="0.2">
      <c r="A721" s="2" t="s">
        <v>204</v>
      </c>
      <c r="B721" s="4">
        <v>63</v>
      </c>
      <c r="C721" s="5">
        <v>5.63</v>
      </c>
      <c r="D721" s="4">
        <v>14</v>
      </c>
      <c r="E721" s="5">
        <v>4.2300000000000004</v>
      </c>
      <c r="F721" s="4">
        <v>47</v>
      </c>
      <c r="G721" s="5">
        <v>6.03</v>
      </c>
      <c r="H721" s="4">
        <v>1</v>
      </c>
    </row>
    <row r="722" spans="1:8" x14ac:dyDescent="0.2">
      <c r="A722" s="1" t="s">
        <v>45</v>
      </c>
      <c r="B722" s="4">
        <v>835</v>
      </c>
      <c r="C722" s="5">
        <v>100.00999999999999</v>
      </c>
      <c r="D722" s="4">
        <v>358</v>
      </c>
      <c r="E722" s="5">
        <v>100.00000000000001</v>
      </c>
      <c r="F722" s="4">
        <v>448</v>
      </c>
      <c r="G722" s="5">
        <v>100.00999999999999</v>
      </c>
      <c r="H722" s="4">
        <v>0</v>
      </c>
    </row>
    <row r="723" spans="1:8" x14ac:dyDescent="0.2">
      <c r="A723" s="2" t="s">
        <v>190</v>
      </c>
      <c r="B723" s="4">
        <v>1</v>
      </c>
      <c r="C723" s="5">
        <v>0.12</v>
      </c>
      <c r="D723" s="4">
        <v>0</v>
      </c>
      <c r="E723" s="5">
        <v>0</v>
      </c>
      <c r="F723" s="4">
        <v>1</v>
      </c>
      <c r="G723" s="5">
        <v>0.22</v>
      </c>
      <c r="H723" s="4">
        <v>0</v>
      </c>
    </row>
    <row r="724" spans="1:8" x14ac:dyDescent="0.2">
      <c r="A724" s="2" t="s">
        <v>191</v>
      </c>
      <c r="B724" s="4">
        <v>144</v>
      </c>
      <c r="C724" s="5">
        <v>17.25</v>
      </c>
      <c r="D724" s="4">
        <v>33</v>
      </c>
      <c r="E724" s="5">
        <v>9.2200000000000006</v>
      </c>
      <c r="F724" s="4">
        <v>111</v>
      </c>
      <c r="G724" s="5">
        <v>24.78</v>
      </c>
      <c r="H724" s="4">
        <v>0</v>
      </c>
    </row>
    <row r="725" spans="1:8" x14ac:dyDescent="0.2">
      <c r="A725" s="2" t="s">
        <v>192</v>
      </c>
      <c r="B725" s="4">
        <v>50</v>
      </c>
      <c r="C725" s="5">
        <v>5.99</v>
      </c>
      <c r="D725" s="4">
        <v>11</v>
      </c>
      <c r="E725" s="5">
        <v>3.07</v>
      </c>
      <c r="F725" s="4">
        <v>39</v>
      </c>
      <c r="G725" s="5">
        <v>8.7100000000000009</v>
      </c>
      <c r="H725" s="4">
        <v>0</v>
      </c>
    </row>
    <row r="726" spans="1:8" x14ac:dyDescent="0.2">
      <c r="A726" s="2" t="s">
        <v>193</v>
      </c>
      <c r="B726" s="4">
        <v>1</v>
      </c>
      <c r="C726" s="5">
        <v>0.12</v>
      </c>
      <c r="D726" s="4">
        <v>0</v>
      </c>
      <c r="E726" s="5">
        <v>0</v>
      </c>
      <c r="F726" s="4">
        <v>1</v>
      </c>
      <c r="G726" s="5">
        <v>0.22</v>
      </c>
      <c r="H726" s="4">
        <v>0</v>
      </c>
    </row>
    <row r="727" spans="1:8" x14ac:dyDescent="0.2">
      <c r="A727" s="2" t="s">
        <v>194</v>
      </c>
      <c r="B727" s="4">
        <v>2</v>
      </c>
      <c r="C727" s="5">
        <v>0.24</v>
      </c>
      <c r="D727" s="4">
        <v>0</v>
      </c>
      <c r="E727" s="5">
        <v>0</v>
      </c>
      <c r="F727" s="4">
        <v>2</v>
      </c>
      <c r="G727" s="5">
        <v>0.45</v>
      </c>
      <c r="H727" s="4">
        <v>0</v>
      </c>
    </row>
    <row r="728" spans="1:8" x14ac:dyDescent="0.2">
      <c r="A728" s="2" t="s">
        <v>195</v>
      </c>
      <c r="B728" s="4">
        <v>17</v>
      </c>
      <c r="C728" s="5">
        <v>2.04</v>
      </c>
      <c r="D728" s="4">
        <v>2</v>
      </c>
      <c r="E728" s="5">
        <v>0.56000000000000005</v>
      </c>
      <c r="F728" s="4">
        <v>15</v>
      </c>
      <c r="G728" s="5">
        <v>3.35</v>
      </c>
      <c r="H728" s="4">
        <v>0</v>
      </c>
    </row>
    <row r="729" spans="1:8" x14ac:dyDescent="0.2">
      <c r="A729" s="2" t="s">
        <v>196</v>
      </c>
      <c r="B729" s="4">
        <v>214</v>
      </c>
      <c r="C729" s="5">
        <v>25.63</v>
      </c>
      <c r="D729" s="4">
        <v>73</v>
      </c>
      <c r="E729" s="5">
        <v>20.39</v>
      </c>
      <c r="F729" s="4">
        <v>141</v>
      </c>
      <c r="G729" s="5">
        <v>31.47</v>
      </c>
      <c r="H729" s="4">
        <v>0</v>
      </c>
    </row>
    <row r="730" spans="1:8" x14ac:dyDescent="0.2">
      <c r="A730" s="2" t="s">
        <v>197</v>
      </c>
      <c r="B730" s="4">
        <v>5</v>
      </c>
      <c r="C730" s="5">
        <v>0.6</v>
      </c>
      <c r="D730" s="4">
        <v>1</v>
      </c>
      <c r="E730" s="5">
        <v>0.28000000000000003</v>
      </c>
      <c r="F730" s="4">
        <v>4</v>
      </c>
      <c r="G730" s="5">
        <v>0.89</v>
      </c>
      <c r="H730" s="4">
        <v>0</v>
      </c>
    </row>
    <row r="731" spans="1:8" x14ac:dyDescent="0.2">
      <c r="A731" s="2" t="s">
        <v>198</v>
      </c>
      <c r="B731" s="4">
        <v>38</v>
      </c>
      <c r="C731" s="5">
        <v>4.55</v>
      </c>
      <c r="D731" s="4">
        <v>10</v>
      </c>
      <c r="E731" s="5">
        <v>2.79</v>
      </c>
      <c r="F731" s="4">
        <v>28</v>
      </c>
      <c r="G731" s="5">
        <v>6.25</v>
      </c>
      <c r="H731" s="4">
        <v>0</v>
      </c>
    </row>
    <row r="732" spans="1:8" x14ac:dyDescent="0.2">
      <c r="A732" s="2" t="s">
        <v>199</v>
      </c>
      <c r="B732" s="4">
        <v>38</v>
      </c>
      <c r="C732" s="5">
        <v>4.55</v>
      </c>
      <c r="D732" s="4">
        <v>15</v>
      </c>
      <c r="E732" s="5">
        <v>4.1900000000000004</v>
      </c>
      <c r="F732" s="4">
        <v>22</v>
      </c>
      <c r="G732" s="5">
        <v>4.91</v>
      </c>
      <c r="H732" s="4">
        <v>0</v>
      </c>
    </row>
    <row r="733" spans="1:8" x14ac:dyDescent="0.2">
      <c r="A733" s="2" t="s">
        <v>200</v>
      </c>
      <c r="B733" s="4">
        <v>70</v>
      </c>
      <c r="C733" s="5">
        <v>8.3800000000000008</v>
      </c>
      <c r="D733" s="4">
        <v>51</v>
      </c>
      <c r="E733" s="5">
        <v>14.25</v>
      </c>
      <c r="F733" s="4">
        <v>18</v>
      </c>
      <c r="G733" s="5">
        <v>4.0199999999999996</v>
      </c>
      <c r="H733" s="4">
        <v>0</v>
      </c>
    </row>
    <row r="734" spans="1:8" x14ac:dyDescent="0.2">
      <c r="A734" s="2" t="s">
        <v>201</v>
      </c>
      <c r="B734" s="4">
        <v>127</v>
      </c>
      <c r="C734" s="5">
        <v>15.21</v>
      </c>
      <c r="D734" s="4">
        <v>101</v>
      </c>
      <c r="E734" s="5">
        <v>28.21</v>
      </c>
      <c r="F734" s="4">
        <v>18</v>
      </c>
      <c r="G734" s="5">
        <v>4.0199999999999996</v>
      </c>
      <c r="H734" s="4">
        <v>0</v>
      </c>
    </row>
    <row r="735" spans="1:8" x14ac:dyDescent="0.2">
      <c r="A735" s="2" t="s">
        <v>202</v>
      </c>
      <c r="B735" s="4">
        <v>34</v>
      </c>
      <c r="C735" s="5">
        <v>4.07</v>
      </c>
      <c r="D735" s="4">
        <v>27</v>
      </c>
      <c r="E735" s="5">
        <v>7.54</v>
      </c>
      <c r="F735" s="4">
        <v>5</v>
      </c>
      <c r="G735" s="5">
        <v>1.1200000000000001</v>
      </c>
      <c r="H735" s="4">
        <v>0</v>
      </c>
    </row>
    <row r="736" spans="1:8" x14ac:dyDescent="0.2">
      <c r="A736" s="2" t="s">
        <v>203</v>
      </c>
      <c r="B736" s="4">
        <v>53</v>
      </c>
      <c r="C736" s="5">
        <v>6.35</v>
      </c>
      <c r="D736" s="4">
        <v>20</v>
      </c>
      <c r="E736" s="5">
        <v>5.59</v>
      </c>
      <c r="F736" s="4">
        <v>18</v>
      </c>
      <c r="G736" s="5">
        <v>4.0199999999999996</v>
      </c>
      <c r="H736" s="4">
        <v>0</v>
      </c>
    </row>
    <row r="737" spans="1:8" x14ac:dyDescent="0.2">
      <c r="A737" s="2" t="s">
        <v>204</v>
      </c>
      <c r="B737" s="4">
        <v>41</v>
      </c>
      <c r="C737" s="5">
        <v>4.91</v>
      </c>
      <c r="D737" s="4">
        <v>14</v>
      </c>
      <c r="E737" s="5">
        <v>3.91</v>
      </c>
      <c r="F737" s="4">
        <v>25</v>
      </c>
      <c r="G737" s="5">
        <v>5.58</v>
      </c>
      <c r="H737" s="4">
        <v>0</v>
      </c>
    </row>
    <row r="738" spans="1:8" x14ac:dyDescent="0.2">
      <c r="A738" s="1" t="s">
        <v>46</v>
      </c>
      <c r="B738" s="4">
        <v>297</v>
      </c>
      <c r="C738" s="5">
        <v>100</v>
      </c>
      <c r="D738" s="4">
        <v>144</v>
      </c>
      <c r="E738" s="5">
        <v>100</v>
      </c>
      <c r="F738" s="4">
        <v>144</v>
      </c>
      <c r="G738" s="5">
        <v>99.99</v>
      </c>
      <c r="H738" s="4">
        <v>1</v>
      </c>
    </row>
    <row r="739" spans="1:8" x14ac:dyDescent="0.2">
      <c r="A739" s="2" t="s">
        <v>190</v>
      </c>
      <c r="B739" s="4">
        <v>0</v>
      </c>
      <c r="C739" s="5">
        <v>0</v>
      </c>
      <c r="D739" s="4">
        <v>0</v>
      </c>
      <c r="E739" s="5">
        <v>0</v>
      </c>
      <c r="F739" s="4">
        <v>0</v>
      </c>
      <c r="G739" s="5">
        <v>0</v>
      </c>
      <c r="H739" s="4">
        <v>0</v>
      </c>
    </row>
    <row r="740" spans="1:8" x14ac:dyDescent="0.2">
      <c r="A740" s="2" t="s">
        <v>191</v>
      </c>
      <c r="B740" s="4">
        <v>56</v>
      </c>
      <c r="C740" s="5">
        <v>18.86</v>
      </c>
      <c r="D740" s="4">
        <v>13</v>
      </c>
      <c r="E740" s="5">
        <v>9.0299999999999994</v>
      </c>
      <c r="F740" s="4">
        <v>43</v>
      </c>
      <c r="G740" s="5">
        <v>29.86</v>
      </c>
      <c r="H740" s="4">
        <v>0</v>
      </c>
    </row>
    <row r="741" spans="1:8" x14ac:dyDescent="0.2">
      <c r="A741" s="2" t="s">
        <v>192</v>
      </c>
      <c r="B741" s="4">
        <v>22</v>
      </c>
      <c r="C741" s="5">
        <v>7.41</v>
      </c>
      <c r="D741" s="4">
        <v>7</v>
      </c>
      <c r="E741" s="5">
        <v>4.8600000000000003</v>
      </c>
      <c r="F741" s="4">
        <v>15</v>
      </c>
      <c r="G741" s="5">
        <v>10.42</v>
      </c>
      <c r="H741" s="4">
        <v>0</v>
      </c>
    </row>
    <row r="742" spans="1:8" x14ac:dyDescent="0.2">
      <c r="A742" s="2" t="s">
        <v>193</v>
      </c>
      <c r="B742" s="4">
        <v>0</v>
      </c>
      <c r="C742" s="5">
        <v>0</v>
      </c>
      <c r="D742" s="4">
        <v>0</v>
      </c>
      <c r="E742" s="5">
        <v>0</v>
      </c>
      <c r="F742" s="4">
        <v>0</v>
      </c>
      <c r="G742" s="5">
        <v>0</v>
      </c>
      <c r="H742" s="4">
        <v>0</v>
      </c>
    </row>
    <row r="743" spans="1:8" x14ac:dyDescent="0.2">
      <c r="A743" s="2" t="s">
        <v>194</v>
      </c>
      <c r="B743" s="4">
        <v>4</v>
      </c>
      <c r="C743" s="5">
        <v>1.35</v>
      </c>
      <c r="D743" s="4">
        <v>1</v>
      </c>
      <c r="E743" s="5">
        <v>0.69</v>
      </c>
      <c r="F743" s="4">
        <v>3</v>
      </c>
      <c r="G743" s="5">
        <v>2.08</v>
      </c>
      <c r="H743" s="4">
        <v>0</v>
      </c>
    </row>
    <row r="744" spans="1:8" x14ac:dyDescent="0.2">
      <c r="A744" s="2" t="s">
        <v>195</v>
      </c>
      <c r="B744" s="4">
        <v>2</v>
      </c>
      <c r="C744" s="5">
        <v>0.67</v>
      </c>
      <c r="D744" s="4">
        <v>0</v>
      </c>
      <c r="E744" s="5">
        <v>0</v>
      </c>
      <c r="F744" s="4">
        <v>2</v>
      </c>
      <c r="G744" s="5">
        <v>1.39</v>
      </c>
      <c r="H744" s="4">
        <v>0</v>
      </c>
    </row>
    <row r="745" spans="1:8" x14ac:dyDescent="0.2">
      <c r="A745" s="2" t="s">
        <v>196</v>
      </c>
      <c r="B745" s="4">
        <v>63</v>
      </c>
      <c r="C745" s="5">
        <v>21.21</v>
      </c>
      <c r="D745" s="4">
        <v>21</v>
      </c>
      <c r="E745" s="5">
        <v>14.58</v>
      </c>
      <c r="F745" s="4">
        <v>41</v>
      </c>
      <c r="G745" s="5">
        <v>28.47</v>
      </c>
      <c r="H745" s="4">
        <v>1</v>
      </c>
    </row>
    <row r="746" spans="1:8" x14ac:dyDescent="0.2">
      <c r="A746" s="2" t="s">
        <v>197</v>
      </c>
      <c r="B746" s="4">
        <v>3</v>
      </c>
      <c r="C746" s="5">
        <v>1.01</v>
      </c>
      <c r="D746" s="4">
        <v>2</v>
      </c>
      <c r="E746" s="5">
        <v>1.39</v>
      </c>
      <c r="F746" s="4">
        <v>1</v>
      </c>
      <c r="G746" s="5">
        <v>0.69</v>
      </c>
      <c r="H746" s="4">
        <v>0</v>
      </c>
    </row>
    <row r="747" spans="1:8" x14ac:dyDescent="0.2">
      <c r="A747" s="2" t="s">
        <v>198</v>
      </c>
      <c r="B747" s="4">
        <v>43</v>
      </c>
      <c r="C747" s="5">
        <v>14.48</v>
      </c>
      <c r="D747" s="4">
        <v>32</v>
      </c>
      <c r="E747" s="5">
        <v>22.22</v>
      </c>
      <c r="F747" s="4">
        <v>11</v>
      </c>
      <c r="G747" s="5">
        <v>7.64</v>
      </c>
      <c r="H747" s="4">
        <v>0</v>
      </c>
    </row>
    <row r="748" spans="1:8" x14ac:dyDescent="0.2">
      <c r="A748" s="2" t="s">
        <v>199</v>
      </c>
      <c r="B748" s="4">
        <v>12</v>
      </c>
      <c r="C748" s="5">
        <v>4.04</v>
      </c>
      <c r="D748" s="4">
        <v>6</v>
      </c>
      <c r="E748" s="5">
        <v>4.17</v>
      </c>
      <c r="F748" s="4">
        <v>6</v>
      </c>
      <c r="G748" s="5">
        <v>4.17</v>
      </c>
      <c r="H748" s="4">
        <v>0</v>
      </c>
    </row>
    <row r="749" spans="1:8" x14ac:dyDescent="0.2">
      <c r="A749" s="2" t="s">
        <v>200</v>
      </c>
      <c r="B749" s="4">
        <v>24</v>
      </c>
      <c r="C749" s="5">
        <v>8.08</v>
      </c>
      <c r="D749" s="4">
        <v>18</v>
      </c>
      <c r="E749" s="5">
        <v>12.5</v>
      </c>
      <c r="F749" s="4">
        <v>5</v>
      </c>
      <c r="G749" s="5">
        <v>3.47</v>
      </c>
      <c r="H749" s="4">
        <v>0</v>
      </c>
    </row>
    <row r="750" spans="1:8" x14ac:dyDescent="0.2">
      <c r="A750" s="2" t="s">
        <v>201</v>
      </c>
      <c r="B750" s="4">
        <v>39</v>
      </c>
      <c r="C750" s="5">
        <v>13.13</v>
      </c>
      <c r="D750" s="4">
        <v>34</v>
      </c>
      <c r="E750" s="5">
        <v>23.61</v>
      </c>
      <c r="F750" s="4">
        <v>5</v>
      </c>
      <c r="G750" s="5">
        <v>3.47</v>
      </c>
      <c r="H750" s="4">
        <v>0</v>
      </c>
    </row>
    <row r="751" spans="1:8" x14ac:dyDescent="0.2">
      <c r="A751" s="2" t="s">
        <v>202</v>
      </c>
      <c r="B751" s="4">
        <v>9</v>
      </c>
      <c r="C751" s="5">
        <v>3.03</v>
      </c>
      <c r="D751" s="4">
        <v>6</v>
      </c>
      <c r="E751" s="5">
        <v>4.17</v>
      </c>
      <c r="F751" s="4">
        <v>1</v>
      </c>
      <c r="G751" s="5">
        <v>0.69</v>
      </c>
      <c r="H751" s="4">
        <v>0</v>
      </c>
    </row>
    <row r="752" spans="1:8" x14ac:dyDescent="0.2">
      <c r="A752" s="2" t="s">
        <v>203</v>
      </c>
      <c r="B752" s="4">
        <v>12</v>
      </c>
      <c r="C752" s="5">
        <v>4.04</v>
      </c>
      <c r="D752" s="4">
        <v>2</v>
      </c>
      <c r="E752" s="5">
        <v>1.39</v>
      </c>
      <c r="F752" s="4">
        <v>7</v>
      </c>
      <c r="G752" s="5">
        <v>4.8600000000000003</v>
      </c>
      <c r="H752" s="4">
        <v>0</v>
      </c>
    </row>
    <row r="753" spans="1:8" x14ac:dyDescent="0.2">
      <c r="A753" s="2" t="s">
        <v>204</v>
      </c>
      <c r="B753" s="4">
        <v>8</v>
      </c>
      <c r="C753" s="5">
        <v>2.69</v>
      </c>
      <c r="D753" s="4">
        <v>2</v>
      </c>
      <c r="E753" s="5">
        <v>1.39</v>
      </c>
      <c r="F753" s="4">
        <v>4</v>
      </c>
      <c r="G753" s="5">
        <v>2.78</v>
      </c>
      <c r="H753" s="4">
        <v>0</v>
      </c>
    </row>
    <row r="754" spans="1:8" x14ac:dyDescent="0.2">
      <c r="A754" s="1" t="s">
        <v>47</v>
      </c>
      <c r="B754" s="4">
        <v>33</v>
      </c>
      <c r="C754" s="5">
        <v>99.990000000000009</v>
      </c>
      <c r="D754" s="4">
        <v>8</v>
      </c>
      <c r="E754" s="5">
        <v>100</v>
      </c>
      <c r="F754" s="4">
        <v>22</v>
      </c>
      <c r="G754" s="5">
        <v>100</v>
      </c>
      <c r="H754" s="4">
        <v>0</v>
      </c>
    </row>
    <row r="755" spans="1:8" x14ac:dyDescent="0.2">
      <c r="A755" s="2" t="s">
        <v>190</v>
      </c>
      <c r="B755" s="4">
        <v>0</v>
      </c>
      <c r="C755" s="5">
        <v>0</v>
      </c>
      <c r="D755" s="4">
        <v>0</v>
      </c>
      <c r="E755" s="5">
        <v>0</v>
      </c>
      <c r="F755" s="4">
        <v>0</v>
      </c>
      <c r="G755" s="5">
        <v>0</v>
      </c>
      <c r="H755" s="4">
        <v>0</v>
      </c>
    </row>
    <row r="756" spans="1:8" x14ac:dyDescent="0.2">
      <c r="A756" s="2" t="s">
        <v>191</v>
      </c>
      <c r="B756" s="4">
        <v>5</v>
      </c>
      <c r="C756" s="5">
        <v>15.15</v>
      </c>
      <c r="D756" s="4">
        <v>1</v>
      </c>
      <c r="E756" s="5">
        <v>12.5</v>
      </c>
      <c r="F756" s="4">
        <v>4</v>
      </c>
      <c r="G756" s="5">
        <v>18.18</v>
      </c>
      <c r="H756" s="4">
        <v>0</v>
      </c>
    </row>
    <row r="757" spans="1:8" x14ac:dyDescent="0.2">
      <c r="A757" s="2" t="s">
        <v>192</v>
      </c>
      <c r="B757" s="4">
        <v>6</v>
      </c>
      <c r="C757" s="5">
        <v>18.18</v>
      </c>
      <c r="D757" s="4">
        <v>0</v>
      </c>
      <c r="E757" s="5">
        <v>0</v>
      </c>
      <c r="F757" s="4">
        <v>6</v>
      </c>
      <c r="G757" s="5">
        <v>27.27</v>
      </c>
      <c r="H757" s="4">
        <v>0</v>
      </c>
    </row>
    <row r="758" spans="1:8" x14ac:dyDescent="0.2">
      <c r="A758" s="2" t="s">
        <v>193</v>
      </c>
      <c r="B758" s="4">
        <v>0</v>
      </c>
      <c r="C758" s="5">
        <v>0</v>
      </c>
      <c r="D758" s="4">
        <v>0</v>
      </c>
      <c r="E758" s="5">
        <v>0</v>
      </c>
      <c r="F758" s="4">
        <v>0</v>
      </c>
      <c r="G758" s="5">
        <v>0</v>
      </c>
      <c r="H758" s="4">
        <v>0</v>
      </c>
    </row>
    <row r="759" spans="1:8" x14ac:dyDescent="0.2">
      <c r="A759" s="2" t="s">
        <v>194</v>
      </c>
      <c r="B759" s="4">
        <v>0</v>
      </c>
      <c r="C759" s="5">
        <v>0</v>
      </c>
      <c r="D759" s="4">
        <v>0</v>
      </c>
      <c r="E759" s="5">
        <v>0</v>
      </c>
      <c r="F759" s="4">
        <v>0</v>
      </c>
      <c r="G759" s="5">
        <v>0</v>
      </c>
      <c r="H759" s="4">
        <v>0</v>
      </c>
    </row>
    <row r="760" spans="1:8" x14ac:dyDescent="0.2">
      <c r="A760" s="2" t="s">
        <v>195</v>
      </c>
      <c r="B760" s="4">
        <v>2</v>
      </c>
      <c r="C760" s="5">
        <v>6.06</v>
      </c>
      <c r="D760" s="4">
        <v>0</v>
      </c>
      <c r="E760" s="5">
        <v>0</v>
      </c>
      <c r="F760" s="4">
        <v>2</v>
      </c>
      <c r="G760" s="5">
        <v>9.09</v>
      </c>
      <c r="H760" s="4">
        <v>0</v>
      </c>
    </row>
    <row r="761" spans="1:8" x14ac:dyDescent="0.2">
      <c r="A761" s="2" t="s">
        <v>196</v>
      </c>
      <c r="B761" s="4">
        <v>6</v>
      </c>
      <c r="C761" s="5">
        <v>18.18</v>
      </c>
      <c r="D761" s="4">
        <v>2</v>
      </c>
      <c r="E761" s="5">
        <v>25</v>
      </c>
      <c r="F761" s="4">
        <v>4</v>
      </c>
      <c r="G761" s="5">
        <v>18.18</v>
      </c>
      <c r="H761" s="4">
        <v>0</v>
      </c>
    </row>
    <row r="762" spans="1:8" x14ac:dyDescent="0.2">
      <c r="A762" s="2" t="s">
        <v>197</v>
      </c>
      <c r="B762" s="4">
        <v>0</v>
      </c>
      <c r="C762" s="5">
        <v>0</v>
      </c>
      <c r="D762" s="4">
        <v>0</v>
      </c>
      <c r="E762" s="5">
        <v>0</v>
      </c>
      <c r="F762" s="4">
        <v>0</v>
      </c>
      <c r="G762" s="5">
        <v>0</v>
      </c>
      <c r="H762" s="4">
        <v>0</v>
      </c>
    </row>
    <row r="763" spans="1:8" x14ac:dyDescent="0.2">
      <c r="A763" s="2" t="s">
        <v>198</v>
      </c>
      <c r="B763" s="4">
        <v>1</v>
      </c>
      <c r="C763" s="5">
        <v>3.03</v>
      </c>
      <c r="D763" s="4">
        <v>0</v>
      </c>
      <c r="E763" s="5">
        <v>0</v>
      </c>
      <c r="F763" s="4">
        <v>1</v>
      </c>
      <c r="G763" s="5">
        <v>4.55</v>
      </c>
      <c r="H763" s="4">
        <v>0</v>
      </c>
    </row>
    <row r="764" spans="1:8" x14ac:dyDescent="0.2">
      <c r="A764" s="2" t="s">
        <v>199</v>
      </c>
      <c r="B764" s="4">
        <v>0</v>
      </c>
      <c r="C764" s="5">
        <v>0</v>
      </c>
      <c r="D764" s="4">
        <v>0</v>
      </c>
      <c r="E764" s="5">
        <v>0</v>
      </c>
      <c r="F764" s="4">
        <v>0</v>
      </c>
      <c r="G764" s="5">
        <v>0</v>
      </c>
      <c r="H764" s="4">
        <v>0</v>
      </c>
    </row>
    <row r="765" spans="1:8" x14ac:dyDescent="0.2">
      <c r="A765" s="2" t="s">
        <v>200</v>
      </c>
      <c r="B765" s="4">
        <v>6</v>
      </c>
      <c r="C765" s="5">
        <v>18.18</v>
      </c>
      <c r="D765" s="4">
        <v>3</v>
      </c>
      <c r="E765" s="5">
        <v>37.5</v>
      </c>
      <c r="F765" s="4">
        <v>2</v>
      </c>
      <c r="G765" s="5">
        <v>9.09</v>
      </c>
      <c r="H765" s="4">
        <v>0</v>
      </c>
    </row>
    <row r="766" spans="1:8" x14ac:dyDescent="0.2">
      <c r="A766" s="2" t="s">
        <v>201</v>
      </c>
      <c r="B766" s="4">
        <v>4</v>
      </c>
      <c r="C766" s="5">
        <v>12.12</v>
      </c>
      <c r="D766" s="4">
        <v>2</v>
      </c>
      <c r="E766" s="5">
        <v>25</v>
      </c>
      <c r="F766" s="4">
        <v>0</v>
      </c>
      <c r="G766" s="5">
        <v>0</v>
      </c>
      <c r="H766" s="4">
        <v>0</v>
      </c>
    </row>
    <row r="767" spans="1:8" x14ac:dyDescent="0.2">
      <c r="A767" s="2" t="s">
        <v>202</v>
      </c>
      <c r="B767" s="4">
        <v>0</v>
      </c>
      <c r="C767" s="5">
        <v>0</v>
      </c>
      <c r="D767" s="4">
        <v>0</v>
      </c>
      <c r="E767" s="5">
        <v>0</v>
      </c>
      <c r="F767" s="4">
        <v>0</v>
      </c>
      <c r="G767" s="5">
        <v>0</v>
      </c>
      <c r="H767" s="4">
        <v>0</v>
      </c>
    </row>
    <row r="768" spans="1:8" x14ac:dyDescent="0.2">
      <c r="A768" s="2" t="s">
        <v>203</v>
      </c>
      <c r="B768" s="4">
        <v>2</v>
      </c>
      <c r="C768" s="5">
        <v>6.06</v>
      </c>
      <c r="D768" s="4">
        <v>0</v>
      </c>
      <c r="E768" s="5">
        <v>0</v>
      </c>
      <c r="F768" s="4">
        <v>2</v>
      </c>
      <c r="G768" s="5">
        <v>9.09</v>
      </c>
      <c r="H768" s="4">
        <v>0</v>
      </c>
    </row>
    <row r="769" spans="1:8" x14ac:dyDescent="0.2">
      <c r="A769" s="2" t="s">
        <v>204</v>
      </c>
      <c r="B769" s="4">
        <v>1</v>
      </c>
      <c r="C769" s="5">
        <v>3.03</v>
      </c>
      <c r="D769" s="4">
        <v>0</v>
      </c>
      <c r="E769" s="5">
        <v>0</v>
      </c>
      <c r="F769" s="4">
        <v>1</v>
      </c>
      <c r="G769" s="5">
        <v>4.55</v>
      </c>
      <c r="H769" s="4">
        <v>0</v>
      </c>
    </row>
    <row r="770" spans="1:8" x14ac:dyDescent="0.2">
      <c r="A770" s="1" t="s">
        <v>48</v>
      </c>
      <c r="B770" s="4">
        <v>204</v>
      </c>
      <c r="C770" s="5">
        <v>99.99</v>
      </c>
      <c r="D770" s="4">
        <v>131</v>
      </c>
      <c r="E770" s="5">
        <v>99.990000000000023</v>
      </c>
      <c r="F770" s="4">
        <v>64</v>
      </c>
      <c r="G770" s="5">
        <v>100.00999999999999</v>
      </c>
      <c r="H770" s="4">
        <v>0</v>
      </c>
    </row>
    <row r="771" spans="1:8" x14ac:dyDescent="0.2">
      <c r="A771" s="2" t="s">
        <v>190</v>
      </c>
      <c r="B771" s="4">
        <v>0</v>
      </c>
      <c r="C771" s="5">
        <v>0</v>
      </c>
      <c r="D771" s="4">
        <v>0</v>
      </c>
      <c r="E771" s="5">
        <v>0</v>
      </c>
      <c r="F771" s="4">
        <v>0</v>
      </c>
      <c r="G771" s="5">
        <v>0</v>
      </c>
      <c r="H771" s="4">
        <v>0</v>
      </c>
    </row>
    <row r="772" spans="1:8" x14ac:dyDescent="0.2">
      <c r="A772" s="2" t="s">
        <v>191</v>
      </c>
      <c r="B772" s="4">
        <v>36</v>
      </c>
      <c r="C772" s="5">
        <v>17.649999999999999</v>
      </c>
      <c r="D772" s="4">
        <v>21</v>
      </c>
      <c r="E772" s="5">
        <v>16.03</v>
      </c>
      <c r="F772" s="4">
        <v>15</v>
      </c>
      <c r="G772" s="5">
        <v>23.44</v>
      </c>
      <c r="H772" s="4">
        <v>0</v>
      </c>
    </row>
    <row r="773" spans="1:8" x14ac:dyDescent="0.2">
      <c r="A773" s="2" t="s">
        <v>192</v>
      </c>
      <c r="B773" s="4">
        <v>7</v>
      </c>
      <c r="C773" s="5">
        <v>3.43</v>
      </c>
      <c r="D773" s="4">
        <v>1</v>
      </c>
      <c r="E773" s="5">
        <v>0.76</v>
      </c>
      <c r="F773" s="4">
        <v>6</v>
      </c>
      <c r="G773" s="5">
        <v>9.3800000000000008</v>
      </c>
      <c r="H773" s="4">
        <v>0</v>
      </c>
    </row>
    <row r="774" spans="1:8" x14ac:dyDescent="0.2">
      <c r="A774" s="2" t="s">
        <v>193</v>
      </c>
      <c r="B774" s="4">
        <v>0</v>
      </c>
      <c r="C774" s="5">
        <v>0</v>
      </c>
      <c r="D774" s="4">
        <v>0</v>
      </c>
      <c r="E774" s="5">
        <v>0</v>
      </c>
      <c r="F774" s="4">
        <v>0</v>
      </c>
      <c r="G774" s="5">
        <v>0</v>
      </c>
      <c r="H774" s="4">
        <v>0</v>
      </c>
    </row>
    <row r="775" spans="1:8" x14ac:dyDescent="0.2">
      <c r="A775" s="2" t="s">
        <v>194</v>
      </c>
      <c r="B775" s="4">
        <v>0</v>
      </c>
      <c r="C775" s="5">
        <v>0</v>
      </c>
      <c r="D775" s="4">
        <v>0</v>
      </c>
      <c r="E775" s="5">
        <v>0</v>
      </c>
      <c r="F775" s="4">
        <v>0</v>
      </c>
      <c r="G775" s="5">
        <v>0</v>
      </c>
      <c r="H775" s="4">
        <v>0</v>
      </c>
    </row>
    <row r="776" spans="1:8" x14ac:dyDescent="0.2">
      <c r="A776" s="2" t="s">
        <v>195</v>
      </c>
      <c r="B776" s="4">
        <v>1</v>
      </c>
      <c r="C776" s="5">
        <v>0.49</v>
      </c>
      <c r="D776" s="4">
        <v>1</v>
      </c>
      <c r="E776" s="5">
        <v>0.76</v>
      </c>
      <c r="F776" s="4">
        <v>0</v>
      </c>
      <c r="G776" s="5">
        <v>0</v>
      </c>
      <c r="H776" s="4">
        <v>0</v>
      </c>
    </row>
    <row r="777" spans="1:8" x14ac:dyDescent="0.2">
      <c r="A777" s="2" t="s">
        <v>196</v>
      </c>
      <c r="B777" s="4">
        <v>74</v>
      </c>
      <c r="C777" s="5">
        <v>36.270000000000003</v>
      </c>
      <c r="D777" s="4">
        <v>47</v>
      </c>
      <c r="E777" s="5">
        <v>35.880000000000003</v>
      </c>
      <c r="F777" s="4">
        <v>27</v>
      </c>
      <c r="G777" s="5">
        <v>42.19</v>
      </c>
      <c r="H777" s="4">
        <v>0</v>
      </c>
    </row>
    <row r="778" spans="1:8" x14ac:dyDescent="0.2">
      <c r="A778" s="2" t="s">
        <v>197</v>
      </c>
      <c r="B778" s="4">
        <v>1</v>
      </c>
      <c r="C778" s="5">
        <v>0.49</v>
      </c>
      <c r="D778" s="4">
        <v>0</v>
      </c>
      <c r="E778" s="5">
        <v>0</v>
      </c>
      <c r="F778" s="4">
        <v>1</v>
      </c>
      <c r="G778" s="5">
        <v>1.56</v>
      </c>
      <c r="H778" s="4">
        <v>0</v>
      </c>
    </row>
    <row r="779" spans="1:8" x14ac:dyDescent="0.2">
      <c r="A779" s="2" t="s">
        <v>198</v>
      </c>
      <c r="B779" s="4">
        <v>12</v>
      </c>
      <c r="C779" s="5">
        <v>5.88</v>
      </c>
      <c r="D779" s="4">
        <v>8</v>
      </c>
      <c r="E779" s="5">
        <v>6.11</v>
      </c>
      <c r="F779" s="4">
        <v>4</v>
      </c>
      <c r="G779" s="5">
        <v>6.25</v>
      </c>
      <c r="H779" s="4">
        <v>0</v>
      </c>
    </row>
    <row r="780" spans="1:8" x14ac:dyDescent="0.2">
      <c r="A780" s="2" t="s">
        <v>199</v>
      </c>
      <c r="B780" s="4">
        <v>3</v>
      </c>
      <c r="C780" s="5">
        <v>1.47</v>
      </c>
      <c r="D780" s="4">
        <v>2</v>
      </c>
      <c r="E780" s="5">
        <v>1.53</v>
      </c>
      <c r="F780" s="4">
        <v>0</v>
      </c>
      <c r="G780" s="5">
        <v>0</v>
      </c>
      <c r="H780" s="4">
        <v>0</v>
      </c>
    </row>
    <row r="781" spans="1:8" x14ac:dyDescent="0.2">
      <c r="A781" s="2" t="s">
        <v>200</v>
      </c>
      <c r="B781" s="4">
        <v>12</v>
      </c>
      <c r="C781" s="5">
        <v>5.88</v>
      </c>
      <c r="D781" s="4">
        <v>7</v>
      </c>
      <c r="E781" s="5">
        <v>5.34</v>
      </c>
      <c r="F781" s="4">
        <v>4</v>
      </c>
      <c r="G781" s="5">
        <v>6.25</v>
      </c>
      <c r="H781" s="4">
        <v>0</v>
      </c>
    </row>
    <row r="782" spans="1:8" x14ac:dyDescent="0.2">
      <c r="A782" s="2" t="s">
        <v>201</v>
      </c>
      <c r="B782" s="4">
        <v>38</v>
      </c>
      <c r="C782" s="5">
        <v>18.63</v>
      </c>
      <c r="D782" s="4">
        <v>34</v>
      </c>
      <c r="E782" s="5">
        <v>25.95</v>
      </c>
      <c r="F782" s="4">
        <v>0</v>
      </c>
      <c r="G782" s="5">
        <v>0</v>
      </c>
      <c r="H782" s="4">
        <v>0</v>
      </c>
    </row>
    <row r="783" spans="1:8" x14ac:dyDescent="0.2">
      <c r="A783" s="2" t="s">
        <v>202</v>
      </c>
      <c r="B783" s="4">
        <v>3</v>
      </c>
      <c r="C783" s="5">
        <v>1.47</v>
      </c>
      <c r="D783" s="4">
        <v>3</v>
      </c>
      <c r="E783" s="5">
        <v>2.29</v>
      </c>
      <c r="F783" s="4">
        <v>0</v>
      </c>
      <c r="G783" s="5">
        <v>0</v>
      </c>
      <c r="H783" s="4">
        <v>0</v>
      </c>
    </row>
    <row r="784" spans="1:8" x14ac:dyDescent="0.2">
      <c r="A784" s="2" t="s">
        <v>203</v>
      </c>
      <c r="B784" s="4">
        <v>12</v>
      </c>
      <c r="C784" s="5">
        <v>5.88</v>
      </c>
      <c r="D784" s="4">
        <v>4</v>
      </c>
      <c r="E784" s="5">
        <v>3.05</v>
      </c>
      <c r="F784" s="4">
        <v>6</v>
      </c>
      <c r="G784" s="5">
        <v>9.3800000000000008</v>
      </c>
      <c r="H784" s="4">
        <v>0</v>
      </c>
    </row>
    <row r="785" spans="1:8" x14ac:dyDescent="0.2">
      <c r="A785" s="2" t="s">
        <v>204</v>
      </c>
      <c r="B785" s="4">
        <v>5</v>
      </c>
      <c r="C785" s="5">
        <v>2.4500000000000002</v>
      </c>
      <c r="D785" s="4">
        <v>3</v>
      </c>
      <c r="E785" s="5">
        <v>2.29</v>
      </c>
      <c r="F785" s="4">
        <v>1</v>
      </c>
      <c r="G785" s="5">
        <v>1.56</v>
      </c>
      <c r="H785" s="4">
        <v>0</v>
      </c>
    </row>
    <row r="786" spans="1:8" x14ac:dyDescent="0.2">
      <c r="A786" s="1" t="s">
        <v>49</v>
      </c>
      <c r="B786" s="4">
        <v>157</v>
      </c>
      <c r="C786" s="5">
        <v>100</v>
      </c>
      <c r="D786" s="4">
        <v>102</v>
      </c>
      <c r="E786" s="5">
        <v>99.999999999999986</v>
      </c>
      <c r="F786" s="4">
        <v>48</v>
      </c>
      <c r="G786" s="5">
        <v>99.99</v>
      </c>
      <c r="H786" s="4">
        <v>0</v>
      </c>
    </row>
    <row r="787" spans="1:8" x14ac:dyDescent="0.2">
      <c r="A787" s="2" t="s">
        <v>190</v>
      </c>
      <c r="B787" s="4">
        <v>0</v>
      </c>
      <c r="C787" s="5">
        <v>0</v>
      </c>
      <c r="D787" s="4">
        <v>0</v>
      </c>
      <c r="E787" s="5">
        <v>0</v>
      </c>
      <c r="F787" s="4">
        <v>0</v>
      </c>
      <c r="G787" s="5">
        <v>0</v>
      </c>
      <c r="H787" s="4">
        <v>0</v>
      </c>
    </row>
    <row r="788" spans="1:8" x14ac:dyDescent="0.2">
      <c r="A788" s="2" t="s">
        <v>191</v>
      </c>
      <c r="B788" s="4">
        <v>25</v>
      </c>
      <c r="C788" s="5">
        <v>15.92</v>
      </c>
      <c r="D788" s="4">
        <v>16</v>
      </c>
      <c r="E788" s="5">
        <v>15.69</v>
      </c>
      <c r="F788" s="4">
        <v>9</v>
      </c>
      <c r="G788" s="5">
        <v>18.75</v>
      </c>
      <c r="H788" s="4">
        <v>0</v>
      </c>
    </row>
    <row r="789" spans="1:8" x14ac:dyDescent="0.2">
      <c r="A789" s="2" t="s">
        <v>192</v>
      </c>
      <c r="B789" s="4">
        <v>9</v>
      </c>
      <c r="C789" s="5">
        <v>5.73</v>
      </c>
      <c r="D789" s="4">
        <v>6</v>
      </c>
      <c r="E789" s="5">
        <v>5.88</v>
      </c>
      <c r="F789" s="4">
        <v>3</v>
      </c>
      <c r="G789" s="5">
        <v>6.25</v>
      </c>
      <c r="H789" s="4">
        <v>0</v>
      </c>
    </row>
    <row r="790" spans="1:8" x14ac:dyDescent="0.2">
      <c r="A790" s="2" t="s">
        <v>193</v>
      </c>
      <c r="B790" s="4">
        <v>2</v>
      </c>
      <c r="C790" s="5">
        <v>1.27</v>
      </c>
      <c r="D790" s="4">
        <v>0</v>
      </c>
      <c r="E790" s="5">
        <v>0</v>
      </c>
      <c r="F790" s="4">
        <v>1</v>
      </c>
      <c r="G790" s="5">
        <v>2.08</v>
      </c>
      <c r="H790" s="4">
        <v>0</v>
      </c>
    </row>
    <row r="791" spans="1:8" x14ac:dyDescent="0.2">
      <c r="A791" s="2" t="s">
        <v>194</v>
      </c>
      <c r="B791" s="4">
        <v>0</v>
      </c>
      <c r="C791" s="5">
        <v>0</v>
      </c>
      <c r="D791" s="4">
        <v>0</v>
      </c>
      <c r="E791" s="5">
        <v>0</v>
      </c>
      <c r="F791" s="4">
        <v>0</v>
      </c>
      <c r="G791" s="5">
        <v>0</v>
      </c>
      <c r="H791" s="4">
        <v>0</v>
      </c>
    </row>
    <row r="792" spans="1:8" x14ac:dyDescent="0.2">
      <c r="A792" s="2" t="s">
        <v>195</v>
      </c>
      <c r="B792" s="4">
        <v>1</v>
      </c>
      <c r="C792" s="5">
        <v>0.64</v>
      </c>
      <c r="D792" s="4">
        <v>1</v>
      </c>
      <c r="E792" s="5">
        <v>0.98</v>
      </c>
      <c r="F792" s="4">
        <v>0</v>
      </c>
      <c r="G792" s="5">
        <v>0</v>
      </c>
      <c r="H792" s="4">
        <v>0</v>
      </c>
    </row>
    <row r="793" spans="1:8" x14ac:dyDescent="0.2">
      <c r="A793" s="2" t="s">
        <v>196</v>
      </c>
      <c r="B793" s="4">
        <v>44</v>
      </c>
      <c r="C793" s="5">
        <v>28.03</v>
      </c>
      <c r="D793" s="4">
        <v>23</v>
      </c>
      <c r="E793" s="5">
        <v>22.55</v>
      </c>
      <c r="F793" s="4">
        <v>21</v>
      </c>
      <c r="G793" s="5">
        <v>43.75</v>
      </c>
      <c r="H793" s="4">
        <v>0</v>
      </c>
    </row>
    <row r="794" spans="1:8" x14ac:dyDescent="0.2">
      <c r="A794" s="2" t="s">
        <v>197</v>
      </c>
      <c r="B794" s="4">
        <v>0</v>
      </c>
      <c r="C794" s="5">
        <v>0</v>
      </c>
      <c r="D794" s="4">
        <v>0</v>
      </c>
      <c r="E794" s="5">
        <v>0</v>
      </c>
      <c r="F794" s="4">
        <v>0</v>
      </c>
      <c r="G794" s="5">
        <v>0</v>
      </c>
      <c r="H794" s="4">
        <v>0</v>
      </c>
    </row>
    <row r="795" spans="1:8" x14ac:dyDescent="0.2">
      <c r="A795" s="2" t="s">
        <v>198</v>
      </c>
      <c r="B795" s="4">
        <v>10</v>
      </c>
      <c r="C795" s="5">
        <v>6.37</v>
      </c>
      <c r="D795" s="4">
        <v>9</v>
      </c>
      <c r="E795" s="5">
        <v>8.82</v>
      </c>
      <c r="F795" s="4">
        <v>1</v>
      </c>
      <c r="G795" s="5">
        <v>2.08</v>
      </c>
      <c r="H795" s="4">
        <v>0</v>
      </c>
    </row>
    <row r="796" spans="1:8" x14ac:dyDescent="0.2">
      <c r="A796" s="2" t="s">
        <v>199</v>
      </c>
      <c r="B796" s="4">
        <v>4</v>
      </c>
      <c r="C796" s="5">
        <v>2.5499999999999998</v>
      </c>
      <c r="D796" s="4">
        <v>3</v>
      </c>
      <c r="E796" s="5">
        <v>2.94</v>
      </c>
      <c r="F796" s="4">
        <v>1</v>
      </c>
      <c r="G796" s="5">
        <v>2.08</v>
      </c>
      <c r="H796" s="4">
        <v>0</v>
      </c>
    </row>
    <row r="797" spans="1:8" x14ac:dyDescent="0.2">
      <c r="A797" s="2" t="s">
        <v>200</v>
      </c>
      <c r="B797" s="4">
        <v>15</v>
      </c>
      <c r="C797" s="5">
        <v>9.5500000000000007</v>
      </c>
      <c r="D797" s="4">
        <v>13</v>
      </c>
      <c r="E797" s="5">
        <v>12.75</v>
      </c>
      <c r="F797" s="4">
        <v>2</v>
      </c>
      <c r="G797" s="5">
        <v>4.17</v>
      </c>
      <c r="H797" s="4">
        <v>0</v>
      </c>
    </row>
    <row r="798" spans="1:8" x14ac:dyDescent="0.2">
      <c r="A798" s="2" t="s">
        <v>201</v>
      </c>
      <c r="B798" s="4">
        <v>22</v>
      </c>
      <c r="C798" s="5">
        <v>14.01</v>
      </c>
      <c r="D798" s="4">
        <v>18</v>
      </c>
      <c r="E798" s="5">
        <v>17.649999999999999</v>
      </c>
      <c r="F798" s="4">
        <v>3</v>
      </c>
      <c r="G798" s="5">
        <v>6.25</v>
      </c>
      <c r="H798" s="4">
        <v>0</v>
      </c>
    </row>
    <row r="799" spans="1:8" x14ac:dyDescent="0.2">
      <c r="A799" s="2" t="s">
        <v>202</v>
      </c>
      <c r="B799" s="4">
        <v>7</v>
      </c>
      <c r="C799" s="5">
        <v>4.46</v>
      </c>
      <c r="D799" s="4">
        <v>6</v>
      </c>
      <c r="E799" s="5">
        <v>5.88</v>
      </c>
      <c r="F799" s="4">
        <v>0</v>
      </c>
      <c r="G799" s="5">
        <v>0</v>
      </c>
      <c r="H799" s="4">
        <v>0</v>
      </c>
    </row>
    <row r="800" spans="1:8" x14ac:dyDescent="0.2">
      <c r="A800" s="2" t="s">
        <v>203</v>
      </c>
      <c r="B800" s="4">
        <v>10</v>
      </c>
      <c r="C800" s="5">
        <v>6.37</v>
      </c>
      <c r="D800" s="4">
        <v>6</v>
      </c>
      <c r="E800" s="5">
        <v>5.88</v>
      </c>
      <c r="F800" s="4">
        <v>3</v>
      </c>
      <c r="G800" s="5">
        <v>6.25</v>
      </c>
      <c r="H800" s="4">
        <v>0</v>
      </c>
    </row>
    <row r="801" spans="1:8" x14ac:dyDescent="0.2">
      <c r="A801" s="2" t="s">
        <v>204</v>
      </c>
      <c r="B801" s="4">
        <v>8</v>
      </c>
      <c r="C801" s="5">
        <v>5.0999999999999996</v>
      </c>
      <c r="D801" s="4">
        <v>1</v>
      </c>
      <c r="E801" s="5">
        <v>0.98</v>
      </c>
      <c r="F801" s="4">
        <v>4</v>
      </c>
      <c r="G801" s="5">
        <v>8.33</v>
      </c>
      <c r="H801" s="4">
        <v>0</v>
      </c>
    </row>
    <row r="802" spans="1:8" x14ac:dyDescent="0.2">
      <c r="A802" s="1" t="s">
        <v>50</v>
      </c>
      <c r="B802" s="4">
        <v>99</v>
      </c>
      <c r="C802" s="5">
        <v>99.990000000000009</v>
      </c>
      <c r="D802" s="4">
        <v>59</v>
      </c>
      <c r="E802" s="5">
        <v>99.98</v>
      </c>
      <c r="F802" s="4">
        <v>35</v>
      </c>
      <c r="G802" s="5">
        <v>100.00999999999999</v>
      </c>
      <c r="H802" s="4">
        <v>0</v>
      </c>
    </row>
    <row r="803" spans="1:8" x14ac:dyDescent="0.2">
      <c r="A803" s="2" t="s">
        <v>190</v>
      </c>
      <c r="B803" s="4">
        <v>0</v>
      </c>
      <c r="C803" s="5">
        <v>0</v>
      </c>
      <c r="D803" s="4">
        <v>0</v>
      </c>
      <c r="E803" s="5">
        <v>0</v>
      </c>
      <c r="F803" s="4">
        <v>0</v>
      </c>
      <c r="G803" s="5">
        <v>0</v>
      </c>
      <c r="H803" s="4">
        <v>0</v>
      </c>
    </row>
    <row r="804" spans="1:8" x14ac:dyDescent="0.2">
      <c r="A804" s="2" t="s">
        <v>191</v>
      </c>
      <c r="B804" s="4">
        <v>17</v>
      </c>
      <c r="C804" s="5">
        <v>17.170000000000002</v>
      </c>
      <c r="D804" s="4">
        <v>9</v>
      </c>
      <c r="E804" s="5">
        <v>15.25</v>
      </c>
      <c r="F804" s="4">
        <v>8</v>
      </c>
      <c r="G804" s="5">
        <v>22.86</v>
      </c>
      <c r="H804" s="4">
        <v>0</v>
      </c>
    </row>
    <row r="805" spans="1:8" x14ac:dyDescent="0.2">
      <c r="A805" s="2" t="s">
        <v>192</v>
      </c>
      <c r="B805" s="4">
        <v>13</v>
      </c>
      <c r="C805" s="5">
        <v>13.13</v>
      </c>
      <c r="D805" s="4">
        <v>5</v>
      </c>
      <c r="E805" s="5">
        <v>8.4700000000000006</v>
      </c>
      <c r="F805" s="4">
        <v>8</v>
      </c>
      <c r="G805" s="5">
        <v>22.86</v>
      </c>
      <c r="H805" s="4">
        <v>0</v>
      </c>
    </row>
    <row r="806" spans="1:8" x14ac:dyDescent="0.2">
      <c r="A806" s="2" t="s">
        <v>193</v>
      </c>
      <c r="B806" s="4">
        <v>2</v>
      </c>
      <c r="C806" s="5">
        <v>2.02</v>
      </c>
      <c r="D806" s="4">
        <v>0</v>
      </c>
      <c r="E806" s="5">
        <v>0</v>
      </c>
      <c r="F806" s="4">
        <v>1</v>
      </c>
      <c r="G806" s="5">
        <v>2.86</v>
      </c>
      <c r="H806" s="4">
        <v>0</v>
      </c>
    </row>
    <row r="807" spans="1:8" x14ac:dyDescent="0.2">
      <c r="A807" s="2" t="s">
        <v>194</v>
      </c>
      <c r="B807" s="4">
        <v>1</v>
      </c>
      <c r="C807" s="5">
        <v>1.01</v>
      </c>
      <c r="D807" s="4">
        <v>0</v>
      </c>
      <c r="E807" s="5">
        <v>0</v>
      </c>
      <c r="F807" s="4">
        <v>1</v>
      </c>
      <c r="G807" s="5">
        <v>2.86</v>
      </c>
      <c r="H807" s="4">
        <v>0</v>
      </c>
    </row>
    <row r="808" spans="1:8" x14ac:dyDescent="0.2">
      <c r="A808" s="2" t="s">
        <v>195</v>
      </c>
      <c r="B808" s="4">
        <v>1</v>
      </c>
      <c r="C808" s="5">
        <v>1.01</v>
      </c>
      <c r="D808" s="4">
        <v>0</v>
      </c>
      <c r="E808" s="5">
        <v>0</v>
      </c>
      <c r="F808" s="4">
        <v>1</v>
      </c>
      <c r="G808" s="5">
        <v>2.86</v>
      </c>
      <c r="H808" s="4">
        <v>0</v>
      </c>
    </row>
    <row r="809" spans="1:8" x14ac:dyDescent="0.2">
      <c r="A809" s="2" t="s">
        <v>196</v>
      </c>
      <c r="B809" s="4">
        <v>18</v>
      </c>
      <c r="C809" s="5">
        <v>18.18</v>
      </c>
      <c r="D809" s="4">
        <v>11</v>
      </c>
      <c r="E809" s="5">
        <v>18.64</v>
      </c>
      <c r="F809" s="4">
        <v>7</v>
      </c>
      <c r="G809" s="5">
        <v>20</v>
      </c>
      <c r="H809" s="4">
        <v>0</v>
      </c>
    </row>
    <row r="810" spans="1:8" x14ac:dyDescent="0.2">
      <c r="A810" s="2" t="s">
        <v>197</v>
      </c>
      <c r="B810" s="4">
        <v>1</v>
      </c>
      <c r="C810" s="5">
        <v>1.01</v>
      </c>
      <c r="D810" s="4">
        <v>0</v>
      </c>
      <c r="E810" s="5">
        <v>0</v>
      </c>
      <c r="F810" s="4">
        <v>1</v>
      </c>
      <c r="G810" s="5">
        <v>2.86</v>
      </c>
      <c r="H810" s="4">
        <v>0</v>
      </c>
    </row>
    <row r="811" spans="1:8" x14ac:dyDescent="0.2">
      <c r="A811" s="2" t="s">
        <v>198</v>
      </c>
      <c r="B811" s="4">
        <v>2</v>
      </c>
      <c r="C811" s="5">
        <v>2.02</v>
      </c>
      <c r="D811" s="4">
        <v>0</v>
      </c>
      <c r="E811" s="5">
        <v>0</v>
      </c>
      <c r="F811" s="4">
        <v>2</v>
      </c>
      <c r="G811" s="5">
        <v>5.71</v>
      </c>
      <c r="H811" s="4">
        <v>0</v>
      </c>
    </row>
    <row r="812" spans="1:8" x14ac:dyDescent="0.2">
      <c r="A812" s="2" t="s">
        <v>199</v>
      </c>
      <c r="B812" s="4">
        <v>3</v>
      </c>
      <c r="C812" s="5">
        <v>3.03</v>
      </c>
      <c r="D812" s="4">
        <v>2</v>
      </c>
      <c r="E812" s="5">
        <v>3.39</v>
      </c>
      <c r="F812" s="4">
        <v>0</v>
      </c>
      <c r="G812" s="5">
        <v>0</v>
      </c>
      <c r="H812" s="4">
        <v>0</v>
      </c>
    </row>
    <row r="813" spans="1:8" x14ac:dyDescent="0.2">
      <c r="A813" s="2" t="s">
        <v>200</v>
      </c>
      <c r="B813" s="4">
        <v>21</v>
      </c>
      <c r="C813" s="5">
        <v>21.21</v>
      </c>
      <c r="D813" s="4">
        <v>17</v>
      </c>
      <c r="E813" s="5">
        <v>28.81</v>
      </c>
      <c r="F813" s="4">
        <v>3</v>
      </c>
      <c r="G813" s="5">
        <v>8.57</v>
      </c>
      <c r="H813" s="4">
        <v>0</v>
      </c>
    </row>
    <row r="814" spans="1:8" x14ac:dyDescent="0.2">
      <c r="A814" s="2" t="s">
        <v>201</v>
      </c>
      <c r="B814" s="4">
        <v>13</v>
      </c>
      <c r="C814" s="5">
        <v>13.13</v>
      </c>
      <c r="D814" s="4">
        <v>12</v>
      </c>
      <c r="E814" s="5">
        <v>20.34</v>
      </c>
      <c r="F814" s="4">
        <v>0</v>
      </c>
      <c r="G814" s="5">
        <v>0</v>
      </c>
      <c r="H814" s="4">
        <v>0</v>
      </c>
    </row>
    <row r="815" spans="1:8" x14ac:dyDescent="0.2">
      <c r="A815" s="2" t="s">
        <v>202</v>
      </c>
      <c r="B815" s="4">
        <v>3</v>
      </c>
      <c r="C815" s="5">
        <v>3.03</v>
      </c>
      <c r="D815" s="4">
        <v>2</v>
      </c>
      <c r="E815" s="5">
        <v>3.39</v>
      </c>
      <c r="F815" s="4">
        <v>0</v>
      </c>
      <c r="G815" s="5">
        <v>0</v>
      </c>
      <c r="H815" s="4">
        <v>0</v>
      </c>
    </row>
    <row r="816" spans="1:8" x14ac:dyDescent="0.2">
      <c r="A816" s="2" t="s">
        <v>203</v>
      </c>
      <c r="B816" s="4">
        <v>1</v>
      </c>
      <c r="C816" s="5">
        <v>1.01</v>
      </c>
      <c r="D816" s="4">
        <v>1</v>
      </c>
      <c r="E816" s="5">
        <v>1.69</v>
      </c>
      <c r="F816" s="4">
        <v>0</v>
      </c>
      <c r="G816" s="5">
        <v>0</v>
      </c>
      <c r="H816" s="4">
        <v>0</v>
      </c>
    </row>
    <row r="817" spans="1:8" x14ac:dyDescent="0.2">
      <c r="A817" s="2" t="s">
        <v>204</v>
      </c>
      <c r="B817" s="4">
        <v>3</v>
      </c>
      <c r="C817" s="5">
        <v>3.03</v>
      </c>
      <c r="D817" s="4">
        <v>0</v>
      </c>
      <c r="E817" s="5">
        <v>0</v>
      </c>
      <c r="F817" s="4">
        <v>3</v>
      </c>
      <c r="G817" s="5">
        <v>8.57</v>
      </c>
      <c r="H817" s="4">
        <v>0</v>
      </c>
    </row>
    <row r="818" spans="1:8" x14ac:dyDescent="0.2">
      <c r="A818" s="1" t="s">
        <v>51</v>
      </c>
      <c r="B818" s="4">
        <v>134</v>
      </c>
      <c r="C818" s="5">
        <v>100.02</v>
      </c>
      <c r="D818" s="4">
        <v>84</v>
      </c>
      <c r="E818" s="5">
        <v>99.999999999999986</v>
      </c>
      <c r="F818" s="4">
        <v>43</v>
      </c>
      <c r="G818" s="5">
        <v>100.02000000000001</v>
      </c>
      <c r="H818" s="4">
        <v>3</v>
      </c>
    </row>
    <row r="819" spans="1:8" x14ac:dyDescent="0.2">
      <c r="A819" s="2" t="s">
        <v>190</v>
      </c>
      <c r="B819" s="4">
        <v>0</v>
      </c>
      <c r="C819" s="5">
        <v>0</v>
      </c>
      <c r="D819" s="4">
        <v>0</v>
      </c>
      <c r="E819" s="5">
        <v>0</v>
      </c>
      <c r="F819" s="4">
        <v>0</v>
      </c>
      <c r="G819" s="5">
        <v>0</v>
      </c>
      <c r="H819" s="4">
        <v>0</v>
      </c>
    </row>
    <row r="820" spans="1:8" x14ac:dyDescent="0.2">
      <c r="A820" s="2" t="s">
        <v>191</v>
      </c>
      <c r="B820" s="4">
        <v>21</v>
      </c>
      <c r="C820" s="5">
        <v>15.67</v>
      </c>
      <c r="D820" s="4">
        <v>13</v>
      </c>
      <c r="E820" s="5">
        <v>15.48</v>
      </c>
      <c r="F820" s="4">
        <v>8</v>
      </c>
      <c r="G820" s="5">
        <v>18.600000000000001</v>
      </c>
      <c r="H820" s="4">
        <v>0</v>
      </c>
    </row>
    <row r="821" spans="1:8" x14ac:dyDescent="0.2">
      <c r="A821" s="2" t="s">
        <v>192</v>
      </c>
      <c r="B821" s="4">
        <v>8</v>
      </c>
      <c r="C821" s="5">
        <v>5.97</v>
      </c>
      <c r="D821" s="4">
        <v>4</v>
      </c>
      <c r="E821" s="5">
        <v>4.76</v>
      </c>
      <c r="F821" s="4">
        <v>4</v>
      </c>
      <c r="G821" s="5">
        <v>9.3000000000000007</v>
      </c>
      <c r="H821" s="4">
        <v>0</v>
      </c>
    </row>
    <row r="822" spans="1:8" x14ac:dyDescent="0.2">
      <c r="A822" s="2" t="s">
        <v>193</v>
      </c>
      <c r="B822" s="4">
        <v>1</v>
      </c>
      <c r="C822" s="5">
        <v>0.75</v>
      </c>
      <c r="D822" s="4">
        <v>0</v>
      </c>
      <c r="E822" s="5">
        <v>0</v>
      </c>
      <c r="F822" s="4">
        <v>0</v>
      </c>
      <c r="G822" s="5">
        <v>0</v>
      </c>
      <c r="H822" s="4">
        <v>0</v>
      </c>
    </row>
    <row r="823" spans="1:8" x14ac:dyDescent="0.2">
      <c r="A823" s="2" t="s">
        <v>194</v>
      </c>
      <c r="B823" s="4">
        <v>1</v>
      </c>
      <c r="C823" s="5">
        <v>0.75</v>
      </c>
      <c r="D823" s="4">
        <v>0</v>
      </c>
      <c r="E823" s="5">
        <v>0</v>
      </c>
      <c r="F823" s="4">
        <v>1</v>
      </c>
      <c r="G823" s="5">
        <v>2.33</v>
      </c>
      <c r="H823" s="4">
        <v>0</v>
      </c>
    </row>
    <row r="824" spans="1:8" x14ac:dyDescent="0.2">
      <c r="A824" s="2" t="s">
        <v>195</v>
      </c>
      <c r="B824" s="4">
        <v>3</v>
      </c>
      <c r="C824" s="5">
        <v>2.2400000000000002</v>
      </c>
      <c r="D824" s="4">
        <v>0</v>
      </c>
      <c r="E824" s="5">
        <v>0</v>
      </c>
      <c r="F824" s="4">
        <v>2</v>
      </c>
      <c r="G824" s="5">
        <v>4.6500000000000004</v>
      </c>
      <c r="H824" s="4">
        <v>1</v>
      </c>
    </row>
    <row r="825" spans="1:8" x14ac:dyDescent="0.2">
      <c r="A825" s="2" t="s">
        <v>196</v>
      </c>
      <c r="B825" s="4">
        <v>35</v>
      </c>
      <c r="C825" s="5">
        <v>26.12</v>
      </c>
      <c r="D825" s="4">
        <v>18</v>
      </c>
      <c r="E825" s="5">
        <v>21.43</v>
      </c>
      <c r="F825" s="4">
        <v>16</v>
      </c>
      <c r="G825" s="5">
        <v>37.21</v>
      </c>
      <c r="H825" s="4">
        <v>1</v>
      </c>
    </row>
    <row r="826" spans="1:8" x14ac:dyDescent="0.2">
      <c r="A826" s="2" t="s">
        <v>197</v>
      </c>
      <c r="B826" s="4">
        <v>3</v>
      </c>
      <c r="C826" s="5">
        <v>2.2400000000000002</v>
      </c>
      <c r="D826" s="4">
        <v>0</v>
      </c>
      <c r="E826" s="5">
        <v>0</v>
      </c>
      <c r="F826" s="4">
        <v>3</v>
      </c>
      <c r="G826" s="5">
        <v>6.98</v>
      </c>
      <c r="H826" s="4">
        <v>0</v>
      </c>
    </row>
    <row r="827" spans="1:8" x14ac:dyDescent="0.2">
      <c r="A827" s="2" t="s">
        <v>198</v>
      </c>
      <c r="B827" s="4">
        <v>4</v>
      </c>
      <c r="C827" s="5">
        <v>2.99</v>
      </c>
      <c r="D827" s="4">
        <v>1</v>
      </c>
      <c r="E827" s="5">
        <v>1.19</v>
      </c>
      <c r="F827" s="4">
        <v>3</v>
      </c>
      <c r="G827" s="5">
        <v>6.98</v>
      </c>
      <c r="H827" s="4">
        <v>0</v>
      </c>
    </row>
    <row r="828" spans="1:8" x14ac:dyDescent="0.2">
      <c r="A828" s="2" t="s">
        <v>199</v>
      </c>
      <c r="B828" s="4">
        <v>4</v>
      </c>
      <c r="C828" s="5">
        <v>2.99</v>
      </c>
      <c r="D828" s="4">
        <v>3</v>
      </c>
      <c r="E828" s="5">
        <v>3.57</v>
      </c>
      <c r="F828" s="4">
        <v>1</v>
      </c>
      <c r="G828" s="5">
        <v>2.33</v>
      </c>
      <c r="H828" s="4">
        <v>0</v>
      </c>
    </row>
    <row r="829" spans="1:8" x14ac:dyDescent="0.2">
      <c r="A829" s="2" t="s">
        <v>200</v>
      </c>
      <c r="B829" s="4">
        <v>22</v>
      </c>
      <c r="C829" s="5">
        <v>16.420000000000002</v>
      </c>
      <c r="D829" s="4">
        <v>20</v>
      </c>
      <c r="E829" s="5">
        <v>23.81</v>
      </c>
      <c r="F829" s="4">
        <v>2</v>
      </c>
      <c r="G829" s="5">
        <v>4.6500000000000004</v>
      </c>
      <c r="H829" s="4">
        <v>0</v>
      </c>
    </row>
    <row r="830" spans="1:8" x14ac:dyDescent="0.2">
      <c r="A830" s="2" t="s">
        <v>201</v>
      </c>
      <c r="B830" s="4">
        <v>24</v>
      </c>
      <c r="C830" s="5">
        <v>17.91</v>
      </c>
      <c r="D830" s="4">
        <v>20</v>
      </c>
      <c r="E830" s="5">
        <v>23.81</v>
      </c>
      <c r="F830" s="4">
        <v>1</v>
      </c>
      <c r="G830" s="5">
        <v>2.33</v>
      </c>
      <c r="H830" s="4">
        <v>1</v>
      </c>
    </row>
    <row r="831" spans="1:8" x14ac:dyDescent="0.2">
      <c r="A831" s="2" t="s">
        <v>202</v>
      </c>
      <c r="B831" s="4">
        <v>3</v>
      </c>
      <c r="C831" s="5">
        <v>2.2400000000000002</v>
      </c>
      <c r="D831" s="4">
        <v>2</v>
      </c>
      <c r="E831" s="5">
        <v>2.38</v>
      </c>
      <c r="F831" s="4">
        <v>0</v>
      </c>
      <c r="G831" s="5">
        <v>0</v>
      </c>
      <c r="H831" s="4">
        <v>0</v>
      </c>
    </row>
    <row r="832" spans="1:8" x14ac:dyDescent="0.2">
      <c r="A832" s="2" t="s">
        <v>203</v>
      </c>
      <c r="B832" s="4">
        <v>2</v>
      </c>
      <c r="C832" s="5">
        <v>1.49</v>
      </c>
      <c r="D832" s="4">
        <v>1</v>
      </c>
      <c r="E832" s="5">
        <v>1.19</v>
      </c>
      <c r="F832" s="4">
        <v>1</v>
      </c>
      <c r="G832" s="5">
        <v>2.33</v>
      </c>
      <c r="H832" s="4">
        <v>0</v>
      </c>
    </row>
    <row r="833" spans="1:8" x14ac:dyDescent="0.2">
      <c r="A833" s="2" t="s">
        <v>204</v>
      </c>
      <c r="B833" s="4">
        <v>3</v>
      </c>
      <c r="C833" s="5">
        <v>2.2400000000000002</v>
      </c>
      <c r="D833" s="4">
        <v>2</v>
      </c>
      <c r="E833" s="5">
        <v>2.38</v>
      </c>
      <c r="F833" s="4">
        <v>1</v>
      </c>
      <c r="G833" s="5">
        <v>2.33</v>
      </c>
      <c r="H833" s="4">
        <v>0</v>
      </c>
    </row>
    <row r="834" spans="1:8" x14ac:dyDescent="0.2">
      <c r="A834" s="1" t="s">
        <v>52</v>
      </c>
      <c r="B834" s="4">
        <v>465</v>
      </c>
      <c r="C834" s="5">
        <v>100.00999999999999</v>
      </c>
      <c r="D834" s="4">
        <v>210</v>
      </c>
      <c r="E834" s="5">
        <v>100</v>
      </c>
      <c r="F834" s="4">
        <v>245</v>
      </c>
      <c r="G834" s="5">
        <v>99.999999999999986</v>
      </c>
      <c r="H834" s="4">
        <v>2</v>
      </c>
    </row>
    <row r="835" spans="1:8" x14ac:dyDescent="0.2">
      <c r="A835" s="2" t="s">
        <v>190</v>
      </c>
      <c r="B835" s="4">
        <v>0</v>
      </c>
      <c r="C835" s="5">
        <v>0</v>
      </c>
      <c r="D835" s="4">
        <v>0</v>
      </c>
      <c r="E835" s="5">
        <v>0</v>
      </c>
      <c r="F835" s="4">
        <v>0</v>
      </c>
      <c r="G835" s="5">
        <v>0</v>
      </c>
      <c r="H835" s="4">
        <v>0</v>
      </c>
    </row>
    <row r="836" spans="1:8" x14ac:dyDescent="0.2">
      <c r="A836" s="2" t="s">
        <v>191</v>
      </c>
      <c r="B836" s="4">
        <v>91</v>
      </c>
      <c r="C836" s="5">
        <v>19.57</v>
      </c>
      <c r="D836" s="4">
        <v>27</v>
      </c>
      <c r="E836" s="5">
        <v>12.86</v>
      </c>
      <c r="F836" s="4">
        <v>64</v>
      </c>
      <c r="G836" s="5">
        <v>26.12</v>
      </c>
      <c r="H836" s="4">
        <v>0</v>
      </c>
    </row>
    <row r="837" spans="1:8" x14ac:dyDescent="0.2">
      <c r="A837" s="2" t="s">
        <v>192</v>
      </c>
      <c r="B837" s="4">
        <v>33</v>
      </c>
      <c r="C837" s="5">
        <v>7.1</v>
      </c>
      <c r="D837" s="4">
        <v>8</v>
      </c>
      <c r="E837" s="5">
        <v>3.81</v>
      </c>
      <c r="F837" s="4">
        <v>23</v>
      </c>
      <c r="G837" s="5">
        <v>9.39</v>
      </c>
      <c r="H837" s="4">
        <v>2</v>
      </c>
    </row>
    <row r="838" spans="1:8" x14ac:dyDescent="0.2">
      <c r="A838" s="2" t="s">
        <v>193</v>
      </c>
      <c r="B838" s="4">
        <v>0</v>
      </c>
      <c r="C838" s="5">
        <v>0</v>
      </c>
      <c r="D838" s="4">
        <v>0</v>
      </c>
      <c r="E838" s="5">
        <v>0</v>
      </c>
      <c r="F838" s="4">
        <v>0</v>
      </c>
      <c r="G838" s="5">
        <v>0</v>
      </c>
      <c r="H838" s="4">
        <v>0</v>
      </c>
    </row>
    <row r="839" spans="1:8" x14ac:dyDescent="0.2">
      <c r="A839" s="2" t="s">
        <v>194</v>
      </c>
      <c r="B839" s="4">
        <v>0</v>
      </c>
      <c r="C839" s="5">
        <v>0</v>
      </c>
      <c r="D839" s="4">
        <v>0</v>
      </c>
      <c r="E839" s="5">
        <v>0</v>
      </c>
      <c r="F839" s="4">
        <v>0</v>
      </c>
      <c r="G839" s="5">
        <v>0</v>
      </c>
      <c r="H839" s="4">
        <v>0</v>
      </c>
    </row>
    <row r="840" spans="1:8" x14ac:dyDescent="0.2">
      <c r="A840" s="2" t="s">
        <v>195</v>
      </c>
      <c r="B840" s="4">
        <v>6</v>
      </c>
      <c r="C840" s="5">
        <v>1.29</v>
      </c>
      <c r="D840" s="4">
        <v>1</v>
      </c>
      <c r="E840" s="5">
        <v>0.48</v>
      </c>
      <c r="F840" s="4">
        <v>5</v>
      </c>
      <c r="G840" s="5">
        <v>2.04</v>
      </c>
      <c r="H840" s="4">
        <v>0</v>
      </c>
    </row>
    <row r="841" spans="1:8" x14ac:dyDescent="0.2">
      <c r="A841" s="2" t="s">
        <v>196</v>
      </c>
      <c r="B841" s="4">
        <v>89</v>
      </c>
      <c r="C841" s="5">
        <v>19.14</v>
      </c>
      <c r="D841" s="4">
        <v>37</v>
      </c>
      <c r="E841" s="5">
        <v>17.62</v>
      </c>
      <c r="F841" s="4">
        <v>52</v>
      </c>
      <c r="G841" s="5">
        <v>21.22</v>
      </c>
      <c r="H841" s="4">
        <v>0</v>
      </c>
    </row>
    <row r="842" spans="1:8" x14ac:dyDescent="0.2">
      <c r="A842" s="2" t="s">
        <v>197</v>
      </c>
      <c r="B842" s="4">
        <v>5</v>
      </c>
      <c r="C842" s="5">
        <v>1.08</v>
      </c>
      <c r="D842" s="4">
        <v>2</v>
      </c>
      <c r="E842" s="5">
        <v>0.95</v>
      </c>
      <c r="F842" s="4">
        <v>3</v>
      </c>
      <c r="G842" s="5">
        <v>1.22</v>
      </c>
      <c r="H842" s="4">
        <v>0</v>
      </c>
    </row>
    <row r="843" spans="1:8" x14ac:dyDescent="0.2">
      <c r="A843" s="2" t="s">
        <v>198</v>
      </c>
      <c r="B843" s="4">
        <v>20</v>
      </c>
      <c r="C843" s="5">
        <v>4.3</v>
      </c>
      <c r="D843" s="4">
        <v>2</v>
      </c>
      <c r="E843" s="5">
        <v>0.95</v>
      </c>
      <c r="F843" s="4">
        <v>18</v>
      </c>
      <c r="G843" s="5">
        <v>7.35</v>
      </c>
      <c r="H843" s="4">
        <v>0</v>
      </c>
    </row>
    <row r="844" spans="1:8" x14ac:dyDescent="0.2">
      <c r="A844" s="2" t="s">
        <v>199</v>
      </c>
      <c r="B844" s="4">
        <v>17</v>
      </c>
      <c r="C844" s="5">
        <v>3.66</v>
      </c>
      <c r="D844" s="4">
        <v>10</v>
      </c>
      <c r="E844" s="5">
        <v>4.76</v>
      </c>
      <c r="F844" s="4">
        <v>7</v>
      </c>
      <c r="G844" s="5">
        <v>2.86</v>
      </c>
      <c r="H844" s="4">
        <v>0</v>
      </c>
    </row>
    <row r="845" spans="1:8" x14ac:dyDescent="0.2">
      <c r="A845" s="2" t="s">
        <v>200</v>
      </c>
      <c r="B845" s="4">
        <v>47</v>
      </c>
      <c r="C845" s="5">
        <v>10.11</v>
      </c>
      <c r="D845" s="4">
        <v>28</v>
      </c>
      <c r="E845" s="5">
        <v>13.33</v>
      </c>
      <c r="F845" s="4">
        <v>18</v>
      </c>
      <c r="G845" s="5">
        <v>7.35</v>
      </c>
      <c r="H845" s="4">
        <v>0</v>
      </c>
    </row>
    <row r="846" spans="1:8" x14ac:dyDescent="0.2">
      <c r="A846" s="2" t="s">
        <v>201</v>
      </c>
      <c r="B846" s="4">
        <v>66</v>
      </c>
      <c r="C846" s="5">
        <v>14.19</v>
      </c>
      <c r="D846" s="4">
        <v>54</v>
      </c>
      <c r="E846" s="5">
        <v>25.71</v>
      </c>
      <c r="F846" s="4">
        <v>11</v>
      </c>
      <c r="G846" s="5">
        <v>4.49</v>
      </c>
      <c r="H846" s="4">
        <v>0</v>
      </c>
    </row>
    <row r="847" spans="1:8" x14ac:dyDescent="0.2">
      <c r="A847" s="2" t="s">
        <v>202</v>
      </c>
      <c r="B847" s="4">
        <v>13</v>
      </c>
      <c r="C847" s="5">
        <v>2.8</v>
      </c>
      <c r="D847" s="4">
        <v>9</v>
      </c>
      <c r="E847" s="5">
        <v>4.29</v>
      </c>
      <c r="F847" s="4">
        <v>2</v>
      </c>
      <c r="G847" s="5">
        <v>0.82</v>
      </c>
      <c r="H847" s="4">
        <v>0</v>
      </c>
    </row>
    <row r="848" spans="1:8" x14ac:dyDescent="0.2">
      <c r="A848" s="2" t="s">
        <v>203</v>
      </c>
      <c r="B848" s="4">
        <v>44</v>
      </c>
      <c r="C848" s="5">
        <v>9.4600000000000009</v>
      </c>
      <c r="D848" s="4">
        <v>15</v>
      </c>
      <c r="E848" s="5">
        <v>7.14</v>
      </c>
      <c r="F848" s="4">
        <v>26</v>
      </c>
      <c r="G848" s="5">
        <v>10.61</v>
      </c>
      <c r="H848" s="4">
        <v>0</v>
      </c>
    </row>
    <row r="849" spans="1:8" x14ac:dyDescent="0.2">
      <c r="A849" s="2" t="s">
        <v>204</v>
      </c>
      <c r="B849" s="4">
        <v>34</v>
      </c>
      <c r="C849" s="5">
        <v>7.31</v>
      </c>
      <c r="D849" s="4">
        <v>17</v>
      </c>
      <c r="E849" s="5">
        <v>8.1</v>
      </c>
      <c r="F849" s="4">
        <v>16</v>
      </c>
      <c r="G849" s="5">
        <v>6.53</v>
      </c>
      <c r="H849" s="4">
        <v>0</v>
      </c>
    </row>
    <row r="850" spans="1:8" x14ac:dyDescent="0.2">
      <c r="A850" s="1" t="s">
        <v>53</v>
      </c>
      <c r="B850" s="4">
        <v>89</v>
      </c>
      <c r="C850" s="5">
        <v>99.99</v>
      </c>
      <c r="D850" s="4">
        <v>50</v>
      </c>
      <c r="E850" s="5">
        <v>100</v>
      </c>
      <c r="F850" s="4">
        <v>39</v>
      </c>
      <c r="G850" s="5">
        <v>99.999999999999986</v>
      </c>
      <c r="H850" s="4">
        <v>0</v>
      </c>
    </row>
    <row r="851" spans="1:8" x14ac:dyDescent="0.2">
      <c r="A851" s="2" t="s">
        <v>190</v>
      </c>
      <c r="B851" s="4">
        <v>0</v>
      </c>
      <c r="C851" s="5">
        <v>0</v>
      </c>
      <c r="D851" s="4">
        <v>0</v>
      </c>
      <c r="E851" s="5">
        <v>0</v>
      </c>
      <c r="F851" s="4">
        <v>0</v>
      </c>
      <c r="G851" s="5">
        <v>0</v>
      </c>
      <c r="H851" s="4">
        <v>0</v>
      </c>
    </row>
    <row r="852" spans="1:8" x14ac:dyDescent="0.2">
      <c r="A852" s="2" t="s">
        <v>191</v>
      </c>
      <c r="B852" s="4">
        <v>18</v>
      </c>
      <c r="C852" s="5">
        <v>20.22</v>
      </c>
      <c r="D852" s="4">
        <v>7</v>
      </c>
      <c r="E852" s="5">
        <v>14</v>
      </c>
      <c r="F852" s="4">
        <v>11</v>
      </c>
      <c r="G852" s="5">
        <v>28.21</v>
      </c>
      <c r="H852" s="4">
        <v>0</v>
      </c>
    </row>
    <row r="853" spans="1:8" x14ac:dyDescent="0.2">
      <c r="A853" s="2" t="s">
        <v>192</v>
      </c>
      <c r="B853" s="4">
        <v>9</v>
      </c>
      <c r="C853" s="5">
        <v>10.11</v>
      </c>
      <c r="D853" s="4">
        <v>2</v>
      </c>
      <c r="E853" s="5">
        <v>4</v>
      </c>
      <c r="F853" s="4">
        <v>7</v>
      </c>
      <c r="G853" s="5">
        <v>17.95</v>
      </c>
      <c r="H853" s="4">
        <v>0</v>
      </c>
    </row>
    <row r="854" spans="1:8" x14ac:dyDescent="0.2">
      <c r="A854" s="2" t="s">
        <v>193</v>
      </c>
      <c r="B854" s="4">
        <v>1</v>
      </c>
      <c r="C854" s="5">
        <v>1.1200000000000001</v>
      </c>
      <c r="D854" s="4">
        <v>0</v>
      </c>
      <c r="E854" s="5">
        <v>0</v>
      </c>
      <c r="F854" s="4">
        <v>1</v>
      </c>
      <c r="G854" s="5">
        <v>2.56</v>
      </c>
      <c r="H854" s="4">
        <v>0</v>
      </c>
    </row>
    <row r="855" spans="1:8" x14ac:dyDescent="0.2">
      <c r="A855" s="2" t="s">
        <v>194</v>
      </c>
      <c r="B855" s="4">
        <v>0</v>
      </c>
      <c r="C855" s="5">
        <v>0</v>
      </c>
      <c r="D855" s="4">
        <v>0</v>
      </c>
      <c r="E855" s="5">
        <v>0</v>
      </c>
      <c r="F855" s="4">
        <v>0</v>
      </c>
      <c r="G855" s="5">
        <v>0</v>
      </c>
      <c r="H855" s="4">
        <v>0</v>
      </c>
    </row>
    <row r="856" spans="1:8" x14ac:dyDescent="0.2">
      <c r="A856" s="2" t="s">
        <v>195</v>
      </c>
      <c r="B856" s="4">
        <v>1</v>
      </c>
      <c r="C856" s="5">
        <v>1.1200000000000001</v>
      </c>
      <c r="D856" s="4">
        <v>0</v>
      </c>
      <c r="E856" s="5">
        <v>0</v>
      </c>
      <c r="F856" s="4">
        <v>1</v>
      </c>
      <c r="G856" s="5">
        <v>2.56</v>
      </c>
      <c r="H856" s="4">
        <v>0</v>
      </c>
    </row>
    <row r="857" spans="1:8" x14ac:dyDescent="0.2">
      <c r="A857" s="2" t="s">
        <v>196</v>
      </c>
      <c r="B857" s="4">
        <v>24</v>
      </c>
      <c r="C857" s="5">
        <v>26.97</v>
      </c>
      <c r="D857" s="4">
        <v>14</v>
      </c>
      <c r="E857" s="5">
        <v>28</v>
      </c>
      <c r="F857" s="4">
        <v>10</v>
      </c>
      <c r="G857" s="5">
        <v>25.64</v>
      </c>
      <c r="H857" s="4">
        <v>0</v>
      </c>
    </row>
    <row r="858" spans="1:8" x14ac:dyDescent="0.2">
      <c r="A858" s="2" t="s">
        <v>197</v>
      </c>
      <c r="B858" s="4">
        <v>0</v>
      </c>
      <c r="C858" s="5">
        <v>0</v>
      </c>
      <c r="D858" s="4">
        <v>0</v>
      </c>
      <c r="E858" s="5">
        <v>0</v>
      </c>
      <c r="F858" s="4">
        <v>0</v>
      </c>
      <c r="G858" s="5">
        <v>0</v>
      </c>
      <c r="H858" s="4">
        <v>0</v>
      </c>
    </row>
    <row r="859" spans="1:8" x14ac:dyDescent="0.2">
      <c r="A859" s="2" t="s">
        <v>198</v>
      </c>
      <c r="B859" s="4">
        <v>0</v>
      </c>
      <c r="C859" s="5">
        <v>0</v>
      </c>
      <c r="D859" s="4">
        <v>0</v>
      </c>
      <c r="E859" s="5">
        <v>0</v>
      </c>
      <c r="F859" s="4">
        <v>0</v>
      </c>
      <c r="G859" s="5">
        <v>0</v>
      </c>
      <c r="H859" s="4">
        <v>0</v>
      </c>
    </row>
    <row r="860" spans="1:8" x14ac:dyDescent="0.2">
      <c r="A860" s="2" t="s">
        <v>199</v>
      </c>
      <c r="B860" s="4">
        <v>0</v>
      </c>
      <c r="C860" s="5">
        <v>0</v>
      </c>
      <c r="D860" s="4">
        <v>0</v>
      </c>
      <c r="E860" s="5">
        <v>0</v>
      </c>
      <c r="F860" s="4">
        <v>0</v>
      </c>
      <c r="G860" s="5">
        <v>0</v>
      </c>
      <c r="H860" s="4">
        <v>0</v>
      </c>
    </row>
    <row r="861" spans="1:8" x14ac:dyDescent="0.2">
      <c r="A861" s="2" t="s">
        <v>200</v>
      </c>
      <c r="B861" s="4">
        <v>14</v>
      </c>
      <c r="C861" s="5">
        <v>15.73</v>
      </c>
      <c r="D861" s="4">
        <v>12</v>
      </c>
      <c r="E861" s="5">
        <v>24</v>
      </c>
      <c r="F861" s="4">
        <v>2</v>
      </c>
      <c r="G861" s="5">
        <v>5.13</v>
      </c>
      <c r="H861" s="4">
        <v>0</v>
      </c>
    </row>
    <row r="862" spans="1:8" x14ac:dyDescent="0.2">
      <c r="A862" s="2" t="s">
        <v>201</v>
      </c>
      <c r="B862" s="4">
        <v>13</v>
      </c>
      <c r="C862" s="5">
        <v>14.61</v>
      </c>
      <c r="D862" s="4">
        <v>11</v>
      </c>
      <c r="E862" s="5">
        <v>22</v>
      </c>
      <c r="F862" s="4">
        <v>2</v>
      </c>
      <c r="G862" s="5">
        <v>5.13</v>
      </c>
      <c r="H862" s="4">
        <v>0</v>
      </c>
    </row>
    <row r="863" spans="1:8" x14ac:dyDescent="0.2">
      <c r="A863" s="2" t="s">
        <v>202</v>
      </c>
      <c r="B863" s="4">
        <v>2</v>
      </c>
      <c r="C863" s="5">
        <v>2.25</v>
      </c>
      <c r="D863" s="4">
        <v>1</v>
      </c>
      <c r="E863" s="5">
        <v>2</v>
      </c>
      <c r="F863" s="4">
        <v>1</v>
      </c>
      <c r="G863" s="5">
        <v>2.56</v>
      </c>
      <c r="H863" s="4">
        <v>0</v>
      </c>
    </row>
    <row r="864" spans="1:8" x14ac:dyDescent="0.2">
      <c r="A864" s="2" t="s">
        <v>203</v>
      </c>
      <c r="B864" s="4">
        <v>3</v>
      </c>
      <c r="C864" s="5">
        <v>3.37</v>
      </c>
      <c r="D864" s="4">
        <v>1</v>
      </c>
      <c r="E864" s="5">
        <v>2</v>
      </c>
      <c r="F864" s="4">
        <v>2</v>
      </c>
      <c r="G864" s="5">
        <v>5.13</v>
      </c>
      <c r="H864" s="4">
        <v>0</v>
      </c>
    </row>
    <row r="865" spans="1:8" x14ac:dyDescent="0.2">
      <c r="A865" s="2" t="s">
        <v>204</v>
      </c>
      <c r="B865" s="4">
        <v>4</v>
      </c>
      <c r="C865" s="5">
        <v>4.49</v>
      </c>
      <c r="D865" s="4">
        <v>2</v>
      </c>
      <c r="E865" s="5">
        <v>4</v>
      </c>
      <c r="F865" s="4">
        <v>2</v>
      </c>
      <c r="G865" s="5">
        <v>5.13</v>
      </c>
      <c r="H865" s="4">
        <v>0</v>
      </c>
    </row>
    <row r="866" spans="1:8" x14ac:dyDescent="0.2">
      <c r="A866" s="1" t="s">
        <v>54</v>
      </c>
      <c r="B866" s="4">
        <v>496</v>
      </c>
      <c r="C866" s="5">
        <v>99.99</v>
      </c>
      <c r="D866" s="4">
        <v>276</v>
      </c>
      <c r="E866" s="5">
        <v>100.00000000000001</v>
      </c>
      <c r="F866" s="4">
        <v>208</v>
      </c>
      <c r="G866" s="5">
        <v>99.990000000000009</v>
      </c>
      <c r="H866" s="4">
        <v>1</v>
      </c>
    </row>
    <row r="867" spans="1:8" x14ac:dyDescent="0.2">
      <c r="A867" s="2" t="s">
        <v>190</v>
      </c>
      <c r="B867" s="4">
        <v>1</v>
      </c>
      <c r="C867" s="5">
        <v>0.2</v>
      </c>
      <c r="D867" s="4">
        <v>0</v>
      </c>
      <c r="E867" s="5">
        <v>0</v>
      </c>
      <c r="F867" s="4">
        <v>1</v>
      </c>
      <c r="G867" s="5">
        <v>0.48</v>
      </c>
      <c r="H867" s="4">
        <v>0</v>
      </c>
    </row>
    <row r="868" spans="1:8" x14ac:dyDescent="0.2">
      <c r="A868" s="2" t="s">
        <v>191</v>
      </c>
      <c r="B868" s="4">
        <v>76</v>
      </c>
      <c r="C868" s="5">
        <v>15.32</v>
      </c>
      <c r="D868" s="4">
        <v>34</v>
      </c>
      <c r="E868" s="5">
        <v>12.32</v>
      </c>
      <c r="F868" s="4">
        <v>42</v>
      </c>
      <c r="G868" s="5">
        <v>20.190000000000001</v>
      </c>
      <c r="H868" s="4">
        <v>0</v>
      </c>
    </row>
    <row r="869" spans="1:8" x14ac:dyDescent="0.2">
      <c r="A869" s="2" t="s">
        <v>192</v>
      </c>
      <c r="B869" s="4">
        <v>46</v>
      </c>
      <c r="C869" s="5">
        <v>9.27</v>
      </c>
      <c r="D869" s="4">
        <v>6</v>
      </c>
      <c r="E869" s="5">
        <v>2.17</v>
      </c>
      <c r="F869" s="4">
        <v>40</v>
      </c>
      <c r="G869" s="5">
        <v>19.23</v>
      </c>
      <c r="H869" s="4">
        <v>0</v>
      </c>
    </row>
    <row r="870" spans="1:8" x14ac:dyDescent="0.2">
      <c r="A870" s="2" t="s">
        <v>193</v>
      </c>
      <c r="B870" s="4">
        <v>3</v>
      </c>
      <c r="C870" s="5">
        <v>0.6</v>
      </c>
      <c r="D870" s="4">
        <v>0</v>
      </c>
      <c r="E870" s="5">
        <v>0</v>
      </c>
      <c r="F870" s="4">
        <v>2</v>
      </c>
      <c r="G870" s="5">
        <v>0.96</v>
      </c>
      <c r="H870" s="4">
        <v>0</v>
      </c>
    </row>
    <row r="871" spans="1:8" x14ac:dyDescent="0.2">
      <c r="A871" s="2" t="s">
        <v>194</v>
      </c>
      <c r="B871" s="4">
        <v>1</v>
      </c>
      <c r="C871" s="5">
        <v>0.2</v>
      </c>
      <c r="D871" s="4">
        <v>0</v>
      </c>
      <c r="E871" s="5">
        <v>0</v>
      </c>
      <c r="F871" s="4">
        <v>1</v>
      </c>
      <c r="G871" s="5">
        <v>0.48</v>
      </c>
      <c r="H871" s="4">
        <v>0</v>
      </c>
    </row>
    <row r="872" spans="1:8" x14ac:dyDescent="0.2">
      <c r="A872" s="2" t="s">
        <v>195</v>
      </c>
      <c r="B872" s="4">
        <v>11</v>
      </c>
      <c r="C872" s="5">
        <v>2.2200000000000002</v>
      </c>
      <c r="D872" s="4">
        <v>1</v>
      </c>
      <c r="E872" s="5">
        <v>0.36</v>
      </c>
      <c r="F872" s="4">
        <v>10</v>
      </c>
      <c r="G872" s="5">
        <v>4.8099999999999996</v>
      </c>
      <c r="H872" s="4">
        <v>0</v>
      </c>
    </row>
    <row r="873" spans="1:8" x14ac:dyDescent="0.2">
      <c r="A873" s="2" t="s">
        <v>196</v>
      </c>
      <c r="B873" s="4">
        <v>119</v>
      </c>
      <c r="C873" s="5">
        <v>23.99</v>
      </c>
      <c r="D873" s="4">
        <v>69</v>
      </c>
      <c r="E873" s="5">
        <v>25</v>
      </c>
      <c r="F873" s="4">
        <v>50</v>
      </c>
      <c r="G873" s="5">
        <v>24.04</v>
      </c>
      <c r="H873" s="4">
        <v>0</v>
      </c>
    </row>
    <row r="874" spans="1:8" x14ac:dyDescent="0.2">
      <c r="A874" s="2" t="s">
        <v>197</v>
      </c>
      <c r="B874" s="4">
        <v>4</v>
      </c>
      <c r="C874" s="5">
        <v>0.81</v>
      </c>
      <c r="D874" s="4">
        <v>1</v>
      </c>
      <c r="E874" s="5">
        <v>0.36</v>
      </c>
      <c r="F874" s="4">
        <v>3</v>
      </c>
      <c r="G874" s="5">
        <v>1.44</v>
      </c>
      <c r="H874" s="4">
        <v>0</v>
      </c>
    </row>
    <row r="875" spans="1:8" x14ac:dyDescent="0.2">
      <c r="A875" s="2" t="s">
        <v>198</v>
      </c>
      <c r="B875" s="4">
        <v>27</v>
      </c>
      <c r="C875" s="5">
        <v>5.44</v>
      </c>
      <c r="D875" s="4">
        <v>19</v>
      </c>
      <c r="E875" s="5">
        <v>6.88</v>
      </c>
      <c r="F875" s="4">
        <v>8</v>
      </c>
      <c r="G875" s="5">
        <v>3.85</v>
      </c>
      <c r="H875" s="4">
        <v>0</v>
      </c>
    </row>
    <row r="876" spans="1:8" x14ac:dyDescent="0.2">
      <c r="A876" s="2" t="s">
        <v>199</v>
      </c>
      <c r="B876" s="4">
        <v>12</v>
      </c>
      <c r="C876" s="5">
        <v>2.42</v>
      </c>
      <c r="D876" s="4">
        <v>5</v>
      </c>
      <c r="E876" s="5">
        <v>1.81</v>
      </c>
      <c r="F876" s="4">
        <v>5</v>
      </c>
      <c r="G876" s="5">
        <v>2.4</v>
      </c>
      <c r="H876" s="4">
        <v>0</v>
      </c>
    </row>
    <row r="877" spans="1:8" x14ac:dyDescent="0.2">
      <c r="A877" s="2" t="s">
        <v>200</v>
      </c>
      <c r="B877" s="4">
        <v>61</v>
      </c>
      <c r="C877" s="5">
        <v>12.3</v>
      </c>
      <c r="D877" s="4">
        <v>51</v>
      </c>
      <c r="E877" s="5">
        <v>18.48</v>
      </c>
      <c r="F877" s="4">
        <v>10</v>
      </c>
      <c r="G877" s="5">
        <v>4.8099999999999996</v>
      </c>
      <c r="H877" s="4">
        <v>0</v>
      </c>
    </row>
    <row r="878" spans="1:8" x14ac:dyDescent="0.2">
      <c r="A878" s="2" t="s">
        <v>201</v>
      </c>
      <c r="B878" s="4">
        <v>67</v>
      </c>
      <c r="C878" s="5">
        <v>13.51</v>
      </c>
      <c r="D878" s="4">
        <v>63</v>
      </c>
      <c r="E878" s="5">
        <v>22.83</v>
      </c>
      <c r="F878" s="4">
        <v>4</v>
      </c>
      <c r="G878" s="5">
        <v>1.92</v>
      </c>
      <c r="H878" s="4">
        <v>0</v>
      </c>
    </row>
    <row r="879" spans="1:8" x14ac:dyDescent="0.2">
      <c r="A879" s="2" t="s">
        <v>202</v>
      </c>
      <c r="B879" s="4">
        <v>12</v>
      </c>
      <c r="C879" s="5">
        <v>2.42</v>
      </c>
      <c r="D879" s="4">
        <v>11</v>
      </c>
      <c r="E879" s="5">
        <v>3.99</v>
      </c>
      <c r="F879" s="4">
        <v>0</v>
      </c>
      <c r="G879" s="5">
        <v>0</v>
      </c>
      <c r="H879" s="4">
        <v>0</v>
      </c>
    </row>
    <row r="880" spans="1:8" x14ac:dyDescent="0.2">
      <c r="A880" s="2" t="s">
        <v>203</v>
      </c>
      <c r="B880" s="4">
        <v>26</v>
      </c>
      <c r="C880" s="5">
        <v>5.24</v>
      </c>
      <c r="D880" s="4">
        <v>8</v>
      </c>
      <c r="E880" s="5">
        <v>2.9</v>
      </c>
      <c r="F880" s="4">
        <v>14</v>
      </c>
      <c r="G880" s="5">
        <v>6.73</v>
      </c>
      <c r="H880" s="4">
        <v>1</v>
      </c>
    </row>
    <row r="881" spans="1:8" x14ac:dyDescent="0.2">
      <c r="A881" s="2" t="s">
        <v>204</v>
      </c>
      <c r="B881" s="4">
        <v>30</v>
      </c>
      <c r="C881" s="5">
        <v>6.05</v>
      </c>
      <c r="D881" s="4">
        <v>8</v>
      </c>
      <c r="E881" s="5">
        <v>2.9</v>
      </c>
      <c r="F881" s="4">
        <v>18</v>
      </c>
      <c r="G881" s="5">
        <v>8.65</v>
      </c>
      <c r="H881" s="4">
        <v>0</v>
      </c>
    </row>
    <row r="882" spans="1:8" x14ac:dyDescent="0.2">
      <c r="A882" s="1" t="s">
        <v>55</v>
      </c>
      <c r="B882" s="4">
        <v>498</v>
      </c>
      <c r="C882" s="5">
        <v>99.98</v>
      </c>
      <c r="D882" s="4">
        <v>263</v>
      </c>
      <c r="E882" s="5">
        <v>99.990000000000009</v>
      </c>
      <c r="F882" s="4">
        <v>216</v>
      </c>
      <c r="G882" s="5">
        <v>100.00000000000001</v>
      </c>
      <c r="H882" s="4">
        <v>3</v>
      </c>
    </row>
    <row r="883" spans="1:8" x14ac:dyDescent="0.2">
      <c r="A883" s="2" t="s">
        <v>190</v>
      </c>
      <c r="B883" s="4">
        <v>0</v>
      </c>
      <c r="C883" s="5">
        <v>0</v>
      </c>
      <c r="D883" s="4">
        <v>0</v>
      </c>
      <c r="E883" s="5">
        <v>0</v>
      </c>
      <c r="F883" s="4">
        <v>0</v>
      </c>
      <c r="G883" s="5">
        <v>0</v>
      </c>
      <c r="H883" s="4">
        <v>0</v>
      </c>
    </row>
    <row r="884" spans="1:8" x14ac:dyDescent="0.2">
      <c r="A884" s="2" t="s">
        <v>191</v>
      </c>
      <c r="B884" s="4">
        <v>76</v>
      </c>
      <c r="C884" s="5">
        <v>15.26</v>
      </c>
      <c r="D884" s="4">
        <v>28</v>
      </c>
      <c r="E884" s="5">
        <v>10.65</v>
      </c>
      <c r="F884" s="4">
        <v>48</v>
      </c>
      <c r="G884" s="5">
        <v>22.22</v>
      </c>
      <c r="H884" s="4">
        <v>0</v>
      </c>
    </row>
    <row r="885" spans="1:8" x14ac:dyDescent="0.2">
      <c r="A885" s="2" t="s">
        <v>192</v>
      </c>
      <c r="B885" s="4">
        <v>35</v>
      </c>
      <c r="C885" s="5">
        <v>7.03</v>
      </c>
      <c r="D885" s="4">
        <v>9</v>
      </c>
      <c r="E885" s="5">
        <v>3.42</v>
      </c>
      <c r="F885" s="4">
        <v>26</v>
      </c>
      <c r="G885" s="5">
        <v>12.04</v>
      </c>
      <c r="H885" s="4">
        <v>0</v>
      </c>
    </row>
    <row r="886" spans="1:8" x14ac:dyDescent="0.2">
      <c r="A886" s="2" t="s">
        <v>193</v>
      </c>
      <c r="B886" s="4">
        <v>3</v>
      </c>
      <c r="C886" s="5">
        <v>0.6</v>
      </c>
      <c r="D886" s="4">
        <v>2</v>
      </c>
      <c r="E886" s="5">
        <v>0.76</v>
      </c>
      <c r="F886" s="4">
        <v>0</v>
      </c>
      <c r="G886" s="5">
        <v>0</v>
      </c>
      <c r="H886" s="4">
        <v>0</v>
      </c>
    </row>
    <row r="887" spans="1:8" x14ac:dyDescent="0.2">
      <c r="A887" s="2" t="s">
        <v>194</v>
      </c>
      <c r="B887" s="4">
        <v>1</v>
      </c>
      <c r="C887" s="5">
        <v>0.2</v>
      </c>
      <c r="D887" s="4">
        <v>0</v>
      </c>
      <c r="E887" s="5">
        <v>0</v>
      </c>
      <c r="F887" s="4">
        <v>1</v>
      </c>
      <c r="G887" s="5">
        <v>0.46</v>
      </c>
      <c r="H887" s="4">
        <v>0</v>
      </c>
    </row>
    <row r="888" spans="1:8" x14ac:dyDescent="0.2">
      <c r="A888" s="2" t="s">
        <v>195</v>
      </c>
      <c r="B888" s="4">
        <v>4</v>
      </c>
      <c r="C888" s="5">
        <v>0.8</v>
      </c>
      <c r="D888" s="4">
        <v>0</v>
      </c>
      <c r="E888" s="5">
        <v>0</v>
      </c>
      <c r="F888" s="4">
        <v>4</v>
      </c>
      <c r="G888" s="5">
        <v>1.85</v>
      </c>
      <c r="H888" s="4">
        <v>0</v>
      </c>
    </row>
    <row r="889" spans="1:8" x14ac:dyDescent="0.2">
      <c r="A889" s="2" t="s">
        <v>196</v>
      </c>
      <c r="B889" s="4">
        <v>129</v>
      </c>
      <c r="C889" s="5">
        <v>25.9</v>
      </c>
      <c r="D889" s="4">
        <v>58</v>
      </c>
      <c r="E889" s="5">
        <v>22.05</v>
      </c>
      <c r="F889" s="4">
        <v>71</v>
      </c>
      <c r="G889" s="5">
        <v>32.869999999999997</v>
      </c>
      <c r="H889" s="4">
        <v>0</v>
      </c>
    </row>
    <row r="890" spans="1:8" x14ac:dyDescent="0.2">
      <c r="A890" s="2" t="s">
        <v>197</v>
      </c>
      <c r="B890" s="4">
        <v>3</v>
      </c>
      <c r="C890" s="5">
        <v>0.6</v>
      </c>
      <c r="D890" s="4">
        <v>0</v>
      </c>
      <c r="E890" s="5">
        <v>0</v>
      </c>
      <c r="F890" s="4">
        <v>3</v>
      </c>
      <c r="G890" s="5">
        <v>1.39</v>
      </c>
      <c r="H890" s="4">
        <v>0</v>
      </c>
    </row>
    <row r="891" spans="1:8" x14ac:dyDescent="0.2">
      <c r="A891" s="2" t="s">
        <v>198</v>
      </c>
      <c r="B891" s="4">
        <v>34</v>
      </c>
      <c r="C891" s="5">
        <v>6.83</v>
      </c>
      <c r="D891" s="4">
        <v>18</v>
      </c>
      <c r="E891" s="5">
        <v>6.84</v>
      </c>
      <c r="F891" s="4">
        <v>14</v>
      </c>
      <c r="G891" s="5">
        <v>6.48</v>
      </c>
      <c r="H891" s="4">
        <v>0</v>
      </c>
    </row>
    <row r="892" spans="1:8" x14ac:dyDescent="0.2">
      <c r="A892" s="2" t="s">
        <v>199</v>
      </c>
      <c r="B892" s="4">
        <v>12</v>
      </c>
      <c r="C892" s="5">
        <v>2.41</v>
      </c>
      <c r="D892" s="4">
        <v>3</v>
      </c>
      <c r="E892" s="5">
        <v>1.1399999999999999</v>
      </c>
      <c r="F892" s="4">
        <v>8</v>
      </c>
      <c r="G892" s="5">
        <v>3.7</v>
      </c>
      <c r="H892" s="4">
        <v>0</v>
      </c>
    </row>
    <row r="893" spans="1:8" x14ac:dyDescent="0.2">
      <c r="A893" s="2" t="s">
        <v>200</v>
      </c>
      <c r="B893" s="4">
        <v>89</v>
      </c>
      <c r="C893" s="5">
        <v>17.87</v>
      </c>
      <c r="D893" s="4">
        <v>71</v>
      </c>
      <c r="E893" s="5">
        <v>27</v>
      </c>
      <c r="F893" s="4">
        <v>16</v>
      </c>
      <c r="G893" s="5">
        <v>7.41</v>
      </c>
      <c r="H893" s="4">
        <v>1</v>
      </c>
    </row>
    <row r="894" spans="1:8" x14ac:dyDescent="0.2">
      <c r="A894" s="2" t="s">
        <v>201</v>
      </c>
      <c r="B894" s="4">
        <v>64</v>
      </c>
      <c r="C894" s="5">
        <v>12.85</v>
      </c>
      <c r="D894" s="4">
        <v>52</v>
      </c>
      <c r="E894" s="5">
        <v>19.77</v>
      </c>
      <c r="F894" s="4">
        <v>6</v>
      </c>
      <c r="G894" s="5">
        <v>2.78</v>
      </c>
      <c r="H894" s="4">
        <v>0</v>
      </c>
    </row>
    <row r="895" spans="1:8" x14ac:dyDescent="0.2">
      <c r="A895" s="2" t="s">
        <v>202</v>
      </c>
      <c r="B895" s="4">
        <v>5</v>
      </c>
      <c r="C895" s="5">
        <v>1</v>
      </c>
      <c r="D895" s="4">
        <v>2</v>
      </c>
      <c r="E895" s="5">
        <v>0.76</v>
      </c>
      <c r="F895" s="4">
        <v>2</v>
      </c>
      <c r="G895" s="5">
        <v>0.93</v>
      </c>
      <c r="H895" s="4">
        <v>0</v>
      </c>
    </row>
    <row r="896" spans="1:8" x14ac:dyDescent="0.2">
      <c r="A896" s="2" t="s">
        <v>203</v>
      </c>
      <c r="B896" s="4">
        <v>15</v>
      </c>
      <c r="C896" s="5">
        <v>3.01</v>
      </c>
      <c r="D896" s="4">
        <v>8</v>
      </c>
      <c r="E896" s="5">
        <v>3.04</v>
      </c>
      <c r="F896" s="4">
        <v>6</v>
      </c>
      <c r="G896" s="5">
        <v>2.78</v>
      </c>
      <c r="H896" s="4">
        <v>0</v>
      </c>
    </row>
    <row r="897" spans="1:8" x14ac:dyDescent="0.2">
      <c r="A897" s="2" t="s">
        <v>204</v>
      </c>
      <c r="B897" s="4">
        <v>28</v>
      </c>
      <c r="C897" s="5">
        <v>5.62</v>
      </c>
      <c r="D897" s="4">
        <v>12</v>
      </c>
      <c r="E897" s="5">
        <v>4.5599999999999996</v>
      </c>
      <c r="F897" s="4">
        <v>11</v>
      </c>
      <c r="G897" s="5">
        <v>5.09</v>
      </c>
      <c r="H897" s="4">
        <v>2</v>
      </c>
    </row>
    <row r="898" spans="1:8" x14ac:dyDescent="0.2">
      <c r="A898" s="1" t="s">
        <v>56</v>
      </c>
      <c r="B898" s="4">
        <v>175</v>
      </c>
      <c r="C898" s="5">
        <v>99.990000000000009</v>
      </c>
      <c r="D898" s="4">
        <v>85</v>
      </c>
      <c r="E898" s="5">
        <v>100.02999999999999</v>
      </c>
      <c r="F898" s="4">
        <v>81</v>
      </c>
      <c r="G898" s="5">
        <v>99.98</v>
      </c>
      <c r="H898" s="4">
        <v>0</v>
      </c>
    </row>
    <row r="899" spans="1:8" x14ac:dyDescent="0.2">
      <c r="A899" s="2" t="s">
        <v>190</v>
      </c>
      <c r="B899" s="4">
        <v>0</v>
      </c>
      <c r="C899" s="5">
        <v>0</v>
      </c>
      <c r="D899" s="4">
        <v>0</v>
      </c>
      <c r="E899" s="5">
        <v>0</v>
      </c>
      <c r="F899" s="4">
        <v>0</v>
      </c>
      <c r="G899" s="5">
        <v>0</v>
      </c>
      <c r="H899" s="4">
        <v>0</v>
      </c>
    </row>
    <row r="900" spans="1:8" x14ac:dyDescent="0.2">
      <c r="A900" s="2" t="s">
        <v>191</v>
      </c>
      <c r="B900" s="4">
        <v>22</v>
      </c>
      <c r="C900" s="5">
        <v>12.57</v>
      </c>
      <c r="D900" s="4">
        <v>6</v>
      </c>
      <c r="E900" s="5">
        <v>7.06</v>
      </c>
      <c r="F900" s="4">
        <v>16</v>
      </c>
      <c r="G900" s="5">
        <v>19.75</v>
      </c>
      <c r="H900" s="4">
        <v>0</v>
      </c>
    </row>
    <row r="901" spans="1:8" x14ac:dyDescent="0.2">
      <c r="A901" s="2" t="s">
        <v>192</v>
      </c>
      <c r="B901" s="4">
        <v>15</v>
      </c>
      <c r="C901" s="5">
        <v>8.57</v>
      </c>
      <c r="D901" s="4">
        <v>4</v>
      </c>
      <c r="E901" s="5">
        <v>4.71</v>
      </c>
      <c r="F901" s="4">
        <v>11</v>
      </c>
      <c r="G901" s="5">
        <v>13.58</v>
      </c>
      <c r="H901" s="4">
        <v>0</v>
      </c>
    </row>
    <row r="902" spans="1:8" x14ac:dyDescent="0.2">
      <c r="A902" s="2" t="s">
        <v>193</v>
      </c>
      <c r="B902" s="4">
        <v>3</v>
      </c>
      <c r="C902" s="5">
        <v>1.71</v>
      </c>
      <c r="D902" s="4">
        <v>0</v>
      </c>
      <c r="E902" s="5">
        <v>0</v>
      </c>
      <c r="F902" s="4">
        <v>0</v>
      </c>
      <c r="G902" s="5">
        <v>0</v>
      </c>
      <c r="H902" s="4">
        <v>0</v>
      </c>
    </row>
    <row r="903" spans="1:8" x14ac:dyDescent="0.2">
      <c r="A903" s="2" t="s">
        <v>194</v>
      </c>
      <c r="B903" s="4">
        <v>0</v>
      </c>
      <c r="C903" s="5">
        <v>0</v>
      </c>
      <c r="D903" s="4">
        <v>0</v>
      </c>
      <c r="E903" s="5">
        <v>0</v>
      </c>
      <c r="F903" s="4">
        <v>0</v>
      </c>
      <c r="G903" s="5">
        <v>0</v>
      </c>
      <c r="H903" s="4">
        <v>0</v>
      </c>
    </row>
    <row r="904" spans="1:8" x14ac:dyDescent="0.2">
      <c r="A904" s="2" t="s">
        <v>195</v>
      </c>
      <c r="B904" s="4">
        <v>2</v>
      </c>
      <c r="C904" s="5">
        <v>1.1399999999999999</v>
      </c>
      <c r="D904" s="4">
        <v>1</v>
      </c>
      <c r="E904" s="5">
        <v>1.18</v>
      </c>
      <c r="F904" s="4">
        <v>1</v>
      </c>
      <c r="G904" s="5">
        <v>1.23</v>
      </c>
      <c r="H904" s="4">
        <v>0</v>
      </c>
    </row>
    <row r="905" spans="1:8" x14ac:dyDescent="0.2">
      <c r="A905" s="2" t="s">
        <v>196</v>
      </c>
      <c r="B905" s="4">
        <v>45</v>
      </c>
      <c r="C905" s="5">
        <v>25.71</v>
      </c>
      <c r="D905" s="4">
        <v>21</v>
      </c>
      <c r="E905" s="5">
        <v>24.71</v>
      </c>
      <c r="F905" s="4">
        <v>24</v>
      </c>
      <c r="G905" s="5">
        <v>29.63</v>
      </c>
      <c r="H905" s="4">
        <v>0</v>
      </c>
    </row>
    <row r="906" spans="1:8" x14ac:dyDescent="0.2">
      <c r="A906" s="2" t="s">
        <v>197</v>
      </c>
      <c r="B906" s="4">
        <v>2</v>
      </c>
      <c r="C906" s="5">
        <v>1.1399999999999999</v>
      </c>
      <c r="D906" s="4">
        <v>0</v>
      </c>
      <c r="E906" s="5">
        <v>0</v>
      </c>
      <c r="F906" s="4">
        <v>2</v>
      </c>
      <c r="G906" s="5">
        <v>2.4700000000000002</v>
      </c>
      <c r="H906" s="4">
        <v>0</v>
      </c>
    </row>
    <row r="907" spans="1:8" x14ac:dyDescent="0.2">
      <c r="A907" s="2" t="s">
        <v>198</v>
      </c>
      <c r="B907" s="4">
        <v>3</v>
      </c>
      <c r="C907" s="5">
        <v>1.71</v>
      </c>
      <c r="D907" s="4">
        <v>1</v>
      </c>
      <c r="E907" s="5">
        <v>1.18</v>
      </c>
      <c r="F907" s="4">
        <v>2</v>
      </c>
      <c r="G907" s="5">
        <v>2.4700000000000002</v>
      </c>
      <c r="H907" s="4">
        <v>0</v>
      </c>
    </row>
    <row r="908" spans="1:8" x14ac:dyDescent="0.2">
      <c r="A908" s="2" t="s">
        <v>199</v>
      </c>
      <c r="B908" s="4">
        <v>4</v>
      </c>
      <c r="C908" s="5">
        <v>2.29</v>
      </c>
      <c r="D908" s="4">
        <v>3</v>
      </c>
      <c r="E908" s="5">
        <v>3.53</v>
      </c>
      <c r="F908" s="4">
        <v>1</v>
      </c>
      <c r="G908" s="5">
        <v>1.23</v>
      </c>
      <c r="H908" s="4">
        <v>0</v>
      </c>
    </row>
    <row r="909" spans="1:8" x14ac:dyDescent="0.2">
      <c r="A909" s="2" t="s">
        <v>200</v>
      </c>
      <c r="B909" s="4">
        <v>34</v>
      </c>
      <c r="C909" s="5">
        <v>19.43</v>
      </c>
      <c r="D909" s="4">
        <v>26</v>
      </c>
      <c r="E909" s="5">
        <v>30.59</v>
      </c>
      <c r="F909" s="4">
        <v>7</v>
      </c>
      <c r="G909" s="5">
        <v>8.64</v>
      </c>
      <c r="H909" s="4">
        <v>0</v>
      </c>
    </row>
    <row r="910" spans="1:8" x14ac:dyDescent="0.2">
      <c r="A910" s="2" t="s">
        <v>201</v>
      </c>
      <c r="B910" s="4">
        <v>19</v>
      </c>
      <c r="C910" s="5">
        <v>10.86</v>
      </c>
      <c r="D910" s="4">
        <v>15</v>
      </c>
      <c r="E910" s="5">
        <v>17.649999999999999</v>
      </c>
      <c r="F910" s="4">
        <v>3</v>
      </c>
      <c r="G910" s="5">
        <v>3.7</v>
      </c>
      <c r="H910" s="4">
        <v>0</v>
      </c>
    </row>
    <row r="911" spans="1:8" x14ac:dyDescent="0.2">
      <c r="A911" s="2" t="s">
        <v>202</v>
      </c>
      <c r="B911" s="4">
        <v>6</v>
      </c>
      <c r="C911" s="5">
        <v>3.43</v>
      </c>
      <c r="D911" s="4">
        <v>3</v>
      </c>
      <c r="E911" s="5">
        <v>3.53</v>
      </c>
      <c r="F911" s="4">
        <v>0</v>
      </c>
      <c r="G911" s="5">
        <v>0</v>
      </c>
      <c r="H911" s="4">
        <v>0</v>
      </c>
    </row>
    <row r="912" spans="1:8" x14ac:dyDescent="0.2">
      <c r="A912" s="2" t="s">
        <v>203</v>
      </c>
      <c r="B912" s="4">
        <v>7</v>
      </c>
      <c r="C912" s="5">
        <v>4</v>
      </c>
      <c r="D912" s="4">
        <v>4</v>
      </c>
      <c r="E912" s="5">
        <v>4.71</v>
      </c>
      <c r="F912" s="4">
        <v>3</v>
      </c>
      <c r="G912" s="5">
        <v>3.7</v>
      </c>
      <c r="H912" s="4">
        <v>0</v>
      </c>
    </row>
    <row r="913" spans="1:8" x14ac:dyDescent="0.2">
      <c r="A913" s="2" t="s">
        <v>204</v>
      </c>
      <c r="B913" s="4">
        <v>13</v>
      </c>
      <c r="C913" s="5">
        <v>7.43</v>
      </c>
      <c r="D913" s="4">
        <v>1</v>
      </c>
      <c r="E913" s="5">
        <v>1.18</v>
      </c>
      <c r="F913" s="4">
        <v>11</v>
      </c>
      <c r="G913" s="5">
        <v>13.58</v>
      </c>
      <c r="H913" s="4">
        <v>0</v>
      </c>
    </row>
    <row r="914" spans="1:8" x14ac:dyDescent="0.2">
      <c r="A914" s="1" t="s">
        <v>57</v>
      </c>
      <c r="B914" s="4">
        <v>280</v>
      </c>
      <c r="C914" s="5">
        <v>99.98</v>
      </c>
      <c r="D914" s="4">
        <v>142</v>
      </c>
      <c r="E914" s="5">
        <v>99.999999999999986</v>
      </c>
      <c r="F914" s="4">
        <v>121</v>
      </c>
      <c r="G914" s="5">
        <v>100.00999999999998</v>
      </c>
      <c r="H914" s="4">
        <v>4</v>
      </c>
    </row>
    <row r="915" spans="1:8" x14ac:dyDescent="0.2">
      <c r="A915" s="2" t="s">
        <v>190</v>
      </c>
      <c r="B915" s="4">
        <v>0</v>
      </c>
      <c r="C915" s="5">
        <v>0</v>
      </c>
      <c r="D915" s="4">
        <v>0</v>
      </c>
      <c r="E915" s="5">
        <v>0</v>
      </c>
      <c r="F915" s="4">
        <v>0</v>
      </c>
      <c r="G915" s="5">
        <v>0</v>
      </c>
      <c r="H915" s="4">
        <v>0</v>
      </c>
    </row>
    <row r="916" spans="1:8" x14ac:dyDescent="0.2">
      <c r="A916" s="2" t="s">
        <v>191</v>
      </c>
      <c r="B916" s="4">
        <v>42</v>
      </c>
      <c r="C916" s="5">
        <v>15</v>
      </c>
      <c r="D916" s="4">
        <v>15</v>
      </c>
      <c r="E916" s="5">
        <v>10.56</v>
      </c>
      <c r="F916" s="4">
        <v>27</v>
      </c>
      <c r="G916" s="5">
        <v>22.31</v>
      </c>
      <c r="H916" s="4">
        <v>0</v>
      </c>
    </row>
    <row r="917" spans="1:8" x14ac:dyDescent="0.2">
      <c r="A917" s="2" t="s">
        <v>192</v>
      </c>
      <c r="B917" s="4">
        <v>15</v>
      </c>
      <c r="C917" s="5">
        <v>5.36</v>
      </c>
      <c r="D917" s="4">
        <v>8</v>
      </c>
      <c r="E917" s="5">
        <v>5.63</v>
      </c>
      <c r="F917" s="4">
        <v>7</v>
      </c>
      <c r="G917" s="5">
        <v>5.79</v>
      </c>
      <c r="H917" s="4">
        <v>0</v>
      </c>
    </row>
    <row r="918" spans="1:8" x14ac:dyDescent="0.2">
      <c r="A918" s="2" t="s">
        <v>193</v>
      </c>
      <c r="B918" s="4">
        <v>3</v>
      </c>
      <c r="C918" s="5">
        <v>1.07</v>
      </c>
      <c r="D918" s="4">
        <v>0</v>
      </c>
      <c r="E918" s="5">
        <v>0</v>
      </c>
      <c r="F918" s="4">
        <v>1</v>
      </c>
      <c r="G918" s="5">
        <v>0.83</v>
      </c>
      <c r="H918" s="4">
        <v>0</v>
      </c>
    </row>
    <row r="919" spans="1:8" x14ac:dyDescent="0.2">
      <c r="A919" s="2" t="s">
        <v>194</v>
      </c>
      <c r="B919" s="4">
        <v>2</v>
      </c>
      <c r="C919" s="5">
        <v>0.71</v>
      </c>
      <c r="D919" s="4">
        <v>0</v>
      </c>
      <c r="E919" s="5">
        <v>0</v>
      </c>
      <c r="F919" s="4">
        <v>2</v>
      </c>
      <c r="G919" s="5">
        <v>1.65</v>
      </c>
      <c r="H919" s="4">
        <v>0</v>
      </c>
    </row>
    <row r="920" spans="1:8" x14ac:dyDescent="0.2">
      <c r="A920" s="2" t="s">
        <v>195</v>
      </c>
      <c r="B920" s="4">
        <v>0</v>
      </c>
      <c r="C920" s="5">
        <v>0</v>
      </c>
      <c r="D920" s="4">
        <v>0</v>
      </c>
      <c r="E920" s="5">
        <v>0</v>
      </c>
      <c r="F920" s="4">
        <v>0</v>
      </c>
      <c r="G920" s="5">
        <v>0</v>
      </c>
      <c r="H920" s="4">
        <v>0</v>
      </c>
    </row>
    <row r="921" spans="1:8" x14ac:dyDescent="0.2">
      <c r="A921" s="2" t="s">
        <v>196</v>
      </c>
      <c r="B921" s="4">
        <v>67</v>
      </c>
      <c r="C921" s="5">
        <v>23.93</v>
      </c>
      <c r="D921" s="4">
        <v>30</v>
      </c>
      <c r="E921" s="5">
        <v>21.13</v>
      </c>
      <c r="F921" s="4">
        <v>34</v>
      </c>
      <c r="G921" s="5">
        <v>28.1</v>
      </c>
      <c r="H921" s="4">
        <v>3</v>
      </c>
    </row>
    <row r="922" spans="1:8" x14ac:dyDescent="0.2">
      <c r="A922" s="2" t="s">
        <v>197</v>
      </c>
      <c r="B922" s="4">
        <v>2</v>
      </c>
      <c r="C922" s="5">
        <v>0.71</v>
      </c>
      <c r="D922" s="4">
        <v>1</v>
      </c>
      <c r="E922" s="5">
        <v>0.7</v>
      </c>
      <c r="F922" s="4">
        <v>1</v>
      </c>
      <c r="G922" s="5">
        <v>0.83</v>
      </c>
      <c r="H922" s="4">
        <v>0</v>
      </c>
    </row>
    <row r="923" spans="1:8" x14ac:dyDescent="0.2">
      <c r="A923" s="2" t="s">
        <v>198</v>
      </c>
      <c r="B923" s="4">
        <v>16</v>
      </c>
      <c r="C923" s="5">
        <v>5.71</v>
      </c>
      <c r="D923" s="4">
        <v>6</v>
      </c>
      <c r="E923" s="5">
        <v>4.2300000000000004</v>
      </c>
      <c r="F923" s="4">
        <v>9</v>
      </c>
      <c r="G923" s="5">
        <v>7.44</v>
      </c>
      <c r="H923" s="4">
        <v>0</v>
      </c>
    </row>
    <row r="924" spans="1:8" x14ac:dyDescent="0.2">
      <c r="A924" s="2" t="s">
        <v>199</v>
      </c>
      <c r="B924" s="4">
        <v>9</v>
      </c>
      <c r="C924" s="5">
        <v>3.21</v>
      </c>
      <c r="D924" s="4">
        <v>2</v>
      </c>
      <c r="E924" s="5">
        <v>1.41</v>
      </c>
      <c r="F924" s="4">
        <v>6</v>
      </c>
      <c r="G924" s="5">
        <v>4.96</v>
      </c>
      <c r="H924" s="4">
        <v>0</v>
      </c>
    </row>
    <row r="925" spans="1:8" x14ac:dyDescent="0.2">
      <c r="A925" s="2" t="s">
        <v>200</v>
      </c>
      <c r="B925" s="4">
        <v>55</v>
      </c>
      <c r="C925" s="5">
        <v>19.64</v>
      </c>
      <c r="D925" s="4">
        <v>41</v>
      </c>
      <c r="E925" s="5">
        <v>28.87</v>
      </c>
      <c r="F925" s="4">
        <v>12</v>
      </c>
      <c r="G925" s="5">
        <v>9.92</v>
      </c>
      <c r="H925" s="4">
        <v>1</v>
      </c>
    </row>
    <row r="926" spans="1:8" x14ac:dyDescent="0.2">
      <c r="A926" s="2" t="s">
        <v>201</v>
      </c>
      <c r="B926" s="4">
        <v>34</v>
      </c>
      <c r="C926" s="5">
        <v>12.14</v>
      </c>
      <c r="D926" s="4">
        <v>28</v>
      </c>
      <c r="E926" s="5">
        <v>19.72</v>
      </c>
      <c r="F926" s="4">
        <v>6</v>
      </c>
      <c r="G926" s="5">
        <v>4.96</v>
      </c>
      <c r="H926" s="4">
        <v>0</v>
      </c>
    </row>
    <row r="927" spans="1:8" x14ac:dyDescent="0.2">
      <c r="A927" s="2" t="s">
        <v>202</v>
      </c>
      <c r="B927" s="4">
        <v>9</v>
      </c>
      <c r="C927" s="5">
        <v>3.21</v>
      </c>
      <c r="D927" s="4">
        <v>4</v>
      </c>
      <c r="E927" s="5">
        <v>2.82</v>
      </c>
      <c r="F927" s="4">
        <v>1</v>
      </c>
      <c r="G927" s="5">
        <v>0.83</v>
      </c>
      <c r="H927" s="4">
        <v>0</v>
      </c>
    </row>
    <row r="928" spans="1:8" x14ac:dyDescent="0.2">
      <c r="A928" s="2" t="s">
        <v>203</v>
      </c>
      <c r="B928" s="4">
        <v>18</v>
      </c>
      <c r="C928" s="5">
        <v>6.43</v>
      </c>
      <c r="D928" s="4">
        <v>5</v>
      </c>
      <c r="E928" s="5">
        <v>3.52</v>
      </c>
      <c r="F928" s="4">
        <v>10</v>
      </c>
      <c r="G928" s="5">
        <v>8.26</v>
      </c>
      <c r="H928" s="4">
        <v>0</v>
      </c>
    </row>
    <row r="929" spans="1:8" x14ac:dyDescent="0.2">
      <c r="A929" s="2" t="s">
        <v>204</v>
      </c>
      <c r="B929" s="4">
        <v>8</v>
      </c>
      <c r="C929" s="5">
        <v>2.86</v>
      </c>
      <c r="D929" s="4">
        <v>2</v>
      </c>
      <c r="E929" s="5">
        <v>1.41</v>
      </c>
      <c r="F929" s="4">
        <v>5</v>
      </c>
      <c r="G929" s="5">
        <v>4.13</v>
      </c>
      <c r="H929" s="4">
        <v>0</v>
      </c>
    </row>
    <row r="930" spans="1:8" x14ac:dyDescent="0.2">
      <c r="A930" s="1" t="s">
        <v>58</v>
      </c>
      <c r="B930" s="4">
        <v>123</v>
      </c>
      <c r="C930" s="5">
        <v>100</v>
      </c>
      <c r="D930" s="4">
        <v>65</v>
      </c>
      <c r="E930" s="5">
        <v>100.01</v>
      </c>
      <c r="F930" s="4">
        <v>55</v>
      </c>
      <c r="G930" s="5">
        <v>100</v>
      </c>
      <c r="H930" s="4">
        <v>1</v>
      </c>
    </row>
    <row r="931" spans="1:8" x14ac:dyDescent="0.2">
      <c r="A931" s="2" t="s">
        <v>190</v>
      </c>
      <c r="B931" s="4">
        <v>0</v>
      </c>
      <c r="C931" s="5">
        <v>0</v>
      </c>
      <c r="D931" s="4">
        <v>0</v>
      </c>
      <c r="E931" s="5">
        <v>0</v>
      </c>
      <c r="F931" s="4">
        <v>0</v>
      </c>
      <c r="G931" s="5">
        <v>0</v>
      </c>
      <c r="H931" s="4">
        <v>0</v>
      </c>
    </row>
    <row r="932" spans="1:8" x14ac:dyDescent="0.2">
      <c r="A932" s="2" t="s">
        <v>191</v>
      </c>
      <c r="B932" s="4">
        <v>19</v>
      </c>
      <c r="C932" s="5">
        <v>15.45</v>
      </c>
      <c r="D932" s="4">
        <v>5</v>
      </c>
      <c r="E932" s="5">
        <v>7.69</v>
      </c>
      <c r="F932" s="4">
        <v>14</v>
      </c>
      <c r="G932" s="5">
        <v>25.45</v>
      </c>
      <c r="H932" s="4">
        <v>0</v>
      </c>
    </row>
    <row r="933" spans="1:8" x14ac:dyDescent="0.2">
      <c r="A933" s="2" t="s">
        <v>192</v>
      </c>
      <c r="B933" s="4">
        <v>9</v>
      </c>
      <c r="C933" s="5">
        <v>7.32</v>
      </c>
      <c r="D933" s="4">
        <v>0</v>
      </c>
      <c r="E933" s="5">
        <v>0</v>
      </c>
      <c r="F933" s="4">
        <v>9</v>
      </c>
      <c r="G933" s="5">
        <v>16.36</v>
      </c>
      <c r="H933" s="4">
        <v>0</v>
      </c>
    </row>
    <row r="934" spans="1:8" x14ac:dyDescent="0.2">
      <c r="A934" s="2" t="s">
        <v>193</v>
      </c>
      <c r="B934" s="4">
        <v>1</v>
      </c>
      <c r="C934" s="5">
        <v>0.81</v>
      </c>
      <c r="D934" s="4">
        <v>0</v>
      </c>
      <c r="E934" s="5">
        <v>0</v>
      </c>
      <c r="F934" s="4">
        <v>0</v>
      </c>
      <c r="G934" s="5">
        <v>0</v>
      </c>
      <c r="H934" s="4">
        <v>0</v>
      </c>
    </row>
    <row r="935" spans="1:8" x14ac:dyDescent="0.2">
      <c r="A935" s="2" t="s">
        <v>194</v>
      </c>
      <c r="B935" s="4">
        <v>0</v>
      </c>
      <c r="C935" s="5">
        <v>0</v>
      </c>
      <c r="D935" s="4">
        <v>0</v>
      </c>
      <c r="E935" s="5">
        <v>0</v>
      </c>
      <c r="F935" s="4">
        <v>0</v>
      </c>
      <c r="G935" s="5">
        <v>0</v>
      </c>
      <c r="H935" s="4">
        <v>0</v>
      </c>
    </row>
    <row r="936" spans="1:8" x14ac:dyDescent="0.2">
      <c r="A936" s="2" t="s">
        <v>195</v>
      </c>
      <c r="B936" s="4">
        <v>4</v>
      </c>
      <c r="C936" s="5">
        <v>3.25</v>
      </c>
      <c r="D936" s="4">
        <v>1</v>
      </c>
      <c r="E936" s="5">
        <v>1.54</v>
      </c>
      <c r="F936" s="4">
        <v>2</v>
      </c>
      <c r="G936" s="5">
        <v>3.64</v>
      </c>
      <c r="H936" s="4">
        <v>1</v>
      </c>
    </row>
    <row r="937" spans="1:8" x14ac:dyDescent="0.2">
      <c r="A937" s="2" t="s">
        <v>196</v>
      </c>
      <c r="B937" s="4">
        <v>34</v>
      </c>
      <c r="C937" s="5">
        <v>27.64</v>
      </c>
      <c r="D937" s="4">
        <v>20</v>
      </c>
      <c r="E937" s="5">
        <v>30.77</v>
      </c>
      <c r="F937" s="4">
        <v>14</v>
      </c>
      <c r="G937" s="5">
        <v>25.45</v>
      </c>
      <c r="H937" s="4">
        <v>0</v>
      </c>
    </row>
    <row r="938" spans="1:8" x14ac:dyDescent="0.2">
      <c r="A938" s="2" t="s">
        <v>197</v>
      </c>
      <c r="B938" s="4">
        <v>1</v>
      </c>
      <c r="C938" s="5">
        <v>0.81</v>
      </c>
      <c r="D938" s="4">
        <v>1</v>
      </c>
      <c r="E938" s="5">
        <v>1.54</v>
      </c>
      <c r="F938" s="4">
        <v>0</v>
      </c>
      <c r="G938" s="5">
        <v>0</v>
      </c>
      <c r="H938" s="4">
        <v>0</v>
      </c>
    </row>
    <row r="939" spans="1:8" x14ac:dyDescent="0.2">
      <c r="A939" s="2" t="s">
        <v>198</v>
      </c>
      <c r="B939" s="4">
        <v>2</v>
      </c>
      <c r="C939" s="5">
        <v>1.63</v>
      </c>
      <c r="D939" s="4">
        <v>0</v>
      </c>
      <c r="E939" s="5">
        <v>0</v>
      </c>
      <c r="F939" s="4">
        <v>2</v>
      </c>
      <c r="G939" s="5">
        <v>3.64</v>
      </c>
      <c r="H939" s="4">
        <v>0</v>
      </c>
    </row>
    <row r="940" spans="1:8" x14ac:dyDescent="0.2">
      <c r="A940" s="2" t="s">
        <v>199</v>
      </c>
      <c r="B940" s="4">
        <v>1</v>
      </c>
      <c r="C940" s="5">
        <v>0.81</v>
      </c>
      <c r="D940" s="4">
        <v>0</v>
      </c>
      <c r="E940" s="5">
        <v>0</v>
      </c>
      <c r="F940" s="4">
        <v>1</v>
      </c>
      <c r="G940" s="5">
        <v>1.82</v>
      </c>
      <c r="H940" s="4">
        <v>0</v>
      </c>
    </row>
    <row r="941" spans="1:8" x14ac:dyDescent="0.2">
      <c r="A941" s="2" t="s">
        <v>200</v>
      </c>
      <c r="B941" s="4">
        <v>17</v>
      </c>
      <c r="C941" s="5">
        <v>13.82</v>
      </c>
      <c r="D941" s="4">
        <v>13</v>
      </c>
      <c r="E941" s="5">
        <v>20</v>
      </c>
      <c r="F941" s="4">
        <v>4</v>
      </c>
      <c r="G941" s="5">
        <v>7.27</v>
      </c>
      <c r="H941" s="4">
        <v>0</v>
      </c>
    </row>
    <row r="942" spans="1:8" x14ac:dyDescent="0.2">
      <c r="A942" s="2" t="s">
        <v>201</v>
      </c>
      <c r="B942" s="4">
        <v>23</v>
      </c>
      <c r="C942" s="5">
        <v>18.7</v>
      </c>
      <c r="D942" s="4">
        <v>20</v>
      </c>
      <c r="E942" s="5">
        <v>30.77</v>
      </c>
      <c r="F942" s="4">
        <v>2</v>
      </c>
      <c r="G942" s="5">
        <v>3.64</v>
      </c>
      <c r="H942" s="4">
        <v>0</v>
      </c>
    </row>
    <row r="943" spans="1:8" x14ac:dyDescent="0.2">
      <c r="A943" s="2" t="s">
        <v>202</v>
      </c>
      <c r="B943" s="4">
        <v>2</v>
      </c>
      <c r="C943" s="5">
        <v>1.63</v>
      </c>
      <c r="D943" s="4">
        <v>2</v>
      </c>
      <c r="E943" s="5">
        <v>3.08</v>
      </c>
      <c r="F943" s="4">
        <v>0</v>
      </c>
      <c r="G943" s="5">
        <v>0</v>
      </c>
      <c r="H943" s="4">
        <v>0</v>
      </c>
    </row>
    <row r="944" spans="1:8" x14ac:dyDescent="0.2">
      <c r="A944" s="2" t="s">
        <v>203</v>
      </c>
      <c r="B944" s="4">
        <v>4</v>
      </c>
      <c r="C944" s="5">
        <v>3.25</v>
      </c>
      <c r="D944" s="4">
        <v>2</v>
      </c>
      <c r="E944" s="5">
        <v>3.08</v>
      </c>
      <c r="F944" s="4">
        <v>2</v>
      </c>
      <c r="G944" s="5">
        <v>3.64</v>
      </c>
      <c r="H944" s="4">
        <v>0</v>
      </c>
    </row>
    <row r="945" spans="1:8" x14ac:dyDescent="0.2">
      <c r="A945" s="2" t="s">
        <v>204</v>
      </c>
      <c r="B945" s="4">
        <v>6</v>
      </c>
      <c r="C945" s="5">
        <v>4.88</v>
      </c>
      <c r="D945" s="4">
        <v>1</v>
      </c>
      <c r="E945" s="5">
        <v>1.54</v>
      </c>
      <c r="F945" s="4">
        <v>5</v>
      </c>
      <c r="G945" s="5">
        <v>9.09</v>
      </c>
      <c r="H945" s="4">
        <v>0</v>
      </c>
    </row>
    <row r="946" spans="1:8" x14ac:dyDescent="0.2">
      <c r="A946" s="1" t="s">
        <v>59</v>
      </c>
      <c r="B946" s="4">
        <v>114</v>
      </c>
      <c r="C946" s="5">
        <v>100.00000000000001</v>
      </c>
      <c r="D946" s="4">
        <v>50</v>
      </c>
      <c r="E946" s="5">
        <v>100</v>
      </c>
      <c r="F946" s="4">
        <v>54</v>
      </c>
      <c r="G946" s="5">
        <v>99.98</v>
      </c>
      <c r="H946" s="4">
        <v>0</v>
      </c>
    </row>
    <row r="947" spans="1:8" x14ac:dyDescent="0.2">
      <c r="A947" s="2" t="s">
        <v>190</v>
      </c>
      <c r="B947" s="4">
        <v>1</v>
      </c>
      <c r="C947" s="5">
        <v>0.88</v>
      </c>
      <c r="D947" s="4">
        <v>0</v>
      </c>
      <c r="E947" s="5">
        <v>0</v>
      </c>
      <c r="F947" s="4">
        <v>1</v>
      </c>
      <c r="G947" s="5">
        <v>1.85</v>
      </c>
      <c r="H947" s="4">
        <v>0</v>
      </c>
    </row>
    <row r="948" spans="1:8" x14ac:dyDescent="0.2">
      <c r="A948" s="2" t="s">
        <v>191</v>
      </c>
      <c r="B948" s="4">
        <v>15</v>
      </c>
      <c r="C948" s="5">
        <v>13.16</v>
      </c>
      <c r="D948" s="4">
        <v>3</v>
      </c>
      <c r="E948" s="5">
        <v>6</v>
      </c>
      <c r="F948" s="4">
        <v>12</v>
      </c>
      <c r="G948" s="5">
        <v>22.22</v>
      </c>
      <c r="H948" s="4">
        <v>0</v>
      </c>
    </row>
    <row r="949" spans="1:8" x14ac:dyDescent="0.2">
      <c r="A949" s="2" t="s">
        <v>192</v>
      </c>
      <c r="B949" s="4">
        <v>10</v>
      </c>
      <c r="C949" s="5">
        <v>8.77</v>
      </c>
      <c r="D949" s="4">
        <v>4</v>
      </c>
      <c r="E949" s="5">
        <v>8</v>
      </c>
      <c r="F949" s="4">
        <v>6</v>
      </c>
      <c r="G949" s="5">
        <v>11.11</v>
      </c>
      <c r="H949" s="4">
        <v>0</v>
      </c>
    </row>
    <row r="950" spans="1:8" x14ac:dyDescent="0.2">
      <c r="A950" s="2" t="s">
        <v>193</v>
      </c>
      <c r="B950" s="4">
        <v>1</v>
      </c>
      <c r="C950" s="5">
        <v>0.88</v>
      </c>
      <c r="D950" s="4">
        <v>0</v>
      </c>
      <c r="E950" s="5">
        <v>0</v>
      </c>
      <c r="F950" s="4">
        <v>0</v>
      </c>
      <c r="G950" s="5">
        <v>0</v>
      </c>
      <c r="H950" s="4">
        <v>0</v>
      </c>
    </row>
    <row r="951" spans="1:8" x14ac:dyDescent="0.2">
      <c r="A951" s="2" t="s">
        <v>194</v>
      </c>
      <c r="B951" s="4">
        <v>0</v>
      </c>
      <c r="C951" s="5">
        <v>0</v>
      </c>
      <c r="D951" s="4">
        <v>0</v>
      </c>
      <c r="E951" s="5">
        <v>0</v>
      </c>
      <c r="F951" s="4">
        <v>0</v>
      </c>
      <c r="G951" s="5">
        <v>0</v>
      </c>
      <c r="H951" s="4">
        <v>0</v>
      </c>
    </row>
    <row r="952" spans="1:8" x14ac:dyDescent="0.2">
      <c r="A952" s="2" t="s">
        <v>195</v>
      </c>
      <c r="B952" s="4">
        <v>3</v>
      </c>
      <c r="C952" s="5">
        <v>2.63</v>
      </c>
      <c r="D952" s="4">
        <v>1</v>
      </c>
      <c r="E952" s="5">
        <v>2</v>
      </c>
      <c r="F952" s="4">
        <v>2</v>
      </c>
      <c r="G952" s="5">
        <v>3.7</v>
      </c>
      <c r="H952" s="4">
        <v>0</v>
      </c>
    </row>
    <row r="953" spans="1:8" x14ac:dyDescent="0.2">
      <c r="A953" s="2" t="s">
        <v>196</v>
      </c>
      <c r="B953" s="4">
        <v>31</v>
      </c>
      <c r="C953" s="5">
        <v>27.19</v>
      </c>
      <c r="D953" s="4">
        <v>13</v>
      </c>
      <c r="E953" s="5">
        <v>26</v>
      </c>
      <c r="F953" s="4">
        <v>18</v>
      </c>
      <c r="G953" s="5">
        <v>33.33</v>
      </c>
      <c r="H953" s="4">
        <v>0</v>
      </c>
    </row>
    <row r="954" spans="1:8" x14ac:dyDescent="0.2">
      <c r="A954" s="2" t="s">
        <v>197</v>
      </c>
      <c r="B954" s="4">
        <v>1</v>
      </c>
      <c r="C954" s="5">
        <v>0.88</v>
      </c>
      <c r="D954" s="4">
        <v>0</v>
      </c>
      <c r="E954" s="5">
        <v>0</v>
      </c>
      <c r="F954" s="4">
        <v>1</v>
      </c>
      <c r="G954" s="5">
        <v>1.85</v>
      </c>
      <c r="H954" s="4">
        <v>0</v>
      </c>
    </row>
    <row r="955" spans="1:8" x14ac:dyDescent="0.2">
      <c r="A955" s="2" t="s">
        <v>198</v>
      </c>
      <c r="B955" s="4">
        <v>7</v>
      </c>
      <c r="C955" s="5">
        <v>6.14</v>
      </c>
      <c r="D955" s="4">
        <v>6</v>
      </c>
      <c r="E955" s="5">
        <v>12</v>
      </c>
      <c r="F955" s="4">
        <v>0</v>
      </c>
      <c r="G955" s="5">
        <v>0</v>
      </c>
      <c r="H955" s="4">
        <v>0</v>
      </c>
    </row>
    <row r="956" spans="1:8" x14ac:dyDescent="0.2">
      <c r="A956" s="2" t="s">
        <v>199</v>
      </c>
      <c r="B956" s="4">
        <v>2</v>
      </c>
      <c r="C956" s="5">
        <v>1.75</v>
      </c>
      <c r="D956" s="4">
        <v>1</v>
      </c>
      <c r="E956" s="5">
        <v>2</v>
      </c>
      <c r="F956" s="4">
        <v>1</v>
      </c>
      <c r="G956" s="5">
        <v>1.85</v>
      </c>
      <c r="H956" s="4">
        <v>0</v>
      </c>
    </row>
    <row r="957" spans="1:8" x14ac:dyDescent="0.2">
      <c r="A957" s="2" t="s">
        <v>200</v>
      </c>
      <c r="B957" s="4">
        <v>15</v>
      </c>
      <c r="C957" s="5">
        <v>13.16</v>
      </c>
      <c r="D957" s="4">
        <v>11</v>
      </c>
      <c r="E957" s="5">
        <v>22</v>
      </c>
      <c r="F957" s="4">
        <v>4</v>
      </c>
      <c r="G957" s="5">
        <v>7.41</v>
      </c>
      <c r="H957" s="4">
        <v>0</v>
      </c>
    </row>
    <row r="958" spans="1:8" x14ac:dyDescent="0.2">
      <c r="A958" s="2" t="s">
        <v>201</v>
      </c>
      <c r="B958" s="4">
        <v>14</v>
      </c>
      <c r="C958" s="5">
        <v>12.28</v>
      </c>
      <c r="D958" s="4">
        <v>10</v>
      </c>
      <c r="E958" s="5">
        <v>20</v>
      </c>
      <c r="F958" s="4">
        <v>2</v>
      </c>
      <c r="G958" s="5">
        <v>3.7</v>
      </c>
      <c r="H958" s="4">
        <v>0</v>
      </c>
    </row>
    <row r="959" spans="1:8" x14ac:dyDescent="0.2">
      <c r="A959" s="2" t="s">
        <v>202</v>
      </c>
      <c r="B959" s="4">
        <v>4</v>
      </c>
      <c r="C959" s="5">
        <v>3.51</v>
      </c>
      <c r="D959" s="4">
        <v>0</v>
      </c>
      <c r="E959" s="5">
        <v>0</v>
      </c>
      <c r="F959" s="4">
        <v>0</v>
      </c>
      <c r="G959" s="5">
        <v>0</v>
      </c>
      <c r="H959" s="4">
        <v>0</v>
      </c>
    </row>
    <row r="960" spans="1:8" x14ac:dyDescent="0.2">
      <c r="A960" s="2" t="s">
        <v>203</v>
      </c>
      <c r="B960" s="4">
        <v>3</v>
      </c>
      <c r="C960" s="5">
        <v>2.63</v>
      </c>
      <c r="D960" s="4">
        <v>1</v>
      </c>
      <c r="E960" s="5">
        <v>2</v>
      </c>
      <c r="F960" s="4">
        <v>2</v>
      </c>
      <c r="G960" s="5">
        <v>3.7</v>
      </c>
      <c r="H960" s="4">
        <v>0</v>
      </c>
    </row>
    <row r="961" spans="1:8" x14ac:dyDescent="0.2">
      <c r="A961" s="2" t="s">
        <v>204</v>
      </c>
      <c r="B961" s="4">
        <v>7</v>
      </c>
      <c r="C961" s="5">
        <v>6.14</v>
      </c>
      <c r="D961" s="4">
        <v>0</v>
      </c>
      <c r="E961" s="5">
        <v>0</v>
      </c>
      <c r="F961" s="4">
        <v>5</v>
      </c>
      <c r="G961" s="5">
        <v>9.26</v>
      </c>
      <c r="H961" s="4">
        <v>0</v>
      </c>
    </row>
    <row r="962" spans="1:8" x14ac:dyDescent="0.2">
      <c r="A962" s="1" t="s">
        <v>60</v>
      </c>
      <c r="B962" s="4">
        <v>115</v>
      </c>
      <c r="C962" s="5">
        <v>100.01000000000002</v>
      </c>
      <c r="D962" s="4">
        <v>55</v>
      </c>
      <c r="E962" s="5">
        <v>100</v>
      </c>
      <c r="F962" s="4">
        <v>52</v>
      </c>
      <c r="G962" s="5">
        <v>99.990000000000009</v>
      </c>
      <c r="H962" s="4">
        <v>1</v>
      </c>
    </row>
    <row r="963" spans="1:8" x14ac:dyDescent="0.2">
      <c r="A963" s="2" t="s">
        <v>190</v>
      </c>
      <c r="B963" s="4">
        <v>0</v>
      </c>
      <c r="C963" s="5">
        <v>0</v>
      </c>
      <c r="D963" s="4">
        <v>0</v>
      </c>
      <c r="E963" s="5">
        <v>0</v>
      </c>
      <c r="F963" s="4">
        <v>0</v>
      </c>
      <c r="G963" s="5">
        <v>0</v>
      </c>
      <c r="H963" s="4">
        <v>0</v>
      </c>
    </row>
    <row r="964" spans="1:8" x14ac:dyDescent="0.2">
      <c r="A964" s="2" t="s">
        <v>191</v>
      </c>
      <c r="B964" s="4">
        <v>17</v>
      </c>
      <c r="C964" s="5">
        <v>14.78</v>
      </c>
      <c r="D964" s="4">
        <v>5</v>
      </c>
      <c r="E964" s="5">
        <v>9.09</v>
      </c>
      <c r="F964" s="4">
        <v>12</v>
      </c>
      <c r="G964" s="5">
        <v>23.08</v>
      </c>
      <c r="H964" s="4">
        <v>0</v>
      </c>
    </row>
    <row r="965" spans="1:8" x14ac:dyDescent="0.2">
      <c r="A965" s="2" t="s">
        <v>192</v>
      </c>
      <c r="B965" s="4">
        <v>9</v>
      </c>
      <c r="C965" s="5">
        <v>7.83</v>
      </c>
      <c r="D965" s="4">
        <v>1</v>
      </c>
      <c r="E965" s="5">
        <v>1.82</v>
      </c>
      <c r="F965" s="4">
        <v>8</v>
      </c>
      <c r="G965" s="5">
        <v>15.38</v>
      </c>
      <c r="H965" s="4">
        <v>0</v>
      </c>
    </row>
    <row r="966" spans="1:8" x14ac:dyDescent="0.2">
      <c r="A966" s="2" t="s">
        <v>193</v>
      </c>
      <c r="B966" s="4">
        <v>1</v>
      </c>
      <c r="C966" s="5">
        <v>0.87</v>
      </c>
      <c r="D966" s="4">
        <v>0</v>
      </c>
      <c r="E966" s="5">
        <v>0</v>
      </c>
      <c r="F966" s="4">
        <v>0</v>
      </c>
      <c r="G966" s="5">
        <v>0</v>
      </c>
      <c r="H966" s="4">
        <v>0</v>
      </c>
    </row>
    <row r="967" spans="1:8" x14ac:dyDescent="0.2">
      <c r="A967" s="2" t="s">
        <v>194</v>
      </c>
      <c r="B967" s="4">
        <v>1</v>
      </c>
      <c r="C967" s="5">
        <v>0.87</v>
      </c>
      <c r="D967" s="4">
        <v>0</v>
      </c>
      <c r="E967" s="5">
        <v>0</v>
      </c>
      <c r="F967" s="4">
        <v>1</v>
      </c>
      <c r="G967" s="5">
        <v>1.92</v>
      </c>
      <c r="H967" s="4">
        <v>0</v>
      </c>
    </row>
    <row r="968" spans="1:8" x14ac:dyDescent="0.2">
      <c r="A968" s="2" t="s">
        <v>195</v>
      </c>
      <c r="B968" s="4">
        <v>1</v>
      </c>
      <c r="C968" s="5">
        <v>0.87</v>
      </c>
      <c r="D968" s="4">
        <v>0</v>
      </c>
      <c r="E968" s="5">
        <v>0</v>
      </c>
      <c r="F968" s="4">
        <v>1</v>
      </c>
      <c r="G968" s="5">
        <v>1.92</v>
      </c>
      <c r="H968" s="4">
        <v>0</v>
      </c>
    </row>
    <row r="969" spans="1:8" x14ac:dyDescent="0.2">
      <c r="A969" s="2" t="s">
        <v>196</v>
      </c>
      <c r="B969" s="4">
        <v>31</v>
      </c>
      <c r="C969" s="5">
        <v>26.96</v>
      </c>
      <c r="D969" s="4">
        <v>15</v>
      </c>
      <c r="E969" s="5">
        <v>27.27</v>
      </c>
      <c r="F969" s="4">
        <v>15</v>
      </c>
      <c r="G969" s="5">
        <v>28.85</v>
      </c>
      <c r="H969" s="4">
        <v>1</v>
      </c>
    </row>
    <row r="970" spans="1:8" x14ac:dyDescent="0.2">
      <c r="A970" s="2" t="s">
        <v>197</v>
      </c>
      <c r="B970" s="4">
        <v>0</v>
      </c>
      <c r="C970" s="5">
        <v>0</v>
      </c>
      <c r="D970" s="4">
        <v>0</v>
      </c>
      <c r="E970" s="5">
        <v>0</v>
      </c>
      <c r="F970" s="4">
        <v>0</v>
      </c>
      <c r="G970" s="5">
        <v>0</v>
      </c>
      <c r="H970" s="4">
        <v>0</v>
      </c>
    </row>
    <row r="971" spans="1:8" x14ac:dyDescent="0.2">
      <c r="A971" s="2" t="s">
        <v>198</v>
      </c>
      <c r="B971" s="4">
        <v>1</v>
      </c>
      <c r="C971" s="5">
        <v>0.87</v>
      </c>
      <c r="D971" s="4">
        <v>0</v>
      </c>
      <c r="E971" s="5">
        <v>0</v>
      </c>
      <c r="F971" s="4">
        <v>0</v>
      </c>
      <c r="G971" s="5">
        <v>0</v>
      </c>
      <c r="H971" s="4">
        <v>0</v>
      </c>
    </row>
    <row r="972" spans="1:8" x14ac:dyDescent="0.2">
      <c r="A972" s="2" t="s">
        <v>199</v>
      </c>
      <c r="B972" s="4">
        <v>2</v>
      </c>
      <c r="C972" s="5">
        <v>1.74</v>
      </c>
      <c r="D972" s="4">
        <v>1</v>
      </c>
      <c r="E972" s="5">
        <v>1.82</v>
      </c>
      <c r="F972" s="4">
        <v>1</v>
      </c>
      <c r="G972" s="5">
        <v>1.92</v>
      </c>
      <c r="H972" s="4">
        <v>0</v>
      </c>
    </row>
    <row r="973" spans="1:8" x14ac:dyDescent="0.2">
      <c r="A973" s="2" t="s">
        <v>200</v>
      </c>
      <c r="B973" s="4">
        <v>14</v>
      </c>
      <c r="C973" s="5">
        <v>12.17</v>
      </c>
      <c r="D973" s="4">
        <v>11</v>
      </c>
      <c r="E973" s="5">
        <v>20</v>
      </c>
      <c r="F973" s="4">
        <v>3</v>
      </c>
      <c r="G973" s="5">
        <v>5.77</v>
      </c>
      <c r="H973" s="4">
        <v>0</v>
      </c>
    </row>
    <row r="974" spans="1:8" x14ac:dyDescent="0.2">
      <c r="A974" s="2" t="s">
        <v>201</v>
      </c>
      <c r="B974" s="4">
        <v>18</v>
      </c>
      <c r="C974" s="5">
        <v>15.65</v>
      </c>
      <c r="D974" s="4">
        <v>16</v>
      </c>
      <c r="E974" s="5">
        <v>29.09</v>
      </c>
      <c r="F974" s="4">
        <v>0</v>
      </c>
      <c r="G974" s="5">
        <v>0</v>
      </c>
      <c r="H974" s="4">
        <v>0</v>
      </c>
    </row>
    <row r="975" spans="1:8" x14ac:dyDescent="0.2">
      <c r="A975" s="2" t="s">
        <v>202</v>
      </c>
      <c r="B975" s="4">
        <v>4</v>
      </c>
      <c r="C975" s="5">
        <v>3.48</v>
      </c>
      <c r="D975" s="4">
        <v>3</v>
      </c>
      <c r="E975" s="5">
        <v>5.45</v>
      </c>
      <c r="F975" s="4">
        <v>0</v>
      </c>
      <c r="G975" s="5">
        <v>0</v>
      </c>
      <c r="H975" s="4">
        <v>0</v>
      </c>
    </row>
    <row r="976" spans="1:8" x14ac:dyDescent="0.2">
      <c r="A976" s="2" t="s">
        <v>203</v>
      </c>
      <c r="B976" s="4">
        <v>10</v>
      </c>
      <c r="C976" s="5">
        <v>8.6999999999999993</v>
      </c>
      <c r="D976" s="4">
        <v>2</v>
      </c>
      <c r="E976" s="5">
        <v>3.64</v>
      </c>
      <c r="F976" s="4">
        <v>7</v>
      </c>
      <c r="G976" s="5">
        <v>13.46</v>
      </c>
      <c r="H976" s="4">
        <v>0</v>
      </c>
    </row>
    <row r="977" spans="1:8" x14ac:dyDescent="0.2">
      <c r="A977" s="2" t="s">
        <v>204</v>
      </c>
      <c r="B977" s="4">
        <v>6</v>
      </c>
      <c r="C977" s="5">
        <v>5.22</v>
      </c>
      <c r="D977" s="4">
        <v>1</v>
      </c>
      <c r="E977" s="5">
        <v>1.82</v>
      </c>
      <c r="F977" s="4">
        <v>4</v>
      </c>
      <c r="G977" s="5">
        <v>7.69</v>
      </c>
      <c r="H977" s="4">
        <v>0</v>
      </c>
    </row>
    <row r="978" spans="1:8" x14ac:dyDescent="0.2">
      <c r="A978" s="1" t="s">
        <v>61</v>
      </c>
      <c r="B978" s="4">
        <v>134</v>
      </c>
      <c r="C978" s="5">
        <v>100.01</v>
      </c>
      <c r="D978" s="4">
        <v>85</v>
      </c>
      <c r="E978" s="5">
        <v>100.01</v>
      </c>
      <c r="F978" s="4">
        <v>44</v>
      </c>
      <c r="G978" s="5">
        <v>100.00999999999999</v>
      </c>
      <c r="H978" s="4">
        <v>0</v>
      </c>
    </row>
    <row r="979" spans="1:8" x14ac:dyDescent="0.2">
      <c r="A979" s="2" t="s">
        <v>190</v>
      </c>
      <c r="B979" s="4">
        <v>0</v>
      </c>
      <c r="C979" s="5">
        <v>0</v>
      </c>
      <c r="D979" s="4">
        <v>0</v>
      </c>
      <c r="E979" s="5">
        <v>0</v>
      </c>
      <c r="F979" s="4">
        <v>0</v>
      </c>
      <c r="G979" s="5">
        <v>0</v>
      </c>
      <c r="H979" s="4">
        <v>0</v>
      </c>
    </row>
    <row r="980" spans="1:8" x14ac:dyDescent="0.2">
      <c r="A980" s="2" t="s">
        <v>191</v>
      </c>
      <c r="B980" s="4">
        <v>9</v>
      </c>
      <c r="C980" s="5">
        <v>6.72</v>
      </c>
      <c r="D980" s="4">
        <v>1</v>
      </c>
      <c r="E980" s="5">
        <v>1.18</v>
      </c>
      <c r="F980" s="4">
        <v>8</v>
      </c>
      <c r="G980" s="5">
        <v>18.18</v>
      </c>
      <c r="H980" s="4">
        <v>0</v>
      </c>
    </row>
    <row r="981" spans="1:8" x14ac:dyDescent="0.2">
      <c r="A981" s="2" t="s">
        <v>192</v>
      </c>
      <c r="B981" s="4">
        <v>10</v>
      </c>
      <c r="C981" s="5">
        <v>7.46</v>
      </c>
      <c r="D981" s="4">
        <v>4</v>
      </c>
      <c r="E981" s="5">
        <v>4.71</v>
      </c>
      <c r="F981" s="4">
        <v>6</v>
      </c>
      <c r="G981" s="5">
        <v>13.64</v>
      </c>
      <c r="H981" s="4">
        <v>0</v>
      </c>
    </row>
    <row r="982" spans="1:8" x14ac:dyDescent="0.2">
      <c r="A982" s="2" t="s">
        <v>193</v>
      </c>
      <c r="B982" s="4">
        <v>1</v>
      </c>
      <c r="C982" s="5">
        <v>0.75</v>
      </c>
      <c r="D982" s="4">
        <v>0</v>
      </c>
      <c r="E982" s="5">
        <v>0</v>
      </c>
      <c r="F982" s="4">
        <v>0</v>
      </c>
      <c r="G982" s="5">
        <v>0</v>
      </c>
      <c r="H982" s="4">
        <v>0</v>
      </c>
    </row>
    <row r="983" spans="1:8" x14ac:dyDescent="0.2">
      <c r="A983" s="2" t="s">
        <v>194</v>
      </c>
      <c r="B983" s="4">
        <v>0</v>
      </c>
      <c r="C983" s="5">
        <v>0</v>
      </c>
      <c r="D983" s="4">
        <v>0</v>
      </c>
      <c r="E983" s="5">
        <v>0</v>
      </c>
      <c r="F983" s="4">
        <v>0</v>
      </c>
      <c r="G983" s="5">
        <v>0</v>
      </c>
      <c r="H983" s="4">
        <v>0</v>
      </c>
    </row>
    <row r="984" spans="1:8" x14ac:dyDescent="0.2">
      <c r="A984" s="2" t="s">
        <v>195</v>
      </c>
      <c r="B984" s="4">
        <v>1</v>
      </c>
      <c r="C984" s="5">
        <v>0.75</v>
      </c>
      <c r="D984" s="4">
        <v>0</v>
      </c>
      <c r="E984" s="5">
        <v>0</v>
      </c>
      <c r="F984" s="4">
        <v>1</v>
      </c>
      <c r="G984" s="5">
        <v>2.27</v>
      </c>
      <c r="H984" s="4">
        <v>0</v>
      </c>
    </row>
    <row r="985" spans="1:8" x14ac:dyDescent="0.2">
      <c r="A985" s="2" t="s">
        <v>196</v>
      </c>
      <c r="B985" s="4">
        <v>39</v>
      </c>
      <c r="C985" s="5">
        <v>29.1</v>
      </c>
      <c r="D985" s="4">
        <v>22</v>
      </c>
      <c r="E985" s="5">
        <v>25.88</v>
      </c>
      <c r="F985" s="4">
        <v>17</v>
      </c>
      <c r="G985" s="5">
        <v>38.64</v>
      </c>
      <c r="H985" s="4">
        <v>0</v>
      </c>
    </row>
    <row r="986" spans="1:8" x14ac:dyDescent="0.2">
      <c r="A986" s="2" t="s">
        <v>197</v>
      </c>
      <c r="B986" s="4">
        <v>1</v>
      </c>
      <c r="C986" s="5">
        <v>0.75</v>
      </c>
      <c r="D986" s="4">
        <v>0</v>
      </c>
      <c r="E986" s="5">
        <v>0</v>
      </c>
      <c r="F986" s="4">
        <v>1</v>
      </c>
      <c r="G986" s="5">
        <v>2.27</v>
      </c>
      <c r="H986" s="4">
        <v>0</v>
      </c>
    </row>
    <row r="987" spans="1:8" x14ac:dyDescent="0.2">
      <c r="A987" s="2" t="s">
        <v>198</v>
      </c>
      <c r="B987" s="4">
        <v>8</v>
      </c>
      <c r="C987" s="5">
        <v>5.97</v>
      </c>
      <c r="D987" s="4">
        <v>5</v>
      </c>
      <c r="E987" s="5">
        <v>5.88</v>
      </c>
      <c r="F987" s="4">
        <v>2</v>
      </c>
      <c r="G987" s="5">
        <v>4.55</v>
      </c>
      <c r="H987" s="4">
        <v>0</v>
      </c>
    </row>
    <row r="988" spans="1:8" x14ac:dyDescent="0.2">
      <c r="A988" s="2" t="s">
        <v>199</v>
      </c>
      <c r="B988" s="4">
        <v>2</v>
      </c>
      <c r="C988" s="5">
        <v>1.49</v>
      </c>
      <c r="D988" s="4">
        <v>1</v>
      </c>
      <c r="E988" s="5">
        <v>1.18</v>
      </c>
      <c r="F988" s="4">
        <v>0</v>
      </c>
      <c r="G988" s="5">
        <v>0</v>
      </c>
      <c r="H988" s="4">
        <v>0</v>
      </c>
    </row>
    <row r="989" spans="1:8" x14ac:dyDescent="0.2">
      <c r="A989" s="2" t="s">
        <v>200</v>
      </c>
      <c r="B989" s="4">
        <v>40</v>
      </c>
      <c r="C989" s="5">
        <v>29.85</v>
      </c>
      <c r="D989" s="4">
        <v>37</v>
      </c>
      <c r="E989" s="5">
        <v>43.53</v>
      </c>
      <c r="F989" s="4">
        <v>3</v>
      </c>
      <c r="G989" s="5">
        <v>6.82</v>
      </c>
      <c r="H989" s="4">
        <v>0</v>
      </c>
    </row>
    <row r="990" spans="1:8" x14ac:dyDescent="0.2">
      <c r="A990" s="2" t="s">
        <v>201</v>
      </c>
      <c r="B990" s="4">
        <v>13</v>
      </c>
      <c r="C990" s="5">
        <v>9.6999999999999993</v>
      </c>
      <c r="D990" s="4">
        <v>12</v>
      </c>
      <c r="E990" s="5">
        <v>14.12</v>
      </c>
      <c r="F990" s="4">
        <v>1</v>
      </c>
      <c r="G990" s="5">
        <v>2.27</v>
      </c>
      <c r="H990" s="4">
        <v>0</v>
      </c>
    </row>
    <row r="991" spans="1:8" x14ac:dyDescent="0.2">
      <c r="A991" s="2" t="s">
        <v>202</v>
      </c>
      <c r="B991" s="4">
        <v>1</v>
      </c>
      <c r="C991" s="5">
        <v>0.75</v>
      </c>
      <c r="D991" s="4">
        <v>0</v>
      </c>
      <c r="E991" s="5">
        <v>0</v>
      </c>
      <c r="F991" s="4">
        <v>0</v>
      </c>
      <c r="G991" s="5">
        <v>0</v>
      </c>
      <c r="H991" s="4">
        <v>0</v>
      </c>
    </row>
    <row r="992" spans="1:8" x14ac:dyDescent="0.2">
      <c r="A992" s="2" t="s">
        <v>203</v>
      </c>
      <c r="B992" s="4">
        <v>3</v>
      </c>
      <c r="C992" s="5">
        <v>2.2400000000000002</v>
      </c>
      <c r="D992" s="4">
        <v>1</v>
      </c>
      <c r="E992" s="5">
        <v>1.18</v>
      </c>
      <c r="F992" s="4">
        <v>2</v>
      </c>
      <c r="G992" s="5">
        <v>4.55</v>
      </c>
      <c r="H992" s="4">
        <v>0</v>
      </c>
    </row>
    <row r="993" spans="1:8" x14ac:dyDescent="0.2">
      <c r="A993" s="2" t="s">
        <v>204</v>
      </c>
      <c r="B993" s="4">
        <v>6</v>
      </c>
      <c r="C993" s="5">
        <v>4.4800000000000004</v>
      </c>
      <c r="D993" s="4">
        <v>2</v>
      </c>
      <c r="E993" s="5">
        <v>2.35</v>
      </c>
      <c r="F993" s="4">
        <v>3</v>
      </c>
      <c r="G993" s="5">
        <v>6.82</v>
      </c>
      <c r="H993" s="4">
        <v>0</v>
      </c>
    </row>
    <row r="994" spans="1:8" x14ac:dyDescent="0.2">
      <c r="A994" s="1" t="s">
        <v>62</v>
      </c>
      <c r="B994" s="4">
        <v>157</v>
      </c>
      <c r="C994" s="5">
        <v>100.00000000000001</v>
      </c>
      <c r="D994" s="4">
        <v>93</v>
      </c>
      <c r="E994" s="5">
        <v>100.01</v>
      </c>
      <c r="F994" s="4">
        <v>56</v>
      </c>
      <c r="G994" s="5">
        <v>100.02000000000002</v>
      </c>
      <c r="H994" s="4">
        <v>2</v>
      </c>
    </row>
    <row r="995" spans="1:8" x14ac:dyDescent="0.2">
      <c r="A995" s="2" t="s">
        <v>190</v>
      </c>
      <c r="B995" s="4">
        <v>0</v>
      </c>
      <c r="C995" s="5">
        <v>0</v>
      </c>
      <c r="D995" s="4">
        <v>0</v>
      </c>
      <c r="E995" s="5">
        <v>0</v>
      </c>
      <c r="F995" s="4">
        <v>0</v>
      </c>
      <c r="G995" s="5">
        <v>0</v>
      </c>
      <c r="H995" s="4">
        <v>0</v>
      </c>
    </row>
    <row r="996" spans="1:8" x14ac:dyDescent="0.2">
      <c r="A996" s="2" t="s">
        <v>191</v>
      </c>
      <c r="B996" s="4">
        <v>24</v>
      </c>
      <c r="C996" s="5">
        <v>15.29</v>
      </c>
      <c r="D996" s="4">
        <v>7</v>
      </c>
      <c r="E996" s="5">
        <v>7.53</v>
      </c>
      <c r="F996" s="4">
        <v>17</v>
      </c>
      <c r="G996" s="5">
        <v>30.36</v>
      </c>
      <c r="H996" s="4">
        <v>0</v>
      </c>
    </row>
    <row r="997" spans="1:8" x14ac:dyDescent="0.2">
      <c r="A997" s="2" t="s">
        <v>192</v>
      </c>
      <c r="B997" s="4">
        <v>9</v>
      </c>
      <c r="C997" s="5">
        <v>5.73</v>
      </c>
      <c r="D997" s="4">
        <v>3</v>
      </c>
      <c r="E997" s="5">
        <v>3.23</v>
      </c>
      <c r="F997" s="4">
        <v>6</v>
      </c>
      <c r="G997" s="5">
        <v>10.71</v>
      </c>
      <c r="H997" s="4">
        <v>0</v>
      </c>
    </row>
    <row r="998" spans="1:8" x14ac:dyDescent="0.2">
      <c r="A998" s="2" t="s">
        <v>193</v>
      </c>
      <c r="B998" s="4">
        <v>3</v>
      </c>
      <c r="C998" s="5">
        <v>1.91</v>
      </c>
      <c r="D998" s="4">
        <v>0</v>
      </c>
      <c r="E998" s="5">
        <v>0</v>
      </c>
      <c r="F998" s="4">
        <v>1</v>
      </c>
      <c r="G998" s="5">
        <v>1.79</v>
      </c>
      <c r="H998" s="4">
        <v>0</v>
      </c>
    </row>
    <row r="999" spans="1:8" x14ac:dyDescent="0.2">
      <c r="A999" s="2" t="s">
        <v>194</v>
      </c>
      <c r="B999" s="4">
        <v>0</v>
      </c>
      <c r="C999" s="5">
        <v>0</v>
      </c>
      <c r="D999" s="4">
        <v>0</v>
      </c>
      <c r="E999" s="5">
        <v>0</v>
      </c>
      <c r="F999" s="4">
        <v>0</v>
      </c>
      <c r="G999" s="5">
        <v>0</v>
      </c>
      <c r="H999" s="4">
        <v>0</v>
      </c>
    </row>
    <row r="1000" spans="1:8" x14ac:dyDescent="0.2">
      <c r="A1000" s="2" t="s">
        <v>195</v>
      </c>
      <c r="B1000" s="4">
        <v>1</v>
      </c>
      <c r="C1000" s="5">
        <v>0.64</v>
      </c>
      <c r="D1000" s="4">
        <v>0</v>
      </c>
      <c r="E1000" s="5">
        <v>0</v>
      </c>
      <c r="F1000" s="4">
        <v>1</v>
      </c>
      <c r="G1000" s="5">
        <v>1.79</v>
      </c>
      <c r="H1000" s="4">
        <v>0</v>
      </c>
    </row>
    <row r="1001" spans="1:8" x14ac:dyDescent="0.2">
      <c r="A1001" s="2" t="s">
        <v>196</v>
      </c>
      <c r="B1001" s="4">
        <v>40</v>
      </c>
      <c r="C1001" s="5">
        <v>25.48</v>
      </c>
      <c r="D1001" s="4">
        <v>19</v>
      </c>
      <c r="E1001" s="5">
        <v>20.43</v>
      </c>
      <c r="F1001" s="4">
        <v>21</v>
      </c>
      <c r="G1001" s="5">
        <v>37.5</v>
      </c>
      <c r="H1001" s="4">
        <v>0</v>
      </c>
    </row>
    <row r="1002" spans="1:8" x14ac:dyDescent="0.2">
      <c r="A1002" s="2" t="s">
        <v>197</v>
      </c>
      <c r="B1002" s="4">
        <v>0</v>
      </c>
      <c r="C1002" s="5">
        <v>0</v>
      </c>
      <c r="D1002" s="4">
        <v>0</v>
      </c>
      <c r="E1002" s="5">
        <v>0</v>
      </c>
      <c r="F1002" s="4">
        <v>0</v>
      </c>
      <c r="G1002" s="5">
        <v>0</v>
      </c>
      <c r="H1002" s="4">
        <v>0</v>
      </c>
    </row>
    <row r="1003" spans="1:8" x14ac:dyDescent="0.2">
      <c r="A1003" s="2" t="s">
        <v>198</v>
      </c>
      <c r="B1003" s="4">
        <v>7</v>
      </c>
      <c r="C1003" s="5">
        <v>4.46</v>
      </c>
      <c r="D1003" s="4">
        <v>6</v>
      </c>
      <c r="E1003" s="5">
        <v>6.45</v>
      </c>
      <c r="F1003" s="4">
        <v>1</v>
      </c>
      <c r="G1003" s="5">
        <v>1.79</v>
      </c>
      <c r="H1003" s="4">
        <v>0</v>
      </c>
    </row>
    <row r="1004" spans="1:8" x14ac:dyDescent="0.2">
      <c r="A1004" s="2" t="s">
        <v>199</v>
      </c>
      <c r="B1004" s="4">
        <v>5</v>
      </c>
      <c r="C1004" s="5">
        <v>3.18</v>
      </c>
      <c r="D1004" s="4">
        <v>2</v>
      </c>
      <c r="E1004" s="5">
        <v>2.15</v>
      </c>
      <c r="F1004" s="4">
        <v>2</v>
      </c>
      <c r="G1004" s="5">
        <v>3.57</v>
      </c>
      <c r="H1004" s="4">
        <v>1</v>
      </c>
    </row>
    <row r="1005" spans="1:8" x14ac:dyDescent="0.2">
      <c r="A1005" s="2" t="s">
        <v>200</v>
      </c>
      <c r="B1005" s="4">
        <v>27</v>
      </c>
      <c r="C1005" s="5">
        <v>17.2</v>
      </c>
      <c r="D1005" s="4">
        <v>23</v>
      </c>
      <c r="E1005" s="5">
        <v>24.73</v>
      </c>
      <c r="F1005" s="4">
        <v>4</v>
      </c>
      <c r="G1005" s="5">
        <v>7.14</v>
      </c>
      <c r="H1005" s="4">
        <v>0</v>
      </c>
    </row>
    <row r="1006" spans="1:8" x14ac:dyDescent="0.2">
      <c r="A1006" s="2" t="s">
        <v>201</v>
      </c>
      <c r="B1006" s="4">
        <v>23</v>
      </c>
      <c r="C1006" s="5">
        <v>14.65</v>
      </c>
      <c r="D1006" s="4">
        <v>22</v>
      </c>
      <c r="E1006" s="5">
        <v>23.66</v>
      </c>
      <c r="F1006" s="4">
        <v>1</v>
      </c>
      <c r="G1006" s="5">
        <v>1.79</v>
      </c>
      <c r="H1006" s="4">
        <v>0</v>
      </c>
    </row>
    <row r="1007" spans="1:8" x14ac:dyDescent="0.2">
      <c r="A1007" s="2" t="s">
        <v>202</v>
      </c>
      <c r="B1007" s="4">
        <v>8</v>
      </c>
      <c r="C1007" s="5">
        <v>5.0999999999999996</v>
      </c>
      <c r="D1007" s="4">
        <v>6</v>
      </c>
      <c r="E1007" s="5">
        <v>6.45</v>
      </c>
      <c r="F1007" s="4">
        <v>0</v>
      </c>
      <c r="G1007" s="5">
        <v>0</v>
      </c>
      <c r="H1007" s="4">
        <v>0</v>
      </c>
    </row>
    <row r="1008" spans="1:8" x14ac:dyDescent="0.2">
      <c r="A1008" s="2" t="s">
        <v>203</v>
      </c>
      <c r="B1008" s="4">
        <v>5</v>
      </c>
      <c r="C1008" s="5">
        <v>3.18</v>
      </c>
      <c r="D1008" s="4">
        <v>2</v>
      </c>
      <c r="E1008" s="5">
        <v>2.15</v>
      </c>
      <c r="F1008" s="4">
        <v>1</v>
      </c>
      <c r="G1008" s="5">
        <v>1.79</v>
      </c>
      <c r="H1008" s="4">
        <v>0</v>
      </c>
    </row>
    <row r="1009" spans="1:8" x14ac:dyDescent="0.2">
      <c r="A1009" s="2" t="s">
        <v>204</v>
      </c>
      <c r="B1009" s="4">
        <v>5</v>
      </c>
      <c r="C1009" s="5">
        <v>3.18</v>
      </c>
      <c r="D1009" s="4">
        <v>3</v>
      </c>
      <c r="E1009" s="5">
        <v>3.23</v>
      </c>
      <c r="F1009" s="4">
        <v>1</v>
      </c>
      <c r="G1009" s="5">
        <v>1.79</v>
      </c>
      <c r="H1009" s="4">
        <v>1</v>
      </c>
    </row>
    <row r="1010" spans="1:8" x14ac:dyDescent="0.2">
      <c r="A1010" s="1" t="s">
        <v>63</v>
      </c>
      <c r="B1010" s="4">
        <v>291</v>
      </c>
      <c r="C1010" s="5">
        <v>99.990000000000009</v>
      </c>
      <c r="D1010" s="4">
        <v>169</v>
      </c>
      <c r="E1010" s="5">
        <v>99.990000000000009</v>
      </c>
      <c r="F1010" s="4">
        <v>102</v>
      </c>
      <c r="G1010" s="5">
        <v>99.980000000000018</v>
      </c>
      <c r="H1010" s="4">
        <v>1</v>
      </c>
    </row>
    <row r="1011" spans="1:8" x14ac:dyDescent="0.2">
      <c r="A1011" s="2" t="s">
        <v>190</v>
      </c>
      <c r="B1011" s="4">
        <v>1</v>
      </c>
      <c r="C1011" s="5">
        <v>0.34</v>
      </c>
      <c r="D1011" s="4">
        <v>0</v>
      </c>
      <c r="E1011" s="5">
        <v>0</v>
      </c>
      <c r="F1011" s="4">
        <v>1</v>
      </c>
      <c r="G1011" s="5">
        <v>0.98</v>
      </c>
      <c r="H1011" s="4">
        <v>0</v>
      </c>
    </row>
    <row r="1012" spans="1:8" x14ac:dyDescent="0.2">
      <c r="A1012" s="2" t="s">
        <v>191</v>
      </c>
      <c r="B1012" s="4">
        <v>47</v>
      </c>
      <c r="C1012" s="5">
        <v>16.149999999999999</v>
      </c>
      <c r="D1012" s="4">
        <v>18</v>
      </c>
      <c r="E1012" s="5">
        <v>10.65</v>
      </c>
      <c r="F1012" s="4">
        <v>29</v>
      </c>
      <c r="G1012" s="5">
        <v>28.43</v>
      </c>
      <c r="H1012" s="4">
        <v>0</v>
      </c>
    </row>
    <row r="1013" spans="1:8" x14ac:dyDescent="0.2">
      <c r="A1013" s="2" t="s">
        <v>192</v>
      </c>
      <c r="B1013" s="4">
        <v>16</v>
      </c>
      <c r="C1013" s="5">
        <v>5.5</v>
      </c>
      <c r="D1013" s="4">
        <v>7</v>
      </c>
      <c r="E1013" s="5">
        <v>4.1399999999999997</v>
      </c>
      <c r="F1013" s="4">
        <v>9</v>
      </c>
      <c r="G1013" s="5">
        <v>8.82</v>
      </c>
      <c r="H1013" s="4">
        <v>0</v>
      </c>
    </row>
    <row r="1014" spans="1:8" x14ac:dyDescent="0.2">
      <c r="A1014" s="2" t="s">
        <v>193</v>
      </c>
      <c r="B1014" s="4">
        <v>2</v>
      </c>
      <c r="C1014" s="5">
        <v>0.69</v>
      </c>
      <c r="D1014" s="4">
        <v>0</v>
      </c>
      <c r="E1014" s="5">
        <v>0</v>
      </c>
      <c r="F1014" s="4">
        <v>1</v>
      </c>
      <c r="G1014" s="5">
        <v>0.98</v>
      </c>
      <c r="H1014" s="4">
        <v>0</v>
      </c>
    </row>
    <row r="1015" spans="1:8" x14ac:dyDescent="0.2">
      <c r="A1015" s="2" t="s">
        <v>194</v>
      </c>
      <c r="B1015" s="4">
        <v>2</v>
      </c>
      <c r="C1015" s="5">
        <v>0.69</v>
      </c>
      <c r="D1015" s="4">
        <v>1</v>
      </c>
      <c r="E1015" s="5">
        <v>0.59</v>
      </c>
      <c r="F1015" s="4">
        <v>1</v>
      </c>
      <c r="G1015" s="5">
        <v>0.98</v>
      </c>
      <c r="H1015" s="4">
        <v>0</v>
      </c>
    </row>
    <row r="1016" spans="1:8" x14ac:dyDescent="0.2">
      <c r="A1016" s="2" t="s">
        <v>195</v>
      </c>
      <c r="B1016" s="4">
        <v>5</v>
      </c>
      <c r="C1016" s="5">
        <v>1.72</v>
      </c>
      <c r="D1016" s="4">
        <v>0</v>
      </c>
      <c r="E1016" s="5">
        <v>0</v>
      </c>
      <c r="F1016" s="4">
        <v>4</v>
      </c>
      <c r="G1016" s="5">
        <v>3.92</v>
      </c>
      <c r="H1016" s="4">
        <v>1</v>
      </c>
    </row>
    <row r="1017" spans="1:8" x14ac:dyDescent="0.2">
      <c r="A1017" s="2" t="s">
        <v>196</v>
      </c>
      <c r="B1017" s="4">
        <v>83</v>
      </c>
      <c r="C1017" s="5">
        <v>28.52</v>
      </c>
      <c r="D1017" s="4">
        <v>47</v>
      </c>
      <c r="E1017" s="5">
        <v>27.81</v>
      </c>
      <c r="F1017" s="4">
        <v>36</v>
      </c>
      <c r="G1017" s="5">
        <v>35.29</v>
      </c>
      <c r="H1017" s="4">
        <v>0</v>
      </c>
    </row>
    <row r="1018" spans="1:8" x14ac:dyDescent="0.2">
      <c r="A1018" s="2" t="s">
        <v>197</v>
      </c>
      <c r="B1018" s="4">
        <v>1</v>
      </c>
      <c r="C1018" s="5">
        <v>0.34</v>
      </c>
      <c r="D1018" s="4">
        <v>0</v>
      </c>
      <c r="E1018" s="5">
        <v>0</v>
      </c>
      <c r="F1018" s="4">
        <v>1</v>
      </c>
      <c r="G1018" s="5">
        <v>0.98</v>
      </c>
      <c r="H1018" s="4">
        <v>0</v>
      </c>
    </row>
    <row r="1019" spans="1:8" x14ac:dyDescent="0.2">
      <c r="A1019" s="2" t="s">
        <v>198</v>
      </c>
      <c r="B1019" s="4">
        <v>13</v>
      </c>
      <c r="C1019" s="5">
        <v>4.47</v>
      </c>
      <c r="D1019" s="4">
        <v>11</v>
      </c>
      <c r="E1019" s="5">
        <v>6.51</v>
      </c>
      <c r="F1019" s="4">
        <v>1</v>
      </c>
      <c r="G1019" s="5">
        <v>0.98</v>
      </c>
      <c r="H1019" s="4">
        <v>0</v>
      </c>
    </row>
    <row r="1020" spans="1:8" x14ac:dyDescent="0.2">
      <c r="A1020" s="2" t="s">
        <v>199</v>
      </c>
      <c r="B1020" s="4">
        <v>6</v>
      </c>
      <c r="C1020" s="5">
        <v>2.06</v>
      </c>
      <c r="D1020" s="4">
        <v>3</v>
      </c>
      <c r="E1020" s="5">
        <v>1.78</v>
      </c>
      <c r="F1020" s="4">
        <v>1</v>
      </c>
      <c r="G1020" s="5">
        <v>0.98</v>
      </c>
      <c r="H1020" s="4">
        <v>0</v>
      </c>
    </row>
    <row r="1021" spans="1:8" x14ac:dyDescent="0.2">
      <c r="A1021" s="2" t="s">
        <v>200</v>
      </c>
      <c r="B1021" s="4">
        <v>44</v>
      </c>
      <c r="C1021" s="5">
        <v>15.12</v>
      </c>
      <c r="D1021" s="4">
        <v>37</v>
      </c>
      <c r="E1021" s="5">
        <v>21.89</v>
      </c>
      <c r="F1021" s="4">
        <v>6</v>
      </c>
      <c r="G1021" s="5">
        <v>5.88</v>
      </c>
      <c r="H1021" s="4">
        <v>0</v>
      </c>
    </row>
    <row r="1022" spans="1:8" x14ac:dyDescent="0.2">
      <c r="A1022" s="2" t="s">
        <v>201</v>
      </c>
      <c r="B1022" s="4">
        <v>34</v>
      </c>
      <c r="C1022" s="5">
        <v>11.68</v>
      </c>
      <c r="D1022" s="4">
        <v>31</v>
      </c>
      <c r="E1022" s="5">
        <v>18.34</v>
      </c>
      <c r="F1022" s="4">
        <v>1</v>
      </c>
      <c r="G1022" s="5">
        <v>0.98</v>
      </c>
      <c r="H1022" s="4">
        <v>0</v>
      </c>
    </row>
    <row r="1023" spans="1:8" x14ac:dyDescent="0.2">
      <c r="A1023" s="2" t="s">
        <v>202</v>
      </c>
      <c r="B1023" s="4">
        <v>6</v>
      </c>
      <c r="C1023" s="5">
        <v>2.06</v>
      </c>
      <c r="D1023" s="4">
        <v>2</v>
      </c>
      <c r="E1023" s="5">
        <v>1.18</v>
      </c>
      <c r="F1023" s="4">
        <v>0</v>
      </c>
      <c r="G1023" s="5">
        <v>0</v>
      </c>
      <c r="H1023" s="4">
        <v>0</v>
      </c>
    </row>
    <row r="1024" spans="1:8" x14ac:dyDescent="0.2">
      <c r="A1024" s="2" t="s">
        <v>203</v>
      </c>
      <c r="B1024" s="4">
        <v>20</v>
      </c>
      <c r="C1024" s="5">
        <v>6.87</v>
      </c>
      <c r="D1024" s="4">
        <v>5</v>
      </c>
      <c r="E1024" s="5">
        <v>2.96</v>
      </c>
      <c r="F1024" s="4">
        <v>8</v>
      </c>
      <c r="G1024" s="5">
        <v>7.84</v>
      </c>
      <c r="H1024" s="4">
        <v>0</v>
      </c>
    </row>
    <row r="1025" spans="1:8" x14ac:dyDescent="0.2">
      <c r="A1025" s="2" t="s">
        <v>204</v>
      </c>
      <c r="B1025" s="4">
        <v>11</v>
      </c>
      <c r="C1025" s="5">
        <v>3.78</v>
      </c>
      <c r="D1025" s="4">
        <v>7</v>
      </c>
      <c r="E1025" s="5">
        <v>4.1399999999999997</v>
      </c>
      <c r="F1025" s="4">
        <v>3</v>
      </c>
      <c r="G1025" s="5">
        <v>2.94</v>
      </c>
      <c r="H1025" s="4">
        <v>0</v>
      </c>
    </row>
    <row r="1026" spans="1:8" x14ac:dyDescent="0.2">
      <c r="A1026" s="1" t="s">
        <v>64</v>
      </c>
      <c r="B1026" s="4">
        <v>44</v>
      </c>
      <c r="C1026" s="5">
        <v>99.999999999999986</v>
      </c>
      <c r="D1026" s="4">
        <v>29</v>
      </c>
      <c r="E1026" s="5">
        <v>100</v>
      </c>
      <c r="F1026" s="4">
        <v>14</v>
      </c>
      <c r="G1026" s="5">
        <v>100</v>
      </c>
      <c r="H1026" s="4">
        <v>0</v>
      </c>
    </row>
    <row r="1027" spans="1:8" x14ac:dyDescent="0.2">
      <c r="A1027" s="2" t="s">
        <v>190</v>
      </c>
      <c r="B1027" s="4">
        <v>0</v>
      </c>
      <c r="C1027" s="5">
        <v>0</v>
      </c>
      <c r="D1027" s="4">
        <v>0</v>
      </c>
      <c r="E1027" s="5">
        <v>0</v>
      </c>
      <c r="F1027" s="4">
        <v>0</v>
      </c>
      <c r="G1027" s="5">
        <v>0</v>
      </c>
      <c r="H1027" s="4">
        <v>0</v>
      </c>
    </row>
    <row r="1028" spans="1:8" x14ac:dyDescent="0.2">
      <c r="A1028" s="2" t="s">
        <v>191</v>
      </c>
      <c r="B1028" s="4">
        <v>6</v>
      </c>
      <c r="C1028" s="5">
        <v>13.64</v>
      </c>
      <c r="D1028" s="4">
        <v>4</v>
      </c>
      <c r="E1028" s="5">
        <v>13.79</v>
      </c>
      <c r="F1028" s="4">
        <v>2</v>
      </c>
      <c r="G1028" s="5">
        <v>14.29</v>
      </c>
      <c r="H1028" s="4">
        <v>0</v>
      </c>
    </row>
    <row r="1029" spans="1:8" x14ac:dyDescent="0.2">
      <c r="A1029" s="2" t="s">
        <v>192</v>
      </c>
      <c r="B1029" s="4">
        <v>4</v>
      </c>
      <c r="C1029" s="5">
        <v>9.09</v>
      </c>
      <c r="D1029" s="4">
        <v>4</v>
      </c>
      <c r="E1029" s="5">
        <v>13.79</v>
      </c>
      <c r="F1029" s="4">
        <v>0</v>
      </c>
      <c r="G1029" s="5">
        <v>0</v>
      </c>
      <c r="H1029" s="4">
        <v>0</v>
      </c>
    </row>
    <row r="1030" spans="1:8" x14ac:dyDescent="0.2">
      <c r="A1030" s="2" t="s">
        <v>193</v>
      </c>
      <c r="B1030" s="4">
        <v>1</v>
      </c>
      <c r="C1030" s="5">
        <v>2.27</v>
      </c>
      <c r="D1030" s="4">
        <v>0</v>
      </c>
      <c r="E1030" s="5">
        <v>0</v>
      </c>
      <c r="F1030" s="4">
        <v>0</v>
      </c>
      <c r="G1030" s="5">
        <v>0</v>
      </c>
      <c r="H1030" s="4">
        <v>0</v>
      </c>
    </row>
    <row r="1031" spans="1:8" x14ac:dyDescent="0.2">
      <c r="A1031" s="2" t="s">
        <v>194</v>
      </c>
      <c r="B1031" s="4">
        <v>0</v>
      </c>
      <c r="C1031" s="5">
        <v>0</v>
      </c>
      <c r="D1031" s="4">
        <v>0</v>
      </c>
      <c r="E1031" s="5">
        <v>0</v>
      </c>
      <c r="F1031" s="4">
        <v>0</v>
      </c>
      <c r="G1031" s="5">
        <v>0</v>
      </c>
      <c r="H1031" s="4">
        <v>0</v>
      </c>
    </row>
    <row r="1032" spans="1:8" x14ac:dyDescent="0.2">
      <c r="A1032" s="2" t="s">
        <v>195</v>
      </c>
      <c r="B1032" s="4">
        <v>1</v>
      </c>
      <c r="C1032" s="5">
        <v>2.27</v>
      </c>
      <c r="D1032" s="4">
        <v>0</v>
      </c>
      <c r="E1032" s="5">
        <v>0</v>
      </c>
      <c r="F1032" s="4">
        <v>1</v>
      </c>
      <c r="G1032" s="5">
        <v>7.14</v>
      </c>
      <c r="H1032" s="4">
        <v>0</v>
      </c>
    </row>
    <row r="1033" spans="1:8" x14ac:dyDescent="0.2">
      <c r="A1033" s="2" t="s">
        <v>196</v>
      </c>
      <c r="B1033" s="4">
        <v>10</v>
      </c>
      <c r="C1033" s="5">
        <v>22.73</v>
      </c>
      <c r="D1033" s="4">
        <v>7</v>
      </c>
      <c r="E1033" s="5">
        <v>24.14</v>
      </c>
      <c r="F1033" s="4">
        <v>3</v>
      </c>
      <c r="G1033" s="5">
        <v>21.43</v>
      </c>
      <c r="H1033" s="4">
        <v>0</v>
      </c>
    </row>
    <row r="1034" spans="1:8" x14ac:dyDescent="0.2">
      <c r="A1034" s="2" t="s">
        <v>197</v>
      </c>
      <c r="B1034" s="4">
        <v>0</v>
      </c>
      <c r="C1034" s="5">
        <v>0</v>
      </c>
      <c r="D1034" s="4">
        <v>0</v>
      </c>
      <c r="E1034" s="5">
        <v>0</v>
      </c>
      <c r="F1034" s="4">
        <v>0</v>
      </c>
      <c r="G1034" s="5">
        <v>0</v>
      </c>
      <c r="H1034" s="4">
        <v>0</v>
      </c>
    </row>
    <row r="1035" spans="1:8" x14ac:dyDescent="0.2">
      <c r="A1035" s="2" t="s">
        <v>198</v>
      </c>
      <c r="B1035" s="4">
        <v>1</v>
      </c>
      <c r="C1035" s="5">
        <v>2.27</v>
      </c>
      <c r="D1035" s="4">
        <v>0</v>
      </c>
      <c r="E1035" s="5">
        <v>0</v>
      </c>
      <c r="F1035" s="4">
        <v>1</v>
      </c>
      <c r="G1035" s="5">
        <v>7.14</v>
      </c>
      <c r="H1035" s="4">
        <v>0</v>
      </c>
    </row>
    <row r="1036" spans="1:8" x14ac:dyDescent="0.2">
      <c r="A1036" s="2" t="s">
        <v>199</v>
      </c>
      <c r="B1036" s="4">
        <v>2</v>
      </c>
      <c r="C1036" s="5">
        <v>4.55</v>
      </c>
      <c r="D1036" s="4">
        <v>0</v>
      </c>
      <c r="E1036" s="5">
        <v>0</v>
      </c>
      <c r="F1036" s="4">
        <v>2</v>
      </c>
      <c r="G1036" s="5">
        <v>14.29</v>
      </c>
      <c r="H1036" s="4">
        <v>0</v>
      </c>
    </row>
    <row r="1037" spans="1:8" x14ac:dyDescent="0.2">
      <c r="A1037" s="2" t="s">
        <v>200</v>
      </c>
      <c r="B1037" s="4">
        <v>11</v>
      </c>
      <c r="C1037" s="5">
        <v>25</v>
      </c>
      <c r="D1037" s="4">
        <v>8</v>
      </c>
      <c r="E1037" s="5">
        <v>27.59</v>
      </c>
      <c r="F1037" s="4">
        <v>3</v>
      </c>
      <c r="G1037" s="5">
        <v>21.43</v>
      </c>
      <c r="H1037" s="4">
        <v>0</v>
      </c>
    </row>
    <row r="1038" spans="1:8" x14ac:dyDescent="0.2">
      <c r="A1038" s="2" t="s">
        <v>201</v>
      </c>
      <c r="B1038" s="4">
        <v>5</v>
      </c>
      <c r="C1038" s="5">
        <v>11.36</v>
      </c>
      <c r="D1038" s="4">
        <v>4</v>
      </c>
      <c r="E1038" s="5">
        <v>13.79</v>
      </c>
      <c r="F1038" s="4">
        <v>1</v>
      </c>
      <c r="G1038" s="5">
        <v>7.14</v>
      </c>
      <c r="H1038" s="4">
        <v>0</v>
      </c>
    </row>
    <row r="1039" spans="1:8" x14ac:dyDescent="0.2">
      <c r="A1039" s="2" t="s">
        <v>202</v>
      </c>
      <c r="B1039" s="4">
        <v>1</v>
      </c>
      <c r="C1039" s="5">
        <v>2.27</v>
      </c>
      <c r="D1039" s="4">
        <v>1</v>
      </c>
      <c r="E1039" s="5">
        <v>3.45</v>
      </c>
      <c r="F1039" s="4">
        <v>0</v>
      </c>
      <c r="G1039" s="5">
        <v>0</v>
      </c>
      <c r="H1039" s="4">
        <v>0</v>
      </c>
    </row>
    <row r="1040" spans="1:8" x14ac:dyDescent="0.2">
      <c r="A1040" s="2" t="s">
        <v>203</v>
      </c>
      <c r="B1040" s="4">
        <v>2</v>
      </c>
      <c r="C1040" s="5">
        <v>4.55</v>
      </c>
      <c r="D1040" s="4">
        <v>1</v>
      </c>
      <c r="E1040" s="5">
        <v>3.45</v>
      </c>
      <c r="F1040" s="4">
        <v>1</v>
      </c>
      <c r="G1040" s="5">
        <v>7.14</v>
      </c>
      <c r="H1040" s="4">
        <v>0</v>
      </c>
    </row>
    <row r="1041" spans="1:8" x14ac:dyDescent="0.2">
      <c r="A1041" s="2" t="s">
        <v>204</v>
      </c>
      <c r="B1041" s="4">
        <v>0</v>
      </c>
      <c r="C1041" s="5">
        <v>0</v>
      </c>
      <c r="D1041" s="4">
        <v>0</v>
      </c>
      <c r="E1041" s="5">
        <v>0</v>
      </c>
      <c r="F1041" s="4">
        <v>0</v>
      </c>
      <c r="G1041" s="5">
        <v>0</v>
      </c>
      <c r="H1041" s="4">
        <v>0</v>
      </c>
    </row>
    <row r="1042" spans="1:8" x14ac:dyDescent="0.2">
      <c r="A1042" s="1" t="s">
        <v>65</v>
      </c>
      <c r="B1042" s="4">
        <v>83</v>
      </c>
      <c r="C1042" s="5">
        <v>99.98</v>
      </c>
      <c r="D1042" s="4">
        <v>52</v>
      </c>
      <c r="E1042" s="5">
        <v>99.980000000000018</v>
      </c>
      <c r="F1042" s="4">
        <v>28</v>
      </c>
      <c r="G1042" s="5">
        <v>99.99</v>
      </c>
      <c r="H1042" s="4">
        <v>0</v>
      </c>
    </row>
    <row r="1043" spans="1:8" x14ac:dyDescent="0.2">
      <c r="A1043" s="2" t="s">
        <v>190</v>
      </c>
      <c r="B1043" s="4">
        <v>0</v>
      </c>
      <c r="C1043" s="5">
        <v>0</v>
      </c>
      <c r="D1043" s="4">
        <v>0</v>
      </c>
      <c r="E1043" s="5">
        <v>0</v>
      </c>
      <c r="F1043" s="4">
        <v>0</v>
      </c>
      <c r="G1043" s="5">
        <v>0</v>
      </c>
      <c r="H1043" s="4">
        <v>0</v>
      </c>
    </row>
    <row r="1044" spans="1:8" x14ac:dyDescent="0.2">
      <c r="A1044" s="2" t="s">
        <v>191</v>
      </c>
      <c r="B1044" s="4">
        <v>12</v>
      </c>
      <c r="C1044" s="5">
        <v>14.46</v>
      </c>
      <c r="D1044" s="4">
        <v>6</v>
      </c>
      <c r="E1044" s="5">
        <v>11.54</v>
      </c>
      <c r="F1044" s="4">
        <v>6</v>
      </c>
      <c r="G1044" s="5">
        <v>21.43</v>
      </c>
      <c r="H1044" s="4">
        <v>0</v>
      </c>
    </row>
    <row r="1045" spans="1:8" x14ac:dyDescent="0.2">
      <c r="A1045" s="2" t="s">
        <v>192</v>
      </c>
      <c r="B1045" s="4">
        <v>6</v>
      </c>
      <c r="C1045" s="5">
        <v>7.23</v>
      </c>
      <c r="D1045" s="4">
        <v>1</v>
      </c>
      <c r="E1045" s="5">
        <v>1.92</v>
      </c>
      <c r="F1045" s="4">
        <v>5</v>
      </c>
      <c r="G1045" s="5">
        <v>17.86</v>
      </c>
      <c r="H1045" s="4">
        <v>0</v>
      </c>
    </row>
    <row r="1046" spans="1:8" x14ac:dyDescent="0.2">
      <c r="A1046" s="2" t="s">
        <v>193</v>
      </c>
      <c r="B1046" s="4">
        <v>3</v>
      </c>
      <c r="C1046" s="5">
        <v>3.61</v>
      </c>
      <c r="D1046" s="4">
        <v>0</v>
      </c>
      <c r="E1046" s="5">
        <v>0</v>
      </c>
      <c r="F1046" s="4">
        <v>2</v>
      </c>
      <c r="G1046" s="5">
        <v>7.14</v>
      </c>
      <c r="H1046" s="4">
        <v>0</v>
      </c>
    </row>
    <row r="1047" spans="1:8" x14ac:dyDescent="0.2">
      <c r="A1047" s="2" t="s">
        <v>194</v>
      </c>
      <c r="B1047" s="4">
        <v>0</v>
      </c>
      <c r="C1047" s="5">
        <v>0</v>
      </c>
      <c r="D1047" s="4">
        <v>0</v>
      </c>
      <c r="E1047" s="5">
        <v>0</v>
      </c>
      <c r="F1047" s="4">
        <v>0</v>
      </c>
      <c r="G1047" s="5">
        <v>0</v>
      </c>
      <c r="H1047" s="4">
        <v>0</v>
      </c>
    </row>
    <row r="1048" spans="1:8" x14ac:dyDescent="0.2">
      <c r="A1048" s="2" t="s">
        <v>195</v>
      </c>
      <c r="B1048" s="4">
        <v>3</v>
      </c>
      <c r="C1048" s="5">
        <v>3.61</v>
      </c>
      <c r="D1048" s="4">
        <v>0</v>
      </c>
      <c r="E1048" s="5">
        <v>0</v>
      </c>
      <c r="F1048" s="4">
        <v>3</v>
      </c>
      <c r="G1048" s="5">
        <v>10.71</v>
      </c>
      <c r="H1048" s="4">
        <v>0</v>
      </c>
    </row>
    <row r="1049" spans="1:8" x14ac:dyDescent="0.2">
      <c r="A1049" s="2" t="s">
        <v>196</v>
      </c>
      <c r="B1049" s="4">
        <v>26</v>
      </c>
      <c r="C1049" s="5">
        <v>31.33</v>
      </c>
      <c r="D1049" s="4">
        <v>21</v>
      </c>
      <c r="E1049" s="5">
        <v>40.380000000000003</v>
      </c>
      <c r="F1049" s="4">
        <v>5</v>
      </c>
      <c r="G1049" s="5">
        <v>17.86</v>
      </c>
      <c r="H1049" s="4">
        <v>0</v>
      </c>
    </row>
    <row r="1050" spans="1:8" x14ac:dyDescent="0.2">
      <c r="A1050" s="2" t="s">
        <v>197</v>
      </c>
      <c r="B1050" s="4">
        <v>0</v>
      </c>
      <c r="C1050" s="5">
        <v>0</v>
      </c>
      <c r="D1050" s="4">
        <v>0</v>
      </c>
      <c r="E1050" s="5">
        <v>0</v>
      </c>
      <c r="F1050" s="4">
        <v>0</v>
      </c>
      <c r="G1050" s="5">
        <v>0</v>
      </c>
      <c r="H1050" s="4">
        <v>0</v>
      </c>
    </row>
    <row r="1051" spans="1:8" x14ac:dyDescent="0.2">
      <c r="A1051" s="2" t="s">
        <v>198</v>
      </c>
      <c r="B1051" s="4">
        <v>3</v>
      </c>
      <c r="C1051" s="5">
        <v>3.61</v>
      </c>
      <c r="D1051" s="4">
        <v>0</v>
      </c>
      <c r="E1051" s="5">
        <v>0</v>
      </c>
      <c r="F1051" s="4">
        <v>3</v>
      </c>
      <c r="G1051" s="5">
        <v>10.71</v>
      </c>
      <c r="H1051" s="4">
        <v>0</v>
      </c>
    </row>
    <row r="1052" spans="1:8" x14ac:dyDescent="0.2">
      <c r="A1052" s="2" t="s">
        <v>199</v>
      </c>
      <c r="B1052" s="4">
        <v>1</v>
      </c>
      <c r="C1052" s="5">
        <v>1.2</v>
      </c>
      <c r="D1052" s="4">
        <v>1</v>
      </c>
      <c r="E1052" s="5">
        <v>1.92</v>
      </c>
      <c r="F1052" s="4">
        <v>0</v>
      </c>
      <c r="G1052" s="5">
        <v>0</v>
      </c>
      <c r="H1052" s="4">
        <v>0</v>
      </c>
    </row>
    <row r="1053" spans="1:8" x14ac:dyDescent="0.2">
      <c r="A1053" s="2" t="s">
        <v>200</v>
      </c>
      <c r="B1053" s="4">
        <v>15</v>
      </c>
      <c r="C1053" s="5">
        <v>18.07</v>
      </c>
      <c r="D1053" s="4">
        <v>14</v>
      </c>
      <c r="E1053" s="5">
        <v>26.92</v>
      </c>
      <c r="F1053" s="4">
        <v>1</v>
      </c>
      <c r="G1053" s="5">
        <v>3.57</v>
      </c>
      <c r="H1053" s="4">
        <v>0</v>
      </c>
    </row>
    <row r="1054" spans="1:8" x14ac:dyDescent="0.2">
      <c r="A1054" s="2" t="s">
        <v>201</v>
      </c>
      <c r="B1054" s="4">
        <v>9</v>
      </c>
      <c r="C1054" s="5">
        <v>10.84</v>
      </c>
      <c r="D1054" s="4">
        <v>7</v>
      </c>
      <c r="E1054" s="5">
        <v>13.46</v>
      </c>
      <c r="F1054" s="4">
        <v>2</v>
      </c>
      <c r="G1054" s="5">
        <v>7.14</v>
      </c>
      <c r="H1054" s="4">
        <v>0</v>
      </c>
    </row>
    <row r="1055" spans="1:8" x14ac:dyDescent="0.2">
      <c r="A1055" s="2" t="s">
        <v>202</v>
      </c>
      <c r="B1055" s="4">
        <v>1</v>
      </c>
      <c r="C1055" s="5">
        <v>1.2</v>
      </c>
      <c r="D1055" s="4">
        <v>1</v>
      </c>
      <c r="E1055" s="5">
        <v>1.92</v>
      </c>
      <c r="F1055" s="4">
        <v>0</v>
      </c>
      <c r="G1055" s="5">
        <v>0</v>
      </c>
      <c r="H1055" s="4">
        <v>0</v>
      </c>
    </row>
    <row r="1056" spans="1:8" x14ac:dyDescent="0.2">
      <c r="A1056" s="2" t="s">
        <v>203</v>
      </c>
      <c r="B1056" s="4">
        <v>2</v>
      </c>
      <c r="C1056" s="5">
        <v>2.41</v>
      </c>
      <c r="D1056" s="4">
        <v>1</v>
      </c>
      <c r="E1056" s="5">
        <v>1.92</v>
      </c>
      <c r="F1056" s="4">
        <v>0</v>
      </c>
      <c r="G1056" s="5">
        <v>0</v>
      </c>
      <c r="H1056" s="4">
        <v>0</v>
      </c>
    </row>
    <row r="1057" spans="1:8" x14ac:dyDescent="0.2">
      <c r="A1057" s="2" t="s">
        <v>204</v>
      </c>
      <c r="B1057" s="4">
        <v>2</v>
      </c>
      <c r="C1057" s="5">
        <v>2.41</v>
      </c>
      <c r="D1057" s="4">
        <v>0</v>
      </c>
      <c r="E1057" s="5">
        <v>0</v>
      </c>
      <c r="F1057" s="4">
        <v>1</v>
      </c>
      <c r="G1057" s="5">
        <v>3.57</v>
      </c>
      <c r="H1057" s="4">
        <v>0</v>
      </c>
    </row>
    <row r="1058" spans="1:8" x14ac:dyDescent="0.2">
      <c r="A1058" s="1" t="s">
        <v>66</v>
      </c>
      <c r="B1058" s="4">
        <v>80</v>
      </c>
      <c r="C1058" s="5">
        <v>100</v>
      </c>
      <c r="D1058" s="4">
        <v>41</v>
      </c>
      <c r="E1058" s="5">
        <v>100.01999999999998</v>
      </c>
      <c r="F1058" s="4">
        <v>32</v>
      </c>
      <c r="G1058" s="5">
        <v>100.03999999999998</v>
      </c>
      <c r="H1058" s="4">
        <v>2</v>
      </c>
    </row>
    <row r="1059" spans="1:8" x14ac:dyDescent="0.2">
      <c r="A1059" s="2" t="s">
        <v>190</v>
      </c>
      <c r="B1059" s="4">
        <v>0</v>
      </c>
      <c r="C1059" s="5">
        <v>0</v>
      </c>
      <c r="D1059" s="4">
        <v>0</v>
      </c>
      <c r="E1059" s="5">
        <v>0</v>
      </c>
      <c r="F1059" s="4">
        <v>0</v>
      </c>
      <c r="G1059" s="5">
        <v>0</v>
      </c>
      <c r="H1059" s="4">
        <v>0</v>
      </c>
    </row>
    <row r="1060" spans="1:8" x14ac:dyDescent="0.2">
      <c r="A1060" s="2" t="s">
        <v>191</v>
      </c>
      <c r="B1060" s="4">
        <v>9</v>
      </c>
      <c r="C1060" s="5">
        <v>11.25</v>
      </c>
      <c r="D1060" s="4">
        <v>2</v>
      </c>
      <c r="E1060" s="5">
        <v>4.88</v>
      </c>
      <c r="F1060" s="4">
        <v>7</v>
      </c>
      <c r="G1060" s="5">
        <v>21.88</v>
      </c>
      <c r="H1060" s="4">
        <v>0</v>
      </c>
    </row>
    <row r="1061" spans="1:8" x14ac:dyDescent="0.2">
      <c r="A1061" s="2" t="s">
        <v>192</v>
      </c>
      <c r="B1061" s="4">
        <v>4</v>
      </c>
      <c r="C1061" s="5">
        <v>5</v>
      </c>
      <c r="D1061" s="4">
        <v>2</v>
      </c>
      <c r="E1061" s="5">
        <v>4.88</v>
      </c>
      <c r="F1061" s="4">
        <v>1</v>
      </c>
      <c r="G1061" s="5">
        <v>3.13</v>
      </c>
      <c r="H1061" s="4">
        <v>0</v>
      </c>
    </row>
    <row r="1062" spans="1:8" x14ac:dyDescent="0.2">
      <c r="A1062" s="2" t="s">
        <v>193</v>
      </c>
      <c r="B1062" s="4">
        <v>0</v>
      </c>
      <c r="C1062" s="5">
        <v>0</v>
      </c>
      <c r="D1062" s="4">
        <v>0</v>
      </c>
      <c r="E1062" s="5">
        <v>0</v>
      </c>
      <c r="F1062" s="4">
        <v>0</v>
      </c>
      <c r="G1062" s="5">
        <v>0</v>
      </c>
      <c r="H1062" s="4">
        <v>0</v>
      </c>
    </row>
    <row r="1063" spans="1:8" x14ac:dyDescent="0.2">
      <c r="A1063" s="2" t="s">
        <v>194</v>
      </c>
      <c r="B1063" s="4">
        <v>0</v>
      </c>
      <c r="C1063" s="5">
        <v>0</v>
      </c>
      <c r="D1063" s="4">
        <v>0</v>
      </c>
      <c r="E1063" s="5">
        <v>0</v>
      </c>
      <c r="F1063" s="4">
        <v>0</v>
      </c>
      <c r="G1063" s="5">
        <v>0</v>
      </c>
      <c r="H1063" s="4">
        <v>0</v>
      </c>
    </row>
    <row r="1064" spans="1:8" x14ac:dyDescent="0.2">
      <c r="A1064" s="2" t="s">
        <v>195</v>
      </c>
      <c r="B1064" s="4">
        <v>1</v>
      </c>
      <c r="C1064" s="5">
        <v>1.25</v>
      </c>
      <c r="D1064" s="4">
        <v>0</v>
      </c>
      <c r="E1064" s="5">
        <v>0</v>
      </c>
      <c r="F1064" s="4">
        <v>1</v>
      </c>
      <c r="G1064" s="5">
        <v>3.13</v>
      </c>
      <c r="H1064" s="4">
        <v>0</v>
      </c>
    </row>
    <row r="1065" spans="1:8" x14ac:dyDescent="0.2">
      <c r="A1065" s="2" t="s">
        <v>196</v>
      </c>
      <c r="B1065" s="4">
        <v>24</v>
      </c>
      <c r="C1065" s="5">
        <v>30</v>
      </c>
      <c r="D1065" s="4">
        <v>13</v>
      </c>
      <c r="E1065" s="5">
        <v>31.71</v>
      </c>
      <c r="F1065" s="4">
        <v>11</v>
      </c>
      <c r="G1065" s="5">
        <v>34.380000000000003</v>
      </c>
      <c r="H1065" s="4">
        <v>0</v>
      </c>
    </row>
    <row r="1066" spans="1:8" x14ac:dyDescent="0.2">
      <c r="A1066" s="2" t="s">
        <v>197</v>
      </c>
      <c r="B1066" s="4">
        <v>0</v>
      </c>
      <c r="C1066" s="5">
        <v>0</v>
      </c>
      <c r="D1066" s="4">
        <v>0</v>
      </c>
      <c r="E1066" s="5">
        <v>0</v>
      </c>
      <c r="F1066" s="4">
        <v>0</v>
      </c>
      <c r="G1066" s="5">
        <v>0</v>
      </c>
      <c r="H1066" s="4">
        <v>0</v>
      </c>
    </row>
    <row r="1067" spans="1:8" x14ac:dyDescent="0.2">
      <c r="A1067" s="2" t="s">
        <v>198</v>
      </c>
      <c r="B1067" s="4">
        <v>8</v>
      </c>
      <c r="C1067" s="5">
        <v>10</v>
      </c>
      <c r="D1067" s="4">
        <v>5</v>
      </c>
      <c r="E1067" s="5">
        <v>12.2</v>
      </c>
      <c r="F1067" s="4">
        <v>3</v>
      </c>
      <c r="G1067" s="5">
        <v>9.3800000000000008</v>
      </c>
      <c r="H1067" s="4">
        <v>0</v>
      </c>
    </row>
    <row r="1068" spans="1:8" x14ac:dyDescent="0.2">
      <c r="A1068" s="2" t="s">
        <v>199</v>
      </c>
      <c r="B1068" s="4">
        <v>5</v>
      </c>
      <c r="C1068" s="5">
        <v>6.25</v>
      </c>
      <c r="D1068" s="4">
        <v>4</v>
      </c>
      <c r="E1068" s="5">
        <v>9.76</v>
      </c>
      <c r="F1068" s="4">
        <v>0</v>
      </c>
      <c r="G1068" s="5">
        <v>0</v>
      </c>
      <c r="H1068" s="4">
        <v>0</v>
      </c>
    </row>
    <row r="1069" spans="1:8" x14ac:dyDescent="0.2">
      <c r="A1069" s="2" t="s">
        <v>200</v>
      </c>
      <c r="B1069" s="4">
        <v>11</v>
      </c>
      <c r="C1069" s="5">
        <v>13.75</v>
      </c>
      <c r="D1069" s="4">
        <v>5</v>
      </c>
      <c r="E1069" s="5">
        <v>12.2</v>
      </c>
      <c r="F1069" s="4">
        <v>5</v>
      </c>
      <c r="G1069" s="5">
        <v>15.63</v>
      </c>
      <c r="H1069" s="4">
        <v>0</v>
      </c>
    </row>
    <row r="1070" spans="1:8" x14ac:dyDescent="0.2">
      <c r="A1070" s="2" t="s">
        <v>201</v>
      </c>
      <c r="B1070" s="4">
        <v>7</v>
      </c>
      <c r="C1070" s="5">
        <v>8.75</v>
      </c>
      <c r="D1070" s="4">
        <v>6</v>
      </c>
      <c r="E1070" s="5">
        <v>14.63</v>
      </c>
      <c r="F1070" s="4">
        <v>0</v>
      </c>
      <c r="G1070" s="5">
        <v>0</v>
      </c>
      <c r="H1070" s="4">
        <v>1</v>
      </c>
    </row>
    <row r="1071" spans="1:8" x14ac:dyDescent="0.2">
      <c r="A1071" s="2" t="s">
        <v>202</v>
      </c>
      <c r="B1071" s="4">
        <v>2</v>
      </c>
      <c r="C1071" s="5">
        <v>2.5</v>
      </c>
      <c r="D1071" s="4">
        <v>2</v>
      </c>
      <c r="E1071" s="5">
        <v>4.88</v>
      </c>
      <c r="F1071" s="4">
        <v>0</v>
      </c>
      <c r="G1071" s="5">
        <v>0</v>
      </c>
      <c r="H1071" s="4">
        <v>0</v>
      </c>
    </row>
    <row r="1072" spans="1:8" x14ac:dyDescent="0.2">
      <c r="A1072" s="2" t="s">
        <v>203</v>
      </c>
      <c r="B1072" s="4">
        <v>5</v>
      </c>
      <c r="C1072" s="5">
        <v>6.25</v>
      </c>
      <c r="D1072" s="4">
        <v>1</v>
      </c>
      <c r="E1072" s="5">
        <v>2.44</v>
      </c>
      <c r="F1072" s="4">
        <v>3</v>
      </c>
      <c r="G1072" s="5">
        <v>9.3800000000000008</v>
      </c>
      <c r="H1072" s="4">
        <v>0</v>
      </c>
    </row>
    <row r="1073" spans="1:8" x14ac:dyDescent="0.2">
      <c r="A1073" s="2" t="s">
        <v>204</v>
      </c>
      <c r="B1073" s="4">
        <v>4</v>
      </c>
      <c r="C1073" s="5">
        <v>5</v>
      </c>
      <c r="D1073" s="4">
        <v>1</v>
      </c>
      <c r="E1073" s="5">
        <v>2.44</v>
      </c>
      <c r="F1073" s="4">
        <v>1</v>
      </c>
      <c r="G1073" s="5">
        <v>3.13</v>
      </c>
      <c r="H1073" s="4">
        <v>1</v>
      </c>
    </row>
    <row r="1074" spans="1:8" x14ac:dyDescent="0.2">
      <c r="A1074" s="1" t="s">
        <v>67</v>
      </c>
      <c r="B1074" s="4">
        <v>134</v>
      </c>
      <c r="C1074" s="5">
        <v>100</v>
      </c>
      <c r="D1074" s="4">
        <v>72</v>
      </c>
      <c r="E1074" s="5">
        <v>100.01</v>
      </c>
      <c r="F1074" s="4">
        <v>38</v>
      </c>
      <c r="G1074" s="5">
        <v>99.989999999999981</v>
      </c>
      <c r="H1074" s="4">
        <v>2</v>
      </c>
    </row>
    <row r="1075" spans="1:8" x14ac:dyDescent="0.2">
      <c r="A1075" s="2" t="s">
        <v>190</v>
      </c>
      <c r="B1075" s="4">
        <v>1</v>
      </c>
      <c r="C1075" s="5">
        <v>0.75</v>
      </c>
      <c r="D1075" s="4">
        <v>0</v>
      </c>
      <c r="E1075" s="5">
        <v>0</v>
      </c>
      <c r="F1075" s="4">
        <v>1</v>
      </c>
      <c r="G1075" s="5">
        <v>2.63</v>
      </c>
      <c r="H1075" s="4">
        <v>0</v>
      </c>
    </row>
    <row r="1076" spans="1:8" x14ac:dyDescent="0.2">
      <c r="A1076" s="2" t="s">
        <v>191</v>
      </c>
      <c r="B1076" s="4">
        <v>22</v>
      </c>
      <c r="C1076" s="5">
        <v>16.420000000000002</v>
      </c>
      <c r="D1076" s="4">
        <v>13</v>
      </c>
      <c r="E1076" s="5">
        <v>18.059999999999999</v>
      </c>
      <c r="F1076" s="4">
        <v>9</v>
      </c>
      <c r="G1076" s="5">
        <v>23.68</v>
      </c>
      <c r="H1076" s="4">
        <v>0</v>
      </c>
    </row>
    <row r="1077" spans="1:8" x14ac:dyDescent="0.2">
      <c r="A1077" s="2" t="s">
        <v>192</v>
      </c>
      <c r="B1077" s="4">
        <v>6</v>
      </c>
      <c r="C1077" s="5">
        <v>4.4800000000000004</v>
      </c>
      <c r="D1077" s="4">
        <v>3</v>
      </c>
      <c r="E1077" s="5">
        <v>4.17</v>
      </c>
      <c r="F1077" s="4">
        <v>1</v>
      </c>
      <c r="G1077" s="5">
        <v>2.63</v>
      </c>
      <c r="H1077" s="4">
        <v>1</v>
      </c>
    </row>
    <row r="1078" spans="1:8" x14ac:dyDescent="0.2">
      <c r="A1078" s="2" t="s">
        <v>193</v>
      </c>
      <c r="B1078" s="4">
        <v>1</v>
      </c>
      <c r="C1078" s="5">
        <v>0.75</v>
      </c>
      <c r="D1078" s="4">
        <v>0</v>
      </c>
      <c r="E1078" s="5">
        <v>0</v>
      </c>
      <c r="F1078" s="4">
        <v>0</v>
      </c>
      <c r="G1078" s="5">
        <v>0</v>
      </c>
      <c r="H1078" s="4">
        <v>0</v>
      </c>
    </row>
    <row r="1079" spans="1:8" x14ac:dyDescent="0.2">
      <c r="A1079" s="2" t="s">
        <v>194</v>
      </c>
      <c r="B1079" s="4">
        <v>0</v>
      </c>
      <c r="C1079" s="5">
        <v>0</v>
      </c>
      <c r="D1079" s="4">
        <v>0</v>
      </c>
      <c r="E1079" s="5">
        <v>0</v>
      </c>
      <c r="F1079" s="4">
        <v>0</v>
      </c>
      <c r="G1079" s="5">
        <v>0</v>
      </c>
      <c r="H1079" s="4">
        <v>0</v>
      </c>
    </row>
    <row r="1080" spans="1:8" x14ac:dyDescent="0.2">
      <c r="A1080" s="2" t="s">
        <v>195</v>
      </c>
      <c r="B1080" s="4">
        <v>1</v>
      </c>
      <c r="C1080" s="5">
        <v>0.75</v>
      </c>
      <c r="D1080" s="4">
        <v>1</v>
      </c>
      <c r="E1080" s="5">
        <v>1.39</v>
      </c>
      <c r="F1080" s="4">
        <v>0</v>
      </c>
      <c r="G1080" s="5">
        <v>0</v>
      </c>
      <c r="H1080" s="4">
        <v>0</v>
      </c>
    </row>
    <row r="1081" spans="1:8" x14ac:dyDescent="0.2">
      <c r="A1081" s="2" t="s">
        <v>196</v>
      </c>
      <c r="B1081" s="4">
        <v>39</v>
      </c>
      <c r="C1081" s="5">
        <v>29.1</v>
      </c>
      <c r="D1081" s="4">
        <v>18</v>
      </c>
      <c r="E1081" s="5">
        <v>25</v>
      </c>
      <c r="F1081" s="4">
        <v>19</v>
      </c>
      <c r="G1081" s="5">
        <v>50</v>
      </c>
      <c r="H1081" s="4">
        <v>0</v>
      </c>
    </row>
    <row r="1082" spans="1:8" x14ac:dyDescent="0.2">
      <c r="A1082" s="2" t="s">
        <v>197</v>
      </c>
      <c r="B1082" s="4">
        <v>0</v>
      </c>
      <c r="C1082" s="5">
        <v>0</v>
      </c>
      <c r="D1082" s="4">
        <v>0</v>
      </c>
      <c r="E1082" s="5">
        <v>0</v>
      </c>
      <c r="F1082" s="4">
        <v>0</v>
      </c>
      <c r="G1082" s="5">
        <v>0</v>
      </c>
      <c r="H1082" s="4">
        <v>0</v>
      </c>
    </row>
    <row r="1083" spans="1:8" x14ac:dyDescent="0.2">
      <c r="A1083" s="2" t="s">
        <v>198</v>
      </c>
      <c r="B1083" s="4">
        <v>7</v>
      </c>
      <c r="C1083" s="5">
        <v>5.22</v>
      </c>
      <c r="D1083" s="4">
        <v>5</v>
      </c>
      <c r="E1083" s="5">
        <v>6.94</v>
      </c>
      <c r="F1083" s="4">
        <v>1</v>
      </c>
      <c r="G1083" s="5">
        <v>2.63</v>
      </c>
      <c r="H1083" s="4">
        <v>1</v>
      </c>
    </row>
    <row r="1084" spans="1:8" x14ac:dyDescent="0.2">
      <c r="A1084" s="2" t="s">
        <v>199</v>
      </c>
      <c r="B1084" s="4">
        <v>3</v>
      </c>
      <c r="C1084" s="5">
        <v>2.2400000000000002</v>
      </c>
      <c r="D1084" s="4">
        <v>2</v>
      </c>
      <c r="E1084" s="5">
        <v>2.78</v>
      </c>
      <c r="F1084" s="4">
        <v>1</v>
      </c>
      <c r="G1084" s="5">
        <v>2.63</v>
      </c>
      <c r="H1084" s="4">
        <v>0</v>
      </c>
    </row>
    <row r="1085" spans="1:8" x14ac:dyDescent="0.2">
      <c r="A1085" s="2" t="s">
        <v>200</v>
      </c>
      <c r="B1085" s="4">
        <v>24</v>
      </c>
      <c r="C1085" s="5">
        <v>17.91</v>
      </c>
      <c r="D1085" s="4">
        <v>18</v>
      </c>
      <c r="E1085" s="5">
        <v>25</v>
      </c>
      <c r="F1085" s="4">
        <v>5</v>
      </c>
      <c r="G1085" s="5">
        <v>13.16</v>
      </c>
      <c r="H1085" s="4">
        <v>0</v>
      </c>
    </row>
    <row r="1086" spans="1:8" x14ac:dyDescent="0.2">
      <c r="A1086" s="2" t="s">
        <v>201</v>
      </c>
      <c r="B1086" s="4">
        <v>7</v>
      </c>
      <c r="C1086" s="5">
        <v>5.22</v>
      </c>
      <c r="D1086" s="4">
        <v>5</v>
      </c>
      <c r="E1086" s="5">
        <v>6.94</v>
      </c>
      <c r="F1086" s="4">
        <v>0</v>
      </c>
      <c r="G1086" s="5">
        <v>0</v>
      </c>
      <c r="H1086" s="4">
        <v>0</v>
      </c>
    </row>
    <row r="1087" spans="1:8" x14ac:dyDescent="0.2">
      <c r="A1087" s="2" t="s">
        <v>202</v>
      </c>
      <c r="B1087" s="4">
        <v>5</v>
      </c>
      <c r="C1087" s="5">
        <v>3.73</v>
      </c>
      <c r="D1087" s="4">
        <v>4</v>
      </c>
      <c r="E1087" s="5">
        <v>5.56</v>
      </c>
      <c r="F1087" s="4">
        <v>0</v>
      </c>
      <c r="G1087" s="5">
        <v>0</v>
      </c>
      <c r="H1087" s="4">
        <v>0</v>
      </c>
    </row>
    <row r="1088" spans="1:8" x14ac:dyDescent="0.2">
      <c r="A1088" s="2" t="s">
        <v>203</v>
      </c>
      <c r="B1088" s="4">
        <v>10</v>
      </c>
      <c r="C1088" s="5">
        <v>7.46</v>
      </c>
      <c r="D1088" s="4">
        <v>3</v>
      </c>
      <c r="E1088" s="5">
        <v>4.17</v>
      </c>
      <c r="F1088" s="4">
        <v>0</v>
      </c>
      <c r="G1088" s="5">
        <v>0</v>
      </c>
      <c r="H1088" s="4">
        <v>0</v>
      </c>
    </row>
    <row r="1089" spans="1:8" x14ac:dyDescent="0.2">
      <c r="A1089" s="2" t="s">
        <v>204</v>
      </c>
      <c r="B1089" s="4">
        <v>8</v>
      </c>
      <c r="C1089" s="5">
        <v>5.97</v>
      </c>
      <c r="D1089" s="4">
        <v>0</v>
      </c>
      <c r="E1089" s="5">
        <v>0</v>
      </c>
      <c r="F1089" s="4">
        <v>1</v>
      </c>
      <c r="G1089" s="5">
        <v>2.63</v>
      </c>
      <c r="H1089" s="4">
        <v>0</v>
      </c>
    </row>
    <row r="1090" spans="1:8" x14ac:dyDescent="0.2">
      <c r="A1090" s="1" t="s">
        <v>68</v>
      </c>
      <c r="B1090" s="4">
        <v>193</v>
      </c>
      <c r="C1090" s="5">
        <v>99.99</v>
      </c>
      <c r="D1090" s="4">
        <v>105</v>
      </c>
      <c r="E1090" s="5">
        <v>99.990000000000009</v>
      </c>
      <c r="F1090" s="4">
        <v>88</v>
      </c>
      <c r="G1090" s="5">
        <v>100</v>
      </c>
      <c r="H1090" s="4">
        <v>0</v>
      </c>
    </row>
    <row r="1091" spans="1:8" x14ac:dyDescent="0.2">
      <c r="A1091" s="2" t="s">
        <v>190</v>
      </c>
      <c r="B1091" s="4">
        <v>1</v>
      </c>
      <c r="C1091" s="5">
        <v>0.52</v>
      </c>
      <c r="D1091" s="4">
        <v>0</v>
      </c>
      <c r="E1091" s="5">
        <v>0</v>
      </c>
      <c r="F1091" s="4">
        <v>1</v>
      </c>
      <c r="G1091" s="5">
        <v>1.1399999999999999</v>
      </c>
      <c r="H1091" s="4">
        <v>0</v>
      </c>
    </row>
    <row r="1092" spans="1:8" x14ac:dyDescent="0.2">
      <c r="A1092" s="2" t="s">
        <v>191</v>
      </c>
      <c r="B1092" s="4">
        <v>10</v>
      </c>
      <c r="C1092" s="5">
        <v>5.18</v>
      </c>
      <c r="D1092" s="4">
        <v>2</v>
      </c>
      <c r="E1092" s="5">
        <v>1.9</v>
      </c>
      <c r="F1092" s="4">
        <v>8</v>
      </c>
      <c r="G1092" s="5">
        <v>9.09</v>
      </c>
      <c r="H1092" s="4">
        <v>0</v>
      </c>
    </row>
    <row r="1093" spans="1:8" x14ac:dyDescent="0.2">
      <c r="A1093" s="2" t="s">
        <v>192</v>
      </c>
      <c r="B1093" s="4">
        <v>15</v>
      </c>
      <c r="C1093" s="5">
        <v>7.77</v>
      </c>
      <c r="D1093" s="4">
        <v>5</v>
      </c>
      <c r="E1093" s="5">
        <v>4.76</v>
      </c>
      <c r="F1093" s="4">
        <v>10</v>
      </c>
      <c r="G1093" s="5">
        <v>11.36</v>
      </c>
      <c r="H1093" s="4">
        <v>0</v>
      </c>
    </row>
    <row r="1094" spans="1:8" x14ac:dyDescent="0.2">
      <c r="A1094" s="2" t="s">
        <v>193</v>
      </c>
      <c r="B1094" s="4">
        <v>0</v>
      </c>
      <c r="C1094" s="5">
        <v>0</v>
      </c>
      <c r="D1094" s="4">
        <v>0</v>
      </c>
      <c r="E1094" s="5">
        <v>0</v>
      </c>
      <c r="F1094" s="4">
        <v>0</v>
      </c>
      <c r="G1094" s="5">
        <v>0</v>
      </c>
      <c r="H1094" s="4">
        <v>0</v>
      </c>
    </row>
    <row r="1095" spans="1:8" x14ac:dyDescent="0.2">
      <c r="A1095" s="2" t="s">
        <v>194</v>
      </c>
      <c r="B1095" s="4">
        <v>3</v>
      </c>
      <c r="C1095" s="5">
        <v>1.55</v>
      </c>
      <c r="D1095" s="4">
        <v>0</v>
      </c>
      <c r="E1095" s="5">
        <v>0</v>
      </c>
      <c r="F1095" s="4">
        <v>3</v>
      </c>
      <c r="G1095" s="5">
        <v>3.41</v>
      </c>
      <c r="H1095" s="4">
        <v>0</v>
      </c>
    </row>
    <row r="1096" spans="1:8" x14ac:dyDescent="0.2">
      <c r="A1096" s="2" t="s">
        <v>195</v>
      </c>
      <c r="B1096" s="4">
        <v>3</v>
      </c>
      <c r="C1096" s="5">
        <v>1.55</v>
      </c>
      <c r="D1096" s="4">
        <v>2</v>
      </c>
      <c r="E1096" s="5">
        <v>1.9</v>
      </c>
      <c r="F1096" s="4">
        <v>1</v>
      </c>
      <c r="G1096" s="5">
        <v>1.1399999999999999</v>
      </c>
      <c r="H1096" s="4">
        <v>0</v>
      </c>
    </row>
    <row r="1097" spans="1:8" x14ac:dyDescent="0.2">
      <c r="A1097" s="2" t="s">
        <v>196</v>
      </c>
      <c r="B1097" s="4">
        <v>48</v>
      </c>
      <c r="C1097" s="5">
        <v>24.87</v>
      </c>
      <c r="D1097" s="4">
        <v>19</v>
      </c>
      <c r="E1097" s="5">
        <v>18.100000000000001</v>
      </c>
      <c r="F1097" s="4">
        <v>29</v>
      </c>
      <c r="G1097" s="5">
        <v>32.950000000000003</v>
      </c>
      <c r="H1097" s="4">
        <v>0</v>
      </c>
    </row>
    <row r="1098" spans="1:8" x14ac:dyDescent="0.2">
      <c r="A1098" s="2" t="s">
        <v>197</v>
      </c>
      <c r="B1098" s="4">
        <v>1</v>
      </c>
      <c r="C1098" s="5">
        <v>0.52</v>
      </c>
      <c r="D1098" s="4">
        <v>0</v>
      </c>
      <c r="E1098" s="5">
        <v>0</v>
      </c>
      <c r="F1098" s="4">
        <v>1</v>
      </c>
      <c r="G1098" s="5">
        <v>1.1399999999999999</v>
      </c>
      <c r="H1098" s="4">
        <v>0</v>
      </c>
    </row>
    <row r="1099" spans="1:8" x14ac:dyDescent="0.2">
      <c r="A1099" s="2" t="s">
        <v>198</v>
      </c>
      <c r="B1099" s="4">
        <v>11</v>
      </c>
      <c r="C1099" s="5">
        <v>5.7</v>
      </c>
      <c r="D1099" s="4">
        <v>1</v>
      </c>
      <c r="E1099" s="5">
        <v>0.95</v>
      </c>
      <c r="F1099" s="4">
        <v>10</v>
      </c>
      <c r="G1099" s="5">
        <v>11.36</v>
      </c>
      <c r="H1099" s="4">
        <v>0</v>
      </c>
    </row>
    <row r="1100" spans="1:8" x14ac:dyDescent="0.2">
      <c r="A1100" s="2" t="s">
        <v>199</v>
      </c>
      <c r="B1100" s="4">
        <v>8</v>
      </c>
      <c r="C1100" s="5">
        <v>4.1500000000000004</v>
      </c>
      <c r="D1100" s="4">
        <v>3</v>
      </c>
      <c r="E1100" s="5">
        <v>2.86</v>
      </c>
      <c r="F1100" s="4">
        <v>5</v>
      </c>
      <c r="G1100" s="5">
        <v>5.68</v>
      </c>
      <c r="H1100" s="4">
        <v>0</v>
      </c>
    </row>
    <row r="1101" spans="1:8" x14ac:dyDescent="0.2">
      <c r="A1101" s="2" t="s">
        <v>200</v>
      </c>
      <c r="B1101" s="4">
        <v>62</v>
      </c>
      <c r="C1101" s="5">
        <v>32.119999999999997</v>
      </c>
      <c r="D1101" s="4">
        <v>53</v>
      </c>
      <c r="E1101" s="5">
        <v>50.48</v>
      </c>
      <c r="F1101" s="4">
        <v>9</v>
      </c>
      <c r="G1101" s="5">
        <v>10.23</v>
      </c>
      <c r="H1101" s="4">
        <v>0</v>
      </c>
    </row>
    <row r="1102" spans="1:8" x14ac:dyDescent="0.2">
      <c r="A1102" s="2" t="s">
        <v>201</v>
      </c>
      <c r="B1102" s="4">
        <v>15</v>
      </c>
      <c r="C1102" s="5">
        <v>7.77</v>
      </c>
      <c r="D1102" s="4">
        <v>12</v>
      </c>
      <c r="E1102" s="5">
        <v>11.43</v>
      </c>
      <c r="F1102" s="4">
        <v>3</v>
      </c>
      <c r="G1102" s="5">
        <v>3.41</v>
      </c>
      <c r="H1102" s="4">
        <v>0</v>
      </c>
    </row>
    <row r="1103" spans="1:8" x14ac:dyDescent="0.2">
      <c r="A1103" s="2" t="s">
        <v>202</v>
      </c>
      <c r="B1103" s="4">
        <v>4</v>
      </c>
      <c r="C1103" s="5">
        <v>2.0699999999999998</v>
      </c>
      <c r="D1103" s="4">
        <v>2</v>
      </c>
      <c r="E1103" s="5">
        <v>1.9</v>
      </c>
      <c r="F1103" s="4">
        <v>2</v>
      </c>
      <c r="G1103" s="5">
        <v>2.27</v>
      </c>
      <c r="H1103" s="4">
        <v>0</v>
      </c>
    </row>
    <row r="1104" spans="1:8" x14ac:dyDescent="0.2">
      <c r="A1104" s="2" t="s">
        <v>203</v>
      </c>
      <c r="B1104" s="4">
        <v>7</v>
      </c>
      <c r="C1104" s="5">
        <v>3.63</v>
      </c>
      <c r="D1104" s="4">
        <v>4</v>
      </c>
      <c r="E1104" s="5">
        <v>3.81</v>
      </c>
      <c r="F1104" s="4">
        <v>3</v>
      </c>
      <c r="G1104" s="5">
        <v>3.41</v>
      </c>
      <c r="H1104" s="4">
        <v>0</v>
      </c>
    </row>
    <row r="1105" spans="1:8" x14ac:dyDescent="0.2">
      <c r="A1105" s="2" t="s">
        <v>204</v>
      </c>
      <c r="B1105" s="4">
        <v>5</v>
      </c>
      <c r="C1105" s="5">
        <v>2.59</v>
      </c>
      <c r="D1105" s="4">
        <v>2</v>
      </c>
      <c r="E1105" s="5">
        <v>1.9</v>
      </c>
      <c r="F1105" s="4">
        <v>3</v>
      </c>
      <c r="G1105" s="5">
        <v>3.41</v>
      </c>
      <c r="H1105" s="4">
        <v>0</v>
      </c>
    </row>
    <row r="1106" spans="1:8" x14ac:dyDescent="0.2">
      <c r="A1106" s="1" t="s">
        <v>69</v>
      </c>
      <c r="B1106" s="4">
        <v>75</v>
      </c>
      <c r="C1106" s="5">
        <v>100.01</v>
      </c>
      <c r="D1106" s="4">
        <v>47</v>
      </c>
      <c r="E1106" s="5">
        <v>100.00999999999999</v>
      </c>
      <c r="F1106" s="4">
        <v>21</v>
      </c>
      <c r="G1106" s="5">
        <v>100</v>
      </c>
      <c r="H1106" s="4">
        <v>1</v>
      </c>
    </row>
    <row r="1107" spans="1:8" x14ac:dyDescent="0.2">
      <c r="A1107" s="2" t="s">
        <v>190</v>
      </c>
      <c r="B1107" s="4">
        <v>0</v>
      </c>
      <c r="C1107" s="5">
        <v>0</v>
      </c>
      <c r="D1107" s="4">
        <v>0</v>
      </c>
      <c r="E1107" s="5">
        <v>0</v>
      </c>
      <c r="F1107" s="4">
        <v>0</v>
      </c>
      <c r="G1107" s="5">
        <v>0</v>
      </c>
      <c r="H1107" s="4">
        <v>0</v>
      </c>
    </row>
    <row r="1108" spans="1:8" x14ac:dyDescent="0.2">
      <c r="A1108" s="2" t="s">
        <v>191</v>
      </c>
      <c r="B1108" s="4">
        <v>8</v>
      </c>
      <c r="C1108" s="5">
        <v>10.67</v>
      </c>
      <c r="D1108" s="4">
        <v>5</v>
      </c>
      <c r="E1108" s="5">
        <v>10.64</v>
      </c>
      <c r="F1108" s="4">
        <v>3</v>
      </c>
      <c r="G1108" s="5">
        <v>14.29</v>
      </c>
      <c r="H1108" s="4">
        <v>0</v>
      </c>
    </row>
    <row r="1109" spans="1:8" x14ac:dyDescent="0.2">
      <c r="A1109" s="2" t="s">
        <v>192</v>
      </c>
      <c r="B1109" s="4">
        <v>1</v>
      </c>
      <c r="C1109" s="5">
        <v>1.33</v>
      </c>
      <c r="D1109" s="4">
        <v>0</v>
      </c>
      <c r="E1109" s="5">
        <v>0</v>
      </c>
      <c r="F1109" s="4">
        <v>1</v>
      </c>
      <c r="G1109" s="5">
        <v>4.76</v>
      </c>
      <c r="H1109" s="4">
        <v>0</v>
      </c>
    </row>
    <row r="1110" spans="1:8" x14ac:dyDescent="0.2">
      <c r="A1110" s="2" t="s">
        <v>193</v>
      </c>
      <c r="B1110" s="4">
        <v>1</v>
      </c>
      <c r="C1110" s="5">
        <v>1.33</v>
      </c>
      <c r="D1110" s="4">
        <v>0</v>
      </c>
      <c r="E1110" s="5">
        <v>0</v>
      </c>
      <c r="F1110" s="4">
        <v>0</v>
      </c>
      <c r="G1110" s="5">
        <v>0</v>
      </c>
      <c r="H1110" s="4">
        <v>0</v>
      </c>
    </row>
    <row r="1111" spans="1:8" x14ac:dyDescent="0.2">
      <c r="A1111" s="2" t="s">
        <v>194</v>
      </c>
      <c r="B1111" s="4">
        <v>0</v>
      </c>
      <c r="C1111" s="5">
        <v>0</v>
      </c>
      <c r="D1111" s="4">
        <v>0</v>
      </c>
      <c r="E1111" s="5">
        <v>0</v>
      </c>
      <c r="F1111" s="4">
        <v>0</v>
      </c>
      <c r="G1111" s="5">
        <v>0</v>
      </c>
      <c r="H1111" s="4">
        <v>0</v>
      </c>
    </row>
    <row r="1112" spans="1:8" x14ac:dyDescent="0.2">
      <c r="A1112" s="2" t="s">
        <v>195</v>
      </c>
      <c r="B1112" s="4">
        <v>3</v>
      </c>
      <c r="C1112" s="5">
        <v>4</v>
      </c>
      <c r="D1112" s="4">
        <v>1</v>
      </c>
      <c r="E1112" s="5">
        <v>2.13</v>
      </c>
      <c r="F1112" s="4">
        <v>1</v>
      </c>
      <c r="G1112" s="5">
        <v>4.76</v>
      </c>
      <c r="H1112" s="4">
        <v>1</v>
      </c>
    </row>
    <row r="1113" spans="1:8" x14ac:dyDescent="0.2">
      <c r="A1113" s="2" t="s">
        <v>196</v>
      </c>
      <c r="B1113" s="4">
        <v>18</v>
      </c>
      <c r="C1113" s="5">
        <v>24</v>
      </c>
      <c r="D1113" s="4">
        <v>11</v>
      </c>
      <c r="E1113" s="5">
        <v>23.4</v>
      </c>
      <c r="F1113" s="4">
        <v>7</v>
      </c>
      <c r="G1113" s="5">
        <v>33.33</v>
      </c>
      <c r="H1113" s="4">
        <v>0</v>
      </c>
    </row>
    <row r="1114" spans="1:8" x14ac:dyDescent="0.2">
      <c r="A1114" s="2" t="s">
        <v>197</v>
      </c>
      <c r="B1114" s="4">
        <v>0</v>
      </c>
      <c r="C1114" s="5">
        <v>0</v>
      </c>
      <c r="D1114" s="4">
        <v>0</v>
      </c>
      <c r="E1114" s="5">
        <v>0</v>
      </c>
      <c r="F1114" s="4">
        <v>0</v>
      </c>
      <c r="G1114" s="5">
        <v>0</v>
      </c>
      <c r="H1114" s="4">
        <v>0</v>
      </c>
    </row>
    <row r="1115" spans="1:8" x14ac:dyDescent="0.2">
      <c r="A1115" s="2" t="s">
        <v>198</v>
      </c>
      <c r="B1115" s="4">
        <v>2</v>
      </c>
      <c r="C1115" s="5">
        <v>2.67</v>
      </c>
      <c r="D1115" s="4">
        <v>1</v>
      </c>
      <c r="E1115" s="5">
        <v>2.13</v>
      </c>
      <c r="F1115" s="4">
        <v>1</v>
      </c>
      <c r="G1115" s="5">
        <v>4.76</v>
      </c>
      <c r="H1115" s="4">
        <v>0</v>
      </c>
    </row>
    <row r="1116" spans="1:8" x14ac:dyDescent="0.2">
      <c r="A1116" s="2" t="s">
        <v>199</v>
      </c>
      <c r="B1116" s="4">
        <v>0</v>
      </c>
      <c r="C1116" s="5">
        <v>0</v>
      </c>
      <c r="D1116" s="4">
        <v>0</v>
      </c>
      <c r="E1116" s="5">
        <v>0</v>
      </c>
      <c r="F1116" s="4">
        <v>0</v>
      </c>
      <c r="G1116" s="5">
        <v>0</v>
      </c>
      <c r="H1116" s="4">
        <v>0</v>
      </c>
    </row>
    <row r="1117" spans="1:8" x14ac:dyDescent="0.2">
      <c r="A1117" s="2" t="s">
        <v>200</v>
      </c>
      <c r="B1117" s="4">
        <v>27</v>
      </c>
      <c r="C1117" s="5">
        <v>36</v>
      </c>
      <c r="D1117" s="4">
        <v>21</v>
      </c>
      <c r="E1117" s="5">
        <v>44.68</v>
      </c>
      <c r="F1117" s="4">
        <v>5</v>
      </c>
      <c r="G1117" s="5">
        <v>23.81</v>
      </c>
      <c r="H1117" s="4">
        <v>0</v>
      </c>
    </row>
    <row r="1118" spans="1:8" x14ac:dyDescent="0.2">
      <c r="A1118" s="2" t="s">
        <v>201</v>
      </c>
      <c r="B1118" s="4">
        <v>6</v>
      </c>
      <c r="C1118" s="5">
        <v>8</v>
      </c>
      <c r="D1118" s="4">
        <v>5</v>
      </c>
      <c r="E1118" s="5">
        <v>10.64</v>
      </c>
      <c r="F1118" s="4">
        <v>0</v>
      </c>
      <c r="G1118" s="5">
        <v>0</v>
      </c>
      <c r="H1118" s="4">
        <v>0</v>
      </c>
    </row>
    <row r="1119" spans="1:8" x14ac:dyDescent="0.2">
      <c r="A1119" s="2" t="s">
        <v>202</v>
      </c>
      <c r="B1119" s="4">
        <v>2</v>
      </c>
      <c r="C1119" s="5">
        <v>2.67</v>
      </c>
      <c r="D1119" s="4">
        <v>1</v>
      </c>
      <c r="E1119" s="5">
        <v>2.13</v>
      </c>
      <c r="F1119" s="4">
        <v>0</v>
      </c>
      <c r="G1119" s="5">
        <v>0</v>
      </c>
      <c r="H1119" s="4">
        <v>0</v>
      </c>
    </row>
    <row r="1120" spans="1:8" x14ac:dyDescent="0.2">
      <c r="A1120" s="2" t="s">
        <v>203</v>
      </c>
      <c r="B1120" s="4">
        <v>5</v>
      </c>
      <c r="C1120" s="5">
        <v>6.67</v>
      </c>
      <c r="D1120" s="4">
        <v>1</v>
      </c>
      <c r="E1120" s="5">
        <v>2.13</v>
      </c>
      <c r="F1120" s="4">
        <v>3</v>
      </c>
      <c r="G1120" s="5">
        <v>14.29</v>
      </c>
      <c r="H1120" s="4">
        <v>0</v>
      </c>
    </row>
    <row r="1121" spans="1:8" x14ac:dyDescent="0.2">
      <c r="A1121" s="2" t="s">
        <v>204</v>
      </c>
      <c r="B1121" s="4">
        <v>2</v>
      </c>
      <c r="C1121" s="5">
        <v>2.67</v>
      </c>
      <c r="D1121" s="4">
        <v>1</v>
      </c>
      <c r="E1121" s="5">
        <v>2.13</v>
      </c>
      <c r="F1121" s="4">
        <v>0</v>
      </c>
      <c r="G1121" s="5">
        <v>0</v>
      </c>
      <c r="H1121" s="4">
        <v>0</v>
      </c>
    </row>
    <row r="1122" spans="1:8" x14ac:dyDescent="0.2">
      <c r="A1122" s="1" t="s">
        <v>70</v>
      </c>
      <c r="B1122" s="4">
        <v>70</v>
      </c>
      <c r="C1122" s="5">
        <v>100</v>
      </c>
      <c r="D1122" s="4">
        <v>39</v>
      </c>
      <c r="E1122" s="5">
        <v>100</v>
      </c>
      <c r="F1122" s="4">
        <v>27</v>
      </c>
      <c r="G1122" s="5">
        <v>99.99</v>
      </c>
      <c r="H1122" s="4">
        <v>0</v>
      </c>
    </row>
    <row r="1123" spans="1:8" x14ac:dyDescent="0.2">
      <c r="A1123" s="2" t="s">
        <v>190</v>
      </c>
      <c r="B1123" s="4">
        <v>0</v>
      </c>
      <c r="C1123" s="5">
        <v>0</v>
      </c>
      <c r="D1123" s="4">
        <v>0</v>
      </c>
      <c r="E1123" s="5">
        <v>0</v>
      </c>
      <c r="F1123" s="4">
        <v>0</v>
      </c>
      <c r="G1123" s="5">
        <v>0</v>
      </c>
      <c r="H1123" s="4">
        <v>0</v>
      </c>
    </row>
    <row r="1124" spans="1:8" x14ac:dyDescent="0.2">
      <c r="A1124" s="2" t="s">
        <v>191</v>
      </c>
      <c r="B1124" s="4">
        <v>2</v>
      </c>
      <c r="C1124" s="5">
        <v>2.86</v>
      </c>
      <c r="D1124" s="4">
        <v>0</v>
      </c>
      <c r="E1124" s="5">
        <v>0</v>
      </c>
      <c r="F1124" s="4">
        <v>2</v>
      </c>
      <c r="G1124" s="5">
        <v>7.41</v>
      </c>
      <c r="H1124" s="4">
        <v>0</v>
      </c>
    </row>
    <row r="1125" spans="1:8" x14ac:dyDescent="0.2">
      <c r="A1125" s="2" t="s">
        <v>192</v>
      </c>
      <c r="B1125" s="4">
        <v>4</v>
      </c>
      <c r="C1125" s="5">
        <v>5.71</v>
      </c>
      <c r="D1125" s="4">
        <v>3</v>
      </c>
      <c r="E1125" s="5">
        <v>7.69</v>
      </c>
      <c r="F1125" s="4">
        <v>1</v>
      </c>
      <c r="G1125" s="5">
        <v>3.7</v>
      </c>
      <c r="H1125" s="4">
        <v>0</v>
      </c>
    </row>
    <row r="1126" spans="1:8" x14ac:dyDescent="0.2">
      <c r="A1126" s="2" t="s">
        <v>193</v>
      </c>
      <c r="B1126" s="4">
        <v>2</v>
      </c>
      <c r="C1126" s="5">
        <v>2.86</v>
      </c>
      <c r="D1126" s="4">
        <v>0</v>
      </c>
      <c r="E1126" s="5">
        <v>0</v>
      </c>
      <c r="F1126" s="4">
        <v>1</v>
      </c>
      <c r="G1126" s="5">
        <v>3.7</v>
      </c>
      <c r="H1126" s="4">
        <v>0</v>
      </c>
    </row>
    <row r="1127" spans="1:8" x14ac:dyDescent="0.2">
      <c r="A1127" s="2" t="s">
        <v>194</v>
      </c>
      <c r="B1127" s="4">
        <v>0</v>
      </c>
      <c r="C1127" s="5">
        <v>0</v>
      </c>
      <c r="D1127" s="4">
        <v>0</v>
      </c>
      <c r="E1127" s="5">
        <v>0</v>
      </c>
      <c r="F1127" s="4">
        <v>0</v>
      </c>
      <c r="G1127" s="5">
        <v>0</v>
      </c>
      <c r="H1127" s="4">
        <v>0</v>
      </c>
    </row>
    <row r="1128" spans="1:8" x14ac:dyDescent="0.2">
      <c r="A1128" s="2" t="s">
        <v>195</v>
      </c>
      <c r="B1128" s="4">
        <v>0</v>
      </c>
      <c r="C1128" s="5">
        <v>0</v>
      </c>
      <c r="D1128" s="4">
        <v>0</v>
      </c>
      <c r="E1128" s="5">
        <v>0</v>
      </c>
      <c r="F1128" s="4">
        <v>0</v>
      </c>
      <c r="G1128" s="5">
        <v>0</v>
      </c>
      <c r="H1128" s="4">
        <v>0</v>
      </c>
    </row>
    <row r="1129" spans="1:8" x14ac:dyDescent="0.2">
      <c r="A1129" s="2" t="s">
        <v>196</v>
      </c>
      <c r="B1129" s="4">
        <v>18</v>
      </c>
      <c r="C1129" s="5">
        <v>25.71</v>
      </c>
      <c r="D1129" s="4">
        <v>11</v>
      </c>
      <c r="E1129" s="5">
        <v>28.21</v>
      </c>
      <c r="F1129" s="4">
        <v>7</v>
      </c>
      <c r="G1129" s="5">
        <v>25.93</v>
      </c>
      <c r="H1129" s="4">
        <v>0</v>
      </c>
    </row>
    <row r="1130" spans="1:8" x14ac:dyDescent="0.2">
      <c r="A1130" s="2" t="s">
        <v>197</v>
      </c>
      <c r="B1130" s="4">
        <v>0</v>
      </c>
      <c r="C1130" s="5">
        <v>0</v>
      </c>
      <c r="D1130" s="4">
        <v>0</v>
      </c>
      <c r="E1130" s="5">
        <v>0</v>
      </c>
      <c r="F1130" s="4">
        <v>0</v>
      </c>
      <c r="G1130" s="5">
        <v>0</v>
      </c>
      <c r="H1130" s="4">
        <v>0</v>
      </c>
    </row>
    <row r="1131" spans="1:8" x14ac:dyDescent="0.2">
      <c r="A1131" s="2" t="s">
        <v>198</v>
      </c>
      <c r="B1131" s="4">
        <v>8</v>
      </c>
      <c r="C1131" s="5">
        <v>11.43</v>
      </c>
      <c r="D1131" s="4">
        <v>7</v>
      </c>
      <c r="E1131" s="5">
        <v>17.95</v>
      </c>
      <c r="F1131" s="4">
        <v>0</v>
      </c>
      <c r="G1131" s="5">
        <v>0</v>
      </c>
      <c r="H1131" s="4">
        <v>0</v>
      </c>
    </row>
    <row r="1132" spans="1:8" x14ac:dyDescent="0.2">
      <c r="A1132" s="2" t="s">
        <v>199</v>
      </c>
      <c r="B1132" s="4">
        <v>0</v>
      </c>
      <c r="C1132" s="5">
        <v>0</v>
      </c>
      <c r="D1132" s="4">
        <v>0</v>
      </c>
      <c r="E1132" s="5">
        <v>0</v>
      </c>
      <c r="F1132" s="4">
        <v>0</v>
      </c>
      <c r="G1132" s="5">
        <v>0</v>
      </c>
      <c r="H1132" s="4">
        <v>0</v>
      </c>
    </row>
    <row r="1133" spans="1:8" x14ac:dyDescent="0.2">
      <c r="A1133" s="2" t="s">
        <v>200</v>
      </c>
      <c r="B1133" s="4">
        <v>26</v>
      </c>
      <c r="C1133" s="5">
        <v>37.14</v>
      </c>
      <c r="D1133" s="4">
        <v>14</v>
      </c>
      <c r="E1133" s="5">
        <v>35.9</v>
      </c>
      <c r="F1133" s="4">
        <v>11</v>
      </c>
      <c r="G1133" s="5">
        <v>40.74</v>
      </c>
      <c r="H1133" s="4">
        <v>0</v>
      </c>
    </row>
    <row r="1134" spans="1:8" x14ac:dyDescent="0.2">
      <c r="A1134" s="2" t="s">
        <v>201</v>
      </c>
      <c r="B1134" s="4">
        <v>2</v>
      </c>
      <c r="C1134" s="5">
        <v>2.86</v>
      </c>
      <c r="D1134" s="4">
        <v>2</v>
      </c>
      <c r="E1134" s="5">
        <v>5.13</v>
      </c>
      <c r="F1134" s="4">
        <v>0</v>
      </c>
      <c r="G1134" s="5">
        <v>0</v>
      </c>
      <c r="H1134" s="4">
        <v>0</v>
      </c>
    </row>
    <row r="1135" spans="1:8" x14ac:dyDescent="0.2">
      <c r="A1135" s="2" t="s">
        <v>202</v>
      </c>
      <c r="B1135" s="4">
        <v>2</v>
      </c>
      <c r="C1135" s="5">
        <v>2.86</v>
      </c>
      <c r="D1135" s="4">
        <v>1</v>
      </c>
      <c r="E1135" s="5">
        <v>2.56</v>
      </c>
      <c r="F1135" s="4">
        <v>1</v>
      </c>
      <c r="G1135" s="5">
        <v>3.7</v>
      </c>
      <c r="H1135" s="4">
        <v>0</v>
      </c>
    </row>
    <row r="1136" spans="1:8" x14ac:dyDescent="0.2">
      <c r="A1136" s="2" t="s">
        <v>203</v>
      </c>
      <c r="B1136" s="4">
        <v>2</v>
      </c>
      <c r="C1136" s="5">
        <v>2.86</v>
      </c>
      <c r="D1136" s="4">
        <v>0</v>
      </c>
      <c r="E1136" s="5">
        <v>0</v>
      </c>
      <c r="F1136" s="4">
        <v>1</v>
      </c>
      <c r="G1136" s="5">
        <v>3.7</v>
      </c>
      <c r="H1136" s="4">
        <v>0</v>
      </c>
    </row>
    <row r="1137" spans="1:8" x14ac:dyDescent="0.2">
      <c r="A1137" s="2" t="s">
        <v>204</v>
      </c>
      <c r="B1137" s="4">
        <v>4</v>
      </c>
      <c r="C1137" s="5">
        <v>5.71</v>
      </c>
      <c r="D1137" s="4">
        <v>1</v>
      </c>
      <c r="E1137" s="5">
        <v>2.56</v>
      </c>
      <c r="F1137" s="4">
        <v>3</v>
      </c>
      <c r="G1137" s="5">
        <v>11.11</v>
      </c>
      <c r="H1137" s="4">
        <v>0</v>
      </c>
    </row>
    <row r="1138" spans="1:8" x14ac:dyDescent="0.2">
      <c r="A1138" s="1" t="s">
        <v>71</v>
      </c>
      <c r="B1138" s="4">
        <v>69</v>
      </c>
      <c r="C1138" s="5">
        <v>100.02</v>
      </c>
      <c r="D1138" s="4">
        <v>41</v>
      </c>
      <c r="E1138" s="5">
        <v>100.01</v>
      </c>
      <c r="F1138" s="4">
        <v>27</v>
      </c>
      <c r="G1138" s="5">
        <v>99.98</v>
      </c>
      <c r="H1138" s="4">
        <v>0</v>
      </c>
    </row>
    <row r="1139" spans="1:8" x14ac:dyDescent="0.2">
      <c r="A1139" s="2" t="s">
        <v>190</v>
      </c>
      <c r="B1139" s="4">
        <v>1</v>
      </c>
      <c r="C1139" s="5">
        <v>1.45</v>
      </c>
      <c r="D1139" s="4">
        <v>0</v>
      </c>
      <c r="E1139" s="5">
        <v>0</v>
      </c>
      <c r="F1139" s="4">
        <v>1</v>
      </c>
      <c r="G1139" s="5">
        <v>3.7</v>
      </c>
      <c r="H1139" s="4">
        <v>0</v>
      </c>
    </row>
    <row r="1140" spans="1:8" x14ac:dyDescent="0.2">
      <c r="A1140" s="2" t="s">
        <v>191</v>
      </c>
      <c r="B1140" s="4">
        <v>5</v>
      </c>
      <c r="C1140" s="5">
        <v>7.25</v>
      </c>
      <c r="D1140" s="4">
        <v>1</v>
      </c>
      <c r="E1140" s="5">
        <v>2.44</v>
      </c>
      <c r="F1140" s="4">
        <v>4</v>
      </c>
      <c r="G1140" s="5">
        <v>14.81</v>
      </c>
      <c r="H1140" s="4">
        <v>0</v>
      </c>
    </row>
    <row r="1141" spans="1:8" x14ac:dyDescent="0.2">
      <c r="A1141" s="2" t="s">
        <v>192</v>
      </c>
      <c r="B1141" s="4">
        <v>2</v>
      </c>
      <c r="C1141" s="5">
        <v>2.9</v>
      </c>
      <c r="D1141" s="4">
        <v>1</v>
      </c>
      <c r="E1141" s="5">
        <v>2.44</v>
      </c>
      <c r="F1141" s="4">
        <v>1</v>
      </c>
      <c r="G1141" s="5">
        <v>3.7</v>
      </c>
      <c r="H1141" s="4">
        <v>0</v>
      </c>
    </row>
    <row r="1142" spans="1:8" x14ac:dyDescent="0.2">
      <c r="A1142" s="2" t="s">
        <v>193</v>
      </c>
      <c r="B1142" s="4">
        <v>2</v>
      </c>
      <c r="C1142" s="5">
        <v>2.9</v>
      </c>
      <c r="D1142" s="4">
        <v>0</v>
      </c>
      <c r="E1142" s="5">
        <v>0</v>
      </c>
      <c r="F1142" s="4">
        <v>1</v>
      </c>
      <c r="G1142" s="5">
        <v>3.7</v>
      </c>
      <c r="H1142" s="4">
        <v>0</v>
      </c>
    </row>
    <row r="1143" spans="1:8" x14ac:dyDescent="0.2">
      <c r="A1143" s="2" t="s">
        <v>194</v>
      </c>
      <c r="B1143" s="4">
        <v>0</v>
      </c>
      <c r="C1143" s="5">
        <v>0</v>
      </c>
      <c r="D1143" s="4">
        <v>0</v>
      </c>
      <c r="E1143" s="5">
        <v>0</v>
      </c>
      <c r="F1143" s="4">
        <v>0</v>
      </c>
      <c r="G1143" s="5">
        <v>0</v>
      </c>
      <c r="H1143" s="4">
        <v>0</v>
      </c>
    </row>
    <row r="1144" spans="1:8" x14ac:dyDescent="0.2">
      <c r="A1144" s="2" t="s">
        <v>195</v>
      </c>
      <c r="B1144" s="4">
        <v>2</v>
      </c>
      <c r="C1144" s="5">
        <v>2.9</v>
      </c>
      <c r="D1144" s="4">
        <v>0</v>
      </c>
      <c r="E1144" s="5">
        <v>0</v>
      </c>
      <c r="F1144" s="4">
        <v>2</v>
      </c>
      <c r="G1144" s="5">
        <v>7.41</v>
      </c>
      <c r="H1144" s="4">
        <v>0</v>
      </c>
    </row>
    <row r="1145" spans="1:8" x14ac:dyDescent="0.2">
      <c r="A1145" s="2" t="s">
        <v>196</v>
      </c>
      <c r="B1145" s="4">
        <v>23</v>
      </c>
      <c r="C1145" s="5">
        <v>33.33</v>
      </c>
      <c r="D1145" s="4">
        <v>16</v>
      </c>
      <c r="E1145" s="5">
        <v>39.020000000000003</v>
      </c>
      <c r="F1145" s="4">
        <v>7</v>
      </c>
      <c r="G1145" s="5">
        <v>25.93</v>
      </c>
      <c r="H1145" s="4">
        <v>0</v>
      </c>
    </row>
    <row r="1146" spans="1:8" x14ac:dyDescent="0.2">
      <c r="A1146" s="2" t="s">
        <v>197</v>
      </c>
      <c r="B1146" s="4">
        <v>1</v>
      </c>
      <c r="C1146" s="5">
        <v>1.45</v>
      </c>
      <c r="D1146" s="4">
        <v>1</v>
      </c>
      <c r="E1146" s="5">
        <v>2.44</v>
      </c>
      <c r="F1146" s="4">
        <v>0</v>
      </c>
      <c r="G1146" s="5">
        <v>0</v>
      </c>
      <c r="H1146" s="4">
        <v>0</v>
      </c>
    </row>
    <row r="1147" spans="1:8" x14ac:dyDescent="0.2">
      <c r="A1147" s="2" t="s">
        <v>198</v>
      </c>
      <c r="B1147" s="4">
        <v>1</v>
      </c>
      <c r="C1147" s="5">
        <v>1.45</v>
      </c>
      <c r="D1147" s="4">
        <v>1</v>
      </c>
      <c r="E1147" s="5">
        <v>2.44</v>
      </c>
      <c r="F1147" s="4">
        <v>0</v>
      </c>
      <c r="G1147" s="5">
        <v>0</v>
      </c>
      <c r="H1147" s="4">
        <v>0</v>
      </c>
    </row>
    <row r="1148" spans="1:8" x14ac:dyDescent="0.2">
      <c r="A1148" s="2" t="s">
        <v>199</v>
      </c>
      <c r="B1148" s="4">
        <v>3</v>
      </c>
      <c r="C1148" s="5">
        <v>4.3499999999999996</v>
      </c>
      <c r="D1148" s="4">
        <v>0</v>
      </c>
      <c r="E1148" s="5">
        <v>0</v>
      </c>
      <c r="F1148" s="4">
        <v>3</v>
      </c>
      <c r="G1148" s="5">
        <v>11.11</v>
      </c>
      <c r="H1148" s="4">
        <v>0</v>
      </c>
    </row>
    <row r="1149" spans="1:8" x14ac:dyDescent="0.2">
      <c r="A1149" s="2" t="s">
        <v>200</v>
      </c>
      <c r="B1149" s="4">
        <v>16</v>
      </c>
      <c r="C1149" s="5">
        <v>23.19</v>
      </c>
      <c r="D1149" s="4">
        <v>13</v>
      </c>
      <c r="E1149" s="5">
        <v>31.71</v>
      </c>
      <c r="F1149" s="4">
        <v>3</v>
      </c>
      <c r="G1149" s="5">
        <v>11.11</v>
      </c>
      <c r="H1149" s="4">
        <v>0</v>
      </c>
    </row>
    <row r="1150" spans="1:8" x14ac:dyDescent="0.2">
      <c r="A1150" s="2" t="s">
        <v>201</v>
      </c>
      <c r="B1150" s="4">
        <v>6</v>
      </c>
      <c r="C1150" s="5">
        <v>8.6999999999999993</v>
      </c>
      <c r="D1150" s="4">
        <v>5</v>
      </c>
      <c r="E1150" s="5">
        <v>12.2</v>
      </c>
      <c r="F1150" s="4">
        <v>1</v>
      </c>
      <c r="G1150" s="5">
        <v>3.7</v>
      </c>
      <c r="H1150" s="4">
        <v>0</v>
      </c>
    </row>
    <row r="1151" spans="1:8" x14ac:dyDescent="0.2">
      <c r="A1151" s="2" t="s">
        <v>202</v>
      </c>
      <c r="B1151" s="4">
        <v>1</v>
      </c>
      <c r="C1151" s="5">
        <v>1.45</v>
      </c>
      <c r="D1151" s="4">
        <v>1</v>
      </c>
      <c r="E1151" s="5">
        <v>2.44</v>
      </c>
      <c r="F1151" s="4">
        <v>0</v>
      </c>
      <c r="G1151" s="5">
        <v>0</v>
      </c>
      <c r="H1151" s="4">
        <v>0</v>
      </c>
    </row>
    <row r="1152" spans="1:8" x14ac:dyDescent="0.2">
      <c r="A1152" s="2" t="s">
        <v>203</v>
      </c>
      <c r="B1152" s="4">
        <v>3</v>
      </c>
      <c r="C1152" s="5">
        <v>4.3499999999999996</v>
      </c>
      <c r="D1152" s="4">
        <v>0</v>
      </c>
      <c r="E1152" s="5">
        <v>0</v>
      </c>
      <c r="F1152" s="4">
        <v>3</v>
      </c>
      <c r="G1152" s="5">
        <v>11.11</v>
      </c>
      <c r="H1152" s="4">
        <v>0</v>
      </c>
    </row>
    <row r="1153" spans="1:8" x14ac:dyDescent="0.2">
      <c r="A1153" s="2" t="s">
        <v>204</v>
      </c>
      <c r="B1153" s="4">
        <v>3</v>
      </c>
      <c r="C1153" s="5">
        <v>4.3499999999999996</v>
      </c>
      <c r="D1153" s="4">
        <v>2</v>
      </c>
      <c r="E1153" s="5">
        <v>4.88</v>
      </c>
      <c r="F1153" s="4">
        <v>1</v>
      </c>
      <c r="G1153" s="5">
        <v>3.7</v>
      </c>
      <c r="H1153" s="4">
        <v>0</v>
      </c>
    </row>
    <row r="1154" spans="1:8" x14ac:dyDescent="0.2">
      <c r="A1154" s="1" t="s">
        <v>72</v>
      </c>
      <c r="B1154" s="4">
        <v>85</v>
      </c>
      <c r="C1154" s="5">
        <v>100</v>
      </c>
      <c r="D1154" s="4">
        <v>49</v>
      </c>
      <c r="E1154" s="5">
        <v>99.990000000000009</v>
      </c>
      <c r="F1154" s="4">
        <v>34</v>
      </c>
      <c r="G1154" s="5">
        <v>99.989999999999981</v>
      </c>
      <c r="H1154" s="4">
        <v>0</v>
      </c>
    </row>
    <row r="1155" spans="1:8" x14ac:dyDescent="0.2">
      <c r="A1155" s="2" t="s">
        <v>190</v>
      </c>
      <c r="B1155" s="4">
        <v>0</v>
      </c>
      <c r="C1155" s="5">
        <v>0</v>
      </c>
      <c r="D1155" s="4">
        <v>0</v>
      </c>
      <c r="E1155" s="5">
        <v>0</v>
      </c>
      <c r="F1155" s="4">
        <v>0</v>
      </c>
      <c r="G1155" s="5">
        <v>0</v>
      </c>
      <c r="H1155" s="4">
        <v>0</v>
      </c>
    </row>
    <row r="1156" spans="1:8" x14ac:dyDescent="0.2">
      <c r="A1156" s="2" t="s">
        <v>191</v>
      </c>
      <c r="B1156" s="4">
        <v>11</v>
      </c>
      <c r="C1156" s="5">
        <v>12.94</v>
      </c>
      <c r="D1156" s="4">
        <v>4</v>
      </c>
      <c r="E1156" s="5">
        <v>8.16</v>
      </c>
      <c r="F1156" s="4">
        <v>7</v>
      </c>
      <c r="G1156" s="5">
        <v>20.59</v>
      </c>
      <c r="H1156" s="4">
        <v>0</v>
      </c>
    </row>
    <row r="1157" spans="1:8" x14ac:dyDescent="0.2">
      <c r="A1157" s="2" t="s">
        <v>192</v>
      </c>
      <c r="B1157" s="4">
        <v>5</v>
      </c>
      <c r="C1157" s="5">
        <v>5.88</v>
      </c>
      <c r="D1157" s="4">
        <v>1</v>
      </c>
      <c r="E1157" s="5">
        <v>2.04</v>
      </c>
      <c r="F1157" s="4">
        <v>4</v>
      </c>
      <c r="G1157" s="5">
        <v>11.76</v>
      </c>
      <c r="H1157" s="4">
        <v>0</v>
      </c>
    </row>
    <row r="1158" spans="1:8" x14ac:dyDescent="0.2">
      <c r="A1158" s="2" t="s">
        <v>193</v>
      </c>
      <c r="B1158" s="4">
        <v>1</v>
      </c>
      <c r="C1158" s="5">
        <v>1.18</v>
      </c>
      <c r="D1158" s="4">
        <v>0</v>
      </c>
      <c r="E1158" s="5">
        <v>0</v>
      </c>
      <c r="F1158" s="4">
        <v>0</v>
      </c>
      <c r="G1158" s="5">
        <v>0</v>
      </c>
      <c r="H1158" s="4">
        <v>0</v>
      </c>
    </row>
    <row r="1159" spans="1:8" x14ac:dyDescent="0.2">
      <c r="A1159" s="2" t="s">
        <v>194</v>
      </c>
      <c r="B1159" s="4">
        <v>0</v>
      </c>
      <c r="C1159" s="5">
        <v>0</v>
      </c>
      <c r="D1159" s="4">
        <v>0</v>
      </c>
      <c r="E1159" s="5">
        <v>0</v>
      </c>
      <c r="F1159" s="4">
        <v>0</v>
      </c>
      <c r="G1159" s="5">
        <v>0</v>
      </c>
      <c r="H1159" s="4">
        <v>0</v>
      </c>
    </row>
    <row r="1160" spans="1:8" x14ac:dyDescent="0.2">
      <c r="A1160" s="2" t="s">
        <v>195</v>
      </c>
      <c r="B1160" s="4">
        <v>3</v>
      </c>
      <c r="C1160" s="5">
        <v>3.53</v>
      </c>
      <c r="D1160" s="4">
        <v>0</v>
      </c>
      <c r="E1160" s="5">
        <v>0</v>
      </c>
      <c r="F1160" s="4">
        <v>3</v>
      </c>
      <c r="G1160" s="5">
        <v>8.82</v>
      </c>
      <c r="H1160" s="4">
        <v>0</v>
      </c>
    </row>
    <row r="1161" spans="1:8" x14ac:dyDescent="0.2">
      <c r="A1161" s="2" t="s">
        <v>196</v>
      </c>
      <c r="B1161" s="4">
        <v>21</v>
      </c>
      <c r="C1161" s="5">
        <v>24.71</v>
      </c>
      <c r="D1161" s="4">
        <v>15</v>
      </c>
      <c r="E1161" s="5">
        <v>30.61</v>
      </c>
      <c r="F1161" s="4">
        <v>6</v>
      </c>
      <c r="G1161" s="5">
        <v>17.649999999999999</v>
      </c>
      <c r="H1161" s="4">
        <v>0</v>
      </c>
    </row>
    <row r="1162" spans="1:8" x14ac:dyDescent="0.2">
      <c r="A1162" s="2" t="s">
        <v>197</v>
      </c>
      <c r="B1162" s="4">
        <v>0</v>
      </c>
      <c r="C1162" s="5">
        <v>0</v>
      </c>
      <c r="D1162" s="4">
        <v>0</v>
      </c>
      <c r="E1162" s="5">
        <v>0</v>
      </c>
      <c r="F1162" s="4">
        <v>0</v>
      </c>
      <c r="G1162" s="5">
        <v>0</v>
      </c>
      <c r="H1162" s="4">
        <v>0</v>
      </c>
    </row>
    <row r="1163" spans="1:8" x14ac:dyDescent="0.2">
      <c r="A1163" s="2" t="s">
        <v>198</v>
      </c>
      <c r="B1163" s="4">
        <v>10</v>
      </c>
      <c r="C1163" s="5">
        <v>11.76</v>
      </c>
      <c r="D1163" s="4">
        <v>4</v>
      </c>
      <c r="E1163" s="5">
        <v>8.16</v>
      </c>
      <c r="F1163" s="4">
        <v>6</v>
      </c>
      <c r="G1163" s="5">
        <v>17.649999999999999</v>
      </c>
      <c r="H1163" s="4">
        <v>0</v>
      </c>
    </row>
    <row r="1164" spans="1:8" x14ac:dyDescent="0.2">
      <c r="A1164" s="2" t="s">
        <v>199</v>
      </c>
      <c r="B1164" s="4">
        <v>1</v>
      </c>
      <c r="C1164" s="5">
        <v>1.18</v>
      </c>
      <c r="D1164" s="4">
        <v>0</v>
      </c>
      <c r="E1164" s="5">
        <v>0</v>
      </c>
      <c r="F1164" s="4">
        <v>1</v>
      </c>
      <c r="G1164" s="5">
        <v>2.94</v>
      </c>
      <c r="H1164" s="4">
        <v>0</v>
      </c>
    </row>
    <row r="1165" spans="1:8" x14ac:dyDescent="0.2">
      <c r="A1165" s="2" t="s">
        <v>200</v>
      </c>
      <c r="B1165" s="4">
        <v>16</v>
      </c>
      <c r="C1165" s="5">
        <v>18.82</v>
      </c>
      <c r="D1165" s="4">
        <v>12</v>
      </c>
      <c r="E1165" s="5">
        <v>24.49</v>
      </c>
      <c r="F1165" s="4">
        <v>3</v>
      </c>
      <c r="G1165" s="5">
        <v>8.82</v>
      </c>
      <c r="H1165" s="4">
        <v>0</v>
      </c>
    </row>
    <row r="1166" spans="1:8" x14ac:dyDescent="0.2">
      <c r="A1166" s="2" t="s">
        <v>201</v>
      </c>
      <c r="B1166" s="4">
        <v>10</v>
      </c>
      <c r="C1166" s="5">
        <v>11.76</v>
      </c>
      <c r="D1166" s="4">
        <v>10</v>
      </c>
      <c r="E1166" s="5">
        <v>20.41</v>
      </c>
      <c r="F1166" s="4">
        <v>0</v>
      </c>
      <c r="G1166" s="5">
        <v>0</v>
      </c>
      <c r="H1166" s="4">
        <v>0</v>
      </c>
    </row>
    <row r="1167" spans="1:8" x14ac:dyDescent="0.2">
      <c r="A1167" s="2" t="s">
        <v>202</v>
      </c>
      <c r="B1167" s="4">
        <v>2</v>
      </c>
      <c r="C1167" s="5">
        <v>2.35</v>
      </c>
      <c r="D1167" s="4">
        <v>1</v>
      </c>
      <c r="E1167" s="5">
        <v>2.04</v>
      </c>
      <c r="F1167" s="4">
        <v>1</v>
      </c>
      <c r="G1167" s="5">
        <v>2.94</v>
      </c>
      <c r="H1167" s="4">
        <v>0</v>
      </c>
    </row>
    <row r="1168" spans="1:8" x14ac:dyDescent="0.2">
      <c r="A1168" s="2" t="s">
        <v>203</v>
      </c>
      <c r="B1168" s="4">
        <v>1</v>
      </c>
      <c r="C1168" s="5">
        <v>1.18</v>
      </c>
      <c r="D1168" s="4">
        <v>1</v>
      </c>
      <c r="E1168" s="5">
        <v>2.04</v>
      </c>
      <c r="F1168" s="4">
        <v>0</v>
      </c>
      <c r="G1168" s="5">
        <v>0</v>
      </c>
      <c r="H1168" s="4">
        <v>0</v>
      </c>
    </row>
    <row r="1169" spans="1:8" x14ac:dyDescent="0.2">
      <c r="A1169" s="2" t="s">
        <v>204</v>
      </c>
      <c r="B1169" s="4">
        <v>4</v>
      </c>
      <c r="C1169" s="5">
        <v>4.71</v>
      </c>
      <c r="D1169" s="4">
        <v>1</v>
      </c>
      <c r="E1169" s="5">
        <v>2.04</v>
      </c>
      <c r="F1169" s="4">
        <v>3</v>
      </c>
      <c r="G1169" s="5">
        <v>8.82</v>
      </c>
      <c r="H1169" s="4">
        <v>0</v>
      </c>
    </row>
    <row r="1170" spans="1:8" x14ac:dyDescent="0.2">
      <c r="A1170" s="1" t="s">
        <v>73</v>
      </c>
      <c r="B1170" s="4">
        <v>526</v>
      </c>
      <c r="C1170" s="5">
        <v>100</v>
      </c>
      <c r="D1170" s="4">
        <v>267</v>
      </c>
      <c r="E1170" s="5">
        <v>100.00999999999999</v>
      </c>
      <c r="F1170" s="4">
        <v>248</v>
      </c>
      <c r="G1170" s="5">
        <v>100.00999999999999</v>
      </c>
      <c r="H1170" s="4">
        <v>3</v>
      </c>
    </row>
    <row r="1171" spans="1:8" x14ac:dyDescent="0.2">
      <c r="A1171" s="2" t="s">
        <v>190</v>
      </c>
      <c r="B1171" s="4">
        <v>0</v>
      </c>
      <c r="C1171" s="5">
        <v>0</v>
      </c>
      <c r="D1171" s="4">
        <v>0</v>
      </c>
      <c r="E1171" s="5">
        <v>0</v>
      </c>
      <c r="F1171" s="4">
        <v>0</v>
      </c>
      <c r="G1171" s="5">
        <v>0</v>
      </c>
      <c r="H1171" s="4">
        <v>0</v>
      </c>
    </row>
    <row r="1172" spans="1:8" x14ac:dyDescent="0.2">
      <c r="A1172" s="2" t="s">
        <v>191</v>
      </c>
      <c r="B1172" s="4">
        <v>49</v>
      </c>
      <c r="C1172" s="5">
        <v>9.32</v>
      </c>
      <c r="D1172" s="4">
        <v>15</v>
      </c>
      <c r="E1172" s="5">
        <v>5.62</v>
      </c>
      <c r="F1172" s="4">
        <v>34</v>
      </c>
      <c r="G1172" s="5">
        <v>13.71</v>
      </c>
      <c r="H1172" s="4">
        <v>0</v>
      </c>
    </row>
    <row r="1173" spans="1:8" x14ac:dyDescent="0.2">
      <c r="A1173" s="2" t="s">
        <v>192</v>
      </c>
      <c r="B1173" s="4">
        <v>11</v>
      </c>
      <c r="C1173" s="5">
        <v>2.09</v>
      </c>
      <c r="D1173" s="4">
        <v>3</v>
      </c>
      <c r="E1173" s="5">
        <v>1.1200000000000001</v>
      </c>
      <c r="F1173" s="4">
        <v>8</v>
      </c>
      <c r="G1173" s="5">
        <v>3.23</v>
      </c>
      <c r="H1173" s="4">
        <v>0</v>
      </c>
    </row>
    <row r="1174" spans="1:8" x14ac:dyDescent="0.2">
      <c r="A1174" s="2" t="s">
        <v>193</v>
      </c>
      <c r="B1174" s="4">
        <v>1</v>
      </c>
      <c r="C1174" s="5">
        <v>0.19</v>
      </c>
      <c r="D1174" s="4">
        <v>0</v>
      </c>
      <c r="E1174" s="5">
        <v>0</v>
      </c>
      <c r="F1174" s="4">
        <v>1</v>
      </c>
      <c r="G1174" s="5">
        <v>0.4</v>
      </c>
      <c r="H1174" s="4">
        <v>0</v>
      </c>
    </row>
    <row r="1175" spans="1:8" x14ac:dyDescent="0.2">
      <c r="A1175" s="2" t="s">
        <v>194</v>
      </c>
      <c r="B1175" s="4">
        <v>2</v>
      </c>
      <c r="C1175" s="5">
        <v>0.38</v>
      </c>
      <c r="D1175" s="4">
        <v>0</v>
      </c>
      <c r="E1175" s="5">
        <v>0</v>
      </c>
      <c r="F1175" s="4">
        <v>2</v>
      </c>
      <c r="G1175" s="5">
        <v>0.81</v>
      </c>
      <c r="H1175" s="4">
        <v>0</v>
      </c>
    </row>
    <row r="1176" spans="1:8" x14ac:dyDescent="0.2">
      <c r="A1176" s="2" t="s">
        <v>195</v>
      </c>
      <c r="B1176" s="4">
        <v>5</v>
      </c>
      <c r="C1176" s="5">
        <v>0.95</v>
      </c>
      <c r="D1176" s="4">
        <v>2</v>
      </c>
      <c r="E1176" s="5">
        <v>0.75</v>
      </c>
      <c r="F1176" s="4">
        <v>3</v>
      </c>
      <c r="G1176" s="5">
        <v>1.21</v>
      </c>
      <c r="H1176" s="4">
        <v>0</v>
      </c>
    </row>
    <row r="1177" spans="1:8" x14ac:dyDescent="0.2">
      <c r="A1177" s="2" t="s">
        <v>196</v>
      </c>
      <c r="B1177" s="4">
        <v>74</v>
      </c>
      <c r="C1177" s="5">
        <v>14.07</v>
      </c>
      <c r="D1177" s="4">
        <v>24</v>
      </c>
      <c r="E1177" s="5">
        <v>8.99</v>
      </c>
      <c r="F1177" s="4">
        <v>50</v>
      </c>
      <c r="G1177" s="5">
        <v>20.16</v>
      </c>
      <c r="H1177" s="4">
        <v>0</v>
      </c>
    </row>
    <row r="1178" spans="1:8" x14ac:dyDescent="0.2">
      <c r="A1178" s="2" t="s">
        <v>197</v>
      </c>
      <c r="B1178" s="4">
        <v>4</v>
      </c>
      <c r="C1178" s="5">
        <v>0.76</v>
      </c>
      <c r="D1178" s="4">
        <v>0</v>
      </c>
      <c r="E1178" s="5">
        <v>0</v>
      </c>
      <c r="F1178" s="4">
        <v>4</v>
      </c>
      <c r="G1178" s="5">
        <v>1.61</v>
      </c>
      <c r="H1178" s="4">
        <v>0</v>
      </c>
    </row>
    <row r="1179" spans="1:8" x14ac:dyDescent="0.2">
      <c r="A1179" s="2" t="s">
        <v>198</v>
      </c>
      <c r="B1179" s="4">
        <v>93</v>
      </c>
      <c r="C1179" s="5">
        <v>17.68</v>
      </c>
      <c r="D1179" s="4">
        <v>49</v>
      </c>
      <c r="E1179" s="5">
        <v>18.350000000000001</v>
      </c>
      <c r="F1179" s="4">
        <v>42</v>
      </c>
      <c r="G1179" s="5">
        <v>16.940000000000001</v>
      </c>
      <c r="H1179" s="4">
        <v>0</v>
      </c>
    </row>
    <row r="1180" spans="1:8" x14ac:dyDescent="0.2">
      <c r="A1180" s="2" t="s">
        <v>199</v>
      </c>
      <c r="B1180" s="4">
        <v>20</v>
      </c>
      <c r="C1180" s="5">
        <v>3.8</v>
      </c>
      <c r="D1180" s="4">
        <v>10</v>
      </c>
      <c r="E1180" s="5">
        <v>3.75</v>
      </c>
      <c r="F1180" s="4">
        <v>9</v>
      </c>
      <c r="G1180" s="5">
        <v>3.63</v>
      </c>
      <c r="H1180" s="4">
        <v>1</v>
      </c>
    </row>
    <row r="1181" spans="1:8" x14ac:dyDescent="0.2">
      <c r="A1181" s="2" t="s">
        <v>200</v>
      </c>
      <c r="B1181" s="4">
        <v>137</v>
      </c>
      <c r="C1181" s="5">
        <v>26.05</v>
      </c>
      <c r="D1181" s="4">
        <v>94</v>
      </c>
      <c r="E1181" s="5">
        <v>35.21</v>
      </c>
      <c r="F1181" s="4">
        <v>43</v>
      </c>
      <c r="G1181" s="5">
        <v>17.34</v>
      </c>
      <c r="H1181" s="4">
        <v>0</v>
      </c>
    </row>
    <row r="1182" spans="1:8" x14ac:dyDescent="0.2">
      <c r="A1182" s="2" t="s">
        <v>201</v>
      </c>
      <c r="B1182" s="4">
        <v>57</v>
      </c>
      <c r="C1182" s="5">
        <v>10.84</v>
      </c>
      <c r="D1182" s="4">
        <v>37</v>
      </c>
      <c r="E1182" s="5">
        <v>13.86</v>
      </c>
      <c r="F1182" s="4">
        <v>18</v>
      </c>
      <c r="G1182" s="5">
        <v>7.26</v>
      </c>
      <c r="H1182" s="4">
        <v>0</v>
      </c>
    </row>
    <row r="1183" spans="1:8" x14ac:dyDescent="0.2">
      <c r="A1183" s="2" t="s">
        <v>202</v>
      </c>
      <c r="B1183" s="4">
        <v>21</v>
      </c>
      <c r="C1183" s="5">
        <v>3.99</v>
      </c>
      <c r="D1183" s="4">
        <v>12</v>
      </c>
      <c r="E1183" s="5">
        <v>4.49</v>
      </c>
      <c r="F1183" s="4">
        <v>6</v>
      </c>
      <c r="G1183" s="5">
        <v>2.42</v>
      </c>
      <c r="H1183" s="4">
        <v>1</v>
      </c>
    </row>
    <row r="1184" spans="1:8" x14ac:dyDescent="0.2">
      <c r="A1184" s="2" t="s">
        <v>203</v>
      </c>
      <c r="B1184" s="4">
        <v>29</v>
      </c>
      <c r="C1184" s="5">
        <v>5.51</v>
      </c>
      <c r="D1184" s="4">
        <v>15</v>
      </c>
      <c r="E1184" s="5">
        <v>5.62</v>
      </c>
      <c r="F1184" s="4">
        <v>13</v>
      </c>
      <c r="G1184" s="5">
        <v>5.24</v>
      </c>
      <c r="H1184" s="4">
        <v>0</v>
      </c>
    </row>
    <row r="1185" spans="1:8" x14ac:dyDescent="0.2">
      <c r="A1185" s="2" t="s">
        <v>204</v>
      </c>
      <c r="B1185" s="4">
        <v>23</v>
      </c>
      <c r="C1185" s="5">
        <v>4.37</v>
      </c>
      <c r="D1185" s="4">
        <v>6</v>
      </c>
      <c r="E1185" s="5">
        <v>2.25</v>
      </c>
      <c r="F1185" s="4">
        <v>15</v>
      </c>
      <c r="G1185" s="5">
        <v>6.05</v>
      </c>
      <c r="H1185" s="4">
        <v>1</v>
      </c>
    </row>
    <row r="1186" spans="1:8" x14ac:dyDescent="0.2">
      <c r="A1186" s="1" t="s">
        <v>74</v>
      </c>
      <c r="B1186" s="4">
        <v>116</v>
      </c>
      <c r="C1186" s="5">
        <v>100.00000000000001</v>
      </c>
      <c r="D1186" s="4">
        <v>36</v>
      </c>
      <c r="E1186" s="5">
        <v>100</v>
      </c>
      <c r="F1186" s="4">
        <v>63</v>
      </c>
      <c r="G1186" s="5">
        <v>100.01</v>
      </c>
      <c r="H1186" s="4">
        <v>1</v>
      </c>
    </row>
    <row r="1187" spans="1:8" x14ac:dyDescent="0.2">
      <c r="A1187" s="2" t="s">
        <v>190</v>
      </c>
      <c r="B1187" s="4">
        <v>1</v>
      </c>
      <c r="C1187" s="5">
        <v>0.86</v>
      </c>
      <c r="D1187" s="4">
        <v>0</v>
      </c>
      <c r="E1187" s="5">
        <v>0</v>
      </c>
      <c r="F1187" s="4">
        <v>1</v>
      </c>
      <c r="G1187" s="5">
        <v>1.59</v>
      </c>
      <c r="H1187" s="4">
        <v>0</v>
      </c>
    </row>
    <row r="1188" spans="1:8" x14ac:dyDescent="0.2">
      <c r="A1188" s="2" t="s">
        <v>191</v>
      </c>
      <c r="B1188" s="4">
        <v>18</v>
      </c>
      <c r="C1188" s="5">
        <v>15.52</v>
      </c>
      <c r="D1188" s="4">
        <v>3</v>
      </c>
      <c r="E1188" s="5">
        <v>8.33</v>
      </c>
      <c r="F1188" s="4">
        <v>15</v>
      </c>
      <c r="G1188" s="5">
        <v>23.81</v>
      </c>
      <c r="H1188" s="4">
        <v>0</v>
      </c>
    </row>
    <row r="1189" spans="1:8" x14ac:dyDescent="0.2">
      <c r="A1189" s="2" t="s">
        <v>192</v>
      </c>
      <c r="B1189" s="4">
        <v>10</v>
      </c>
      <c r="C1189" s="5">
        <v>8.6199999999999992</v>
      </c>
      <c r="D1189" s="4">
        <v>2</v>
      </c>
      <c r="E1189" s="5">
        <v>5.56</v>
      </c>
      <c r="F1189" s="4">
        <v>8</v>
      </c>
      <c r="G1189" s="5">
        <v>12.7</v>
      </c>
      <c r="H1189" s="4">
        <v>0</v>
      </c>
    </row>
    <row r="1190" spans="1:8" x14ac:dyDescent="0.2">
      <c r="A1190" s="2" t="s">
        <v>193</v>
      </c>
      <c r="B1190" s="4">
        <v>1</v>
      </c>
      <c r="C1190" s="5">
        <v>0.86</v>
      </c>
      <c r="D1190" s="4">
        <v>0</v>
      </c>
      <c r="E1190" s="5">
        <v>0</v>
      </c>
      <c r="F1190" s="4">
        <v>1</v>
      </c>
      <c r="G1190" s="5">
        <v>1.59</v>
      </c>
      <c r="H1190" s="4">
        <v>0</v>
      </c>
    </row>
    <row r="1191" spans="1:8" x14ac:dyDescent="0.2">
      <c r="A1191" s="2" t="s">
        <v>194</v>
      </c>
      <c r="B1191" s="4">
        <v>0</v>
      </c>
      <c r="C1191" s="5">
        <v>0</v>
      </c>
      <c r="D1191" s="4">
        <v>0</v>
      </c>
      <c r="E1191" s="5">
        <v>0</v>
      </c>
      <c r="F1191" s="4">
        <v>0</v>
      </c>
      <c r="G1191" s="5">
        <v>0</v>
      </c>
      <c r="H1191" s="4">
        <v>0</v>
      </c>
    </row>
    <row r="1192" spans="1:8" x14ac:dyDescent="0.2">
      <c r="A1192" s="2" t="s">
        <v>195</v>
      </c>
      <c r="B1192" s="4">
        <v>3</v>
      </c>
      <c r="C1192" s="5">
        <v>2.59</v>
      </c>
      <c r="D1192" s="4">
        <v>0</v>
      </c>
      <c r="E1192" s="5">
        <v>0</v>
      </c>
      <c r="F1192" s="4">
        <v>2</v>
      </c>
      <c r="G1192" s="5">
        <v>3.17</v>
      </c>
      <c r="H1192" s="4">
        <v>1</v>
      </c>
    </row>
    <row r="1193" spans="1:8" x14ac:dyDescent="0.2">
      <c r="A1193" s="2" t="s">
        <v>196</v>
      </c>
      <c r="B1193" s="4">
        <v>23</v>
      </c>
      <c r="C1193" s="5">
        <v>19.829999999999998</v>
      </c>
      <c r="D1193" s="4">
        <v>5</v>
      </c>
      <c r="E1193" s="5">
        <v>13.89</v>
      </c>
      <c r="F1193" s="4">
        <v>18</v>
      </c>
      <c r="G1193" s="5">
        <v>28.57</v>
      </c>
      <c r="H1193" s="4">
        <v>0</v>
      </c>
    </row>
    <row r="1194" spans="1:8" x14ac:dyDescent="0.2">
      <c r="A1194" s="2" t="s">
        <v>197</v>
      </c>
      <c r="B1194" s="4">
        <v>0</v>
      </c>
      <c r="C1194" s="5">
        <v>0</v>
      </c>
      <c r="D1194" s="4">
        <v>0</v>
      </c>
      <c r="E1194" s="5">
        <v>0</v>
      </c>
      <c r="F1194" s="4">
        <v>0</v>
      </c>
      <c r="G1194" s="5">
        <v>0</v>
      </c>
      <c r="H1194" s="4">
        <v>0</v>
      </c>
    </row>
    <row r="1195" spans="1:8" x14ac:dyDescent="0.2">
      <c r="A1195" s="2" t="s">
        <v>198</v>
      </c>
      <c r="B1195" s="4">
        <v>7</v>
      </c>
      <c r="C1195" s="5">
        <v>6.03</v>
      </c>
      <c r="D1195" s="4">
        <v>5</v>
      </c>
      <c r="E1195" s="5">
        <v>13.89</v>
      </c>
      <c r="F1195" s="4">
        <v>1</v>
      </c>
      <c r="G1195" s="5">
        <v>1.59</v>
      </c>
      <c r="H1195" s="4">
        <v>0</v>
      </c>
    </row>
    <row r="1196" spans="1:8" x14ac:dyDescent="0.2">
      <c r="A1196" s="2" t="s">
        <v>199</v>
      </c>
      <c r="B1196" s="4">
        <v>2</v>
      </c>
      <c r="C1196" s="5">
        <v>1.72</v>
      </c>
      <c r="D1196" s="4">
        <v>0</v>
      </c>
      <c r="E1196" s="5">
        <v>0</v>
      </c>
      <c r="F1196" s="4">
        <v>1</v>
      </c>
      <c r="G1196" s="5">
        <v>1.59</v>
      </c>
      <c r="H1196" s="4">
        <v>0</v>
      </c>
    </row>
    <row r="1197" spans="1:8" x14ac:dyDescent="0.2">
      <c r="A1197" s="2" t="s">
        <v>200</v>
      </c>
      <c r="B1197" s="4">
        <v>17</v>
      </c>
      <c r="C1197" s="5">
        <v>14.66</v>
      </c>
      <c r="D1197" s="4">
        <v>7</v>
      </c>
      <c r="E1197" s="5">
        <v>19.440000000000001</v>
      </c>
      <c r="F1197" s="4">
        <v>9</v>
      </c>
      <c r="G1197" s="5">
        <v>14.29</v>
      </c>
      <c r="H1197" s="4">
        <v>0</v>
      </c>
    </row>
    <row r="1198" spans="1:8" x14ac:dyDescent="0.2">
      <c r="A1198" s="2" t="s">
        <v>201</v>
      </c>
      <c r="B1198" s="4">
        <v>12</v>
      </c>
      <c r="C1198" s="5">
        <v>10.34</v>
      </c>
      <c r="D1198" s="4">
        <v>8</v>
      </c>
      <c r="E1198" s="5">
        <v>22.22</v>
      </c>
      <c r="F1198" s="4">
        <v>4</v>
      </c>
      <c r="G1198" s="5">
        <v>6.35</v>
      </c>
      <c r="H1198" s="4">
        <v>0</v>
      </c>
    </row>
    <row r="1199" spans="1:8" x14ac:dyDescent="0.2">
      <c r="A1199" s="2" t="s">
        <v>202</v>
      </c>
      <c r="B1199" s="4">
        <v>3</v>
      </c>
      <c r="C1199" s="5">
        <v>2.59</v>
      </c>
      <c r="D1199" s="4">
        <v>1</v>
      </c>
      <c r="E1199" s="5">
        <v>2.78</v>
      </c>
      <c r="F1199" s="4">
        <v>0</v>
      </c>
      <c r="G1199" s="5">
        <v>0</v>
      </c>
      <c r="H1199" s="4">
        <v>0</v>
      </c>
    </row>
    <row r="1200" spans="1:8" x14ac:dyDescent="0.2">
      <c r="A1200" s="2" t="s">
        <v>203</v>
      </c>
      <c r="B1200" s="4">
        <v>8</v>
      </c>
      <c r="C1200" s="5">
        <v>6.9</v>
      </c>
      <c r="D1200" s="4">
        <v>1</v>
      </c>
      <c r="E1200" s="5">
        <v>2.78</v>
      </c>
      <c r="F1200" s="4">
        <v>1</v>
      </c>
      <c r="G1200" s="5">
        <v>1.59</v>
      </c>
      <c r="H1200" s="4">
        <v>0</v>
      </c>
    </row>
    <row r="1201" spans="1:8" x14ac:dyDescent="0.2">
      <c r="A1201" s="2" t="s">
        <v>204</v>
      </c>
      <c r="B1201" s="4">
        <v>11</v>
      </c>
      <c r="C1201" s="5">
        <v>9.48</v>
      </c>
      <c r="D1201" s="4">
        <v>4</v>
      </c>
      <c r="E1201" s="5">
        <v>11.11</v>
      </c>
      <c r="F1201" s="4">
        <v>2</v>
      </c>
      <c r="G1201" s="5">
        <v>3.17</v>
      </c>
      <c r="H1201" s="4">
        <v>0</v>
      </c>
    </row>
    <row r="1202" spans="1:8" x14ac:dyDescent="0.2">
      <c r="A1202" s="1" t="s">
        <v>75</v>
      </c>
      <c r="B1202" s="4">
        <v>455</v>
      </c>
      <c r="C1202" s="5">
        <v>100.02000000000001</v>
      </c>
      <c r="D1202" s="4">
        <v>265</v>
      </c>
      <c r="E1202" s="5">
        <v>100.00000000000001</v>
      </c>
      <c r="F1202" s="4">
        <v>180</v>
      </c>
      <c r="G1202" s="5">
        <v>100</v>
      </c>
      <c r="H1202" s="4">
        <v>1</v>
      </c>
    </row>
    <row r="1203" spans="1:8" x14ac:dyDescent="0.2">
      <c r="A1203" s="2" t="s">
        <v>190</v>
      </c>
      <c r="B1203" s="4">
        <v>0</v>
      </c>
      <c r="C1203" s="5">
        <v>0</v>
      </c>
      <c r="D1203" s="4">
        <v>0</v>
      </c>
      <c r="E1203" s="5">
        <v>0</v>
      </c>
      <c r="F1203" s="4">
        <v>0</v>
      </c>
      <c r="G1203" s="5">
        <v>0</v>
      </c>
      <c r="H1203" s="4">
        <v>0</v>
      </c>
    </row>
    <row r="1204" spans="1:8" x14ac:dyDescent="0.2">
      <c r="A1204" s="2" t="s">
        <v>191</v>
      </c>
      <c r="B1204" s="4">
        <v>50</v>
      </c>
      <c r="C1204" s="5">
        <v>10.99</v>
      </c>
      <c r="D1204" s="4">
        <v>23</v>
      </c>
      <c r="E1204" s="5">
        <v>8.68</v>
      </c>
      <c r="F1204" s="4">
        <v>27</v>
      </c>
      <c r="G1204" s="5">
        <v>15</v>
      </c>
      <c r="H1204" s="4">
        <v>0</v>
      </c>
    </row>
    <row r="1205" spans="1:8" x14ac:dyDescent="0.2">
      <c r="A1205" s="2" t="s">
        <v>192</v>
      </c>
      <c r="B1205" s="4">
        <v>25</v>
      </c>
      <c r="C1205" s="5">
        <v>5.49</v>
      </c>
      <c r="D1205" s="4">
        <v>8</v>
      </c>
      <c r="E1205" s="5">
        <v>3.02</v>
      </c>
      <c r="F1205" s="4">
        <v>17</v>
      </c>
      <c r="G1205" s="5">
        <v>9.44</v>
      </c>
      <c r="H1205" s="4">
        <v>0</v>
      </c>
    </row>
    <row r="1206" spans="1:8" x14ac:dyDescent="0.2">
      <c r="A1206" s="2" t="s">
        <v>193</v>
      </c>
      <c r="B1206" s="4">
        <v>0</v>
      </c>
      <c r="C1206" s="5">
        <v>0</v>
      </c>
      <c r="D1206" s="4">
        <v>0</v>
      </c>
      <c r="E1206" s="5">
        <v>0</v>
      </c>
      <c r="F1206" s="4">
        <v>0</v>
      </c>
      <c r="G1206" s="5">
        <v>0</v>
      </c>
      <c r="H1206" s="4">
        <v>0</v>
      </c>
    </row>
    <row r="1207" spans="1:8" x14ac:dyDescent="0.2">
      <c r="A1207" s="2" t="s">
        <v>194</v>
      </c>
      <c r="B1207" s="4">
        <v>1</v>
      </c>
      <c r="C1207" s="5">
        <v>0.22</v>
      </c>
      <c r="D1207" s="4">
        <v>0</v>
      </c>
      <c r="E1207" s="5">
        <v>0</v>
      </c>
      <c r="F1207" s="4">
        <v>1</v>
      </c>
      <c r="G1207" s="5">
        <v>0.56000000000000005</v>
      </c>
      <c r="H1207" s="4">
        <v>0</v>
      </c>
    </row>
    <row r="1208" spans="1:8" x14ac:dyDescent="0.2">
      <c r="A1208" s="2" t="s">
        <v>195</v>
      </c>
      <c r="B1208" s="4">
        <v>7</v>
      </c>
      <c r="C1208" s="5">
        <v>1.54</v>
      </c>
      <c r="D1208" s="4">
        <v>0</v>
      </c>
      <c r="E1208" s="5">
        <v>0</v>
      </c>
      <c r="F1208" s="4">
        <v>7</v>
      </c>
      <c r="G1208" s="5">
        <v>3.89</v>
      </c>
      <c r="H1208" s="4">
        <v>0</v>
      </c>
    </row>
    <row r="1209" spans="1:8" x14ac:dyDescent="0.2">
      <c r="A1209" s="2" t="s">
        <v>196</v>
      </c>
      <c r="B1209" s="4">
        <v>106</v>
      </c>
      <c r="C1209" s="5">
        <v>23.3</v>
      </c>
      <c r="D1209" s="4">
        <v>49</v>
      </c>
      <c r="E1209" s="5">
        <v>18.489999999999998</v>
      </c>
      <c r="F1209" s="4">
        <v>56</v>
      </c>
      <c r="G1209" s="5">
        <v>31.11</v>
      </c>
      <c r="H1209" s="4">
        <v>1</v>
      </c>
    </row>
    <row r="1210" spans="1:8" x14ac:dyDescent="0.2">
      <c r="A1210" s="2" t="s">
        <v>197</v>
      </c>
      <c r="B1210" s="4">
        <v>7</v>
      </c>
      <c r="C1210" s="5">
        <v>1.54</v>
      </c>
      <c r="D1210" s="4">
        <v>2</v>
      </c>
      <c r="E1210" s="5">
        <v>0.75</v>
      </c>
      <c r="F1210" s="4">
        <v>5</v>
      </c>
      <c r="G1210" s="5">
        <v>2.78</v>
      </c>
      <c r="H1210" s="4">
        <v>0</v>
      </c>
    </row>
    <row r="1211" spans="1:8" x14ac:dyDescent="0.2">
      <c r="A1211" s="2" t="s">
        <v>198</v>
      </c>
      <c r="B1211" s="4">
        <v>54</v>
      </c>
      <c r="C1211" s="5">
        <v>11.87</v>
      </c>
      <c r="D1211" s="4">
        <v>39</v>
      </c>
      <c r="E1211" s="5">
        <v>14.72</v>
      </c>
      <c r="F1211" s="4">
        <v>15</v>
      </c>
      <c r="G1211" s="5">
        <v>8.33</v>
      </c>
      <c r="H1211" s="4">
        <v>0</v>
      </c>
    </row>
    <row r="1212" spans="1:8" x14ac:dyDescent="0.2">
      <c r="A1212" s="2" t="s">
        <v>199</v>
      </c>
      <c r="B1212" s="4">
        <v>13</v>
      </c>
      <c r="C1212" s="5">
        <v>2.86</v>
      </c>
      <c r="D1212" s="4">
        <v>8</v>
      </c>
      <c r="E1212" s="5">
        <v>3.02</v>
      </c>
      <c r="F1212" s="4">
        <v>4</v>
      </c>
      <c r="G1212" s="5">
        <v>2.2200000000000002</v>
      </c>
      <c r="H1212" s="4">
        <v>0</v>
      </c>
    </row>
    <row r="1213" spans="1:8" x14ac:dyDescent="0.2">
      <c r="A1213" s="2" t="s">
        <v>200</v>
      </c>
      <c r="B1213" s="4">
        <v>96</v>
      </c>
      <c r="C1213" s="5">
        <v>21.1</v>
      </c>
      <c r="D1213" s="4">
        <v>67</v>
      </c>
      <c r="E1213" s="5">
        <v>25.28</v>
      </c>
      <c r="F1213" s="4">
        <v>29</v>
      </c>
      <c r="G1213" s="5">
        <v>16.11</v>
      </c>
      <c r="H1213" s="4">
        <v>0</v>
      </c>
    </row>
    <row r="1214" spans="1:8" x14ac:dyDescent="0.2">
      <c r="A1214" s="2" t="s">
        <v>201</v>
      </c>
      <c r="B1214" s="4">
        <v>56</v>
      </c>
      <c r="C1214" s="5">
        <v>12.31</v>
      </c>
      <c r="D1214" s="4">
        <v>48</v>
      </c>
      <c r="E1214" s="5">
        <v>18.11</v>
      </c>
      <c r="F1214" s="4">
        <v>7</v>
      </c>
      <c r="G1214" s="5">
        <v>3.89</v>
      </c>
      <c r="H1214" s="4">
        <v>0</v>
      </c>
    </row>
    <row r="1215" spans="1:8" x14ac:dyDescent="0.2">
      <c r="A1215" s="2" t="s">
        <v>202</v>
      </c>
      <c r="B1215" s="4">
        <v>11</v>
      </c>
      <c r="C1215" s="5">
        <v>2.42</v>
      </c>
      <c r="D1215" s="4">
        <v>4</v>
      </c>
      <c r="E1215" s="5">
        <v>1.51</v>
      </c>
      <c r="F1215" s="4">
        <v>5</v>
      </c>
      <c r="G1215" s="5">
        <v>2.78</v>
      </c>
      <c r="H1215" s="4">
        <v>0</v>
      </c>
    </row>
    <row r="1216" spans="1:8" x14ac:dyDescent="0.2">
      <c r="A1216" s="2" t="s">
        <v>203</v>
      </c>
      <c r="B1216" s="4">
        <v>21</v>
      </c>
      <c r="C1216" s="5">
        <v>4.62</v>
      </c>
      <c r="D1216" s="4">
        <v>16</v>
      </c>
      <c r="E1216" s="5">
        <v>6.04</v>
      </c>
      <c r="F1216" s="4">
        <v>2</v>
      </c>
      <c r="G1216" s="5">
        <v>1.1100000000000001</v>
      </c>
      <c r="H1216" s="4">
        <v>0</v>
      </c>
    </row>
    <row r="1217" spans="1:8" x14ac:dyDescent="0.2">
      <c r="A1217" s="2" t="s">
        <v>204</v>
      </c>
      <c r="B1217" s="4">
        <v>8</v>
      </c>
      <c r="C1217" s="5">
        <v>1.76</v>
      </c>
      <c r="D1217" s="4">
        <v>1</v>
      </c>
      <c r="E1217" s="5">
        <v>0.38</v>
      </c>
      <c r="F1217" s="4">
        <v>5</v>
      </c>
      <c r="G1217" s="5">
        <v>2.78</v>
      </c>
      <c r="H1217" s="4">
        <v>0</v>
      </c>
    </row>
    <row r="1218" spans="1:8" x14ac:dyDescent="0.2">
      <c r="A1218" s="1" t="s">
        <v>76</v>
      </c>
      <c r="B1218" s="4">
        <v>53</v>
      </c>
      <c r="C1218" s="5">
        <v>99.99</v>
      </c>
      <c r="D1218" s="4">
        <v>25</v>
      </c>
      <c r="E1218" s="5">
        <v>100</v>
      </c>
      <c r="F1218" s="4">
        <v>24</v>
      </c>
      <c r="G1218" s="5">
        <v>100.01</v>
      </c>
      <c r="H1218" s="4">
        <v>0</v>
      </c>
    </row>
    <row r="1219" spans="1:8" x14ac:dyDescent="0.2">
      <c r="A1219" s="2" t="s">
        <v>190</v>
      </c>
      <c r="B1219" s="4">
        <v>0</v>
      </c>
      <c r="C1219" s="5">
        <v>0</v>
      </c>
      <c r="D1219" s="4">
        <v>0</v>
      </c>
      <c r="E1219" s="5">
        <v>0</v>
      </c>
      <c r="F1219" s="4">
        <v>0</v>
      </c>
      <c r="G1219" s="5">
        <v>0</v>
      </c>
      <c r="H1219" s="4">
        <v>0</v>
      </c>
    </row>
    <row r="1220" spans="1:8" x14ac:dyDescent="0.2">
      <c r="A1220" s="2" t="s">
        <v>191</v>
      </c>
      <c r="B1220" s="4">
        <v>16</v>
      </c>
      <c r="C1220" s="5">
        <v>30.19</v>
      </c>
      <c r="D1220" s="4">
        <v>4</v>
      </c>
      <c r="E1220" s="5">
        <v>16</v>
      </c>
      <c r="F1220" s="4">
        <v>12</v>
      </c>
      <c r="G1220" s="5">
        <v>50</v>
      </c>
      <c r="H1220" s="4">
        <v>0</v>
      </c>
    </row>
    <row r="1221" spans="1:8" x14ac:dyDescent="0.2">
      <c r="A1221" s="2" t="s">
        <v>192</v>
      </c>
      <c r="B1221" s="4">
        <v>1</v>
      </c>
      <c r="C1221" s="5">
        <v>1.89</v>
      </c>
      <c r="D1221" s="4">
        <v>0</v>
      </c>
      <c r="E1221" s="5">
        <v>0</v>
      </c>
      <c r="F1221" s="4">
        <v>1</v>
      </c>
      <c r="G1221" s="5">
        <v>4.17</v>
      </c>
      <c r="H1221" s="4">
        <v>0</v>
      </c>
    </row>
    <row r="1222" spans="1:8" x14ac:dyDescent="0.2">
      <c r="A1222" s="2" t="s">
        <v>193</v>
      </c>
      <c r="B1222" s="4">
        <v>2</v>
      </c>
      <c r="C1222" s="5">
        <v>3.77</v>
      </c>
      <c r="D1222" s="4">
        <v>0</v>
      </c>
      <c r="E1222" s="5">
        <v>0</v>
      </c>
      <c r="F1222" s="4">
        <v>1</v>
      </c>
      <c r="G1222" s="5">
        <v>4.17</v>
      </c>
      <c r="H1222" s="4">
        <v>0</v>
      </c>
    </row>
    <row r="1223" spans="1:8" x14ac:dyDescent="0.2">
      <c r="A1223" s="2" t="s">
        <v>194</v>
      </c>
      <c r="B1223" s="4">
        <v>0</v>
      </c>
      <c r="C1223" s="5">
        <v>0</v>
      </c>
      <c r="D1223" s="4">
        <v>0</v>
      </c>
      <c r="E1223" s="5">
        <v>0</v>
      </c>
      <c r="F1223" s="4">
        <v>0</v>
      </c>
      <c r="G1223" s="5">
        <v>0</v>
      </c>
      <c r="H1223" s="4">
        <v>0</v>
      </c>
    </row>
    <row r="1224" spans="1:8" x14ac:dyDescent="0.2">
      <c r="A1224" s="2" t="s">
        <v>195</v>
      </c>
      <c r="B1224" s="4">
        <v>0</v>
      </c>
      <c r="C1224" s="5">
        <v>0</v>
      </c>
      <c r="D1224" s="4">
        <v>0</v>
      </c>
      <c r="E1224" s="5">
        <v>0</v>
      </c>
      <c r="F1224" s="4">
        <v>0</v>
      </c>
      <c r="G1224" s="5">
        <v>0</v>
      </c>
      <c r="H1224" s="4">
        <v>0</v>
      </c>
    </row>
    <row r="1225" spans="1:8" x14ac:dyDescent="0.2">
      <c r="A1225" s="2" t="s">
        <v>196</v>
      </c>
      <c r="B1225" s="4">
        <v>15</v>
      </c>
      <c r="C1225" s="5">
        <v>28.3</v>
      </c>
      <c r="D1225" s="4">
        <v>9</v>
      </c>
      <c r="E1225" s="5">
        <v>36</v>
      </c>
      <c r="F1225" s="4">
        <v>6</v>
      </c>
      <c r="G1225" s="5">
        <v>25</v>
      </c>
      <c r="H1225" s="4">
        <v>0</v>
      </c>
    </row>
    <row r="1226" spans="1:8" x14ac:dyDescent="0.2">
      <c r="A1226" s="2" t="s">
        <v>197</v>
      </c>
      <c r="B1226" s="4">
        <v>1</v>
      </c>
      <c r="C1226" s="5">
        <v>1.89</v>
      </c>
      <c r="D1226" s="4">
        <v>0</v>
      </c>
      <c r="E1226" s="5">
        <v>0</v>
      </c>
      <c r="F1226" s="4">
        <v>1</v>
      </c>
      <c r="G1226" s="5">
        <v>4.17</v>
      </c>
      <c r="H1226" s="4">
        <v>0</v>
      </c>
    </row>
    <row r="1227" spans="1:8" x14ac:dyDescent="0.2">
      <c r="A1227" s="2" t="s">
        <v>198</v>
      </c>
      <c r="B1227" s="4">
        <v>2</v>
      </c>
      <c r="C1227" s="5">
        <v>3.77</v>
      </c>
      <c r="D1227" s="4">
        <v>2</v>
      </c>
      <c r="E1227" s="5">
        <v>8</v>
      </c>
      <c r="F1227" s="4">
        <v>0</v>
      </c>
      <c r="G1227" s="5">
        <v>0</v>
      </c>
      <c r="H1227" s="4">
        <v>0</v>
      </c>
    </row>
    <row r="1228" spans="1:8" x14ac:dyDescent="0.2">
      <c r="A1228" s="2" t="s">
        <v>199</v>
      </c>
      <c r="B1228" s="4">
        <v>0</v>
      </c>
      <c r="C1228" s="5">
        <v>0</v>
      </c>
      <c r="D1228" s="4">
        <v>0</v>
      </c>
      <c r="E1228" s="5">
        <v>0</v>
      </c>
      <c r="F1228" s="4">
        <v>0</v>
      </c>
      <c r="G1228" s="5">
        <v>0</v>
      </c>
      <c r="H1228" s="4">
        <v>0</v>
      </c>
    </row>
    <row r="1229" spans="1:8" x14ac:dyDescent="0.2">
      <c r="A1229" s="2" t="s">
        <v>200</v>
      </c>
      <c r="B1229" s="4">
        <v>8</v>
      </c>
      <c r="C1229" s="5">
        <v>15.09</v>
      </c>
      <c r="D1229" s="4">
        <v>5</v>
      </c>
      <c r="E1229" s="5">
        <v>20</v>
      </c>
      <c r="F1229" s="4">
        <v>3</v>
      </c>
      <c r="G1229" s="5">
        <v>12.5</v>
      </c>
      <c r="H1229" s="4">
        <v>0</v>
      </c>
    </row>
    <row r="1230" spans="1:8" x14ac:dyDescent="0.2">
      <c r="A1230" s="2" t="s">
        <v>201</v>
      </c>
      <c r="B1230" s="4">
        <v>4</v>
      </c>
      <c r="C1230" s="5">
        <v>7.55</v>
      </c>
      <c r="D1230" s="4">
        <v>4</v>
      </c>
      <c r="E1230" s="5">
        <v>16</v>
      </c>
      <c r="F1230" s="4">
        <v>0</v>
      </c>
      <c r="G1230" s="5">
        <v>0</v>
      </c>
      <c r="H1230" s="4">
        <v>0</v>
      </c>
    </row>
    <row r="1231" spans="1:8" x14ac:dyDescent="0.2">
      <c r="A1231" s="2" t="s">
        <v>202</v>
      </c>
      <c r="B1231" s="4">
        <v>2</v>
      </c>
      <c r="C1231" s="5">
        <v>3.77</v>
      </c>
      <c r="D1231" s="4">
        <v>0</v>
      </c>
      <c r="E1231" s="5">
        <v>0</v>
      </c>
      <c r="F1231" s="4">
        <v>0</v>
      </c>
      <c r="G1231" s="5">
        <v>0</v>
      </c>
      <c r="H1231" s="4">
        <v>0</v>
      </c>
    </row>
    <row r="1232" spans="1:8" x14ac:dyDescent="0.2">
      <c r="A1232" s="2" t="s">
        <v>203</v>
      </c>
      <c r="B1232" s="4">
        <v>2</v>
      </c>
      <c r="C1232" s="5">
        <v>3.77</v>
      </c>
      <c r="D1232" s="4">
        <v>1</v>
      </c>
      <c r="E1232" s="5">
        <v>4</v>
      </c>
      <c r="F1232" s="4">
        <v>0</v>
      </c>
      <c r="G1232" s="5">
        <v>0</v>
      </c>
      <c r="H1232" s="4">
        <v>0</v>
      </c>
    </row>
    <row r="1233" spans="1:8" x14ac:dyDescent="0.2">
      <c r="A1233" s="2" t="s">
        <v>204</v>
      </c>
      <c r="B1233" s="4">
        <v>0</v>
      </c>
      <c r="C1233" s="5">
        <v>0</v>
      </c>
      <c r="D1233" s="4">
        <v>0</v>
      </c>
      <c r="E1233" s="5">
        <v>0</v>
      </c>
      <c r="F1233" s="4">
        <v>0</v>
      </c>
      <c r="G1233" s="5">
        <v>0</v>
      </c>
      <c r="H1233" s="4">
        <v>0</v>
      </c>
    </row>
    <row r="1234" spans="1:8" x14ac:dyDescent="0.2">
      <c r="A1234" s="1" t="s">
        <v>77</v>
      </c>
      <c r="B1234" s="4">
        <v>37</v>
      </c>
      <c r="C1234" s="5">
        <v>100</v>
      </c>
      <c r="D1234" s="4">
        <v>23</v>
      </c>
      <c r="E1234" s="5">
        <v>99.999999999999986</v>
      </c>
      <c r="F1234" s="4">
        <v>13</v>
      </c>
      <c r="G1234" s="5">
        <v>99.99</v>
      </c>
      <c r="H1234" s="4">
        <v>0</v>
      </c>
    </row>
    <row r="1235" spans="1:8" x14ac:dyDescent="0.2">
      <c r="A1235" s="2" t="s">
        <v>190</v>
      </c>
      <c r="B1235" s="4">
        <v>0</v>
      </c>
      <c r="C1235" s="5">
        <v>0</v>
      </c>
      <c r="D1235" s="4">
        <v>0</v>
      </c>
      <c r="E1235" s="5">
        <v>0</v>
      </c>
      <c r="F1235" s="4">
        <v>0</v>
      </c>
      <c r="G1235" s="5">
        <v>0</v>
      </c>
      <c r="H1235" s="4">
        <v>0</v>
      </c>
    </row>
    <row r="1236" spans="1:8" x14ac:dyDescent="0.2">
      <c r="A1236" s="2" t="s">
        <v>191</v>
      </c>
      <c r="B1236" s="4">
        <v>3</v>
      </c>
      <c r="C1236" s="5">
        <v>8.11</v>
      </c>
      <c r="D1236" s="4">
        <v>0</v>
      </c>
      <c r="E1236" s="5">
        <v>0</v>
      </c>
      <c r="F1236" s="4">
        <v>3</v>
      </c>
      <c r="G1236" s="5">
        <v>23.08</v>
      </c>
      <c r="H1236" s="4">
        <v>0</v>
      </c>
    </row>
    <row r="1237" spans="1:8" x14ac:dyDescent="0.2">
      <c r="A1237" s="2" t="s">
        <v>192</v>
      </c>
      <c r="B1237" s="4">
        <v>1</v>
      </c>
      <c r="C1237" s="5">
        <v>2.7</v>
      </c>
      <c r="D1237" s="4">
        <v>1</v>
      </c>
      <c r="E1237" s="5">
        <v>4.3499999999999996</v>
      </c>
      <c r="F1237" s="4">
        <v>0</v>
      </c>
      <c r="G1237" s="5">
        <v>0</v>
      </c>
      <c r="H1237" s="4">
        <v>0</v>
      </c>
    </row>
    <row r="1238" spans="1:8" x14ac:dyDescent="0.2">
      <c r="A1238" s="2" t="s">
        <v>193</v>
      </c>
      <c r="B1238" s="4">
        <v>1</v>
      </c>
      <c r="C1238" s="5">
        <v>2.7</v>
      </c>
      <c r="D1238" s="4">
        <v>0</v>
      </c>
      <c r="E1238" s="5">
        <v>0</v>
      </c>
      <c r="F1238" s="4">
        <v>0</v>
      </c>
      <c r="G1238" s="5">
        <v>0</v>
      </c>
      <c r="H1238" s="4">
        <v>0</v>
      </c>
    </row>
    <row r="1239" spans="1:8" x14ac:dyDescent="0.2">
      <c r="A1239" s="2" t="s">
        <v>194</v>
      </c>
      <c r="B1239" s="4">
        <v>1</v>
      </c>
      <c r="C1239" s="5">
        <v>2.7</v>
      </c>
      <c r="D1239" s="4">
        <v>0</v>
      </c>
      <c r="E1239" s="5">
        <v>0</v>
      </c>
      <c r="F1239" s="4">
        <v>1</v>
      </c>
      <c r="G1239" s="5">
        <v>7.69</v>
      </c>
      <c r="H1239" s="4">
        <v>0</v>
      </c>
    </row>
    <row r="1240" spans="1:8" x14ac:dyDescent="0.2">
      <c r="A1240" s="2" t="s">
        <v>195</v>
      </c>
      <c r="B1240" s="4">
        <v>0</v>
      </c>
      <c r="C1240" s="5">
        <v>0</v>
      </c>
      <c r="D1240" s="4">
        <v>0</v>
      </c>
      <c r="E1240" s="5">
        <v>0</v>
      </c>
      <c r="F1240" s="4">
        <v>0</v>
      </c>
      <c r="G1240" s="5">
        <v>0</v>
      </c>
      <c r="H1240" s="4">
        <v>0</v>
      </c>
    </row>
    <row r="1241" spans="1:8" x14ac:dyDescent="0.2">
      <c r="A1241" s="2" t="s">
        <v>196</v>
      </c>
      <c r="B1241" s="4">
        <v>11</v>
      </c>
      <c r="C1241" s="5">
        <v>29.73</v>
      </c>
      <c r="D1241" s="4">
        <v>9</v>
      </c>
      <c r="E1241" s="5">
        <v>39.130000000000003</v>
      </c>
      <c r="F1241" s="4">
        <v>2</v>
      </c>
      <c r="G1241" s="5">
        <v>15.38</v>
      </c>
      <c r="H1241" s="4">
        <v>0</v>
      </c>
    </row>
    <row r="1242" spans="1:8" x14ac:dyDescent="0.2">
      <c r="A1242" s="2" t="s">
        <v>197</v>
      </c>
      <c r="B1242" s="4">
        <v>0</v>
      </c>
      <c r="C1242" s="5">
        <v>0</v>
      </c>
      <c r="D1242" s="4">
        <v>0</v>
      </c>
      <c r="E1242" s="5">
        <v>0</v>
      </c>
      <c r="F1242" s="4">
        <v>0</v>
      </c>
      <c r="G1242" s="5">
        <v>0</v>
      </c>
      <c r="H1242" s="4">
        <v>0</v>
      </c>
    </row>
    <row r="1243" spans="1:8" x14ac:dyDescent="0.2">
      <c r="A1243" s="2" t="s">
        <v>198</v>
      </c>
      <c r="B1243" s="4">
        <v>1</v>
      </c>
      <c r="C1243" s="5">
        <v>2.7</v>
      </c>
      <c r="D1243" s="4">
        <v>0</v>
      </c>
      <c r="E1243" s="5">
        <v>0</v>
      </c>
      <c r="F1243" s="4">
        <v>1</v>
      </c>
      <c r="G1243" s="5">
        <v>7.69</v>
      </c>
      <c r="H1243" s="4">
        <v>0</v>
      </c>
    </row>
    <row r="1244" spans="1:8" x14ac:dyDescent="0.2">
      <c r="A1244" s="2" t="s">
        <v>199</v>
      </c>
      <c r="B1244" s="4">
        <v>0</v>
      </c>
      <c r="C1244" s="5">
        <v>0</v>
      </c>
      <c r="D1244" s="4">
        <v>0</v>
      </c>
      <c r="E1244" s="5">
        <v>0</v>
      </c>
      <c r="F1244" s="4">
        <v>0</v>
      </c>
      <c r="G1244" s="5">
        <v>0</v>
      </c>
      <c r="H1244" s="4">
        <v>0</v>
      </c>
    </row>
    <row r="1245" spans="1:8" x14ac:dyDescent="0.2">
      <c r="A1245" s="2" t="s">
        <v>200</v>
      </c>
      <c r="B1245" s="4">
        <v>11</v>
      </c>
      <c r="C1245" s="5">
        <v>29.73</v>
      </c>
      <c r="D1245" s="4">
        <v>7</v>
      </c>
      <c r="E1245" s="5">
        <v>30.43</v>
      </c>
      <c r="F1245" s="4">
        <v>4</v>
      </c>
      <c r="G1245" s="5">
        <v>30.77</v>
      </c>
      <c r="H1245" s="4">
        <v>0</v>
      </c>
    </row>
    <row r="1246" spans="1:8" x14ac:dyDescent="0.2">
      <c r="A1246" s="2" t="s">
        <v>201</v>
      </c>
      <c r="B1246" s="4">
        <v>3</v>
      </c>
      <c r="C1246" s="5">
        <v>8.11</v>
      </c>
      <c r="D1246" s="4">
        <v>3</v>
      </c>
      <c r="E1246" s="5">
        <v>13.04</v>
      </c>
      <c r="F1246" s="4">
        <v>0</v>
      </c>
      <c r="G1246" s="5">
        <v>0</v>
      </c>
      <c r="H1246" s="4">
        <v>0</v>
      </c>
    </row>
    <row r="1247" spans="1:8" x14ac:dyDescent="0.2">
      <c r="A1247" s="2" t="s">
        <v>202</v>
      </c>
      <c r="B1247" s="4">
        <v>0</v>
      </c>
      <c r="C1247" s="5">
        <v>0</v>
      </c>
      <c r="D1247" s="4">
        <v>0</v>
      </c>
      <c r="E1247" s="5">
        <v>0</v>
      </c>
      <c r="F1247" s="4">
        <v>0</v>
      </c>
      <c r="G1247" s="5">
        <v>0</v>
      </c>
      <c r="H1247" s="4">
        <v>0</v>
      </c>
    </row>
    <row r="1248" spans="1:8" x14ac:dyDescent="0.2">
      <c r="A1248" s="2" t="s">
        <v>203</v>
      </c>
      <c r="B1248" s="4">
        <v>3</v>
      </c>
      <c r="C1248" s="5">
        <v>8.11</v>
      </c>
      <c r="D1248" s="4">
        <v>1</v>
      </c>
      <c r="E1248" s="5">
        <v>4.3499999999999996</v>
      </c>
      <c r="F1248" s="4">
        <v>2</v>
      </c>
      <c r="G1248" s="5">
        <v>15.38</v>
      </c>
      <c r="H1248" s="4">
        <v>0</v>
      </c>
    </row>
    <row r="1249" spans="1:8" x14ac:dyDescent="0.2">
      <c r="A1249" s="2" t="s">
        <v>204</v>
      </c>
      <c r="B1249" s="4">
        <v>2</v>
      </c>
      <c r="C1249" s="5">
        <v>5.41</v>
      </c>
      <c r="D1249" s="4">
        <v>2</v>
      </c>
      <c r="E1249" s="5">
        <v>8.6999999999999993</v>
      </c>
      <c r="F1249" s="4">
        <v>0</v>
      </c>
      <c r="G1249" s="5">
        <v>0</v>
      </c>
      <c r="H1249" s="4">
        <v>0</v>
      </c>
    </row>
    <row r="1250" spans="1:8" x14ac:dyDescent="0.2">
      <c r="A1250" s="1" t="s">
        <v>78</v>
      </c>
      <c r="B1250" s="4">
        <v>89</v>
      </c>
      <c r="C1250" s="5">
        <v>100</v>
      </c>
      <c r="D1250" s="4">
        <v>53</v>
      </c>
      <c r="E1250" s="5">
        <v>100</v>
      </c>
      <c r="F1250" s="4">
        <v>31</v>
      </c>
      <c r="G1250" s="5">
        <v>100</v>
      </c>
      <c r="H1250" s="4">
        <v>1</v>
      </c>
    </row>
    <row r="1251" spans="1:8" x14ac:dyDescent="0.2">
      <c r="A1251" s="2" t="s">
        <v>190</v>
      </c>
      <c r="B1251" s="4">
        <v>0</v>
      </c>
      <c r="C1251" s="5">
        <v>0</v>
      </c>
      <c r="D1251" s="4">
        <v>0</v>
      </c>
      <c r="E1251" s="5">
        <v>0</v>
      </c>
      <c r="F1251" s="4">
        <v>0</v>
      </c>
      <c r="G1251" s="5">
        <v>0</v>
      </c>
      <c r="H1251" s="4">
        <v>0</v>
      </c>
    </row>
    <row r="1252" spans="1:8" x14ac:dyDescent="0.2">
      <c r="A1252" s="2" t="s">
        <v>191</v>
      </c>
      <c r="B1252" s="4">
        <v>8</v>
      </c>
      <c r="C1252" s="5">
        <v>8.99</v>
      </c>
      <c r="D1252" s="4">
        <v>3</v>
      </c>
      <c r="E1252" s="5">
        <v>5.66</v>
      </c>
      <c r="F1252" s="4">
        <v>5</v>
      </c>
      <c r="G1252" s="5">
        <v>16.13</v>
      </c>
      <c r="H1252" s="4">
        <v>0</v>
      </c>
    </row>
    <row r="1253" spans="1:8" x14ac:dyDescent="0.2">
      <c r="A1253" s="2" t="s">
        <v>192</v>
      </c>
      <c r="B1253" s="4">
        <v>5</v>
      </c>
      <c r="C1253" s="5">
        <v>5.62</v>
      </c>
      <c r="D1253" s="4">
        <v>0</v>
      </c>
      <c r="E1253" s="5">
        <v>0</v>
      </c>
      <c r="F1253" s="4">
        <v>4</v>
      </c>
      <c r="G1253" s="5">
        <v>12.9</v>
      </c>
      <c r="H1253" s="4">
        <v>1</v>
      </c>
    </row>
    <row r="1254" spans="1:8" x14ac:dyDescent="0.2">
      <c r="A1254" s="2" t="s">
        <v>193</v>
      </c>
      <c r="B1254" s="4">
        <v>0</v>
      </c>
      <c r="C1254" s="5">
        <v>0</v>
      </c>
      <c r="D1254" s="4">
        <v>0</v>
      </c>
      <c r="E1254" s="5">
        <v>0</v>
      </c>
      <c r="F1254" s="4">
        <v>0</v>
      </c>
      <c r="G1254" s="5">
        <v>0</v>
      </c>
      <c r="H1254" s="4">
        <v>0</v>
      </c>
    </row>
    <row r="1255" spans="1:8" x14ac:dyDescent="0.2">
      <c r="A1255" s="2" t="s">
        <v>194</v>
      </c>
      <c r="B1255" s="4">
        <v>0</v>
      </c>
      <c r="C1255" s="5">
        <v>0</v>
      </c>
      <c r="D1255" s="4">
        <v>0</v>
      </c>
      <c r="E1255" s="5">
        <v>0</v>
      </c>
      <c r="F1255" s="4">
        <v>0</v>
      </c>
      <c r="G1255" s="5">
        <v>0</v>
      </c>
      <c r="H1255" s="4">
        <v>0</v>
      </c>
    </row>
    <row r="1256" spans="1:8" x14ac:dyDescent="0.2">
      <c r="A1256" s="2" t="s">
        <v>195</v>
      </c>
      <c r="B1256" s="4">
        <v>2</v>
      </c>
      <c r="C1256" s="5">
        <v>2.25</v>
      </c>
      <c r="D1256" s="4">
        <v>2</v>
      </c>
      <c r="E1256" s="5">
        <v>3.77</v>
      </c>
      <c r="F1256" s="4">
        <v>0</v>
      </c>
      <c r="G1256" s="5">
        <v>0</v>
      </c>
      <c r="H1256" s="4">
        <v>0</v>
      </c>
    </row>
    <row r="1257" spans="1:8" x14ac:dyDescent="0.2">
      <c r="A1257" s="2" t="s">
        <v>196</v>
      </c>
      <c r="B1257" s="4">
        <v>33</v>
      </c>
      <c r="C1257" s="5">
        <v>37.08</v>
      </c>
      <c r="D1257" s="4">
        <v>19</v>
      </c>
      <c r="E1257" s="5">
        <v>35.85</v>
      </c>
      <c r="F1257" s="4">
        <v>14</v>
      </c>
      <c r="G1257" s="5">
        <v>45.16</v>
      </c>
      <c r="H1257" s="4">
        <v>0</v>
      </c>
    </row>
    <row r="1258" spans="1:8" x14ac:dyDescent="0.2">
      <c r="A1258" s="2" t="s">
        <v>197</v>
      </c>
      <c r="B1258" s="4">
        <v>0</v>
      </c>
      <c r="C1258" s="5">
        <v>0</v>
      </c>
      <c r="D1258" s="4">
        <v>0</v>
      </c>
      <c r="E1258" s="5">
        <v>0</v>
      </c>
      <c r="F1258" s="4">
        <v>0</v>
      </c>
      <c r="G1258" s="5">
        <v>0</v>
      </c>
      <c r="H1258" s="4">
        <v>0</v>
      </c>
    </row>
    <row r="1259" spans="1:8" x14ac:dyDescent="0.2">
      <c r="A1259" s="2" t="s">
        <v>198</v>
      </c>
      <c r="B1259" s="4">
        <v>0</v>
      </c>
      <c r="C1259" s="5">
        <v>0</v>
      </c>
      <c r="D1259" s="4">
        <v>0</v>
      </c>
      <c r="E1259" s="5">
        <v>0</v>
      </c>
      <c r="F1259" s="4">
        <v>0</v>
      </c>
      <c r="G1259" s="5">
        <v>0</v>
      </c>
      <c r="H1259" s="4">
        <v>0</v>
      </c>
    </row>
    <row r="1260" spans="1:8" x14ac:dyDescent="0.2">
      <c r="A1260" s="2" t="s">
        <v>199</v>
      </c>
      <c r="B1260" s="4">
        <v>0</v>
      </c>
      <c r="C1260" s="5">
        <v>0</v>
      </c>
      <c r="D1260" s="4">
        <v>0</v>
      </c>
      <c r="E1260" s="5">
        <v>0</v>
      </c>
      <c r="F1260" s="4">
        <v>0</v>
      </c>
      <c r="G1260" s="5">
        <v>0</v>
      </c>
      <c r="H1260" s="4">
        <v>0</v>
      </c>
    </row>
    <row r="1261" spans="1:8" x14ac:dyDescent="0.2">
      <c r="A1261" s="2" t="s">
        <v>200</v>
      </c>
      <c r="B1261" s="4">
        <v>27</v>
      </c>
      <c r="C1261" s="5">
        <v>30.34</v>
      </c>
      <c r="D1261" s="4">
        <v>19</v>
      </c>
      <c r="E1261" s="5">
        <v>35.85</v>
      </c>
      <c r="F1261" s="4">
        <v>7</v>
      </c>
      <c r="G1261" s="5">
        <v>22.58</v>
      </c>
      <c r="H1261" s="4">
        <v>0</v>
      </c>
    </row>
    <row r="1262" spans="1:8" x14ac:dyDescent="0.2">
      <c r="A1262" s="2" t="s">
        <v>201</v>
      </c>
      <c r="B1262" s="4">
        <v>9</v>
      </c>
      <c r="C1262" s="5">
        <v>10.11</v>
      </c>
      <c r="D1262" s="4">
        <v>8</v>
      </c>
      <c r="E1262" s="5">
        <v>15.09</v>
      </c>
      <c r="F1262" s="4">
        <v>0</v>
      </c>
      <c r="G1262" s="5">
        <v>0</v>
      </c>
      <c r="H1262" s="4">
        <v>0</v>
      </c>
    </row>
    <row r="1263" spans="1:8" x14ac:dyDescent="0.2">
      <c r="A1263" s="2" t="s">
        <v>202</v>
      </c>
      <c r="B1263" s="4">
        <v>1</v>
      </c>
      <c r="C1263" s="5">
        <v>1.1200000000000001</v>
      </c>
      <c r="D1263" s="4">
        <v>1</v>
      </c>
      <c r="E1263" s="5">
        <v>1.89</v>
      </c>
      <c r="F1263" s="4">
        <v>0</v>
      </c>
      <c r="G1263" s="5">
        <v>0</v>
      </c>
      <c r="H1263" s="4">
        <v>0</v>
      </c>
    </row>
    <row r="1264" spans="1:8" x14ac:dyDescent="0.2">
      <c r="A1264" s="2" t="s">
        <v>203</v>
      </c>
      <c r="B1264" s="4">
        <v>4</v>
      </c>
      <c r="C1264" s="5">
        <v>4.49</v>
      </c>
      <c r="D1264" s="4">
        <v>1</v>
      </c>
      <c r="E1264" s="5">
        <v>1.89</v>
      </c>
      <c r="F1264" s="4">
        <v>1</v>
      </c>
      <c r="G1264" s="5">
        <v>3.23</v>
      </c>
      <c r="H1264" s="4">
        <v>0</v>
      </c>
    </row>
    <row r="1265" spans="1:8" x14ac:dyDescent="0.2">
      <c r="A1265" s="2" t="s">
        <v>204</v>
      </c>
      <c r="B1265" s="4">
        <v>0</v>
      </c>
      <c r="C1265" s="5">
        <v>0</v>
      </c>
      <c r="D1265" s="4">
        <v>0</v>
      </c>
      <c r="E1265" s="5">
        <v>0</v>
      </c>
      <c r="F1265" s="4">
        <v>0</v>
      </c>
      <c r="G1265" s="5">
        <v>0</v>
      </c>
      <c r="H1265" s="4">
        <v>0</v>
      </c>
    </row>
    <row r="1266" spans="1:8" x14ac:dyDescent="0.2">
      <c r="A1266" s="1" t="s">
        <v>79</v>
      </c>
      <c r="B1266" s="4">
        <v>105</v>
      </c>
      <c r="C1266" s="5">
        <v>100.00000000000001</v>
      </c>
      <c r="D1266" s="4">
        <v>62</v>
      </c>
      <c r="E1266" s="5">
        <v>99.990000000000009</v>
      </c>
      <c r="F1266" s="4">
        <v>36</v>
      </c>
      <c r="G1266" s="5">
        <v>100.02000000000001</v>
      </c>
      <c r="H1266" s="4">
        <v>0</v>
      </c>
    </row>
    <row r="1267" spans="1:8" x14ac:dyDescent="0.2">
      <c r="A1267" s="2" t="s">
        <v>190</v>
      </c>
      <c r="B1267" s="4">
        <v>0</v>
      </c>
      <c r="C1267" s="5">
        <v>0</v>
      </c>
      <c r="D1267" s="4">
        <v>0</v>
      </c>
      <c r="E1267" s="5">
        <v>0</v>
      </c>
      <c r="F1267" s="4">
        <v>0</v>
      </c>
      <c r="G1267" s="5">
        <v>0</v>
      </c>
      <c r="H1267" s="4">
        <v>0</v>
      </c>
    </row>
    <row r="1268" spans="1:8" x14ac:dyDescent="0.2">
      <c r="A1268" s="2" t="s">
        <v>191</v>
      </c>
      <c r="B1268" s="4">
        <v>16</v>
      </c>
      <c r="C1268" s="5">
        <v>15.24</v>
      </c>
      <c r="D1268" s="4">
        <v>7</v>
      </c>
      <c r="E1268" s="5">
        <v>11.29</v>
      </c>
      <c r="F1268" s="4">
        <v>9</v>
      </c>
      <c r="G1268" s="5">
        <v>25</v>
      </c>
      <c r="H1268" s="4">
        <v>0</v>
      </c>
    </row>
    <row r="1269" spans="1:8" x14ac:dyDescent="0.2">
      <c r="A1269" s="2" t="s">
        <v>192</v>
      </c>
      <c r="B1269" s="4">
        <v>8</v>
      </c>
      <c r="C1269" s="5">
        <v>7.62</v>
      </c>
      <c r="D1269" s="4">
        <v>3</v>
      </c>
      <c r="E1269" s="5">
        <v>4.84</v>
      </c>
      <c r="F1269" s="4">
        <v>5</v>
      </c>
      <c r="G1269" s="5">
        <v>13.89</v>
      </c>
      <c r="H1269" s="4">
        <v>0</v>
      </c>
    </row>
    <row r="1270" spans="1:8" x14ac:dyDescent="0.2">
      <c r="A1270" s="2" t="s">
        <v>193</v>
      </c>
      <c r="B1270" s="4">
        <v>3</v>
      </c>
      <c r="C1270" s="5">
        <v>2.86</v>
      </c>
      <c r="D1270" s="4">
        <v>0</v>
      </c>
      <c r="E1270" s="5">
        <v>0</v>
      </c>
      <c r="F1270" s="4">
        <v>1</v>
      </c>
      <c r="G1270" s="5">
        <v>2.78</v>
      </c>
      <c r="H1270" s="4">
        <v>0</v>
      </c>
    </row>
    <row r="1271" spans="1:8" x14ac:dyDescent="0.2">
      <c r="A1271" s="2" t="s">
        <v>194</v>
      </c>
      <c r="B1271" s="4">
        <v>0</v>
      </c>
      <c r="C1271" s="5">
        <v>0</v>
      </c>
      <c r="D1271" s="4">
        <v>0</v>
      </c>
      <c r="E1271" s="5">
        <v>0</v>
      </c>
      <c r="F1271" s="4">
        <v>0</v>
      </c>
      <c r="G1271" s="5">
        <v>0</v>
      </c>
      <c r="H1271" s="4">
        <v>0</v>
      </c>
    </row>
    <row r="1272" spans="1:8" x14ac:dyDescent="0.2">
      <c r="A1272" s="2" t="s">
        <v>195</v>
      </c>
      <c r="B1272" s="4">
        <v>0</v>
      </c>
      <c r="C1272" s="5">
        <v>0</v>
      </c>
      <c r="D1272" s="4">
        <v>0</v>
      </c>
      <c r="E1272" s="5">
        <v>0</v>
      </c>
      <c r="F1272" s="4">
        <v>0</v>
      </c>
      <c r="G1272" s="5">
        <v>0</v>
      </c>
      <c r="H1272" s="4">
        <v>0</v>
      </c>
    </row>
    <row r="1273" spans="1:8" x14ac:dyDescent="0.2">
      <c r="A1273" s="2" t="s">
        <v>196</v>
      </c>
      <c r="B1273" s="4">
        <v>28</v>
      </c>
      <c r="C1273" s="5">
        <v>26.67</v>
      </c>
      <c r="D1273" s="4">
        <v>15</v>
      </c>
      <c r="E1273" s="5">
        <v>24.19</v>
      </c>
      <c r="F1273" s="4">
        <v>13</v>
      </c>
      <c r="G1273" s="5">
        <v>36.11</v>
      </c>
      <c r="H1273" s="4">
        <v>0</v>
      </c>
    </row>
    <row r="1274" spans="1:8" x14ac:dyDescent="0.2">
      <c r="A1274" s="2" t="s">
        <v>197</v>
      </c>
      <c r="B1274" s="4">
        <v>1</v>
      </c>
      <c r="C1274" s="5">
        <v>0.95</v>
      </c>
      <c r="D1274" s="4">
        <v>0</v>
      </c>
      <c r="E1274" s="5">
        <v>0</v>
      </c>
      <c r="F1274" s="4">
        <v>1</v>
      </c>
      <c r="G1274" s="5">
        <v>2.78</v>
      </c>
      <c r="H1274" s="4">
        <v>0</v>
      </c>
    </row>
    <row r="1275" spans="1:8" x14ac:dyDescent="0.2">
      <c r="A1275" s="2" t="s">
        <v>198</v>
      </c>
      <c r="B1275" s="4">
        <v>2</v>
      </c>
      <c r="C1275" s="5">
        <v>1.9</v>
      </c>
      <c r="D1275" s="4">
        <v>1</v>
      </c>
      <c r="E1275" s="5">
        <v>1.61</v>
      </c>
      <c r="F1275" s="4">
        <v>1</v>
      </c>
      <c r="G1275" s="5">
        <v>2.78</v>
      </c>
      <c r="H1275" s="4">
        <v>0</v>
      </c>
    </row>
    <row r="1276" spans="1:8" x14ac:dyDescent="0.2">
      <c r="A1276" s="2" t="s">
        <v>199</v>
      </c>
      <c r="B1276" s="4">
        <v>0</v>
      </c>
      <c r="C1276" s="5">
        <v>0</v>
      </c>
      <c r="D1276" s="4">
        <v>0</v>
      </c>
      <c r="E1276" s="5">
        <v>0</v>
      </c>
      <c r="F1276" s="4">
        <v>0</v>
      </c>
      <c r="G1276" s="5">
        <v>0</v>
      </c>
      <c r="H1276" s="4">
        <v>0</v>
      </c>
    </row>
    <row r="1277" spans="1:8" x14ac:dyDescent="0.2">
      <c r="A1277" s="2" t="s">
        <v>200</v>
      </c>
      <c r="B1277" s="4">
        <v>14</v>
      </c>
      <c r="C1277" s="5">
        <v>13.33</v>
      </c>
      <c r="D1277" s="4">
        <v>11</v>
      </c>
      <c r="E1277" s="5">
        <v>17.739999999999998</v>
      </c>
      <c r="F1277" s="4">
        <v>2</v>
      </c>
      <c r="G1277" s="5">
        <v>5.56</v>
      </c>
      <c r="H1277" s="4">
        <v>0</v>
      </c>
    </row>
    <row r="1278" spans="1:8" x14ac:dyDescent="0.2">
      <c r="A1278" s="2" t="s">
        <v>201</v>
      </c>
      <c r="B1278" s="4">
        <v>20</v>
      </c>
      <c r="C1278" s="5">
        <v>19.05</v>
      </c>
      <c r="D1278" s="4">
        <v>17</v>
      </c>
      <c r="E1278" s="5">
        <v>27.42</v>
      </c>
      <c r="F1278" s="4">
        <v>2</v>
      </c>
      <c r="G1278" s="5">
        <v>5.56</v>
      </c>
      <c r="H1278" s="4">
        <v>0</v>
      </c>
    </row>
    <row r="1279" spans="1:8" x14ac:dyDescent="0.2">
      <c r="A1279" s="2" t="s">
        <v>202</v>
      </c>
      <c r="B1279" s="4">
        <v>1</v>
      </c>
      <c r="C1279" s="5">
        <v>0.95</v>
      </c>
      <c r="D1279" s="4">
        <v>1</v>
      </c>
      <c r="E1279" s="5">
        <v>1.61</v>
      </c>
      <c r="F1279" s="4">
        <v>0</v>
      </c>
      <c r="G1279" s="5">
        <v>0</v>
      </c>
      <c r="H1279" s="4">
        <v>0</v>
      </c>
    </row>
    <row r="1280" spans="1:8" x14ac:dyDescent="0.2">
      <c r="A1280" s="2" t="s">
        <v>203</v>
      </c>
      <c r="B1280" s="4">
        <v>8</v>
      </c>
      <c r="C1280" s="5">
        <v>7.62</v>
      </c>
      <c r="D1280" s="4">
        <v>4</v>
      </c>
      <c r="E1280" s="5">
        <v>6.45</v>
      </c>
      <c r="F1280" s="4">
        <v>1</v>
      </c>
      <c r="G1280" s="5">
        <v>2.78</v>
      </c>
      <c r="H1280" s="4">
        <v>0</v>
      </c>
    </row>
    <row r="1281" spans="1:8" x14ac:dyDescent="0.2">
      <c r="A1281" s="2" t="s">
        <v>204</v>
      </c>
      <c r="B1281" s="4">
        <v>4</v>
      </c>
      <c r="C1281" s="5">
        <v>3.81</v>
      </c>
      <c r="D1281" s="4">
        <v>3</v>
      </c>
      <c r="E1281" s="5">
        <v>4.84</v>
      </c>
      <c r="F1281" s="4">
        <v>1</v>
      </c>
      <c r="G1281" s="5">
        <v>2.78</v>
      </c>
      <c r="H1281" s="4">
        <v>0</v>
      </c>
    </row>
    <row r="1282" spans="1:8" x14ac:dyDescent="0.2">
      <c r="A1282" s="1" t="s">
        <v>80</v>
      </c>
      <c r="B1282" s="4">
        <v>75</v>
      </c>
      <c r="C1282" s="5">
        <v>99.97999999999999</v>
      </c>
      <c r="D1282" s="4">
        <v>26</v>
      </c>
      <c r="E1282" s="5">
        <v>100.00999999999999</v>
      </c>
      <c r="F1282" s="4">
        <v>45</v>
      </c>
      <c r="G1282" s="5">
        <v>99.99</v>
      </c>
      <c r="H1282" s="4">
        <v>2</v>
      </c>
    </row>
    <row r="1283" spans="1:8" x14ac:dyDescent="0.2">
      <c r="A1283" s="2" t="s">
        <v>190</v>
      </c>
      <c r="B1283" s="4">
        <v>0</v>
      </c>
      <c r="C1283" s="5">
        <v>0</v>
      </c>
      <c r="D1283" s="4">
        <v>0</v>
      </c>
      <c r="E1283" s="5">
        <v>0</v>
      </c>
      <c r="F1283" s="4">
        <v>0</v>
      </c>
      <c r="G1283" s="5">
        <v>0</v>
      </c>
      <c r="H1283" s="4">
        <v>0</v>
      </c>
    </row>
    <row r="1284" spans="1:8" x14ac:dyDescent="0.2">
      <c r="A1284" s="2" t="s">
        <v>191</v>
      </c>
      <c r="B1284" s="4">
        <v>9</v>
      </c>
      <c r="C1284" s="5">
        <v>12</v>
      </c>
      <c r="D1284" s="4">
        <v>3</v>
      </c>
      <c r="E1284" s="5">
        <v>11.54</v>
      </c>
      <c r="F1284" s="4">
        <v>6</v>
      </c>
      <c r="G1284" s="5">
        <v>13.33</v>
      </c>
      <c r="H1284" s="4">
        <v>0</v>
      </c>
    </row>
    <row r="1285" spans="1:8" x14ac:dyDescent="0.2">
      <c r="A1285" s="2" t="s">
        <v>192</v>
      </c>
      <c r="B1285" s="4">
        <v>8</v>
      </c>
      <c r="C1285" s="5">
        <v>10.67</v>
      </c>
      <c r="D1285" s="4">
        <v>0</v>
      </c>
      <c r="E1285" s="5">
        <v>0</v>
      </c>
      <c r="F1285" s="4">
        <v>8</v>
      </c>
      <c r="G1285" s="5">
        <v>17.78</v>
      </c>
      <c r="H1285" s="4">
        <v>0</v>
      </c>
    </row>
    <row r="1286" spans="1:8" x14ac:dyDescent="0.2">
      <c r="A1286" s="2" t="s">
        <v>193</v>
      </c>
      <c r="B1286" s="4">
        <v>1</v>
      </c>
      <c r="C1286" s="5">
        <v>1.33</v>
      </c>
      <c r="D1286" s="4">
        <v>0</v>
      </c>
      <c r="E1286" s="5">
        <v>0</v>
      </c>
      <c r="F1286" s="4">
        <v>0</v>
      </c>
      <c r="G1286" s="5">
        <v>0</v>
      </c>
      <c r="H1286" s="4">
        <v>0</v>
      </c>
    </row>
    <row r="1287" spans="1:8" x14ac:dyDescent="0.2">
      <c r="A1287" s="2" t="s">
        <v>194</v>
      </c>
      <c r="B1287" s="4">
        <v>1</v>
      </c>
      <c r="C1287" s="5">
        <v>1.33</v>
      </c>
      <c r="D1287" s="4">
        <v>0</v>
      </c>
      <c r="E1287" s="5">
        <v>0</v>
      </c>
      <c r="F1287" s="4">
        <v>1</v>
      </c>
      <c r="G1287" s="5">
        <v>2.2200000000000002</v>
      </c>
      <c r="H1287" s="4">
        <v>0</v>
      </c>
    </row>
    <row r="1288" spans="1:8" x14ac:dyDescent="0.2">
      <c r="A1288" s="2" t="s">
        <v>195</v>
      </c>
      <c r="B1288" s="4">
        <v>1</v>
      </c>
      <c r="C1288" s="5">
        <v>1.33</v>
      </c>
      <c r="D1288" s="4">
        <v>0</v>
      </c>
      <c r="E1288" s="5">
        <v>0</v>
      </c>
      <c r="F1288" s="4">
        <v>1</v>
      </c>
      <c r="G1288" s="5">
        <v>2.2200000000000002</v>
      </c>
      <c r="H1288" s="4">
        <v>0</v>
      </c>
    </row>
    <row r="1289" spans="1:8" x14ac:dyDescent="0.2">
      <c r="A1289" s="2" t="s">
        <v>196</v>
      </c>
      <c r="B1289" s="4">
        <v>15</v>
      </c>
      <c r="C1289" s="5">
        <v>20</v>
      </c>
      <c r="D1289" s="4">
        <v>6</v>
      </c>
      <c r="E1289" s="5">
        <v>23.08</v>
      </c>
      <c r="F1289" s="4">
        <v>9</v>
      </c>
      <c r="G1289" s="5">
        <v>20</v>
      </c>
      <c r="H1289" s="4">
        <v>0</v>
      </c>
    </row>
    <row r="1290" spans="1:8" x14ac:dyDescent="0.2">
      <c r="A1290" s="2" t="s">
        <v>197</v>
      </c>
      <c r="B1290" s="4">
        <v>0</v>
      </c>
      <c r="C1290" s="5">
        <v>0</v>
      </c>
      <c r="D1290" s="4">
        <v>0</v>
      </c>
      <c r="E1290" s="5">
        <v>0</v>
      </c>
      <c r="F1290" s="4">
        <v>0</v>
      </c>
      <c r="G1290" s="5">
        <v>0</v>
      </c>
      <c r="H1290" s="4">
        <v>0</v>
      </c>
    </row>
    <row r="1291" spans="1:8" x14ac:dyDescent="0.2">
      <c r="A1291" s="2" t="s">
        <v>198</v>
      </c>
      <c r="B1291" s="4">
        <v>7</v>
      </c>
      <c r="C1291" s="5">
        <v>9.33</v>
      </c>
      <c r="D1291" s="4">
        <v>0</v>
      </c>
      <c r="E1291" s="5">
        <v>0</v>
      </c>
      <c r="F1291" s="4">
        <v>6</v>
      </c>
      <c r="G1291" s="5">
        <v>13.33</v>
      </c>
      <c r="H1291" s="4">
        <v>0</v>
      </c>
    </row>
    <row r="1292" spans="1:8" x14ac:dyDescent="0.2">
      <c r="A1292" s="2" t="s">
        <v>199</v>
      </c>
      <c r="B1292" s="4">
        <v>1</v>
      </c>
      <c r="C1292" s="5">
        <v>1.33</v>
      </c>
      <c r="D1292" s="4">
        <v>1</v>
      </c>
      <c r="E1292" s="5">
        <v>3.85</v>
      </c>
      <c r="F1292" s="4">
        <v>0</v>
      </c>
      <c r="G1292" s="5">
        <v>0</v>
      </c>
      <c r="H1292" s="4">
        <v>0</v>
      </c>
    </row>
    <row r="1293" spans="1:8" x14ac:dyDescent="0.2">
      <c r="A1293" s="2" t="s">
        <v>200</v>
      </c>
      <c r="B1293" s="4">
        <v>10</v>
      </c>
      <c r="C1293" s="5">
        <v>13.33</v>
      </c>
      <c r="D1293" s="4">
        <v>6</v>
      </c>
      <c r="E1293" s="5">
        <v>23.08</v>
      </c>
      <c r="F1293" s="4">
        <v>4</v>
      </c>
      <c r="G1293" s="5">
        <v>8.89</v>
      </c>
      <c r="H1293" s="4">
        <v>0</v>
      </c>
    </row>
    <row r="1294" spans="1:8" x14ac:dyDescent="0.2">
      <c r="A1294" s="2" t="s">
        <v>201</v>
      </c>
      <c r="B1294" s="4">
        <v>7</v>
      </c>
      <c r="C1294" s="5">
        <v>9.33</v>
      </c>
      <c r="D1294" s="4">
        <v>7</v>
      </c>
      <c r="E1294" s="5">
        <v>26.92</v>
      </c>
      <c r="F1294" s="4">
        <v>0</v>
      </c>
      <c r="G1294" s="5">
        <v>0</v>
      </c>
      <c r="H1294" s="4">
        <v>0</v>
      </c>
    </row>
    <row r="1295" spans="1:8" x14ac:dyDescent="0.2">
      <c r="A1295" s="2" t="s">
        <v>202</v>
      </c>
      <c r="B1295" s="4">
        <v>0</v>
      </c>
      <c r="C1295" s="5">
        <v>0</v>
      </c>
      <c r="D1295" s="4">
        <v>0</v>
      </c>
      <c r="E1295" s="5">
        <v>0</v>
      </c>
      <c r="F1295" s="4">
        <v>0</v>
      </c>
      <c r="G1295" s="5">
        <v>0</v>
      </c>
      <c r="H1295" s="4">
        <v>0</v>
      </c>
    </row>
    <row r="1296" spans="1:8" x14ac:dyDescent="0.2">
      <c r="A1296" s="2" t="s">
        <v>203</v>
      </c>
      <c r="B1296" s="4">
        <v>9</v>
      </c>
      <c r="C1296" s="5">
        <v>12</v>
      </c>
      <c r="D1296" s="4">
        <v>3</v>
      </c>
      <c r="E1296" s="5">
        <v>11.54</v>
      </c>
      <c r="F1296" s="4">
        <v>5</v>
      </c>
      <c r="G1296" s="5">
        <v>11.11</v>
      </c>
      <c r="H1296" s="4">
        <v>1</v>
      </c>
    </row>
    <row r="1297" spans="1:8" x14ac:dyDescent="0.2">
      <c r="A1297" s="2" t="s">
        <v>204</v>
      </c>
      <c r="B1297" s="4">
        <v>6</v>
      </c>
      <c r="C1297" s="5">
        <v>8</v>
      </c>
      <c r="D1297" s="4">
        <v>0</v>
      </c>
      <c r="E1297" s="5">
        <v>0</v>
      </c>
      <c r="F1297" s="4">
        <v>5</v>
      </c>
      <c r="G1297" s="5">
        <v>11.11</v>
      </c>
      <c r="H1297" s="4">
        <v>1</v>
      </c>
    </row>
    <row r="1298" spans="1:8" x14ac:dyDescent="0.2">
      <c r="A1298" s="1" t="s">
        <v>81</v>
      </c>
      <c r="B1298" s="4">
        <v>511</v>
      </c>
      <c r="C1298" s="5">
        <v>100</v>
      </c>
      <c r="D1298" s="4">
        <v>271</v>
      </c>
      <c r="E1298" s="5">
        <v>100.02000000000001</v>
      </c>
      <c r="F1298" s="4">
        <v>227</v>
      </c>
      <c r="G1298" s="5">
        <v>99.99</v>
      </c>
      <c r="H1298" s="4">
        <v>0</v>
      </c>
    </row>
    <row r="1299" spans="1:8" x14ac:dyDescent="0.2">
      <c r="A1299" s="2" t="s">
        <v>190</v>
      </c>
      <c r="B1299" s="4">
        <v>1</v>
      </c>
      <c r="C1299" s="5">
        <v>0.2</v>
      </c>
      <c r="D1299" s="4">
        <v>0</v>
      </c>
      <c r="E1299" s="5">
        <v>0</v>
      </c>
      <c r="F1299" s="4">
        <v>1</v>
      </c>
      <c r="G1299" s="5">
        <v>0.44</v>
      </c>
      <c r="H1299" s="4">
        <v>0</v>
      </c>
    </row>
    <row r="1300" spans="1:8" x14ac:dyDescent="0.2">
      <c r="A1300" s="2" t="s">
        <v>191</v>
      </c>
      <c r="B1300" s="4">
        <v>49</v>
      </c>
      <c r="C1300" s="5">
        <v>9.59</v>
      </c>
      <c r="D1300" s="4">
        <v>25</v>
      </c>
      <c r="E1300" s="5">
        <v>9.23</v>
      </c>
      <c r="F1300" s="4">
        <v>24</v>
      </c>
      <c r="G1300" s="5">
        <v>10.57</v>
      </c>
      <c r="H1300" s="4">
        <v>0</v>
      </c>
    </row>
    <row r="1301" spans="1:8" x14ac:dyDescent="0.2">
      <c r="A1301" s="2" t="s">
        <v>192</v>
      </c>
      <c r="B1301" s="4">
        <v>37</v>
      </c>
      <c r="C1301" s="5">
        <v>7.24</v>
      </c>
      <c r="D1301" s="4">
        <v>14</v>
      </c>
      <c r="E1301" s="5">
        <v>5.17</v>
      </c>
      <c r="F1301" s="4">
        <v>23</v>
      </c>
      <c r="G1301" s="5">
        <v>10.130000000000001</v>
      </c>
      <c r="H1301" s="4">
        <v>0</v>
      </c>
    </row>
    <row r="1302" spans="1:8" x14ac:dyDescent="0.2">
      <c r="A1302" s="2" t="s">
        <v>193</v>
      </c>
      <c r="B1302" s="4">
        <v>1</v>
      </c>
      <c r="C1302" s="5">
        <v>0.2</v>
      </c>
      <c r="D1302" s="4">
        <v>0</v>
      </c>
      <c r="E1302" s="5">
        <v>0</v>
      </c>
      <c r="F1302" s="4">
        <v>1</v>
      </c>
      <c r="G1302" s="5">
        <v>0.44</v>
      </c>
      <c r="H1302" s="4">
        <v>0</v>
      </c>
    </row>
    <row r="1303" spans="1:8" x14ac:dyDescent="0.2">
      <c r="A1303" s="2" t="s">
        <v>194</v>
      </c>
      <c r="B1303" s="4">
        <v>2</v>
      </c>
      <c r="C1303" s="5">
        <v>0.39</v>
      </c>
      <c r="D1303" s="4">
        <v>0</v>
      </c>
      <c r="E1303" s="5">
        <v>0</v>
      </c>
      <c r="F1303" s="4">
        <v>2</v>
      </c>
      <c r="G1303" s="5">
        <v>0.88</v>
      </c>
      <c r="H1303" s="4">
        <v>0</v>
      </c>
    </row>
    <row r="1304" spans="1:8" x14ac:dyDescent="0.2">
      <c r="A1304" s="2" t="s">
        <v>195</v>
      </c>
      <c r="B1304" s="4">
        <v>5</v>
      </c>
      <c r="C1304" s="5">
        <v>0.98</v>
      </c>
      <c r="D1304" s="4">
        <v>2</v>
      </c>
      <c r="E1304" s="5">
        <v>0.74</v>
      </c>
      <c r="F1304" s="4">
        <v>3</v>
      </c>
      <c r="G1304" s="5">
        <v>1.32</v>
      </c>
      <c r="H1304" s="4">
        <v>0</v>
      </c>
    </row>
    <row r="1305" spans="1:8" x14ac:dyDescent="0.2">
      <c r="A1305" s="2" t="s">
        <v>196</v>
      </c>
      <c r="B1305" s="4">
        <v>142</v>
      </c>
      <c r="C1305" s="5">
        <v>27.79</v>
      </c>
      <c r="D1305" s="4">
        <v>51</v>
      </c>
      <c r="E1305" s="5">
        <v>18.82</v>
      </c>
      <c r="F1305" s="4">
        <v>91</v>
      </c>
      <c r="G1305" s="5">
        <v>40.090000000000003</v>
      </c>
      <c r="H1305" s="4">
        <v>0</v>
      </c>
    </row>
    <row r="1306" spans="1:8" x14ac:dyDescent="0.2">
      <c r="A1306" s="2" t="s">
        <v>197</v>
      </c>
      <c r="B1306" s="4">
        <v>2</v>
      </c>
      <c r="C1306" s="5">
        <v>0.39</v>
      </c>
      <c r="D1306" s="4">
        <v>0</v>
      </c>
      <c r="E1306" s="5">
        <v>0</v>
      </c>
      <c r="F1306" s="4">
        <v>2</v>
      </c>
      <c r="G1306" s="5">
        <v>0.88</v>
      </c>
      <c r="H1306" s="4">
        <v>0</v>
      </c>
    </row>
    <row r="1307" spans="1:8" x14ac:dyDescent="0.2">
      <c r="A1307" s="2" t="s">
        <v>198</v>
      </c>
      <c r="B1307" s="4">
        <v>60</v>
      </c>
      <c r="C1307" s="5">
        <v>11.74</v>
      </c>
      <c r="D1307" s="4">
        <v>38</v>
      </c>
      <c r="E1307" s="5">
        <v>14.02</v>
      </c>
      <c r="F1307" s="4">
        <v>21</v>
      </c>
      <c r="G1307" s="5">
        <v>9.25</v>
      </c>
      <c r="H1307" s="4">
        <v>0</v>
      </c>
    </row>
    <row r="1308" spans="1:8" x14ac:dyDescent="0.2">
      <c r="A1308" s="2" t="s">
        <v>199</v>
      </c>
      <c r="B1308" s="4">
        <v>13</v>
      </c>
      <c r="C1308" s="5">
        <v>2.54</v>
      </c>
      <c r="D1308" s="4">
        <v>12</v>
      </c>
      <c r="E1308" s="5">
        <v>4.43</v>
      </c>
      <c r="F1308" s="4">
        <v>1</v>
      </c>
      <c r="G1308" s="5">
        <v>0.44</v>
      </c>
      <c r="H1308" s="4">
        <v>0</v>
      </c>
    </row>
    <row r="1309" spans="1:8" x14ac:dyDescent="0.2">
      <c r="A1309" s="2" t="s">
        <v>200</v>
      </c>
      <c r="B1309" s="4">
        <v>71</v>
      </c>
      <c r="C1309" s="5">
        <v>13.89</v>
      </c>
      <c r="D1309" s="4">
        <v>56</v>
      </c>
      <c r="E1309" s="5">
        <v>20.66</v>
      </c>
      <c r="F1309" s="4">
        <v>15</v>
      </c>
      <c r="G1309" s="5">
        <v>6.61</v>
      </c>
      <c r="H1309" s="4">
        <v>0</v>
      </c>
    </row>
    <row r="1310" spans="1:8" x14ac:dyDescent="0.2">
      <c r="A1310" s="2" t="s">
        <v>201</v>
      </c>
      <c r="B1310" s="4">
        <v>71</v>
      </c>
      <c r="C1310" s="5">
        <v>13.89</v>
      </c>
      <c r="D1310" s="4">
        <v>54</v>
      </c>
      <c r="E1310" s="5">
        <v>19.93</v>
      </c>
      <c r="F1310" s="4">
        <v>17</v>
      </c>
      <c r="G1310" s="5">
        <v>7.49</v>
      </c>
      <c r="H1310" s="4">
        <v>0</v>
      </c>
    </row>
    <row r="1311" spans="1:8" x14ac:dyDescent="0.2">
      <c r="A1311" s="2" t="s">
        <v>202</v>
      </c>
      <c r="B1311" s="4">
        <v>9</v>
      </c>
      <c r="C1311" s="5">
        <v>1.76</v>
      </c>
      <c r="D1311" s="4">
        <v>4</v>
      </c>
      <c r="E1311" s="5">
        <v>1.48</v>
      </c>
      <c r="F1311" s="4">
        <v>2</v>
      </c>
      <c r="G1311" s="5">
        <v>0.88</v>
      </c>
      <c r="H1311" s="4">
        <v>0</v>
      </c>
    </row>
    <row r="1312" spans="1:8" x14ac:dyDescent="0.2">
      <c r="A1312" s="2" t="s">
        <v>203</v>
      </c>
      <c r="B1312" s="4">
        <v>36</v>
      </c>
      <c r="C1312" s="5">
        <v>7.05</v>
      </c>
      <c r="D1312" s="4">
        <v>14</v>
      </c>
      <c r="E1312" s="5">
        <v>5.17</v>
      </c>
      <c r="F1312" s="4">
        <v>18</v>
      </c>
      <c r="G1312" s="5">
        <v>7.93</v>
      </c>
      <c r="H1312" s="4">
        <v>0</v>
      </c>
    </row>
    <row r="1313" spans="1:8" x14ac:dyDescent="0.2">
      <c r="A1313" s="2" t="s">
        <v>204</v>
      </c>
      <c r="B1313" s="4">
        <v>12</v>
      </c>
      <c r="C1313" s="5">
        <v>2.35</v>
      </c>
      <c r="D1313" s="4">
        <v>1</v>
      </c>
      <c r="E1313" s="5">
        <v>0.37</v>
      </c>
      <c r="F1313" s="4">
        <v>6</v>
      </c>
      <c r="G1313" s="5">
        <v>2.64</v>
      </c>
      <c r="H1313" s="4">
        <v>0</v>
      </c>
    </row>
    <row r="1314" spans="1:8" x14ac:dyDescent="0.2">
      <c r="A1314" s="1" t="s">
        <v>82</v>
      </c>
      <c r="B1314" s="4">
        <v>24</v>
      </c>
      <c r="C1314" s="5">
        <v>100.01</v>
      </c>
      <c r="D1314" s="4">
        <v>10</v>
      </c>
      <c r="E1314" s="5">
        <v>100</v>
      </c>
      <c r="F1314" s="4">
        <v>12</v>
      </c>
      <c r="G1314" s="5">
        <v>99.99</v>
      </c>
      <c r="H1314" s="4">
        <v>0</v>
      </c>
    </row>
    <row r="1315" spans="1:8" x14ac:dyDescent="0.2">
      <c r="A1315" s="2" t="s">
        <v>190</v>
      </c>
      <c r="B1315" s="4">
        <v>0</v>
      </c>
      <c r="C1315" s="5">
        <v>0</v>
      </c>
      <c r="D1315" s="4">
        <v>0</v>
      </c>
      <c r="E1315" s="5">
        <v>0</v>
      </c>
      <c r="F1315" s="4">
        <v>0</v>
      </c>
      <c r="G1315" s="5">
        <v>0</v>
      </c>
      <c r="H1315" s="4">
        <v>0</v>
      </c>
    </row>
    <row r="1316" spans="1:8" x14ac:dyDescent="0.2">
      <c r="A1316" s="2" t="s">
        <v>191</v>
      </c>
      <c r="B1316" s="4">
        <v>3</v>
      </c>
      <c r="C1316" s="5">
        <v>12.5</v>
      </c>
      <c r="D1316" s="4">
        <v>0</v>
      </c>
      <c r="E1316" s="5">
        <v>0</v>
      </c>
      <c r="F1316" s="4">
        <v>3</v>
      </c>
      <c r="G1316" s="5">
        <v>25</v>
      </c>
      <c r="H1316" s="4">
        <v>0</v>
      </c>
    </row>
    <row r="1317" spans="1:8" x14ac:dyDescent="0.2">
      <c r="A1317" s="2" t="s">
        <v>192</v>
      </c>
      <c r="B1317" s="4">
        <v>2</v>
      </c>
      <c r="C1317" s="5">
        <v>8.33</v>
      </c>
      <c r="D1317" s="4">
        <v>1</v>
      </c>
      <c r="E1317" s="5">
        <v>10</v>
      </c>
      <c r="F1317" s="4">
        <v>1</v>
      </c>
      <c r="G1317" s="5">
        <v>8.33</v>
      </c>
      <c r="H1317" s="4">
        <v>0</v>
      </c>
    </row>
    <row r="1318" spans="1:8" x14ac:dyDescent="0.2">
      <c r="A1318" s="2" t="s">
        <v>193</v>
      </c>
      <c r="B1318" s="4">
        <v>1</v>
      </c>
      <c r="C1318" s="5">
        <v>4.17</v>
      </c>
      <c r="D1318" s="4">
        <v>0</v>
      </c>
      <c r="E1318" s="5">
        <v>0</v>
      </c>
      <c r="F1318" s="4">
        <v>0</v>
      </c>
      <c r="G1318" s="5">
        <v>0</v>
      </c>
      <c r="H1318" s="4">
        <v>0</v>
      </c>
    </row>
    <row r="1319" spans="1:8" x14ac:dyDescent="0.2">
      <c r="A1319" s="2" t="s">
        <v>194</v>
      </c>
      <c r="B1319" s="4">
        <v>0</v>
      </c>
      <c r="C1319" s="5">
        <v>0</v>
      </c>
      <c r="D1319" s="4">
        <v>0</v>
      </c>
      <c r="E1319" s="5">
        <v>0</v>
      </c>
      <c r="F1319" s="4">
        <v>0</v>
      </c>
      <c r="G1319" s="5">
        <v>0</v>
      </c>
      <c r="H1319" s="4">
        <v>0</v>
      </c>
    </row>
    <row r="1320" spans="1:8" x14ac:dyDescent="0.2">
      <c r="A1320" s="2" t="s">
        <v>195</v>
      </c>
      <c r="B1320" s="4">
        <v>1</v>
      </c>
      <c r="C1320" s="5">
        <v>4.17</v>
      </c>
      <c r="D1320" s="4">
        <v>0</v>
      </c>
      <c r="E1320" s="5">
        <v>0</v>
      </c>
      <c r="F1320" s="4">
        <v>1</v>
      </c>
      <c r="G1320" s="5">
        <v>8.33</v>
      </c>
      <c r="H1320" s="4">
        <v>0</v>
      </c>
    </row>
    <row r="1321" spans="1:8" x14ac:dyDescent="0.2">
      <c r="A1321" s="2" t="s">
        <v>196</v>
      </c>
      <c r="B1321" s="4">
        <v>6</v>
      </c>
      <c r="C1321" s="5">
        <v>25</v>
      </c>
      <c r="D1321" s="4">
        <v>3</v>
      </c>
      <c r="E1321" s="5">
        <v>30</v>
      </c>
      <c r="F1321" s="4">
        <v>3</v>
      </c>
      <c r="G1321" s="5">
        <v>25</v>
      </c>
      <c r="H1321" s="4">
        <v>0</v>
      </c>
    </row>
    <row r="1322" spans="1:8" x14ac:dyDescent="0.2">
      <c r="A1322" s="2" t="s">
        <v>197</v>
      </c>
      <c r="B1322" s="4">
        <v>0</v>
      </c>
      <c r="C1322" s="5">
        <v>0</v>
      </c>
      <c r="D1322" s="4">
        <v>0</v>
      </c>
      <c r="E1322" s="5">
        <v>0</v>
      </c>
      <c r="F1322" s="4">
        <v>0</v>
      </c>
      <c r="G1322" s="5">
        <v>0</v>
      </c>
      <c r="H1322" s="4">
        <v>0</v>
      </c>
    </row>
    <row r="1323" spans="1:8" x14ac:dyDescent="0.2">
      <c r="A1323" s="2" t="s">
        <v>198</v>
      </c>
      <c r="B1323" s="4">
        <v>0</v>
      </c>
      <c r="C1323" s="5">
        <v>0</v>
      </c>
      <c r="D1323" s="4">
        <v>0</v>
      </c>
      <c r="E1323" s="5">
        <v>0</v>
      </c>
      <c r="F1323" s="4">
        <v>0</v>
      </c>
      <c r="G1323" s="5">
        <v>0</v>
      </c>
      <c r="H1323" s="4">
        <v>0</v>
      </c>
    </row>
    <row r="1324" spans="1:8" x14ac:dyDescent="0.2">
      <c r="A1324" s="2" t="s">
        <v>199</v>
      </c>
      <c r="B1324" s="4">
        <v>0</v>
      </c>
      <c r="C1324" s="5">
        <v>0</v>
      </c>
      <c r="D1324" s="4">
        <v>0</v>
      </c>
      <c r="E1324" s="5">
        <v>0</v>
      </c>
      <c r="F1324" s="4">
        <v>0</v>
      </c>
      <c r="G1324" s="5">
        <v>0</v>
      </c>
      <c r="H1324" s="4">
        <v>0</v>
      </c>
    </row>
    <row r="1325" spans="1:8" x14ac:dyDescent="0.2">
      <c r="A1325" s="2" t="s">
        <v>200</v>
      </c>
      <c r="B1325" s="4">
        <v>7</v>
      </c>
      <c r="C1325" s="5">
        <v>29.17</v>
      </c>
      <c r="D1325" s="4">
        <v>4</v>
      </c>
      <c r="E1325" s="5">
        <v>40</v>
      </c>
      <c r="F1325" s="4">
        <v>3</v>
      </c>
      <c r="G1325" s="5">
        <v>25</v>
      </c>
      <c r="H1325" s="4">
        <v>0</v>
      </c>
    </row>
    <row r="1326" spans="1:8" x14ac:dyDescent="0.2">
      <c r="A1326" s="2" t="s">
        <v>201</v>
      </c>
      <c r="B1326" s="4">
        <v>1</v>
      </c>
      <c r="C1326" s="5">
        <v>4.17</v>
      </c>
      <c r="D1326" s="4">
        <v>1</v>
      </c>
      <c r="E1326" s="5">
        <v>10</v>
      </c>
      <c r="F1326" s="4">
        <v>0</v>
      </c>
      <c r="G1326" s="5">
        <v>0</v>
      </c>
      <c r="H1326" s="4">
        <v>0</v>
      </c>
    </row>
    <row r="1327" spans="1:8" x14ac:dyDescent="0.2">
      <c r="A1327" s="2" t="s">
        <v>202</v>
      </c>
      <c r="B1327" s="4">
        <v>0</v>
      </c>
      <c r="C1327" s="5">
        <v>0</v>
      </c>
      <c r="D1327" s="4">
        <v>0</v>
      </c>
      <c r="E1327" s="5">
        <v>0</v>
      </c>
      <c r="F1327" s="4">
        <v>0</v>
      </c>
      <c r="G1327" s="5">
        <v>0</v>
      </c>
      <c r="H1327" s="4">
        <v>0</v>
      </c>
    </row>
    <row r="1328" spans="1:8" x14ac:dyDescent="0.2">
      <c r="A1328" s="2" t="s">
        <v>203</v>
      </c>
      <c r="B1328" s="4">
        <v>0</v>
      </c>
      <c r="C1328" s="5">
        <v>0</v>
      </c>
      <c r="D1328" s="4">
        <v>0</v>
      </c>
      <c r="E1328" s="5">
        <v>0</v>
      </c>
      <c r="F1328" s="4">
        <v>0</v>
      </c>
      <c r="G1328" s="5">
        <v>0</v>
      </c>
      <c r="H1328" s="4">
        <v>0</v>
      </c>
    </row>
    <row r="1329" spans="1:8" x14ac:dyDescent="0.2">
      <c r="A1329" s="2" t="s">
        <v>204</v>
      </c>
      <c r="B1329" s="4">
        <v>3</v>
      </c>
      <c r="C1329" s="5">
        <v>12.5</v>
      </c>
      <c r="D1329" s="4">
        <v>1</v>
      </c>
      <c r="E1329" s="5">
        <v>10</v>
      </c>
      <c r="F1329" s="4">
        <v>1</v>
      </c>
      <c r="G1329" s="5">
        <v>8.33</v>
      </c>
      <c r="H1329" s="4">
        <v>0</v>
      </c>
    </row>
    <row r="1330" spans="1:8" x14ac:dyDescent="0.2">
      <c r="A1330" s="1" t="s">
        <v>83</v>
      </c>
      <c r="B1330" s="4">
        <v>139</v>
      </c>
      <c r="C1330" s="5">
        <v>100.03</v>
      </c>
      <c r="D1330" s="4">
        <v>60</v>
      </c>
      <c r="E1330" s="5">
        <v>100</v>
      </c>
      <c r="F1330" s="4">
        <v>72</v>
      </c>
      <c r="G1330" s="5">
        <v>100</v>
      </c>
      <c r="H1330" s="4">
        <v>4</v>
      </c>
    </row>
    <row r="1331" spans="1:8" x14ac:dyDescent="0.2">
      <c r="A1331" s="2" t="s">
        <v>190</v>
      </c>
      <c r="B1331" s="4">
        <v>0</v>
      </c>
      <c r="C1331" s="5">
        <v>0</v>
      </c>
      <c r="D1331" s="4">
        <v>0</v>
      </c>
      <c r="E1331" s="5">
        <v>0</v>
      </c>
      <c r="F1331" s="4">
        <v>0</v>
      </c>
      <c r="G1331" s="5">
        <v>0</v>
      </c>
      <c r="H1331" s="4">
        <v>0</v>
      </c>
    </row>
    <row r="1332" spans="1:8" x14ac:dyDescent="0.2">
      <c r="A1332" s="2" t="s">
        <v>191</v>
      </c>
      <c r="B1332" s="4">
        <v>23</v>
      </c>
      <c r="C1332" s="5">
        <v>16.55</v>
      </c>
      <c r="D1332" s="4">
        <v>4</v>
      </c>
      <c r="E1332" s="5">
        <v>6.67</v>
      </c>
      <c r="F1332" s="4">
        <v>19</v>
      </c>
      <c r="G1332" s="5">
        <v>26.39</v>
      </c>
      <c r="H1332" s="4">
        <v>0</v>
      </c>
    </row>
    <row r="1333" spans="1:8" x14ac:dyDescent="0.2">
      <c r="A1333" s="2" t="s">
        <v>192</v>
      </c>
      <c r="B1333" s="4">
        <v>15</v>
      </c>
      <c r="C1333" s="5">
        <v>10.79</v>
      </c>
      <c r="D1333" s="4">
        <v>0</v>
      </c>
      <c r="E1333" s="5">
        <v>0</v>
      </c>
      <c r="F1333" s="4">
        <v>15</v>
      </c>
      <c r="G1333" s="5">
        <v>20.83</v>
      </c>
      <c r="H1333" s="4">
        <v>0</v>
      </c>
    </row>
    <row r="1334" spans="1:8" x14ac:dyDescent="0.2">
      <c r="A1334" s="2" t="s">
        <v>193</v>
      </c>
      <c r="B1334" s="4">
        <v>1</v>
      </c>
      <c r="C1334" s="5">
        <v>0.72</v>
      </c>
      <c r="D1334" s="4">
        <v>0</v>
      </c>
      <c r="E1334" s="5">
        <v>0</v>
      </c>
      <c r="F1334" s="4">
        <v>0</v>
      </c>
      <c r="G1334" s="5">
        <v>0</v>
      </c>
      <c r="H1334" s="4">
        <v>0</v>
      </c>
    </row>
    <row r="1335" spans="1:8" x14ac:dyDescent="0.2">
      <c r="A1335" s="2" t="s">
        <v>194</v>
      </c>
      <c r="B1335" s="4">
        <v>1</v>
      </c>
      <c r="C1335" s="5">
        <v>0.72</v>
      </c>
      <c r="D1335" s="4">
        <v>0</v>
      </c>
      <c r="E1335" s="5">
        <v>0</v>
      </c>
      <c r="F1335" s="4">
        <v>1</v>
      </c>
      <c r="G1335" s="5">
        <v>1.39</v>
      </c>
      <c r="H1335" s="4">
        <v>0</v>
      </c>
    </row>
    <row r="1336" spans="1:8" x14ac:dyDescent="0.2">
      <c r="A1336" s="2" t="s">
        <v>195</v>
      </c>
      <c r="B1336" s="4">
        <v>4</v>
      </c>
      <c r="C1336" s="5">
        <v>2.88</v>
      </c>
      <c r="D1336" s="4">
        <v>1</v>
      </c>
      <c r="E1336" s="5">
        <v>1.67</v>
      </c>
      <c r="F1336" s="4">
        <v>2</v>
      </c>
      <c r="G1336" s="5">
        <v>2.78</v>
      </c>
      <c r="H1336" s="4">
        <v>1</v>
      </c>
    </row>
    <row r="1337" spans="1:8" x14ac:dyDescent="0.2">
      <c r="A1337" s="2" t="s">
        <v>196</v>
      </c>
      <c r="B1337" s="4">
        <v>23</v>
      </c>
      <c r="C1337" s="5">
        <v>16.55</v>
      </c>
      <c r="D1337" s="4">
        <v>8</v>
      </c>
      <c r="E1337" s="5">
        <v>13.33</v>
      </c>
      <c r="F1337" s="4">
        <v>15</v>
      </c>
      <c r="G1337" s="5">
        <v>20.83</v>
      </c>
      <c r="H1337" s="4">
        <v>0</v>
      </c>
    </row>
    <row r="1338" spans="1:8" x14ac:dyDescent="0.2">
      <c r="A1338" s="2" t="s">
        <v>197</v>
      </c>
      <c r="B1338" s="4">
        <v>0</v>
      </c>
      <c r="C1338" s="5">
        <v>0</v>
      </c>
      <c r="D1338" s="4">
        <v>0</v>
      </c>
      <c r="E1338" s="5">
        <v>0</v>
      </c>
      <c r="F1338" s="4">
        <v>0</v>
      </c>
      <c r="G1338" s="5">
        <v>0</v>
      </c>
      <c r="H1338" s="4">
        <v>0</v>
      </c>
    </row>
    <row r="1339" spans="1:8" x14ac:dyDescent="0.2">
      <c r="A1339" s="2" t="s">
        <v>198</v>
      </c>
      <c r="B1339" s="4">
        <v>5</v>
      </c>
      <c r="C1339" s="5">
        <v>3.6</v>
      </c>
      <c r="D1339" s="4">
        <v>4</v>
      </c>
      <c r="E1339" s="5">
        <v>6.67</v>
      </c>
      <c r="F1339" s="4">
        <v>1</v>
      </c>
      <c r="G1339" s="5">
        <v>1.39</v>
      </c>
      <c r="H1339" s="4">
        <v>0</v>
      </c>
    </row>
    <row r="1340" spans="1:8" x14ac:dyDescent="0.2">
      <c r="A1340" s="2" t="s">
        <v>199</v>
      </c>
      <c r="B1340" s="4">
        <v>6</v>
      </c>
      <c r="C1340" s="5">
        <v>4.32</v>
      </c>
      <c r="D1340" s="4">
        <v>1</v>
      </c>
      <c r="E1340" s="5">
        <v>1.67</v>
      </c>
      <c r="F1340" s="4">
        <v>4</v>
      </c>
      <c r="G1340" s="5">
        <v>5.56</v>
      </c>
      <c r="H1340" s="4">
        <v>1</v>
      </c>
    </row>
    <row r="1341" spans="1:8" x14ac:dyDescent="0.2">
      <c r="A1341" s="2" t="s">
        <v>200</v>
      </c>
      <c r="B1341" s="4">
        <v>24</v>
      </c>
      <c r="C1341" s="5">
        <v>17.27</v>
      </c>
      <c r="D1341" s="4">
        <v>18</v>
      </c>
      <c r="E1341" s="5">
        <v>30</v>
      </c>
      <c r="F1341" s="4">
        <v>5</v>
      </c>
      <c r="G1341" s="5">
        <v>6.94</v>
      </c>
      <c r="H1341" s="4">
        <v>0</v>
      </c>
    </row>
    <row r="1342" spans="1:8" x14ac:dyDescent="0.2">
      <c r="A1342" s="2" t="s">
        <v>201</v>
      </c>
      <c r="B1342" s="4">
        <v>21</v>
      </c>
      <c r="C1342" s="5">
        <v>15.11</v>
      </c>
      <c r="D1342" s="4">
        <v>17</v>
      </c>
      <c r="E1342" s="5">
        <v>28.33</v>
      </c>
      <c r="F1342" s="4">
        <v>1</v>
      </c>
      <c r="G1342" s="5">
        <v>1.39</v>
      </c>
      <c r="H1342" s="4">
        <v>2</v>
      </c>
    </row>
    <row r="1343" spans="1:8" x14ac:dyDescent="0.2">
      <c r="A1343" s="2" t="s">
        <v>202</v>
      </c>
      <c r="B1343" s="4">
        <v>2</v>
      </c>
      <c r="C1343" s="5">
        <v>1.44</v>
      </c>
      <c r="D1343" s="4">
        <v>2</v>
      </c>
      <c r="E1343" s="5">
        <v>3.33</v>
      </c>
      <c r="F1343" s="4">
        <v>0</v>
      </c>
      <c r="G1343" s="5">
        <v>0</v>
      </c>
      <c r="H1343" s="4">
        <v>0</v>
      </c>
    </row>
    <row r="1344" spans="1:8" x14ac:dyDescent="0.2">
      <c r="A1344" s="2" t="s">
        <v>203</v>
      </c>
      <c r="B1344" s="4">
        <v>8</v>
      </c>
      <c r="C1344" s="5">
        <v>5.76</v>
      </c>
      <c r="D1344" s="4">
        <v>5</v>
      </c>
      <c r="E1344" s="5">
        <v>8.33</v>
      </c>
      <c r="F1344" s="4">
        <v>3</v>
      </c>
      <c r="G1344" s="5">
        <v>4.17</v>
      </c>
      <c r="H1344" s="4">
        <v>0</v>
      </c>
    </row>
    <row r="1345" spans="1:8" x14ac:dyDescent="0.2">
      <c r="A1345" s="2" t="s">
        <v>204</v>
      </c>
      <c r="B1345" s="4">
        <v>6</v>
      </c>
      <c r="C1345" s="5">
        <v>4.32</v>
      </c>
      <c r="D1345" s="4">
        <v>0</v>
      </c>
      <c r="E1345" s="5">
        <v>0</v>
      </c>
      <c r="F1345" s="4">
        <v>6</v>
      </c>
      <c r="G1345" s="5">
        <v>8.33</v>
      </c>
      <c r="H1345" s="4">
        <v>0</v>
      </c>
    </row>
    <row r="1346" spans="1:8" x14ac:dyDescent="0.2">
      <c r="A1346" s="1" t="s">
        <v>84</v>
      </c>
      <c r="B1346" s="4">
        <v>131</v>
      </c>
      <c r="C1346" s="5">
        <v>99.999999999999986</v>
      </c>
      <c r="D1346" s="4">
        <v>51</v>
      </c>
      <c r="E1346" s="5">
        <v>100</v>
      </c>
      <c r="F1346" s="4">
        <v>70</v>
      </c>
      <c r="G1346" s="5">
        <v>100.00000000000001</v>
      </c>
      <c r="H1346" s="4">
        <v>0</v>
      </c>
    </row>
    <row r="1347" spans="1:8" x14ac:dyDescent="0.2">
      <c r="A1347" s="2" t="s">
        <v>190</v>
      </c>
      <c r="B1347" s="4">
        <v>0</v>
      </c>
      <c r="C1347" s="5">
        <v>0</v>
      </c>
      <c r="D1347" s="4">
        <v>0</v>
      </c>
      <c r="E1347" s="5">
        <v>0</v>
      </c>
      <c r="F1347" s="4">
        <v>0</v>
      </c>
      <c r="G1347" s="5">
        <v>0</v>
      </c>
      <c r="H1347" s="4">
        <v>0</v>
      </c>
    </row>
    <row r="1348" spans="1:8" x14ac:dyDescent="0.2">
      <c r="A1348" s="2" t="s">
        <v>191</v>
      </c>
      <c r="B1348" s="4">
        <v>29</v>
      </c>
      <c r="C1348" s="5">
        <v>22.14</v>
      </c>
      <c r="D1348" s="4">
        <v>8</v>
      </c>
      <c r="E1348" s="5">
        <v>15.69</v>
      </c>
      <c r="F1348" s="4">
        <v>21</v>
      </c>
      <c r="G1348" s="5">
        <v>30</v>
      </c>
      <c r="H1348" s="4">
        <v>0</v>
      </c>
    </row>
    <row r="1349" spans="1:8" x14ac:dyDescent="0.2">
      <c r="A1349" s="2" t="s">
        <v>192</v>
      </c>
      <c r="B1349" s="4">
        <v>8</v>
      </c>
      <c r="C1349" s="5">
        <v>6.11</v>
      </c>
      <c r="D1349" s="4">
        <v>1</v>
      </c>
      <c r="E1349" s="5">
        <v>1.96</v>
      </c>
      <c r="F1349" s="4">
        <v>7</v>
      </c>
      <c r="G1349" s="5">
        <v>10</v>
      </c>
      <c r="H1349" s="4">
        <v>0</v>
      </c>
    </row>
    <row r="1350" spans="1:8" x14ac:dyDescent="0.2">
      <c r="A1350" s="2" t="s">
        <v>193</v>
      </c>
      <c r="B1350" s="4">
        <v>2</v>
      </c>
      <c r="C1350" s="5">
        <v>1.53</v>
      </c>
      <c r="D1350" s="4">
        <v>0</v>
      </c>
      <c r="E1350" s="5">
        <v>0</v>
      </c>
      <c r="F1350" s="4">
        <v>1</v>
      </c>
      <c r="G1350" s="5">
        <v>1.43</v>
      </c>
      <c r="H1350" s="4">
        <v>0</v>
      </c>
    </row>
    <row r="1351" spans="1:8" x14ac:dyDescent="0.2">
      <c r="A1351" s="2" t="s">
        <v>194</v>
      </c>
      <c r="B1351" s="4">
        <v>0</v>
      </c>
      <c r="C1351" s="5">
        <v>0</v>
      </c>
      <c r="D1351" s="4">
        <v>0</v>
      </c>
      <c r="E1351" s="5">
        <v>0</v>
      </c>
      <c r="F1351" s="4">
        <v>0</v>
      </c>
      <c r="G1351" s="5">
        <v>0</v>
      </c>
      <c r="H1351" s="4">
        <v>0</v>
      </c>
    </row>
    <row r="1352" spans="1:8" x14ac:dyDescent="0.2">
      <c r="A1352" s="2" t="s">
        <v>195</v>
      </c>
      <c r="B1352" s="4">
        <v>1</v>
      </c>
      <c r="C1352" s="5">
        <v>0.76</v>
      </c>
      <c r="D1352" s="4">
        <v>0</v>
      </c>
      <c r="E1352" s="5">
        <v>0</v>
      </c>
      <c r="F1352" s="4">
        <v>1</v>
      </c>
      <c r="G1352" s="5">
        <v>1.43</v>
      </c>
      <c r="H1352" s="4">
        <v>0</v>
      </c>
    </row>
    <row r="1353" spans="1:8" x14ac:dyDescent="0.2">
      <c r="A1353" s="2" t="s">
        <v>196</v>
      </c>
      <c r="B1353" s="4">
        <v>30</v>
      </c>
      <c r="C1353" s="5">
        <v>22.9</v>
      </c>
      <c r="D1353" s="4">
        <v>10</v>
      </c>
      <c r="E1353" s="5">
        <v>19.61</v>
      </c>
      <c r="F1353" s="4">
        <v>20</v>
      </c>
      <c r="G1353" s="5">
        <v>28.57</v>
      </c>
      <c r="H1353" s="4">
        <v>0</v>
      </c>
    </row>
    <row r="1354" spans="1:8" x14ac:dyDescent="0.2">
      <c r="A1354" s="2" t="s">
        <v>197</v>
      </c>
      <c r="B1354" s="4">
        <v>1</v>
      </c>
      <c r="C1354" s="5">
        <v>0.76</v>
      </c>
      <c r="D1354" s="4">
        <v>0</v>
      </c>
      <c r="E1354" s="5">
        <v>0</v>
      </c>
      <c r="F1354" s="4">
        <v>1</v>
      </c>
      <c r="G1354" s="5">
        <v>1.43</v>
      </c>
      <c r="H1354" s="4">
        <v>0</v>
      </c>
    </row>
    <row r="1355" spans="1:8" x14ac:dyDescent="0.2">
      <c r="A1355" s="2" t="s">
        <v>198</v>
      </c>
      <c r="B1355" s="4">
        <v>11</v>
      </c>
      <c r="C1355" s="5">
        <v>8.4</v>
      </c>
      <c r="D1355" s="4">
        <v>5</v>
      </c>
      <c r="E1355" s="5">
        <v>9.8000000000000007</v>
      </c>
      <c r="F1355" s="4">
        <v>4</v>
      </c>
      <c r="G1355" s="5">
        <v>5.71</v>
      </c>
      <c r="H1355" s="4">
        <v>0</v>
      </c>
    </row>
    <row r="1356" spans="1:8" x14ac:dyDescent="0.2">
      <c r="A1356" s="2" t="s">
        <v>199</v>
      </c>
      <c r="B1356" s="4">
        <v>4</v>
      </c>
      <c r="C1356" s="5">
        <v>3.05</v>
      </c>
      <c r="D1356" s="4">
        <v>0</v>
      </c>
      <c r="E1356" s="5">
        <v>0</v>
      </c>
      <c r="F1356" s="4">
        <v>4</v>
      </c>
      <c r="G1356" s="5">
        <v>5.71</v>
      </c>
      <c r="H1356" s="4">
        <v>0</v>
      </c>
    </row>
    <row r="1357" spans="1:8" x14ac:dyDescent="0.2">
      <c r="A1357" s="2" t="s">
        <v>200</v>
      </c>
      <c r="B1357" s="4">
        <v>14</v>
      </c>
      <c r="C1357" s="5">
        <v>10.69</v>
      </c>
      <c r="D1357" s="4">
        <v>11</v>
      </c>
      <c r="E1357" s="5">
        <v>21.57</v>
      </c>
      <c r="F1357" s="4">
        <v>3</v>
      </c>
      <c r="G1357" s="5">
        <v>4.29</v>
      </c>
      <c r="H1357" s="4">
        <v>0</v>
      </c>
    </row>
    <row r="1358" spans="1:8" x14ac:dyDescent="0.2">
      <c r="A1358" s="2" t="s">
        <v>201</v>
      </c>
      <c r="B1358" s="4">
        <v>10</v>
      </c>
      <c r="C1358" s="5">
        <v>7.63</v>
      </c>
      <c r="D1358" s="4">
        <v>9</v>
      </c>
      <c r="E1358" s="5">
        <v>17.649999999999999</v>
      </c>
      <c r="F1358" s="4">
        <v>0</v>
      </c>
      <c r="G1358" s="5">
        <v>0</v>
      </c>
      <c r="H1358" s="4">
        <v>0</v>
      </c>
    </row>
    <row r="1359" spans="1:8" x14ac:dyDescent="0.2">
      <c r="A1359" s="2" t="s">
        <v>202</v>
      </c>
      <c r="B1359" s="4">
        <v>5</v>
      </c>
      <c r="C1359" s="5">
        <v>3.82</v>
      </c>
      <c r="D1359" s="4">
        <v>3</v>
      </c>
      <c r="E1359" s="5">
        <v>5.88</v>
      </c>
      <c r="F1359" s="4">
        <v>0</v>
      </c>
      <c r="G1359" s="5">
        <v>0</v>
      </c>
      <c r="H1359" s="4">
        <v>0</v>
      </c>
    </row>
    <row r="1360" spans="1:8" x14ac:dyDescent="0.2">
      <c r="A1360" s="2" t="s">
        <v>203</v>
      </c>
      <c r="B1360" s="4">
        <v>15</v>
      </c>
      <c r="C1360" s="5">
        <v>11.45</v>
      </c>
      <c r="D1360" s="4">
        <v>4</v>
      </c>
      <c r="E1360" s="5">
        <v>7.84</v>
      </c>
      <c r="F1360" s="4">
        <v>7</v>
      </c>
      <c r="G1360" s="5">
        <v>10</v>
      </c>
      <c r="H1360" s="4">
        <v>0</v>
      </c>
    </row>
    <row r="1361" spans="1:8" x14ac:dyDescent="0.2">
      <c r="A1361" s="2" t="s">
        <v>204</v>
      </c>
      <c r="B1361" s="4">
        <v>1</v>
      </c>
      <c r="C1361" s="5">
        <v>0.76</v>
      </c>
      <c r="D1361" s="4">
        <v>0</v>
      </c>
      <c r="E1361" s="5">
        <v>0</v>
      </c>
      <c r="F1361" s="4">
        <v>1</v>
      </c>
      <c r="G1361" s="5">
        <v>1.43</v>
      </c>
      <c r="H1361" s="4">
        <v>0</v>
      </c>
    </row>
    <row r="1362" spans="1:8" x14ac:dyDescent="0.2">
      <c r="A1362" s="1" t="s">
        <v>85</v>
      </c>
      <c r="B1362" s="4">
        <v>62</v>
      </c>
      <c r="C1362" s="5">
        <v>99.98</v>
      </c>
      <c r="D1362" s="4">
        <v>31</v>
      </c>
      <c r="E1362" s="5">
        <v>100.01</v>
      </c>
      <c r="F1362" s="4">
        <v>21</v>
      </c>
      <c r="G1362" s="5">
        <v>100.00000000000001</v>
      </c>
      <c r="H1362" s="4">
        <v>2</v>
      </c>
    </row>
    <row r="1363" spans="1:8" x14ac:dyDescent="0.2">
      <c r="A1363" s="2" t="s">
        <v>190</v>
      </c>
      <c r="B1363" s="4">
        <v>0</v>
      </c>
      <c r="C1363" s="5">
        <v>0</v>
      </c>
      <c r="D1363" s="4">
        <v>0</v>
      </c>
      <c r="E1363" s="5">
        <v>0</v>
      </c>
      <c r="F1363" s="4">
        <v>0</v>
      </c>
      <c r="G1363" s="5">
        <v>0</v>
      </c>
      <c r="H1363" s="4">
        <v>0</v>
      </c>
    </row>
    <row r="1364" spans="1:8" x14ac:dyDescent="0.2">
      <c r="A1364" s="2" t="s">
        <v>191</v>
      </c>
      <c r="B1364" s="4">
        <v>12</v>
      </c>
      <c r="C1364" s="5">
        <v>19.350000000000001</v>
      </c>
      <c r="D1364" s="4">
        <v>8</v>
      </c>
      <c r="E1364" s="5">
        <v>25.81</v>
      </c>
      <c r="F1364" s="4">
        <v>4</v>
      </c>
      <c r="G1364" s="5">
        <v>19.05</v>
      </c>
      <c r="H1364" s="4">
        <v>0</v>
      </c>
    </row>
    <row r="1365" spans="1:8" x14ac:dyDescent="0.2">
      <c r="A1365" s="2" t="s">
        <v>192</v>
      </c>
      <c r="B1365" s="4">
        <v>5</v>
      </c>
      <c r="C1365" s="5">
        <v>8.06</v>
      </c>
      <c r="D1365" s="4">
        <v>2</v>
      </c>
      <c r="E1365" s="5">
        <v>6.45</v>
      </c>
      <c r="F1365" s="4">
        <v>3</v>
      </c>
      <c r="G1365" s="5">
        <v>14.29</v>
      </c>
      <c r="H1365" s="4">
        <v>0</v>
      </c>
    </row>
    <row r="1366" spans="1:8" x14ac:dyDescent="0.2">
      <c r="A1366" s="2" t="s">
        <v>193</v>
      </c>
      <c r="B1366" s="4">
        <v>1</v>
      </c>
      <c r="C1366" s="5">
        <v>1.61</v>
      </c>
      <c r="D1366" s="4">
        <v>0</v>
      </c>
      <c r="E1366" s="5">
        <v>0</v>
      </c>
      <c r="F1366" s="4">
        <v>0</v>
      </c>
      <c r="G1366" s="5">
        <v>0</v>
      </c>
      <c r="H1366" s="4">
        <v>0</v>
      </c>
    </row>
    <row r="1367" spans="1:8" x14ac:dyDescent="0.2">
      <c r="A1367" s="2" t="s">
        <v>194</v>
      </c>
      <c r="B1367" s="4">
        <v>1</v>
      </c>
      <c r="C1367" s="5">
        <v>1.61</v>
      </c>
      <c r="D1367" s="4">
        <v>0</v>
      </c>
      <c r="E1367" s="5">
        <v>0</v>
      </c>
      <c r="F1367" s="4">
        <v>1</v>
      </c>
      <c r="G1367" s="5">
        <v>4.76</v>
      </c>
      <c r="H1367" s="4">
        <v>0</v>
      </c>
    </row>
    <row r="1368" spans="1:8" x14ac:dyDescent="0.2">
      <c r="A1368" s="2" t="s">
        <v>195</v>
      </c>
      <c r="B1368" s="4">
        <v>1</v>
      </c>
      <c r="C1368" s="5">
        <v>1.61</v>
      </c>
      <c r="D1368" s="4">
        <v>0</v>
      </c>
      <c r="E1368" s="5">
        <v>0</v>
      </c>
      <c r="F1368" s="4">
        <v>1</v>
      </c>
      <c r="G1368" s="5">
        <v>4.76</v>
      </c>
      <c r="H1368" s="4">
        <v>0</v>
      </c>
    </row>
    <row r="1369" spans="1:8" x14ac:dyDescent="0.2">
      <c r="A1369" s="2" t="s">
        <v>196</v>
      </c>
      <c r="B1369" s="4">
        <v>16</v>
      </c>
      <c r="C1369" s="5">
        <v>25.81</v>
      </c>
      <c r="D1369" s="4">
        <v>9</v>
      </c>
      <c r="E1369" s="5">
        <v>29.03</v>
      </c>
      <c r="F1369" s="4">
        <v>7</v>
      </c>
      <c r="G1369" s="5">
        <v>33.33</v>
      </c>
      <c r="H1369" s="4">
        <v>0</v>
      </c>
    </row>
    <row r="1370" spans="1:8" x14ac:dyDescent="0.2">
      <c r="A1370" s="2" t="s">
        <v>197</v>
      </c>
      <c r="B1370" s="4">
        <v>0</v>
      </c>
      <c r="C1370" s="5">
        <v>0</v>
      </c>
      <c r="D1370" s="4">
        <v>0</v>
      </c>
      <c r="E1370" s="5">
        <v>0</v>
      </c>
      <c r="F1370" s="4">
        <v>0</v>
      </c>
      <c r="G1370" s="5">
        <v>0</v>
      </c>
      <c r="H1370" s="4">
        <v>0</v>
      </c>
    </row>
    <row r="1371" spans="1:8" x14ac:dyDescent="0.2">
      <c r="A1371" s="2" t="s">
        <v>198</v>
      </c>
      <c r="B1371" s="4">
        <v>2</v>
      </c>
      <c r="C1371" s="5">
        <v>3.23</v>
      </c>
      <c r="D1371" s="4">
        <v>0</v>
      </c>
      <c r="E1371" s="5">
        <v>0</v>
      </c>
      <c r="F1371" s="4">
        <v>1</v>
      </c>
      <c r="G1371" s="5">
        <v>4.76</v>
      </c>
      <c r="H1371" s="4">
        <v>0</v>
      </c>
    </row>
    <row r="1372" spans="1:8" x14ac:dyDescent="0.2">
      <c r="A1372" s="2" t="s">
        <v>199</v>
      </c>
      <c r="B1372" s="4">
        <v>0</v>
      </c>
      <c r="C1372" s="5">
        <v>0</v>
      </c>
      <c r="D1372" s="4">
        <v>0</v>
      </c>
      <c r="E1372" s="5">
        <v>0</v>
      </c>
      <c r="F1372" s="4">
        <v>0</v>
      </c>
      <c r="G1372" s="5">
        <v>0</v>
      </c>
      <c r="H1372" s="4">
        <v>0</v>
      </c>
    </row>
    <row r="1373" spans="1:8" x14ac:dyDescent="0.2">
      <c r="A1373" s="2" t="s">
        <v>200</v>
      </c>
      <c r="B1373" s="4">
        <v>1</v>
      </c>
      <c r="C1373" s="5">
        <v>1.61</v>
      </c>
      <c r="D1373" s="4">
        <v>1</v>
      </c>
      <c r="E1373" s="5">
        <v>3.23</v>
      </c>
      <c r="F1373" s="4">
        <v>0</v>
      </c>
      <c r="G1373" s="5">
        <v>0</v>
      </c>
      <c r="H1373" s="4">
        <v>0</v>
      </c>
    </row>
    <row r="1374" spans="1:8" x14ac:dyDescent="0.2">
      <c r="A1374" s="2" t="s">
        <v>201</v>
      </c>
      <c r="B1374" s="4">
        <v>14</v>
      </c>
      <c r="C1374" s="5">
        <v>22.58</v>
      </c>
      <c r="D1374" s="4">
        <v>10</v>
      </c>
      <c r="E1374" s="5">
        <v>32.26</v>
      </c>
      <c r="F1374" s="4">
        <v>0</v>
      </c>
      <c r="G1374" s="5">
        <v>0</v>
      </c>
      <c r="H1374" s="4">
        <v>2</v>
      </c>
    </row>
    <row r="1375" spans="1:8" x14ac:dyDescent="0.2">
      <c r="A1375" s="2" t="s">
        <v>202</v>
      </c>
      <c r="B1375" s="4">
        <v>0</v>
      </c>
      <c r="C1375" s="5">
        <v>0</v>
      </c>
      <c r="D1375" s="4">
        <v>0</v>
      </c>
      <c r="E1375" s="5">
        <v>0</v>
      </c>
      <c r="F1375" s="4">
        <v>0</v>
      </c>
      <c r="G1375" s="5">
        <v>0</v>
      </c>
      <c r="H1375" s="4">
        <v>0</v>
      </c>
    </row>
    <row r="1376" spans="1:8" x14ac:dyDescent="0.2">
      <c r="A1376" s="2" t="s">
        <v>203</v>
      </c>
      <c r="B1376" s="4">
        <v>4</v>
      </c>
      <c r="C1376" s="5">
        <v>6.45</v>
      </c>
      <c r="D1376" s="4">
        <v>0</v>
      </c>
      <c r="E1376" s="5">
        <v>0</v>
      </c>
      <c r="F1376" s="4">
        <v>3</v>
      </c>
      <c r="G1376" s="5">
        <v>14.29</v>
      </c>
      <c r="H1376" s="4">
        <v>0</v>
      </c>
    </row>
    <row r="1377" spans="1:8" x14ac:dyDescent="0.2">
      <c r="A1377" s="2" t="s">
        <v>204</v>
      </c>
      <c r="B1377" s="4">
        <v>5</v>
      </c>
      <c r="C1377" s="5">
        <v>8.06</v>
      </c>
      <c r="D1377" s="4">
        <v>1</v>
      </c>
      <c r="E1377" s="5">
        <v>3.23</v>
      </c>
      <c r="F1377" s="4">
        <v>1</v>
      </c>
      <c r="G1377" s="5">
        <v>4.76</v>
      </c>
      <c r="H1377" s="4">
        <v>0</v>
      </c>
    </row>
    <row r="1378" spans="1:8" x14ac:dyDescent="0.2">
      <c r="A1378" s="1" t="s">
        <v>86</v>
      </c>
      <c r="B1378" s="4">
        <v>140</v>
      </c>
      <c r="C1378" s="5">
        <v>99.989999999999981</v>
      </c>
      <c r="D1378" s="4">
        <v>60</v>
      </c>
      <c r="E1378" s="5">
        <v>100.01</v>
      </c>
      <c r="F1378" s="4">
        <v>73</v>
      </c>
      <c r="G1378" s="5">
        <v>100.00999999999999</v>
      </c>
      <c r="H1378" s="4">
        <v>3</v>
      </c>
    </row>
    <row r="1379" spans="1:8" x14ac:dyDescent="0.2">
      <c r="A1379" s="2" t="s">
        <v>190</v>
      </c>
      <c r="B1379" s="4">
        <v>0</v>
      </c>
      <c r="C1379" s="5">
        <v>0</v>
      </c>
      <c r="D1379" s="4">
        <v>0</v>
      </c>
      <c r="E1379" s="5">
        <v>0</v>
      </c>
      <c r="F1379" s="4">
        <v>0</v>
      </c>
      <c r="G1379" s="5">
        <v>0</v>
      </c>
      <c r="H1379" s="4">
        <v>0</v>
      </c>
    </row>
    <row r="1380" spans="1:8" x14ac:dyDescent="0.2">
      <c r="A1380" s="2" t="s">
        <v>191</v>
      </c>
      <c r="B1380" s="4">
        <v>15</v>
      </c>
      <c r="C1380" s="5">
        <v>10.71</v>
      </c>
      <c r="D1380" s="4">
        <v>6</v>
      </c>
      <c r="E1380" s="5">
        <v>10</v>
      </c>
      <c r="F1380" s="4">
        <v>9</v>
      </c>
      <c r="G1380" s="5">
        <v>12.33</v>
      </c>
      <c r="H1380" s="4">
        <v>0</v>
      </c>
    </row>
    <row r="1381" spans="1:8" x14ac:dyDescent="0.2">
      <c r="A1381" s="2" t="s">
        <v>192</v>
      </c>
      <c r="B1381" s="4">
        <v>21</v>
      </c>
      <c r="C1381" s="5">
        <v>15</v>
      </c>
      <c r="D1381" s="4">
        <v>3</v>
      </c>
      <c r="E1381" s="5">
        <v>5</v>
      </c>
      <c r="F1381" s="4">
        <v>18</v>
      </c>
      <c r="G1381" s="5">
        <v>24.66</v>
      </c>
      <c r="H1381" s="4">
        <v>0</v>
      </c>
    </row>
    <row r="1382" spans="1:8" x14ac:dyDescent="0.2">
      <c r="A1382" s="2" t="s">
        <v>193</v>
      </c>
      <c r="B1382" s="4">
        <v>2</v>
      </c>
      <c r="C1382" s="5">
        <v>1.43</v>
      </c>
      <c r="D1382" s="4">
        <v>0</v>
      </c>
      <c r="E1382" s="5">
        <v>0</v>
      </c>
      <c r="F1382" s="4">
        <v>2</v>
      </c>
      <c r="G1382" s="5">
        <v>2.74</v>
      </c>
      <c r="H1382" s="4">
        <v>0</v>
      </c>
    </row>
    <row r="1383" spans="1:8" x14ac:dyDescent="0.2">
      <c r="A1383" s="2" t="s">
        <v>194</v>
      </c>
      <c r="B1383" s="4">
        <v>0</v>
      </c>
      <c r="C1383" s="5">
        <v>0</v>
      </c>
      <c r="D1383" s="4">
        <v>0</v>
      </c>
      <c r="E1383" s="5">
        <v>0</v>
      </c>
      <c r="F1383" s="4">
        <v>0</v>
      </c>
      <c r="G1383" s="5">
        <v>0</v>
      </c>
      <c r="H1383" s="4">
        <v>0</v>
      </c>
    </row>
    <row r="1384" spans="1:8" x14ac:dyDescent="0.2">
      <c r="A1384" s="2" t="s">
        <v>195</v>
      </c>
      <c r="B1384" s="4">
        <v>3</v>
      </c>
      <c r="C1384" s="5">
        <v>2.14</v>
      </c>
      <c r="D1384" s="4">
        <v>0</v>
      </c>
      <c r="E1384" s="5">
        <v>0</v>
      </c>
      <c r="F1384" s="4">
        <v>3</v>
      </c>
      <c r="G1384" s="5">
        <v>4.1100000000000003</v>
      </c>
      <c r="H1384" s="4">
        <v>0</v>
      </c>
    </row>
    <row r="1385" spans="1:8" x14ac:dyDescent="0.2">
      <c r="A1385" s="2" t="s">
        <v>196</v>
      </c>
      <c r="B1385" s="4">
        <v>35</v>
      </c>
      <c r="C1385" s="5">
        <v>25</v>
      </c>
      <c r="D1385" s="4">
        <v>17</v>
      </c>
      <c r="E1385" s="5">
        <v>28.33</v>
      </c>
      <c r="F1385" s="4">
        <v>18</v>
      </c>
      <c r="G1385" s="5">
        <v>24.66</v>
      </c>
      <c r="H1385" s="4">
        <v>0</v>
      </c>
    </row>
    <row r="1386" spans="1:8" x14ac:dyDescent="0.2">
      <c r="A1386" s="2" t="s">
        <v>197</v>
      </c>
      <c r="B1386" s="4">
        <v>0</v>
      </c>
      <c r="C1386" s="5">
        <v>0</v>
      </c>
      <c r="D1386" s="4">
        <v>0</v>
      </c>
      <c r="E1386" s="5">
        <v>0</v>
      </c>
      <c r="F1386" s="4">
        <v>0</v>
      </c>
      <c r="G1386" s="5">
        <v>0</v>
      </c>
      <c r="H1386" s="4">
        <v>0</v>
      </c>
    </row>
    <row r="1387" spans="1:8" x14ac:dyDescent="0.2">
      <c r="A1387" s="2" t="s">
        <v>198</v>
      </c>
      <c r="B1387" s="4">
        <v>4</v>
      </c>
      <c r="C1387" s="5">
        <v>2.86</v>
      </c>
      <c r="D1387" s="4">
        <v>1</v>
      </c>
      <c r="E1387" s="5">
        <v>1.67</v>
      </c>
      <c r="F1387" s="4">
        <v>3</v>
      </c>
      <c r="G1387" s="5">
        <v>4.1100000000000003</v>
      </c>
      <c r="H1387" s="4">
        <v>0</v>
      </c>
    </row>
    <row r="1388" spans="1:8" x14ac:dyDescent="0.2">
      <c r="A1388" s="2" t="s">
        <v>199</v>
      </c>
      <c r="B1388" s="4">
        <v>3</v>
      </c>
      <c r="C1388" s="5">
        <v>2.14</v>
      </c>
      <c r="D1388" s="4">
        <v>0</v>
      </c>
      <c r="E1388" s="5">
        <v>0</v>
      </c>
      <c r="F1388" s="4">
        <v>3</v>
      </c>
      <c r="G1388" s="5">
        <v>4.1100000000000003</v>
      </c>
      <c r="H1388" s="4">
        <v>0</v>
      </c>
    </row>
    <row r="1389" spans="1:8" x14ac:dyDescent="0.2">
      <c r="A1389" s="2" t="s">
        <v>200</v>
      </c>
      <c r="B1389" s="4">
        <v>18</v>
      </c>
      <c r="C1389" s="5">
        <v>12.86</v>
      </c>
      <c r="D1389" s="4">
        <v>12</v>
      </c>
      <c r="E1389" s="5">
        <v>20</v>
      </c>
      <c r="F1389" s="4">
        <v>5</v>
      </c>
      <c r="G1389" s="5">
        <v>6.85</v>
      </c>
      <c r="H1389" s="4">
        <v>0</v>
      </c>
    </row>
    <row r="1390" spans="1:8" x14ac:dyDescent="0.2">
      <c r="A1390" s="2" t="s">
        <v>201</v>
      </c>
      <c r="B1390" s="4">
        <v>14</v>
      </c>
      <c r="C1390" s="5">
        <v>10</v>
      </c>
      <c r="D1390" s="4">
        <v>10</v>
      </c>
      <c r="E1390" s="5">
        <v>16.670000000000002</v>
      </c>
      <c r="F1390" s="4">
        <v>3</v>
      </c>
      <c r="G1390" s="5">
        <v>4.1100000000000003</v>
      </c>
      <c r="H1390" s="4">
        <v>0</v>
      </c>
    </row>
    <row r="1391" spans="1:8" x14ac:dyDescent="0.2">
      <c r="A1391" s="2" t="s">
        <v>202</v>
      </c>
      <c r="B1391" s="4">
        <v>5</v>
      </c>
      <c r="C1391" s="5">
        <v>3.57</v>
      </c>
      <c r="D1391" s="4">
        <v>4</v>
      </c>
      <c r="E1391" s="5">
        <v>6.67</v>
      </c>
      <c r="F1391" s="4">
        <v>0</v>
      </c>
      <c r="G1391" s="5">
        <v>0</v>
      </c>
      <c r="H1391" s="4">
        <v>0</v>
      </c>
    </row>
    <row r="1392" spans="1:8" x14ac:dyDescent="0.2">
      <c r="A1392" s="2" t="s">
        <v>203</v>
      </c>
      <c r="B1392" s="4">
        <v>8</v>
      </c>
      <c r="C1392" s="5">
        <v>5.71</v>
      </c>
      <c r="D1392" s="4">
        <v>3</v>
      </c>
      <c r="E1392" s="5">
        <v>5</v>
      </c>
      <c r="F1392" s="4">
        <v>2</v>
      </c>
      <c r="G1392" s="5">
        <v>2.74</v>
      </c>
      <c r="H1392" s="4">
        <v>2</v>
      </c>
    </row>
    <row r="1393" spans="1:8" x14ac:dyDescent="0.2">
      <c r="A1393" s="2" t="s">
        <v>204</v>
      </c>
      <c r="B1393" s="4">
        <v>12</v>
      </c>
      <c r="C1393" s="5">
        <v>8.57</v>
      </c>
      <c r="D1393" s="4">
        <v>4</v>
      </c>
      <c r="E1393" s="5">
        <v>6.67</v>
      </c>
      <c r="F1393" s="4">
        <v>7</v>
      </c>
      <c r="G1393" s="5">
        <v>9.59</v>
      </c>
      <c r="H1393" s="4">
        <v>1</v>
      </c>
    </row>
    <row r="1394" spans="1:8" x14ac:dyDescent="0.2">
      <c r="A1394" s="1" t="s">
        <v>87</v>
      </c>
      <c r="B1394" s="4">
        <v>276</v>
      </c>
      <c r="C1394" s="5">
        <v>100</v>
      </c>
      <c r="D1394" s="4">
        <v>126</v>
      </c>
      <c r="E1394" s="5">
        <v>100</v>
      </c>
      <c r="F1394" s="4">
        <v>135</v>
      </c>
      <c r="G1394" s="5">
        <v>99.989999999999981</v>
      </c>
      <c r="H1394" s="4">
        <v>4</v>
      </c>
    </row>
    <row r="1395" spans="1:8" x14ac:dyDescent="0.2">
      <c r="A1395" s="2" t="s">
        <v>190</v>
      </c>
      <c r="B1395" s="4">
        <v>2</v>
      </c>
      <c r="C1395" s="5">
        <v>0.72</v>
      </c>
      <c r="D1395" s="4">
        <v>0</v>
      </c>
      <c r="E1395" s="5">
        <v>0</v>
      </c>
      <c r="F1395" s="4">
        <v>2</v>
      </c>
      <c r="G1395" s="5">
        <v>1.48</v>
      </c>
      <c r="H1395" s="4">
        <v>0</v>
      </c>
    </row>
    <row r="1396" spans="1:8" x14ac:dyDescent="0.2">
      <c r="A1396" s="2" t="s">
        <v>191</v>
      </c>
      <c r="B1396" s="4">
        <v>34</v>
      </c>
      <c r="C1396" s="5">
        <v>12.32</v>
      </c>
      <c r="D1396" s="4">
        <v>9</v>
      </c>
      <c r="E1396" s="5">
        <v>7.14</v>
      </c>
      <c r="F1396" s="4">
        <v>25</v>
      </c>
      <c r="G1396" s="5">
        <v>18.52</v>
      </c>
      <c r="H1396" s="4">
        <v>0</v>
      </c>
    </row>
    <row r="1397" spans="1:8" x14ac:dyDescent="0.2">
      <c r="A1397" s="2" t="s">
        <v>192</v>
      </c>
      <c r="B1397" s="4">
        <v>21</v>
      </c>
      <c r="C1397" s="5">
        <v>7.61</v>
      </c>
      <c r="D1397" s="4">
        <v>5</v>
      </c>
      <c r="E1397" s="5">
        <v>3.97</v>
      </c>
      <c r="F1397" s="4">
        <v>14</v>
      </c>
      <c r="G1397" s="5">
        <v>10.37</v>
      </c>
      <c r="H1397" s="4">
        <v>2</v>
      </c>
    </row>
    <row r="1398" spans="1:8" x14ac:dyDescent="0.2">
      <c r="A1398" s="2" t="s">
        <v>193</v>
      </c>
      <c r="B1398" s="4">
        <v>2</v>
      </c>
      <c r="C1398" s="5">
        <v>0.72</v>
      </c>
      <c r="D1398" s="4">
        <v>0</v>
      </c>
      <c r="E1398" s="5">
        <v>0</v>
      </c>
      <c r="F1398" s="4">
        <v>1</v>
      </c>
      <c r="G1398" s="5">
        <v>0.74</v>
      </c>
      <c r="H1398" s="4">
        <v>0</v>
      </c>
    </row>
    <row r="1399" spans="1:8" x14ac:dyDescent="0.2">
      <c r="A1399" s="2" t="s">
        <v>194</v>
      </c>
      <c r="B1399" s="4">
        <v>0</v>
      </c>
      <c r="C1399" s="5">
        <v>0</v>
      </c>
      <c r="D1399" s="4">
        <v>0</v>
      </c>
      <c r="E1399" s="5">
        <v>0</v>
      </c>
      <c r="F1399" s="4">
        <v>0</v>
      </c>
      <c r="G1399" s="5">
        <v>0</v>
      </c>
      <c r="H1399" s="4">
        <v>0</v>
      </c>
    </row>
    <row r="1400" spans="1:8" x14ac:dyDescent="0.2">
      <c r="A1400" s="2" t="s">
        <v>195</v>
      </c>
      <c r="B1400" s="4">
        <v>0</v>
      </c>
      <c r="C1400" s="5">
        <v>0</v>
      </c>
      <c r="D1400" s="4">
        <v>0</v>
      </c>
      <c r="E1400" s="5">
        <v>0</v>
      </c>
      <c r="F1400" s="4">
        <v>0</v>
      </c>
      <c r="G1400" s="5">
        <v>0</v>
      </c>
      <c r="H1400" s="4">
        <v>0</v>
      </c>
    </row>
    <row r="1401" spans="1:8" x14ac:dyDescent="0.2">
      <c r="A1401" s="2" t="s">
        <v>196</v>
      </c>
      <c r="B1401" s="4">
        <v>71</v>
      </c>
      <c r="C1401" s="5">
        <v>25.72</v>
      </c>
      <c r="D1401" s="4">
        <v>27</v>
      </c>
      <c r="E1401" s="5">
        <v>21.43</v>
      </c>
      <c r="F1401" s="4">
        <v>43</v>
      </c>
      <c r="G1401" s="5">
        <v>31.85</v>
      </c>
      <c r="H1401" s="4">
        <v>1</v>
      </c>
    </row>
    <row r="1402" spans="1:8" x14ac:dyDescent="0.2">
      <c r="A1402" s="2" t="s">
        <v>197</v>
      </c>
      <c r="B1402" s="4">
        <v>0</v>
      </c>
      <c r="C1402" s="5">
        <v>0</v>
      </c>
      <c r="D1402" s="4">
        <v>0</v>
      </c>
      <c r="E1402" s="5">
        <v>0</v>
      </c>
      <c r="F1402" s="4">
        <v>0</v>
      </c>
      <c r="G1402" s="5">
        <v>0</v>
      </c>
      <c r="H1402" s="4">
        <v>0</v>
      </c>
    </row>
    <row r="1403" spans="1:8" x14ac:dyDescent="0.2">
      <c r="A1403" s="2" t="s">
        <v>198</v>
      </c>
      <c r="B1403" s="4">
        <v>22</v>
      </c>
      <c r="C1403" s="5">
        <v>7.97</v>
      </c>
      <c r="D1403" s="4">
        <v>9</v>
      </c>
      <c r="E1403" s="5">
        <v>7.14</v>
      </c>
      <c r="F1403" s="4">
        <v>12</v>
      </c>
      <c r="G1403" s="5">
        <v>8.89</v>
      </c>
      <c r="H1403" s="4">
        <v>0</v>
      </c>
    </row>
    <row r="1404" spans="1:8" x14ac:dyDescent="0.2">
      <c r="A1404" s="2" t="s">
        <v>199</v>
      </c>
      <c r="B1404" s="4">
        <v>12</v>
      </c>
      <c r="C1404" s="5">
        <v>4.3499999999999996</v>
      </c>
      <c r="D1404" s="4">
        <v>6</v>
      </c>
      <c r="E1404" s="5">
        <v>4.76</v>
      </c>
      <c r="F1404" s="4">
        <v>5</v>
      </c>
      <c r="G1404" s="5">
        <v>3.7</v>
      </c>
      <c r="H1404" s="4">
        <v>0</v>
      </c>
    </row>
    <row r="1405" spans="1:8" x14ac:dyDescent="0.2">
      <c r="A1405" s="2" t="s">
        <v>200</v>
      </c>
      <c r="B1405" s="4">
        <v>50</v>
      </c>
      <c r="C1405" s="5">
        <v>18.12</v>
      </c>
      <c r="D1405" s="4">
        <v>43</v>
      </c>
      <c r="E1405" s="5">
        <v>34.130000000000003</v>
      </c>
      <c r="F1405" s="4">
        <v>6</v>
      </c>
      <c r="G1405" s="5">
        <v>4.4400000000000004</v>
      </c>
      <c r="H1405" s="4">
        <v>0</v>
      </c>
    </row>
    <row r="1406" spans="1:8" x14ac:dyDescent="0.2">
      <c r="A1406" s="2" t="s">
        <v>201</v>
      </c>
      <c r="B1406" s="4">
        <v>27</v>
      </c>
      <c r="C1406" s="5">
        <v>9.7799999999999994</v>
      </c>
      <c r="D1406" s="4">
        <v>21</v>
      </c>
      <c r="E1406" s="5">
        <v>16.670000000000002</v>
      </c>
      <c r="F1406" s="4">
        <v>5</v>
      </c>
      <c r="G1406" s="5">
        <v>3.7</v>
      </c>
      <c r="H1406" s="4">
        <v>1</v>
      </c>
    </row>
    <row r="1407" spans="1:8" x14ac:dyDescent="0.2">
      <c r="A1407" s="2" t="s">
        <v>202</v>
      </c>
      <c r="B1407" s="4">
        <v>3</v>
      </c>
      <c r="C1407" s="5">
        <v>1.0900000000000001</v>
      </c>
      <c r="D1407" s="4">
        <v>2</v>
      </c>
      <c r="E1407" s="5">
        <v>1.59</v>
      </c>
      <c r="F1407" s="4">
        <v>1</v>
      </c>
      <c r="G1407" s="5">
        <v>0.74</v>
      </c>
      <c r="H1407" s="4">
        <v>0</v>
      </c>
    </row>
    <row r="1408" spans="1:8" x14ac:dyDescent="0.2">
      <c r="A1408" s="2" t="s">
        <v>203</v>
      </c>
      <c r="B1408" s="4">
        <v>16</v>
      </c>
      <c r="C1408" s="5">
        <v>5.8</v>
      </c>
      <c r="D1408" s="4">
        <v>3</v>
      </c>
      <c r="E1408" s="5">
        <v>2.38</v>
      </c>
      <c r="F1408" s="4">
        <v>8</v>
      </c>
      <c r="G1408" s="5">
        <v>5.93</v>
      </c>
      <c r="H1408" s="4">
        <v>0</v>
      </c>
    </row>
    <row r="1409" spans="1:8" x14ac:dyDescent="0.2">
      <c r="A1409" s="2" t="s">
        <v>204</v>
      </c>
      <c r="B1409" s="4">
        <v>16</v>
      </c>
      <c r="C1409" s="5">
        <v>5.8</v>
      </c>
      <c r="D1409" s="4">
        <v>1</v>
      </c>
      <c r="E1409" s="5">
        <v>0.79</v>
      </c>
      <c r="F1409" s="4">
        <v>13</v>
      </c>
      <c r="G1409" s="5">
        <v>9.6300000000000008</v>
      </c>
      <c r="H1409" s="4">
        <v>0</v>
      </c>
    </row>
    <row r="1410" spans="1:8" x14ac:dyDescent="0.2">
      <c r="A1410" s="1" t="s">
        <v>88</v>
      </c>
      <c r="B1410" s="4">
        <v>320</v>
      </c>
      <c r="C1410" s="5">
        <v>100.01</v>
      </c>
      <c r="D1410" s="4">
        <v>175</v>
      </c>
      <c r="E1410" s="5">
        <v>100</v>
      </c>
      <c r="F1410" s="4">
        <v>140</v>
      </c>
      <c r="G1410" s="5">
        <v>99.97999999999999</v>
      </c>
      <c r="H1410" s="4">
        <v>2</v>
      </c>
    </row>
    <row r="1411" spans="1:8" x14ac:dyDescent="0.2">
      <c r="A1411" s="2" t="s">
        <v>190</v>
      </c>
      <c r="B1411" s="4">
        <v>0</v>
      </c>
      <c r="C1411" s="5">
        <v>0</v>
      </c>
      <c r="D1411" s="4">
        <v>0</v>
      </c>
      <c r="E1411" s="5">
        <v>0</v>
      </c>
      <c r="F1411" s="4">
        <v>0</v>
      </c>
      <c r="G1411" s="5">
        <v>0</v>
      </c>
      <c r="H1411" s="4">
        <v>0</v>
      </c>
    </row>
    <row r="1412" spans="1:8" x14ac:dyDescent="0.2">
      <c r="A1412" s="2" t="s">
        <v>191</v>
      </c>
      <c r="B1412" s="4">
        <v>43</v>
      </c>
      <c r="C1412" s="5">
        <v>13.44</v>
      </c>
      <c r="D1412" s="4">
        <v>15</v>
      </c>
      <c r="E1412" s="5">
        <v>8.57</v>
      </c>
      <c r="F1412" s="4">
        <v>28</v>
      </c>
      <c r="G1412" s="5">
        <v>20</v>
      </c>
      <c r="H1412" s="4">
        <v>0</v>
      </c>
    </row>
    <row r="1413" spans="1:8" x14ac:dyDescent="0.2">
      <c r="A1413" s="2" t="s">
        <v>192</v>
      </c>
      <c r="B1413" s="4">
        <v>21</v>
      </c>
      <c r="C1413" s="5">
        <v>6.56</v>
      </c>
      <c r="D1413" s="4">
        <v>8</v>
      </c>
      <c r="E1413" s="5">
        <v>4.57</v>
      </c>
      <c r="F1413" s="4">
        <v>13</v>
      </c>
      <c r="G1413" s="5">
        <v>9.2899999999999991</v>
      </c>
      <c r="H1413" s="4">
        <v>0</v>
      </c>
    </row>
    <row r="1414" spans="1:8" x14ac:dyDescent="0.2">
      <c r="A1414" s="2" t="s">
        <v>193</v>
      </c>
      <c r="B1414" s="4">
        <v>1</v>
      </c>
      <c r="C1414" s="5">
        <v>0.31</v>
      </c>
      <c r="D1414" s="4">
        <v>0</v>
      </c>
      <c r="E1414" s="5">
        <v>0</v>
      </c>
      <c r="F1414" s="4">
        <v>1</v>
      </c>
      <c r="G1414" s="5">
        <v>0.71</v>
      </c>
      <c r="H1414" s="4">
        <v>0</v>
      </c>
    </row>
    <row r="1415" spans="1:8" x14ac:dyDescent="0.2">
      <c r="A1415" s="2" t="s">
        <v>194</v>
      </c>
      <c r="B1415" s="4">
        <v>2</v>
      </c>
      <c r="C1415" s="5">
        <v>0.63</v>
      </c>
      <c r="D1415" s="4">
        <v>0</v>
      </c>
      <c r="E1415" s="5">
        <v>0</v>
      </c>
      <c r="F1415" s="4">
        <v>2</v>
      </c>
      <c r="G1415" s="5">
        <v>1.43</v>
      </c>
      <c r="H1415" s="4">
        <v>0</v>
      </c>
    </row>
    <row r="1416" spans="1:8" x14ac:dyDescent="0.2">
      <c r="A1416" s="2" t="s">
        <v>195</v>
      </c>
      <c r="B1416" s="4">
        <v>4</v>
      </c>
      <c r="C1416" s="5">
        <v>1.25</v>
      </c>
      <c r="D1416" s="4">
        <v>0</v>
      </c>
      <c r="E1416" s="5">
        <v>0</v>
      </c>
      <c r="F1416" s="4">
        <v>3</v>
      </c>
      <c r="G1416" s="5">
        <v>2.14</v>
      </c>
      <c r="H1416" s="4">
        <v>1</v>
      </c>
    </row>
    <row r="1417" spans="1:8" x14ac:dyDescent="0.2">
      <c r="A1417" s="2" t="s">
        <v>196</v>
      </c>
      <c r="B1417" s="4">
        <v>84</v>
      </c>
      <c r="C1417" s="5">
        <v>26.25</v>
      </c>
      <c r="D1417" s="4">
        <v>38</v>
      </c>
      <c r="E1417" s="5">
        <v>21.71</v>
      </c>
      <c r="F1417" s="4">
        <v>45</v>
      </c>
      <c r="G1417" s="5">
        <v>32.14</v>
      </c>
      <c r="H1417" s="4">
        <v>1</v>
      </c>
    </row>
    <row r="1418" spans="1:8" x14ac:dyDescent="0.2">
      <c r="A1418" s="2" t="s">
        <v>197</v>
      </c>
      <c r="B1418" s="4">
        <v>1</v>
      </c>
      <c r="C1418" s="5">
        <v>0.31</v>
      </c>
      <c r="D1418" s="4">
        <v>0</v>
      </c>
      <c r="E1418" s="5">
        <v>0</v>
      </c>
      <c r="F1418" s="4">
        <v>1</v>
      </c>
      <c r="G1418" s="5">
        <v>0.71</v>
      </c>
      <c r="H1418" s="4">
        <v>0</v>
      </c>
    </row>
    <row r="1419" spans="1:8" x14ac:dyDescent="0.2">
      <c r="A1419" s="2" t="s">
        <v>198</v>
      </c>
      <c r="B1419" s="4">
        <v>30</v>
      </c>
      <c r="C1419" s="5">
        <v>9.3800000000000008</v>
      </c>
      <c r="D1419" s="4">
        <v>22</v>
      </c>
      <c r="E1419" s="5">
        <v>12.57</v>
      </c>
      <c r="F1419" s="4">
        <v>7</v>
      </c>
      <c r="G1419" s="5">
        <v>5</v>
      </c>
      <c r="H1419" s="4">
        <v>0</v>
      </c>
    </row>
    <row r="1420" spans="1:8" x14ac:dyDescent="0.2">
      <c r="A1420" s="2" t="s">
        <v>199</v>
      </c>
      <c r="B1420" s="4">
        <v>9</v>
      </c>
      <c r="C1420" s="5">
        <v>2.81</v>
      </c>
      <c r="D1420" s="4">
        <v>6</v>
      </c>
      <c r="E1420" s="5">
        <v>3.43</v>
      </c>
      <c r="F1420" s="4">
        <v>3</v>
      </c>
      <c r="G1420" s="5">
        <v>2.14</v>
      </c>
      <c r="H1420" s="4">
        <v>0</v>
      </c>
    </row>
    <row r="1421" spans="1:8" x14ac:dyDescent="0.2">
      <c r="A1421" s="2" t="s">
        <v>200</v>
      </c>
      <c r="B1421" s="4">
        <v>46</v>
      </c>
      <c r="C1421" s="5">
        <v>14.38</v>
      </c>
      <c r="D1421" s="4">
        <v>34</v>
      </c>
      <c r="E1421" s="5">
        <v>19.43</v>
      </c>
      <c r="F1421" s="4">
        <v>11</v>
      </c>
      <c r="G1421" s="5">
        <v>7.86</v>
      </c>
      <c r="H1421" s="4">
        <v>0</v>
      </c>
    </row>
    <row r="1422" spans="1:8" x14ac:dyDescent="0.2">
      <c r="A1422" s="2" t="s">
        <v>201</v>
      </c>
      <c r="B1422" s="4">
        <v>41</v>
      </c>
      <c r="C1422" s="5">
        <v>12.81</v>
      </c>
      <c r="D1422" s="4">
        <v>33</v>
      </c>
      <c r="E1422" s="5">
        <v>18.86</v>
      </c>
      <c r="F1422" s="4">
        <v>8</v>
      </c>
      <c r="G1422" s="5">
        <v>5.71</v>
      </c>
      <c r="H1422" s="4">
        <v>0</v>
      </c>
    </row>
    <row r="1423" spans="1:8" x14ac:dyDescent="0.2">
      <c r="A1423" s="2" t="s">
        <v>202</v>
      </c>
      <c r="B1423" s="4">
        <v>7</v>
      </c>
      <c r="C1423" s="5">
        <v>2.19</v>
      </c>
      <c r="D1423" s="4">
        <v>5</v>
      </c>
      <c r="E1423" s="5">
        <v>2.86</v>
      </c>
      <c r="F1423" s="4">
        <v>1</v>
      </c>
      <c r="G1423" s="5">
        <v>0.71</v>
      </c>
      <c r="H1423" s="4">
        <v>0</v>
      </c>
    </row>
    <row r="1424" spans="1:8" x14ac:dyDescent="0.2">
      <c r="A1424" s="2" t="s">
        <v>203</v>
      </c>
      <c r="B1424" s="4">
        <v>15</v>
      </c>
      <c r="C1424" s="5">
        <v>4.6900000000000004</v>
      </c>
      <c r="D1424" s="4">
        <v>8</v>
      </c>
      <c r="E1424" s="5">
        <v>4.57</v>
      </c>
      <c r="F1424" s="4">
        <v>7</v>
      </c>
      <c r="G1424" s="5">
        <v>5</v>
      </c>
      <c r="H1424" s="4">
        <v>0</v>
      </c>
    </row>
    <row r="1425" spans="1:8" x14ac:dyDescent="0.2">
      <c r="A1425" s="2" t="s">
        <v>204</v>
      </c>
      <c r="B1425" s="4">
        <v>16</v>
      </c>
      <c r="C1425" s="5">
        <v>5</v>
      </c>
      <c r="D1425" s="4">
        <v>6</v>
      </c>
      <c r="E1425" s="5">
        <v>3.43</v>
      </c>
      <c r="F1425" s="4">
        <v>10</v>
      </c>
      <c r="G1425" s="5">
        <v>7.14</v>
      </c>
      <c r="H1425" s="4">
        <v>0</v>
      </c>
    </row>
    <row r="1426" spans="1:8" x14ac:dyDescent="0.2">
      <c r="A1426" s="1" t="s">
        <v>89</v>
      </c>
      <c r="B1426" s="4">
        <v>70</v>
      </c>
      <c r="C1426" s="5">
        <v>99.999999999999986</v>
      </c>
      <c r="D1426" s="4">
        <v>33</v>
      </c>
      <c r="E1426" s="5">
        <v>99.990000000000009</v>
      </c>
      <c r="F1426" s="4">
        <v>36</v>
      </c>
      <c r="G1426" s="5">
        <v>100</v>
      </c>
      <c r="H1426" s="4">
        <v>0</v>
      </c>
    </row>
    <row r="1427" spans="1:8" x14ac:dyDescent="0.2">
      <c r="A1427" s="2" t="s">
        <v>190</v>
      </c>
      <c r="B1427" s="4">
        <v>0</v>
      </c>
      <c r="C1427" s="5">
        <v>0</v>
      </c>
      <c r="D1427" s="4">
        <v>0</v>
      </c>
      <c r="E1427" s="5">
        <v>0</v>
      </c>
      <c r="F1427" s="4">
        <v>0</v>
      </c>
      <c r="G1427" s="5">
        <v>0</v>
      </c>
      <c r="H1427" s="4">
        <v>0</v>
      </c>
    </row>
    <row r="1428" spans="1:8" x14ac:dyDescent="0.2">
      <c r="A1428" s="2" t="s">
        <v>191</v>
      </c>
      <c r="B1428" s="4">
        <v>13</v>
      </c>
      <c r="C1428" s="5">
        <v>18.57</v>
      </c>
      <c r="D1428" s="4">
        <v>5</v>
      </c>
      <c r="E1428" s="5">
        <v>15.15</v>
      </c>
      <c r="F1428" s="4">
        <v>8</v>
      </c>
      <c r="G1428" s="5">
        <v>22.22</v>
      </c>
      <c r="H1428" s="4">
        <v>0</v>
      </c>
    </row>
    <row r="1429" spans="1:8" x14ac:dyDescent="0.2">
      <c r="A1429" s="2" t="s">
        <v>192</v>
      </c>
      <c r="B1429" s="4">
        <v>8</v>
      </c>
      <c r="C1429" s="5">
        <v>11.43</v>
      </c>
      <c r="D1429" s="4">
        <v>2</v>
      </c>
      <c r="E1429" s="5">
        <v>6.06</v>
      </c>
      <c r="F1429" s="4">
        <v>6</v>
      </c>
      <c r="G1429" s="5">
        <v>16.670000000000002</v>
      </c>
      <c r="H1429" s="4">
        <v>0</v>
      </c>
    </row>
    <row r="1430" spans="1:8" x14ac:dyDescent="0.2">
      <c r="A1430" s="2" t="s">
        <v>193</v>
      </c>
      <c r="B1430" s="4">
        <v>0</v>
      </c>
      <c r="C1430" s="5">
        <v>0</v>
      </c>
      <c r="D1430" s="4">
        <v>0</v>
      </c>
      <c r="E1430" s="5">
        <v>0</v>
      </c>
      <c r="F1430" s="4">
        <v>0</v>
      </c>
      <c r="G1430" s="5">
        <v>0</v>
      </c>
      <c r="H1430" s="4">
        <v>0</v>
      </c>
    </row>
    <row r="1431" spans="1:8" x14ac:dyDescent="0.2">
      <c r="A1431" s="2" t="s">
        <v>194</v>
      </c>
      <c r="B1431" s="4">
        <v>0</v>
      </c>
      <c r="C1431" s="5">
        <v>0</v>
      </c>
      <c r="D1431" s="4">
        <v>0</v>
      </c>
      <c r="E1431" s="5">
        <v>0</v>
      </c>
      <c r="F1431" s="4">
        <v>0</v>
      </c>
      <c r="G1431" s="5">
        <v>0</v>
      </c>
      <c r="H1431" s="4">
        <v>0</v>
      </c>
    </row>
    <row r="1432" spans="1:8" x14ac:dyDescent="0.2">
      <c r="A1432" s="2" t="s">
        <v>195</v>
      </c>
      <c r="B1432" s="4">
        <v>1</v>
      </c>
      <c r="C1432" s="5">
        <v>1.43</v>
      </c>
      <c r="D1432" s="4">
        <v>0</v>
      </c>
      <c r="E1432" s="5">
        <v>0</v>
      </c>
      <c r="F1432" s="4">
        <v>1</v>
      </c>
      <c r="G1432" s="5">
        <v>2.78</v>
      </c>
      <c r="H1432" s="4">
        <v>0</v>
      </c>
    </row>
    <row r="1433" spans="1:8" x14ac:dyDescent="0.2">
      <c r="A1433" s="2" t="s">
        <v>196</v>
      </c>
      <c r="B1433" s="4">
        <v>17</v>
      </c>
      <c r="C1433" s="5">
        <v>24.29</v>
      </c>
      <c r="D1433" s="4">
        <v>9</v>
      </c>
      <c r="E1433" s="5">
        <v>27.27</v>
      </c>
      <c r="F1433" s="4">
        <v>8</v>
      </c>
      <c r="G1433" s="5">
        <v>22.22</v>
      </c>
      <c r="H1433" s="4">
        <v>0</v>
      </c>
    </row>
    <row r="1434" spans="1:8" x14ac:dyDescent="0.2">
      <c r="A1434" s="2" t="s">
        <v>197</v>
      </c>
      <c r="B1434" s="4">
        <v>0</v>
      </c>
      <c r="C1434" s="5">
        <v>0</v>
      </c>
      <c r="D1434" s="4">
        <v>0</v>
      </c>
      <c r="E1434" s="5">
        <v>0</v>
      </c>
      <c r="F1434" s="4">
        <v>0</v>
      </c>
      <c r="G1434" s="5">
        <v>0</v>
      </c>
      <c r="H1434" s="4">
        <v>0</v>
      </c>
    </row>
    <row r="1435" spans="1:8" x14ac:dyDescent="0.2">
      <c r="A1435" s="2" t="s">
        <v>198</v>
      </c>
      <c r="B1435" s="4">
        <v>3</v>
      </c>
      <c r="C1435" s="5">
        <v>4.29</v>
      </c>
      <c r="D1435" s="4">
        <v>3</v>
      </c>
      <c r="E1435" s="5">
        <v>9.09</v>
      </c>
      <c r="F1435" s="4">
        <v>0</v>
      </c>
      <c r="G1435" s="5">
        <v>0</v>
      </c>
      <c r="H1435" s="4">
        <v>0</v>
      </c>
    </row>
    <row r="1436" spans="1:8" x14ac:dyDescent="0.2">
      <c r="A1436" s="2" t="s">
        <v>199</v>
      </c>
      <c r="B1436" s="4">
        <v>0</v>
      </c>
      <c r="C1436" s="5">
        <v>0</v>
      </c>
      <c r="D1436" s="4">
        <v>0</v>
      </c>
      <c r="E1436" s="5">
        <v>0</v>
      </c>
      <c r="F1436" s="4">
        <v>0</v>
      </c>
      <c r="G1436" s="5">
        <v>0</v>
      </c>
      <c r="H1436" s="4">
        <v>0</v>
      </c>
    </row>
    <row r="1437" spans="1:8" x14ac:dyDescent="0.2">
      <c r="A1437" s="2" t="s">
        <v>200</v>
      </c>
      <c r="B1437" s="4">
        <v>11</v>
      </c>
      <c r="C1437" s="5">
        <v>15.71</v>
      </c>
      <c r="D1437" s="4">
        <v>7</v>
      </c>
      <c r="E1437" s="5">
        <v>21.21</v>
      </c>
      <c r="F1437" s="4">
        <v>4</v>
      </c>
      <c r="G1437" s="5">
        <v>11.11</v>
      </c>
      <c r="H1437" s="4">
        <v>0</v>
      </c>
    </row>
    <row r="1438" spans="1:8" x14ac:dyDescent="0.2">
      <c r="A1438" s="2" t="s">
        <v>201</v>
      </c>
      <c r="B1438" s="4">
        <v>6</v>
      </c>
      <c r="C1438" s="5">
        <v>8.57</v>
      </c>
      <c r="D1438" s="4">
        <v>5</v>
      </c>
      <c r="E1438" s="5">
        <v>15.15</v>
      </c>
      <c r="F1438" s="4">
        <v>1</v>
      </c>
      <c r="G1438" s="5">
        <v>2.78</v>
      </c>
      <c r="H1438" s="4">
        <v>0</v>
      </c>
    </row>
    <row r="1439" spans="1:8" x14ac:dyDescent="0.2">
      <c r="A1439" s="2" t="s">
        <v>202</v>
      </c>
      <c r="B1439" s="4">
        <v>3</v>
      </c>
      <c r="C1439" s="5">
        <v>4.29</v>
      </c>
      <c r="D1439" s="4">
        <v>2</v>
      </c>
      <c r="E1439" s="5">
        <v>6.06</v>
      </c>
      <c r="F1439" s="4">
        <v>0</v>
      </c>
      <c r="G1439" s="5">
        <v>0</v>
      </c>
      <c r="H1439" s="4">
        <v>0</v>
      </c>
    </row>
    <row r="1440" spans="1:8" x14ac:dyDescent="0.2">
      <c r="A1440" s="2" t="s">
        <v>203</v>
      </c>
      <c r="B1440" s="4">
        <v>4</v>
      </c>
      <c r="C1440" s="5">
        <v>5.71</v>
      </c>
      <c r="D1440" s="4">
        <v>0</v>
      </c>
      <c r="E1440" s="5">
        <v>0</v>
      </c>
      <c r="F1440" s="4">
        <v>4</v>
      </c>
      <c r="G1440" s="5">
        <v>11.11</v>
      </c>
      <c r="H1440" s="4">
        <v>0</v>
      </c>
    </row>
    <row r="1441" spans="1:8" x14ac:dyDescent="0.2">
      <c r="A1441" s="2" t="s">
        <v>204</v>
      </c>
      <c r="B1441" s="4">
        <v>4</v>
      </c>
      <c r="C1441" s="5">
        <v>5.71</v>
      </c>
      <c r="D1441" s="4">
        <v>0</v>
      </c>
      <c r="E1441" s="5">
        <v>0</v>
      </c>
      <c r="F1441" s="4">
        <v>4</v>
      </c>
      <c r="G1441" s="5">
        <v>11.11</v>
      </c>
      <c r="H1441" s="4">
        <v>0</v>
      </c>
    </row>
    <row r="1442" spans="1:8" x14ac:dyDescent="0.2">
      <c r="A1442" s="1" t="s">
        <v>90</v>
      </c>
      <c r="B1442" s="4">
        <v>43</v>
      </c>
      <c r="C1442" s="5">
        <v>100.00999999999999</v>
      </c>
      <c r="D1442" s="4">
        <v>16</v>
      </c>
      <c r="E1442" s="5">
        <v>100</v>
      </c>
      <c r="F1442" s="4">
        <v>25</v>
      </c>
      <c r="G1442" s="5">
        <v>100</v>
      </c>
      <c r="H1442" s="4">
        <v>0</v>
      </c>
    </row>
    <row r="1443" spans="1:8" x14ac:dyDescent="0.2">
      <c r="A1443" s="2" t="s">
        <v>190</v>
      </c>
      <c r="B1443" s="4">
        <v>0</v>
      </c>
      <c r="C1443" s="5">
        <v>0</v>
      </c>
      <c r="D1443" s="4">
        <v>0</v>
      </c>
      <c r="E1443" s="5">
        <v>0</v>
      </c>
      <c r="F1443" s="4">
        <v>0</v>
      </c>
      <c r="G1443" s="5">
        <v>0</v>
      </c>
      <c r="H1443" s="4">
        <v>0</v>
      </c>
    </row>
    <row r="1444" spans="1:8" x14ac:dyDescent="0.2">
      <c r="A1444" s="2" t="s">
        <v>191</v>
      </c>
      <c r="B1444" s="4">
        <v>6</v>
      </c>
      <c r="C1444" s="5">
        <v>13.95</v>
      </c>
      <c r="D1444" s="4">
        <v>1</v>
      </c>
      <c r="E1444" s="5">
        <v>6.25</v>
      </c>
      <c r="F1444" s="4">
        <v>5</v>
      </c>
      <c r="G1444" s="5">
        <v>20</v>
      </c>
      <c r="H1444" s="4">
        <v>0</v>
      </c>
    </row>
    <row r="1445" spans="1:8" x14ac:dyDescent="0.2">
      <c r="A1445" s="2" t="s">
        <v>192</v>
      </c>
      <c r="B1445" s="4">
        <v>6</v>
      </c>
      <c r="C1445" s="5">
        <v>13.95</v>
      </c>
      <c r="D1445" s="4">
        <v>2</v>
      </c>
      <c r="E1445" s="5">
        <v>12.5</v>
      </c>
      <c r="F1445" s="4">
        <v>4</v>
      </c>
      <c r="G1445" s="5">
        <v>16</v>
      </c>
      <c r="H1445" s="4">
        <v>0</v>
      </c>
    </row>
    <row r="1446" spans="1:8" x14ac:dyDescent="0.2">
      <c r="A1446" s="2" t="s">
        <v>193</v>
      </c>
      <c r="B1446" s="4">
        <v>0</v>
      </c>
      <c r="C1446" s="5">
        <v>0</v>
      </c>
      <c r="D1446" s="4">
        <v>0</v>
      </c>
      <c r="E1446" s="5">
        <v>0</v>
      </c>
      <c r="F1446" s="4">
        <v>0</v>
      </c>
      <c r="G1446" s="5">
        <v>0</v>
      </c>
      <c r="H1446" s="4">
        <v>0</v>
      </c>
    </row>
    <row r="1447" spans="1:8" x14ac:dyDescent="0.2">
      <c r="A1447" s="2" t="s">
        <v>194</v>
      </c>
      <c r="B1447" s="4">
        <v>0</v>
      </c>
      <c r="C1447" s="5">
        <v>0</v>
      </c>
      <c r="D1447" s="4">
        <v>0</v>
      </c>
      <c r="E1447" s="5">
        <v>0</v>
      </c>
      <c r="F1447" s="4">
        <v>0</v>
      </c>
      <c r="G1447" s="5">
        <v>0</v>
      </c>
      <c r="H1447" s="4">
        <v>0</v>
      </c>
    </row>
    <row r="1448" spans="1:8" x14ac:dyDescent="0.2">
      <c r="A1448" s="2" t="s">
        <v>195</v>
      </c>
      <c r="B1448" s="4">
        <v>1</v>
      </c>
      <c r="C1448" s="5">
        <v>2.33</v>
      </c>
      <c r="D1448" s="4">
        <v>0</v>
      </c>
      <c r="E1448" s="5">
        <v>0</v>
      </c>
      <c r="F1448" s="4">
        <v>1</v>
      </c>
      <c r="G1448" s="5">
        <v>4</v>
      </c>
      <c r="H1448" s="4">
        <v>0</v>
      </c>
    </row>
    <row r="1449" spans="1:8" x14ac:dyDescent="0.2">
      <c r="A1449" s="2" t="s">
        <v>196</v>
      </c>
      <c r="B1449" s="4">
        <v>12</v>
      </c>
      <c r="C1449" s="5">
        <v>27.91</v>
      </c>
      <c r="D1449" s="4">
        <v>4</v>
      </c>
      <c r="E1449" s="5">
        <v>25</v>
      </c>
      <c r="F1449" s="4">
        <v>8</v>
      </c>
      <c r="G1449" s="5">
        <v>32</v>
      </c>
      <c r="H1449" s="4">
        <v>0</v>
      </c>
    </row>
    <row r="1450" spans="1:8" x14ac:dyDescent="0.2">
      <c r="A1450" s="2" t="s">
        <v>197</v>
      </c>
      <c r="B1450" s="4">
        <v>0</v>
      </c>
      <c r="C1450" s="5">
        <v>0</v>
      </c>
      <c r="D1450" s="4">
        <v>0</v>
      </c>
      <c r="E1450" s="5">
        <v>0</v>
      </c>
      <c r="F1450" s="4">
        <v>0</v>
      </c>
      <c r="G1450" s="5">
        <v>0</v>
      </c>
      <c r="H1450" s="4">
        <v>0</v>
      </c>
    </row>
    <row r="1451" spans="1:8" x14ac:dyDescent="0.2">
      <c r="A1451" s="2" t="s">
        <v>198</v>
      </c>
      <c r="B1451" s="4">
        <v>0</v>
      </c>
      <c r="C1451" s="5">
        <v>0</v>
      </c>
      <c r="D1451" s="4">
        <v>0</v>
      </c>
      <c r="E1451" s="5">
        <v>0</v>
      </c>
      <c r="F1451" s="4">
        <v>0</v>
      </c>
      <c r="G1451" s="5">
        <v>0</v>
      </c>
      <c r="H1451" s="4">
        <v>0</v>
      </c>
    </row>
    <row r="1452" spans="1:8" x14ac:dyDescent="0.2">
      <c r="A1452" s="2" t="s">
        <v>199</v>
      </c>
      <c r="B1452" s="4">
        <v>1</v>
      </c>
      <c r="C1452" s="5">
        <v>2.33</v>
      </c>
      <c r="D1452" s="4">
        <v>1</v>
      </c>
      <c r="E1452" s="5">
        <v>6.25</v>
      </c>
      <c r="F1452" s="4">
        <v>0</v>
      </c>
      <c r="G1452" s="5">
        <v>0</v>
      </c>
      <c r="H1452" s="4">
        <v>0</v>
      </c>
    </row>
    <row r="1453" spans="1:8" x14ac:dyDescent="0.2">
      <c r="A1453" s="2" t="s">
        <v>200</v>
      </c>
      <c r="B1453" s="4">
        <v>5</v>
      </c>
      <c r="C1453" s="5">
        <v>11.63</v>
      </c>
      <c r="D1453" s="4">
        <v>1</v>
      </c>
      <c r="E1453" s="5">
        <v>6.25</v>
      </c>
      <c r="F1453" s="4">
        <v>4</v>
      </c>
      <c r="G1453" s="5">
        <v>16</v>
      </c>
      <c r="H1453" s="4">
        <v>0</v>
      </c>
    </row>
    <row r="1454" spans="1:8" x14ac:dyDescent="0.2">
      <c r="A1454" s="2" t="s">
        <v>201</v>
      </c>
      <c r="B1454" s="4">
        <v>4</v>
      </c>
      <c r="C1454" s="5">
        <v>9.3000000000000007</v>
      </c>
      <c r="D1454" s="4">
        <v>3</v>
      </c>
      <c r="E1454" s="5">
        <v>18.75</v>
      </c>
      <c r="F1454" s="4">
        <v>0</v>
      </c>
      <c r="G1454" s="5">
        <v>0</v>
      </c>
      <c r="H1454" s="4">
        <v>0</v>
      </c>
    </row>
    <row r="1455" spans="1:8" x14ac:dyDescent="0.2">
      <c r="A1455" s="2" t="s">
        <v>202</v>
      </c>
      <c r="B1455" s="4">
        <v>3</v>
      </c>
      <c r="C1455" s="5">
        <v>6.98</v>
      </c>
      <c r="D1455" s="4">
        <v>2</v>
      </c>
      <c r="E1455" s="5">
        <v>12.5</v>
      </c>
      <c r="F1455" s="4">
        <v>0</v>
      </c>
      <c r="G1455" s="5">
        <v>0</v>
      </c>
      <c r="H1455" s="4">
        <v>0</v>
      </c>
    </row>
    <row r="1456" spans="1:8" x14ac:dyDescent="0.2">
      <c r="A1456" s="2" t="s">
        <v>203</v>
      </c>
      <c r="B1456" s="4">
        <v>1</v>
      </c>
      <c r="C1456" s="5">
        <v>2.33</v>
      </c>
      <c r="D1456" s="4">
        <v>1</v>
      </c>
      <c r="E1456" s="5">
        <v>6.25</v>
      </c>
      <c r="F1456" s="4">
        <v>0</v>
      </c>
      <c r="G1456" s="5">
        <v>0</v>
      </c>
      <c r="H1456" s="4">
        <v>0</v>
      </c>
    </row>
    <row r="1457" spans="1:8" x14ac:dyDescent="0.2">
      <c r="A1457" s="2" t="s">
        <v>204</v>
      </c>
      <c r="B1457" s="4">
        <v>4</v>
      </c>
      <c r="C1457" s="5">
        <v>9.3000000000000007</v>
      </c>
      <c r="D1457" s="4">
        <v>1</v>
      </c>
      <c r="E1457" s="5">
        <v>6.25</v>
      </c>
      <c r="F1457" s="4">
        <v>3</v>
      </c>
      <c r="G1457" s="5">
        <v>12</v>
      </c>
      <c r="H1457" s="4">
        <v>0</v>
      </c>
    </row>
    <row r="1458" spans="1:8" x14ac:dyDescent="0.2">
      <c r="A1458" s="1" t="s">
        <v>91</v>
      </c>
      <c r="B1458" s="4">
        <v>85</v>
      </c>
      <c r="C1458" s="5">
        <v>100.00999999999999</v>
      </c>
      <c r="D1458" s="4">
        <v>40</v>
      </c>
      <c r="E1458" s="5">
        <v>100</v>
      </c>
      <c r="F1458" s="4">
        <v>44</v>
      </c>
      <c r="G1458" s="5">
        <v>99.99</v>
      </c>
      <c r="H1458" s="4">
        <v>0</v>
      </c>
    </row>
    <row r="1459" spans="1:8" x14ac:dyDescent="0.2">
      <c r="A1459" s="2" t="s">
        <v>190</v>
      </c>
      <c r="B1459" s="4">
        <v>0</v>
      </c>
      <c r="C1459" s="5">
        <v>0</v>
      </c>
      <c r="D1459" s="4">
        <v>0</v>
      </c>
      <c r="E1459" s="5">
        <v>0</v>
      </c>
      <c r="F1459" s="4">
        <v>0</v>
      </c>
      <c r="G1459" s="5">
        <v>0</v>
      </c>
      <c r="H1459" s="4">
        <v>0</v>
      </c>
    </row>
    <row r="1460" spans="1:8" x14ac:dyDescent="0.2">
      <c r="A1460" s="2" t="s">
        <v>191</v>
      </c>
      <c r="B1460" s="4">
        <v>24</v>
      </c>
      <c r="C1460" s="5">
        <v>28.24</v>
      </c>
      <c r="D1460" s="4">
        <v>5</v>
      </c>
      <c r="E1460" s="5">
        <v>12.5</v>
      </c>
      <c r="F1460" s="4">
        <v>19</v>
      </c>
      <c r="G1460" s="5">
        <v>43.18</v>
      </c>
      <c r="H1460" s="4">
        <v>0</v>
      </c>
    </row>
    <row r="1461" spans="1:8" x14ac:dyDescent="0.2">
      <c r="A1461" s="2" t="s">
        <v>192</v>
      </c>
      <c r="B1461" s="4">
        <v>7</v>
      </c>
      <c r="C1461" s="5">
        <v>8.24</v>
      </c>
      <c r="D1461" s="4">
        <v>2</v>
      </c>
      <c r="E1461" s="5">
        <v>5</v>
      </c>
      <c r="F1461" s="4">
        <v>5</v>
      </c>
      <c r="G1461" s="5">
        <v>11.36</v>
      </c>
      <c r="H1461" s="4">
        <v>0</v>
      </c>
    </row>
    <row r="1462" spans="1:8" x14ac:dyDescent="0.2">
      <c r="A1462" s="2" t="s">
        <v>193</v>
      </c>
      <c r="B1462" s="4">
        <v>0</v>
      </c>
      <c r="C1462" s="5">
        <v>0</v>
      </c>
      <c r="D1462" s="4">
        <v>0</v>
      </c>
      <c r="E1462" s="5">
        <v>0</v>
      </c>
      <c r="F1462" s="4">
        <v>0</v>
      </c>
      <c r="G1462" s="5">
        <v>0</v>
      </c>
      <c r="H1462" s="4">
        <v>0</v>
      </c>
    </row>
    <row r="1463" spans="1:8" x14ac:dyDescent="0.2">
      <c r="A1463" s="2" t="s">
        <v>194</v>
      </c>
      <c r="B1463" s="4">
        <v>0</v>
      </c>
      <c r="C1463" s="5">
        <v>0</v>
      </c>
      <c r="D1463" s="4">
        <v>0</v>
      </c>
      <c r="E1463" s="5">
        <v>0</v>
      </c>
      <c r="F1463" s="4">
        <v>0</v>
      </c>
      <c r="G1463" s="5">
        <v>0</v>
      </c>
      <c r="H1463" s="4">
        <v>0</v>
      </c>
    </row>
    <row r="1464" spans="1:8" x14ac:dyDescent="0.2">
      <c r="A1464" s="2" t="s">
        <v>195</v>
      </c>
      <c r="B1464" s="4">
        <v>1</v>
      </c>
      <c r="C1464" s="5">
        <v>1.18</v>
      </c>
      <c r="D1464" s="4">
        <v>0</v>
      </c>
      <c r="E1464" s="5">
        <v>0</v>
      </c>
      <c r="F1464" s="4">
        <v>1</v>
      </c>
      <c r="G1464" s="5">
        <v>2.27</v>
      </c>
      <c r="H1464" s="4">
        <v>0</v>
      </c>
    </row>
    <row r="1465" spans="1:8" x14ac:dyDescent="0.2">
      <c r="A1465" s="2" t="s">
        <v>196</v>
      </c>
      <c r="B1465" s="4">
        <v>18</v>
      </c>
      <c r="C1465" s="5">
        <v>21.18</v>
      </c>
      <c r="D1465" s="4">
        <v>8</v>
      </c>
      <c r="E1465" s="5">
        <v>20</v>
      </c>
      <c r="F1465" s="4">
        <v>10</v>
      </c>
      <c r="G1465" s="5">
        <v>22.73</v>
      </c>
      <c r="H1465" s="4">
        <v>0</v>
      </c>
    </row>
    <row r="1466" spans="1:8" x14ac:dyDescent="0.2">
      <c r="A1466" s="2" t="s">
        <v>197</v>
      </c>
      <c r="B1466" s="4">
        <v>0</v>
      </c>
      <c r="C1466" s="5">
        <v>0</v>
      </c>
      <c r="D1466" s="4">
        <v>0</v>
      </c>
      <c r="E1466" s="5">
        <v>0</v>
      </c>
      <c r="F1466" s="4">
        <v>0</v>
      </c>
      <c r="G1466" s="5">
        <v>0</v>
      </c>
      <c r="H1466" s="4">
        <v>0</v>
      </c>
    </row>
    <row r="1467" spans="1:8" x14ac:dyDescent="0.2">
      <c r="A1467" s="2" t="s">
        <v>198</v>
      </c>
      <c r="B1467" s="4">
        <v>7</v>
      </c>
      <c r="C1467" s="5">
        <v>8.24</v>
      </c>
      <c r="D1467" s="4">
        <v>5</v>
      </c>
      <c r="E1467" s="5">
        <v>12.5</v>
      </c>
      <c r="F1467" s="4">
        <v>2</v>
      </c>
      <c r="G1467" s="5">
        <v>4.55</v>
      </c>
      <c r="H1467" s="4">
        <v>0</v>
      </c>
    </row>
    <row r="1468" spans="1:8" x14ac:dyDescent="0.2">
      <c r="A1468" s="2" t="s">
        <v>199</v>
      </c>
      <c r="B1468" s="4">
        <v>0</v>
      </c>
      <c r="C1468" s="5">
        <v>0</v>
      </c>
      <c r="D1468" s="4">
        <v>0</v>
      </c>
      <c r="E1468" s="5">
        <v>0</v>
      </c>
      <c r="F1468" s="4">
        <v>0</v>
      </c>
      <c r="G1468" s="5">
        <v>0</v>
      </c>
      <c r="H1468" s="4">
        <v>0</v>
      </c>
    </row>
    <row r="1469" spans="1:8" x14ac:dyDescent="0.2">
      <c r="A1469" s="2" t="s">
        <v>200</v>
      </c>
      <c r="B1469" s="4">
        <v>8</v>
      </c>
      <c r="C1469" s="5">
        <v>9.41</v>
      </c>
      <c r="D1469" s="4">
        <v>6</v>
      </c>
      <c r="E1469" s="5">
        <v>15</v>
      </c>
      <c r="F1469" s="4">
        <v>1</v>
      </c>
      <c r="G1469" s="5">
        <v>2.27</v>
      </c>
      <c r="H1469" s="4">
        <v>0</v>
      </c>
    </row>
    <row r="1470" spans="1:8" x14ac:dyDescent="0.2">
      <c r="A1470" s="2" t="s">
        <v>201</v>
      </c>
      <c r="B1470" s="4">
        <v>10</v>
      </c>
      <c r="C1470" s="5">
        <v>11.76</v>
      </c>
      <c r="D1470" s="4">
        <v>9</v>
      </c>
      <c r="E1470" s="5">
        <v>22.5</v>
      </c>
      <c r="F1470" s="4">
        <v>1</v>
      </c>
      <c r="G1470" s="5">
        <v>2.27</v>
      </c>
      <c r="H1470" s="4">
        <v>0</v>
      </c>
    </row>
    <row r="1471" spans="1:8" x14ac:dyDescent="0.2">
      <c r="A1471" s="2" t="s">
        <v>202</v>
      </c>
      <c r="B1471" s="4">
        <v>2</v>
      </c>
      <c r="C1471" s="5">
        <v>2.35</v>
      </c>
      <c r="D1471" s="4">
        <v>2</v>
      </c>
      <c r="E1471" s="5">
        <v>5</v>
      </c>
      <c r="F1471" s="4">
        <v>0</v>
      </c>
      <c r="G1471" s="5">
        <v>0</v>
      </c>
      <c r="H1471" s="4">
        <v>0</v>
      </c>
    </row>
    <row r="1472" spans="1:8" x14ac:dyDescent="0.2">
      <c r="A1472" s="2" t="s">
        <v>203</v>
      </c>
      <c r="B1472" s="4">
        <v>2</v>
      </c>
      <c r="C1472" s="5">
        <v>2.35</v>
      </c>
      <c r="D1472" s="4">
        <v>1</v>
      </c>
      <c r="E1472" s="5">
        <v>2.5</v>
      </c>
      <c r="F1472" s="4">
        <v>1</v>
      </c>
      <c r="G1472" s="5">
        <v>2.27</v>
      </c>
      <c r="H1472" s="4">
        <v>0</v>
      </c>
    </row>
    <row r="1473" spans="1:8" x14ac:dyDescent="0.2">
      <c r="A1473" s="2" t="s">
        <v>204</v>
      </c>
      <c r="B1473" s="4">
        <v>6</v>
      </c>
      <c r="C1473" s="5">
        <v>7.06</v>
      </c>
      <c r="D1473" s="4">
        <v>2</v>
      </c>
      <c r="E1473" s="5">
        <v>5</v>
      </c>
      <c r="F1473" s="4">
        <v>4</v>
      </c>
      <c r="G1473" s="5">
        <v>9.09</v>
      </c>
      <c r="H1473" s="4">
        <v>0</v>
      </c>
    </row>
    <row r="1474" spans="1:8" x14ac:dyDescent="0.2">
      <c r="A1474" s="1" t="s">
        <v>92</v>
      </c>
      <c r="B1474" s="4">
        <v>81</v>
      </c>
      <c r="C1474" s="5">
        <v>100.00999999999999</v>
      </c>
      <c r="D1474" s="4">
        <v>45</v>
      </c>
      <c r="E1474" s="5">
        <v>99.99</v>
      </c>
      <c r="F1474" s="4">
        <v>30</v>
      </c>
      <c r="G1474" s="5">
        <v>99.99</v>
      </c>
      <c r="H1474" s="4">
        <v>0</v>
      </c>
    </row>
    <row r="1475" spans="1:8" x14ac:dyDescent="0.2">
      <c r="A1475" s="2" t="s">
        <v>190</v>
      </c>
      <c r="B1475" s="4">
        <v>0</v>
      </c>
      <c r="C1475" s="5">
        <v>0</v>
      </c>
      <c r="D1475" s="4">
        <v>0</v>
      </c>
      <c r="E1475" s="5">
        <v>0</v>
      </c>
      <c r="F1475" s="4">
        <v>0</v>
      </c>
      <c r="G1475" s="5">
        <v>0</v>
      </c>
      <c r="H1475" s="4">
        <v>0</v>
      </c>
    </row>
    <row r="1476" spans="1:8" x14ac:dyDescent="0.2">
      <c r="A1476" s="2" t="s">
        <v>191</v>
      </c>
      <c r="B1476" s="4">
        <v>15</v>
      </c>
      <c r="C1476" s="5">
        <v>18.52</v>
      </c>
      <c r="D1476" s="4">
        <v>4</v>
      </c>
      <c r="E1476" s="5">
        <v>8.89</v>
      </c>
      <c r="F1476" s="4">
        <v>11</v>
      </c>
      <c r="G1476" s="5">
        <v>36.67</v>
      </c>
      <c r="H1476" s="4">
        <v>0</v>
      </c>
    </row>
    <row r="1477" spans="1:8" x14ac:dyDescent="0.2">
      <c r="A1477" s="2" t="s">
        <v>192</v>
      </c>
      <c r="B1477" s="4">
        <v>6</v>
      </c>
      <c r="C1477" s="5">
        <v>7.41</v>
      </c>
      <c r="D1477" s="4">
        <v>2</v>
      </c>
      <c r="E1477" s="5">
        <v>4.4400000000000004</v>
      </c>
      <c r="F1477" s="4">
        <v>3</v>
      </c>
      <c r="G1477" s="5">
        <v>10</v>
      </c>
      <c r="H1477" s="4">
        <v>0</v>
      </c>
    </row>
    <row r="1478" spans="1:8" x14ac:dyDescent="0.2">
      <c r="A1478" s="2" t="s">
        <v>193</v>
      </c>
      <c r="B1478" s="4">
        <v>1</v>
      </c>
      <c r="C1478" s="5">
        <v>1.23</v>
      </c>
      <c r="D1478" s="4">
        <v>0</v>
      </c>
      <c r="E1478" s="5">
        <v>0</v>
      </c>
      <c r="F1478" s="4">
        <v>0</v>
      </c>
      <c r="G1478" s="5">
        <v>0</v>
      </c>
      <c r="H1478" s="4">
        <v>0</v>
      </c>
    </row>
    <row r="1479" spans="1:8" x14ac:dyDescent="0.2">
      <c r="A1479" s="2" t="s">
        <v>194</v>
      </c>
      <c r="B1479" s="4">
        <v>0</v>
      </c>
      <c r="C1479" s="5">
        <v>0</v>
      </c>
      <c r="D1479" s="4">
        <v>0</v>
      </c>
      <c r="E1479" s="5">
        <v>0</v>
      </c>
      <c r="F1479" s="4">
        <v>0</v>
      </c>
      <c r="G1479" s="5">
        <v>0</v>
      </c>
      <c r="H1479" s="4">
        <v>0</v>
      </c>
    </row>
    <row r="1480" spans="1:8" x14ac:dyDescent="0.2">
      <c r="A1480" s="2" t="s">
        <v>195</v>
      </c>
      <c r="B1480" s="4">
        <v>1</v>
      </c>
      <c r="C1480" s="5">
        <v>1.23</v>
      </c>
      <c r="D1480" s="4">
        <v>0</v>
      </c>
      <c r="E1480" s="5">
        <v>0</v>
      </c>
      <c r="F1480" s="4">
        <v>1</v>
      </c>
      <c r="G1480" s="5">
        <v>3.33</v>
      </c>
      <c r="H1480" s="4">
        <v>0</v>
      </c>
    </row>
    <row r="1481" spans="1:8" x14ac:dyDescent="0.2">
      <c r="A1481" s="2" t="s">
        <v>196</v>
      </c>
      <c r="B1481" s="4">
        <v>23</v>
      </c>
      <c r="C1481" s="5">
        <v>28.4</v>
      </c>
      <c r="D1481" s="4">
        <v>13</v>
      </c>
      <c r="E1481" s="5">
        <v>28.89</v>
      </c>
      <c r="F1481" s="4">
        <v>10</v>
      </c>
      <c r="G1481" s="5">
        <v>33.33</v>
      </c>
      <c r="H1481" s="4">
        <v>0</v>
      </c>
    </row>
    <row r="1482" spans="1:8" x14ac:dyDescent="0.2">
      <c r="A1482" s="2" t="s">
        <v>197</v>
      </c>
      <c r="B1482" s="4">
        <v>0</v>
      </c>
      <c r="C1482" s="5">
        <v>0</v>
      </c>
      <c r="D1482" s="4">
        <v>0</v>
      </c>
      <c r="E1482" s="5">
        <v>0</v>
      </c>
      <c r="F1482" s="4">
        <v>0</v>
      </c>
      <c r="G1482" s="5">
        <v>0</v>
      </c>
      <c r="H1482" s="4">
        <v>0</v>
      </c>
    </row>
    <row r="1483" spans="1:8" x14ac:dyDescent="0.2">
      <c r="A1483" s="2" t="s">
        <v>198</v>
      </c>
      <c r="B1483" s="4">
        <v>0</v>
      </c>
      <c r="C1483" s="5">
        <v>0</v>
      </c>
      <c r="D1483" s="4">
        <v>0</v>
      </c>
      <c r="E1483" s="5">
        <v>0</v>
      </c>
      <c r="F1483" s="4">
        <v>0</v>
      </c>
      <c r="G1483" s="5">
        <v>0</v>
      </c>
      <c r="H1483" s="4">
        <v>0</v>
      </c>
    </row>
    <row r="1484" spans="1:8" x14ac:dyDescent="0.2">
      <c r="A1484" s="2" t="s">
        <v>199</v>
      </c>
      <c r="B1484" s="4">
        <v>2</v>
      </c>
      <c r="C1484" s="5">
        <v>2.4700000000000002</v>
      </c>
      <c r="D1484" s="4">
        <v>1</v>
      </c>
      <c r="E1484" s="5">
        <v>2.2200000000000002</v>
      </c>
      <c r="F1484" s="4">
        <v>1</v>
      </c>
      <c r="G1484" s="5">
        <v>3.33</v>
      </c>
      <c r="H1484" s="4">
        <v>0</v>
      </c>
    </row>
    <row r="1485" spans="1:8" x14ac:dyDescent="0.2">
      <c r="A1485" s="2" t="s">
        <v>200</v>
      </c>
      <c r="B1485" s="4">
        <v>10</v>
      </c>
      <c r="C1485" s="5">
        <v>12.35</v>
      </c>
      <c r="D1485" s="4">
        <v>10</v>
      </c>
      <c r="E1485" s="5">
        <v>22.22</v>
      </c>
      <c r="F1485" s="4">
        <v>0</v>
      </c>
      <c r="G1485" s="5">
        <v>0</v>
      </c>
      <c r="H1485" s="4">
        <v>0</v>
      </c>
    </row>
    <row r="1486" spans="1:8" x14ac:dyDescent="0.2">
      <c r="A1486" s="2" t="s">
        <v>201</v>
      </c>
      <c r="B1486" s="4">
        <v>10</v>
      </c>
      <c r="C1486" s="5">
        <v>12.35</v>
      </c>
      <c r="D1486" s="4">
        <v>9</v>
      </c>
      <c r="E1486" s="5">
        <v>20</v>
      </c>
      <c r="F1486" s="4">
        <v>1</v>
      </c>
      <c r="G1486" s="5">
        <v>3.33</v>
      </c>
      <c r="H1486" s="4">
        <v>0</v>
      </c>
    </row>
    <row r="1487" spans="1:8" x14ac:dyDescent="0.2">
      <c r="A1487" s="2" t="s">
        <v>202</v>
      </c>
      <c r="B1487" s="4">
        <v>6</v>
      </c>
      <c r="C1487" s="5">
        <v>7.41</v>
      </c>
      <c r="D1487" s="4">
        <v>5</v>
      </c>
      <c r="E1487" s="5">
        <v>11.11</v>
      </c>
      <c r="F1487" s="4">
        <v>0</v>
      </c>
      <c r="G1487" s="5">
        <v>0</v>
      </c>
      <c r="H1487" s="4">
        <v>0</v>
      </c>
    </row>
    <row r="1488" spans="1:8" x14ac:dyDescent="0.2">
      <c r="A1488" s="2" t="s">
        <v>203</v>
      </c>
      <c r="B1488" s="4">
        <v>5</v>
      </c>
      <c r="C1488" s="5">
        <v>6.17</v>
      </c>
      <c r="D1488" s="4">
        <v>1</v>
      </c>
      <c r="E1488" s="5">
        <v>2.2200000000000002</v>
      </c>
      <c r="F1488" s="4">
        <v>2</v>
      </c>
      <c r="G1488" s="5">
        <v>6.67</v>
      </c>
      <c r="H1488" s="4">
        <v>0</v>
      </c>
    </row>
    <row r="1489" spans="1:8" x14ac:dyDescent="0.2">
      <c r="A1489" s="2" t="s">
        <v>204</v>
      </c>
      <c r="B1489" s="4">
        <v>2</v>
      </c>
      <c r="C1489" s="5">
        <v>2.4700000000000002</v>
      </c>
      <c r="D1489" s="4">
        <v>0</v>
      </c>
      <c r="E1489" s="5">
        <v>0</v>
      </c>
      <c r="F1489" s="4">
        <v>1</v>
      </c>
      <c r="G1489" s="5">
        <v>3.33</v>
      </c>
      <c r="H1489" s="4">
        <v>0</v>
      </c>
    </row>
    <row r="1490" spans="1:8" x14ac:dyDescent="0.2">
      <c r="A1490" s="1" t="s">
        <v>93</v>
      </c>
      <c r="B1490" s="4">
        <v>65</v>
      </c>
      <c r="C1490" s="5">
        <v>100</v>
      </c>
      <c r="D1490" s="4">
        <v>42</v>
      </c>
      <c r="E1490" s="5">
        <v>99.99</v>
      </c>
      <c r="F1490" s="4">
        <v>20</v>
      </c>
      <c r="G1490" s="5">
        <v>100</v>
      </c>
      <c r="H1490" s="4">
        <v>1</v>
      </c>
    </row>
    <row r="1491" spans="1:8" x14ac:dyDescent="0.2">
      <c r="A1491" s="2" t="s">
        <v>190</v>
      </c>
      <c r="B1491" s="4">
        <v>0</v>
      </c>
      <c r="C1491" s="5">
        <v>0</v>
      </c>
      <c r="D1491" s="4">
        <v>0</v>
      </c>
      <c r="E1491" s="5">
        <v>0</v>
      </c>
      <c r="F1491" s="4">
        <v>0</v>
      </c>
      <c r="G1491" s="5">
        <v>0</v>
      </c>
      <c r="H1491" s="4">
        <v>0</v>
      </c>
    </row>
    <row r="1492" spans="1:8" x14ac:dyDescent="0.2">
      <c r="A1492" s="2" t="s">
        <v>191</v>
      </c>
      <c r="B1492" s="4">
        <v>5</v>
      </c>
      <c r="C1492" s="5">
        <v>7.69</v>
      </c>
      <c r="D1492" s="4">
        <v>2</v>
      </c>
      <c r="E1492" s="5">
        <v>4.76</v>
      </c>
      <c r="F1492" s="4">
        <v>3</v>
      </c>
      <c r="G1492" s="5">
        <v>15</v>
      </c>
      <c r="H1492" s="4">
        <v>0</v>
      </c>
    </row>
    <row r="1493" spans="1:8" x14ac:dyDescent="0.2">
      <c r="A1493" s="2" t="s">
        <v>192</v>
      </c>
      <c r="B1493" s="4">
        <v>4</v>
      </c>
      <c r="C1493" s="5">
        <v>6.15</v>
      </c>
      <c r="D1493" s="4">
        <v>1</v>
      </c>
      <c r="E1493" s="5">
        <v>2.38</v>
      </c>
      <c r="F1493" s="4">
        <v>2</v>
      </c>
      <c r="G1493" s="5">
        <v>10</v>
      </c>
      <c r="H1493" s="4">
        <v>1</v>
      </c>
    </row>
    <row r="1494" spans="1:8" x14ac:dyDescent="0.2">
      <c r="A1494" s="2" t="s">
        <v>193</v>
      </c>
      <c r="B1494" s="4">
        <v>1</v>
      </c>
      <c r="C1494" s="5">
        <v>1.54</v>
      </c>
      <c r="D1494" s="4">
        <v>0</v>
      </c>
      <c r="E1494" s="5">
        <v>0</v>
      </c>
      <c r="F1494" s="4">
        <v>0</v>
      </c>
      <c r="G1494" s="5">
        <v>0</v>
      </c>
      <c r="H1494" s="4">
        <v>0</v>
      </c>
    </row>
    <row r="1495" spans="1:8" x14ac:dyDescent="0.2">
      <c r="A1495" s="2" t="s">
        <v>194</v>
      </c>
      <c r="B1495" s="4">
        <v>1</v>
      </c>
      <c r="C1495" s="5">
        <v>1.54</v>
      </c>
      <c r="D1495" s="4">
        <v>0</v>
      </c>
      <c r="E1495" s="5">
        <v>0</v>
      </c>
      <c r="F1495" s="4">
        <v>1</v>
      </c>
      <c r="G1495" s="5">
        <v>5</v>
      </c>
      <c r="H1495" s="4">
        <v>0</v>
      </c>
    </row>
    <row r="1496" spans="1:8" x14ac:dyDescent="0.2">
      <c r="A1496" s="2" t="s">
        <v>195</v>
      </c>
      <c r="B1496" s="4">
        <v>1</v>
      </c>
      <c r="C1496" s="5">
        <v>1.54</v>
      </c>
      <c r="D1496" s="4">
        <v>1</v>
      </c>
      <c r="E1496" s="5">
        <v>2.38</v>
      </c>
      <c r="F1496" s="4">
        <v>0</v>
      </c>
      <c r="G1496" s="5">
        <v>0</v>
      </c>
      <c r="H1496" s="4">
        <v>0</v>
      </c>
    </row>
    <row r="1497" spans="1:8" x14ac:dyDescent="0.2">
      <c r="A1497" s="2" t="s">
        <v>196</v>
      </c>
      <c r="B1497" s="4">
        <v>17</v>
      </c>
      <c r="C1497" s="5">
        <v>26.15</v>
      </c>
      <c r="D1497" s="4">
        <v>13</v>
      </c>
      <c r="E1497" s="5">
        <v>30.95</v>
      </c>
      <c r="F1497" s="4">
        <v>4</v>
      </c>
      <c r="G1497" s="5">
        <v>20</v>
      </c>
      <c r="H1497" s="4">
        <v>0</v>
      </c>
    </row>
    <row r="1498" spans="1:8" x14ac:dyDescent="0.2">
      <c r="A1498" s="2" t="s">
        <v>197</v>
      </c>
      <c r="B1498" s="4">
        <v>0</v>
      </c>
      <c r="C1498" s="5">
        <v>0</v>
      </c>
      <c r="D1498" s="4">
        <v>0</v>
      </c>
      <c r="E1498" s="5">
        <v>0</v>
      </c>
      <c r="F1498" s="4">
        <v>0</v>
      </c>
      <c r="G1498" s="5">
        <v>0</v>
      </c>
      <c r="H1498" s="4">
        <v>0</v>
      </c>
    </row>
    <row r="1499" spans="1:8" x14ac:dyDescent="0.2">
      <c r="A1499" s="2" t="s">
        <v>198</v>
      </c>
      <c r="B1499" s="4">
        <v>3</v>
      </c>
      <c r="C1499" s="5">
        <v>4.62</v>
      </c>
      <c r="D1499" s="4">
        <v>1</v>
      </c>
      <c r="E1499" s="5">
        <v>2.38</v>
      </c>
      <c r="F1499" s="4">
        <v>2</v>
      </c>
      <c r="G1499" s="5">
        <v>10</v>
      </c>
      <c r="H1499" s="4">
        <v>0</v>
      </c>
    </row>
    <row r="1500" spans="1:8" x14ac:dyDescent="0.2">
      <c r="A1500" s="2" t="s">
        <v>199</v>
      </c>
      <c r="B1500" s="4">
        <v>2</v>
      </c>
      <c r="C1500" s="5">
        <v>3.08</v>
      </c>
      <c r="D1500" s="4">
        <v>1</v>
      </c>
      <c r="E1500" s="5">
        <v>2.38</v>
      </c>
      <c r="F1500" s="4">
        <v>1</v>
      </c>
      <c r="G1500" s="5">
        <v>5</v>
      </c>
      <c r="H1500" s="4">
        <v>0</v>
      </c>
    </row>
    <row r="1501" spans="1:8" x14ac:dyDescent="0.2">
      <c r="A1501" s="2" t="s">
        <v>200</v>
      </c>
      <c r="B1501" s="4">
        <v>11</v>
      </c>
      <c r="C1501" s="5">
        <v>16.920000000000002</v>
      </c>
      <c r="D1501" s="4">
        <v>11</v>
      </c>
      <c r="E1501" s="5">
        <v>26.19</v>
      </c>
      <c r="F1501" s="4">
        <v>0</v>
      </c>
      <c r="G1501" s="5">
        <v>0</v>
      </c>
      <c r="H1501" s="4">
        <v>0</v>
      </c>
    </row>
    <row r="1502" spans="1:8" x14ac:dyDescent="0.2">
      <c r="A1502" s="2" t="s">
        <v>201</v>
      </c>
      <c r="B1502" s="4">
        <v>11</v>
      </c>
      <c r="C1502" s="5">
        <v>16.920000000000002</v>
      </c>
      <c r="D1502" s="4">
        <v>9</v>
      </c>
      <c r="E1502" s="5">
        <v>21.43</v>
      </c>
      <c r="F1502" s="4">
        <v>2</v>
      </c>
      <c r="G1502" s="5">
        <v>10</v>
      </c>
      <c r="H1502" s="4">
        <v>0</v>
      </c>
    </row>
    <row r="1503" spans="1:8" x14ac:dyDescent="0.2">
      <c r="A1503" s="2" t="s">
        <v>202</v>
      </c>
      <c r="B1503" s="4">
        <v>1</v>
      </c>
      <c r="C1503" s="5">
        <v>1.54</v>
      </c>
      <c r="D1503" s="4">
        <v>0</v>
      </c>
      <c r="E1503" s="5">
        <v>0</v>
      </c>
      <c r="F1503" s="4">
        <v>1</v>
      </c>
      <c r="G1503" s="5">
        <v>5</v>
      </c>
      <c r="H1503" s="4">
        <v>0</v>
      </c>
    </row>
    <row r="1504" spans="1:8" x14ac:dyDescent="0.2">
      <c r="A1504" s="2" t="s">
        <v>203</v>
      </c>
      <c r="B1504" s="4">
        <v>7</v>
      </c>
      <c r="C1504" s="5">
        <v>10.77</v>
      </c>
      <c r="D1504" s="4">
        <v>3</v>
      </c>
      <c r="E1504" s="5">
        <v>7.14</v>
      </c>
      <c r="F1504" s="4">
        <v>3</v>
      </c>
      <c r="G1504" s="5">
        <v>15</v>
      </c>
      <c r="H1504" s="4">
        <v>0</v>
      </c>
    </row>
    <row r="1505" spans="1:8" x14ac:dyDescent="0.2">
      <c r="A1505" s="2" t="s">
        <v>204</v>
      </c>
      <c r="B1505" s="4">
        <v>1</v>
      </c>
      <c r="C1505" s="5">
        <v>1.54</v>
      </c>
      <c r="D1505" s="4">
        <v>0</v>
      </c>
      <c r="E1505" s="5">
        <v>0</v>
      </c>
      <c r="F1505" s="4">
        <v>1</v>
      </c>
      <c r="G1505" s="5">
        <v>5</v>
      </c>
      <c r="H1505" s="4">
        <v>0</v>
      </c>
    </row>
    <row r="1506" spans="1:8" x14ac:dyDescent="0.2">
      <c r="A1506" s="1" t="s">
        <v>94</v>
      </c>
      <c r="B1506" s="4">
        <v>51</v>
      </c>
      <c r="C1506" s="5">
        <v>99.990000000000009</v>
      </c>
      <c r="D1506" s="4">
        <v>28</v>
      </c>
      <c r="E1506" s="5">
        <v>99.990000000000009</v>
      </c>
      <c r="F1506" s="4">
        <v>23</v>
      </c>
      <c r="G1506" s="5">
        <v>100.01</v>
      </c>
      <c r="H1506" s="4">
        <v>0</v>
      </c>
    </row>
    <row r="1507" spans="1:8" x14ac:dyDescent="0.2">
      <c r="A1507" s="2" t="s">
        <v>190</v>
      </c>
      <c r="B1507" s="4">
        <v>0</v>
      </c>
      <c r="C1507" s="5">
        <v>0</v>
      </c>
      <c r="D1507" s="4">
        <v>0</v>
      </c>
      <c r="E1507" s="5">
        <v>0</v>
      </c>
      <c r="F1507" s="4">
        <v>0</v>
      </c>
      <c r="G1507" s="5">
        <v>0</v>
      </c>
      <c r="H1507" s="4">
        <v>0</v>
      </c>
    </row>
    <row r="1508" spans="1:8" x14ac:dyDescent="0.2">
      <c r="A1508" s="2" t="s">
        <v>191</v>
      </c>
      <c r="B1508" s="4">
        <v>10</v>
      </c>
      <c r="C1508" s="5">
        <v>19.61</v>
      </c>
      <c r="D1508" s="4">
        <v>3</v>
      </c>
      <c r="E1508" s="5">
        <v>10.71</v>
      </c>
      <c r="F1508" s="4">
        <v>7</v>
      </c>
      <c r="G1508" s="5">
        <v>30.43</v>
      </c>
      <c r="H1508" s="4">
        <v>0</v>
      </c>
    </row>
    <row r="1509" spans="1:8" x14ac:dyDescent="0.2">
      <c r="A1509" s="2" t="s">
        <v>192</v>
      </c>
      <c r="B1509" s="4">
        <v>1</v>
      </c>
      <c r="C1509" s="5">
        <v>1.96</v>
      </c>
      <c r="D1509" s="4">
        <v>1</v>
      </c>
      <c r="E1509" s="5">
        <v>3.57</v>
      </c>
      <c r="F1509" s="4">
        <v>0</v>
      </c>
      <c r="G1509" s="5">
        <v>0</v>
      </c>
      <c r="H1509" s="4">
        <v>0</v>
      </c>
    </row>
    <row r="1510" spans="1:8" x14ac:dyDescent="0.2">
      <c r="A1510" s="2" t="s">
        <v>193</v>
      </c>
      <c r="B1510" s="4">
        <v>1</v>
      </c>
      <c r="C1510" s="5">
        <v>1.96</v>
      </c>
      <c r="D1510" s="4">
        <v>0</v>
      </c>
      <c r="E1510" s="5">
        <v>0</v>
      </c>
      <c r="F1510" s="4">
        <v>1</v>
      </c>
      <c r="G1510" s="5">
        <v>4.3499999999999996</v>
      </c>
      <c r="H1510" s="4">
        <v>0</v>
      </c>
    </row>
    <row r="1511" spans="1:8" x14ac:dyDescent="0.2">
      <c r="A1511" s="2" t="s">
        <v>194</v>
      </c>
      <c r="B1511" s="4">
        <v>0</v>
      </c>
      <c r="C1511" s="5">
        <v>0</v>
      </c>
      <c r="D1511" s="4">
        <v>0</v>
      </c>
      <c r="E1511" s="5">
        <v>0</v>
      </c>
      <c r="F1511" s="4">
        <v>0</v>
      </c>
      <c r="G1511" s="5">
        <v>0</v>
      </c>
      <c r="H1511" s="4">
        <v>0</v>
      </c>
    </row>
    <row r="1512" spans="1:8" x14ac:dyDescent="0.2">
      <c r="A1512" s="2" t="s">
        <v>195</v>
      </c>
      <c r="B1512" s="4">
        <v>2</v>
      </c>
      <c r="C1512" s="5">
        <v>3.92</v>
      </c>
      <c r="D1512" s="4">
        <v>0</v>
      </c>
      <c r="E1512" s="5">
        <v>0</v>
      </c>
      <c r="F1512" s="4">
        <v>2</v>
      </c>
      <c r="G1512" s="5">
        <v>8.6999999999999993</v>
      </c>
      <c r="H1512" s="4">
        <v>0</v>
      </c>
    </row>
    <row r="1513" spans="1:8" x14ac:dyDescent="0.2">
      <c r="A1513" s="2" t="s">
        <v>196</v>
      </c>
      <c r="B1513" s="4">
        <v>14</v>
      </c>
      <c r="C1513" s="5">
        <v>27.45</v>
      </c>
      <c r="D1513" s="4">
        <v>5</v>
      </c>
      <c r="E1513" s="5">
        <v>17.86</v>
      </c>
      <c r="F1513" s="4">
        <v>9</v>
      </c>
      <c r="G1513" s="5">
        <v>39.130000000000003</v>
      </c>
      <c r="H1513" s="4">
        <v>0</v>
      </c>
    </row>
    <row r="1514" spans="1:8" x14ac:dyDescent="0.2">
      <c r="A1514" s="2" t="s">
        <v>197</v>
      </c>
      <c r="B1514" s="4">
        <v>0</v>
      </c>
      <c r="C1514" s="5">
        <v>0</v>
      </c>
      <c r="D1514" s="4">
        <v>0</v>
      </c>
      <c r="E1514" s="5">
        <v>0</v>
      </c>
      <c r="F1514" s="4">
        <v>0</v>
      </c>
      <c r="G1514" s="5">
        <v>0</v>
      </c>
      <c r="H1514" s="4">
        <v>0</v>
      </c>
    </row>
    <row r="1515" spans="1:8" x14ac:dyDescent="0.2">
      <c r="A1515" s="2" t="s">
        <v>198</v>
      </c>
      <c r="B1515" s="4">
        <v>0</v>
      </c>
      <c r="C1515" s="5">
        <v>0</v>
      </c>
      <c r="D1515" s="4">
        <v>0</v>
      </c>
      <c r="E1515" s="5">
        <v>0</v>
      </c>
      <c r="F1515" s="4">
        <v>0</v>
      </c>
      <c r="G1515" s="5">
        <v>0</v>
      </c>
      <c r="H1515" s="4">
        <v>0</v>
      </c>
    </row>
    <row r="1516" spans="1:8" x14ac:dyDescent="0.2">
      <c r="A1516" s="2" t="s">
        <v>199</v>
      </c>
      <c r="B1516" s="4">
        <v>2</v>
      </c>
      <c r="C1516" s="5">
        <v>3.92</v>
      </c>
      <c r="D1516" s="4">
        <v>2</v>
      </c>
      <c r="E1516" s="5">
        <v>7.14</v>
      </c>
      <c r="F1516" s="4">
        <v>0</v>
      </c>
      <c r="G1516" s="5">
        <v>0</v>
      </c>
      <c r="H1516" s="4">
        <v>0</v>
      </c>
    </row>
    <row r="1517" spans="1:8" x14ac:dyDescent="0.2">
      <c r="A1517" s="2" t="s">
        <v>200</v>
      </c>
      <c r="B1517" s="4">
        <v>6</v>
      </c>
      <c r="C1517" s="5">
        <v>11.76</v>
      </c>
      <c r="D1517" s="4">
        <v>5</v>
      </c>
      <c r="E1517" s="5">
        <v>17.86</v>
      </c>
      <c r="F1517" s="4">
        <v>1</v>
      </c>
      <c r="G1517" s="5">
        <v>4.3499999999999996</v>
      </c>
      <c r="H1517" s="4">
        <v>0</v>
      </c>
    </row>
    <row r="1518" spans="1:8" x14ac:dyDescent="0.2">
      <c r="A1518" s="2" t="s">
        <v>201</v>
      </c>
      <c r="B1518" s="4">
        <v>9</v>
      </c>
      <c r="C1518" s="5">
        <v>17.649999999999999</v>
      </c>
      <c r="D1518" s="4">
        <v>8</v>
      </c>
      <c r="E1518" s="5">
        <v>28.57</v>
      </c>
      <c r="F1518" s="4">
        <v>1</v>
      </c>
      <c r="G1518" s="5">
        <v>4.3499999999999996</v>
      </c>
      <c r="H1518" s="4">
        <v>0</v>
      </c>
    </row>
    <row r="1519" spans="1:8" x14ac:dyDescent="0.2">
      <c r="A1519" s="2" t="s">
        <v>202</v>
      </c>
      <c r="B1519" s="4">
        <v>0</v>
      </c>
      <c r="C1519" s="5">
        <v>0</v>
      </c>
      <c r="D1519" s="4">
        <v>0</v>
      </c>
      <c r="E1519" s="5">
        <v>0</v>
      </c>
      <c r="F1519" s="4">
        <v>0</v>
      </c>
      <c r="G1519" s="5">
        <v>0</v>
      </c>
      <c r="H1519" s="4">
        <v>0</v>
      </c>
    </row>
    <row r="1520" spans="1:8" x14ac:dyDescent="0.2">
      <c r="A1520" s="2" t="s">
        <v>203</v>
      </c>
      <c r="B1520" s="4">
        <v>3</v>
      </c>
      <c r="C1520" s="5">
        <v>5.88</v>
      </c>
      <c r="D1520" s="4">
        <v>3</v>
      </c>
      <c r="E1520" s="5">
        <v>10.71</v>
      </c>
      <c r="F1520" s="4">
        <v>0</v>
      </c>
      <c r="G1520" s="5">
        <v>0</v>
      </c>
      <c r="H1520" s="4">
        <v>0</v>
      </c>
    </row>
    <row r="1521" spans="1:8" x14ac:dyDescent="0.2">
      <c r="A1521" s="2" t="s">
        <v>204</v>
      </c>
      <c r="B1521" s="4">
        <v>3</v>
      </c>
      <c r="C1521" s="5">
        <v>5.88</v>
      </c>
      <c r="D1521" s="4">
        <v>1</v>
      </c>
      <c r="E1521" s="5">
        <v>3.57</v>
      </c>
      <c r="F1521" s="4">
        <v>2</v>
      </c>
      <c r="G1521" s="5">
        <v>8.6999999999999993</v>
      </c>
      <c r="H1521" s="4">
        <v>0</v>
      </c>
    </row>
    <row r="1522" spans="1:8" x14ac:dyDescent="0.2">
      <c r="A1522" s="1" t="s">
        <v>95</v>
      </c>
      <c r="B1522" s="4">
        <v>40</v>
      </c>
      <c r="C1522" s="5">
        <v>100</v>
      </c>
      <c r="D1522" s="4">
        <v>24</v>
      </c>
      <c r="E1522" s="5">
        <v>100</v>
      </c>
      <c r="F1522" s="4">
        <v>13</v>
      </c>
      <c r="G1522" s="5">
        <v>99.99</v>
      </c>
      <c r="H1522" s="4">
        <v>0</v>
      </c>
    </row>
    <row r="1523" spans="1:8" x14ac:dyDescent="0.2">
      <c r="A1523" s="2" t="s">
        <v>190</v>
      </c>
      <c r="B1523" s="4">
        <v>1</v>
      </c>
      <c r="C1523" s="5">
        <v>2.5</v>
      </c>
      <c r="D1523" s="4">
        <v>1</v>
      </c>
      <c r="E1523" s="5">
        <v>4.17</v>
      </c>
      <c r="F1523" s="4">
        <v>0</v>
      </c>
      <c r="G1523" s="5">
        <v>0</v>
      </c>
      <c r="H1523" s="4">
        <v>0</v>
      </c>
    </row>
    <row r="1524" spans="1:8" x14ac:dyDescent="0.2">
      <c r="A1524" s="2" t="s">
        <v>191</v>
      </c>
      <c r="B1524" s="4">
        <v>6</v>
      </c>
      <c r="C1524" s="5">
        <v>15</v>
      </c>
      <c r="D1524" s="4">
        <v>2</v>
      </c>
      <c r="E1524" s="5">
        <v>8.33</v>
      </c>
      <c r="F1524" s="4">
        <v>4</v>
      </c>
      <c r="G1524" s="5">
        <v>30.77</v>
      </c>
      <c r="H1524" s="4">
        <v>0</v>
      </c>
    </row>
    <row r="1525" spans="1:8" x14ac:dyDescent="0.2">
      <c r="A1525" s="2" t="s">
        <v>192</v>
      </c>
      <c r="B1525" s="4">
        <v>0</v>
      </c>
      <c r="C1525" s="5">
        <v>0</v>
      </c>
      <c r="D1525" s="4">
        <v>0</v>
      </c>
      <c r="E1525" s="5">
        <v>0</v>
      </c>
      <c r="F1525" s="4">
        <v>0</v>
      </c>
      <c r="G1525" s="5">
        <v>0</v>
      </c>
      <c r="H1525" s="4">
        <v>0</v>
      </c>
    </row>
    <row r="1526" spans="1:8" x14ac:dyDescent="0.2">
      <c r="A1526" s="2" t="s">
        <v>193</v>
      </c>
      <c r="B1526" s="4">
        <v>1</v>
      </c>
      <c r="C1526" s="5">
        <v>2.5</v>
      </c>
      <c r="D1526" s="4">
        <v>0</v>
      </c>
      <c r="E1526" s="5">
        <v>0</v>
      </c>
      <c r="F1526" s="4">
        <v>0</v>
      </c>
      <c r="G1526" s="5">
        <v>0</v>
      </c>
      <c r="H1526" s="4">
        <v>0</v>
      </c>
    </row>
    <row r="1527" spans="1:8" x14ac:dyDescent="0.2">
      <c r="A1527" s="2" t="s">
        <v>194</v>
      </c>
      <c r="B1527" s="4">
        <v>0</v>
      </c>
      <c r="C1527" s="5">
        <v>0</v>
      </c>
      <c r="D1527" s="4">
        <v>0</v>
      </c>
      <c r="E1527" s="5">
        <v>0</v>
      </c>
      <c r="F1527" s="4">
        <v>0</v>
      </c>
      <c r="G1527" s="5">
        <v>0</v>
      </c>
      <c r="H1527" s="4">
        <v>0</v>
      </c>
    </row>
    <row r="1528" spans="1:8" x14ac:dyDescent="0.2">
      <c r="A1528" s="2" t="s">
        <v>195</v>
      </c>
      <c r="B1528" s="4">
        <v>1</v>
      </c>
      <c r="C1528" s="5">
        <v>2.5</v>
      </c>
      <c r="D1528" s="4">
        <v>0</v>
      </c>
      <c r="E1528" s="5">
        <v>0</v>
      </c>
      <c r="F1528" s="4">
        <v>1</v>
      </c>
      <c r="G1528" s="5">
        <v>7.69</v>
      </c>
      <c r="H1528" s="4">
        <v>0</v>
      </c>
    </row>
    <row r="1529" spans="1:8" x14ac:dyDescent="0.2">
      <c r="A1529" s="2" t="s">
        <v>196</v>
      </c>
      <c r="B1529" s="4">
        <v>11</v>
      </c>
      <c r="C1529" s="5">
        <v>27.5</v>
      </c>
      <c r="D1529" s="4">
        <v>6</v>
      </c>
      <c r="E1529" s="5">
        <v>25</v>
      </c>
      <c r="F1529" s="4">
        <v>5</v>
      </c>
      <c r="G1529" s="5">
        <v>38.46</v>
      </c>
      <c r="H1529" s="4">
        <v>0</v>
      </c>
    </row>
    <row r="1530" spans="1:8" x14ac:dyDescent="0.2">
      <c r="A1530" s="2" t="s">
        <v>197</v>
      </c>
      <c r="B1530" s="4">
        <v>0</v>
      </c>
      <c r="C1530" s="5">
        <v>0</v>
      </c>
      <c r="D1530" s="4">
        <v>0</v>
      </c>
      <c r="E1530" s="5">
        <v>0</v>
      </c>
      <c r="F1530" s="4">
        <v>0</v>
      </c>
      <c r="G1530" s="5">
        <v>0</v>
      </c>
      <c r="H1530" s="4">
        <v>0</v>
      </c>
    </row>
    <row r="1531" spans="1:8" x14ac:dyDescent="0.2">
      <c r="A1531" s="2" t="s">
        <v>198</v>
      </c>
      <c r="B1531" s="4">
        <v>2</v>
      </c>
      <c r="C1531" s="5">
        <v>5</v>
      </c>
      <c r="D1531" s="4">
        <v>0</v>
      </c>
      <c r="E1531" s="5">
        <v>0</v>
      </c>
      <c r="F1531" s="4">
        <v>2</v>
      </c>
      <c r="G1531" s="5">
        <v>15.38</v>
      </c>
      <c r="H1531" s="4">
        <v>0</v>
      </c>
    </row>
    <row r="1532" spans="1:8" x14ac:dyDescent="0.2">
      <c r="A1532" s="2" t="s">
        <v>199</v>
      </c>
      <c r="B1532" s="4">
        <v>0</v>
      </c>
      <c r="C1532" s="5">
        <v>0</v>
      </c>
      <c r="D1532" s="4">
        <v>0</v>
      </c>
      <c r="E1532" s="5">
        <v>0</v>
      </c>
      <c r="F1532" s="4">
        <v>0</v>
      </c>
      <c r="G1532" s="5">
        <v>0</v>
      </c>
      <c r="H1532" s="4">
        <v>0</v>
      </c>
    </row>
    <row r="1533" spans="1:8" x14ac:dyDescent="0.2">
      <c r="A1533" s="2" t="s">
        <v>200</v>
      </c>
      <c r="B1533" s="4">
        <v>6</v>
      </c>
      <c r="C1533" s="5">
        <v>15</v>
      </c>
      <c r="D1533" s="4">
        <v>6</v>
      </c>
      <c r="E1533" s="5">
        <v>25</v>
      </c>
      <c r="F1533" s="4">
        <v>0</v>
      </c>
      <c r="G1533" s="5">
        <v>0</v>
      </c>
      <c r="H1533" s="4">
        <v>0</v>
      </c>
    </row>
    <row r="1534" spans="1:8" x14ac:dyDescent="0.2">
      <c r="A1534" s="2" t="s">
        <v>201</v>
      </c>
      <c r="B1534" s="4">
        <v>5</v>
      </c>
      <c r="C1534" s="5">
        <v>12.5</v>
      </c>
      <c r="D1534" s="4">
        <v>5</v>
      </c>
      <c r="E1534" s="5">
        <v>20.83</v>
      </c>
      <c r="F1534" s="4">
        <v>0</v>
      </c>
      <c r="G1534" s="5">
        <v>0</v>
      </c>
      <c r="H1534" s="4">
        <v>0</v>
      </c>
    </row>
    <row r="1535" spans="1:8" x14ac:dyDescent="0.2">
      <c r="A1535" s="2" t="s">
        <v>202</v>
      </c>
      <c r="B1535" s="4">
        <v>0</v>
      </c>
      <c r="C1535" s="5">
        <v>0</v>
      </c>
      <c r="D1535" s="4">
        <v>0</v>
      </c>
      <c r="E1535" s="5">
        <v>0</v>
      </c>
      <c r="F1535" s="4">
        <v>0</v>
      </c>
      <c r="G1535" s="5">
        <v>0</v>
      </c>
      <c r="H1535" s="4">
        <v>0</v>
      </c>
    </row>
    <row r="1536" spans="1:8" x14ac:dyDescent="0.2">
      <c r="A1536" s="2" t="s">
        <v>203</v>
      </c>
      <c r="B1536" s="4">
        <v>4</v>
      </c>
      <c r="C1536" s="5">
        <v>10</v>
      </c>
      <c r="D1536" s="4">
        <v>3</v>
      </c>
      <c r="E1536" s="5">
        <v>12.5</v>
      </c>
      <c r="F1536" s="4">
        <v>0</v>
      </c>
      <c r="G1536" s="5">
        <v>0</v>
      </c>
      <c r="H1536" s="4">
        <v>0</v>
      </c>
    </row>
    <row r="1537" spans="1:8" x14ac:dyDescent="0.2">
      <c r="A1537" s="2" t="s">
        <v>204</v>
      </c>
      <c r="B1537" s="4">
        <v>3</v>
      </c>
      <c r="C1537" s="5">
        <v>7.5</v>
      </c>
      <c r="D1537" s="4">
        <v>1</v>
      </c>
      <c r="E1537" s="5">
        <v>4.17</v>
      </c>
      <c r="F1537" s="4">
        <v>1</v>
      </c>
      <c r="G1537" s="5">
        <v>7.69</v>
      </c>
      <c r="H1537" s="4">
        <v>0</v>
      </c>
    </row>
    <row r="1538" spans="1:8" x14ac:dyDescent="0.2">
      <c r="A1538" s="1" t="s">
        <v>96</v>
      </c>
      <c r="B1538" s="4">
        <v>103</v>
      </c>
      <c r="C1538" s="5">
        <v>99.99</v>
      </c>
      <c r="D1538" s="4">
        <v>60</v>
      </c>
      <c r="E1538" s="5">
        <v>100</v>
      </c>
      <c r="F1538" s="4">
        <v>33</v>
      </c>
      <c r="G1538" s="5">
        <v>99.990000000000009</v>
      </c>
      <c r="H1538" s="4">
        <v>0</v>
      </c>
    </row>
    <row r="1539" spans="1:8" x14ac:dyDescent="0.2">
      <c r="A1539" s="2" t="s">
        <v>190</v>
      </c>
      <c r="B1539" s="4">
        <v>1</v>
      </c>
      <c r="C1539" s="5">
        <v>0.97</v>
      </c>
      <c r="D1539" s="4">
        <v>0</v>
      </c>
      <c r="E1539" s="5">
        <v>0</v>
      </c>
      <c r="F1539" s="4">
        <v>1</v>
      </c>
      <c r="G1539" s="5">
        <v>3.03</v>
      </c>
      <c r="H1539" s="4">
        <v>0</v>
      </c>
    </row>
    <row r="1540" spans="1:8" x14ac:dyDescent="0.2">
      <c r="A1540" s="2" t="s">
        <v>191</v>
      </c>
      <c r="B1540" s="4">
        <v>14</v>
      </c>
      <c r="C1540" s="5">
        <v>13.59</v>
      </c>
      <c r="D1540" s="4">
        <v>5</v>
      </c>
      <c r="E1540" s="5">
        <v>8.33</v>
      </c>
      <c r="F1540" s="4">
        <v>9</v>
      </c>
      <c r="G1540" s="5">
        <v>27.27</v>
      </c>
      <c r="H1540" s="4">
        <v>0</v>
      </c>
    </row>
    <row r="1541" spans="1:8" x14ac:dyDescent="0.2">
      <c r="A1541" s="2" t="s">
        <v>192</v>
      </c>
      <c r="B1541" s="4">
        <v>5</v>
      </c>
      <c r="C1541" s="5">
        <v>4.8499999999999996</v>
      </c>
      <c r="D1541" s="4">
        <v>3</v>
      </c>
      <c r="E1541" s="5">
        <v>5</v>
      </c>
      <c r="F1541" s="4">
        <v>2</v>
      </c>
      <c r="G1541" s="5">
        <v>6.06</v>
      </c>
      <c r="H1541" s="4">
        <v>0</v>
      </c>
    </row>
    <row r="1542" spans="1:8" x14ac:dyDescent="0.2">
      <c r="A1542" s="2" t="s">
        <v>193</v>
      </c>
      <c r="B1542" s="4">
        <v>1</v>
      </c>
      <c r="C1542" s="5">
        <v>0.97</v>
      </c>
      <c r="D1542" s="4">
        <v>0</v>
      </c>
      <c r="E1542" s="5">
        <v>0</v>
      </c>
      <c r="F1542" s="4">
        <v>0</v>
      </c>
      <c r="G1542" s="5">
        <v>0</v>
      </c>
      <c r="H1542" s="4">
        <v>0</v>
      </c>
    </row>
    <row r="1543" spans="1:8" x14ac:dyDescent="0.2">
      <c r="A1543" s="2" t="s">
        <v>194</v>
      </c>
      <c r="B1543" s="4">
        <v>1</v>
      </c>
      <c r="C1543" s="5">
        <v>0.97</v>
      </c>
      <c r="D1543" s="4">
        <v>0</v>
      </c>
      <c r="E1543" s="5">
        <v>0</v>
      </c>
      <c r="F1543" s="4">
        <v>1</v>
      </c>
      <c r="G1543" s="5">
        <v>3.03</v>
      </c>
      <c r="H1543" s="4">
        <v>0</v>
      </c>
    </row>
    <row r="1544" spans="1:8" x14ac:dyDescent="0.2">
      <c r="A1544" s="2" t="s">
        <v>195</v>
      </c>
      <c r="B1544" s="4">
        <v>4</v>
      </c>
      <c r="C1544" s="5">
        <v>3.88</v>
      </c>
      <c r="D1544" s="4">
        <v>0</v>
      </c>
      <c r="E1544" s="5">
        <v>0</v>
      </c>
      <c r="F1544" s="4">
        <v>3</v>
      </c>
      <c r="G1544" s="5">
        <v>9.09</v>
      </c>
      <c r="H1544" s="4">
        <v>0</v>
      </c>
    </row>
    <row r="1545" spans="1:8" x14ac:dyDescent="0.2">
      <c r="A1545" s="2" t="s">
        <v>196</v>
      </c>
      <c r="B1545" s="4">
        <v>25</v>
      </c>
      <c r="C1545" s="5">
        <v>24.27</v>
      </c>
      <c r="D1545" s="4">
        <v>16</v>
      </c>
      <c r="E1545" s="5">
        <v>26.67</v>
      </c>
      <c r="F1545" s="4">
        <v>9</v>
      </c>
      <c r="G1545" s="5">
        <v>27.27</v>
      </c>
      <c r="H1545" s="4">
        <v>0</v>
      </c>
    </row>
    <row r="1546" spans="1:8" x14ac:dyDescent="0.2">
      <c r="A1546" s="2" t="s">
        <v>197</v>
      </c>
      <c r="B1546" s="4">
        <v>1</v>
      </c>
      <c r="C1546" s="5">
        <v>0.97</v>
      </c>
      <c r="D1546" s="4">
        <v>1</v>
      </c>
      <c r="E1546" s="5">
        <v>1.67</v>
      </c>
      <c r="F1546" s="4">
        <v>0</v>
      </c>
      <c r="G1546" s="5">
        <v>0</v>
      </c>
      <c r="H1546" s="4">
        <v>0</v>
      </c>
    </row>
    <row r="1547" spans="1:8" x14ac:dyDescent="0.2">
      <c r="A1547" s="2" t="s">
        <v>198</v>
      </c>
      <c r="B1547" s="4">
        <v>2</v>
      </c>
      <c r="C1547" s="5">
        <v>1.94</v>
      </c>
      <c r="D1547" s="4">
        <v>0</v>
      </c>
      <c r="E1547" s="5">
        <v>0</v>
      </c>
      <c r="F1547" s="4">
        <v>1</v>
      </c>
      <c r="G1547" s="5">
        <v>3.03</v>
      </c>
      <c r="H1547" s="4">
        <v>0</v>
      </c>
    </row>
    <row r="1548" spans="1:8" x14ac:dyDescent="0.2">
      <c r="A1548" s="2" t="s">
        <v>199</v>
      </c>
      <c r="B1548" s="4">
        <v>1</v>
      </c>
      <c r="C1548" s="5">
        <v>0.97</v>
      </c>
      <c r="D1548" s="4">
        <v>1</v>
      </c>
      <c r="E1548" s="5">
        <v>1.67</v>
      </c>
      <c r="F1548" s="4">
        <v>0</v>
      </c>
      <c r="G1548" s="5">
        <v>0</v>
      </c>
      <c r="H1548" s="4">
        <v>0</v>
      </c>
    </row>
    <row r="1549" spans="1:8" x14ac:dyDescent="0.2">
      <c r="A1549" s="2" t="s">
        <v>200</v>
      </c>
      <c r="B1549" s="4">
        <v>19</v>
      </c>
      <c r="C1549" s="5">
        <v>18.45</v>
      </c>
      <c r="D1549" s="4">
        <v>18</v>
      </c>
      <c r="E1549" s="5">
        <v>30</v>
      </c>
      <c r="F1549" s="4">
        <v>1</v>
      </c>
      <c r="G1549" s="5">
        <v>3.03</v>
      </c>
      <c r="H1549" s="4">
        <v>0</v>
      </c>
    </row>
    <row r="1550" spans="1:8" x14ac:dyDescent="0.2">
      <c r="A1550" s="2" t="s">
        <v>201</v>
      </c>
      <c r="B1550" s="4">
        <v>13</v>
      </c>
      <c r="C1550" s="5">
        <v>12.62</v>
      </c>
      <c r="D1550" s="4">
        <v>11</v>
      </c>
      <c r="E1550" s="5">
        <v>18.329999999999998</v>
      </c>
      <c r="F1550" s="4">
        <v>0</v>
      </c>
      <c r="G1550" s="5">
        <v>0</v>
      </c>
      <c r="H1550" s="4">
        <v>0</v>
      </c>
    </row>
    <row r="1551" spans="1:8" x14ac:dyDescent="0.2">
      <c r="A1551" s="2" t="s">
        <v>202</v>
      </c>
      <c r="B1551" s="4">
        <v>7</v>
      </c>
      <c r="C1551" s="5">
        <v>6.8</v>
      </c>
      <c r="D1551" s="4">
        <v>3</v>
      </c>
      <c r="E1551" s="5">
        <v>5</v>
      </c>
      <c r="F1551" s="4">
        <v>0</v>
      </c>
      <c r="G1551" s="5">
        <v>0</v>
      </c>
      <c r="H1551" s="4">
        <v>0</v>
      </c>
    </row>
    <row r="1552" spans="1:8" x14ac:dyDescent="0.2">
      <c r="A1552" s="2" t="s">
        <v>203</v>
      </c>
      <c r="B1552" s="4">
        <v>3</v>
      </c>
      <c r="C1552" s="5">
        <v>2.91</v>
      </c>
      <c r="D1552" s="4">
        <v>2</v>
      </c>
      <c r="E1552" s="5">
        <v>3.33</v>
      </c>
      <c r="F1552" s="4">
        <v>0</v>
      </c>
      <c r="G1552" s="5">
        <v>0</v>
      </c>
      <c r="H1552" s="4">
        <v>0</v>
      </c>
    </row>
    <row r="1553" spans="1:8" x14ac:dyDescent="0.2">
      <c r="A1553" s="2" t="s">
        <v>204</v>
      </c>
      <c r="B1553" s="4">
        <v>6</v>
      </c>
      <c r="C1553" s="5">
        <v>5.83</v>
      </c>
      <c r="D1553" s="4">
        <v>0</v>
      </c>
      <c r="E1553" s="5">
        <v>0</v>
      </c>
      <c r="F1553" s="4">
        <v>6</v>
      </c>
      <c r="G1553" s="5">
        <v>18.18</v>
      </c>
      <c r="H1553" s="4">
        <v>0</v>
      </c>
    </row>
    <row r="1554" spans="1:8" x14ac:dyDescent="0.2">
      <c r="A1554" s="1" t="s">
        <v>97</v>
      </c>
      <c r="B1554" s="4">
        <v>143</v>
      </c>
      <c r="C1554" s="5">
        <v>100.01</v>
      </c>
      <c r="D1554" s="4">
        <v>69</v>
      </c>
      <c r="E1554" s="5">
        <v>100.00999999999999</v>
      </c>
      <c r="F1554" s="4">
        <v>70</v>
      </c>
      <c r="G1554" s="5">
        <v>100.01</v>
      </c>
      <c r="H1554" s="4">
        <v>1</v>
      </c>
    </row>
    <row r="1555" spans="1:8" x14ac:dyDescent="0.2">
      <c r="A1555" s="2" t="s">
        <v>190</v>
      </c>
      <c r="B1555" s="4">
        <v>0</v>
      </c>
      <c r="C1555" s="5">
        <v>0</v>
      </c>
      <c r="D1555" s="4">
        <v>0</v>
      </c>
      <c r="E1555" s="5">
        <v>0</v>
      </c>
      <c r="F1555" s="4">
        <v>0</v>
      </c>
      <c r="G1555" s="5">
        <v>0</v>
      </c>
      <c r="H1555" s="4">
        <v>0</v>
      </c>
    </row>
    <row r="1556" spans="1:8" x14ac:dyDescent="0.2">
      <c r="A1556" s="2" t="s">
        <v>191</v>
      </c>
      <c r="B1556" s="4">
        <v>34</v>
      </c>
      <c r="C1556" s="5">
        <v>23.78</v>
      </c>
      <c r="D1556" s="4">
        <v>13</v>
      </c>
      <c r="E1556" s="5">
        <v>18.84</v>
      </c>
      <c r="F1556" s="4">
        <v>21</v>
      </c>
      <c r="G1556" s="5">
        <v>30</v>
      </c>
      <c r="H1556" s="4">
        <v>0</v>
      </c>
    </row>
    <row r="1557" spans="1:8" x14ac:dyDescent="0.2">
      <c r="A1557" s="2" t="s">
        <v>192</v>
      </c>
      <c r="B1557" s="4">
        <v>15</v>
      </c>
      <c r="C1557" s="5">
        <v>10.49</v>
      </c>
      <c r="D1557" s="4">
        <v>5</v>
      </c>
      <c r="E1557" s="5">
        <v>7.25</v>
      </c>
      <c r="F1557" s="4">
        <v>10</v>
      </c>
      <c r="G1557" s="5">
        <v>14.29</v>
      </c>
      <c r="H1557" s="4">
        <v>0</v>
      </c>
    </row>
    <row r="1558" spans="1:8" x14ac:dyDescent="0.2">
      <c r="A1558" s="2" t="s">
        <v>193</v>
      </c>
      <c r="B1558" s="4">
        <v>1</v>
      </c>
      <c r="C1558" s="5">
        <v>0.7</v>
      </c>
      <c r="D1558" s="4">
        <v>0</v>
      </c>
      <c r="E1558" s="5">
        <v>0</v>
      </c>
      <c r="F1558" s="4">
        <v>0</v>
      </c>
      <c r="G1558" s="5">
        <v>0</v>
      </c>
      <c r="H1558" s="4">
        <v>0</v>
      </c>
    </row>
    <row r="1559" spans="1:8" x14ac:dyDescent="0.2">
      <c r="A1559" s="2" t="s">
        <v>194</v>
      </c>
      <c r="B1559" s="4">
        <v>0</v>
      </c>
      <c r="C1559" s="5">
        <v>0</v>
      </c>
      <c r="D1559" s="4">
        <v>0</v>
      </c>
      <c r="E1559" s="5">
        <v>0</v>
      </c>
      <c r="F1559" s="4">
        <v>0</v>
      </c>
      <c r="G1559" s="5">
        <v>0</v>
      </c>
      <c r="H1559" s="4">
        <v>0</v>
      </c>
    </row>
    <row r="1560" spans="1:8" x14ac:dyDescent="0.2">
      <c r="A1560" s="2" t="s">
        <v>195</v>
      </c>
      <c r="B1560" s="4">
        <v>2</v>
      </c>
      <c r="C1560" s="5">
        <v>1.4</v>
      </c>
      <c r="D1560" s="4">
        <v>0</v>
      </c>
      <c r="E1560" s="5">
        <v>0</v>
      </c>
      <c r="F1560" s="4">
        <v>2</v>
      </c>
      <c r="G1560" s="5">
        <v>2.86</v>
      </c>
      <c r="H1560" s="4">
        <v>0</v>
      </c>
    </row>
    <row r="1561" spans="1:8" x14ac:dyDescent="0.2">
      <c r="A1561" s="2" t="s">
        <v>196</v>
      </c>
      <c r="B1561" s="4">
        <v>34</v>
      </c>
      <c r="C1561" s="5">
        <v>23.78</v>
      </c>
      <c r="D1561" s="4">
        <v>19</v>
      </c>
      <c r="E1561" s="5">
        <v>27.54</v>
      </c>
      <c r="F1561" s="4">
        <v>15</v>
      </c>
      <c r="G1561" s="5">
        <v>21.43</v>
      </c>
      <c r="H1561" s="4">
        <v>0</v>
      </c>
    </row>
    <row r="1562" spans="1:8" x14ac:dyDescent="0.2">
      <c r="A1562" s="2" t="s">
        <v>197</v>
      </c>
      <c r="B1562" s="4">
        <v>1</v>
      </c>
      <c r="C1562" s="5">
        <v>0.7</v>
      </c>
      <c r="D1562" s="4">
        <v>0</v>
      </c>
      <c r="E1562" s="5">
        <v>0</v>
      </c>
      <c r="F1562" s="4">
        <v>1</v>
      </c>
      <c r="G1562" s="5">
        <v>1.43</v>
      </c>
      <c r="H1562" s="4">
        <v>0</v>
      </c>
    </row>
    <row r="1563" spans="1:8" x14ac:dyDescent="0.2">
      <c r="A1563" s="2" t="s">
        <v>198</v>
      </c>
      <c r="B1563" s="4">
        <v>3</v>
      </c>
      <c r="C1563" s="5">
        <v>2.1</v>
      </c>
      <c r="D1563" s="4">
        <v>1</v>
      </c>
      <c r="E1563" s="5">
        <v>1.45</v>
      </c>
      <c r="F1563" s="4">
        <v>2</v>
      </c>
      <c r="G1563" s="5">
        <v>2.86</v>
      </c>
      <c r="H1563" s="4">
        <v>0</v>
      </c>
    </row>
    <row r="1564" spans="1:8" x14ac:dyDescent="0.2">
      <c r="A1564" s="2" t="s">
        <v>199</v>
      </c>
      <c r="B1564" s="4">
        <v>5</v>
      </c>
      <c r="C1564" s="5">
        <v>3.5</v>
      </c>
      <c r="D1564" s="4">
        <v>4</v>
      </c>
      <c r="E1564" s="5">
        <v>5.8</v>
      </c>
      <c r="F1564" s="4">
        <v>1</v>
      </c>
      <c r="G1564" s="5">
        <v>1.43</v>
      </c>
      <c r="H1564" s="4">
        <v>0</v>
      </c>
    </row>
    <row r="1565" spans="1:8" x14ac:dyDescent="0.2">
      <c r="A1565" s="2" t="s">
        <v>200</v>
      </c>
      <c r="B1565" s="4">
        <v>14</v>
      </c>
      <c r="C1565" s="5">
        <v>9.7899999999999991</v>
      </c>
      <c r="D1565" s="4">
        <v>10</v>
      </c>
      <c r="E1565" s="5">
        <v>14.49</v>
      </c>
      <c r="F1565" s="4">
        <v>4</v>
      </c>
      <c r="G1565" s="5">
        <v>5.71</v>
      </c>
      <c r="H1565" s="4">
        <v>0</v>
      </c>
    </row>
    <row r="1566" spans="1:8" x14ac:dyDescent="0.2">
      <c r="A1566" s="2" t="s">
        <v>201</v>
      </c>
      <c r="B1566" s="4">
        <v>14</v>
      </c>
      <c r="C1566" s="5">
        <v>9.7899999999999991</v>
      </c>
      <c r="D1566" s="4">
        <v>9</v>
      </c>
      <c r="E1566" s="5">
        <v>13.04</v>
      </c>
      <c r="F1566" s="4">
        <v>3</v>
      </c>
      <c r="G1566" s="5">
        <v>4.29</v>
      </c>
      <c r="H1566" s="4">
        <v>0</v>
      </c>
    </row>
    <row r="1567" spans="1:8" x14ac:dyDescent="0.2">
      <c r="A1567" s="2" t="s">
        <v>202</v>
      </c>
      <c r="B1567" s="4">
        <v>1</v>
      </c>
      <c r="C1567" s="5">
        <v>0.7</v>
      </c>
      <c r="D1567" s="4">
        <v>1</v>
      </c>
      <c r="E1567" s="5">
        <v>1.45</v>
      </c>
      <c r="F1567" s="4">
        <v>0</v>
      </c>
      <c r="G1567" s="5">
        <v>0</v>
      </c>
      <c r="H1567" s="4">
        <v>0</v>
      </c>
    </row>
    <row r="1568" spans="1:8" x14ac:dyDescent="0.2">
      <c r="A1568" s="2" t="s">
        <v>203</v>
      </c>
      <c r="B1568" s="4">
        <v>10</v>
      </c>
      <c r="C1568" s="5">
        <v>6.99</v>
      </c>
      <c r="D1568" s="4">
        <v>4</v>
      </c>
      <c r="E1568" s="5">
        <v>5.8</v>
      </c>
      <c r="F1568" s="4">
        <v>6</v>
      </c>
      <c r="G1568" s="5">
        <v>8.57</v>
      </c>
      <c r="H1568" s="4">
        <v>0</v>
      </c>
    </row>
    <row r="1569" spans="1:8" x14ac:dyDescent="0.2">
      <c r="A1569" s="2" t="s">
        <v>204</v>
      </c>
      <c r="B1569" s="4">
        <v>9</v>
      </c>
      <c r="C1569" s="5">
        <v>6.29</v>
      </c>
      <c r="D1569" s="4">
        <v>3</v>
      </c>
      <c r="E1569" s="5">
        <v>4.3499999999999996</v>
      </c>
      <c r="F1569" s="4">
        <v>5</v>
      </c>
      <c r="G1569" s="5">
        <v>7.14</v>
      </c>
      <c r="H1569" s="4">
        <v>1</v>
      </c>
    </row>
    <row r="1570" spans="1:8" x14ac:dyDescent="0.2">
      <c r="A1570" s="1" t="s">
        <v>98</v>
      </c>
      <c r="B1570" s="4">
        <v>179</v>
      </c>
      <c r="C1570" s="5">
        <v>100.00999999999999</v>
      </c>
      <c r="D1570" s="4">
        <v>65</v>
      </c>
      <c r="E1570" s="5">
        <v>100.01</v>
      </c>
      <c r="F1570" s="4">
        <v>107</v>
      </c>
      <c r="G1570" s="5">
        <v>99.99</v>
      </c>
      <c r="H1570" s="4">
        <v>0</v>
      </c>
    </row>
    <row r="1571" spans="1:8" x14ac:dyDescent="0.2">
      <c r="A1571" s="2" t="s">
        <v>190</v>
      </c>
      <c r="B1571" s="4">
        <v>0</v>
      </c>
      <c r="C1571" s="5">
        <v>0</v>
      </c>
      <c r="D1571" s="4">
        <v>0</v>
      </c>
      <c r="E1571" s="5">
        <v>0</v>
      </c>
      <c r="F1571" s="4">
        <v>0</v>
      </c>
      <c r="G1571" s="5">
        <v>0</v>
      </c>
      <c r="H1571" s="4">
        <v>0</v>
      </c>
    </row>
    <row r="1572" spans="1:8" x14ac:dyDescent="0.2">
      <c r="A1572" s="2" t="s">
        <v>191</v>
      </c>
      <c r="B1572" s="4">
        <v>32</v>
      </c>
      <c r="C1572" s="5">
        <v>17.88</v>
      </c>
      <c r="D1572" s="4">
        <v>7</v>
      </c>
      <c r="E1572" s="5">
        <v>10.77</v>
      </c>
      <c r="F1572" s="4">
        <v>25</v>
      </c>
      <c r="G1572" s="5">
        <v>23.36</v>
      </c>
      <c r="H1572" s="4">
        <v>0</v>
      </c>
    </row>
    <row r="1573" spans="1:8" x14ac:dyDescent="0.2">
      <c r="A1573" s="2" t="s">
        <v>192</v>
      </c>
      <c r="B1573" s="4">
        <v>15</v>
      </c>
      <c r="C1573" s="5">
        <v>8.3800000000000008</v>
      </c>
      <c r="D1573" s="4">
        <v>4</v>
      </c>
      <c r="E1573" s="5">
        <v>6.15</v>
      </c>
      <c r="F1573" s="4">
        <v>11</v>
      </c>
      <c r="G1573" s="5">
        <v>10.28</v>
      </c>
      <c r="H1573" s="4">
        <v>0</v>
      </c>
    </row>
    <row r="1574" spans="1:8" x14ac:dyDescent="0.2">
      <c r="A1574" s="2" t="s">
        <v>193</v>
      </c>
      <c r="B1574" s="4">
        <v>1</v>
      </c>
      <c r="C1574" s="5">
        <v>0.56000000000000005</v>
      </c>
      <c r="D1574" s="4">
        <v>0</v>
      </c>
      <c r="E1574" s="5">
        <v>0</v>
      </c>
      <c r="F1574" s="4">
        <v>1</v>
      </c>
      <c r="G1574" s="5">
        <v>0.93</v>
      </c>
      <c r="H1574" s="4">
        <v>0</v>
      </c>
    </row>
    <row r="1575" spans="1:8" x14ac:dyDescent="0.2">
      <c r="A1575" s="2" t="s">
        <v>194</v>
      </c>
      <c r="B1575" s="4">
        <v>2</v>
      </c>
      <c r="C1575" s="5">
        <v>1.1200000000000001</v>
      </c>
      <c r="D1575" s="4">
        <v>1</v>
      </c>
      <c r="E1575" s="5">
        <v>1.54</v>
      </c>
      <c r="F1575" s="4">
        <v>1</v>
      </c>
      <c r="G1575" s="5">
        <v>0.93</v>
      </c>
      <c r="H1575" s="4">
        <v>0</v>
      </c>
    </row>
    <row r="1576" spans="1:8" x14ac:dyDescent="0.2">
      <c r="A1576" s="2" t="s">
        <v>195</v>
      </c>
      <c r="B1576" s="4">
        <v>2</v>
      </c>
      <c r="C1576" s="5">
        <v>1.1200000000000001</v>
      </c>
      <c r="D1576" s="4">
        <v>0</v>
      </c>
      <c r="E1576" s="5">
        <v>0</v>
      </c>
      <c r="F1576" s="4">
        <v>2</v>
      </c>
      <c r="G1576" s="5">
        <v>1.87</v>
      </c>
      <c r="H1576" s="4">
        <v>0</v>
      </c>
    </row>
    <row r="1577" spans="1:8" x14ac:dyDescent="0.2">
      <c r="A1577" s="2" t="s">
        <v>196</v>
      </c>
      <c r="B1577" s="4">
        <v>32</v>
      </c>
      <c r="C1577" s="5">
        <v>17.88</v>
      </c>
      <c r="D1577" s="4">
        <v>8</v>
      </c>
      <c r="E1577" s="5">
        <v>12.31</v>
      </c>
      <c r="F1577" s="4">
        <v>24</v>
      </c>
      <c r="G1577" s="5">
        <v>22.43</v>
      </c>
      <c r="H1577" s="4">
        <v>0</v>
      </c>
    </row>
    <row r="1578" spans="1:8" x14ac:dyDescent="0.2">
      <c r="A1578" s="2" t="s">
        <v>197</v>
      </c>
      <c r="B1578" s="4">
        <v>2</v>
      </c>
      <c r="C1578" s="5">
        <v>1.1200000000000001</v>
      </c>
      <c r="D1578" s="4">
        <v>0</v>
      </c>
      <c r="E1578" s="5">
        <v>0</v>
      </c>
      <c r="F1578" s="4">
        <v>2</v>
      </c>
      <c r="G1578" s="5">
        <v>1.87</v>
      </c>
      <c r="H1578" s="4">
        <v>0</v>
      </c>
    </row>
    <row r="1579" spans="1:8" x14ac:dyDescent="0.2">
      <c r="A1579" s="2" t="s">
        <v>198</v>
      </c>
      <c r="B1579" s="4">
        <v>13</v>
      </c>
      <c r="C1579" s="5">
        <v>7.26</v>
      </c>
      <c r="D1579" s="4">
        <v>3</v>
      </c>
      <c r="E1579" s="5">
        <v>4.62</v>
      </c>
      <c r="F1579" s="4">
        <v>10</v>
      </c>
      <c r="G1579" s="5">
        <v>9.35</v>
      </c>
      <c r="H1579" s="4">
        <v>0</v>
      </c>
    </row>
    <row r="1580" spans="1:8" x14ac:dyDescent="0.2">
      <c r="A1580" s="2" t="s">
        <v>199</v>
      </c>
      <c r="B1580" s="4">
        <v>6</v>
      </c>
      <c r="C1580" s="5">
        <v>3.35</v>
      </c>
      <c r="D1580" s="4">
        <v>2</v>
      </c>
      <c r="E1580" s="5">
        <v>3.08</v>
      </c>
      <c r="F1580" s="4">
        <v>4</v>
      </c>
      <c r="G1580" s="5">
        <v>3.74</v>
      </c>
      <c r="H1580" s="4">
        <v>0</v>
      </c>
    </row>
    <row r="1581" spans="1:8" x14ac:dyDescent="0.2">
      <c r="A1581" s="2" t="s">
        <v>200</v>
      </c>
      <c r="B1581" s="4">
        <v>19</v>
      </c>
      <c r="C1581" s="5">
        <v>10.61</v>
      </c>
      <c r="D1581" s="4">
        <v>12</v>
      </c>
      <c r="E1581" s="5">
        <v>18.46</v>
      </c>
      <c r="F1581" s="4">
        <v>7</v>
      </c>
      <c r="G1581" s="5">
        <v>6.54</v>
      </c>
      <c r="H1581" s="4">
        <v>0</v>
      </c>
    </row>
    <row r="1582" spans="1:8" x14ac:dyDescent="0.2">
      <c r="A1582" s="2" t="s">
        <v>201</v>
      </c>
      <c r="B1582" s="4">
        <v>24</v>
      </c>
      <c r="C1582" s="5">
        <v>13.41</v>
      </c>
      <c r="D1582" s="4">
        <v>16</v>
      </c>
      <c r="E1582" s="5">
        <v>24.62</v>
      </c>
      <c r="F1582" s="4">
        <v>7</v>
      </c>
      <c r="G1582" s="5">
        <v>6.54</v>
      </c>
      <c r="H1582" s="4">
        <v>0</v>
      </c>
    </row>
    <row r="1583" spans="1:8" x14ac:dyDescent="0.2">
      <c r="A1583" s="2" t="s">
        <v>202</v>
      </c>
      <c r="B1583" s="4">
        <v>10</v>
      </c>
      <c r="C1583" s="5">
        <v>5.59</v>
      </c>
      <c r="D1583" s="4">
        <v>4</v>
      </c>
      <c r="E1583" s="5">
        <v>6.15</v>
      </c>
      <c r="F1583" s="4">
        <v>4</v>
      </c>
      <c r="G1583" s="5">
        <v>3.74</v>
      </c>
      <c r="H1583" s="4">
        <v>0</v>
      </c>
    </row>
    <row r="1584" spans="1:8" x14ac:dyDescent="0.2">
      <c r="A1584" s="2" t="s">
        <v>203</v>
      </c>
      <c r="B1584" s="4">
        <v>14</v>
      </c>
      <c r="C1584" s="5">
        <v>7.82</v>
      </c>
      <c r="D1584" s="4">
        <v>6</v>
      </c>
      <c r="E1584" s="5">
        <v>9.23</v>
      </c>
      <c r="F1584" s="4">
        <v>6</v>
      </c>
      <c r="G1584" s="5">
        <v>5.61</v>
      </c>
      <c r="H1584" s="4">
        <v>0</v>
      </c>
    </row>
    <row r="1585" spans="1:8" x14ac:dyDescent="0.2">
      <c r="A1585" s="2" t="s">
        <v>204</v>
      </c>
      <c r="B1585" s="4">
        <v>7</v>
      </c>
      <c r="C1585" s="5">
        <v>3.91</v>
      </c>
      <c r="D1585" s="4">
        <v>2</v>
      </c>
      <c r="E1585" s="5">
        <v>3.08</v>
      </c>
      <c r="F1585" s="4">
        <v>3</v>
      </c>
      <c r="G1585" s="5">
        <v>2.8</v>
      </c>
      <c r="H1585" s="4">
        <v>0</v>
      </c>
    </row>
    <row r="1586" spans="1:8" x14ac:dyDescent="0.2">
      <c r="A1586" s="1" t="s">
        <v>99</v>
      </c>
      <c r="B1586" s="4">
        <v>152</v>
      </c>
      <c r="C1586" s="5">
        <v>100.03</v>
      </c>
      <c r="D1586" s="4">
        <v>73</v>
      </c>
      <c r="E1586" s="5">
        <v>100.01</v>
      </c>
      <c r="F1586" s="4">
        <v>70</v>
      </c>
      <c r="G1586" s="5">
        <v>100.01000000000002</v>
      </c>
      <c r="H1586" s="4">
        <v>1</v>
      </c>
    </row>
    <row r="1587" spans="1:8" x14ac:dyDescent="0.2">
      <c r="A1587" s="2" t="s">
        <v>190</v>
      </c>
      <c r="B1587" s="4">
        <v>0</v>
      </c>
      <c r="C1587" s="5">
        <v>0</v>
      </c>
      <c r="D1587" s="4">
        <v>0</v>
      </c>
      <c r="E1587" s="5">
        <v>0</v>
      </c>
      <c r="F1587" s="4">
        <v>0</v>
      </c>
      <c r="G1587" s="5">
        <v>0</v>
      </c>
      <c r="H1587" s="4">
        <v>0</v>
      </c>
    </row>
    <row r="1588" spans="1:8" x14ac:dyDescent="0.2">
      <c r="A1588" s="2" t="s">
        <v>191</v>
      </c>
      <c r="B1588" s="4">
        <v>20</v>
      </c>
      <c r="C1588" s="5">
        <v>13.16</v>
      </c>
      <c r="D1588" s="4">
        <v>5</v>
      </c>
      <c r="E1588" s="5">
        <v>6.85</v>
      </c>
      <c r="F1588" s="4">
        <v>15</v>
      </c>
      <c r="G1588" s="5">
        <v>21.43</v>
      </c>
      <c r="H1588" s="4">
        <v>0</v>
      </c>
    </row>
    <row r="1589" spans="1:8" x14ac:dyDescent="0.2">
      <c r="A1589" s="2" t="s">
        <v>192</v>
      </c>
      <c r="B1589" s="4">
        <v>16</v>
      </c>
      <c r="C1589" s="5">
        <v>10.53</v>
      </c>
      <c r="D1589" s="4">
        <v>3</v>
      </c>
      <c r="E1589" s="5">
        <v>4.1100000000000003</v>
      </c>
      <c r="F1589" s="4">
        <v>13</v>
      </c>
      <c r="G1589" s="5">
        <v>18.57</v>
      </c>
      <c r="H1589" s="4">
        <v>0</v>
      </c>
    </row>
    <row r="1590" spans="1:8" x14ac:dyDescent="0.2">
      <c r="A1590" s="2" t="s">
        <v>193</v>
      </c>
      <c r="B1590" s="4">
        <v>0</v>
      </c>
      <c r="C1590" s="5">
        <v>0</v>
      </c>
      <c r="D1590" s="4">
        <v>0</v>
      </c>
      <c r="E1590" s="5">
        <v>0</v>
      </c>
      <c r="F1590" s="4">
        <v>0</v>
      </c>
      <c r="G1590" s="5">
        <v>0</v>
      </c>
      <c r="H1590" s="4">
        <v>0</v>
      </c>
    </row>
    <row r="1591" spans="1:8" x14ac:dyDescent="0.2">
      <c r="A1591" s="2" t="s">
        <v>194</v>
      </c>
      <c r="B1591" s="4">
        <v>0</v>
      </c>
      <c r="C1591" s="5">
        <v>0</v>
      </c>
      <c r="D1591" s="4">
        <v>0</v>
      </c>
      <c r="E1591" s="5">
        <v>0</v>
      </c>
      <c r="F1591" s="4">
        <v>0</v>
      </c>
      <c r="G1591" s="5">
        <v>0</v>
      </c>
      <c r="H1591" s="4">
        <v>0</v>
      </c>
    </row>
    <row r="1592" spans="1:8" x14ac:dyDescent="0.2">
      <c r="A1592" s="2" t="s">
        <v>195</v>
      </c>
      <c r="B1592" s="4">
        <v>1</v>
      </c>
      <c r="C1592" s="5">
        <v>0.66</v>
      </c>
      <c r="D1592" s="4">
        <v>0</v>
      </c>
      <c r="E1592" s="5">
        <v>0</v>
      </c>
      <c r="F1592" s="4">
        <v>0</v>
      </c>
      <c r="G1592" s="5">
        <v>0</v>
      </c>
      <c r="H1592" s="4">
        <v>0</v>
      </c>
    </row>
    <row r="1593" spans="1:8" x14ac:dyDescent="0.2">
      <c r="A1593" s="2" t="s">
        <v>196</v>
      </c>
      <c r="B1593" s="4">
        <v>45</v>
      </c>
      <c r="C1593" s="5">
        <v>29.61</v>
      </c>
      <c r="D1593" s="4">
        <v>24</v>
      </c>
      <c r="E1593" s="5">
        <v>32.880000000000003</v>
      </c>
      <c r="F1593" s="4">
        <v>21</v>
      </c>
      <c r="G1593" s="5">
        <v>30</v>
      </c>
      <c r="H1593" s="4">
        <v>0</v>
      </c>
    </row>
    <row r="1594" spans="1:8" x14ac:dyDescent="0.2">
      <c r="A1594" s="2" t="s">
        <v>197</v>
      </c>
      <c r="B1594" s="4">
        <v>0</v>
      </c>
      <c r="C1594" s="5">
        <v>0</v>
      </c>
      <c r="D1594" s="4">
        <v>0</v>
      </c>
      <c r="E1594" s="5">
        <v>0</v>
      </c>
      <c r="F1594" s="4">
        <v>0</v>
      </c>
      <c r="G1594" s="5">
        <v>0</v>
      </c>
      <c r="H1594" s="4">
        <v>0</v>
      </c>
    </row>
    <row r="1595" spans="1:8" x14ac:dyDescent="0.2">
      <c r="A1595" s="2" t="s">
        <v>198</v>
      </c>
      <c r="B1595" s="4">
        <v>16</v>
      </c>
      <c r="C1595" s="5">
        <v>10.53</v>
      </c>
      <c r="D1595" s="4">
        <v>10</v>
      </c>
      <c r="E1595" s="5">
        <v>13.7</v>
      </c>
      <c r="F1595" s="4">
        <v>6</v>
      </c>
      <c r="G1595" s="5">
        <v>8.57</v>
      </c>
      <c r="H1595" s="4">
        <v>0</v>
      </c>
    </row>
    <row r="1596" spans="1:8" x14ac:dyDescent="0.2">
      <c r="A1596" s="2" t="s">
        <v>199</v>
      </c>
      <c r="B1596" s="4">
        <v>5</v>
      </c>
      <c r="C1596" s="5">
        <v>3.29</v>
      </c>
      <c r="D1596" s="4">
        <v>4</v>
      </c>
      <c r="E1596" s="5">
        <v>5.48</v>
      </c>
      <c r="F1596" s="4">
        <v>0</v>
      </c>
      <c r="G1596" s="5">
        <v>0</v>
      </c>
      <c r="H1596" s="4">
        <v>0</v>
      </c>
    </row>
    <row r="1597" spans="1:8" x14ac:dyDescent="0.2">
      <c r="A1597" s="2" t="s">
        <v>200</v>
      </c>
      <c r="B1597" s="4">
        <v>16</v>
      </c>
      <c r="C1597" s="5">
        <v>10.53</v>
      </c>
      <c r="D1597" s="4">
        <v>13</v>
      </c>
      <c r="E1597" s="5">
        <v>17.809999999999999</v>
      </c>
      <c r="F1597" s="4">
        <v>3</v>
      </c>
      <c r="G1597" s="5">
        <v>4.29</v>
      </c>
      <c r="H1597" s="4">
        <v>0</v>
      </c>
    </row>
    <row r="1598" spans="1:8" x14ac:dyDescent="0.2">
      <c r="A1598" s="2" t="s">
        <v>201</v>
      </c>
      <c r="B1598" s="4">
        <v>16</v>
      </c>
      <c r="C1598" s="5">
        <v>10.53</v>
      </c>
      <c r="D1598" s="4">
        <v>9</v>
      </c>
      <c r="E1598" s="5">
        <v>12.33</v>
      </c>
      <c r="F1598" s="4">
        <v>5</v>
      </c>
      <c r="G1598" s="5">
        <v>7.14</v>
      </c>
      <c r="H1598" s="4">
        <v>0</v>
      </c>
    </row>
    <row r="1599" spans="1:8" x14ac:dyDescent="0.2">
      <c r="A1599" s="2" t="s">
        <v>202</v>
      </c>
      <c r="B1599" s="4">
        <v>6</v>
      </c>
      <c r="C1599" s="5">
        <v>3.95</v>
      </c>
      <c r="D1599" s="4">
        <v>2</v>
      </c>
      <c r="E1599" s="5">
        <v>2.74</v>
      </c>
      <c r="F1599" s="4">
        <v>3</v>
      </c>
      <c r="G1599" s="5">
        <v>4.29</v>
      </c>
      <c r="H1599" s="4">
        <v>0</v>
      </c>
    </row>
    <row r="1600" spans="1:8" x14ac:dyDescent="0.2">
      <c r="A1600" s="2" t="s">
        <v>203</v>
      </c>
      <c r="B1600" s="4">
        <v>9</v>
      </c>
      <c r="C1600" s="5">
        <v>5.92</v>
      </c>
      <c r="D1600" s="4">
        <v>3</v>
      </c>
      <c r="E1600" s="5">
        <v>4.1100000000000003</v>
      </c>
      <c r="F1600" s="4">
        <v>3</v>
      </c>
      <c r="G1600" s="5">
        <v>4.29</v>
      </c>
      <c r="H1600" s="4">
        <v>0</v>
      </c>
    </row>
    <row r="1601" spans="1:8" x14ac:dyDescent="0.2">
      <c r="A1601" s="2" t="s">
        <v>204</v>
      </c>
      <c r="B1601" s="4">
        <v>2</v>
      </c>
      <c r="C1601" s="5">
        <v>1.32</v>
      </c>
      <c r="D1601" s="4">
        <v>0</v>
      </c>
      <c r="E1601" s="5">
        <v>0</v>
      </c>
      <c r="F1601" s="4">
        <v>1</v>
      </c>
      <c r="G1601" s="5">
        <v>1.43</v>
      </c>
      <c r="H1601" s="4">
        <v>1</v>
      </c>
    </row>
    <row r="1602" spans="1:8" x14ac:dyDescent="0.2">
      <c r="A1602" s="1" t="s">
        <v>100</v>
      </c>
      <c r="B1602" s="4">
        <v>93</v>
      </c>
      <c r="C1602" s="5">
        <v>100.02000000000002</v>
      </c>
      <c r="D1602" s="4">
        <v>40</v>
      </c>
      <c r="E1602" s="5">
        <v>100</v>
      </c>
      <c r="F1602" s="4">
        <v>46</v>
      </c>
      <c r="G1602" s="5">
        <v>99.990000000000009</v>
      </c>
      <c r="H1602" s="4">
        <v>1</v>
      </c>
    </row>
    <row r="1603" spans="1:8" x14ac:dyDescent="0.2">
      <c r="A1603" s="2" t="s">
        <v>190</v>
      </c>
      <c r="B1603" s="4">
        <v>0</v>
      </c>
      <c r="C1603" s="5">
        <v>0</v>
      </c>
      <c r="D1603" s="4">
        <v>0</v>
      </c>
      <c r="E1603" s="5">
        <v>0</v>
      </c>
      <c r="F1603" s="4">
        <v>0</v>
      </c>
      <c r="G1603" s="5">
        <v>0</v>
      </c>
      <c r="H1603" s="4">
        <v>0</v>
      </c>
    </row>
    <row r="1604" spans="1:8" x14ac:dyDescent="0.2">
      <c r="A1604" s="2" t="s">
        <v>191</v>
      </c>
      <c r="B1604" s="4">
        <v>22</v>
      </c>
      <c r="C1604" s="5">
        <v>23.66</v>
      </c>
      <c r="D1604" s="4">
        <v>8</v>
      </c>
      <c r="E1604" s="5">
        <v>20</v>
      </c>
      <c r="F1604" s="4">
        <v>14</v>
      </c>
      <c r="G1604" s="5">
        <v>30.43</v>
      </c>
      <c r="H1604" s="4">
        <v>0</v>
      </c>
    </row>
    <row r="1605" spans="1:8" x14ac:dyDescent="0.2">
      <c r="A1605" s="2" t="s">
        <v>192</v>
      </c>
      <c r="B1605" s="4">
        <v>8</v>
      </c>
      <c r="C1605" s="5">
        <v>8.6</v>
      </c>
      <c r="D1605" s="4">
        <v>1</v>
      </c>
      <c r="E1605" s="5">
        <v>2.5</v>
      </c>
      <c r="F1605" s="4">
        <v>7</v>
      </c>
      <c r="G1605" s="5">
        <v>15.22</v>
      </c>
      <c r="H1605" s="4">
        <v>0</v>
      </c>
    </row>
    <row r="1606" spans="1:8" x14ac:dyDescent="0.2">
      <c r="A1606" s="2" t="s">
        <v>193</v>
      </c>
      <c r="B1606" s="4">
        <v>1</v>
      </c>
      <c r="C1606" s="5">
        <v>1.08</v>
      </c>
      <c r="D1606" s="4">
        <v>0</v>
      </c>
      <c r="E1606" s="5">
        <v>0</v>
      </c>
      <c r="F1606" s="4">
        <v>0</v>
      </c>
      <c r="G1606" s="5">
        <v>0</v>
      </c>
      <c r="H1606" s="4">
        <v>0</v>
      </c>
    </row>
    <row r="1607" spans="1:8" x14ac:dyDescent="0.2">
      <c r="A1607" s="2" t="s">
        <v>194</v>
      </c>
      <c r="B1607" s="4">
        <v>1</v>
      </c>
      <c r="C1607" s="5">
        <v>1.08</v>
      </c>
      <c r="D1607" s="4">
        <v>1</v>
      </c>
      <c r="E1607" s="5">
        <v>2.5</v>
      </c>
      <c r="F1607" s="4">
        <v>0</v>
      </c>
      <c r="G1607" s="5">
        <v>0</v>
      </c>
      <c r="H1607" s="4">
        <v>0</v>
      </c>
    </row>
    <row r="1608" spans="1:8" x14ac:dyDescent="0.2">
      <c r="A1608" s="2" t="s">
        <v>195</v>
      </c>
      <c r="B1608" s="4">
        <v>1</v>
      </c>
      <c r="C1608" s="5">
        <v>1.08</v>
      </c>
      <c r="D1608" s="4">
        <v>1</v>
      </c>
      <c r="E1608" s="5">
        <v>2.5</v>
      </c>
      <c r="F1608" s="4">
        <v>0</v>
      </c>
      <c r="G1608" s="5">
        <v>0</v>
      </c>
      <c r="H1608" s="4">
        <v>0</v>
      </c>
    </row>
    <row r="1609" spans="1:8" x14ac:dyDescent="0.2">
      <c r="A1609" s="2" t="s">
        <v>196</v>
      </c>
      <c r="B1609" s="4">
        <v>27</v>
      </c>
      <c r="C1609" s="5">
        <v>29.03</v>
      </c>
      <c r="D1609" s="4">
        <v>9</v>
      </c>
      <c r="E1609" s="5">
        <v>22.5</v>
      </c>
      <c r="F1609" s="4">
        <v>18</v>
      </c>
      <c r="G1609" s="5">
        <v>39.130000000000003</v>
      </c>
      <c r="H1609" s="4">
        <v>0</v>
      </c>
    </row>
    <row r="1610" spans="1:8" x14ac:dyDescent="0.2">
      <c r="A1610" s="2" t="s">
        <v>197</v>
      </c>
      <c r="B1610" s="4">
        <v>0</v>
      </c>
      <c r="C1610" s="5">
        <v>0</v>
      </c>
      <c r="D1610" s="4">
        <v>0</v>
      </c>
      <c r="E1610" s="5">
        <v>0</v>
      </c>
      <c r="F1610" s="4">
        <v>0</v>
      </c>
      <c r="G1610" s="5">
        <v>0</v>
      </c>
      <c r="H1610" s="4">
        <v>0</v>
      </c>
    </row>
    <row r="1611" spans="1:8" x14ac:dyDescent="0.2">
      <c r="A1611" s="2" t="s">
        <v>198</v>
      </c>
      <c r="B1611" s="4">
        <v>3</v>
      </c>
      <c r="C1611" s="5">
        <v>3.23</v>
      </c>
      <c r="D1611" s="4">
        <v>1</v>
      </c>
      <c r="E1611" s="5">
        <v>2.5</v>
      </c>
      <c r="F1611" s="4">
        <v>1</v>
      </c>
      <c r="G1611" s="5">
        <v>2.17</v>
      </c>
      <c r="H1611" s="4">
        <v>0</v>
      </c>
    </row>
    <row r="1612" spans="1:8" x14ac:dyDescent="0.2">
      <c r="A1612" s="2" t="s">
        <v>199</v>
      </c>
      <c r="B1612" s="4">
        <v>3</v>
      </c>
      <c r="C1612" s="5">
        <v>3.23</v>
      </c>
      <c r="D1612" s="4">
        <v>2</v>
      </c>
      <c r="E1612" s="5">
        <v>5</v>
      </c>
      <c r="F1612" s="4">
        <v>0</v>
      </c>
      <c r="G1612" s="5">
        <v>0</v>
      </c>
      <c r="H1612" s="4">
        <v>0</v>
      </c>
    </row>
    <row r="1613" spans="1:8" x14ac:dyDescent="0.2">
      <c r="A1613" s="2" t="s">
        <v>200</v>
      </c>
      <c r="B1613" s="4">
        <v>6</v>
      </c>
      <c r="C1613" s="5">
        <v>6.45</v>
      </c>
      <c r="D1613" s="4">
        <v>2</v>
      </c>
      <c r="E1613" s="5">
        <v>5</v>
      </c>
      <c r="F1613" s="4">
        <v>4</v>
      </c>
      <c r="G1613" s="5">
        <v>8.6999999999999993</v>
      </c>
      <c r="H1613" s="4">
        <v>0</v>
      </c>
    </row>
    <row r="1614" spans="1:8" x14ac:dyDescent="0.2">
      <c r="A1614" s="2" t="s">
        <v>201</v>
      </c>
      <c r="B1614" s="4">
        <v>11</v>
      </c>
      <c r="C1614" s="5">
        <v>11.83</v>
      </c>
      <c r="D1614" s="4">
        <v>9</v>
      </c>
      <c r="E1614" s="5">
        <v>22.5</v>
      </c>
      <c r="F1614" s="4">
        <v>0</v>
      </c>
      <c r="G1614" s="5">
        <v>0</v>
      </c>
      <c r="H1614" s="4">
        <v>0</v>
      </c>
    </row>
    <row r="1615" spans="1:8" x14ac:dyDescent="0.2">
      <c r="A1615" s="2" t="s">
        <v>202</v>
      </c>
      <c r="B1615" s="4">
        <v>2</v>
      </c>
      <c r="C1615" s="5">
        <v>2.15</v>
      </c>
      <c r="D1615" s="4">
        <v>1</v>
      </c>
      <c r="E1615" s="5">
        <v>2.5</v>
      </c>
      <c r="F1615" s="4">
        <v>0</v>
      </c>
      <c r="G1615" s="5">
        <v>0</v>
      </c>
      <c r="H1615" s="4">
        <v>0</v>
      </c>
    </row>
    <row r="1616" spans="1:8" x14ac:dyDescent="0.2">
      <c r="A1616" s="2" t="s">
        <v>203</v>
      </c>
      <c r="B1616" s="4">
        <v>6</v>
      </c>
      <c r="C1616" s="5">
        <v>6.45</v>
      </c>
      <c r="D1616" s="4">
        <v>5</v>
      </c>
      <c r="E1616" s="5">
        <v>12.5</v>
      </c>
      <c r="F1616" s="4">
        <v>1</v>
      </c>
      <c r="G1616" s="5">
        <v>2.17</v>
      </c>
      <c r="H1616" s="4">
        <v>0</v>
      </c>
    </row>
    <row r="1617" spans="1:8" x14ac:dyDescent="0.2">
      <c r="A1617" s="2" t="s">
        <v>204</v>
      </c>
      <c r="B1617" s="4">
        <v>2</v>
      </c>
      <c r="C1617" s="5">
        <v>2.15</v>
      </c>
      <c r="D1617" s="4">
        <v>0</v>
      </c>
      <c r="E1617" s="5">
        <v>0</v>
      </c>
      <c r="F1617" s="4">
        <v>1</v>
      </c>
      <c r="G1617" s="5">
        <v>2.17</v>
      </c>
      <c r="H1617" s="4">
        <v>1</v>
      </c>
    </row>
    <row r="1618" spans="1:8" x14ac:dyDescent="0.2">
      <c r="A1618" s="1" t="s">
        <v>101</v>
      </c>
      <c r="B1618" s="4">
        <v>72</v>
      </c>
      <c r="C1618" s="5">
        <v>100.01</v>
      </c>
      <c r="D1618" s="4">
        <v>35</v>
      </c>
      <c r="E1618" s="5">
        <v>99.990000000000009</v>
      </c>
      <c r="F1618" s="4">
        <v>34</v>
      </c>
      <c r="G1618" s="5">
        <v>100</v>
      </c>
      <c r="H1618" s="4">
        <v>1</v>
      </c>
    </row>
    <row r="1619" spans="1:8" x14ac:dyDescent="0.2">
      <c r="A1619" s="2" t="s">
        <v>190</v>
      </c>
      <c r="B1619" s="4">
        <v>0</v>
      </c>
      <c r="C1619" s="5">
        <v>0</v>
      </c>
      <c r="D1619" s="4">
        <v>0</v>
      </c>
      <c r="E1619" s="5">
        <v>0</v>
      </c>
      <c r="F1619" s="4">
        <v>0</v>
      </c>
      <c r="G1619" s="5">
        <v>0</v>
      </c>
      <c r="H1619" s="4">
        <v>0</v>
      </c>
    </row>
    <row r="1620" spans="1:8" x14ac:dyDescent="0.2">
      <c r="A1620" s="2" t="s">
        <v>191</v>
      </c>
      <c r="B1620" s="4">
        <v>12</v>
      </c>
      <c r="C1620" s="5">
        <v>16.670000000000002</v>
      </c>
      <c r="D1620" s="4">
        <v>3</v>
      </c>
      <c r="E1620" s="5">
        <v>8.57</v>
      </c>
      <c r="F1620" s="4">
        <v>9</v>
      </c>
      <c r="G1620" s="5">
        <v>26.47</v>
      </c>
      <c r="H1620" s="4">
        <v>0</v>
      </c>
    </row>
    <row r="1621" spans="1:8" x14ac:dyDescent="0.2">
      <c r="A1621" s="2" t="s">
        <v>192</v>
      </c>
      <c r="B1621" s="4">
        <v>8</v>
      </c>
      <c r="C1621" s="5">
        <v>11.11</v>
      </c>
      <c r="D1621" s="4">
        <v>3</v>
      </c>
      <c r="E1621" s="5">
        <v>8.57</v>
      </c>
      <c r="F1621" s="4">
        <v>5</v>
      </c>
      <c r="G1621" s="5">
        <v>14.71</v>
      </c>
      <c r="H1621" s="4">
        <v>0</v>
      </c>
    </row>
    <row r="1622" spans="1:8" x14ac:dyDescent="0.2">
      <c r="A1622" s="2" t="s">
        <v>193</v>
      </c>
      <c r="B1622" s="4">
        <v>2</v>
      </c>
      <c r="C1622" s="5">
        <v>2.78</v>
      </c>
      <c r="D1622" s="4">
        <v>0</v>
      </c>
      <c r="E1622" s="5">
        <v>0</v>
      </c>
      <c r="F1622" s="4">
        <v>1</v>
      </c>
      <c r="G1622" s="5">
        <v>2.94</v>
      </c>
      <c r="H1622" s="4">
        <v>0</v>
      </c>
    </row>
    <row r="1623" spans="1:8" x14ac:dyDescent="0.2">
      <c r="A1623" s="2" t="s">
        <v>194</v>
      </c>
      <c r="B1623" s="4">
        <v>0</v>
      </c>
      <c r="C1623" s="5">
        <v>0</v>
      </c>
      <c r="D1623" s="4">
        <v>0</v>
      </c>
      <c r="E1623" s="5">
        <v>0</v>
      </c>
      <c r="F1623" s="4">
        <v>0</v>
      </c>
      <c r="G1623" s="5">
        <v>0</v>
      </c>
      <c r="H1623" s="4">
        <v>0</v>
      </c>
    </row>
    <row r="1624" spans="1:8" x14ac:dyDescent="0.2">
      <c r="A1624" s="2" t="s">
        <v>195</v>
      </c>
      <c r="B1624" s="4">
        <v>2</v>
      </c>
      <c r="C1624" s="5">
        <v>2.78</v>
      </c>
      <c r="D1624" s="4">
        <v>0</v>
      </c>
      <c r="E1624" s="5">
        <v>0</v>
      </c>
      <c r="F1624" s="4">
        <v>2</v>
      </c>
      <c r="G1624" s="5">
        <v>5.88</v>
      </c>
      <c r="H1624" s="4">
        <v>0</v>
      </c>
    </row>
    <row r="1625" spans="1:8" x14ac:dyDescent="0.2">
      <c r="A1625" s="2" t="s">
        <v>196</v>
      </c>
      <c r="B1625" s="4">
        <v>17</v>
      </c>
      <c r="C1625" s="5">
        <v>23.61</v>
      </c>
      <c r="D1625" s="4">
        <v>9</v>
      </c>
      <c r="E1625" s="5">
        <v>25.71</v>
      </c>
      <c r="F1625" s="4">
        <v>8</v>
      </c>
      <c r="G1625" s="5">
        <v>23.53</v>
      </c>
      <c r="H1625" s="4">
        <v>0</v>
      </c>
    </row>
    <row r="1626" spans="1:8" x14ac:dyDescent="0.2">
      <c r="A1626" s="2" t="s">
        <v>197</v>
      </c>
      <c r="B1626" s="4">
        <v>0</v>
      </c>
      <c r="C1626" s="5">
        <v>0</v>
      </c>
      <c r="D1626" s="4">
        <v>0</v>
      </c>
      <c r="E1626" s="5">
        <v>0</v>
      </c>
      <c r="F1626" s="4">
        <v>0</v>
      </c>
      <c r="G1626" s="5">
        <v>0</v>
      </c>
      <c r="H1626" s="4">
        <v>0</v>
      </c>
    </row>
    <row r="1627" spans="1:8" x14ac:dyDescent="0.2">
      <c r="A1627" s="2" t="s">
        <v>198</v>
      </c>
      <c r="B1627" s="4">
        <v>0</v>
      </c>
      <c r="C1627" s="5">
        <v>0</v>
      </c>
      <c r="D1627" s="4">
        <v>0</v>
      </c>
      <c r="E1627" s="5">
        <v>0</v>
      </c>
      <c r="F1627" s="4">
        <v>0</v>
      </c>
      <c r="G1627" s="5">
        <v>0</v>
      </c>
      <c r="H1627" s="4">
        <v>0</v>
      </c>
    </row>
    <row r="1628" spans="1:8" x14ac:dyDescent="0.2">
      <c r="A1628" s="2" t="s">
        <v>199</v>
      </c>
      <c r="B1628" s="4">
        <v>3</v>
      </c>
      <c r="C1628" s="5">
        <v>4.17</v>
      </c>
      <c r="D1628" s="4">
        <v>2</v>
      </c>
      <c r="E1628" s="5">
        <v>5.71</v>
      </c>
      <c r="F1628" s="4">
        <v>1</v>
      </c>
      <c r="G1628" s="5">
        <v>2.94</v>
      </c>
      <c r="H1628" s="4">
        <v>0</v>
      </c>
    </row>
    <row r="1629" spans="1:8" x14ac:dyDescent="0.2">
      <c r="A1629" s="2" t="s">
        <v>200</v>
      </c>
      <c r="B1629" s="4">
        <v>9</v>
      </c>
      <c r="C1629" s="5">
        <v>12.5</v>
      </c>
      <c r="D1629" s="4">
        <v>8</v>
      </c>
      <c r="E1629" s="5">
        <v>22.86</v>
      </c>
      <c r="F1629" s="4">
        <v>1</v>
      </c>
      <c r="G1629" s="5">
        <v>2.94</v>
      </c>
      <c r="H1629" s="4">
        <v>0</v>
      </c>
    </row>
    <row r="1630" spans="1:8" x14ac:dyDescent="0.2">
      <c r="A1630" s="2" t="s">
        <v>201</v>
      </c>
      <c r="B1630" s="4">
        <v>9</v>
      </c>
      <c r="C1630" s="5">
        <v>12.5</v>
      </c>
      <c r="D1630" s="4">
        <v>6</v>
      </c>
      <c r="E1630" s="5">
        <v>17.14</v>
      </c>
      <c r="F1630" s="4">
        <v>2</v>
      </c>
      <c r="G1630" s="5">
        <v>5.88</v>
      </c>
      <c r="H1630" s="4">
        <v>1</v>
      </c>
    </row>
    <row r="1631" spans="1:8" x14ac:dyDescent="0.2">
      <c r="A1631" s="2" t="s">
        <v>202</v>
      </c>
      <c r="B1631" s="4">
        <v>1</v>
      </c>
      <c r="C1631" s="5">
        <v>1.39</v>
      </c>
      <c r="D1631" s="4">
        <v>1</v>
      </c>
      <c r="E1631" s="5">
        <v>2.86</v>
      </c>
      <c r="F1631" s="4">
        <v>0</v>
      </c>
      <c r="G1631" s="5">
        <v>0</v>
      </c>
      <c r="H1631" s="4">
        <v>0</v>
      </c>
    </row>
    <row r="1632" spans="1:8" x14ac:dyDescent="0.2">
      <c r="A1632" s="2" t="s">
        <v>203</v>
      </c>
      <c r="B1632" s="4">
        <v>4</v>
      </c>
      <c r="C1632" s="5">
        <v>5.56</v>
      </c>
      <c r="D1632" s="4">
        <v>3</v>
      </c>
      <c r="E1632" s="5">
        <v>8.57</v>
      </c>
      <c r="F1632" s="4">
        <v>0</v>
      </c>
      <c r="G1632" s="5">
        <v>0</v>
      </c>
      <c r="H1632" s="4">
        <v>0</v>
      </c>
    </row>
    <row r="1633" spans="1:8" x14ac:dyDescent="0.2">
      <c r="A1633" s="2" t="s">
        <v>204</v>
      </c>
      <c r="B1633" s="4">
        <v>5</v>
      </c>
      <c r="C1633" s="5">
        <v>6.94</v>
      </c>
      <c r="D1633" s="4">
        <v>0</v>
      </c>
      <c r="E1633" s="5">
        <v>0</v>
      </c>
      <c r="F1633" s="4">
        <v>5</v>
      </c>
      <c r="G1633" s="5">
        <v>14.71</v>
      </c>
      <c r="H1633" s="4">
        <v>0</v>
      </c>
    </row>
    <row r="1634" spans="1:8" x14ac:dyDescent="0.2">
      <c r="A1634" s="1" t="s">
        <v>102</v>
      </c>
      <c r="B1634" s="4">
        <v>128</v>
      </c>
      <c r="C1634" s="5">
        <v>100.02</v>
      </c>
      <c r="D1634" s="4">
        <v>73</v>
      </c>
      <c r="E1634" s="5">
        <v>100.00999999999998</v>
      </c>
      <c r="F1634" s="4">
        <v>49</v>
      </c>
      <c r="G1634" s="5">
        <v>99.97999999999999</v>
      </c>
      <c r="H1634" s="4">
        <v>2</v>
      </c>
    </row>
    <row r="1635" spans="1:8" x14ac:dyDescent="0.2">
      <c r="A1635" s="2" t="s">
        <v>190</v>
      </c>
      <c r="B1635" s="4">
        <v>0</v>
      </c>
      <c r="C1635" s="5">
        <v>0</v>
      </c>
      <c r="D1635" s="4">
        <v>0</v>
      </c>
      <c r="E1635" s="5">
        <v>0</v>
      </c>
      <c r="F1635" s="4">
        <v>0</v>
      </c>
      <c r="G1635" s="5">
        <v>0</v>
      </c>
      <c r="H1635" s="4">
        <v>0</v>
      </c>
    </row>
    <row r="1636" spans="1:8" x14ac:dyDescent="0.2">
      <c r="A1636" s="2" t="s">
        <v>191</v>
      </c>
      <c r="B1636" s="4">
        <v>10</v>
      </c>
      <c r="C1636" s="5">
        <v>7.81</v>
      </c>
      <c r="D1636" s="4">
        <v>4</v>
      </c>
      <c r="E1636" s="5">
        <v>5.48</v>
      </c>
      <c r="F1636" s="4">
        <v>6</v>
      </c>
      <c r="G1636" s="5">
        <v>12.24</v>
      </c>
      <c r="H1636" s="4">
        <v>0</v>
      </c>
    </row>
    <row r="1637" spans="1:8" x14ac:dyDescent="0.2">
      <c r="A1637" s="2" t="s">
        <v>192</v>
      </c>
      <c r="B1637" s="4">
        <v>14</v>
      </c>
      <c r="C1637" s="5">
        <v>10.94</v>
      </c>
      <c r="D1637" s="4">
        <v>3</v>
      </c>
      <c r="E1637" s="5">
        <v>4.1100000000000003</v>
      </c>
      <c r="F1637" s="4">
        <v>11</v>
      </c>
      <c r="G1637" s="5">
        <v>22.45</v>
      </c>
      <c r="H1637" s="4">
        <v>0</v>
      </c>
    </row>
    <row r="1638" spans="1:8" x14ac:dyDescent="0.2">
      <c r="A1638" s="2" t="s">
        <v>193</v>
      </c>
      <c r="B1638" s="4">
        <v>0</v>
      </c>
      <c r="C1638" s="5">
        <v>0</v>
      </c>
      <c r="D1638" s="4">
        <v>0</v>
      </c>
      <c r="E1638" s="5">
        <v>0</v>
      </c>
      <c r="F1638" s="4">
        <v>0</v>
      </c>
      <c r="G1638" s="5">
        <v>0</v>
      </c>
      <c r="H1638" s="4">
        <v>0</v>
      </c>
    </row>
    <row r="1639" spans="1:8" x14ac:dyDescent="0.2">
      <c r="A1639" s="2" t="s">
        <v>194</v>
      </c>
      <c r="B1639" s="4">
        <v>0</v>
      </c>
      <c r="C1639" s="5">
        <v>0</v>
      </c>
      <c r="D1639" s="4">
        <v>0</v>
      </c>
      <c r="E1639" s="5">
        <v>0</v>
      </c>
      <c r="F1639" s="4">
        <v>0</v>
      </c>
      <c r="G1639" s="5">
        <v>0</v>
      </c>
      <c r="H1639" s="4">
        <v>0</v>
      </c>
    </row>
    <row r="1640" spans="1:8" x14ac:dyDescent="0.2">
      <c r="A1640" s="2" t="s">
        <v>195</v>
      </c>
      <c r="B1640" s="4">
        <v>2</v>
      </c>
      <c r="C1640" s="5">
        <v>1.56</v>
      </c>
      <c r="D1640" s="4">
        <v>0</v>
      </c>
      <c r="E1640" s="5">
        <v>0</v>
      </c>
      <c r="F1640" s="4">
        <v>2</v>
      </c>
      <c r="G1640" s="5">
        <v>4.08</v>
      </c>
      <c r="H1640" s="4">
        <v>0</v>
      </c>
    </row>
    <row r="1641" spans="1:8" x14ac:dyDescent="0.2">
      <c r="A1641" s="2" t="s">
        <v>196</v>
      </c>
      <c r="B1641" s="4">
        <v>32</v>
      </c>
      <c r="C1641" s="5">
        <v>25</v>
      </c>
      <c r="D1641" s="4">
        <v>20</v>
      </c>
      <c r="E1641" s="5">
        <v>27.4</v>
      </c>
      <c r="F1641" s="4">
        <v>11</v>
      </c>
      <c r="G1641" s="5">
        <v>22.45</v>
      </c>
      <c r="H1641" s="4">
        <v>1</v>
      </c>
    </row>
    <row r="1642" spans="1:8" x14ac:dyDescent="0.2">
      <c r="A1642" s="2" t="s">
        <v>197</v>
      </c>
      <c r="B1642" s="4">
        <v>0</v>
      </c>
      <c r="C1642" s="5">
        <v>0</v>
      </c>
      <c r="D1642" s="4">
        <v>0</v>
      </c>
      <c r="E1642" s="5">
        <v>0</v>
      </c>
      <c r="F1642" s="4">
        <v>0</v>
      </c>
      <c r="G1642" s="5">
        <v>0</v>
      </c>
      <c r="H1642" s="4">
        <v>0</v>
      </c>
    </row>
    <row r="1643" spans="1:8" x14ac:dyDescent="0.2">
      <c r="A1643" s="2" t="s">
        <v>198</v>
      </c>
      <c r="B1643" s="4">
        <v>4</v>
      </c>
      <c r="C1643" s="5">
        <v>3.13</v>
      </c>
      <c r="D1643" s="4">
        <v>3</v>
      </c>
      <c r="E1643" s="5">
        <v>4.1100000000000003</v>
      </c>
      <c r="F1643" s="4">
        <v>1</v>
      </c>
      <c r="G1643" s="5">
        <v>2.04</v>
      </c>
      <c r="H1643" s="4">
        <v>0</v>
      </c>
    </row>
    <row r="1644" spans="1:8" x14ac:dyDescent="0.2">
      <c r="A1644" s="2" t="s">
        <v>199</v>
      </c>
      <c r="B1644" s="4">
        <v>4</v>
      </c>
      <c r="C1644" s="5">
        <v>3.13</v>
      </c>
      <c r="D1644" s="4">
        <v>2</v>
      </c>
      <c r="E1644" s="5">
        <v>2.74</v>
      </c>
      <c r="F1644" s="4">
        <v>1</v>
      </c>
      <c r="G1644" s="5">
        <v>2.04</v>
      </c>
      <c r="H1644" s="4">
        <v>1</v>
      </c>
    </row>
    <row r="1645" spans="1:8" x14ac:dyDescent="0.2">
      <c r="A1645" s="2" t="s">
        <v>200</v>
      </c>
      <c r="B1645" s="4">
        <v>28</v>
      </c>
      <c r="C1645" s="5">
        <v>21.88</v>
      </c>
      <c r="D1645" s="4">
        <v>22</v>
      </c>
      <c r="E1645" s="5">
        <v>30.14</v>
      </c>
      <c r="F1645" s="4">
        <v>6</v>
      </c>
      <c r="G1645" s="5">
        <v>12.24</v>
      </c>
      <c r="H1645" s="4">
        <v>0</v>
      </c>
    </row>
    <row r="1646" spans="1:8" x14ac:dyDescent="0.2">
      <c r="A1646" s="2" t="s">
        <v>201</v>
      </c>
      <c r="B1646" s="4">
        <v>14</v>
      </c>
      <c r="C1646" s="5">
        <v>10.94</v>
      </c>
      <c r="D1646" s="4">
        <v>11</v>
      </c>
      <c r="E1646" s="5">
        <v>15.07</v>
      </c>
      <c r="F1646" s="4">
        <v>2</v>
      </c>
      <c r="G1646" s="5">
        <v>4.08</v>
      </c>
      <c r="H1646" s="4">
        <v>0</v>
      </c>
    </row>
    <row r="1647" spans="1:8" x14ac:dyDescent="0.2">
      <c r="A1647" s="2" t="s">
        <v>202</v>
      </c>
      <c r="B1647" s="4">
        <v>4</v>
      </c>
      <c r="C1647" s="5">
        <v>3.13</v>
      </c>
      <c r="D1647" s="4">
        <v>2</v>
      </c>
      <c r="E1647" s="5">
        <v>2.74</v>
      </c>
      <c r="F1647" s="4">
        <v>0</v>
      </c>
      <c r="G1647" s="5">
        <v>0</v>
      </c>
      <c r="H1647" s="4">
        <v>0</v>
      </c>
    </row>
    <row r="1648" spans="1:8" x14ac:dyDescent="0.2">
      <c r="A1648" s="2" t="s">
        <v>203</v>
      </c>
      <c r="B1648" s="4">
        <v>9</v>
      </c>
      <c r="C1648" s="5">
        <v>7.03</v>
      </c>
      <c r="D1648" s="4">
        <v>4</v>
      </c>
      <c r="E1648" s="5">
        <v>5.48</v>
      </c>
      <c r="F1648" s="4">
        <v>4</v>
      </c>
      <c r="G1648" s="5">
        <v>8.16</v>
      </c>
      <c r="H1648" s="4">
        <v>0</v>
      </c>
    </row>
    <row r="1649" spans="1:8" x14ac:dyDescent="0.2">
      <c r="A1649" s="2" t="s">
        <v>204</v>
      </c>
      <c r="B1649" s="4">
        <v>7</v>
      </c>
      <c r="C1649" s="5">
        <v>5.47</v>
      </c>
      <c r="D1649" s="4">
        <v>2</v>
      </c>
      <c r="E1649" s="5">
        <v>2.74</v>
      </c>
      <c r="F1649" s="4">
        <v>5</v>
      </c>
      <c r="G1649" s="5">
        <v>10.199999999999999</v>
      </c>
      <c r="H1649" s="4">
        <v>0</v>
      </c>
    </row>
    <row r="1650" spans="1:8" x14ac:dyDescent="0.2">
      <c r="A1650" s="1" t="s">
        <v>103</v>
      </c>
      <c r="B1650" s="4">
        <v>155</v>
      </c>
      <c r="C1650" s="5">
        <v>100.02000000000001</v>
      </c>
      <c r="D1650" s="4">
        <v>82</v>
      </c>
      <c r="E1650" s="5">
        <v>99.999999999999986</v>
      </c>
      <c r="F1650" s="4">
        <v>68</v>
      </c>
      <c r="G1650" s="5">
        <v>99.989999999999981</v>
      </c>
      <c r="H1650" s="4">
        <v>1</v>
      </c>
    </row>
    <row r="1651" spans="1:8" x14ac:dyDescent="0.2">
      <c r="A1651" s="2" t="s">
        <v>190</v>
      </c>
      <c r="B1651" s="4">
        <v>0</v>
      </c>
      <c r="C1651" s="5">
        <v>0</v>
      </c>
      <c r="D1651" s="4">
        <v>0</v>
      </c>
      <c r="E1651" s="5">
        <v>0</v>
      </c>
      <c r="F1651" s="4">
        <v>0</v>
      </c>
      <c r="G1651" s="5">
        <v>0</v>
      </c>
      <c r="H1651" s="4">
        <v>0</v>
      </c>
    </row>
    <row r="1652" spans="1:8" x14ac:dyDescent="0.2">
      <c r="A1652" s="2" t="s">
        <v>191</v>
      </c>
      <c r="B1652" s="4">
        <v>15</v>
      </c>
      <c r="C1652" s="5">
        <v>9.68</v>
      </c>
      <c r="D1652" s="4">
        <v>1</v>
      </c>
      <c r="E1652" s="5">
        <v>1.22</v>
      </c>
      <c r="F1652" s="4">
        <v>14</v>
      </c>
      <c r="G1652" s="5">
        <v>20.59</v>
      </c>
      <c r="H1652" s="4">
        <v>0</v>
      </c>
    </row>
    <row r="1653" spans="1:8" x14ac:dyDescent="0.2">
      <c r="A1653" s="2" t="s">
        <v>192</v>
      </c>
      <c r="B1653" s="4">
        <v>36</v>
      </c>
      <c r="C1653" s="5">
        <v>23.23</v>
      </c>
      <c r="D1653" s="4">
        <v>19</v>
      </c>
      <c r="E1653" s="5">
        <v>23.17</v>
      </c>
      <c r="F1653" s="4">
        <v>17</v>
      </c>
      <c r="G1653" s="5">
        <v>25</v>
      </c>
      <c r="H1653" s="4">
        <v>0</v>
      </c>
    </row>
    <row r="1654" spans="1:8" x14ac:dyDescent="0.2">
      <c r="A1654" s="2" t="s">
        <v>193</v>
      </c>
      <c r="B1654" s="4">
        <v>0</v>
      </c>
      <c r="C1654" s="5">
        <v>0</v>
      </c>
      <c r="D1654" s="4">
        <v>0</v>
      </c>
      <c r="E1654" s="5">
        <v>0</v>
      </c>
      <c r="F1654" s="4">
        <v>0</v>
      </c>
      <c r="G1654" s="5">
        <v>0</v>
      </c>
      <c r="H1654" s="4">
        <v>0</v>
      </c>
    </row>
    <row r="1655" spans="1:8" x14ac:dyDescent="0.2">
      <c r="A1655" s="2" t="s">
        <v>194</v>
      </c>
      <c r="B1655" s="4">
        <v>2</v>
      </c>
      <c r="C1655" s="5">
        <v>1.29</v>
      </c>
      <c r="D1655" s="4">
        <v>0</v>
      </c>
      <c r="E1655" s="5">
        <v>0</v>
      </c>
      <c r="F1655" s="4">
        <v>2</v>
      </c>
      <c r="G1655" s="5">
        <v>2.94</v>
      </c>
      <c r="H1655" s="4">
        <v>0</v>
      </c>
    </row>
    <row r="1656" spans="1:8" x14ac:dyDescent="0.2">
      <c r="A1656" s="2" t="s">
        <v>195</v>
      </c>
      <c r="B1656" s="4">
        <v>0</v>
      </c>
      <c r="C1656" s="5">
        <v>0</v>
      </c>
      <c r="D1656" s="4">
        <v>0</v>
      </c>
      <c r="E1656" s="5">
        <v>0</v>
      </c>
      <c r="F1656" s="4">
        <v>0</v>
      </c>
      <c r="G1656" s="5">
        <v>0</v>
      </c>
      <c r="H1656" s="4">
        <v>0</v>
      </c>
    </row>
    <row r="1657" spans="1:8" x14ac:dyDescent="0.2">
      <c r="A1657" s="2" t="s">
        <v>196</v>
      </c>
      <c r="B1657" s="4">
        <v>44</v>
      </c>
      <c r="C1657" s="5">
        <v>28.39</v>
      </c>
      <c r="D1657" s="4">
        <v>25</v>
      </c>
      <c r="E1657" s="5">
        <v>30.49</v>
      </c>
      <c r="F1657" s="4">
        <v>19</v>
      </c>
      <c r="G1657" s="5">
        <v>27.94</v>
      </c>
      <c r="H1657" s="4">
        <v>0</v>
      </c>
    </row>
    <row r="1658" spans="1:8" x14ac:dyDescent="0.2">
      <c r="A1658" s="2" t="s">
        <v>197</v>
      </c>
      <c r="B1658" s="4">
        <v>0</v>
      </c>
      <c r="C1658" s="5">
        <v>0</v>
      </c>
      <c r="D1658" s="4">
        <v>0</v>
      </c>
      <c r="E1658" s="5">
        <v>0</v>
      </c>
      <c r="F1658" s="4">
        <v>0</v>
      </c>
      <c r="G1658" s="5">
        <v>0</v>
      </c>
      <c r="H1658" s="4">
        <v>0</v>
      </c>
    </row>
    <row r="1659" spans="1:8" x14ac:dyDescent="0.2">
      <c r="A1659" s="2" t="s">
        <v>198</v>
      </c>
      <c r="B1659" s="4">
        <v>3</v>
      </c>
      <c r="C1659" s="5">
        <v>1.94</v>
      </c>
      <c r="D1659" s="4">
        <v>1</v>
      </c>
      <c r="E1659" s="5">
        <v>1.22</v>
      </c>
      <c r="F1659" s="4">
        <v>2</v>
      </c>
      <c r="G1659" s="5">
        <v>2.94</v>
      </c>
      <c r="H1659" s="4">
        <v>0</v>
      </c>
    </row>
    <row r="1660" spans="1:8" x14ac:dyDescent="0.2">
      <c r="A1660" s="2" t="s">
        <v>199</v>
      </c>
      <c r="B1660" s="4">
        <v>6</v>
      </c>
      <c r="C1660" s="5">
        <v>3.87</v>
      </c>
      <c r="D1660" s="4">
        <v>4</v>
      </c>
      <c r="E1660" s="5">
        <v>4.88</v>
      </c>
      <c r="F1660" s="4">
        <v>2</v>
      </c>
      <c r="G1660" s="5">
        <v>2.94</v>
      </c>
      <c r="H1660" s="4">
        <v>0</v>
      </c>
    </row>
    <row r="1661" spans="1:8" x14ac:dyDescent="0.2">
      <c r="A1661" s="2" t="s">
        <v>200</v>
      </c>
      <c r="B1661" s="4">
        <v>20</v>
      </c>
      <c r="C1661" s="5">
        <v>12.9</v>
      </c>
      <c r="D1661" s="4">
        <v>13</v>
      </c>
      <c r="E1661" s="5">
        <v>15.85</v>
      </c>
      <c r="F1661" s="4">
        <v>7</v>
      </c>
      <c r="G1661" s="5">
        <v>10.29</v>
      </c>
      <c r="H1661" s="4">
        <v>0</v>
      </c>
    </row>
    <row r="1662" spans="1:8" x14ac:dyDescent="0.2">
      <c r="A1662" s="2" t="s">
        <v>201</v>
      </c>
      <c r="B1662" s="4">
        <v>13</v>
      </c>
      <c r="C1662" s="5">
        <v>8.39</v>
      </c>
      <c r="D1662" s="4">
        <v>11</v>
      </c>
      <c r="E1662" s="5">
        <v>13.41</v>
      </c>
      <c r="F1662" s="4">
        <v>0</v>
      </c>
      <c r="G1662" s="5">
        <v>0</v>
      </c>
      <c r="H1662" s="4">
        <v>0</v>
      </c>
    </row>
    <row r="1663" spans="1:8" x14ac:dyDescent="0.2">
      <c r="A1663" s="2" t="s">
        <v>202</v>
      </c>
      <c r="B1663" s="4">
        <v>3</v>
      </c>
      <c r="C1663" s="5">
        <v>1.94</v>
      </c>
      <c r="D1663" s="4">
        <v>3</v>
      </c>
      <c r="E1663" s="5">
        <v>3.66</v>
      </c>
      <c r="F1663" s="4">
        <v>0</v>
      </c>
      <c r="G1663" s="5">
        <v>0</v>
      </c>
      <c r="H1663" s="4">
        <v>0</v>
      </c>
    </row>
    <row r="1664" spans="1:8" x14ac:dyDescent="0.2">
      <c r="A1664" s="2" t="s">
        <v>203</v>
      </c>
      <c r="B1664" s="4">
        <v>6</v>
      </c>
      <c r="C1664" s="5">
        <v>3.87</v>
      </c>
      <c r="D1664" s="4">
        <v>3</v>
      </c>
      <c r="E1664" s="5">
        <v>3.66</v>
      </c>
      <c r="F1664" s="4">
        <v>3</v>
      </c>
      <c r="G1664" s="5">
        <v>4.41</v>
      </c>
      <c r="H1664" s="4">
        <v>0</v>
      </c>
    </row>
    <row r="1665" spans="1:8" x14ac:dyDescent="0.2">
      <c r="A1665" s="2" t="s">
        <v>204</v>
      </c>
      <c r="B1665" s="4">
        <v>7</v>
      </c>
      <c r="C1665" s="5">
        <v>4.5199999999999996</v>
      </c>
      <c r="D1665" s="4">
        <v>2</v>
      </c>
      <c r="E1665" s="5">
        <v>2.44</v>
      </c>
      <c r="F1665" s="4">
        <v>2</v>
      </c>
      <c r="G1665" s="5">
        <v>2.94</v>
      </c>
      <c r="H1665" s="4">
        <v>1</v>
      </c>
    </row>
    <row r="1666" spans="1:8" x14ac:dyDescent="0.2">
      <c r="A1666" s="1" t="s">
        <v>104</v>
      </c>
      <c r="B1666" s="4">
        <v>252</v>
      </c>
      <c r="C1666" s="5">
        <v>100</v>
      </c>
      <c r="D1666" s="4">
        <v>161</v>
      </c>
      <c r="E1666" s="5">
        <v>100.01</v>
      </c>
      <c r="F1666" s="4">
        <v>84</v>
      </c>
      <c r="G1666" s="5">
        <v>99.999999999999986</v>
      </c>
      <c r="H1666" s="4">
        <v>2</v>
      </c>
    </row>
    <row r="1667" spans="1:8" x14ac:dyDescent="0.2">
      <c r="A1667" s="2" t="s">
        <v>190</v>
      </c>
      <c r="B1667" s="4">
        <v>0</v>
      </c>
      <c r="C1667" s="5">
        <v>0</v>
      </c>
      <c r="D1667" s="4">
        <v>0</v>
      </c>
      <c r="E1667" s="5">
        <v>0</v>
      </c>
      <c r="F1667" s="4">
        <v>0</v>
      </c>
      <c r="G1667" s="5">
        <v>0</v>
      </c>
      <c r="H1667" s="4">
        <v>0</v>
      </c>
    </row>
    <row r="1668" spans="1:8" x14ac:dyDescent="0.2">
      <c r="A1668" s="2" t="s">
        <v>191</v>
      </c>
      <c r="B1668" s="4">
        <v>21</v>
      </c>
      <c r="C1668" s="5">
        <v>8.33</v>
      </c>
      <c r="D1668" s="4">
        <v>5</v>
      </c>
      <c r="E1668" s="5">
        <v>3.11</v>
      </c>
      <c r="F1668" s="4">
        <v>16</v>
      </c>
      <c r="G1668" s="5">
        <v>19.05</v>
      </c>
      <c r="H1668" s="4">
        <v>0</v>
      </c>
    </row>
    <row r="1669" spans="1:8" x14ac:dyDescent="0.2">
      <c r="A1669" s="2" t="s">
        <v>192</v>
      </c>
      <c r="B1669" s="4">
        <v>17</v>
      </c>
      <c r="C1669" s="5">
        <v>6.75</v>
      </c>
      <c r="D1669" s="4">
        <v>3</v>
      </c>
      <c r="E1669" s="5">
        <v>1.86</v>
      </c>
      <c r="F1669" s="4">
        <v>14</v>
      </c>
      <c r="G1669" s="5">
        <v>16.670000000000002</v>
      </c>
      <c r="H1669" s="4">
        <v>0</v>
      </c>
    </row>
    <row r="1670" spans="1:8" x14ac:dyDescent="0.2">
      <c r="A1670" s="2" t="s">
        <v>193</v>
      </c>
      <c r="B1670" s="4">
        <v>0</v>
      </c>
      <c r="C1670" s="5">
        <v>0</v>
      </c>
      <c r="D1670" s="4">
        <v>0</v>
      </c>
      <c r="E1670" s="5">
        <v>0</v>
      </c>
      <c r="F1670" s="4">
        <v>0</v>
      </c>
      <c r="G1670" s="5">
        <v>0</v>
      </c>
      <c r="H1670" s="4">
        <v>0</v>
      </c>
    </row>
    <row r="1671" spans="1:8" x14ac:dyDescent="0.2">
      <c r="A1671" s="2" t="s">
        <v>194</v>
      </c>
      <c r="B1671" s="4">
        <v>0</v>
      </c>
      <c r="C1671" s="5">
        <v>0</v>
      </c>
      <c r="D1671" s="4">
        <v>0</v>
      </c>
      <c r="E1671" s="5">
        <v>0</v>
      </c>
      <c r="F1671" s="4">
        <v>0</v>
      </c>
      <c r="G1671" s="5">
        <v>0</v>
      </c>
      <c r="H1671" s="4">
        <v>0</v>
      </c>
    </row>
    <row r="1672" spans="1:8" x14ac:dyDescent="0.2">
      <c r="A1672" s="2" t="s">
        <v>195</v>
      </c>
      <c r="B1672" s="4">
        <v>4</v>
      </c>
      <c r="C1672" s="5">
        <v>1.59</v>
      </c>
      <c r="D1672" s="4">
        <v>1</v>
      </c>
      <c r="E1672" s="5">
        <v>0.62</v>
      </c>
      <c r="F1672" s="4">
        <v>2</v>
      </c>
      <c r="G1672" s="5">
        <v>2.38</v>
      </c>
      <c r="H1672" s="4">
        <v>1</v>
      </c>
    </row>
    <row r="1673" spans="1:8" x14ac:dyDescent="0.2">
      <c r="A1673" s="2" t="s">
        <v>196</v>
      </c>
      <c r="B1673" s="4">
        <v>63</v>
      </c>
      <c r="C1673" s="5">
        <v>25</v>
      </c>
      <c r="D1673" s="4">
        <v>38</v>
      </c>
      <c r="E1673" s="5">
        <v>23.6</v>
      </c>
      <c r="F1673" s="4">
        <v>25</v>
      </c>
      <c r="G1673" s="5">
        <v>29.76</v>
      </c>
      <c r="H1673" s="4">
        <v>0</v>
      </c>
    </row>
    <row r="1674" spans="1:8" x14ac:dyDescent="0.2">
      <c r="A1674" s="2" t="s">
        <v>197</v>
      </c>
      <c r="B1674" s="4">
        <v>0</v>
      </c>
      <c r="C1674" s="5">
        <v>0</v>
      </c>
      <c r="D1674" s="4">
        <v>0</v>
      </c>
      <c r="E1674" s="5">
        <v>0</v>
      </c>
      <c r="F1674" s="4">
        <v>0</v>
      </c>
      <c r="G1674" s="5">
        <v>0</v>
      </c>
      <c r="H1674" s="4">
        <v>0</v>
      </c>
    </row>
    <row r="1675" spans="1:8" x14ac:dyDescent="0.2">
      <c r="A1675" s="2" t="s">
        <v>198</v>
      </c>
      <c r="B1675" s="4">
        <v>10</v>
      </c>
      <c r="C1675" s="5">
        <v>3.97</v>
      </c>
      <c r="D1675" s="4">
        <v>6</v>
      </c>
      <c r="E1675" s="5">
        <v>3.73</v>
      </c>
      <c r="F1675" s="4">
        <v>4</v>
      </c>
      <c r="G1675" s="5">
        <v>4.76</v>
      </c>
      <c r="H1675" s="4">
        <v>0</v>
      </c>
    </row>
    <row r="1676" spans="1:8" x14ac:dyDescent="0.2">
      <c r="A1676" s="2" t="s">
        <v>199</v>
      </c>
      <c r="B1676" s="4">
        <v>8</v>
      </c>
      <c r="C1676" s="5">
        <v>3.17</v>
      </c>
      <c r="D1676" s="4">
        <v>6</v>
      </c>
      <c r="E1676" s="5">
        <v>3.73</v>
      </c>
      <c r="F1676" s="4">
        <v>2</v>
      </c>
      <c r="G1676" s="5">
        <v>2.38</v>
      </c>
      <c r="H1676" s="4">
        <v>0</v>
      </c>
    </row>
    <row r="1677" spans="1:8" x14ac:dyDescent="0.2">
      <c r="A1677" s="2" t="s">
        <v>200</v>
      </c>
      <c r="B1677" s="4">
        <v>74</v>
      </c>
      <c r="C1677" s="5">
        <v>29.37</v>
      </c>
      <c r="D1677" s="4">
        <v>63</v>
      </c>
      <c r="E1677" s="5">
        <v>39.130000000000003</v>
      </c>
      <c r="F1677" s="4">
        <v>11</v>
      </c>
      <c r="G1677" s="5">
        <v>13.1</v>
      </c>
      <c r="H1677" s="4">
        <v>0</v>
      </c>
    </row>
    <row r="1678" spans="1:8" x14ac:dyDescent="0.2">
      <c r="A1678" s="2" t="s">
        <v>201</v>
      </c>
      <c r="B1678" s="4">
        <v>30</v>
      </c>
      <c r="C1678" s="5">
        <v>11.9</v>
      </c>
      <c r="D1678" s="4">
        <v>26</v>
      </c>
      <c r="E1678" s="5">
        <v>16.149999999999999</v>
      </c>
      <c r="F1678" s="4">
        <v>3</v>
      </c>
      <c r="G1678" s="5">
        <v>3.57</v>
      </c>
      <c r="H1678" s="4">
        <v>0</v>
      </c>
    </row>
    <row r="1679" spans="1:8" x14ac:dyDescent="0.2">
      <c r="A1679" s="2" t="s">
        <v>202</v>
      </c>
      <c r="B1679" s="4">
        <v>9</v>
      </c>
      <c r="C1679" s="5">
        <v>3.57</v>
      </c>
      <c r="D1679" s="4">
        <v>6</v>
      </c>
      <c r="E1679" s="5">
        <v>3.73</v>
      </c>
      <c r="F1679" s="4">
        <v>0</v>
      </c>
      <c r="G1679" s="5">
        <v>0</v>
      </c>
      <c r="H1679" s="4">
        <v>0</v>
      </c>
    </row>
    <row r="1680" spans="1:8" x14ac:dyDescent="0.2">
      <c r="A1680" s="2" t="s">
        <v>203</v>
      </c>
      <c r="B1680" s="4">
        <v>9</v>
      </c>
      <c r="C1680" s="5">
        <v>3.57</v>
      </c>
      <c r="D1680" s="4">
        <v>5</v>
      </c>
      <c r="E1680" s="5">
        <v>3.11</v>
      </c>
      <c r="F1680" s="4">
        <v>4</v>
      </c>
      <c r="G1680" s="5">
        <v>4.76</v>
      </c>
      <c r="H1680" s="4">
        <v>0</v>
      </c>
    </row>
    <row r="1681" spans="1:8" x14ac:dyDescent="0.2">
      <c r="A1681" s="2" t="s">
        <v>204</v>
      </c>
      <c r="B1681" s="4">
        <v>7</v>
      </c>
      <c r="C1681" s="5">
        <v>2.78</v>
      </c>
      <c r="D1681" s="4">
        <v>2</v>
      </c>
      <c r="E1681" s="5">
        <v>1.24</v>
      </c>
      <c r="F1681" s="4">
        <v>3</v>
      </c>
      <c r="G1681" s="5">
        <v>3.57</v>
      </c>
      <c r="H1681" s="4">
        <v>1</v>
      </c>
    </row>
    <row r="1682" spans="1:8" x14ac:dyDescent="0.2">
      <c r="A1682" s="1" t="s">
        <v>105</v>
      </c>
      <c r="B1682" s="4">
        <v>281</v>
      </c>
      <c r="C1682" s="5">
        <v>100.01</v>
      </c>
      <c r="D1682" s="4">
        <v>195</v>
      </c>
      <c r="E1682" s="5">
        <v>100.01</v>
      </c>
      <c r="F1682" s="4">
        <v>81</v>
      </c>
      <c r="G1682" s="5">
        <v>99.97</v>
      </c>
      <c r="H1682" s="4">
        <v>0</v>
      </c>
    </row>
    <row r="1683" spans="1:8" x14ac:dyDescent="0.2">
      <c r="A1683" s="2" t="s">
        <v>190</v>
      </c>
      <c r="B1683" s="4">
        <v>0</v>
      </c>
      <c r="C1683" s="5">
        <v>0</v>
      </c>
      <c r="D1683" s="4">
        <v>0</v>
      </c>
      <c r="E1683" s="5">
        <v>0</v>
      </c>
      <c r="F1683" s="4">
        <v>0</v>
      </c>
      <c r="G1683" s="5">
        <v>0</v>
      </c>
      <c r="H1683" s="4">
        <v>0</v>
      </c>
    </row>
    <row r="1684" spans="1:8" x14ac:dyDescent="0.2">
      <c r="A1684" s="2" t="s">
        <v>191</v>
      </c>
      <c r="B1684" s="4">
        <v>16</v>
      </c>
      <c r="C1684" s="5">
        <v>5.69</v>
      </c>
      <c r="D1684" s="4">
        <v>4</v>
      </c>
      <c r="E1684" s="5">
        <v>2.0499999999999998</v>
      </c>
      <c r="F1684" s="4">
        <v>12</v>
      </c>
      <c r="G1684" s="5">
        <v>14.81</v>
      </c>
      <c r="H1684" s="4">
        <v>0</v>
      </c>
    </row>
    <row r="1685" spans="1:8" x14ac:dyDescent="0.2">
      <c r="A1685" s="2" t="s">
        <v>192</v>
      </c>
      <c r="B1685" s="4">
        <v>8</v>
      </c>
      <c r="C1685" s="5">
        <v>2.85</v>
      </c>
      <c r="D1685" s="4">
        <v>3</v>
      </c>
      <c r="E1685" s="5">
        <v>1.54</v>
      </c>
      <c r="F1685" s="4">
        <v>5</v>
      </c>
      <c r="G1685" s="5">
        <v>6.17</v>
      </c>
      <c r="H1685" s="4">
        <v>0</v>
      </c>
    </row>
    <row r="1686" spans="1:8" x14ac:dyDescent="0.2">
      <c r="A1686" s="2" t="s">
        <v>193</v>
      </c>
      <c r="B1686" s="4">
        <v>2</v>
      </c>
      <c r="C1686" s="5">
        <v>0.71</v>
      </c>
      <c r="D1686" s="4">
        <v>0</v>
      </c>
      <c r="E1686" s="5">
        <v>0</v>
      </c>
      <c r="F1686" s="4">
        <v>1</v>
      </c>
      <c r="G1686" s="5">
        <v>1.23</v>
      </c>
      <c r="H1686" s="4">
        <v>0</v>
      </c>
    </row>
    <row r="1687" spans="1:8" x14ac:dyDescent="0.2">
      <c r="A1687" s="2" t="s">
        <v>194</v>
      </c>
      <c r="B1687" s="4">
        <v>1</v>
      </c>
      <c r="C1687" s="5">
        <v>0.36</v>
      </c>
      <c r="D1687" s="4">
        <v>0</v>
      </c>
      <c r="E1687" s="5">
        <v>0</v>
      </c>
      <c r="F1687" s="4">
        <v>1</v>
      </c>
      <c r="G1687" s="5">
        <v>1.23</v>
      </c>
      <c r="H1687" s="4">
        <v>0</v>
      </c>
    </row>
    <row r="1688" spans="1:8" x14ac:dyDescent="0.2">
      <c r="A1688" s="2" t="s">
        <v>195</v>
      </c>
      <c r="B1688" s="4">
        <v>5</v>
      </c>
      <c r="C1688" s="5">
        <v>1.78</v>
      </c>
      <c r="D1688" s="4">
        <v>2</v>
      </c>
      <c r="E1688" s="5">
        <v>1.03</v>
      </c>
      <c r="F1688" s="4">
        <v>3</v>
      </c>
      <c r="G1688" s="5">
        <v>3.7</v>
      </c>
      <c r="H1688" s="4">
        <v>0</v>
      </c>
    </row>
    <row r="1689" spans="1:8" x14ac:dyDescent="0.2">
      <c r="A1689" s="2" t="s">
        <v>196</v>
      </c>
      <c r="B1689" s="4">
        <v>65</v>
      </c>
      <c r="C1689" s="5">
        <v>23.13</v>
      </c>
      <c r="D1689" s="4">
        <v>34</v>
      </c>
      <c r="E1689" s="5">
        <v>17.440000000000001</v>
      </c>
      <c r="F1689" s="4">
        <v>31</v>
      </c>
      <c r="G1689" s="5">
        <v>38.270000000000003</v>
      </c>
      <c r="H1689" s="4">
        <v>0</v>
      </c>
    </row>
    <row r="1690" spans="1:8" x14ac:dyDescent="0.2">
      <c r="A1690" s="2" t="s">
        <v>197</v>
      </c>
      <c r="B1690" s="4">
        <v>0</v>
      </c>
      <c r="C1690" s="5">
        <v>0</v>
      </c>
      <c r="D1690" s="4">
        <v>0</v>
      </c>
      <c r="E1690" s="5">
        <v>0</v>
      </c>
      <c r="F1690" s="4">
        <v>0</v>
      </c>
      <c r="G1690" s="5">
        <v>0</v>
      </c>
      <c r="H1690" s="4">
        <v>0</v>
      </c>
    </row>
    <row r="1691" spans="1:8" x14ac:dyDescent="0.2">
      <c r="A1691" s="2" t="s">
        <v>198</v>
      </c>
      <c r="B1691" s="4">
        <v>42</v>
      </c>
      <c r="C1691" s="5">
        <v>14.95</v>
      </c>
      <c r="D1691" s="4">
        <v>37</v>
      </c>
      <c r="E1691" s="5">
        <v>18.97</v>
      </c>
      <c r="F1691" s="4">
        <v>5</v>
      </c>
      <c r="G1691" s="5">
        <v>6.17</v>
      </c>
      <c r="H1691" s="4">
        <v>0</v>
      </c>
    </row>
    <row r="1692" spans="1:8" x14ac:dyDescent="0.2">
      <c r="A1692" s="2" t="s">
        <v>199</v>
      </c>
      <c r="B1692" s="4">
        <v>8</v>
      </c>
      <c r="C1692" s="5">
        <v>2.85</v>
      </c>
      <c r="D1692" s="4">
        <v>6</v>
      </c>
      <c r="E1692" s="5">
        <v>3.08</v>
      </c>
      <c r="F1692" s="4">
        <v>2</v>
      </c>
      <c r="G1692" s="5">
        <v>2.4700000000000002</v>
      </c>
      <c r="H1692" s="4">
        <v>0</v>
      </c>
    </row>
    <row r="1693" spans="1:8" x14ac:dyDescent="0.2">
      <c r="A1693" s="2" t="s">
        <v>200</v>
      </c>
      <c r="B1693" s="4">
        <v>74</v>
      </c>
      <c r="C1693" s="5">
        <v>26.33</v>
      </c>
      <c r="D1693" s="4">
        <v>65</v>
      </c>
      <c r="E1693" s="5">
        <v>33.33</v>
      </c>
      <c r="F1693" s="4">
        <v>9</v>
      </c>
      <c r="G1693" s="5">
        <v>11.11</v>
      </c>
      <c r="H1693" s="4">
        <v>0</v>
      </c>
    </row>
    <row r="1694" spans="1:8" x14ac:dyDescent="0.2">
      <c r="A1694" s="2" t="s">
        <v>201</v>
      </c>
      <c r="B1694" s="4">
        <v>31</v>
      </c>
      <c r="C1694" s="5">
        <v>11.03</v>
      </c>
      <c r="D1694" s="4">
        <v>27</v>
      </c>
      <c r="E1694" s="5">
        <v>13.85</v>
      </c>
      <c r="F1694" s="4">
        <v>4</v>
      </c>
      <c r="G1694" s="5">
        <v>4.9400000000000004</v>
      </c>
      <c r="H1694" s="4">
        <v>0</v>
      </c>
    </row>
    <row r="1695" spans="1:8" x14ac:dyDescent="0.2">
      <c r="A1695" s="2" t="s">
        <v>202</v>
      </c>
      <c r="B1695" s="4">
        <v>6</v>
      </c>
      <c r="C1695" s="5">
        <v>2.14</v>
      </c>
      <c r="D1695" s="4">
        <v>3</v>
      </c>
      <c r="E1695" s="5">
        <v>1.54</v>
      </c>
      <c r="F1695" s="4">
        <v>1</v>
      </c>
      <c r="G1695" s="5">
        <v>1.23</v>
      </c>
      <c r="H1695" s="4">
        <v>0</v>
      </c>
    </row>
    <row r="1696" spans="1:8" x14ac:dyDescent="0.2">
      <c r="A1696" s="2" t="s">
        <v>203</v>
      </c>
      <c r="B1696" s="4">
        <v>15</v>
      </c>
      <c r="C1696" s="5">
        <v>5.34</v>
      </c>
      <c r="D1696" s="4">
        <v>9</v>
      </c>
      <c r="E1696" s="5">
        <v>4.62</v>
      </c>
      <c r="F1696" s="4">
        <v>4</v>
      </c>
      <c r="G1696" s="5">
        <v>4.9400000000000004</v>
      </c>
      <c r="H1696" s="4">
        <v>0</v>
      </c>
    </row>
    <row r="1697" spans="1:8" x14ac:dyDescent="0.2">
      <c r="A1697" s="2" t="s">
        <v>204</v>
      </c>
      <c r="B1697" s="4">
        <v>8</v>
      </c>
      <c r="C1697" s="5">
        <v>2.85</v>
      </c>
      <c r="D1697" s="4">
        <v>5</v>
      </c>
      <c r="E1697" s="5">
        <v>2.56</v>
      </c>
      <c r="F1697" s="4">
        <v>3</v>
      </c>
      <c r="G1697" s="5">
        <v>3.7</v>
      </c>
      <c r="H1697" s="4">
        <v>0</v>
      </c>
    </row>
    <row r="1698" spans="1:8" x14ac:dyDescent="0.2">
      <c r="A1698" s="1" t="s">
        <v>106</v>
      </c>
      <c r="B1698" s="4">
        <v>106</v>
      </c>
      <c r="C1698" s="5">
        <v>99.97999999999999</v>
      </c>
      <c r="D1698" s="4">
        <v>73</v>
      </c>
      <c r="E1698" s="5">
        <v>100.00999999999999</v>
      </c>
      <c r="F1698" s="4">
        <v>30</v>
      </c>
      <c r="G1698" s="5">
        <v>100.01</v>
      </c>
      <c r="H1698" s="4">
        <v>0</v>
      </c>
    </row>
    <row r="1699" spans="1:8" x14ac:dyDescent="0.2">
      <c r="A1699" s="2" t="s">
        <v>190</v>
      </c>
      <c r="B1699" s="4">
        <v>0</v>
      </c>
      <c r="C1699" s="5">
        <v>0</v>
      </c>
      <c r="D1699" s="4">
        <v>0</v>
      </c>
      <c r="E1699" s="5">
        <v>0</v>
      </c>
      <c r="F1699" s="4">
        <v>0</v>
      </c>
      <c r="G1699" s="5">
        <v>0</v>
      </c>
      <c r="H1699" s="4">
        <v>0</v>
      </c>
    </row>
    <row r="1700" spans="1:8" x14ac:dyDescent="0.2">
      <c r="A1700" s="2" t="s">
        <v>191</v>
      </c>
      <c r="B1700" s="4">
        <v>9</v>
      </c>
      <c r="C1700" s="5">
        <v>8.49</v>
      </c>
      <c r="D1700" s="4">
        <v>3</v>
      </c>
      <c r="E1700" s="5">
        <v>4.1100000000000003</v>
      </c>
      <c r="F1700" s="4">
        <v>6</v>
      </c>
      <c r="G1700" s="5">
        <v>20</v>
      </c>
      <c r="H1700" s="4">
        <v>0</v>
      </c>
    </row>
    <row r="1701" spans="1:8" x14ac:dyDescent="0.2">
      <c r="A1701" s="2" t="s">
        <v>192</v>
      </c>
      <c r="B1701" s="4">
        <v>4</v>
      </c>
      <c r="C1701" s="5">
        <v>3.77</v>
      </c>
      <c r="D1701" s="4">
        <v>2</v>
      </c>
      <c r="E1701" s="5">
        <v>2.74</v>
      </c>
      <c r="F1701" s="4">
        <v>2</v>
      </c>
      <c r="G1701" s="5">
        <v>6.67</v>
      </c>
      <c r="H1701" s="4">
        <v>0</v>
      </c>
    </row>
    <row r="1702" spans="1:8" x14ac:dyDescent="0.2">
      <c r="A1702" s="2" t="s">
        <v>193</v>
      </c>
      <c r="B1702" s="4">
        <v>1</v>
      </c>
      <c r="C1702" s="5">
        <v>0.94</v>
      </c>
      <c r="D1702" s="4">
        <v>0</v>
      </c>
      <c r="E1702" s="5">
        <v>0</v>
      </c>
      <c r="F1702" s="4">
        <v>0</v>
      </c>
      <c r="G1702" s="5">
        <v>0</v>
      </c>
      <c r="H1702" s="4">
        <v>0</v>
      </c>
    </row>
    <row r="1703" spans="1:8" x14ac:dyDescent="0.2">
      <c r="A1703" s="2" t="s">
        <v>194</v>
      </c>
      <c r="B1703" s="4">
        <v>1</v>
      </c>
      <c r="C1703" s="5">
        <v>0.94</v>
      </c>
      <c r="D1703" s="4">
        <v>0</v>
      </c>
      <c r="E1703" s="5">
        <v>0</v>
      </c>
      <c r="F1703" s="4">
        <v>1</v>
      </c>
      <c r="G1703" s="5">
        <v>3.33</v>
      </c>
      <c r="H1703" s="4">
        <v>0</v>
      </c>
    </row>
    <row r="1704" spans="1:8" x14ac:dyDescent="0.2">
      <c r="A1704" s="2" t="s">
        <v>195</v>
      </c>
      <c r="B1704" s="4">
        <v>0</v>
      </c>
      <c r="C1704" s="5">
        <v>0</v>
      </c>
      <c r="D1704" s="4">
        <v>0</v>
      </c>
      <c r="E1704" s="5">
        <v>0</v>
      </c>
      <c r="F1704" s="4">
        <v>0</v>
      </c>
      <c r="G1704" s="5">
        <v>0</v>
      </c>
      <c r="H1704" s="4">
        <v>0</v>
      </c>
    </row>
    <row r="1705" spans="1:8" x14ac:dyDescent="0.2">
      <c r="A1705" s="2" t="s">
        <v>196</v>
      </c>
      <c r="B1705" s="4">
        <v>24</v>
      </c>
      <c r="C1705" s="5">
        <v>22.64</v>
      </c>
      <c r="D1705" s="4">
        <v>16</v>
      </c>
      <c r="E1705" s="5">
        <v>21.92</v>
      </c>
      <c r="F1705" s="4">
        <v>8</v>
      </c>
      <c r="G1705" s="5">
        <v>26.67</v>
      </c>
      <c r="H1705" s="4">
        <v>0</v>
      </c>
    </row>
    <row r="1706" spans="1:8" x14ac:dyDescent="0.2">
      <c r="A1706" s="2" t="s">
        <v>197</v>
      </c>
      <c r="B1706" s="4">
        <v>0</v>
      </c>
      <c r="C1706" s="5">
        <v>0</v>
      </c>
      <c r="D1706" s="4">
        <v>0</v>
      </c>
      <c r="E1706" s="5">
        <v>0</v>
      </c>
      <c r="F1706" s="4">
        <v>0</v>
      </c>
      <c r="G1706" s="5">
        <v>0</v>
      </c>
      <c r="H1706" s="4">
        <v>0</v>
      </c>
    </row>
    <row r="1707" spans="1:8" x14ac:dyDescent="0.2">
      <c r="A1707" s="2" t="s">
        <v>198</v>
      </c>
      <c r="B1707" s="4">
        <v>4</v>
      </c>
      <c r="C1707" s="5">
        <v>3.77</v>
      </c>
      <c r="D1707" s="4">
        <v>2</v>
      </c>
      <c r="E1707" s="5">
        <v>2.74</v>
      </c>
      <c r="F1707" s="4">
        <v>2</v>
      </c>
      <c r="G1707" s="5">
        <v>6.67</v>
      </c>
      <c r="H1707" s="4">
        <v>0</v>
      </c>
    </row>
    <row r="1708" spans="1:8" x14ac:dyDescent="0.2">
      <c r="A1708" s="2" t="s">
        <v>199</v>
      </c>
      <c r="B1708" s="4">
        <v>0</v>
      </c>
      <c r="C1708" s="5">
        <v>0</v>
      </c>
      <c r="D1708" s="4">
        <v>0</v>
      </c>
      <c r="E1708" s="5">
        <v>0</v>
      </c>
      <c r="F1708" s="4">
        <v>0</v>
      </c>
      <c r="G1708" s="5">
        <v>0</v>
      </c>
      <c r="H1708" s="4">
        <v>0</v>
      </c>
    </row>
    <row r="1709" spans="1:8" x14ac:dyDescent="0.2">
      <c r="A1709" s="2" t="s">
        <v>200</v>
      </c>
      <c r="B1709" s="4">
        <v>42</v>
      </c>
      <c r="C1709" s="5">
        <v>39.619999999999997</v>
      </c>
      <c r="D1709" s="4">
        <v>34</v>
      </c>
      <c r="E1709" s="5">
        <v>46.58</v>
      </c>
      <c r="F1709" s="4">
        <v>8</v>
      </c>
      <c r="G1709" s="5">
        <v>26.67</v>
      </c>
      <c r="H1709" s="4">
        <v>0</v>
      </c>
    </row>
    <row r="1710" spans="1:8" x14ac:dyDescent="0.2">
      <c r="A1710" s="2" t="s">
        <v>201</v>
      </c>
      <c r="B1710" s="4">
        <v>10</v>
      </c>
      <c r="C1710" s="5">
        <v>9.43</v>
      </c>
      <c r="D1710" s="4">
        <v>9</v>
      </c>
      <c r="E1710" s="5">
        <v>12.33</v>
      </c>
      <c r="F1710" s="4">
        <v>0</v>
      </c>
      <c r="G1710" s="5">
        <v>0</v>
      </c>
      <c r="H1710" s="4">
        <v>0</v>
      </c>
    </row>
    <row r="1711" spans="1:8" x14ac:dyDescent="0.2">
      <c r="A1711" s="2" t="s">
        <v>202</v>
      </c>
      <c r="B1711" s="4">
        <v>5</v>
      </c>
      <c r="C1711" s="5">
        <v>4.72</v>
      </c>
      <c r="D1711" s="4">
        <v>3</v>
      </c>
      <c r="E1711" s="5">
        <v>4.1100000000000003</v>
      </c>
      <c r="F1711" s="4">
        <v>1</v>
      </c>
      <c r="G1711" s="5">
        <v>3.33</v>
      </c>
      <c r="H1711" s="4">
        <v>0</v>
      </c>
    </row>
    <row r="1712" spans="1:8" x14ac:dyDescent="0.2">
      <c r="A1712" s="2" t="s">
        <v>203</v>
      </c>
      <c r="B1712" s="4">
        <v>2</v>
      </c>
      <c r="C1712" s="5">
        <v>1.89</v>
      </c>
      <c r="D1712" s="4">
        <v>2</v>
      </c>
      <c r="E1712" s="5">
        <v>2.74</v>
      </c>
      <c r="F1712" s="4">
        <v>0</v>
      </c>
      <c r="G1712" s="5">
        <v>0</v>
      </c>
      <c r="H1712" s="4">
        <v>0</v>
      </c>
    </row>
    <row r="1713" spans="1:8" x14ac:dyDescent="0.2">
      <c r="A1713" s="2" t="s">
        <v>204</v>
      </c>
      <c r="B1713" s="4">
        <v>4</v>
      </c>
      <c r="C1713" s="5">
        <v>3.77</v>
      </c>
      <c r="D1713" s="4">
        <v>2</v>
      </c>
      <c r="E1713" s="5">
        <v>2.74</v>
      </c>
      <c r="F1713" s="4">
        <v>2</v>
      </c>
      <c r="G1713" s="5">
        <v>6.67</v>
      </c>
      <c r="H1713" s="4">
        <v>0</v>
      </c>
    </row>
    <row r="1714" spans="1:8" x14ac:dyDescent="0.2">
      <c r="A1714" s="1" t="s">
        <v>107</v>
      </c>
      <c r="B1714" s="4">
        <v>73</v>
      </c>
      <c r="C1714" s="5">
        <v>100.01</v>
      </c>
      <c r="D1714" s="4">
        <v>37</v>
      </c>
      <c r="E1714" s="5">
        <v>100.00999999999999</v>
      </c>
      <c r="F1714" s="4">
        <v>30</v>
      </c>
      <c r="G1714" s="5">
        <v>99.99</v>
      </c>
      <c r="H1714" s="4">
        <v>2</v>
      </c>
    </row>
    <row r="1715" spans="1:8" x14ac:dyDescent="0.2">
      <c r="A1715" s="2" t="s">
        <v>190</v>
      </c>
      <c r="B1715" s="4">
        <v>1</v>
      </c>
      <c r="C1715" s="5">
        <v>1.37</v>
      </c>
      <c r="D1715" s="4">
        <v>0</v>
      </c>
      <c r="E1715" s="5">
        <v>0</v>
      </c>
      <c r="F1715" s="4">
        <v>1</v>
      </c>
      <c r="G1715" s="5">
        <v>3.33</v>
      </c>
      <c r="H1715" s="4">
        <v>0</v>
      </c>
    </row>
    <row r="1716" spans="1:8" x14ac:dyDescent="0.2">
      <c r="A1716" s="2" t="s">
        <v>191</v>
      </c>
      <c r="B1716" s="4">
        <v>9</v>
      </c>
      <c r="C1716" s="5">
        <v>12.33</v>
      </c>
      <c r="D1716" s="4">
        <v>2</v>
      </c>
      <c r="E1716" s="5">
        <v>5.41</v>
      </c>
      <c r="F1716" s="4">
        <v>7</v>
      </c>
      <c r="G1716" s="5">
        <v>23.33</v>
      </c>
      <c r="H1716" s="4">
        <v>0</v>
      </c>
    </row>
    <row r="1717" spans="1:8" x14ac:dyDescent="0.2">
      <c r="A1717" s="2" t="s">
        <v>192</v>
      </c>
      <c r="B1717" s="4">
        <v>6</v>
      </c>
      <c r="C1717" s="5">
        <v>8.2200000000000006</v>
      </c>
      <c r="D1717" s="4">
        <v>3</v>
      </c>
      <c r="E1717" s="5">
        <v>8.11</v>
      </c>
      <c r="F1717" s="4">
        <v>3</v>
      </c>
      <c r="G1717" s="5">
        <v>10</v>
      </c>
      <c r="H1717" s="4">
        <v>0</v>
      </c>
    </row>
    <row r="1718" spans="1:8" x14ac:dyDescent="0.2">
      <c r="A1718" s="2" t="s">
        <v>193</v>
      </c>
      <c r="B1718" s="4">
        <v>3</v>
      </c>
      <c r="C1718" s="5">
        <v>4.1100000000000003</v>
      </c>
      <c r="D1718" s="4">
        <v>0</v>
      </c>
      <c r="E1718" s="5">
        <v>0</v>
      </c>
      <c r="F1718" s="4">
        <v>1</v>
      </c>
      <c r="G1718" s="5">
        <v>3.33</v>
      </c>
      <c r="H1718" s="4">
        <v>0</v>
      </c>
    </row>
    <row r="1719" spans="1:8" x14ac:dyDescent="0.2">
      <c r="A1719" s="2" t="s">
        <v>194</v>
      </c>
      <c r="B1719" s="4">
        <v>0</v>
      </c>
      <c r="C1719" s="5">
        <v>0</v>
      </c>
      <c r="D1719" s="4">
        <v>0</v>
      </c>
      <c r="E1719" s="5">
        <v>0</v>
      </c>
      <c r="F1719" s="4">
        <v>0</v>
      </c>
      <c r="G1719" s="5">
        <v>0</v>
      </c>
      <c r="H1719" s="4">
        <v>0</v>
      </c>
    </row>
    <row r="1720" spans="1:8" x14ac:dyDescent="0.2">
      <c r="A1720" s="2" t="s">
        <v>195</v>
      </c>
      <c r="B1720" s="4">
        <v>4</v>
      </c>
      <c r="C1720" s="5">
        <v>5.48</v>
      </c>
      <c r="D1720" s="4">
        <v>2</v>
      </c>
      <c r="E1720" s="5">
        <v>5.41</v>
      </c>
      <c r="F1720" s="4">
        <v>2</v>
      </c>
      <c r="G1720" s="5">
        <v>6.67</v>
      </c>
      <c r="H1720" s="4">
        <v>0</v>
      </c>
    </row>
    <row r="1721" spans="1:8" x14ac:dyDescent="0.2">
      <c r="A1721" s="2" t="s">
        <v>196</v>
      </c>
      <c r="B1721" s="4">
        <v>11</v>
      </c>
      <c r="C1721" s="5">
        <v>15.07</v>
      </c>
      <c r="D1721" s="4">
        <v>5</v>
      </c>
      <c r="E1721" s="5">
        <v>13.51</v>
      </c>
      <c r="F1721" s="4">
        <v>6</v>
      </c>
      <c r="G1721" s="5">
        <v>20</v>
      </c>
      <c r="H1721" s="4">
        <v>0</v>
      </c>
    </row>
    <row r="1722" spans="1:8" x14ac:dyDescent="0.2">
      <c r="A1722" s="2" t="s">
        <v>197</v>
      </c>
      <c r="B1722" s="4">
        <v>0</v>
      </c>
      <c r="C1722" s="5">
        <v>0</v>
      </c>
      <c r="D1722" s="4">
        <v>0</v>
      </c>
      <c r="E1722" s="5">
        <v>0</v>
      </c>
      <c r="F1722" s="4">
        <v>0</v>
      </c>
      <c r="G1722" s="5">
        <v>0</v>
      </c>
      <c r="H1722" s="4">
        <v>0</v>
      </c>
    </row>
    <row r="1723" spans="1:8" x14ac:dyDescent="0.2">
      <c r="A1723" s="2" t="s">
        <v>198</v>
      </c>
      <c r="B1723" s="4">
        <v>2</v>
      </c>
      <c r="C1723" s="5">
        <v>2.74</v>
      </c>
      <c r="D1723" s="4">
        <v>0</v>
      </c>
      <c r="E1723" s="5">
        <v>0</v>
      </c>
      <c r="F1723" s="4">
        <v>2</v>
      </c>
      <c r="G1723" s="5">
        <v>6.67</v>
      </c>
      <c r="H1723" s="4">
        <v>0</v>
      </c>
    </row>
    <row r="1724" spans="1:8" x14ac:dyDescent="0.2">
      <c r="A1724" s="2" t="s">
        <v>199</v>
      </c>
      <c r="B1724" s="4">
        <v>1</v>
      </c>
      <c r="C1724" s="5">
        <v>1.37</v>
      </c>
      <c r="D1724" s="4">
        <v>1</v>
      </c>
      <c r="E1724" s="5">
        <v>2.7</v>
      </c>
      <c r="F1724" s="4">
        <v>0</v>
      </c>
      <c r="G1724" s="5">
        <v>0</v>
      </c>
      <c r="H1724" s="4">
        <v>0</v>
      </c>
    </row>
    <row r="1725" spans="1:8" x14ac:dyDescent="0.2">
      <c r="A1725" s="2" t="s">
        <v>200</v>
      </c>
      <c r="B1725" s="4">
        <v>20</v>
      </c>
      <c r="C1725" s="5">
        <v>27.4</v>
      </c>
      <c r="D1725" s="4">
        <v>16</v>
      </c>
      <c r="E1725" s="5">
        <v>43.24</v>
      </c>
      <c r="F1725" s="4">
        <v>3</v>
      </c>
      <c r="G1725" s="5">
        <v>10</v>
      </c>
      <c r="H1725" s="4">
        <v>1</v>
      </c>
    </row>
    <row r="1726" spans="1:8" x14ac:dyDescent="0.2">
      <c r="A1726" s="2" t="s">
        <v>201</v>
      </c>
      <c r="B1726" s="4">
        <v>9</v>
      </c>
      <c r="C1726" s="5">
        <v>12.33</v>
      </c>
      <c r="D1726" s="4">
        <v>6</v>
      </c>
      <c r="E1726" s="5">
        <v>16.22</v>
      </c>
      <c r="F1726" s="4">
        <v>1</v>
      </c>
      <c r="G1726" s="5">
        <v>3.33</v>
      </c>
      <c r="H1726" s="4">
        <v>0</v>
      </c>
    </row>
    <row r="1727" spans="1:8" x14ac:dyDescent="0.2">
      <c r="A1727" s="2" t="s">
        <v>202</v>
      </c>
      <c r="B1727" s="4">
        <v>0</v>
      </c>
      <c r="C1727" s="5">
        <v>0</v>
      </c>
      <c r="D1727" s="4">
        <v>0</v>
      </c>
      <c r="E1727" s="5">
        <v>0</v>
      </c>
      <c r="F1727" s="4">
        <v>0</v>
      </c>
      <c r="G1727" s="5">
        <v>0</v>
      </c>
      <c r="H1727" s="4">
        <v>0</v>
      </c>
    </row>
    <row r="1728" spans="1:8" x14ac:dyDescent="0.2">
      <c r="A1728" s="2" t="s">
        <v>203</v>
      </c>
      <c r="B1728" s="4">
        <v>3</v>
      </c>
      <c r="C1728" s="5">
        <v>4.1100000000000003</v>
      </c>
      <c r="D1728" s="4">
        <v>2</v>
      </c>
      <c r="E1728" s="5">
        <v>5.41</v>
      </c>
      <c r="F1728" s="4">
        <v>1</v>
      </c>
      <c r="G1728" s="5">
        <v>3.33</v>
      </c>
      <c r="H1728" s="4">
        <v>0</v>
      </c>
    </row>
    <row r="1729" spans="1:8" x14ac:dyDescent="0.2">
      <c r="A1729" s="2" t="s">
        <v>204</v>
      </c>
      <c r="B1729" s="4">
        <v>4</v>
      </c>
      <c r="C1729" s="5">
        <v>5.48</v>
      </c>
      <c r="D1729" s="4">
        <v>0</v>
      </c>
      <c r="E1729" s="5">
        <v>0</v>
      </c>
      <c r="F1729" s="4">
        <v>3</v>
      </c>
      <c r="G1729" s="5">
        <v>10</v>
      </c>
      <c r="H1729" s="4">
        <v>1</v>
      </c>
    </row>
    <row r="1730" spans="1:8" x14ac:dyDescent="0.2">
      <c r="A1730" s="1" t="s">
        <v>108</v>
      </c>
      <c r="B1730" s="4">
        <v>55</v>
      </c>
      <c r="C1730" s="5">
        <v>100.02</v>
      </c>
      <c r="D1730" s="4">
        <v>23</v>
      </c>
      <c r="E1730" s="5">
        <v>100.00999999999999</v>
      </c>
      <c r="F1730" s="4">
        <v>22</v>
      </c>
      <c r="G1730" s="5">
        <v>100.02</v>
      </c>
      <c r="H1730" s="4">
        <v>0</v>
      </c>
    </row>
    <row r="1731" spans="1:8" x14ac:dyDescent="0.2">
      <c r="A1731" s="2" t="s">
        <v>190</v>
      </c>
      <c r="B1731" s="4">
        <v>0</v>
      </c>
      <c r="C1731" s="5">
        <v>0</v>
      </c>
      <c r="D1731" s="4">
        <v>0</v>
      </c>
      <c r="E1731" s="5">
        <v>0</v>
      </c>
      <c r="F1731" s="4">
        <v>0</v>
      </c>
      <c r="G1731" s="5">
        <v>0</v>
      </c>
      <c r="H1731" s="4">
        <v>0</v>
      </c>
    </row>
    <row r="1732" spans="1:8" x14ac:dyDescent="0.2">
      <c r="A1732" s="2" t="s">
        <v>191</v>
      </c>
      <c r="B1732" s="4">
        <v>2</v>
      </c>
      <c r="C1732" s="5">
        <v>3.64</v>
      </c>
      <c r="D1732" s="4">
        <v>1</v>
      </c>
      <c r="E1732" s="5">
        <v>4.3499999999999996</v>
      </c>
      <c r="F1732" s="4">
        <v>1</v>
      </c>
      <c r="G1732" s="5">
        <v>4.55</v>
      </c>
      <c r="H1732" s="4">
        <v>0</v>
      </c>
    </row>
    <row r="1733" spans="1:8" x14ac:dyDescent="0.2">
      <c r="A1733" s="2" t="s">
        <v>192</v>
      </c>
      <c r="B1733" s="4">
        <v>4</v>
      </c>
      <c r="C1733" s="5">
        <v>7.27</v>
      </c>
      <c r="D1733" s="4">
        <v>1</v>
      </c>
      <c r="E1733" s="5">
        <v>4.3499999999999996</v>
      </c>
      <c r="F1733" s="4">
        <v>3</v>
      </c>
      <c r="G1733" s="5">
        <v>13.64</v>
      </c>
      <c r="H1733" s="4">
        <v>0</v>
      </c>
    </row>
    <row r="1734" spans="1:8" x14ac:dyDescent="0.2">
      <c r="A1734" s="2" t="s">
        <v>193</v>
      </c>
      <c r="B1734" s="4">
        <v>2</v>
      </c>
      <c r="C1734" s="5">
        <v>3.64</v>
      </c>
      <c r="D1734" s="4">
        <v>0</v>
      </c>
      <c r="E1734" s="5">
        <v>0</v>
      </c>
      <c r="F1734" s="4">
        <v>0</v>
      </c>
      <c r="G1734" s="5">
        <v>0</v>
      </c>
      <c r="H1734" s="4">
        <v>0</v>
      </c>
    </row>
    <row r="1735" spans="1:8" x14ac:dyDescent="0.2">
      <c r="A1735" s="2" t="s">
        <v>194</v>
      </c>
      <c r="B1735" s="4">
        <v>0</v>
      </c>
      <c r="C1735" s="5">
        <v>0</v>
      </c>
      <c r="D1735" s="4">
        <v>0</v>
      </c>
      <c r="E1735" s="5">
        <v>0</v>
      </c>
      <c r="F1735" s="4">
        <v>0</v>
      </c>
      <c r="G1735" s="5">
        <v>0</v>
      </c>
      <c r="H1735" s="4">
        <v>0</v>
      </c>
    </row>
    <row r="1736" spans="1:8" x14ac:dyDescent="0.2">
      <c r="A1736" s="2" t="s">
        <v>195</v>
      </c>
      <c r="B1736" s="4">
        <v>1</v>
      </c>
      <c r="C1736" s="5">
        <v>1.82</v>
      </c>
      <c r="D1736" s="4">
        <v>1</v>
      </c>
      <c r="E1736" s="5">
        <v>4.3499999999999996</v>
      </c>
      <c r="F1736" s="4">
        <v>0</v>
      </c>
      <c r="G1736" s="5">
        <v>0</v>
      </c>
      <c r="H1736" s="4">
        <v>0</v>
      </c>
    </row>
    <row r="1737" spans="1:8" x14ac:dyDescent="0.2">
      <c r="A1737" s="2" t="s">
        <v>196</v>
      </c>
      <c r="B1737" s="4">
        <v>8</v>
      </c>
      <c r="C1737" s="5">
        <v>14.55</v>
      </c>
      <c r="D1737" s="4">
        <v>4</v>
      </c>
      <c r="E1737" s="5">
        <v>17.39</v>
      </c>
      <c r="F1737" s="4">
        <v>4</v>
      </c>
      <c r="G1737" s="5">
        <v>18.18</v>
      </c>
      <c r="H1737" s="4">
        <v>0</v>
      </c>
    </row>
    <row r="1738" spans="1:8" x14ac:dyDescent="0.2">
      <c r="A1738" s="2" t="s">
        <v>197</v>
      </c>
      <c r="B1738" s="4">
        <v>1</v>
      </c>
      <c r="C1738" s="5">
        <v>1.82</v>
      </c>
      <c r="D1738" s="4">
        <v>0</v>
      </c>
      <c r="E1738" s="5">
        <v>0</v>
      </c>
      <c r="F1738" s="4">
        <v>1</v>
      </c>
      <c r="G1738" s="5">
        <v>4.55</v>
      </c>
      <c r="H1738" s="4">
        <v>0</v>
      </c>
    </row>
    <row r="1739" spans="1:8" x14ac:dyDescent="0.2">
      <c r="A1739" s="2" t="s">
        <v>198</v>
      </c>
      <c r="B1739" s="4">
        <v>2</v>
      </c>
      <c r="C1739" s="5">
        <v>3.64</v>
      </c>
      <c r="D1739" s="4">
        <v>0</v>
      </c>
      <c r="E1739" s="5">
        <v>0</v>
      </c>
      <c r="F1739" s="4">
        <v>1</v>
      </c>
      <c r="G1739" s="5">
        <v>4.55</v>
      </c>
      <c r="H1739" s="4">
        <v>0</v>
      </c>
    </row>
    <row r="1740" spans="1:8" x14ac:dyDescent="0.2">
      <c r="A1740" s="2" t="s">
        <v>199</v>
      </c>
      <c r="B1740" s="4">
        <v>2</v>
      </c>
      <c r="C1740" s="5">
        <v>3.64</v>
      </c>
      <c r="D1740" s="4">
        <v>1</v>
      </c>
      <c r="E1740" s="5">
        <v>4.3499999999999996</v>
      </c>
      <c r="F1740" s="4">
        <v>1</v>
      </c>
      <c r="G1740" s="5">
        <v>4.55</v>
      </c>
      <c r="H1740" s="4">
        <v>0</v>
      </c>
    </row>
    <row r="1741" spans="1:8" x14ac:dyDescent="0.2">
      <c r="A1741" s="2" t="s">
        <v>200</v>
      </c>
      <c r="B1741" s="4">
        <v>16</v>
      </c>
      <c r="C1741" s="5">
        <v>29.09</v>
      </c>
      <c r="D1741" s="4">
        <v>7</v>
      </c>
      <c r="E1741" s="5">
        <v>30.43</v>
      </c>
      <c r="F1741" s="4">
        <v>9</v>
      </c>
      <c r="G1741" s="5">
        <v>40.909999999999997</v>
      </c>
      <c r="H1741" s="4">
        <v>0</v>
      </c>
    </row>
    <row r="1742" spans="1:8" x14ac:dyDescent="0.2">
      <c r="A1742" s="2" t="s">
        <v>201</v>
      </c>
      <c r="B1742" s="4">
        <v>5</v>
      </c>
      <c r="C1742" s="5">
        <v>9.09</v>
      </c>
      <c r="D1742" s="4">
        <v>5</v>
      </c>
      <c r="E1742" s="5">
        <v>21.74</v>
      </c>
      <c r="F1742" s="4">
        <v>0</v>
      </c>
      <c r="G1742" s="5">
        <v>0</v>
      </c>
      <c r="H1742" s="4">
        <v>0</v>
      </c>
    </row>
    <row r="1743" spans="1:8" x14ac:dyDescent="0.2">
      <c r="A1743" s="2" t="s">
        <v>202</v>
      </c>
      <c r="B1743" s="4">
        <v>2</v>
      </c>
      <c r="C1743" s="5">
        <v>3.64</v>
      </c>
      <c r="D1743" s="4">
        <v>0</v>
      </c>
      <c r="E1743" s="5">
        <v>0</v>
      </c>
      <c r="F1743" s="4">
        <v>0</v>
      </c>
      <c r="G1743" s="5">
        <v>0</v>
      </c>
      <c r="H1743" s="4">
        <v>0</v>
      </c>
    </row>
    <row r="1744" spans="1:8" x14ac:dyDescent="0.2">
      <c r="A1744" s="2" t="s">
        <v>203</v>
      </c>
      <c r="B1744" s="4">
        <v>6</v>
      </c>
      <c r="C1744" s="5">
        <v>10.91</v>
      </c>
      <c r="D1744" s="4">
        <v>1</v>
      </c>
      <c r="E1744" s="5">
        <v>4.3499999999999996</v>
      </c>
      <c r="F1744" s="4">
        <v>0</v>
      </c>
      <c r="G1744" s="5">
        <v>0</v>
      </c>
      <c r="H1744" s="4">
        <v>0</v>
      </c>
    </row>
    <row r="1745" spans="1:8" x14ac:dyDescent="0.2">
      <c r="A1745" s="2" t="s">
        <v>204</v>
      </c>
      <c r="B1745" s="4">
        <v>4</v>
      </c>
      <c r="C1745" s="5">
        <v>7.27</v>
      </c>
      <c r="D1745" s="4">
        <v>2</v>
      </c>
      <c r="E1745" s="5">
        <v>8.6999999999999993</v>
      </c>
      <c r="F1745" s="4">
        <v>2</v>
      </c>
      <c r="G1745" s="5">
        <v>9.09</v>
      </c>
      <c r="H1745" s="4">
        <v>0</v>
      </c>
    </row>
    <row r="1746" spans="1:8" x14ac:dyDescent="0.2">
      <c r="A1746" s="1" t="s">
        <v>109</v>
      </c>
      <c r="B1746" s="4">
        <v>97</v>
      </c>
      <c r="C1746" s="5">
        <v>99.980000000000018</v>
      </c>
      <c r="D1746" s="4">
        <v>58</v>
      </c>
      <c r="E1746" s="5">
        <v>100.01000000000002</v>
      </c>
      <c r="F1746" s="4">
        <v>33</v>
      </c>
      <c r="G1746" s="5">
        <v>99.990000000000009</v>
      </c>
      <c r="H1746" s="4">
        <v>0</v>
      </c>
    </row>
    <row r="1747" spans="1:8" x14ac:dyDescent="0.2">
      <c r="A1747" s="2" t="s">
        <v>190</v>
      </c>
      <c r="B1747" s="4">
        <v>0</v>
      </c>
      <c r="C1747" s="5">
        <v>0</v>
      </c>
      <c r="D1747" s="4">
        <v>0</v>
      </c>
      <c r="E1747" s="5">
        <v>0</v>
      </c>
      <c r="F1747" s="4">
        <v>0</v>
      </c>
      <c r="G1747" s="5">
        <v>0</v>
      </c>
      <c r="H1747" s="4">
        <v>0</v>
      </c>
    </row>
    <row r="1748" spans="1:8" x14ac:dyDescent="0.2">
      <c r="A1748" s="2" t="s">
        <v>191</v>
      </c>
      <c r="B1748" s="4">
        <v>5</v>
      </c>
      <c r="C1748" s="5">
        <v>5.15</v>
      </c>
      <c r="D1748" s="4">
        <v>2</v>
      </c>
      <c r="E1748" s="5">
        <v>3.45</v>
      </c>
      <c r="F1748" s="4">
        <v>3</v>
      </c>
      <c r="G1748" s="5">
        <v>9.09</v>
      </c>
      <c r="H1748" s="4">
        <v>0</v>
      </c>
    </row>
    <row r="1749" spans="1:8" x14ac:dyDescent="0.2">
      <c r="A1749" s="2" t="s">
        <v>192</v>
      </c>
      <c r="B1749" s="4">
        <v>6</v>
      </c>
      <c r="C1749" s="5">
        <v>6.19</v>
      </c>
      <c r="D1749" s="4">
        <v>2</v>
      </c>
      <c r="E1749" s="5">
        <v>3.45</v>
      </c>
      <c r="F1749" s="4">
        <v>4</v>
      </c>
      <c r="G1749" s="5">
        <v>12.12</v>
      </c>
      <c r="H1749" s="4">
        <v>0</v>
      </c>
    </row>
    <row r="1750" spans="1:8" x14ac:dyDescent="0.2">
      <c r="A1750" s="2" t="s">
        <v>193</v>
      </c>
      <c r="B1750" s="4">
        <v>1</v>
      </c>
      <c r="C1750" s="5">
        <v>1.03</v>
      </c>
      <c r="D1750" s="4">
        <v>0</v>
      </c>
      <c r="E1750" s="5">
        <v>0</v>
      </c>
      <c r="F1750" s="4">
        <v>0</v>
      </c>
      <c r="G1750" s="5">
        <v>0</v>
      </c>
      <c r="H1750" s="4">
        <v>0</v>
      </c>
    </row>
    <row r="1751" spans="1:8" x14ac:dyDescent="0.2">
      <c r="A1751" s="2" t="s">
        <v>194</v>
      </c>
      <c r="B1751" s="4">
        <v>2</v>
      </c>
      <c r="C1751" s="5">
        <v>2.06</v>
      </c>
      <c r="D1751" s="4">
        <v>1</v>
      </c>
      <c r="E1751" s="5">
        <v>1.72</v>
      </c>
      <c r="F1751" s="4">
        <v>1</v>
      </c>
      <c r="G1751" s="5">
        <v>3.03</v>
      </c>
      <c r="H1751" s="4">
        <v>0</v>
      </c>
    </row>
    <row r="1752" spans="1:8" x14ac:dyDescent="0.2">
      <c r="A1752" s="2" t="s">
        <v>195</v>
      </c>
      <c r="B1752" s="4">
        <v>3</v>
      </c>
      <c r="C1752" s="5">
        <v>3.09</v>
      </c>
      <c r="D1752" s="4">
        <v>1</v>
      </c>
      <c r="E1752" s="5">
        <v>1.72</v>
      </c>
      <c r="F1752" s="4">
        <v>1</v>
      </c>
      <c r="G1752" s="5">
        <v>3.03</v>
      </c>
      <c r="H1752" s="4">
        <v>0</v>
      </c>
    </row>
    <row r="1753" spans="1:8" x14ac:dyDescent="0.2">
      <c r="A1753" s="2" t="s">
        <v>196</v>
      </c>
      <c r="B1753" s="4">
        <v>33</v>
      </c>
      <c r="C1753" s="5">
        <v>34.020000000000003</v>
      </c>
      <c r="D1753" s="4">
        <v>19</v>
      </c>
      <c r="E1753" s="5">
        <v>32.76</v>
      </c>
      <c r="F1753" s="4">
        <v>14</v>
      </c>
      <c r="G1753" s="5">
        <v>42.42</v>
      </c>
      <c r="H1753" s="4">
        <v>0</v>
      </c>
    </row>
    <row r="1754" spans="1:8" x14ac:dyDescent="0.2">
      <c r="A1754" s="2" t="s">
        <v>197</v>
      </c>
      <c r="B1754" s="4">
        <v>0</v>
      </c>
      <c r="C1754" s="5">
        <v>0</v>
      </c>
      <c r="D1754" s="4">
        <v>0</v>
      </c>
      <c r="E1754" s="5">
        <v>0</v>
      </c>
      <c r="F1754" s="4">
        <v>0</v>
      </c>
      <c r="G1754" s="5">
        <v>0</v>
      </c>
      <c r="H1754" s="4">
        <v>0</v>
      </c>
    </row>
    <row r="1755" spans="1:8" x14ac:dyDescent="0.2">
      <c r="A1755" s="2" t="s">
        <v>198</v>
      </c>
      <c r="B1755" s="4">
        <v>0</v>
      </c>
      <c r="C1755" s="5">
        <v>0</v>
      </c>
      <c r="D1755" s="4">
        <v>0</v>
      </c>
      <c r="E1755" s="5">
        <v>0</v>
      </c>
      <c r="F1755" s="4">
        <v>0</v>
      </c>
      <c r="G1755" s="5">
        <v>0</v>
      </c>
      <c r="H1755" s="4">
        <v>0</v>
      </c>
    </row>
    <row r="1756" spans="1:8" x14ac:dyDescent="0.2">
      <c r="A1756" s="2" t="s">
        <v>199</v>
      </c>
      <c r="B1756" s="4">
        <v>4</v>
      </c>
      <c r="C1756" s="5">
        <v>4.12</v>
      </c>
      <c r="D1756" s="4">
        <v>2</v>
      </c>
      <c r="E1756" s="5">
        <v>3.45</v>
      </c>
      <c r="F1756" s="4">
        <v>1</v>
      </c>
      <c r="G1756" s="5">
        <v>3.03</v>
      </c>
      <c r="H1756" s="4">
        <v>0</v>
      </c>
    </row>
    <row r="1757" spans="1:8" x14ac:dyDescent="0.2">
      <c r="A1757" s="2" t="s">
        <v>200</v>
      </c>
      <c r="B1757" s="4">
        <v>15</v>
      </c>
      <c r="C1757" s="5">
        <v>15.46</v>
      </c>
      <c r="D1757" s="4">
        <v>11</v>
      </c>
      <c r="E1757" s="5">
        <v>18.97</v>
      </c>
      <c r="F1757" s="4">
        <v>4</v>
      </c>
      <c r="G1757" s="5">
        <v>12.12</v>
      </c>
      <c r="H1757" s="4">
        <v>0</v>
      </c>
    </row>
    <row r="1758" spans="1:8" x14ac:dyDescent="0.2">
      <c r="A1758" s="2" t="s">
        <v>201</v>
      </c>
      <c r="B1758" s="4">
        <v>13</v>
      </c>
      <c r="C1758" s="5">
        <v>13.4</v>
      </c>
      <c r="D1758" s="4">
        <v>12</v>
      </c>
      <c r="E1758" s="5">
        <v>20.69</v>
      </c>
      <c r="F1758" s="4">
        <v>1</v>
      </c>
      <c r="G1758" s="5">
        <v>3.03</v>
      </c>
      <c r="H1758" s="4">
        <v>0</v>
      </c>
    </row>
    <row r="1759" spans="1:8" x14ac:dyDescent="0.2">
      <c r="A1759" s="2" t="s">
        <v>202</v>
      </c>
      <c r="B1759" s="4">
        <v>4</v>
      </c>
      <c r="C1759" s="5">
        <v>4.12</v>
      </c>
      <c r="D1759" s="4">
        <v>2</v>
      </c>
      <c r="E1759" s="5">
        <v>3.45</v>
      </c>
      <c r="F1759" s="4">
        <v>0</v>
      </c>
      <c r="G1759" s="5">
        <v>0</v>
      </c>
      <c r="H1759" s="4">
        <v>0</v>
      </c>
    </row>
    <row r="1760" spans="1:8" x14ac:dyDescent="0.2">
      <c r="A1760" s="2" t="s">
        <v>203</v>
      </c>
      <c r="B1760" s="4">
        <v>5</v>
      </c>
      <c r="C1760" s="5">
        <v>5.15</v>
      </c>
      <c r="D1760" s="4">
        <v>4</v>
      </c>
      <c r="E1760" s="5">
        <v>6.9</v>
      </c>
      <c r="F1760" s="4">
        <v>0</v>
      </c>
      <c r="G1760" s="5">
        <v>0</v>
      </c>
      <c r="H1760" s="4">
        <v>0</v>
      </c>
    </row>
    <row r="1761" spans="1:8" x14ac:dyDescent="0.2">
      <c r="A1761" s="2" t="s">
        <v>204</v>
      </c>
      <c r="B1761" s="4">
        <v>6</v>
      </c>
      <c r="C1761" s="5">
        <v>6.19</v>
      </c>
      <c r="D1761" s="4">
        <v>2</v>
      </c>
      <c r="E1761" s="5">
        <v>3.45</v>
      </c>
      <c r="F1761" s="4">
        <v>4</v>
      </c>
      <c r="G1761" s="5">
        <v>12.12</v>
      </c>
      <c r="H1761" s="4">
        <v>0</v>
      </c>
    </row>
    <row r="1762" spans="1:8" x14ac:dyDescent="0.2">
      <c r="A1762" s="1" t="s">
        <v>110</v>
      </c>
      <c r="B1762" s="4">
        <v>79</v>
      </c>
      <c r="C1762" s="5">
        <v>100.00999999999999</v>
      </c>
      <c r="D1762" s="4">
        <v>47</v>
      </c>
      <c r="E1762" s="5">
        <v>99.999999999999986</v>
      </c>
      <c r="F1762" s="4">
        <v>22</v>
      </c>
      <c r="G1762" s="5">
        <v>100.02</v>
      </c>
      <c r="H1762" s="4">
        <v>3</v>
      </c>
    </row>
    <row r="1763" spans="1:8" x14ac:dyDescent="0.2">
      <c r="A1763" s="2" t="s">
        <v>190</v>
      </c>
      <c r="B1763" s="4">
        <v>0</v>
      </c>
      <c r="C1763" s="5">
        <v>0</v>
      </c>
      <c r="D1763" s="4">
        <v>0</v>
      </c>
      <c r="E1763" s="5">
        <v>0</v>
      </c>
      <c r="F1763" s="4">
        <v>0</v>
      </c>
      <c r="G1763" s="5">
        <v>0</v>
      </c>
      <c r="H1763" s="4">
        <v>0</v>
      </c>
    </row>
    <row r="1764" spans="1:8" x14ac:dyDescent="0.2">
      <c r="A1764" s="2" t="s">
        <v>191</v>
      </c>
      <c r="B1764" s="4">
        <v>10</v>
      </c>
      <c r="C1764" s="5">
        <v>12.66</v>
      </c>
      <c r="D1764" s="4">
        <v>4</v>
      </c>
      <c r="E1764" s="5">
        <v>8.51</v>
      </c>
      <c r="F1764" s="4">
        <v>6</v>
      </c>
      <c r="G1764" s="5">
        <v>27.27</v>
      </c>
      <c r="H1764" s="4">
        <v>0</v>
      </c>
    </row>
    <row r="1765" spans="1:8" x14ac:dyDescent="0.2">
      <c r="A1765" s="2" t="s">
        <v>192</v>
      </c>
      <c r="B1765" s="4">
        <v>5</v>
      </c>
      <c r="C1765" s="5">
        <v>6.33</v>
      </c>
      <c r="D1765" s="4">
        <v>3</v>
      </c>
      <c r="E1765" s="5">
        <v>6.38</v>
      </c>
      <c r="F1765" s="4">
        <v>1</v>
      </c>
      <c r="G1765" s="5">
        <v>4.55</v>
      </c>
      <c r="H1765" s="4">
        <v>1</v>
      </c>
    </row>
    <row r="1766" spans="1:8" x14ac:dyDescent="0.2">
      <c r="A1766" s="2" t="s">
        <v>193</v>
      </c>
      <c r="B1766" s="4">
        <v>3</v>
      </c>
      <c r="C1766" s="5">
        <v>3.8</v>
      </c>
      <c r="D1766" s="4">
        <v>0</v>
      </c>
      <c r="E1766" s="5">
        <v>0</v>
      </c>
      <c r="F1766" s="4">
        <v>0</v>
      </c>
      <c r="G1766" s="5">
        <v>0</v>
      </c>
      <c r="H1766" s="4">
        <v>0</v>
      </c>
    </row>
    <row r="1767" spans="1:8" x14ac:dyDescent="0.2">
      <c r="A1767" s="2" t="s">
        <v>194</v>
      </c>
      <c r="B1767" s="4">
        <v>1</v>
      </c>
      <c r="C1767" s="5">
        <v>1.27</v>
      </c>
      <c r="D1767" s="4">
        <v>1</v>
      </c>
      <c r="E1767" s="5">
        <v>2.13</v>
      </c>
      <c r="F1767" s="4">
        <v>0</v>
      </c>
      <c r="G1767" s="5">
        <v>0</v>
      </c>
      <c r="H1767" s="4">
        <v>0</v>
      </c>
    </row>
    <row r="1768" spans="1:8" x14ac:dyDescent="0.2">
      <c r="A1768" s="2" t="s">
        <v>195</v>
      </c>
      <c r="B1768" s="4">
        <v>2</v>
      </c>
      <c r="C1768" s="5">
        <v>2.5299999999999998</v>
      </c>
      <c r="D1768" s="4">
        <v>0</v>
      </c>
      <c r="E1768" s="5">
        <v>0</v>
      </c>
      <c r="F1768" s="4">
        <v>1</v>
      </c>
      <c r="G1768" s="5">
        <v>4.55</v>
      </c>
      <c r="H1768" s="4">
        <v>1</v>
      </c>
    </row>
    <row r="1769" spans="1:8" x14ac:dyDescent="0.2">
      <c r="A1769" s="2" t="s">
        <v>196</v>
      </c>
      <c r="B1769" s="4">
        <v>26</v>
      </c>
      <c r="C1769" s="5">
        <v>32.909999999999997</v>
      </c>
      <c r="D1769" s="4">
        <v>15</v>
      </c>
      <c r="E1769" s="5">
        <v>31.91</v>
      </c>
      <c r="F1769" s="4">
        <v>11</v>
      </c>
      <c r="G1769" s="5">
        <v>50</v>
      </c>
      <c r="H1769" s="4">
        <v>0</v>
      </c>
    </row>
    <row r="1770" spans="1:8" x14ac:dyDescent="0.2">
      <c r="A1770" s="2" t="s">
        <v>197</v>
      </c>
      <c r="B1770" s="4">
        <v>0</v>
      </c>
      <c r="C1770" s="5">
        <v>0</v>
      </c>
      <c r="D1770" s="4">
        <v>0</v>
      </c>
      <c r="E1770" s="5">
        <v>0</v>
      </c>
      <c r="F1770" s="4">
        <v>0</v>
      </c>
      <c r="G1770" s="5">
        <v>0</v>
      </c>
      <c r="H1770" s="4">
        <v>0</v>
      </c>
    </row>
    <row r="1771" spans="1:8" x14ac:dyDescent="0.2">
      <c r="A1771" s="2" t="s">
        <v>198</v>
      </c>
      <c r="B1771" s="4">
        <v>2</v>
      </c>
      <c r="C1771" s="5">
        <v>2.5299999999999998</v>
      </c>
      <c r="D1771" s="4">
        <v>2</v>
      </c>
      <c r="E1771" s="5">
        <v>4.26</v>
      </c>
      <c r="F1771" s="4">
        <v>0</v>
      </c>
      <c r="G1771" s="5">
        <v>0</v>
      </c>
      <c r="H1771" s="4">
        <v>0</v>
      </c>
    </row>
    <row r="1772" spans="1:8" x14ac:dyDescent="0.2">
      <c r="A1772" s="2" t="s">
        <v>199</v>
      </c>
      <c r="B1772" s="4">
        <v>2</v>
      </c>
      <c r="C1772" s="5">
        <v>2.5299999999999998</v>
      </c>
      <c r="D1772" s="4">
        <v>1</v>
      </c>
      <c r="E1772" s="5">
        <v>2.13</v>
      </c>
      <c r="F1772" s="4">
        <v>0</v>
      </c>
      <c r="G1772" s="5">
        <v>0</v>
      </c>
      <c r="H1772" s="4">
        <v>0</v>
      </c>
    </row>
    <row r="1773" spans="1:8" x14ac:dyDescent="0.2">
      <c r="A1773" s="2" t="s">
        <v>200</v>
      </c>
      <c r="B1773" s="4">
        <v>12</v>
      </c>
      <c r="C1773" s="5">
        <v>15.19</v>
      </c>
      <c r="D1773" s="4">
        <v>10</v>
      </c>
      <c r="E1773" s="5">
        <v>21.28</v>
      </c>
      <c r="F1773" s="4">
        <v>1</v>
      </c>
      <c r="G1773" s="5">
        <v>4.55</v>
      </c>
      <c r="H1773" s="4">
        <v>0</v>
      </c>
    </row>
    <row r="1774" spans="1:8" x14ac:dyDescent="0.2">
      <c r="A1774" s="2" t="s">
        <v>201</v>
      </c>
      <c r="B1774" s="4">
        <v>5</v>
      </c>
      <c r="C1774" s="5">
        <v>6.33</v>
      </c>
      <c r="D1774" s="4">
        <v>4</v>
      </c>
      <c r="E1774" s="5">
        <v>8.51</v>
      </c>
      <c r="F1774" s="4">
        <v>1</v>
      </c>
      <c r="G1774" s="5">
        <v>4.55</v>
      </c>
      <c r="H1774" s="4">
        <v>0</v>
      </c>
    </row>
    <row r="1775" spans="1:8" x14ac:dyDescent="0.2">
      <c r="A1775" s="2" t="s">
        <v>202</v>
      </c>
      <c r="B1775" s="4">
        <v>3</v>
      </c>
      <c r="C1775" s="5">
        <v>3.8</v>
      </c>
      <c r="D1775" s="4">
        <v>3</v>
      </c>
      <c r="E1775" s="5">
        <v>6.38</v>
      </c>
      <c r="F1775" s="4">
        <v>0</v>
      </c>
      <c r="G1775" s="5">
        <v>0</v>
      </c>
      <c r="H1775" s="4">
        <v>0</v>
      </c>
    </row>
    <row r="1776" spans="1:8" x14ac:dyDescent="0.2">
      <c r="A1776" s="2" t="s">
        <v>203</v>
      </c>
      <c r="B1776" s="4">
        <v>5</v>
      </c>
      <c r="C1776" s="5">
        <v>6.33</v>
      </c>
      <c r="D1776" s="4">
        <v>3</v>
      </c>
      <c r="E1776" s="5">
        <v>6.38</v>
      </c>
      <c r="F1776" s="4">
        <v>1</v>
      </c>
      <c r="G1776" s="5">
        <v>4.55</v>
      </c>
      <c r="H1776" s="4">
        <v>0</v>
      </c>
    </row>
    <row r="1777" spans="1:8" x14ac:dyDescent="0.2">
      <c r="A1777" s="2" t="s">
        <v>204</v>
      </c>
      <c r="B1777" s="4">
        <v>3</v>
      </c>
      <c r="C1777" s="5">
        <v>3.8</v>
      </c>
      <c r="D1777" s="4">
        <v>1</v>
      </c>
      <c r="E1777" s="5">
        <v>2.13</v>
      </c>
      <c r="F1777" s="4">
        <v>0</v>
      </c>
      <c r="G1777" s="5">
        <v>0</v>
      </c>
      <c r="H1777" s="4">
        <v>1</v>
      </c>
    </row>
    <row r="1778" spans="1:8" x14ac:dyDescent="0.2">
      <c r="A1778" s="1" t="s">
        <v>111</v>
      </c>
      <c r="B1778" s="4">
        <v>129</v>
      </c>
      <c r="C1778" s="5">
        <v>100.00000000000001</v>
      </c>
      <c r="D1778" s="4">
        <v>65</v>
      </c>
      <c r="E1778" s="5">
        <v>100.02000000000001</v>
      </c>
      <c r="F1778" s="4">
        <v>57</v>
      </c>
      <c r="G1778" s="5">
        <v>100</v>
      </c>
      <c r="H1778" s="4">
        <v>0</v>
      </c>
    </row>
    <row r="1779" spans="1:8" x14ac:dyDescent="0.2">
      <c r="A1779" s="2" t="s">
        <v>190</v>
      </c>
      <c r="B1779" s="4">
        <v>0</v>
      </c>
      <c r="C1779" s="5">
        <v>0</v>
      </c>
      <c r="D1779" s="4">
        <v>0</v>
      </c>
      <c r="E1779" s="5">
        <v>0</v>
      </c>
      <c r="F1779" s="4">
        <v>0</v>
      </c>
      <c r="G1779" s="5">
        <v>0</v>
      </c>
      <c r="H1779" s="4">
        <v>0</v>
      </c>
    </row>
    <row r="1780" spans="1:8" x14ac:dyDescent="0.2">
      <c r="A1780" s="2" t="s">
        <v>191</v>
      </c>
      <c r="B1780" s="4">
        <v>15</v>
      </c>
      <c r="C1780" s="5">
        <v>11.63</v>
      </c>
      <c r="D1780" s="4">
        <v>2</v>
      </c>
      <c r="E1780" s="5">
        <v>3.08</v>
      </c>
      <c r="F1780" s="4">
        <v>13</v>
      </c>
      <c r="G1780" s="5">
        <v>22.81</v>
      </c>
      <c r="H1780" s="4">
        <v>0</v>
      </c>
    </row>
    <row r="1781" spans="1:8" x14ac:dyDescent="0.2">
      <c r="A1781" s="2" t="s">
        <v>192</v>
      </c>
      <c r="B1781" s="4">
        <v>20</v>
      </c>
      <c r="C1781" s="5">
        <v>15.5</v>
      </c>
      <c r="D1781" s="4">
        <v>8</v>
      </c>
      <c r="E1781" s="5">
        <v>12.31</v>
      </c>
      <c r="F1781" s="4">
        <v>12</v>
      </c>
      <c r="G1781" s="5">
        <v>21.05</v>
      </c>
      <c r="H1781" s="4">
        <v>0</v>
      </c>
    </row>
    <row r="1782" spans="1:8" x14ac:dyDescent="0.2">
      <c r="A1782" s="2" t="s">
        <v>193</v>
      </c>
      <c r="B1782" s="4">
        <v>3</v>
      </c>
      <c r="C1782" s="5">
        <v>2.33</v>
      </c>
      <c r="D1782" s="4">
        <v>0</v>
      </c>
      <c r="E1782" s="5">
        <v>0</v>
      </c>
      <c r="F1782" s="4">
        <v>3</v>
      </c>
      <c r="G1782" s="5">
        <v>5.26</v>
      </c>
      <c r="H1782" s="4">
        <v>0</v>
      </c>
    </row>
    <row r="1783" spans="1:8" x14ac:dyDescent="0.2">
      <c r="A1783" s="2" t="s">
        <v>194</v>
      </c>
      <c r="B1783" s="4">
        <v>2</v>
      </c>
      <c r="C1783" s="5">
        <v>1.55</v>
      </c>
      <c r="D1783" s="4">
        <v>1</v>
      </c>
      <c r="E1783" s="5">
        <v>1.54</v>
      </c>
      <c r="F1783" s="4">
        <v>1</v>
      </c>
      <c r="G1783" s="5">
        <v>1.75</v>
      </c>
      <c r="H1783" s="4">
        <v>0</v>
      </c>
    </row>
    <row r="1784" spans="1:8" x14ac:dyDescent="0.2">
      <c r="A1784" s="2" t="s">
        <v>195</v>
      </c>
      <c r="B1784" s="4">
        <v>2</v>
      </c>
      <c r="C1784" s="5">
        <v>1.55</v>
      </c>
      <c r="D1784" s="4">
        <v>0</v>
      </c>
      <c r="E1784" s="5">
        <v>0</v>
      </c>
      <c r="F1784" s="4">
        <v>2</v>
      </c>
      <c r="G1784" s="5">
        <v>3.51</v>
      </c>
      <c r="H1784" s="4">
        <v>0</v>
      </c>
    </row>
    <row r="1785" spans="1:8" x14ac:dyDescent="0.2">
      <c r="A1785" s="2" t="s">
        <v>196</v>
      </c>
      <c r="B1785" s="4">
        <v>24</v>
      </c>
      <c r="C1785" s="5">
        <v>18.600000000000001</v>
      </c>
      <c r="D1785" s="4">
        <v>13</v>
      </c>
      <c r="E1785" s="5">
        <v>20</v>
      </c>
      <c r="F1785" s="4">
        <v>11</v>
      </c>
      <c r="G1785" s="5">
        <v>19.3</v>
      </c>
      <c r="H1785" s="4">
        <v>0</v>
      </c>
    </row>
    <row r="1786" spans="1:8" x14ac:dyDescent="0.2">
      <c r="A1786" s="2" t="s">
        <v>197</v>
      </c>
      <c r="B1786" s="4">
        <v>0</v>
      </c>
      <c r="C1786" s="5">
        <v>0</v>
      </c>
      <c r="D1786" s="4">
        <v>0</v>
      </c>
      <c r="E1786" s="5">
        <v>0</v>
      </c>
      <c r="F1786" s="4">
        <v>0</v>
      </c>
      <c r="G1786" s="5">
        <v>0</v>
      </c>
      <c r="H1786" s="4">
        <v>0</v>
      </c>
    </row>
    <row r="1787" spans="1:8" x14ac:dyDescent="0.2">
      <c r="A1787" s="2" t="s">
        <v>198</v>
      </c>
      <c r="B1787" s="4">
        <v>4</v>
      </c>
      <c r="C1787" s="5">
        <v>3.1</v>
      </c>
      <c r="D1787" s="4">
        <v>2</v>
      </c>
      <c r="E1787" s="5">
        <v>3.08</v>
      </c>
      <c r="F1787" s="4">
        <v>2</v>
      </c>
      <c r="G1787" s="5">
        <v>3.51</v>
      </c>
      <c r="H1787" s="4">
        <v>0</v>
      </c>
    </row>
    <row r="1788" spans="1:8" x14ac:dyDescent="0.2">
      <c r="A1788" s="2" t="s">
        <v>199</v>
      </c>
      <c r="B1788" s="4">
        <v>4</v>
      </c>
      <c r="C1788" s="5">
        <v>3.1</v>
      </c>
      <c r="D1788" s="4">
        <v>1</v>
      </c>
      <c r="E1788" s="5">
        <v>1.54</v>
      </c>
      <c r="F1788" s="4">
        <v>2</v>
      </c>
      <c r="G1788" s="5">
        <v>3.51</v>
      </c>
      <c r="H1788" s="4">
        <v>0</v>
      </c>
    </row>
    <row r="1789" spans="1:8" x14ac:dyDescent="0.2">
      <c r="A1789" s="2" t="s">
        <v>200</v>
      </c>
      <c r="B1789" s="4">
        <v>20</v>
      </c>
      <c r="C1789" s="5">
        <v>15.5</v>
      </c>
      <c r="D1789" s="4">
        <v>18</v>
      </c>
      <c r="E1789" s="5">
        <v>27.69</v>
      </c>
      <c r="F1789" s="4">
        <v>2</v>
      </c>
      <c r="G1789" s="5">
        <v>3.51</v>
      </c>
      <c r="H1789" s="4">
        <v>0</v>
      </c>
    </row>
    <row r="1790" spans="1:8" x14ac:dyDescent="0.2">
      <c r="A1790" s="2" t="s">
        <v>201</v>
      </c>
      <c r="B1790" s="4">
        <v>19</v>
      </c>
      <c r="C1790" s="5">
        <v>14.73</v>
      </c>
      <c r="D1790" s="4">
        <v>11</v>
      </c>
      <c r="E1790" s="5">
        <v>16.920000000000002</v>
      </c>
      <c r="F1790" s="4">
        <v>8</v>
      </c>
      <c r="G1790" s="5">
        <v>14.04</v>
      </c>
      <c r="H1790" s="4">
        <v>0</v>
      </c>
    </row>
    <row r="1791" spans="1:8" x14ac:dyDescent="0.2">
      <c r="A1791" s="2" t="s">
        <v>202</v>
      </c>
      <c r="B1791" s="4">
        <v>5</v>
      </c>
      <c r="C1791" s="5">
        <v>3.88</v>
      </c>
      <c r="D1791" s="4">
        <v>3</v>
      </c>
      <c r="E1791" s="5">
        <v>4.62</v>
      </c>
      <c r="F1791" s="4">
        <v>0</v>
      </c>
      <c r="G1791" s="5">
        <v>0</v>
      </c>
      <c r="H1791" s="4">
        <v>0</v>
      </c>
    </row>
    <row r="1792" spans="1:8" x14ac:dyDescent="0.2">
      <c r="A1792" s="2" t="s">
        <v>203</v>
      </c>
      <c r="B1792" s="4">
        <v>6</v>
      </c>
      <c r="C1792" s="5">
        <v>4.6500000000000004</v>
      </c>
      <c r="D1792" s="4">
        <v>3</v>
      </c>
      <c r="E1792" s="5">
        <v>4.62</v>
      </c>
      <c r="F1792" s="4">
        <v>0</v>
      </c>
      <c r="G1792" s="5">
        <v>0</v>
      </c>
      <c r="H1792" s="4">
        <v>0</v>
      </c>
    </row>
    <row r="1793" spans="1:8" x14ac:dyDescent="0.2">
      <c r="A1793" s="2" t="s">
        <v>204</v>
      </c>
      <c r="B1793" s="4">
        <v>5</v>
      </c>
      <c r="C1793" s="5">
        <v>3.88</v>
      </c>
      <c r="D1793" s="4">
        <v>3</v>
      </c>
      <c r="E1793" s="5">
        <v>4.62</v>
      </c>
      <c r="F1793" s="4">
        <v>1</v>
      </c>
      <c r="G1793" s="5">
        <v>1.75</v>
      </c>
      <c r="H1793" s="4">
        <v>0</v>
      </c>
    </row>
    <row r="1794" spans="1:8" x14ac:dyDescent="0.2">
      <c r="A1794" s="1" t="s">
        <v>112</v>
      </c>
      <c r="B1794" s="4">
        <v>141</v>
      </c>
      <c r="C1794" s="5">
        <v>100.01999999999998</v>
      </c>
      <c r="D1794" s="4">
        <v>79</v>
      </c>
      <c r="E1794" s="5">
        <v>100.00999999999999</v>
      </c>
      <c r="F1794" s="4">
        <v>57</v>
      </c>
      <c r="G1794" s="5">
        <v>99.98</v>
      </c>
      <c r="H1794" s="4">
        <v>1</v>
      </c>
    </row>
    <row r="1795" spans="1:8" x14ac:dyDescent="0.2">
      <c r="A1795" s="2" t="s">
        <v>190</v>
      </c>
      <c r="B1795" s="4">
        <v>0</v>
      </c>
      <c r="C1795" s="5">
        <v>0</v>
      </c>
      <c r="D1795" s="4">
        <v>0</v>
      </c>
      <c r="E1795" s="5">
        <v>0</v>
      </c>
      <c r="F1795" s="4">
        <v>0</v>
      </c>
      <c r="G1795" s="5">
        <v>0</v>
      </c>
      <c r="H1795" s="4">
        <v>0</v>
      </c>
    </row>
    <row r="1796" spans="1:8" x14ac:dyDescent="0.2">
      <c r="A1796" s="2" t="s">
        <v>191</v>
      </c>
      <c r="B1796" s="4">
        <v>20</v>
      </c>
      <c r="C1796" s="5">
        <v>14.18</v>
      </c>
      <c r="D1796" s="4">
        <v>4</v>
      </c>
      <c r="E1796" s="5">
        <v>5.0599999999999996</v>
      </c>
      <c r="F1796" s="4">
        <v>16</v>
      </c>
      <c r="G1796" s="5">
        <v>28.07</v>
      </c>
      <c r="H1796" s="4">
        <v>0</v>
      </c>
    </row>
    <row r="1797" spans="1:8" x14ac:dyDescent="0.2">
      <c r="A1797" s="2" t="s">
        <v>192</v>
      </c>
      <c r="B1797" s="4">
        <v>19</v>
      </c>
      <c r="C1797" s="5">
        <v>13.48</v>
      </c>
      <c r="D1797" s="4">
        <v>7</v>
      </c>
      <c r="E1797" s="5">
        <v>8.86</v>
      </c>
      <c r="F1797" s="4">
        <v>12</v>
      </c>
      <c r="G1797" s="5">
        <v>21.05</v>
      </c>
      <c r="H1797" s="4">
        <v>0</v>
      </c>
    </row>
    <row r="1798" spans="1:8" x14ac:dyDescent="0.2">
      <c r="A1798" s="2" t="s">
        <v>193</v>
      </c>
      <c r="B1798" s="4">
        <v>1</v>
      </c>
      <c r="C1798" s="5">
        <v>0.71</v>
      </c>
      <c r="D1798" s="4">
        <v>0</v>
      </c>
      <c r="E1798" s="5">
        <v>0</v>
      </c>
      <c r="F1798" s="4">
        <v>0</v>
      </c>
      <c r="G1798" s="5">
        <v>0</v>
      </c>
      <c r="H1798" s="4">
        <v>0</v>
      </c>
    </row>
    <row r="1799" spans="1:8" x14ac:dyDescent="0.2">
      <c r="A1799" s="2" t="s">
        <v>194</v>
      </c>
      <c r="B1799" s="4">
        <v>0</v>
      </c>
      <c r="C1799" s="5">
        <v>0</v>
      </c>
      <c r="D1799" s="4">
        <v>0</v>
      </c>
      <c r="E1799" s="5">
        <v>0</v>
      </c>
      <c r="F1799" s="4">
        <v>0</v>
      </c>
      <c r="G1799" s="5">
        <v>0</v>
      </c>
      <c r="H1799" s="4">
        <v>0</v>
      </c>
    </row>
    <row r="1800" spans="1:8" x14ac:dyDescent="0.2">
      <c r="A1800" s="2" t="s">
        <v>195</v>
      </c>
      <c r="B1800" s="4">
        <v>3</v>
      </c>
      <c r="C1800" s="5">
        <v>2.13</v>
      </c>
      <c r="D1800" s="4">
        <v>1</v>
      </c>
      <c r="E1800" s="5">
        <v>1.27</v>
      </c>
      <c r="F1800" s="4">
        <v>2</v>
      </c>
      <c r="G1800" s="5">
        <v>3.51</v>
      </c>
      <c r="H1800" s="4">
        <v>0</v>
      </c>
    </row>
    <row r="1801" spans="1:8" x14ac:dyDescent="0.2">
      <c r="A1801" s="2" t="s">
        <v>196</v>
      </c>
      <c r="B1801" s="4">
        <v>41</v>
      </c>
      <c r="C1801" s="5">
        <v>29.08</v>
      </c>
      <c r="D1801" s="4">
        <v>24</v>
      </c>
      <c r="E1801" s="5">
        <v>30.38</v>
      </c>
      <c r="F1801" s="4">
        <v>17</v>
      </c>
      <c r="G1801" s="5">
        <v>29.82</v>
      </c>
      <c r="H1801" s="4">
        <v>0</v>
      </c>
    </row>
    <row r="1802" spans="1:8" x14ac:dyDescent="0.2">
      <c r="A1802" s="2" t="s">
        <v>197</v>
      </c>
      <c r="B1802" s="4">
        <v>1</v>
      </c>
      <c r="C1802" s="5">
        <v>0.71</v>
      </c>
      <c r="D1802" s="4">
        <v>1</v>
      </c>
      <c r="E1802" s="5">
        <v>1.27</v>
      </c>
      <c r="F1802" s="4">
        <v>0</v>
      </c>
      <c r="G1802" s="5">
        <v>0</v>
      </c>
      <c r="H1802" s="4">
        <v>0</v>
      </c>
    </row>
    <row r="1803" spans="1:8" x14ac:dyDescent="0.2">
      <c r="A1803" s="2" t="s">
        <v>198</v>
      </c>
      <c r="B1803" s="4">
        <v>2</v>
      </c>
      <c r="C1803" s="5">
        <v>1.42</v>
      </c>
      <c r="D1803" s="4">
        <v>2</v>
      </c>
      <c r="E1803" s="5">
        <v>2.5299999999999998</v>
      </c>
      <c r="F1803" s="4">
        <v>0</v>
      </c>
      <c r="G1803" s="5">
        <v>0</v>
      </c>
      <c r="H1803" s="4">
        <v>0</v>
      </c>
    </row>
    <row r="1804" spans="1:8" x14ac:dyDescent="0.2">
      <c r="A1804" s="2" t="s">
        <v>199</v>
      </c>
      <c r="B1804" s="4">
        <v>4</v>
      </c>
      <c r="C1804" s="5">
        <v>2.84</v>
      </c>
      <c r="D1804" s="4">
        <v>3</v>
      </c>
      <c r="E1804" s="5">
        <v>3.8</v>
      </c>
      <c r="F1804" s="4">
        <v>1</v>
      </c>
      <c r="G1804" s="5">
        <v>1.75</v>
      </c>
      <c r="H1804" s="4">
        <v>0</v>
      </c>
    </row>
    <row r="1805" spans="1:8" x14ac:dyDescent="0.2">
      <c r="A1805" s="2" t="s">
        <v>200</v>
      </c>
      <c r="B1805" s="4">
        <v>24</v>
      </c>
      <c r="C1805" s="5">
        <v>17.02</v>
      </c>
      <c r="D1805" s="4">
        <v>19</v>
      </c>
      <c r="E1805" s="5">
        <v>24.05</v>
      </c>
      <c r="F1805" s="4">
        <v>5</v>
      </c>
      <c r="G1805" s="5">
        <v>8.77</v>
      </c>
      <c r="H1805" s="4">
        <v>0</v>
      </c>
    </row>
    <row r="1806" spans="1:8" x14ac:dyDescent="0.2">
      <c r="A1806" s="2" t="s">
        <v>201</v>
      </c>
      <c r="B1806" s="4">
        <v>15</v>
      </c>
      <c r="C1806" s="5">
        <v>10.64</v>
      </c>
      <c r="D1806" s="4">
        <v>14</v>
      </c>
      <c r="E1806" s="5">
        <v>17.72</v>
      </c>
      <c r="F1806" s="4">
        <v>1</v>
      </c>
      <c r="G1806" s="5">
        <v>1.75</v>
      </c>
      <c r="H1806" s="4">
        <v>0</v>
      </c>
    </row>
    <row r="1807" spans="1:8" x14ac:dyDescent="0.2">
      <c r="A1807" s="2" t="s">
        <v>202</v>
      </c>
      <c r="B1807" s="4">
        <v>3</v>
      </c>
      <c r="C1807" s="5">
        <v>2.13</v>
      </c>
      <c r="D1807" s="4">
        <v>2</v>
      </c>
      <c r="E1807" s="5">
        <v>2.5299999999999998</v>
      </c>
      <c r="F1807" s="4">
        <v>0</v>
      </c>
      <c r="G1807" s="5">
        <v>0</v>
      </c>
      <c r="H1807" s="4">
        <v>0</v>
      </c>
    </row>
    <row r="1808" spans="1:8" x14ac:dyDescent="0.2">
      <c r="A1808" s="2" t="s">
        <v>203</v>
      </c>
      <c r="B1808" s="4">
        <v>3</v>
      </c>
      <c r="C1808" s="5">
        <v>2.13</v>
      </c>
      <c r="D1808" s="4">
        <v>1</v>
      </c>
      <c r="E1808" s="5">
        <v>1.27</v>
      </c>
      <c r="F1808" s="4">
        <v>1</v>
      </c>
      <c r="G1808" s="5">
        <v>1.75</v>
      </c>
      <c r="H1808" s="4">
        <v>0</v>
      </c>
    </row>
    <row r="1809" spans="1:8" x14ac:dyDescent="0.2">
      <c r="A1809" s="2" t="s">
        <v>204</v>
      </c>
      <c r="B1809" s="4">
        <v>5</v>
      </c>
      <c r="C1809" s="5">
        <v>3.55</v>
      </c>
      <c r="D1809" s="4">
        <v>1</v>
      </c>
      <c r="E1809" s="5">
        <v>1.27</v>
      </c>
      <c r="F1809" s="4">
        <v>2</v>
      </c>
      <c r="G1809" s="5">
        <v>3.51</v>
      </c>
      <c r="H1809" s="4">
        <v>1</v>
      </c>
    </row>
    <row r="1810" spans="1:8" x14ac:dyDescent="0.2">
      <c r="A1810" s="1" t="s">
        <v>113</v>
      </c>
      <c r="B1810" s="4">
        <v>31</v>
      </c>
      <c r="C1810" s="5">
        <v>100.01000000000002</v>
      </c>
      <c r="D1810" s="4">
        <v>9</v>
      </c>
      <c r="E1810" s="5">
        <v>99.99</v>
      </c>
      <c r="F1810" s="4">
        <v>18</v>
      </c>
      <c r="G1810" s="5">
        <v>100.01</v>
      </c>
      <c r="H1810" s="4">
        <v>0</v>
      </c>
    </row>
    <row r="1811" spans="1:8" x14ac:dyDescent="0.2">
      <c r="A1811" s="2" t="s">
        <v>190</v>
      </c>
      <c r="B1811" s="4">
        <v>0</v>
      </c>
      <c r="C1811" s="5">
        <v>0</v>
      </c>
      <c r="D1811" s="4">
        <v>0</v>
      </c>
      <c r="E1811" s="5">
        <v>0</v>
      </c>
      <c r="F1811" s="4">
        <v>0</v>
      </c>
      <c r="G1811" s="5">
        <v>0</v>
      </c>
      <c r="H1811" s="4">
        <v>0</v>
      </c>
    </row>
    <row r="1812" spans="1:8" x14ac:dyDescent="0.2">
      <c r="A1812" s="2" t="s">
        <v>191</v>
      </c>
      <c r="B1812" s="4">
        <v>4</v>
      </c>
      <c r="C1812" s="5">
        <v>12.9</v>
      </c>
      <c r="D1812" s="4">
        <v>0</v>
      </c>
      <c r="E1812" s="5">
        <v>0</v>
      </c>
      <c r="F1812" s="4">
        <v>4</v>
      </c>
      <c r="G1812" s="5">
        <v>22.22</v>
      </c>
      <c r="H1812" s="4">
        <v>0</v>
      </c>
    </row>
    <row r="1813" spans="1:8" x14ac:dyDescent="0.2">
      <c r="A1813" s="2" t="s">
        <v>192</v>
      </c>
      <c r="B1813" s="4">
        <v>3</v>
      </c>
      <c r="C1813" s="5">
        <v>9.68</v>
      </c>
      <c r="D1813" s="4">
        <v>1</v>
      </c>
      <c r="E1813" s="5">
        <v>11.11</v>
      </c>
      <c r="F1813" s="4">
        <v>2</v>
      </c>
      <c r="G1813" s="5">
        <v>11.11</v>
      </c>
      <c r="H1813" s="4">
        <v>0</v>
      </c>
    </row>
    <row r="1814" spans="1:8" x14ac:dyDescent="0.2">
      <c r="A1814" s="2" t="s">
        <v>193</v>
      </c>
      <c r="B1814" s="4">
        <v>2</v>
      </c>
      <c r="C1814" s="5">
        <v>6.45</v>
      </c>
      <c r="D1814" s="4">
        <v>0</v>
      </c>
      <c r="E1814" s="5">
        <v>0</v>
      </c>
      <c r="F1814" s="4">
        <v>1</v>
      </c>
      <c r="G1814" s="5">
        <v>5.56</v>
      </c>
      <c r="H1814" s="4">
        <v>0</v>
      </c>
    </row>
    <row r="1815" spans="1:8" x14ac:dyDescent="0.2">
      <c r="A1815" s="2" t="s">
        <v>194</v>
      </c>
      <c r="B1815" s="4">
        <v>0</v>
      </c>
      <c r="C1815" s="5">
        <v>0</v>
      </c>
      <c r="D1815" s="4">
        <v>0</v>
      </c>
      <c r="E1815" s="5">
        <v>0</v>
      </c>
      <c r="F1815" s="4">
        <v>0</v>
      </c>
      <c r="G1815" s="5">
        <v>0</v>
      </c>
      <c r="H1815" s="4">
        <v>0</v>
      </c>
    </row>
    <row r="1816" spans="1:8" x14ac:dyDescent="0.2">
      <c r="A1816" s="2" t="s">
        <v>195</v>
      </c>
      <c r="B1816" s="4">
        <v>3</v>
      </c>
      <c r="C1816" s="5">
        <v>9.68</v>
      </c>
      <c r="D1816" s="4">
        <v>0</v>
      </c>
      <c r="E1816" s="5">
        <v>0</v>
      </c>
      <c r="F1816" s="4">
        <v>3</v>
      </c>
      <c r="G1816" s="5">
        <v>16.670000000000002</v>
      </c>
      <c r="H1816" s="4">
        <v>0</v>
      </c>
    </row>
    <row r="1817" spans="1:8" x14ac:dyDescent="0.2">
      <c r="A1817" s="2" t="s">
        <v>196</v>
      </c>
      <c r="B1817" s="4">
        <v>8</v>
      </c>
      <c r="C1817" s="5">
        <v>25.81</v>
      </c>
      <c r="D1817" s="4">
        <v>3</v>
      </c>
      <c r="E1817" s="5">
        <v>33.33</v>
      </c>
      <c r="F1817" s="4">
        <v>5</v>
      </c>
      <c r="G1817" s="5">
        <v>27.78</v>
      </c>
      <c r="H1817" s="4">
        <v>0</v>
      </c>
    </row>
    <row r="1818" spans="1:8" x14ac:dyDescent="0.2">
      <c r="A1818" s="2" t="s">
        <v>197</v>
      </c>
      <c r="B1818" s="4">
        <v>0</v>
      </c>
      <c r="C1818" s="5">
        <v>0</v>
      </c>
      <c r="D1818" s="4">
        <v>0</v>
      </c>
      <c r="E1818" s="5">
        <v>0</v>
      </c>
      <c r="F1818" s="4">
        <v>0</v>
      </c>
      <c r="G1818" s="5">
        <v>0</v>
      </c>
      <c r="H1818" s="4">
        <v>0</v>
      </c>
    </row>
    <row r="1819" spans="1:8" x14ac:dyDescent="0.2">
      <c r="A1819" s="2" t="s">
        <v>198</v>
      </c>
      <c r="B1819" s="4">
        <v>0</v>
      </c>
      <c r="C1819" s="5">
        <v>0</v>
      </c>
      <c r="D1819" s="4">
        <v>0</v>
      </c>
      <c r="E1819" s="5">
        <v>0</v>
      </c>
      <c r="F1819" s="4">
        <v>0</v>
      </c>
      <c r="G1819" s="5">
        <v>0</v>
      </c>
      <c r="H1819" s="4">
        <v>0</v>
      </c>
    </row>
    <row r="1820" spans="1:8" x14ac:dyDescent="0.2">
      <c r="A1820" s="2" t="s">
        <v>199</v>
      </c>
      <c r="B1820" s="4">
        <v>0</v>
      </c>
      <c r="C1820" s="5">
        <v>0</v>
      </c>
      <c r="D1820" s="4">
        <v>0</v>
      </c>
      <c r="E1820" s="5">
        <v>0</v>
      </c>
      <c r="F1820" s="4">
        <v>0</v>
      </c>
      <c r="G1820" s="5">
        <v>0</v>
      </c>
      <c r="H1820" s="4">
        <v>0</v>
      </c>
    </row>
    <row r="1821" spans="1:8" x14ac:dyDescent="0.2">
      <c r="A1821" s="2" t="s">
        <v>200</v>
      </c>
      <c r="B1821" s="4">
        <v>6</v>
      </c>
      <c r="C1821" s="5">
        <v>19.350000000000001</v>
      </c>
      <c r="D1821" s="4">
        <v>4</v>
      </c>
      <c r="E1821" s="5">
        <v>44.44</v>
      </c>
      <c r="F1821" s="4">
        <v>2</v>
      </c>
      <c r="G1821" s="5">
        <v>11.11</v>
      </c>
      <c r="H1821" s="4">
        <v>0</v>
      </c>
    </row>
    <row r="1822" spans="1:8" x14ac:dyDescent="0.2">
      <c r="A1822" s="2" t="s">
        <v>201</v>
      </c>
      <c r="B1822" s="4">
        <v>2</v>
      </c>
      <c r="C1822" s="5">
        <v>6.45</v>
      </c>
      <c r="D1822" s="4">
        <v>1</v>
      </c>
      <c r="E1822" s="5">
        <v>11.11</v>
      </c>
      <c r="F1822" s="4">
        <v>0</v>
      </c>
      <c r="G1822" s="5">
        <v>0</v>
      </c>
      <c r="H1822" s="4">
        <v>0</v>
      </c>
    </row>
    <row r="1823" spans="1:8" x14ac:dyDescent="0.2">
      <c r="A1823" s="2" t="s">
        <v>202</v>
      </c>
      <c r="B1823" s="4">
        <v>1</v>
      </c>
      <c r="C1823" s="5">
        <v>3.23</v>
      </c>
      <c r="D1823" s="4">
        <v>0</v>
      </c>
      <c r="E1823" s="5">
        <v>0</v>
      </c>
      <c r="F1823" s="4">
        <v>0</v>
      </c>
      <c r="G1823" s="5">
        <v>0</v>
      </c>
      <c r="H1823" s="4">
        <v>0</v>
      </c>
    </row>
    <row r="1824" spans="1:8" x14ac:dyDescent="0.2">
      <c r="A1824" s="2" t="s">
        <v>203</v>
      </c>
      <c r="B1824" s="4">
        <v>1</v>
      </c>
      <c r="C1824" s="5">
        <v>3.23</v>
      </c>
      <c r="D1824" s="4">
        <v>0</v>
      </c>
      <c r="E1824" s="5">
        <v>0</v>
      </c>
      <c r="F1824" s="4">
        <v>0</v>
      </c>
      <c r="G1824" s="5">
        <v>0</v>
      </c>
      <c r="H1824" s="4">
        <v>0</v>
      </c>
    </row>
    <row r="1825" spans="1:8" x14ac:dyDescent="0.2">
      <c r="A1825" s="2" t="s">
        <v>204</v>
      </c>
      <c r="B1825" s="4">
        <v>1</v>
      </c>
      <c r="C1825" s="5">
        <v>3.23</v>
      </c>
      <c r="D1825" s="4">
        <v>0</v>
      </c>
      <c r="E1825" s="5">
        <v>0</v>
      </c>
      <c r="F1825" s="4">
        <v>1</v>
      </c>
      <c r="G1825" s="5">
        <v>5.56</v>
      </c>
      <c r="H1825" s="4">
        <v>0</v>
      </c>
    </row>
    <row r="1826" spans="1:8" x14ac:dyDescent="0.2">
      <c r="A1826" s="1" t="s">
        <v>114</v>
      </c>
      <c r="B1826" s="4">
        <v>67</v>
      </c>
      <c r="C1826" s="5">
        <v>100.00999999999999</v>
      </c>
      <c r="D1826" s="4">
        <v>33</v>
      </c>
      <c r="E1826" s="5">
        <v>99.990000000000009</v>
      </c>
      <c r="F1826" s="4">
        <v>32</v>
      </c>
      <c r="G1826" s="5">
        <v>100.04999999999997</v>
      </c>
      <c r="H1826" s="4">
        <v>1</v>
      </c>
    </row>
    <row r="1827" spans="1:8" x14ac:dyDescent="0.2">
      <c r="A1827" s="2" t="s">
        <v>190</v>
      </c>
      <c r="B1827" s="4">
        <v>0</v>
      </c>
      <c r="C1827" s="5">
        <v>0</v>
      </c>
      <c r="D1827" s="4">
        <v>0</v>
      </c>
      <c r="E1827" s="5">
        <v>0</v>
      </c>
      <c r="F1827" s="4">
        <v>0</v>
      </c>
      <c r="G1827" s="5">
        <v>0</v>
      </c>
      <c r="H1827" s="4">
        <v>0</v>
      </c>
    </row>
    <row r="1828" spans="1:8" x14ac:dyDescent="0.2">
      <c r="A1828" s="2" t="s">
        <v>191</v>
      </c>
      <c r="B1828" s="4">
        <v>4</v>
      </c>
      <c r="C1828" s="5">
        <v>5.97</v>
      </c>
      <c r="D1828" s="4">
        <v>1</v>
      </c>
      <c r="E1828" s="5">
        <v>3.03</v>
      </c>
      <c r="F1828" s="4">
        <v>3</v>
      </c>
      <c r="G1828" s="5">
        <v>9.3800000000000008</v>
      </c>
      <c r="H1828" s="4">
        <v>0</v>
      </c>
    </row>
    <row r="1829" spans="1:8" x14ac:dyDescent="0.2">
      <c r="A1829" s="2" t="s">
        <v>192</v>
      </c>
      <c r="B1829" s="4">
        <v>11</v>
      </c>
      <c r="C1829" s="5">
        <v>16.420000000000002</v>
      </c>
      <c r="D1829" s="4">
        <v>5</v>
      </c>
      <c r="E1829" s="5">
        <v>15.15</v>
      </c>
      <c r="F1829" s="4">
        <v>6</v>
      </c>
      <c r="G1829" s="5">
        <v>18.75</v>
      </c>
      <c r="H1829" s="4">
        <v>0</v>
      </c>
    </row>
    <row r="1830" spans="1:8" x14ac:dyDescent="0.2">
      <c r="A1830" s="2" t="s">
        <v>193</v>
      </c>
      <c r="B1830" s="4">
        <v>1</v>
      </c>
      <c r="C1830" s="5">
        <v>1.49</v>
      </c>
      <c r="D1830" s="4">
        <v>0</v>
      </c>
      <c r="E1830" s="5">
        <v>0</v>
      </c>
      <c r="F1830" s="4">
        <v>1</v>
      </c>
      <c r="G1830" s="5">
        <v>3.13</v>
      </c>
      <c r="H1830" s="4">
        <v>0</v>
      </c>
    </row>
    <row r="1831" spans="1:8" x14ac:dyDescent="0.2">
      <c r="A1831" s="2" t="s">
        <v>194</v>
      </c>
      <c r="B1831" s="4">
        <v>0</v>
      </c>
      <c r="C1831" s="5">
        <v>0</v>
      </c>
      <c r="D1831" s="4">
        <v>0</v>
      </c>
      <c r="E1831" s="5">
        <v>0</v>
      </c>
      <c r="F1831" s="4">
        <v>0</v>
      </c>
      <c r="G1831" s="5">
        <v>0</v>
      </c>
      <c r="H1831" s="4">
        <v>0</v>
      </c>
    </row>
    <row r="1832" spans="1:8" x14ac:dyDescent="0.2">
      <c r="A1832" s="2" t="s">
        <v>195</v>
      </c>
      <c r="B1832" s="4">
        <v>2</v>
      </c>
      <c r="C1832" s="5">
        <v>2.99</v>
      </c>
      <c r="D1832" s="4">
        <v>0</v>
      </c>
      <c r="E1832" s="5">
        <v>0</v>
      </c>
      <c r="F1832" s="4">
        <v>1</v>
      </c>
      <c r="G1832" s="5">
        <v>3.13</v>
      </c>
      <c r="H1832" s="4">
        <v>1</v>
      </c>
    </row>
    <row r="1833" spans="1:8" x14ac:dyDescent="0.2">
      <c r="A1833" s="2" t="s">
        <v>196</v>
      </c>
      <c r="B1833" s="4">
        <v>20</v>
      </c>
      <c r="C1833" s="5">
        <v>29.85</v>
      </c>
      <c r="D1833" s="4">
        <v>11</v>
      </c>
      <c r="E1833" s="5">
        <v>33.33</v>
      </c>
      <c r="F1833" s="4">
        <v>9</v>
      </c>
      <c r="G1833" s="5">
        <v>28.13</v>
      </c>
      <c r="H1833" s="4">
        <v>0</v>
      </c>
    </row>
    <row r="1834" spans="1:8" x14ac:dyDescent="0.2">
      <c r="A1834" s="2" t="s">
        <v>197</v>
      </c>
      <c r="B1834" s="4">
        <v>1</v>
      </c>
      <c r="C1834" s="5">
        <v>1.49</v>
      </c>
      <c r="D1834" s="4">
        <v>0</v>
      </c>
      <c r="E1834" s="5">
        <v>0</v>
      </c>
      <c r="F1834" s="4">
        <v>1</v>
      </c>
      <c r="G1834" s="5">
        <v>3.13</v>
      </c>
      <c r="H1834" s="4">
        <v>0</v>
      </c>
    </row>
    <row r="1835" spans="1:8" x14ac:dyDescent="0.2">
      <c r="A1835" s="2" t="s">
        <v>198</v>
      </c>
      <c r="B1835" s="4">
        <v>4</v>
      </c>
      <c r="C1835" s="5">
        <v>5.97</v>
      </c>
      <c r="D1835" s="4">
        <v>1</v>
      </c>
      <c r="E1835" s="5">
        <v>3.03</v>
      </c>
      <c r="F1835" s="4">
        <v>3</v>
      </c>
      <c r="G1835" s="5">
        <v>9.3800000000000008</v>
      </c>
      <c r="H1835" s="4">
        <v>0</v>
      </c>
    </row>
    <row r="1836" spans="1:8" x14ac:dyDescent="0.2">
      <c r="A1836" s="2" t="s">
        <v>199</v>
      </c>
      <c r="B1836" s="4">
        <v>3</v>
      </c>
      <c r="C1836" s="5">
        <v>4.4800000000000004</v>
      </c>
      <c r="D1836" s="4">
        <v>1</v>
      </c>
      <c r="E1836" s="5">
        <v>3.03</v>
      </c>
      <c r="F1836" s="4">
        <v>2</v>
      </c>
      <c r="G1836" s="5">
        <v>6.25</v>
      </c>
      <c r="H1836" s="4">
        <v>0</v>
      </c>
    </row>
    <row r="1837" spans="1:8" x14ac:dyDescent="0.2">
      <c r="A1837" s="2" t="s">
        <v>200</v>
      </c>
      <c r="B1837" s="4">
        <v>9</v>
      </c>
      <c r="C1837" s="5">
        <v>13.43</v>
      </c>
      <c r="D1837" s="4">
        <v>7</v>
      </c>
      <c r="E1837" s="5">
        <v>21.21</v>
      </c>
      <c r="F1837" s="4">
        <v>2</v>
      </c>
      <c r="G1837" s="5">
        <v>6.25</v>
      </c>
      <c r="H1837" s="4">
        <v>0</v>
      </c>
    </row>
    <row r="1838" spans="1:8" x14ac:dyDescent="0.2">
      <c r="A1838" s="2" t="s">
        <v>201</v>
      </c>
      <c r="B1838" s="4">
        <v>7</v>
      </c>
      <c r="C1838" s="5">
        <v>10.45</v>
      </c>
      <c r="D1838" s="4">
        <v>6</v>
      </c>
      <c r="E1838" s="5">
        <v>18.18</v>
      </c>
      <c r="F1838" s="4">
        <v>1</v>
      </c>
      <c r="G1838" s="5">
        <v>3.13</v>
      </c>
      <c r="H1838" s="4">
        <v>0</v>
      </c>
    </row>
    <row r="1839" spans="1:8" x14ac:dyDescent="0.2">
      <c r="A1839" s="2" t="s">
        <v>202</v>
      </c>
      <c r="B1839" s="4">
        <v>2</v>
      </c>
      <c r="C1839" s="5">
        <v>2.99</v>
      </c>
      <c r="D1839" s="4">
        <v>0</v>
      </c>
      <c r="E1839" s="5">
        <v>0</v>
      </c>
      <c r="F1839" s="4">
        <v>1</v>
      </c>
      <c r="G1839" s="5">
        <v>3.13</v>
      </c>
      <c r="H1839" s="4">
        <v>0</v>
      </c>
    </row>
    <row r="1840" spans="1:8" x14ac:dyDescent="0.2">
      <c r="A1840" s="2" t="s">
        <v>203</v>
      </c>
      <c r="B1840" s="4">
        <v>1</v>
      </c>
      <c r="C1840" s="5">
        <v>1.49</v>
      </c>
      <c r="D1840" s="4">
        <v>0</v>
      </c>
      <c r="E1840" s="5">
        <v>0</v>
      </c>
      <c r="F1840" s="4">
        <v>1</v>
      </c>
      <c r="G1840" s="5">
        <v>3.13</v>
      </c>
      <c r="H1840" s="4">
        <v>0</v>
      </c>
    </row>
    <row r="1841" spans="1:8" x14ac:dyDescent="0.2">
      <c r="A1841" s="2" t="s">
        <v>204</v>
      </c>
      <c r="B1841" s="4">
        <v>2</v>
      </c>
      <c r="C1841" s="5">
        <v>2.99</v>
      </c>
      <c r="D1841" s="4">
        <v>1</v>
      </c>
      <c r="E1841" s="5">
        <v>3.03</v>
      </c>
      <c r="F1841" s="4">
        <v>1</v>
      </c>
      <c r="G1841" s="5">
        <v>3.13</v>
      </c>
      <c r="H1841" s="4">
        <v>0</v>
      </c>
    </row>
    <row r="1842" spans="1:8" x14ac:dyDescent="0.2">
      <c r="A1842" s="1" t="s">
        <v>115</v>
      </c>
      <c r="B1842" s="4">
        <v>47</v>
      </c>
      <c r="C1842" s="5">
        <v>100.01</v>
      </c>
      <c r="D1842" s="4">
        <v>22</v>
      </c>
      <c r="E1842" s="5">
        <v>100</v>
      </c>
      <c r="F1842" s="4">
        <v>20</v>
      </c>
      <c r="G1842" s="5">
        <v>100</v>
      </c>
      <c r="H1842" s="4">
        <v>3</v>
      </c>
    </row>
    <row r="1843" spans="1:8" x14ac:dyDescent="0.2">
      <c r="A1843" s="2" t="s">
        <v>190</v>
      </c>
      <c r="B1843" s="4">
        <v>0</v>
      </c>
      <c r="C1843" s="5">
        <v>0</v>
      </c>
      <c r="D1843" s="4">
        <v>0</v>
      </c>
      <c r="E1843" s="5">
        <v>0</v>
      </c>
      <c r="F1843" s="4">
        <v>0</v>
      </c>
      <c r="G1843" s="5">
        <v>0</v>
      </c>
      <c r="H1843" s="4">
        <v>0</v>
      </c>
    </row>
    <row r="1844" spans="1:8" x14ac:dyDescent="0.2">
      <c r="A1844" s="2" t="s">
        <v>191</v>
      </c>
      <c r="B1844" s="4">
        <v>5</v>
      </c>
      <c r="C1844" s="5">
        <v>10.64</v>
      </c>
      <c r="D1844" s="4">
        <v>2</v>
      </c>
      <c r="E1844" s="5">
        <v>9.09</v>
      </c>
      <c r="F1844" s="4">
        <v>3</v>
      </c>
      <c r="G1844" s="5">
        <v>15</v>
      </c>
      <c r="H1844" s="4">
        <v>0</v>
      </c>
    </row>
    <row r="1845" spans="1:8" x14ac:dyDescent="0.2">
      <c r="A1845" s="2" t="s">
        <v>192</v>
      </c>
      <c r="B1845" s="4">
        <v>10</v>
      </c>
      <c r="C1845" s="5">
        <v>21.28</v>
      </c>
      <c r="D1845" s="4">
        <v>4</v>
      </c>
      <c r="E1845" s="5">
        <v>18.18</v>
      </c>
      <c r="F1845" s="4">
        <v>6</v>
      </c>
      <c r="G1845" s="5">
        <v>30</v>
      </c>
      <c r="H1845" s="4">
        <v>0</v>
      </c>
    </row>
    <row r="1846" spans="1:8" x14ac:dyDescent="0.2">
      <c r="A1846" s="2" t="s">
        <v>193</v>
      </c>
      <c r="B1846" s="4">
        <v>2</v>
      </c>
      <c r="C1846" s="5">
        <v>4.26</v>
      </c>
      <c r="D1846" s="4">
        <v>0</v>
      </c>
      <c r="E1846" s="5">
        <v>0</v>
      </c>
      <c r="F1846" s="4">
        <v>1</v>
      </c>
      <c r="G1846" s="5">
        <v>5</v>
      </c>
      <c r="H1846" s="4">
        <v>0</v>
      </c>
    </row>
    <row r="1847" spans="1:8" x14ac:dyDescent="0.2">
      <c r="A1847" s="2" t="s">
        <v>194</v>
      </c>
      <c r="B1847" s="4">
        <v>0</v>
      </c>
      <c r="C1847" s="5">
        <v>0</v>
      </c>
      <c r="D1847" s="4">
        <v>0</v>
      </c>
      <c r="E1847" s="5">
        <v>0</v>
      </c>
      <c r="F1847" s="4">
        <v>0</v>
      </c>
      <c r="G1847" s="5">
        <v>0</v>
      </c>
      <c r="H1847" s="4">
        <v>0</v>
      </c>
    </row>
    <row r="1848" spans="1:8" x14ac:dyDescent="0.2">
      <c r="A1848" s="2" t="s">
        <v>195</v>
      </c>
      <c r="B1848" s="4">
        <v>3</v>
      </c>
      <c r="C1848" s="5">
        <v>6.38</v>
      </c>
      <c r="D1848" s="4">
        <v>1</v>
      </c>
      <c r="E1848" s="5">
        <v>4.55</v>
      </c>
      <c r="F1848" s="4">
        <v>1</v>
      </c>
      <c r="G1848" s="5">
        <v>5</v>
      </c>
      <c r="H1848" s="4">
        <v>1</v>
      </c>
    </row>
    <row r="1849" spans="1:8" x14ac:dyDescent="0.2">
      <c r="A1849" s="2" t="s">
        <v>196</v>
      </c>
      <c r="B1849" s="4">
        <v>11</v>
      </c>
      <c r="C1849" s="5">
        <v>23.4</v>
      </c>
      <c r="D1849" s="4">
        <v>8</v>
      </c>
      <c r="E1849" s="5">
        <v>36.36</v>
      </c>
      <c r="F1849" s="4">
        <v>3</v>
      </c>
      <c r="G1849" s="5">
        <v>15</v>
      </c>
      <c r="H1849" s="4">
        <v>0</v>
      </c>
    </row>
    <row r="1850" spans="1:8" x14ac:dyDescent="0.2">
      <c r="A1850" s="2" t="s">
        <v>197</v>
      </c>
      <c r="B1850" s="4">
        <v>0</v>
      </c>
      <c r="C1850" s="5">
        <v>0</v>
      </c>
      <c r="D1850" s="4">
        <v>0</v>
      </c>
      <c r="E1850" s="5">
        <v>0</v>
      </c>
      <c r="F1850" s="4">
        <v>0</v>
      </c>
      <c r="G1850" s="5">
        <v>0</v>
      </c>
      <c r="H1850" s="4">
        <v>0</v>
      </c>
    </row>
    <row r="1851" spans="1:8" x14ac:dyDescent="0.2">
      <c r="A1851" s="2" t="s">
        <v>198</v>
      </c>
      <c r="B1851" s="4">
        <v>2</v>
      </c>
      <c r="C1851" s="5">
        <v>4.26</v>
      </c>
      <c r="D1851" s="4">
        <v>0</v>
      </c>
      <c r="E1851" s="5">
        <v>0</v>
      </c>
      <c r="F1851" s="4">
        <v>1</v>
      </c>
      <c r="G1851" s="5">
        <v>5</v>
      </c>
      <c r="H1851" s="4">
        <v>0</v>
      </c>
    </row>
    <row r="1852" spans="1:8" x14ac:dyDescent="0.2">
      <c r="A1852" s="2" t="s">
        <v>199</v>
      </c>
      <c r="B1852" s="4">
        <v>1</v>
      </c>
      <c r="C1852" s="5">
        <v>2.13</v>
      </c>
      <c r="D1852" s="4">
        <v>1</v>
      </c>
      <c r="E1852" s="5">
        <v>4.55</v>
      </c>
      <c r="F1852" s="4">
        <v>0</v>
      </c>
      <c r="G1852" s="5">
        <v>0</v>
      </c>
      <c r="H1852" s="4">
        <v>0</v>
      </c>
    </row>
    <row r="1853" spans="1:8" x14ac:dyDescent="0.2">
      <c r="A1853" s="2" t="s">
        <v>200</v>
      </c>
      <c r="B1853" s="4">
        <v>7</v>
      </c>
      <c r="C1853" s="5">
        <v>14.89</v>
      </c>
      <c r="D1853" s="4">
        <v>4</v>
      </c>
      <c r="E1853" s="5">
        <v>18.18</v>
      </c>
      <c r="F1853" s="4">
        <v>2</v>
      </c>
      <c r="G1853" s="5">
        <v>10</v>
      </c>
      <c r="H1853" s="4">
        <v>1</v>
      </c>
    </row>
    <row r="1854" spans="1:8" x14ac:dyDescent="0.2">
      <c r="A1854" s="2" t="s">
        <v>201</v>
      </c>
      <c r="B1854" s="4">
        <v>3</v>
      </c>
      <c r="C1854" s="5">
        <v>6.38</v>
      </c>
      <c r="D1854" s="4">
        <v>2</v>
      </c>
      <c r="E1854" s="5">
        <v>9.09</v>
      </c>
      <c r="F1854" s="4">
        <v>1</v>
      </c>
      <c r="G1854" s="5">
        <v>5</v>
      </c>
      <c r="H1854" s="4">
        <v>0</v>
      </c>
    </row>
    <row r="1855" spans="1:8" x14ac:dyDescent="0.2">
      <c r="A1855" s="2" t="s">
        <v>202</v>
      </c>
      <c r="B1855" s="4">
        <v>0</v>
      </c>
      <c r="C1855" s="5">
        <v>0</v>
      </c>
      <c r="D1855" s="4">
        <v>0</v>
      </c>
      <c r="E1855" s="5">
        <v>0</v>
      </c>
      <c r="F1855" s="4">
        <v>0</v>
      </c>
      <c r="G1855" s="5">
        <v>0</v>
      </c>
      <c r="H1855" s="4">
        <v>0</v>
      </c>
    </row>
    <row r="1856" spans="1:8" x14ac:dyDescent="0.2">
      <c r="A1856" s="2" t="s">
        <v>203</v>
      </c>
      <c r="B1856" s="4">
        <v>1</v>
      </c>
      <c r="C1856" s="5">
        <v>2.13</v>
      </c>
      <c r="D1856" s="4">
        <v>0</v>
      </c>
      <c r="E1856" s="5">
        <v>0</v>
      </c>
      <c r="F1856" s="4">
        <v>0</v>
      </c>
      <c r="G1856" s="5">
        <v>0</v>
      </c>
      <c r="H1856" s="4">
        <v>1</v>
      </c>
    </row>
    <row r="1857" spans="1:8" x14ac:dyDescent="0.2">
      <c r="A1857" s="2" t="s">
        <v>204</v>
      </c>
      <c r="B1857" s="4">
        <v>2</v>
      </c>
      <c r="C1857" s="5">
        <v>4.26</v>
      </c>
      <c r="D1857" s="4">
        <v>0</v>
      </c>
      <c r="E1857" s="5">
        <v>0</v>
      </c>
      <c r="F1857" s="4">
        <v>2</v>
      </c>
      <c r="G1857" s="5">
        <v>10</v>
      </c>
      <c r="H1857" s="4">
        <v>0</v>
      </c>
    </row>
    <row r="1858" spans="1:8" x14ac:dyDescent="0.2">
      <c r="A1858" s="1" t="s">
        <v>116</v>
      </c>
      <c r="B1858" s="4">
        <v>145</v>
      </c>
      <c r="C1858" s="5">
        <v>100.01</v>
      </c>
      <c r="D1858" s="4">
        <v>80</v>
      </c>
      <c r="E1858" s="5">
        <v>100</v>
      </c>
      <c r="F1858" s="4">
        <v>55</v>
      </c>
      <c r="G1858" s="5">
        <v>99.990000000000009</v>
      </c>
      <c r="H1858" s="4">
        <v>1</v>
      </c>
    </row>
    <row r="1859" spans="1:8" x14ac:dyDescent="0.2">
      <c r="A1859" s="2" t="s">
        <v>190</v>
      </c>
      <c r="B1859" s="4">
        <v>2</v>
      </c>
      <c r="C1859" s="5">
        <v>1.38</v>
      </c>
      <c r="D1859" s="4">
        <v>0</v>
      </c>
      <c r="E1859" s="5">
        <v>0</v>
      </c>
      <c r="F1859" s="4">
        <v>1</v>
      </c>
      <c r="G1859" s="5">
        <v>1.82</v>
      </c>
      <c r="H1859" s="4">
        <v>0</v>
      </c>
    </row>
    <row r="1860" spans="1:8" x14ac:dyDescent="0.2">
      <c r="A1860" s="2" t="s">
        <v>191</v>
      </c>
      <c r="B1860" s="4">
        <v>21</v>
      </c>
      <c r="C1860" s="5">
        <v>14.48</v>
      </c>
      <c r="D1860" s="4">
        <v>10</v>
      </c>
      <c r="E1860" s="5">
        <v>12.5</v>
      </c>
      <c r="F1860" s="4">
        <v>11</v>
      </c>
      <c r="G1860" s="5">
        <v>20</v>
      </c>
      <c r="H1860" s="4">
        <v>0</v>
      </c>
    </row>
    <row r="1861" spans="1:8" x14ac:dyDescent="0.2">
      <c r="A1861" s="2" t="s">
        <v>192</v>
      </c>
      <c r="B1861" s="4">
        <v>14</v>
      </c>
      <c r="C1861" s="5">
        <v>9.66</v>
      </c>
      <c r="D1861" s="4">
        <v>4</v>
      </c>
      <c r="E1861" s="5">
        <v>5</v>
      </c>
      <c r="F1861" s="4">
        <v>10</v>
      </c>
      <c r="G1861" s="5">
        <v>18.18</v>
      </c>
      <c r="H1861" s="4">
        <v>0</v>
      </c>
    </row>
    <row r="1862" spans="1:8" x14ac:dyDescent="0.2">
      <c r="A1862" s="2" t="s">
        <v>193</v>
      </c>
      <c r="B1862" s="4">
        <v>1</v>
      </c>
      <c r="C1862" s="5">
        <v>0.69</v>
      </c>
      <c r="D1862" s="4">
        <v>0</v>
      </c>
      <c r="E1862" s="5">
        <v>0</v>
      </c>
      <c r="F1862" s="4">
        <v>1</v>
      </c>
      <c r="G1862" s="5">
        <v>1.82</v>
      </c>
      <c r="H1862" s="4">
        <v>0</v>
      </c>
    </row>
    <row r="1863" spans="1:8" x14ac:dyDescent="0.2">
      <c r="A1863" s="2" t="s">
        <v>194</v>
      </c>
      <c r="B1863" s="4">
        <v>0</v>
      </c>
      <c r="C1863" s="5">
        <v>0</v>
      </c>
      <c r="D1863" s="4">
        <v>0</v>
      </c>
      <c r="E1863" s="5">
        <v>0</v>
      </c>
      <c r="F1863" s="4">
        <v>0</v>
      </c>
      <c r="G1863" s="5">
        <v>0</v>
      </c>
      <c r="H1863" s="4">
        <v>0</v>
      </c>
    </row>
    <row r="1864" spans="1:8" x14ac:dyDescent="0.2">
      <c r="A1864" s="2" t="s">
        <v>195</v>
      </c>
      <c r="B1864" s="4">
        <v>1</v>
      </c>
      <c r="C1864" s="5">
        <v>0.69</v>
      </c>
      <c r="D1864" s="4">
        <v>0</v>
      </c>
      <c r="E1864" s="5">
        <v>0</v>
      </c>
      <c r="F1864" s="4">
        <v>0</v>
      </c>
      <c r="G1864" s="5">
        <v>0</v>
      </c>
      <c r="H1864" s="4">
        <v>1</v>
      </c>
    </row>
    <row r="1865" spans="1:8" x14ac:dyDescent="0.2">
      <c r="A1865" s="2" t="s">
        <v>196</v>
      </c>
      <c r="B1865" s="4">
        <v>40</v>
      </c>
      <c r="C1865" s="5">
        <v>27.59</v>
      </c>
      <c r="D1865" s="4">
        <v>20</v>
      </c>
      <c r="E1865" s="5">
        <v>25</v>
      </c>
      <c r="F1865" s="4">
        <v>20</v>
      </c>
      <c r="G1865" s="5">
        <v>36.36</v>
      </c>
      <c r="H1865" s="4">
        <v>0</v>
      </c>
    </row>
    <row r="1866" spans="1:8" x14ac:dyDescent="0.2">
      <c r="A1866" s="2" t="s">
        <v>197</v>
      </c>
      <c r="B1866" s="4">
        <v>0</v>
      </c>
      <c r="C1866" s="5">
        <v>0</v>
      </c>
      <c r="D1866" s="4">
        <v>0</v>
      </c>
      <c r="E1866" s="5">
        <v>0</v>
      </c>
      <c r="F1866" s="4">
        <v>0</v>
      </c>
      <c r="G1866" s="5">
        <v>0</v>
      </c>
      <c r="H1866" s="4">
        <v>0</v>
      </c>
    </row>
    <row r="1867" spans="1:8" x14ac:dyDescent="0.2">
      <c r="A1867" s="2" t="s">
        <v>198</v>
      </c>
      <c r="B1867" s="4">
        <v>3</v>
      </c>
      <c r="C1867" s="5">
        <v>2.0699999999999998</v>
      </c>
      <c r="D1867" s="4">
        <v>3</v>
      </c>
      <c r="E1867" s="5">
        <v>3.75</v>
      </c>
      <c r="F1867" s="4">
        <v>0</v>
      </c>
      <c r="G1867" s="5">
        <v>0</v>
      </c>
      <c r="H1867" s="4">
        <v>0</v>
      </c>
    </row>
    <row r="1868" spans="1:8" x14ac:dyDescent="0.2">
      <c r="A1868" s="2" t="s">
        <v>199</v>
      </c>
      <c r="B1868" s="4">
        <v>2</v>
      </c>
      <c r="C1868" s="5">
        <v>1.38</v>
      </c>
      <c r="D1868" s="4">
        <v>0</v>
      </c>
      <c r="E1868" s="5">
        <v>0</v>
      </c>
      <c r="F1868" s="4">
        <v>2</v>
      </c>
      <c r="G1868" s="5">
        <v>3.64</v>
      </c>
      <c r="H1868" s="4">
        <v>0</v>
      </c>
    </row>
    <row r="1869" spans="1:8" x14ac:dyDescent="0.2">
      <c r="A1869" s="2" t="s">
        <v>200</v>
      </c>
      <c r="B1869" s="4">
        <v>27</v>
      </c>
      <c r="C1869" s="5">
        <v>18.62</v>
      </c>
      <c r="D1869" s="4">
        <v>23</v>
      </c>
      <c r="E1869" s="5">
        <v>28.75</v>
      </c>
      <c r="F1869" s="4">
        <v>4</v>
      </c>
      <c r="G1869" s="5">
        <v>7.27</v>
      </c>
      <c r="H1869" s="4">
        <v>0</v>
      </c>
    </row>
    <row r="1870" spans="1:8" x14ac:dyDescent="0.2">
      <c r="A1870" s="2" t="s">
        <v>201</v>
      </c>
      <c r="B1870" s="4">
        <v>18</v>
      </c>
      <c r="C1870" s="5">
        <v>12.41</v>
      </c>
      <c r="D1870" s="4">
        <v>14</v>
      </c>
      <c r="E1870" s="5">
        <v>17.5</v>
      </c>
      <c r="F1870" s="4">
        <v>0</v>
      </c>
      <c r="G1870" s="5">
        <v>0</v>
      </c>
      <c r="H1870" s="4">
        <v>0</v>
      </c>
    </row>
    <row r="1871" spans="1:8" x14ac:dyDescent="0.2">
      <c r="A1871" s="2" t="s">
        <v>202</v>
      </c>
      <c r="B1871" s="4">
        <v>4</v>
      </c>
      <c r="C1871" s="5">
        <v>2.76</v>
      </c>
      <c r="D1871" s="4">
        <v>2</v>
      </c>
      <c r="E1871" s="5">
        <v>2.5</v>
      </c>
      <c r="F1871" s="4">
        <v>0</v>
      </c>
      <c r="G1871" s="5">
        <v>0</v>
      </c>
      <c r="H1871" s="4">
        <v>0</v>
      </c>
    </row>
    <row r="1872" spans="1:8" x14ac:dyDescent="0.2">
      <c r="A1872" s="2" t="s">
        <v>203</v>
      </c>
      <c r="B1872" s="4">
        <v>7</v>
      </c>
      <c r="C1872" s="5">
        <v>4.83</v>
      </c>
      <c r="D1872" s="4">
        <v>2</v>
      </c>
      <c r="E1872" s="5">
        <v>2.5</v>
      </c>
      <c r="F1872" s="4">
        <v>3</v>
      </c>
      <c r="G1872" s="5">
        <v>5.45</v>
      </c>
      <c r="H1872" s="4">
        <v>0</v>
      </c>
    </row>
    <row r="1873" spans="1:8" x14ac:dyDescent="0.2">
      <c r="A1873" s="2" t="s">
        <v>204</v>
      </c>
      <c r="B1873" s="4">
        <v>5</v>
      </c>
      <c r="C1873" s="5">
        <v>3.45</v>
      </c>
      <c r="D1873" s="4">
        <v>2</v>
      </c>
      <c r="E1873" s="5">
        <v>2.5</v>
      </c>
      <c r="F1873" s="4">
        <v>3</v>
      </c>
      <c r="G1873" s="5">
        <v>5.45</v>
      </c>
      <c r="H1873" s="4">
        <v>0</v>
      </c>
    </row>
    <row r="1874" spans="1:8" x14ac:dyDescent="0.2">
      <c r="A1874" s="1" t="s">
        <v>117</v>
      </c>
      <c r="B1874" s="4">
        <v>74</v>
      </c>
      <c r="C1874" s="5">
        <v>99.990000000000023</v>
      </c>
      <c r="D1874" s="4">
        <v>38</v>
      </c>
      <c r="E1874" s="5">
        <v>100</v>
      </c>
      <c r="F1874" s="4">
        <v>27</v>
      </c>
      <c r="G1874" s="5">
        <v>99.99</v>
      </c>
      <c r="H1874" s="4">
        <v>1</v>
      </c>
    </row>
    <row r="1875" spans="1:8" x14ac:dyDescent="0.2">
      <c r="A1875" s="2" t="s">
        <v>190</v>
      </c>
      <c r="B1875" s="4">
        <v>0</v>
      </c>
      <c r="C1875" s="5">
        <v>0</v>
      </c>
      <c r="D1875" s="4">
        <v>0</v>
      </c>
      <c r="E1875" s="5">
        <v>0</v>
      </c>
      <c r="F1875" s="4">
        <v>0</v>
      </c>
      <c r="G1875" s="5">
        <v>0</v>
      </c>
      <c r="H1875" s="4">
        <v>0</v>
      </c>
    </row>
    <row r="1876" spans="1:8" x14ac:dyDescent="0.2">
      <c r="A1876" s="2" t="s">
        <v>191</v>
      </c>
      <c r="B1876" s="4">
        <v>16</v>
      </c>
      <c r="C1876" s="5">
        <v>21.62</v>
      </c>
      <c r="D1876" s="4">
        <v>7</v>
      </c>
      <c r="E1876" s="5">
        <v>18.420000000000002</v>
      </c>
      <c r="F1876" s="4">
        <v>9</v>
      </c>
      <c r="G1876" s="5">
        <v>33.33</v>
      </c>
      <c r="H1876" s="4">
        <v>0</v>
      </c>
    </row>
    <row r="1877" spans="1:8" x14ac:dyDescent="0.2">
      <c r="A1877" s="2" t="s">
        <v>192</v>
      </c>
      <c r="B1877" s="4">
        <v>2</v>
      </c>
      <c r="C1877" s="5">
        <v>2.7</v>
      </c>
      <c r="D1877" s="4">
        <v>0</v>
      </c>
      <c r="E1877" s="5">
        <v>0</v>
      </c>
      <c r="F1877" s="4">
        <v>2</v>
      </c>
      <c r="G1877" s="5">
        <v>7.41</v>
      </c>
      <c r="H1877" s="4">
        <v>0</v>
      </c>
    </row>
    <row r="1878" spans="1:8" x14ac:dyDescent="0.2">
      <c r="A1878" s="2" t="s">
        <v>193</v>
      </c>
      <c r="B1878" s="4">
        <v>2</v>
      </c>
      <c r="C1878" s="5">
        <v>2.7</v>
      </c>
      <c r="D1878" s="4">
        <v>0</v>
      </c>
      <c r="E1878" s="5">
        <v>0</v>
      </c>
      <c r="F1878" s="4">
        <v>0</v>
      </c>
      <c r="G1878" s="5">
        <v>0</v>
      </c>
      <c r="H1878" s="4">
        <v>0</v>
      </c>
    </row>
    <row r="1879" spans="1:8" x14ac:dyDescent="0.2">
      <c r="A1879" s="2" t="s">
        <v>194</v>
      </c>
      <c r="B1879" s="4">
        <v>0</v>
      </c>
      <c r="C1879" s="5">
        <v>0</v>
      </c>
      <c r="D1879" s="4">
        <v>0</v>
      </c>
      <c r="E1879" s="5">
        <v>0</v>
      </c>
      <c r="F1879" s="4">
        <v>0</v>
      </c>
      <c r="G1879" s="5">
        <v>0</v>
      </c>
      <c r="H1879" s="4">
        <v>0</v>
      </c>
    </row>
    <row r="1880" spans="1:8" x14ac:dyDescent="0.2">
      <c r="A1880" s="2" t="s">
        <v>195</v>
      </c>
      <c r="B1880" s="4">
        <v>7</v>
      </c>
      <c r="C1880" s="5">
        <v>9.4600000000000009</v>
      </c>
      <c r="D1880" s="4">
        <v>2</v>
      </c>
      <c r="E1880" s="5">
        <v>5.26</v>
      </c>
      <c r="F1880" s="4">
        <v>4</v>
      </c>
      <c r="G1880" s="5">
        <v>14.81</v>
      </c>
      <c r="H1880" s="4">
        <v>1</v>
      </c>
    </row>
    <row r="1881" spans="1:8" x14ac:dyDescent="0.2">
      <c r="A1881" s="2" t="s">
        <v>196</v>
      </c>
      <c r="B1881" s="4">
        <v>18</v>
      </c>
      <c r="C1881" s="5">
        <v>24.32</v>
      </c>
      <c r="D1881" s="4">
        <v>9</v>
      </c>
      <c r="E1881" s="5">
        <v>23.68</v>
      </c>
      <c r="F1881" s="4">
        <v>9</v>
      </c>
      <c r="G1881" s="5">
        <v>33.33</v>
      </c>
      <c r="H1881" s="4">
        <v>0</v>
      </c>
    </row>
    <row r="1882" spans="1:8" x14ac:dyDescent="0.2">
      <c r="A1882" s="2" t="s">
        <v>197</v>
      </c>
      <c r="B1882" s="4">
        <v>0</v>
      </c>
      <c r="C1882" s="5">
        <v>0</v>
      </c>
      <c r="D1882" s="4">
        <v>0</v>
      </c>
      <c r="E1882" s="5">
        <v>0</v>
      </c>
      <c r="F1882" s="4">
        <v>0</v>
      </c>
      <c r="G1882" s="5">
        <v>0</v>
      </c>
      <c r="H1882" s="4">
        <v>0</v>
      </c>
    </row>
    <row r="1883" spans="1:8" x14ac:dyDescent="0.2">
      <c r="A1883" s="2" t="s">
        <v>198</v>
      </c>
      <c r="B1883" s="4">
        <v>2</v>
      </c>
      <c r="C1883" s="5">
        <v>2.7</v>
      </c>
      <c r="D1883" s="4">
        <v>0</v>
      </c>
      <c r="E1883" s="5">
        <v>0</v>
      </c>
      <c r="F1883" s="4">
        <v>2</v>
      </c>
      <c r="G1883" s="5">
        <v>7.41</v>
      </c>
      <c r="H1883" s="4">
        <v>0</v>
      </c>
    </row>
    <row r="1884" spans="1:8" x14ac:dyDescent="0.2">
      <c r="A1884" s="2" t="s">
        <v>199</v>
      </c>
      <c r="B1884" s="4">
        <v>0</v>
      </c>
      <c r="C1884" s="5">
        <v>0</v>
      </c>
      <c r="D1884" s="4">
        <v>0</v>
      </c>
      <c r="E1884" s="5">
        <v>0</v>
      </c>
      <c r="F1884" s="4">
        <v>0</v>
      </c>
      <c r="G1884" s="5">
        <v>0</v>
      </c>
      <c r="H1884" s="4">
        <v>0</v>
      </c>
    </row>
    <row r="1885" spans="1:8" x14ac:dyDescent="0.2">
      <c r="A1885" s="2" t="s">
        <v>200</v>
      </c>
      <c r="B1885" s="4">
        <v>11</v>
      </c>
      <c r="C1885" s="5">
        <v>14.86</v>
      </c>
      <c r="D1885" s="4">
        <v>10</v>
      </c>
      <c r="E1885" s="5">
        <v>26.32</v>
      </c>
      <c r="F1885" s="4">
        <v>1</v>
      </c>
      <c r="G1885" s="5">
        <v>3.7</v>
      </c>
      <c r="H1885" s="4">
        <v>0</v>
      </c>
    </row>
    <row r="1886" spans="1:8" x14ac:dyDescent="0.2">
      <c r="A1886" s="2" t="s">
        <v>201</v>
      </c>
      <c r="B1886" s="4">
        <v>6</v>
      </c>
      <c r="C1886" s="5">
        <v>8.11</v>
      </c>
      <c r="D1886" s="4">
        <v>5</v>
      </c>
      <c r="E1886" s="5">
        <v>13.16</v>
      </c>
      <c r="F1886" s="4">
        <v>0</v>
      </c>
      <c r="G1886" s="5">
        <v>0</v>
      </c>
      <c r="H1886" s="4">
        <v>0</v>
      </c>
    </row>
    <row r="1887" spans="1:8" x14ac:dyDescent="0.2">
      <c r="A1887" s="2" t="s">
        <v>202</v>
      </c>
      <c r="B1887" s="4">
        <v>5</v>
      </c>
      <c r="C1887" s="5">
        <v>6.76</v>
      </c>
      <c r="D1887" s="4">
        <v>5</v>
      </c>
      <c r="E1887" s="5">
        <v>13.16</v>
      </c>
      <c r="F1887" s="4">
        <v>0</v>
      </c>
      <c r="G1887" s="5">
        <v>0</v>
      </c>
      <c r="H1887" s="4">
        <v>0</v>
      </c>
    </row>
    <row r="1888" spans="1:8" x14ac:dyDescent="0.2">
      <c r="A1888" s="2" t="s">
        <v>203</v>
      </c>
      <c r="B1888" s="4">
        <v>5</v>
      </c>
      <c r="C1888" s="5">
        <v>6.76</v>
      </c>
      <c r="D1888" s="4">
        <v>0</v>
      </c>
      <c r="E1888" s="5">
        <v>0</v>
      </c>
      <c r="F1888" s="4">
        <v>0</v>
      </c>
      <c r="G1888" s="5">
        <v>0</v>
      </c>
      <c r="H1888" s="4">
        <v>0</v>
      </c>
    </row>
    <row r="1889" spans="1:8" x14ac:dyDescent="0.2">
      <c r="A1889" s="2" t="s">
        <v>204</v>
      </c>
      <c r="B1889" s="4">
        <v>0</v>
      </c>
      <c r="C1889" s="5">
        <v>0</v>
      </c>
      <c r="D1889" s="4">
        <v>0</v>
      </c>
      <c r="E1889" s="5">
        <v>0</v>
      </c>
      <c r="F1889" s="4">
        <v>0</v>
      </c>
      <c r="G1889" s="5">
        <v>0</v>
      </c>
      <c r="H1889" s="4">
        <v>0</v>
      </c>
    </row>
    <row r="1890" spans="1:8" x14ac:dyDescent="0.2">
      <c r="A1890" s="1" t="s">
        <v>118</v>
      </c>
      <c r="B1890" s="4">
        <v>96</v>
      </c>
      <c r="C1890" s="5">
        <v>100.01</v>
      </c>
      <c r="D1890" s="4">
        <v>49</v>
      </c>
      <c r="E1890" s="5">
        <v>99.989999999999981</v>
      </c>
      <c r="F1890" s="4">
        <v>44</v>
      </c>
      <c r="G1890" s="5">
        <v>100</v>
      </c>
      <c r="H1890" s="4">
        <v>0</v>
      </c>
    </row>
    <row r="1891" spans="1:8" x14ac:dyDescent="0.2">
      <c r="A1891" s="2" t="s">
        <v>190</v>
      </c>
      <c r="B1891" s="4">
        <v>0</v>
      </c>
      <c r="C1891" s="5">
        <v>0</v>
      </c>
      <c r="D1891" s="4">
        <v>0</v>
      </c>
      <c r="E1891" s="5">
        <v>0</v>
      </c>
      <c r="F1891" s="4">
        <v>0</v>
      </c>
      <c r="G1891" s="5">
        <v>0</v>
      </c>
      <c r="H1891" s="4">
        <v>0</v>
      </c>
    </row>
    <row r="1892" spans="1:8" x14ac:dyDescent="0.2">
      <c r="A1892" s="2" t="s">
        <v>191</v>
      </c>
      <c r="B1892" s="4">
        <v>17</v>
      </c>
      <c r="C1892" s="5">
        <v>17.71</v>
      </c>
      <c r="D1892" s="4">
        <v>5</v>
      </c>
      <c r="E1892" s="5">
        <v>10.199999999999999</v>
      </c>
      <c r="F1892" s="4">
        <v>12</v>
      </c>
      <c r="G1892" s="5">
        <v>27.27</v>
      </c>
      <c r="H1892" s="4">
        <v>0</v>
      </c>
    </row>
    <row r="1893" spans="1:8" x14ac:dyDescent="0.2">
      <c r="A1893" s="2" t="s">
        <v>192</v>
      </c>
      <c r="B1893" s="4">
        <v>8</v>
      </c>
      <c r="C1893" s="5">
        <v>8.33</v>
      </c>
      <c r="D1893" s="4">
        <v>1</v>
      </c>
      <c r="E1893" s="5">
        <v>2.04</v>
      </c>
      <c r="F1893" s="4">
        <v>7</v>
      </c>
      <c r="G1893" s="5">
        <v>15.91</v>
      </c>
      <c r="H1893" s="4">
        <v>0</v>
      </c>
    </row>
    <row r="1894" spans="1:8" x14ac:dyDescent="0.2">
      <c r="A1894" s="2" t="s">
        <v>193</v>
      </c>
      <c r="B1894" s="4">
        <v>3</v>
      </c>
      <c r="C1894" s="5">
        <v>3.13</v>
      </c>
      <c r="D1894" s="4">
        <v>0</v>
      </c>
      <c r="E1894" s="5">
        <v>0</v>
      </c>
      <c r="F1894" s="4">
        <v>1</v>
      </c>
      <c r="G1894" s="5">
        <v>2.27</v>
      </c>
      <c r="H1894" s="4">
        <v>0</v>
      </c>
    </row>
    <row r="1895" spans="1:8" x14ac:dyDescent="0.2">
      <c r="A1895" s="2" t="s">
        <v>194</v>
      </c>
      <c r="B1895" s="4">
        <v>1</v>
      </c>
      <c r="C1895" s="5">
        <v>1.04</v>
      </c>
      <c r="D1895" s="4">
        <v>1</v>
      </c>
      <c r="E1895" s="5">
        <v>2.04</v>
      </c>
      <c r="F1895" s="4">
        <v>0</v>
      </c>
      <c r="G1895" s="5">
        <v>0</v>
      </c>
      <c r="H1895" s="4">
        <v>0</v>
      </c>
    </row>
    <row r="1896" spans="1:8" x14ac:dyDescent="0.2">
      <c r="A1896" s="2" t="s">
        <v>195</v>
      </c>
      <c r="B1896" s="4">
        <v>3</v>
      </c>
      <c r="C1896" s="5">
        <v>3.13</v>
      </c>
      <c r="D1896" s="4">
        <v>1</v>
      </c>
      <c r="E1896" s="5">
        <v>2.04</v>
      </c>
      <c r="F1896" s="4">
        <v>2</v>
      </c>
      <c r="G1896" s="5">
        <v>4.55</v>
      </c>
      <c r="H1896" s="4">
        <v>0</v>
      </c>
    </row>
    <row r="1897" spans="1:8" x14ac:dyDescent="0.2">
      <c r="A1897" s="2" t="s">
        <v>196</v>
      </c>
      <c r="B1897" s="4">
        <v>23</v>
      </c>
      <c r="C1897" s="5">
        <v>23.96</v>
      </c>
      <c r="D1897" s="4">
        <v>8</v>
      </c>
      <c r="E1897" s="5">
        <v>16.329999999999998</v>
      </c>
      <c r="F1897" s="4">
        <v>15</v>
      </c>
      <c r="G1897" s="5">
        <v>34.090000000000003</v>
      </c>
      <c r="H1897" s="4">
        <v>0</v>
      </c>
    </row>
    <row r="1898" spans="1:8" x14ac:dyDescent="0.2">
      <c r="A1898" s="2" t="s">
        <v>197</v>
      </c>
      <c r="B1898" s="4">
        <v>0</v>
      </c>
      <c r="C1898" s="5">
        <v>0</v>
      </c>
      <c r="D1898" s="4">
        <v>0</v>
      </c>
      <c r="E1898" s="5">
        <v>0</v>
      </c>
      <c r="F1898" s="4">
        <v>0</v>
      </c>
      <c r="G1898" s="5">
        <v>0</v>
      </c>
      <c r="H1898" s="4">
        <v>0</v>
      </c>
    </row>
    <row r="1899" spans="1:8" x14ac:dyDescent="0.2">
      <c r="A1899" s="2" t="s">
        <v>198</v>
      </c>
      <c r="B1899" s="4">
        <v>3</v>
      </c>
      <c r="C1899" s="5">
        <v>3.13</v>
      </c>
      <c r="D1899" s="4">
        <v>3</v>
      </c>
      <c r="E1899" s="5">
        <v>6.12</v>
      </c>
      <c r="F1899" s="4">
        <v>0</v>
      </c>
      <c r="G1899" s="5">
        <v>0</v>
      </c>
      <c r="H1899" s="4">
        <v>0</v>
      </c>
    </row>
    <row r="1900" spans="1:8" x14ac:dyDescent="0.2">
      <c r="A1900" s="2" t="s">
        <v>199</v>
      </c>
      <c r="B1900" s="4">
        <v>1</v>
      </c>
      <c r="C1900" s="5">
        <v>1.04</v>
      </c>
      <c r="D1900" s="4">
        <v>0</v>
      </c>
      <c r="E1900" s="5">
        <v>0</v>
      </c>
      <c r="F1900" s="4">
        <v>1</v>
      </c>
      <c r="G1900" s="5">
        <v>2.27</v>
      </c>
      <c r="H1900" s="4">
        <v>0</v>
      </c>
    </row>
    <row r="1901" spans="1:8" x14ac:dyDescent="0.2">
      <c r="A1901" s="2" t="s">
        <v>200</v>
      </c>
      <c r="B1901" s="4">
        <v>20</v>
      </c>
      <c r="C1901" s="5">
        <v>20.83</v>
      </c>
      <c r="D1901" s="4">
        <v>17</v>
      </c>
      <c r="E1901" s="5">
        <v>34.69</v>
      </c>
      <c r="F1901" s="4">
        <v>2</v>
      </c>
      <c r="G1901" s="5">
        <v>4.55</v>
      </c>
      <c r="H1901" s="4">
        <v>0</v>
      </c>
    </row>
    <row r="1902" spans="1:8" x14ac:dyDescent="0.2">
      <c r="A1902" s="2" t="s">
        <v>201</v>
      </c>
      <c r="B1902" s="4">
        <v>10</v>
      </c>
      <c r="C1902" s="5">
        <v>10.42</v>
      </c>
      <c r="D1902" s="4">
        <v>10</v>
      </c>
      <c r="E1902" s="5">
        <v>20.41</v>
      </c>
      <c r="F1902" s="4">
        <v>0</v>
      </c>
      <c r="G1902" s="5">
        <v>0</v>
      </c>
      <c r="H1902" s="4">
        <v>0</v>
      </c>
    </row>
    <row r="1903" spans="1:8" x14ac:dyDescent="0.2">
      <c r="A1903" s="2" t="s">
        <v>202</v>
      </c>
      <c r="B1903" s="4">
        <v>0</v>
      </c>
      <c r="C1903" s="5">
        <v>0</v>
      </c>
      <c r="D1903" s="4">
        <v>0</v>
      </c>
      <c r="E1903" s="5">
        <v>0</v>
      </c>
      <c r="F1903" s="4">
        <v>0</v>
      </c>
      <c r="G1903" s="5">
        <v>0</v>
      </c>
      <c r="H1903" s="4">
        <v>0</v>
      </c>
    </row>
    <row r="1904" spans="1:8" x14ac:dyDescent="0.2">
      <c r="A1904" s="2" t="s">
        <v>203</v>
      </c>
      <c r="B1904" s="4">
        <v>1</v>
      </c>
      <c r="C1904" s="5">
        <v>1.04</v>
      </c>
      <c r="D1904" s="4">
        <v>1</v>
      </c>
      <c r="E1904" s="5">
        <v>2.04</v>
      </c>
      <c r="F1904" s="4">
        <v>0</v>
      </c>
      <c r="G1904" s="5">
        <v>0</v>
      </c>
      <c r="H1904" s="4">
        <v>0</v>
      </c>
    </row>
    <row r="1905" spans="1:8" x14ac:dyDescent="0.2">
      <c r="A1905" s="2" t="s">
        <v>204</v>
      </c>
      <c r="B1905" s="4">
        <v>6</v>
      </c>
      <c r="C1905" s="5">
        <v>6.25</v>
      </c>
      <c r="D1905" s="4">
        <v>2</v>
      </c>
      <c r="E1905" s="5">
        <v>4.08</v>
      </c>
      <c r="F1905" s="4">
        <v>4</v>
      </c>
      <c r="G1905" s="5">
        <v>9.09</v>
      </c>
      <c r="H1905" s="4">
        <v>0</v>
      </c>
    </row>
    <row r="1906" spans="1:8" x14ac:dyDescent="0.2">
      <c r="A1906" s="1" t="s">
        <v>119</v>
      </c>
      <c r="B1906" s="4">
        <v>300</v>
      </c>
      <c r="C1906" s="5">
        <v>100.01</v>
      </c>
      <c r="D1906" s="4">
        <v>186</v>
      </c>
      <c r="E1906" s="5">
        <v>100.01000000000002</v>
      </c>
      <c r="F1906" s="4">
        <v>99</v>
      </c>
      <c r="G1906" s="5">
        <v>99.990000000000023</v>
      </c>
      <c r="H1906" s="4">
        <v>2</v>
      </c>
    </row>
    <row r="1907" spans="1:8" x14ac:dyDescent="0.2">
      <c r="A1907" s="2" t="s">
        <v>190</v>
      </c>
      <c r="B1907" s="4">
        <v>0</v>
      </c>
      <c r="C1907" s="5">
        <v>0</v>
      </c>
      <c r="D1907" s="4">
        <v>0</v>
      </c>
      <c r="E1907" s="5">
        <v>0</v>
      </c>
      <c r="F1907" s="4">
        <v>0</v>
      </c>
      <c r="G1907" s="5">
        <v>0</v>
      </c>
      <c r="H1907" s="4">
        <v>0</v>
      </c>
    </row>
    <row r="1908" spans="1:8" x14ac:dyDescent="0.2">
      <c r="A1908" s="2" t="s">
        <v>191</v>
      </c>
      <c r="B1908" s="4">
        <v>40</v>
      </c>
      <c r="C1908" s="5">
        <v>13.33</v>
      </c>
      <c r="D1908" s="4">
        <v>22</v>
      </c>
      <c r="E1908" s="5">
        <v>11.83</v>
      </c>
      <c r="F1908" s="4">
        <v>18</v>
      </c>
      <c r="G1908" s="5">
        <v>18.18</v>
      </c>
      <c r="H1908" s="4">
        <v>0</v>
      </c>
    </row>
    <row r="1909" spans="1:8" x14ac:dyDescent="0.2">
      <c r="A1909" s="2" t="s">
        <v>192</v>
      </c>
      <c r="B1909" s="4">
        <v>14</v>
      </c>
      <c r="C1909" s="5">
        <v>4.67</v>
      </c>
      <c r="D1909" s="4">
        <v>3</v>
      </c>
      <c r="E1909" s="5">
        <v>1.61</v>
      </c>
      <c r="F1909" s="4">
        <v>11</v>
      </c>
      <c r="G1909" s="5">
        <v>11.11</v>
      </c>
      <c r="H1909" s="4">
        <v>0</v>
      </c>
    </row>
    <row r="1910" spans="1:8" x14ac:dyDescent="0.2">
      <c r="A1910" s="2" t="s">
        <v>193</v>
      </c>
      <c r="B1910" s="4">
        <v>0</v>
      </c>
      <c r="C1910" s="5">
        <v>0</v>
      </c>
      <c r="D1910" s="4">
        <v>0</v>
      </c>
      <c r="E1910" s="5">
        <v>0</v>
      </c>
      <c r="F1910" s="4">
        <v>0</v>
      </c>
      <c r="G1910" s="5">
        <v>0</v>
      </c>
      <c r="H1910" s="4">
        <v>0</v>
      </c>
    </row>
    <row r="1911" spans="1:8" x14ac:dyDescent="0.2">
      <c r="A1911" s="2" t="s">
        <v>194</v>
      </c>
      <c r="B1911" s="4">
        <v>2</v>
      </c>
      <c r="C1911" s="5">
        <v>0.67</v>
      </c>
      <c r="D1911" s="4">
        <v>0</v>
      </c>
      <c r="E1911" s="5">
        <v>0</v>
      </c>
      <c r="F1911" s="4">
        <v>2</v>
      </c>
      <c r="G1911" s="5">
        <v>2.02</v>
      </c>
      <c r="H1911" s="4">
        <v>0</v>
      </c>
    </row>
    <row r="1912" spans="1:8" x14ac:dyDescent="0.2">
      <c r="A1912" s="2" t="s">
        <v>195</v>
      </c>
      <c r="B1912" s="4">
        <v>6</v>
      </c>
      <c r="C1912" s="5">
        <v>2</v>
      </c>
      <c r="D1912" s="4">
        <v>1</v>
      </c>
      <c r="E1912" s="5">
        <v>0.54</v>
      </c>
      <c r="F1912" s="4">
        <v>5</v>
      </c>
      <c r="G1912" s="5">
        <v>5.05</v>
      </c>
      <c r="H1912" s="4">
        <v>0</v>
      </c>
    </row>
    <row r="1913" spans="1:8" x14ac:dyDescent="0.2">
      <c r="A1913" s="2" t="s">
        <v>196</v>
      </c>
      <c r="B1913" s="4">
        <v>72</v>
      </c>
      <c r="C1913" s="5">
        <v>24</v>
      </c>
      <c r="D1913" s="4">
        <v>34</v>
      </c>
      <c r="E1913" s="5">
        <v>18.28</v>
      </c>
      <c r="F1913" s="4">
        <v>38</v>
      </c>
      <c r="G1913" s="5">
        <v>38.380000000000003</v>
      </c>
      <c r="H1913" s="4">
        <v>0</v>
      </c>
    </row>
    <row r="1914" spans="1:8" x14ac:dyDescent="0.2">
      <c r="A1914" s="2" t="s">
        <v>197</v>
      </c>
      <c r="B1914" s="4">
        <v>2</v>
      </c>
      <c r="C1914" s="5">
        <v>0.67</v>
      </c>
      <c r="D1914" s="4">
        <v>1</v>
      </c>
      <c r="E1914" s="5">
        <v>0.54</v>
      </c>
      <c r="F1914" s="4">
        <v>1</v>
      </c>
      <c r="G1914" s="5">
        <v>1.01</v>
      </c>
      <c r="H1914" s="4">
        <v>0</v>
      </c>
    </row>
    <row r="1915" spans="1:8" x14ac:dyDescent="0.2">
      <c r="A1915" s="2" t="s">
        <v>198</v>
      </c>
      <c r="B1915" s="4">
        <v>19</v>
      </c>
      <c r="C1915" s="5">
        <v>6.33</v>
      </c>
      <c r="D1915" s="4">
        <v>15</v>
      </c>
      <c r="E1915" s="5">
        <v>8.06</v>
      </c>
      <c r="F1915" s="4">
        <v>3</v>
      </c>
      <c r="G1915" s="5">
        <v>3.03</v>
      </c>
      <c r="H1915" s="4">
        <v>0</v>
      </c>
    </row>
    <row r="1916" spans="1:8" x14ac:dyDescent="0.2">
      <c r="A1916" s="2" t="s">
        <v>199</v>
      </c>
      <c r="B1916" s="4">
        <v>8</v>
      </c>
      <c r="C1916" s="5">
        <v>2.67</v>
      </c>
      <c r="D1916" s="4">
        <v>6</v>
      </c>
      <c r="E1916" s="5">
        <v>3.23</v>
      </c>
      <c r="F1916" s="4">
        <v>1</v>
      </c>
      <c r="G1916" s="5">
        <v>1.01</v>
      </c>
      <c r="H1916" s="4">
        <v>0</v>
      </c>
    </row>
    <row r="1917" spans="1:8" x14ac:dyDescent="0.2">
      <c r="A1917" s="2" t="s">
        <v>200</v>
      </c>
      <c r="B1917" s="4">
        <v>71</v>
      </c>
      <c r="C1917" s="5">
        <v>23.67</v>
      </c>
      <c r="D1917" s="4">
        <v>65</v>
      </c>
      <c r="E1917" s="5">
        <v>34.950000000000003</v>
      </c>
      <c r="F1917" s="4">
        <v>5</v>
      </c>
      <c r="G1917" s="5">
        <v>5.05</v>
      </c>
      <c r="H1917" s="4">
        <v>0</v>
      </c>
    </row>
    <row r="1918" spans="1:8" x14ac:dyDescent="0.2">
      <c r="A1918" s="2" t="s">
        <v>201</v>
      </c>
      <c r="B1918" s="4">
        <v>33</v>
      </c>
      <c r="C1918" s="5">
        <v>11</v>
      </c>
      <c r="D1918" s="4">
        <v>29</v>
      </c>
      <c r="E1918" s="5">
        <v>15.59</v>
      </c>
      <c r="F1918" s="4">
        <v>0</v>
      </c>
      <c r="G1918" s="5">
        <v>0</v>
      </c>
      <c r="H1918" s="4">
        <v>0</v>
      </c>
    </row>
    <row r="1919" spans="1:8" x14ac:dyDescent="0.2">
      <c r="A1919" s="2" t="s">
        <v>202</v>
      </c>
      <c r="B1919" s="4">
        <v>6</v>
      </c>
      <c r="C1919" s="5">
        <v>2</v>
      </c>
      <c r="D1919" s="4">
        <v>3</v>
      </c>
      <c r="E1919" s="5">
        <v>1.61</v>
      </c>
      <c r="F1919" s="4">
        <v>1</v>
      </c>
      <c r="G1919" s="5">
        <v>1.01</v>
      </c>
      <c r="H1919" s="4">
        <v>0</v>
      </c>
    </row>
    <row r="1920" spans="1:8" x14ac:dyDescent="0.2">
      <c r="A1920" s="2" t="s">
        <v>203</v>
      </c>
      <c r="B1920" s="4">
        <v>11</v>
      </c>
      <c r="C1920" s="5">
        <v>3.67</v>
      </c>
      <c r="D1920" s="4">
        <v>6</v>
      </c>
      <c r="E1920" s="5">
        <v>3.23</v>
      </c>
      <c r="F1920" s="4">
        <v>1</v>
      </c>
      <c r="G1920" s="5">
        <v>1.01</v>
      </c>
      <c r="H1920" s="4">
        <v>1</v>
      </c>
    </row>
    <row r="1921" spans="1:8" x14ac:dyDescent="0.2">
      <c r="A1921" s="2" t="s">
        <v>204</v>
      </c>
      <c r="B1921" s="4">
        <v>16</v>
      </c>
      <c r="C1921" s="5">
        <v>5.33</v>
      </c>
      <c r="D1921" s="4">
        <v>1</v>
      </c>
      <c r="E1921" s="5">
        <v>0.54</v>
      </c>
      <c r="F1921" s="4">
        <v>13</v>
      </c>
      <c r="G1921" s="5">
        <v>13.13</v>
      </c>
      <c r="H1921" s="4">
        <v>1</v>
      </c>
    </row>
    <row r="1922" spans="1:8" x14ac:dyDescent="0.2">
      <c r="A1922" s="1" t="s">
        <v>120</v>
      </c>
      <c r="B1922" s="4">
        <v>30</v>
      </c>
      <c r="C1922" s="5">
        <v>100.01</v>
      </c>
      <c r="D1922" s="4">
        <v>15</v>
      </c>
      <c r="E1922" s="5">
        <v>100</v>
      </c>
      <c r="F1922" s="4">
        <v>11</v>
      </c>
      <c r="G1922" s="5">
        <v>99.990000000000009</v>
      </c>
      <c r="H1922" s="4">
        <v>0</v>
      </c>
    </row>
    <row r="1923" spans="1:8" x14ac:dyDescent="0.2">
      <c r="A1923" s="2" t="s">
        <v>190</v>
      </c>
      <c r="B1923" s="4">
        <v>0</v>
      </c>
      <c r="C1923" s="5">
        <v>0</v>
      </c>
      <c r="D1923" s="4">
        <v>0</v>
      </c>
      <c r="E1923" s="5">
        <v>0</v>
      </c>
      <c r="F1923" s="4">
        <v>0</v>
      </c>
      <c r="G1923" s="5">
        <v>0</v>
      </c>
      <c r="H1923" s="4">
        <v>0</v>
      </c>
    </row>
    <row r="1924" spans="1:8" x14ac:dyDescent="0.2">
      <c r="A1924" s="2" t="s">
        <v>191</v>
      </c>
      <c r="B1924" s="4">
        <v>8</v>
      </c>
      <c r="C1924" s="5">
        <v>26.67</v>
      </c>
      <c r="D1924" s="4">
        <v>4</v>
      </c>
      <c r="E1924" s="5">
        <v>26.67</v>
      </c>
      <c r="F1924" s="4">
        <v>4</v>
      </c>
      <c r="G1924" s="5">
        <v>36.36</v>
      </c>
      <c r="H1924" s="4">
        <v>0</v>
      </c>
    </row>
    <row r="1925" spans="1:8" x14ac:dyDescent="0.2">
      <c r="A1925" s="2" t="s">
        <v>192</v>
      </c>
      <c r="B1925" s="4">
        <v>2</v>
      </c>
      <c r="C1925" s="5">
        <v>6.67</v>
      </c>
      <c r="D1925" s="4">
        <v>2</v>
      </c>
      <c r="E1925" s="5">
        <v>13.33</v>
      </c>
      <c r="F1925" s="4">
        <v>0</v>
      </c>
      <c r="G1925" s="5">
        <v>0</v>
      </c>
      <c r="H1925" s="4">
        <v>0</v>
      </c>
    </row>
    <row r="1926" spans="1:8" x14ac:dyDescent="0.2">
      <c r="A1926" s="2" t="s">
        <v>193</v>
      </c>
      <c r="B1926" s="4">
        <v>1</v>
      </c>
      <c r="C1926" s="5">
        <v>3.33</v>
      </c>
      <c r="D1926" s="4">
        <v>0</v>
      </c>
      <c r="E1926" s="5">
        <v>0</v>
      </c>
      <c r="F1926" s="4">
        <v>0</v>
      </c>
      <c r="G1926" s="5">
        <v>0</v>
      </c>
      <c r="H1926" s="4">
        <v>0</v>
      </c>
    </row>
    <row r="1927" spans="1:8" x14ac:dyDescent="0.2">
      <c r="A1927" s="2" t="s">
        <v>194</v>
      </c>
      <c r="B1927" s="4">
        <v>0</v>
      </c>
      <c r="C1927" s="5">
        <v>0</v>
      </c>
      <c r="D1927" s="4">
        <v>0</v>
      </c>
      <c r="E1927" s="5">
        <v>0</v>
      </c>
      <c r="F1927" s="4">
        <v>0</v>
      </c>
      <c r="G1927" s="5">
        <v>0</v>
      </c>
      <c r="H1927" s="4">
        <v>0</v>
      </c>
    </row>
    <row r="1928" spans="1:8" x14ac:dyDescent="0.2">
      <c r="A1928" s="2" t="s">
        <v>195</v>
      </c>
      <c r="B1928" s="4">
        <v>2</v>
      </c>
      <c r="C1928" s="5">
        <v>6.67</v>
      </c>
      <c r="D1928" s="4">
        <v>0</v>
      </c>
      <c r="E1928" s="5">
        <v>0</v>
      </c>
      <c r="F1928" s="4">
        <v>2</v>
      </c>
      <c r="G1928" s="5">
        <v>18.18</v>
      </c>
      <c r="H1928" s="4">
        <v>0</v>
      </c>
    </row>
    <row r="1929" spans="1:8" x14ac:dyDescent="0.2">
      <c r="A1929" s="2" t="s">
        <v>196</v>
      </c>
      <c r="B1929" s="4">
        <v>4</v>
      </c>
      <c r="C1929" s="5">
        <v>13.33</v>
      </c>
      <c r="D1929" s="4">
        <v>1</v>
      </c>
      <c r="E1929" s="5">
        <v>6.67</v>
      </c>
      <c r="F1929" s="4">
        <v>3</v>
      </c>
      <c r="G1929" s="5">
        <v>27.27</v>
      </c>
      <c r="H1929" s="4">
        <v>0</v>
      </c>
    </row>
    <row r="1930" spans="1:8" x14ac:dyDescent="0.2">
      <c r="A1930" s="2" t="s">
        <v>197</v>
      </c>
      <c r="B1930" s="4">
        <v>0</v>
      </c>
      <c r="C1930" s="5">
        <v>0</v>
      </c>
      <c r="D1930" s="4">
        <v>0</v>
      </c>
      <c r="E1930" s="5">
        <v>0</v>
      </c>
      <c r="F1930" s="4">
        <v>0</v>
      </c>
      <c r="G1930" s="5">
        <v>0</v>
      </c>
      <c r="H1930" s="4">
        <v>0</v>
      </c>
    </row>
    <row r="1931" spans="1:8" x14ac:dyDescent="0.2">
      <c r="A1931" s="2" t="s">
        <v>198</v>
      </c>
      <c r="B1931" s="4">
        <v>0</v>
      </c>
      <c r="C1931" s="5">
        <v>0</v>
      </c>
      <c r="D1931" s="4">
        <v>0</v>
      </c>
      <c r="E1931" s="5">
        <v>0</v>
      </c>
      <c r="F1931" s="4">
        <v>0</v>
      </c>
      <c r="G1931" s="5">
        <v>0</v>
      </c>
      <c r="H1931" s="4">
        <v>0</v>
      </c>
    </row>
    <row r="1932" spans="1:8" x14ac:dyDescent="0.2">
      <c r="A1932" s="2" t="s">
        <v>199</v>
      </c>
      <c r="B1932" s="4">
        <v>2</v>
      </c>
      <c r="C1932" s="5">
        <v>6.67</v>
      </c>
      <c r="D1932" s="4">
        <v>0</v>
      </c>
      <c r="E1932" s="5">
        <v>0</v>
      </c>
      <c r="F1932" s="4">
        <v>0</v>
      </c>
      <c r="G1932" s="5">
        <v>0</v>
      </c>
      <c r="H1932" s="4">
        <v>0</v>
      </c>
    </row>
    <row r="1933" spans="1:8" x14ac:dyDescent="0.2">
      <c r="A1933" s="2" t="s">
        <v>200</v>
      </c>
      <c r="B1933" s="4">
        <v>5</v>
      </c>
      <c r="C1933" s="5">
        <v>16.670000000000002</v>
      </c>
      <c r="D1933" s="4">
        <v>5</v>
      </c>
      <c r="E1933" s="5">
        <v>33.33</v>
      </c>
      <c r="F1933" s="4">
        <v>0</v>
      </c>
      <c r="G1933" s="5">
        <v>0</v>
      </c>
      <c r="H1933" s="4">
        <v>0</v>
      </c>
    </row>
    <row r="1934" spans="1:8" x14ac:dyDescent="0.2">
      <c r="A1934" s="2" t="s">
        <v>201</v>
      </c>
      <c r="B1934" s="4">
        <v>2</v>
      </c>
      <c r="C1934" s="5">
        <v>6.67</v>
      </c>
      <c r="D1934" s="4">
        <v>2</v>
      </c>
      <c r="E1934" s="5">
        <v>13.33</v>
      </c>
      <c r="F1934" s="4">
        <v>0</v>
      </c>
      <c r="G1934" s="5">
        <v>0</v>
      </c>
      <c r="H1934" s="4">
        <v>0</v>
      </c>
    </row>
    <row r="1935" spans="1:8" x14ac:dyDescent="0.2">
      <c r="A1935" s="2" t="s">
        <v>202</v>
      </c>
      <c r="B1935" s="4">
        <v>0</v>
      </c>
      <c r="C1935" s="5">
        <v>0</v>
      </c>
      <c r="D1935" s="4">
        <v>0</v>
      </c>
      <c r="E1935" s="5">
        <v>0</v>
      </c>
      <c r="F1935" s="4">
        <v>0</v>
      </c>
      <c r="G1935" s="5">
        <v>0</v>
      </c>
      <c r="H1935" s="4">
        <v>0</v>
      </c>
    </row>
    <row r="1936" spans="1:8" x14ac:dyDescent="0.2">
      <c r="A1936" s="2" t="s">
        <v>203</v>
      </c>
      <c r="B1936" s="4">
        <v>3</v>
      </c>
      <c r="C1936" s="5">
        <v>10</v>
      </c>
      <c r="D1936" s="4">
        <v>1</v>
      </c>
      <c r="E1936" s="5">
        <v>6.67</v>
      </c>
      <c r="F1936" s="4">
        <v>1</v>
      </c>
      <c r="G1936" s="5">
        <v>9.09</v>
      </c>
      <c r="H1936" s="4">
        <v>0</v>
      </c>
    </row>
    <row r="1937" spans="1:8" x14ac:dyDescent="0.2">
      <c r="A1937" s="2" t="s">
        <v>204</v>
      </c>
      <c r="B1937" s="4">
        <v>1</v>
      </c>
      <c r="C1937" s="5">
        <v>3.33</v>
      </c>
      <c r="D1937" s="4">
        <v>0</v>
      </c>
      <c r="E1937" s="5">
        <v>0</v>
      </c>
      <c r="F1937" s="4">
        <v>1</v>
      </c>
      <c r="G1937" s="5">
        <v>9.09</v>
      </c>
      <c r="H1937" s="4">
        <v>0</v>
      </c>
    </row>
    <row r="1938" spans="1:8" x14ac:dyDescent="0.2">
      <c r="A1938" s="1" t="s">
        <v>121</v>
      </c>
      <c r="B1938" s="4">
        <v>92</v>
      </c>
      <c r="C1938" s="5">
        <v>99.990000000000009</v>
      </c>
      <c r="D1938" s="4">
        <v>59</v>
      </c>
      <c r="E1938" s="5">
        <v>99.97</v>
      </c>
      <c r="F1938" s="4">
        <v>31</v>
      </c>
      <c r="G1938" s="5">
        <v>100.03000000000002</v>
      </c>
      <c r="H1938" s="4">
        <v>0</v>
      </c>
    </row>
    <row r="1939" spans="1:8" x14ac:dyDescent="0.2">
      <c r="A1939" s="2" t="s">
        <v>190</v>
      </c>
      <c r="B1939" s="4">
        <v>0</v>
      </c>
      <c r="C1939" s="5">
        <v>0</v>
      </c>
      <c r="D1939" s="4">
        <v>0</v>
      </c>
      <c r="E1939" s="5">
        <v>0</v>
      </c>
      <c r="F1939" s="4">
        <v>0</v>
      </c>
      <c r="G1939" s="5">
        <v>0</v>
      </c>
      <c r="H1939" s="4">
        <v>0</v>
      </c>
    </row>
    <row r="1940" spans="1:8" x14ac:dyDescent="0.2">
      <c r="A1940" s="2" t="s">
        <v>191</v>
      </c>
      <c r="B1940" s="4">
        <v>13</v>
      </c>
      <c r="C1940" s="5">
        <v>14.13</v>
      </c>
      <c r="D1940" s="4">
        <v>6</v>
      </c>
      <c r="E1940" s="5">
        <v>10.17</v>
      </c>
      <c r="F1940" s="4">
        <v>7</v>
      </c>
      <c r="G1940" s="5">
        <v>22.58</v>
      </c>
      <c r="H1940" s="4">
        <v>0</v>
      </c>
    </row>
    <row r="1941" spans="1:8" x14ac:dyDescent="0.2">
      <c r="A1941" s="2" t="s">
        <v>192</v>
      </c>
      <c r="B1941" s="4">
        <v>6</v>
      </c>
      <c r="C1941" s="5">
        <v>6.52</v>
      </c>
      <c r="D1941" s="4">
        <v>1</v>
      </c>
      <c r="E1941" s="5">
        <v>1.69</v>
      </c>
      <c r="F1941" s="4">
        <v>5</v>
      </c>
      <c r="G1941" s="5">
        <v>16.13</v>
      </c>
      <c r="H1941" s="4">
        <v>0</v>
      </c>
    </row>
    <row r="1942" spans="1:8" x14ac:dyDescent="0.2">
      <c r="A1942" s="2" t="s">
        <v>193</v>
      </c>
      <c r="B1942" s="4">
        <v>1</v>
      </c>
      <c r="C1942" s="5">
        <v>1.0900000000000001</v>
      </c>
      <c r="D1942" s="4">
        <v>0</v>
      </c>
      <c r="E1942" s="5">
        <v>0</v>
      </c>
      <c r="F1942" s="4">
        <v>1</v>
      </c>
      <c r="G1942" s="5">
        <v>3.23</v>
      </c>
      <c r="H1942" s="4">
        <v>0</v>
      </c>
    </row>
    <row r="1943" spans="1:8" x14ac:dyDescent="0.2">
      <c r="A1943" s="2" t="s">
        <v>194</v>
      </c>
      <c r="B1943" s="4">
        <v>0</v>
      </c>
      <c r="C1943" s="5">
        <v>0</v>
      </c>
      <c r="D1943" s="4">
        <v>0</v>
      </c>
      <c r="E1943" s="5">
        <v>0</v>
      </c>
      <c r="F1943" s="4">
        <v>0</v>
      </c>
      <c r="G1943" s="5">
        <v>0</v>
      </c>
      <c r="H1943" s="4">
        <v>0</v>
      </c>
    </row>
    <row r="1944" spans="1:8" x14ac:dyDescent="0.2">
      <c r="A1944" s="2" t="s">
        <v>195</v>
      </c>
      <c r="B1944" s="4">
        <v>3</v>
      </c>
      <c r="C1944" s="5">
        <v>3.26</v>
      </c>
      <c r="D1944" s="4">
        <v>2</v>
      </c>
      <c r="E1944" s="5">
        <v>3.39</v>
      </c>
      <c r="F1944" s="4">
        <v>1</v>
      </c>
      <c r="G1944" s="5">
        <v>3.23</v>
      </c>
      <c r="H1944" s="4">
        <v>0</v>
      </c>
    </row>
    <row r="1945" spans="1:8" x14ac:dyDescent="0.2">
      <c r="A1945" s="2" t="s">
        <v>196</v>
      </c>
      <c r="B1945" s="4">
        <v>25</v>
      </c>
      <c r="C1945" s="5">
        <v>27.17</v>
      </c>
      <c r="D1945" s="4">
        <v>17</v>
      </c>
      <c r="E1945" s="5">
        <v>28.81</v>
      </c>
      <c r="F1945" s="4">
        <v>8</v>
      </c>
      <c r="G1945" s="5">
        <v>25.81</v>
      </c>
      <c r="H1945" s="4">
        <v>0</v>
      </c>
    </row>
    <row r="1946" spans="1:8" x14ac:dyDescent="0.2">
      <c r="A1946" s="2" t="s">
        <v>197</v>
      </c>
      <c r="B1946" s="4">
        <v>1</v>
      </c>
      <c r="C1946" s="5">
        <v>1.0900000000000001</v>
      </c>
      <c r="D1946" s="4">
        <v>0</v>
      </c>
      <c r="E1946" s="5">
        <v>0</v>
      </c>
      <c r="F1946" s="4">
        <v>1</v>
      </c>
      <c r="G1946" s="5">
        <v>3.23</v>
      </c>
      <c r="H1946" s="4">
        <v>0</v>
      </c>
    </row>
    <row r="1947" spans="1:8" x14ac:dyDescent="0.2">
      <c r="A1947" s="2" t="s">
        <v>198</v>
      </c>
      <c r="B1947" s="4">
        <v>2</v>
      </c>
      <c r="C1947" s="5">
        <v>2.17</v>
      </c>
      <c r="D1947" s="4">
        <v>1</v>
      </c>
      <c r="E1947" s="5">
        <v>1.69</v>
      </c>
      <c r="F1947" s="4">
        <v>1</v>
      </c>
      <c r="G1947" s="5">
        <v>3.23</v>
      </c>
      <c r="H1947" s="4">
        <v>0</v>
      </c>
    </row>
    <row r="1948" spans="1:8" x14ac:dyDescent="0.2">
      <c r="A1948" s="2" t="s">
        <v>199</v>
      </c>
      <c r="B1948" s="4">
        <v>4</v>
      </c>
      <c r="C1948" s="5">
        <v>4.3499999999999996</v>
      </c>
      <c r="D1948" s="4">
        <v>1</v>
      </c>
      <c r="E1948" s="5">
        <v>1.69</v>
      </c>
      <c r="F1948" s="4">
        <v>3</v>
      </c>
      <c r="G1948" s="5">
        <v>9.68</v>
      </c>
      <c r="H1948" s="4">
        <v>0</v>
      </c>
    </row>
    <row r="1949" spans="1:8" x14ac:dyDescent="0.2">
      <c r="A1949" s="2" t="s">
        <v>200</v>
      </c>
      <c r="B1949" s="4">
        <v>14</v>
      </c>
      <c r="C1949" s="5">
        <v>15.22</v>
      </c>
      <c r="D1949" s="4">
        <v>11</v>
      </c>
      <c r="E1949" s="5">
        <v>18.64</v>
      </c>
      <c r="F1949" s="4">
        <v>2</v>
      </c>
      <c r="G1949" s="5">
        <v>6.45</v>
      </c>
      <c r="H1949" s="4">
        <v>0</v>
      </c>
    </row>
    <row r="1950" spans="1:8" x14ac:dyDescent="0.2">
      <c r="A1950" s="2" t="s">
        <v>201</v>
      </c>
      <c r="B1950" s="4">
        <v>13</v>
      </c>
      <c r="C1950" s="5">
        <v>14.13</v>
      </c>
      <c r="D1950" s="4">
        <v>12</v>
      </c>
      <c r="E1950" s="5">
        <v>20.34</v>
      </c>
      <c r="F1950" s="4">
        <v>0</v>
      </c>
      <c r="G1950" s="5">
        <v>0</v>
      </c>
      <c r="H1950" s="4">
        <v>0</v>
      </c>
    </row>
    <row r="1951" spans="1:8" x14ac:dyDescent="0.2">
      <c r="A1951" s="2" t="s">
        <v>202</v>
      </c>
      <c r="B1951" s="4">
        <v>2</v>
      </c>
      <c r="C1951" s="5">
        <v>2.17</v>
      </c>
      <c r="D1951" s="4">
        <v>2</v>
      </c>
      <c r="E1951" s="5">
        <v>3.39</v>
      </c>
      <c r="F1951" s="4">
        <v>0</v>
      </c>
      <c r="G1951" s="5">
        <v>0</v>
      </c>
      <c r="H1951" s="4">
        <v>0</v>
      </c>
    </row>
    <row r="1952" spans="1:8" x14ac:dyDescent="0.2">
      <c r="A1952" s="2" t="s">
        <v>203</v>
      </c>
      <c r="B1952" s="4">
        <v>2</v>
      </c>
      <c r="C1952" s="5">
        <v>2.17</v>
      </c>
      <c r="D1952" s="4">
        <v>1</v>
      </c>
      <c r="E1952" s="5">
        <v>1.69</v>
      </c>
      <c r="F1952" s="4">
        <v>1</v>
      </c>
      <c r="G1952" s="5">
        <v>3.23</v>
      </c>
      <c r="H1952" s="4">
        <v>0</v>
      </c>
    </row>
    <row r="1953" spans="1:8" x14ac:dyDescent="0.2">
      <c r="A1953" s="2" t="s">
        <v>204</v>
      </c>
      <c r="B1953" s="4">
        <v>6</v>
      </c>
      <c r="C1953" s="5">
        <v>6.52</v>
      </c>
      <c r="D1953" s="4">
        <v>5</v>
      </c>
      <c r="E1953" s="5">
        <v>8.4700000000000006</v>
      </c>
      <c r="F1953" s="4">
        <v>1</v>
      </c>
      <c r="G1953" s="5">
        <v>3.23</v>
      </c>
      <c r="H1953" s="4">
        <v>0</v>
      </c>
    </row>
    <row r="1954" spans="1:8" x14ac:dyDescent="0.2">
      <c r="A1954" s="1" t="s">
        <v>122</v>
      </c>
      <c r="B1954" s="4">
        <v>109</v>
      </c>
      <c r="C1954" s="5">
        <v>99.98</v>
      </c>
      <c r="D1954" s="4">
        <v>58</v>
      </c>
      <c r="E1954" s="5">
        <v>99.999999999999986</v>
      </c>
      <c r="F1954" s="4">
        <v>42</v>
      </c>
      <c r="G1954" s="5">
        <v>99.989999999999981</v>
      </c>
      <c r="H1954" s="4">
        <v>0</v>
      </c>
    </row>
    <row r="1955" spans="1:8" x14ac:dyDescent="0.2">
      <c r="A1955" s="2" t="s">
        <v>190</v>
      </c>
      <c r="B1955" s="4">
        <v>0</v>
      </c>
      <c r="C1955" s="5">
        <v>0</v>
      </c>
      <c r="D1955" s="4">
        <v>0</v>
      </c>
      <c r="E1955" s="5">
        <v>0</v>
      </c>
      <c r="F1955" s="4">
        <v>0</v>
      </c>
      <c r="G1955" s="5">
        <v>0</v>
      </c>
      <c r="H1955" s="4">
        <v>0</v>
      </c>
    </row>
    <row r="1956" spans="1:8" x14ac:dyDescent="0.2">
      <c r="A1956" s="2" t="s">
        <v>191</v>
      </c>
      <c r="B1956" s="4">
        <v>12</v>
      </c>
      <c r="C1956" s="5">
        <v>11.01</v>
      </c>
      <c r="D1956" s="4">
        <v>3</v>
      </c>
      <c r="E1956" s="5">
        <v>5.17</v>
      </c>
      <c r="F1956" s="4">
        <v>9</v>
      </c>
      <c r="G1956" s="5">
        <v>21.43</v>
      </c>
      <c r="H1956" s="4">
        <v>0</v>
      </c>
    </row>
    <row r="1957" spans="1:8" x14ac:dyDescent="0.2">
      <c r="A1957" s="2" t="s">
        <v>192</v>
      </c>
      <c r="B1957" s="4">
        <v>3</v>
      </c>
      <c r="C1957" s="5">
        <v>2.75</v>
      </c>
      <c r="D1957" s="4">
        <v>0</v>
      </c>
      <c r="E1957" s="5">
        <v>0</v>
      </c>
      <c r="F1957" s="4">
        <v>3</v>
      </c>
      <c r="G1957" s="5">
        <v>7.14</v>
      </c>
      <c r="H1957" s="4">
        <v>0</v>
      </c>
    </row>
    <row r="1958" spans="1:8" x14ac:dyDescent="0.2">
      <c r="A1958" s="2" t="s">
        <v>193</v>
      </c>
      <c r="B1958" s="4">
        <v>2</v>
      </c>
      <c r="C1958" s="5">
        <v>1.83</v>
      </c>
      <c r="D1958" s="4">
        <v>0</v>
      </c>
      <c r="E1958" s="5">
        <v>0</v>
      </c>
      <c r="F1958" s="4">
        <v>0</v>
      </c>
      <c r="G1958" s="5">
        <v>0</v>
      </c>
      <c r="H1958" s="4">
        <v>0</v>
      </c>
    </row>
    <row r="1959" spans="1:8" x14ac:dyDescent="0.2">
      <c r="A1959" s="2" t="s">
        <v>194</v>
      </c>
      <c r="B1959" s="4">
        <v>1</v>
      </c>
      <c r="C1959" s="5">
        <v>0.92</v>
      </c>
      <c r="D1959" s="4">
        <v>0</v>
      </c>
      <c r="E1959" s="5">
        <v>0</v>
      </c>
      <c r="F1959" s="4">
        <v>1</v>
      </c>
      <c r="G1959" s="5">
        <v>2.38</v>
      </c>
      <c r="H1959" s="4">
        <v>0</v>
      </c>
    </row>
    <row r="1960" spans="1:8" x14ac:dyDescent="0.2">
      <c r="A1960" s="2" t="s">
        <v>195</v>
      </c>
      <c r="B1960" s="4">
        <v>2</v>
      </c>
      <c r="C1960" s="5">
        <v>1.83</v>
      </c>
      <c r="D1960" s="4">
        <v>0</v>
      </c>
      <c r="E1960" s="5">
        <v>0</v>
      </c>
      <c r="F1960" s="4">
        <v>2</v>
      </c>
      <c r="G1960" s="5">
        <v>4.76</v>
      </c>
      <c r="H1960" s="4">
        <v>0</v>
      </c>
    </row>
    <row r="1961" spans="1:8" x14ac:dyDescent="0.2">
      <c r="A1961" s="2" t="s">
        <v>196</v>
      </c>
      <c r="B1961" s="4">
        <v>31</v>
      </c>
      <c r="C1961" s="5">
        <v>28.44</v>
      </c>
      <c r="D1961" s="4">
        <v>12</v>
      </c>
      <c r="E1961" s="5">
        <v>20.69</v>
      </c>
      <c r="F1961" s="4">
        <v>19</v>
      </c>
      <c r="G1961" s="5">
        <v>45.24</v>
      </c>
      <c r="H1961" s="4">
        <v>0</v>
      </c>
    </row>
    <row r="1962" spans="1:8" x14ac:dyDescent="0.2">
      <c r="A1962" s="2" t="s">
        <v>197</v>
      </c>
      <c r="B1962" s="4">
        <v>1</v>
      </c>
      <c r="C1962" s="5">
        <v>0.92</v>
      </c>
      <c r="D1962" s="4">
        <v>0</v>
      </c>
      <c r="E1962" s="5">
        <v>0</v>
      </c>
      <c r="F1962" s="4">
        <v>1</v>
      </c>
      <c r="G1962" s="5">
        <v>2.38</v>
      </c>
      <c r="H1962" s="4">
        <v>0</v>
      </c>
    </row>
    <row r="1963" spans="1:8" x14ac:dyDescent="0.2">
      <c r="A1963" s="2" t="s">
        <v>198</v>
      </c>
      <c r="B1963" s="4">
        <v>7</v>
      </c>
      <c r="C1963" s="5">
        <v>6.42</v>
      </c>
      <c r="D1963" s="4">
        <v>4</v>
      </c>
      <c r="E1963" s="5">
        <v>6.9</v>
      </c>
      <c r="F1963" s="4">
        <v>3</v>
      </c>
      <c r="G1963" s="5">
        <v>7.14</v>
      </c>
      <c r="H1963" s="4">
        <v>0</v>
      </c>
    </row>
    <row r="1964" spans="1:8" x14ac:dyDescent="0.2">
      <c r="A1964" s="2" t="s">
        <v>199</v>
      </c>
      <c r="B1964" s="4">
        <v>2</v>
      </c>
      <c r="C1964" s="5">
        <v>1.83</v>
      </c>
      <c r="D1964" s="4">
        <v>1</v>
      </c>
      <c r="E1964" s="5">
        <v>1.72</v>
      </c>
      <c r="F1964" s="4">
        <v>1</v>
      </c>
      <c r="G1964" s="5">
        <v>2.38</v>
      </c>
      <c r="H1964" s="4">
        <v>0</v>
      </c>
    </row>
    <row r="1965" spans="1:8" x14ac:dyDescent="0.2">
      <c r="A1965" s="2" t="s">
        <v>200</v>
      </c>
      <c r="B1965" s="4">
        <v>24</v>
      </c>
      <c r="C1965" s="5">
        <v>22.02</v>
      </c>
      <c r="D1965" s="4">
        <v>23</v>
      </c>
      <c r="E1965" s="5">
        <v>39.659999999999997</v>
      </c>
      <c r="F1965" s="4">
        <v>1</v>
      </c>
      <c r="G1965" s="5">
        <v>2.38</v>
      </c>
      <c r="H1965" s="4">
        <v>0</v>
      </c>
    </row>
    <row r="1966" spans="1:8" x14ac:dyDescent="0.2">
      <c r="A1966" s="2" t="s">
        <v>201</v>
      </c>
      <c r="B1966" s="4">
        <v>15</v>
      </c>
      <c r="C1966" s="5">
        <v>13.76</v>
      </c>
      <c r="D1966" s="4">
        <v>13</v>
      </c>
      <c r="E1966" s="5">
        <v>22.41</v>
      </c>
      <c r="F1966" s="4">
        <v>0</v>
      </c>
      <c r="G1966" s="5">
        <v>0</v>
      </c>
      <c r="H1966" s="4">
        <v>0</v>
      </c>
    </row>
    <row r="1967" spans="1:8" x14ac:dyDescent="0.2">
      <c r="A1967" s="2" t="s">
        <v>202</v>
      </c>
      <c r="B1967" s="4">
        <v>2</v>
      </c>
      <c r="C1967" s="5">
        <v>1.83</v>
      </c>
      <c r="D1967" s="4">
        <v>0</v>
      </c>
      <c r="E1967" s="5">
        <v>0</v>
      </c>
      <c r="F1967" s="4">
        <v>1</v>
      </c>
      <c r="G1967" s="5">
        <v>2.38</v>
      </c>
      <c r="H1967" s="4">
        <v>0</v>
      </c>
    </row>
    <row r="1968" spans="1:8" x14ac:dyDescent="0.2">
      <c r="A1968" s="2" t="s">
        <v>203</v>
      </c>
      <c r="B1968" s="4">
        <v>4</v>
      </c>
      <c r="C1968" s="5">
        <v>3.67</v>
      </c>
      <c r="D1968" s="4">
        <v>0</v>
      </c>
      <c r="E1968" s="5">
        <v>0</v>
      </c>
      <c r="F1968" s="4">
        <v>0</v>
      </c>
      <c r="G1968" s="5">
        <v>0</v>
      </c>
      <c r="H1968" s="4">
        <v>0</v>
      </c>
    </row>
    <row r="1969" spans="1:8" x14ac:dyDescent="0.2">
      <c r="A1969" s="2" t="s">
        <v>204</v>
      </c>
      <c r="B1969" s="4">
        <v>3</v>
      </c>
      <c r="C1969" s="5">
        <v>2.75</v>
      </c>
      <c r="D1969" s="4">
        <v>2</v>
      </c>
      <c r="E1969" s="5">
        <v>3.45</v>
      </c>
      <c r="F1969" s="4">
        <v>1</v>
      </c>
      <c r="G1969" s="5">
        <v>2.38</v>
      </c>
      <c r="H1969" s="4">
        <v>0</v>
      </c>
    </row>
    <row r="1970" spans="1:8" x14ac:dyDescent="0.2">
      <c r="A1970" s="1" t="s">
        <v>123</v>
      </c>
      <c r="B1970" s="4">
        <v>39</v>
      </c>
      <c r="C1970" s="5">
        <v>99.990000000000009</v>
      </c>
      <c r="D1970" s="4">
        <v>11</v>
      </c>
      <c r="E1970" s="5">
        <v>99.990000000000009</v>
      </c>
      <c r="F1970" s="4">
        <v>26</v>
      </c>
      <c r="G1970" s="5">
        <v>100.01999999999998</v>
      </c>
      <c r="H1970" s="4">
        <v>0</v>
      </c>
    </row>
    <row r="1971" spans="1:8" x14ac:dyDescent="0.2">
      <c r="A1971" s="2" t="s">
        <v>190</v>
      </c>
      <c r="B1971" s="4">
        <v>0</v>
      </c>
      <c r="C1971" s="5">
        <v>0</v>
      </c>
      <c r="D1971" s="4">
        <v>0</v>
      </c>
      <c r="E1971" s="5">
        <v>0</v>
      </c>
      <c r="F1971" s="4">
        <v>0</v>
      </c>
      <c r="G1971" s="5">
        <v>0</v>
      </c>
      <c r="H1971" s="4">
        <v>0</v>
      </c>
    </row>
    <row r="1972" spans="1:8" x14ac:dyDescent="0.2">
      <c r="A1972" s="2" t="s">
        <v>191</v>
      </c>
      <c r="B1972" s="4">
        <v>4</v>
      </c>
      <c r="C1972" s="5">
        <v>10.26</v>
      </c>
      <c r="D1972" s="4">
        <v>1</v>
      </c>
      <c r="E1972" s="5">
        <v>9.09</v>
      </c>
      <c r="F1972" s="4">
        <v>3</v>
      </c>
      <c r="G1972" s="5">
        <v>11.54</v>
      </c>
      <c r="H1972" s="4">
        <v>0</v>
      </c>
    </row>
    <row r="1973" spans="1:8" x14ac:dyDescent="0.2">
      <c r="A1973" s="2" t="s">
        <v>192</v>
      </c>
      <c r="B1973" s="4">
        <v>5</v>
      </c>
      <c r="C1973" s="5">
        <v>12.82</v>
      </c>
      <c r="D1973" s="4">
        <v>1</v>
      </c>
      <c r="E1973" s="5">
        <v>9.09</v>
      </c>
      <c r="F1973" s="4">
        <v>4</v>
      </c>
      <c r="G1973" s="5">
        <v>15.38</v>
      </c>
      <c r="H1973" s="4">
        <v>0</v>
      </c>
    </row>
    <row r="1974" spans="1:8" x14ac:dyDescent="0.2">
      <c r="A1974" s="2" t="s">
        <v>193</v>
      </c>
      <c r="B1974" s="4">
        <v>1</v>
      </c>
      <c r="C1974" s="5">
        <v>2.56</v>
      </c>
      <c r="D1974" s="4">
        <v>0</v>
      </c>
      <c r="E1974" s="5">
        <v>0</v>
      </c>
      <c r="F1974" s="4">
        <v>0</v>
      </c>
      <c r="G1974" s="5">
        <v>0</v>
      </c>
      <c r="H1974" s="4">
        <v>0</v>
      </c>
    </row>
    <row r="1975" spans="1:8" x14ac:dyDescent="0.2">
      <c r="A1975" s="2" t="s">
        <v>194</v>
      </c>
      <c r="B1975" s="4">
        <v>0</v>
      </c>
      <c r="C1975" s="5">
        <v>0</v>
      </c>
      <c r="D1975" s="4">
        <v>0</v>
      </c>
      <c r="E1975" s="5">
        <v>0</v>
      </c>
      <c r="F1975" s="4">
        <v>0</v>
      </c>
      <c r="G1975" s="5">
        <v>0</v>
      </c>
      <c r="H1975" s="4">
        <v>0</v>
      </c>
    </row>
    <row r="1976" spans="1:8" x14ac:dyDescent="0.2">
      <c r="A1976" s="2" t="s">
        <v>195</v>
      </c>
      <c r="B1976" s="4">
        <v>1</v>
      </c>
      <c r="C1976" s="5">
        <v>2.56</v>
      </c>
      <c r="D1976" s="4">
        <v>0</v>
      </c>
      <c r="E1976" s="5">
        <v>0</v>
      </c>
      <c r="F1976" s="4">
        <v>1</v>
      </c>
      <c r="G1976" s="5">
        <v>3.85</v>
      </c>
      <c r="H1976" s="4">
        <v>0</v>
      </c>
    </row>
    <row r="1977" spans="1:8" x14ac:dyDescent="0.2">
      <c r="A1977" s="2" t="s">
        <v>196</v>
      </c>
      <c r="B1977" s="4">
        <v>11</v>
      </c>
      <c r="C1977" s="5">
        <v>28.21</v>
      </c>
      <c r="D1977" s="4">
        <v>2</v>
      </c>
      <c r="E1977" s="5">
        <v>18.18</v>
      </c>
      <c r="F1977" s="4">
        <v>9</v>
      </c>
      <c r="G1977" s="5">
        <v>34.619999999999997</v>
      </c>
      <c r="H1977" s="4">
        <v>0</v>
      </c>
    </row>
    <row r="1978" spans="1:8" x14ac:dyDescent="0.2">
      <c r="A1978" s="2" t="s">
        <v>197</v>
      </c>
      <c r="B1978" s="4">
        <v>0</v>
      </c>
      <c r="C1978" s="5">
        <v>0</v>
      </c>
      <c r="D1978" s="4">
        <v>0</v>
      </c>
      <c r="E1978" s="5">
        <v>0</v>
      </c>
      <c r="F1978" s="4">
        <v>0</v>
      </c>
      <c r="G1978" s="5">
        <v>0</v>
      </c>
      <c r="H1978" s="4">
        <v>0</v>
      </c>
    </row>
    <row r="1979" spans="1:8" x14ac:dyDescent="0.2">
      <c r="A1979" s="2" t="s">
        <v>198</v>
      </c>
      <c r="B1979" s="4">
        <v>0</v>
      </c>
      <c r="C1979" s="5">
        <v>0</v>
      </c>
      <c r="D1979" s="4">
        <v>0</v>
      </c>
      <c r="E1979" s="5">
        <v>0</v>
      </c>
      <c r="F1979" s="4">
        <v>0</v>
      </c>
      <c r="G1979" s="5">
        <v>0</v>
      </c>
      <c r="H1979" s="4">
        <v>0</v>
      </c>
    </row>
    <row r="1980" spans="1:8" x14ac:dyDescent="0.2">
      <c r="A1980" s="2" t="s">
        <v>199</v>
      </c>
      <c r="B1980" s="4">
        <v>1</v>
      </c>
      <c r="C1980" s="5">
        <v>2.56</v>
      </c>
      <c r="D1980" s="4">
        <v>0</v>
      </c>
      <c r="E1980" s="5">
        <v>0</v>
      </c>
      <c r="F1980" s="4">
        <v>1</v>
      </c>
      <c r="G1980" s="5">
        <v>3.85</v>
      </c>
      <c r="H1980" s="4">
        <v>0</v>
      </c>
    </row>
    <row r="1981" spans="1:8" x14ac:dyDescent="0.2">
      <c r="A1981" s="2" t="s">
        <v>200</v>
      </c>
      <c r="B1981" s="4">
        <v>7</v>
      </c>
      <c r="C1981" s="5">
        <v>17.95</v>
      </c>
      <c r="D1981" s="4">
        <v>5</v>
      </c>
      <c r="E1981" s="5">
        <v>45.45</v>
      </c>
      <c r="F1981" s="4">
        <v>1</v>
      </c>
      <c r="G1981" s="5">
        <v>3.85</v>
      </c>
      <c r="H1981" s="4">
        <v>0</v>
      </c>
    </row>
    <row r="1982" spans="1:8" x14ac:dyDescent="0.2">
      <c r="A1982" s="2" t="s">
        <v>201</v>
      </c>
      <c r="B1982" s="4">
        <v>3</v>
      </c>
      <c r="C1982" s="5">
        <v>7.69</v>
      </c>
      <c r="D1982" s="4">
        <v>2</v>
      </c>
      <c r="E1982" s="5">
        <v>18.18</v>
      </c>
      <c r="F1982" s="4">
        <v>1</v>
      </c>
      <c r="G1982" s="5">
        <v>3.85</v>
      </c>
      <c r="H1982" s="4">
        <v>0</v>
      </c>
    </row>
    <row r="1983" spans="1:8" x14ac:dyDescent="0.2">
      <c r="A1983" s="2" t="s">
        <v>202</v>
      </c>
      <c r="B1983" s="4">
        <v>0</v>
      </c>
      <c r="C1983" s="5">
        <v>0</v>
      </c>
      <c r="D1983" s="4">
        <v>0</v>
      </c>
      <c r="E1983" s="5">
        <v>0</v>
      </c>
      <c r="F1983" s="4">
        <v>0</v>
      </c>
      <c r="G1983" s="5">
        <v>0</v>
      </c>
      <c r="H1983" s="4">
        <v>0</v>
      </c>
    </row>
    <row r="1984" spans="1:8" x14ac:dyDescent="0.2">
      <c r="A1984" s="2" t="s">
        <v>203</v>
      </c>
      <c r="B1984" s="4">
        <v>1</v>
      </c>
      <c r="C1984" s="5">
        <v>2.56</v>
      </c>
      <c r="D1984" s="4">
        <v>0</v>
      </c>
      <c r="E1984" s="5">
        <v>0</v>
      </c>
      <c r="F1984" s="4">
        <v>1</v>
      </c>
      <c r="G1984" s="5">
        <v>3.85</v>
      </c>
      <c r="H1984" s="4">
        <v>0</v>
      </c>
    </row>
    <row r="1985" spans="1:8" x14ac:dyDescent="0.2">
      <c r="A1985" s="2" t="s">
        <v>204</v>
      </c>
      <c r="B1985" s="4">
        <v>5</v>
      </c>
      <c r="C1985" s="5">
        <v>12.82</v>
      </c>
      <c r="D1985" s="4">
        <v>0</v>
      </c>
      <c r="E1985" s="5">
        <v>0</v>
      </c>
      <c r="F1985" s="4">
        <v>5</v>
      </c>
      <c r="G1985" s="5">
        <v>19.23</v>
      </c>
      <c r="H1985" s="4">
        <v>0</v>
      </c>
    </row>
    <row r="1986" spans="1:8" x14ac:dyDescent="0.2">
      <c r="A1986" s="1" t="s">
        <v>124</v>
      </c>
      <c r="B1986" s="4">
        <v>100</v>
      </c>
      <c r="C1986" s="5">
        <v>100</v>
      </c>
      <c r="D1986" s="4">
        <v>46</v>
      </c>
      <c r="E1986" s="5">
        <v>99.99</v>
      </c>
      <c r="F1986" s="4">
        <v>47</v>
      </c>
      <c r="G1986" s="5">
        <v>100.02</v>
      </c>
      <c r="H1986" s="4">
        <v>0</v>
      </c>
    </row>
    <row r="1987" spans="1:8" x14ac:dyDescent="0.2">
      <c r="A1987" s="2" t="s">
        <v>190</v>
      </c>
      <c r="B1987" s="4">
        <v>0</v>
      </c>
      <c r="C1987" s="5">
        <v>0</v>
      </c>
      <c r="D1987" s="4">
        <v>0</v>
      </c>
      <c r="E1987" s="5">
        <v>0</v>
      </c>
      <c r="F1987" s="4">
        <v>0</v>
      </c>
      <c r="G1987" s="5">
        <v>0</v>
      </c>
      <c r="H1987" s="4">
        <v>0</v>
      </c>
    </row>
    <row r="1988" spans="1:8" x14ac:dyDescent="0.2">
      <c r="A1988" s="2" t="s">
        <v>191</v>
      </c>
      <c r="B1988" s="4">
        <v>13</v>
      </c>
      <c r="C1988" s="5">
        <v>13</v>
      </c>
      <c r="D1988" s="4">
        <v>3</v>
      </c>
      <c r="E1988" s="5">
        <v>6.52</v>
      </c>
      <c r="F1988" s="4">
        <v>10</v>
      </c>
      <c r="G1988" s="5">
        <v>21.28</v>
      </c>
      <c r="H1988" s="4">
        <v>0</v>
      </c>
    </row>
    <row r="1989" spans="1:8" x14ac:dyDescent="0.2">
      <c r="A1989" s="2" t="s">
        <v>192</v>
      </c>
      <c r="B1989" s="4">
        <v>5</v>
      </c>
      <c r="C1989" s="5">
        <v>5</v>
      </c>
      <c r="D1989" s="4">
        <v>1</v>
      </c>
      <c r="E1989" s="5">
        <v>2.17</v>
      </c>
      <c r="F1989" s="4">
        <v>4</v>
      </c>
      <c r="G1989" s="5">
        <v>8.51</v>
      </c>
      <c r="H1989" s="4">
        <v>0</v>
      </c>
    </row>
    <row r="1990" spans="1:8" x14ac:dyDescent="0.2">
      <c r="A1990" s="2" t="s">
        <v>193</v>
      </c>
      <c r="B1990" s="4">
        <v>1</v>
      </c>
      <c r="C1990" s="5">
        <v>1</v>
      </c>
      <c r="D1990" s="4">
        <v>0</v>
      </c>
      <c r="E1990" s="5">
        <v>0</v>
      </c>
      <c r="F1990" s="4">
        <v>0</v>
      </c>
      <c r="G1990" s="5">
        <v>0</v>
      </c>
      <c r="H1990" s="4">
        <v>0</v>
      </c>
    </row>
    <row r="1991" spans="1:8" x14ac:dyDescent="0.2">
      <c r="A1991" s="2" t="s">
        <v>194</v>
      </c>
      <c r="B1991" s="4">
        <v>1</v>
      </c>
      <c r="C1991" s="5">
        <v>1</v>
      </c>
      <c r="D1991" s="4">
        <v>0</v>
      </c>
      <c r="E1991" s="5">
        <v>0</v>
      </c>
      <c r="F1991" s="4">
        <v>1</v>
      </c>
      <c r="G1991" s="5">
        <v>2.13</v>
      </c>
      <c r="H1991" s="4">
        <v>0</v>
      </c>
    </row>
    <row r="1992" spans="1:8" x14ac:dyDescent="0.2">
      <c r="A1992" s="2" t="s">
        <v>195</v>
      </c>
      <c r="B1992" s="4">
        <v>2</v>
      </c>
      <c r="C1992" s="5">
        <v>2</v>
      </c>
      <c r="D1992" s="4">
        <v>0</v>
      </c>
      <c r="E1992" s="5">
        <v>0</v>
      </c>
      <c r="F1992" s="4">
        <v>2</v>
      </c>
      <c r="G1992" s="5">
        <v>4.26</v>
      </c>
      <c r="H1992" s="4">
        <v>0</v>
      </c>
    </row>
    <row r="1993" spans="1:8" x14ac:dyDescent="0.2">
      <c r="A1993" s="2" t="s">
        <v>196</v>
      </c>
      <c r="B1993" s="4">
        <v>25</v>
      </c>
      <c r="C1993" s="5">
        <v>25</v>
      </c>
      <c r="D1993" s="4">
        <v>8</v>
      </c>
      <c r="E1993" s="5">
        <v>17.39</v>
      </c>
      <c r="F1993" s="4">
        <v>17</v>
      </c>
      <c r="G1993" s="5">
        <v>36.17</v>
      </c>
      <c r="H1993" s="4">
        <v>0</v>
      </c>
    </row>
    <row r="1994" spans="1:8" x14ac:dyDescent="0.2">
      <c r="A1994" s="2" t="s">
        <v>197</v>
      </c>
      <c r="B1994" s="4">
        <v>1</v>
      </c>
      <c r="C1994" s="5">
        <v>1</v>
      </c>
      <c r="D1994" s="4">
        <v>0</v>
      </c>
      <c r="E1994" s="5">
        <v>0</v>
      </c>
      <c r="F1994" s="4">
        <v>1</v>
      </c>
      <c r="G1994" s="5">
        <v>2.13</v>
      </c>
      <c r="H1994" s="4">
        <v>0</v>
      </c>
    </row>
    <row r="1995" spans="1:8" x14ac:dyDescent="0.2">
      <c r="A1995" s="2" t="s">
        <v>198</v>
      </c>
      <c r="B1995" s="4">
        <v>11</v>
      </c>
      <c r="C1995" s="5">
        <v>11</v>
      </c>
      <c r="D1995" s="4">
        <v>9</v>
      </c>
      <c r="E1995" s="5">
        <v>19.57</v>
      </c>
      <c r="F1995" s="4">
        <v>2</v>
      </c>
      <c r="G1995" s="5">
        <v>4.26</v>
      </c>
      <c r="H1995" s="4">
        <v>0</v>
      </c>
    </row>
    <row r="1996" spans="1:8" x14ac:dyDescent="0.2">
      <c r="A1996" s="2" t="s">
        <v>199</v>
      </c>
      <c r="B1996" s="4">
        <v>2</v>
      </c>
      <c r="C1996" s="5">
        <v>2</v>
      </c>
      <c r="D1996" s="4">
        <v>0</v>
      </c>
      <c r="E1996" s="5">
        <v>0</v>
      </c>
      <c r="F1996" s="4">
        <v>1</v>
      </c>
      <c r="G1996" s="5">
        <v>2.13</v>
      </c>
      <c r="H1996" s="4">
        <v>0</v>
      </c>
    </row>
    <row r="1997" spans="1:8" x14ac:dyDescent="0.2">
      <c r="A1997" s="2" t="s">
        <v>200</v>
      </c>
      <c r="B1997" s="4">
        <v>14</v>
      </c>
      <c r="C1997" s="5">
        <v>14</v>
      </c>
      <c r="D1997" s="4">
        <v>10</v>
      </c>
      <c r="E1997" s="5">
        <v>21.74</v>
      </c>
      <c r="F1997" s="4">
        <v>4</v>
      </c>
      <c r="G1997" s="5">
        <v>8.51</v>
      </c>
      <c r="H1997" s="4">
        <v>0</v>
      </c>
    </row>
    <row r="1998" spans="1:8" x14ac:dyDescent="0.2">
      <c r="A1998" s="2" t="s">
        <v>201</v>
      </c>
      <c r="B1998" s="4">
        <v>13</v>
      </c>
      <c r="C1998" s="5">
        <v>13</v>
      </c>
      <c r="D1998" s="4">
        <v>11</v>
      </c>
      <c r="E1998" s="5">
        <v>23.91</v>
      </c>
      <c r="F1998" s="4">
        <v>0</v>
      </c>
      <c r="G1998" s="5">
        <v>0</v>
      </c>
      <c r="H1998" s="4">
        <v>0</v>
      </c>
    </row>
    <row r="1999" spans="1:8" x14ac:dyDescent="0.2">
      <c r="A1999" s="2" t="s">
        <v>202</v>
      </c>
      <c r="B1999" s="4">
        <v>4</v>
      </c>
      <c r="C1999" s="5">
        <v>4</v>
      </c>
      <c r="D1999" s="4">
        <v>1</v>
      </c>
      <c r="E1999" s="5">
        <v>2.17</v>
      </c>
      <c r="F1999" s="4">
        <v>0</v>
      </c>
      <c r="G1999" s="5">
        <v>0</v>
      </c>
      <c r="H1999" s="4">
        <v>0</v>
      </c>
    </row>
    <row r="2000" spans="1:8" x14ac:dyDescent="0.2">
      <c r="A2000" s="2" t="s">
        <v>203</v>
      </c>
      <c r="B2000" s="4">
        <v>3</v>
      </c>
      <c r="C2000" s="5">
        <v>3</v>
      </c>
      <c r="D2000" s="4">
        <v>2</v>
      </c>
      <c r="E2000" s="5">
        <v>4.3499999999999996</v>
      </c>
      <c r="F2000" s="4">
        <v>1</v>
      </c>
      <c r="G2000" s="5">
        <v>2.13</v>
      </c>
      <c r="H2000" s="4">
        <v>0</v>
      </c>
    </row>
    <row r="2001" spans="1:8" x14ac:dyDescent="0.2">
      <c r="A2001" s="2" t="s">
        <v>204</v>
      </c>
      <c r="B2001" s="4">
        <v>5</v>
      </c>
      <c r="C2001" s="5">
        <v>5</v>
      </c>
      <c r="D2001" s="4">
        <v>1</v>
      </c>
      <c r="E2001" s="5">
        <v>2.17</v>
      </c>
      <c r="F2001" s="4">
        <v>4</v>
      </c>
      <c r="G2001" s="5">
        <v>8.51</v>
      </c>
      <c r="H2001" s="4">
        <v>0</v>
      </c>
    </row>
    <row r="2002" spans="1:8" x14ac:dyDescent="0.2">
      <c r="A2002" s="1" t="s">
        <v>125</v>
      </c>
      <c r="B2002" s="4">
        <v>62</v>
      </c>
      <c r="C2002" s="5">
        <v>99.980000000000018</v>
      </c>
      <c r="D2002" s="4">
        <v>35</v>
      </c>
      <c r="E2002" s="5">
        <v>100.00999999999999</v>
      </c>
      <c r="F2002" s="4">
        <v>24</v>
      </c>
      <c r="G2002" s="5">
        <v>100.02000000000001</v>
      </c>
      <c r="H2002" s="4">
        <v>1</v>
      </c>
    </row>
    <row r="2003" spans="1:8" x14ac:dyDescent="0.2">
      <c r="A2003" s="2" t="s">
        <v>190</v>
      </c>
      <c r="B2003" s="4">
        <v>0</v>
      </c>
      <c r="C2003" s="5">
        <v>0</v>
      </c>
      <c r="D2003" s="4">
        <v>0</v>
      </c>
      <c r="E2003" s="5">
        <v>0</v>
      </c>
      <c r="F2003" s="4">
        <v>0</v>
      </c>
      <c r="G2003" s="5">
        <v>0</v>
      </c>
      <c r="H2003" s="4">
        <v>0</v>
      </c>
    </row>
    <row r="2004" spans="1:8" x14ac:dyDescent="0.2">
      <c r="A2004" s="2" t="s">
        <v>191</v>
      </c>
      <c r="B2004" s="4">
        <v>5</v>
      </c>
      <c r="C2004" s="5">
        <v>8.06</v>
      </c>
      <c r="D2004" s="4">
        <v>1</v>
      </c>
      <c r="E2004" s="5">
        <v>2.86</v>
      </c>
      <c r="F2004" s="4">
        <v>4</v>
      </c>
      <c r="G2004" s="5">
        <v>16.670000000000002</v>
      </c>
      <c r="H2004" s="4">
        <v>0</v>
      </c>
    </row>
    <row r="2005" spans="1:8" x14ac:dyDescent="0.2">
      <c r="A2005" s="2" t="s">
        <v>192</v>
      </c>
      <c r="B2005" s="4">
        <v>7</v>
      </c>
      <c r="C2005" s="5">
        <v>11.29</v>
      </c>
      <c r="D2005" s="4">
        <v>3</v>
      </c>
      <c r="E2005" s="5">
        <v>8.57</v>
      </c>
      <c r="F2005" s="4">
        <v>3</v>
      </c>
      <c r="G2005" s="5">
        <v>12.5</v>
      </c>
      <c r="H2005" s="4">
        <v>1</v>
      </c>
    </row>
    <row r="2006" spans="1:8" x14ac:dyDescent="0.2">
      <c r="A2006" s="2" t="s">
        <v>193</v>
      </c>
      <c r="B2006" s="4">
        <v>2</v>
      </c>
      <c r="C2006" s="5">
        <v>3.23</v>
      </c>
      <c r="D2006" s="4">
        <v>0</v>
      </c>
      <c r="E2006" s="5">
        <v>0</v>
      </c>
      <c r="F2006" s="4">
        <v>1</v>
      </c>
      <c r="G2006" s="5">
        <v>4.17</v>
      </c>
      <c r="H2006" s="4">
        <v>0</v>
      </c>
    </row>
    <row r="2007" spans="1:8" x14ac:dyDescent="0.2">
      <c r="A2007" s="2" t="s">
        <v>194</v>
      </c>
      <c r="B2007" s="4">
        <v>0</v>
      </c>
      <c r="C2007" s="5">
        <v>0</v>
      </c>
      <c r="D2007" s="4">
        <v>0</v>
      </c>
      <c r="E2007" s="5">
        <v>0</v>
      </c>
      <c r="F2007" s="4">
        <v>0</v>
      </c>
      <c r="G2007" s="5">
        <v>0</v>
      </c>
      <c r="H2007" s="4">
        <v>0</v>
      </c>
    </row>
    <row r="2008" spans="1:8" x14ac:dyDescent="0.2">
      <c r="A2008" s="2" t="s">
        <v>195</v>
      </c>
      <c r="B2008" s="4">
        <v>4</v>
      </c>
      <c r="C2008" s="5">
        <v>6.45</v>
      </c>
      <c r="D2008" s="4">
        <v>1</v>
      </c>
      <c r="E2008" s="5">
        <v>2.86</v>
      </c>
      <c r="F2008" s="4">
        <v>3</v>
      </c>
      <c r="G2008" s="5">
        <v>12.5</v>
      </c>
      <c r="H2008" s="4">
        <v>0</v>
      </c>
    </row>
    <row r="2009" spans="1:8" x14ac:dyDescent="0.2">
      <c r="A2009" s="2" t="s">
        <v>196</v>
      </c>
      <c r="B2009" s="4">
        <v>15</v>
      </c>
      <c r="C2009" s="5">
        <v>24.19</v>
      </c>
      <c r="D2009" s="4">
        <v>8</v>
      </c>
      <c r="E2009" s="5">
        <v>22.86</v>
      </c>
      <c r="F2009" s="4">
        <v>7</v>
      </c>
      <c r="G2009" s="5">
        <v>29.17</v>
      </c>
      <c r="H2009" s="4">
        <v>0</v>
      </c>
    </row>
    <row r="2010" spans="1:8" x14ac:dyDescent="0.2">
      <c r="A2010" s="2" t="s">
        <v>197</v>
      </c>
      <c r="B2010" s="4">
        <v>0</v>
      </c>
      <c r="C2010" s="5">
        <v>0</v>
      </c>
      <c r="D2010" s="4">
        <v>0</v>
      </c>
      <c r="E2010" s="5">
        <v>0</v>
      </c>
      <c r="F2010" s="4">
        <v>0</v>
      </c>
      <c r="G2010" s="5">
        <v>0</v>
      </c>
      <c r="H2010" s="4">
        <v>0</v>
      </c>
    </row>
    <row r="2011" spans="1:8" x14ac:dyDescent="0.2">
      <c r="A2011" s="2" t="s">
        <v>198</v>
      </c>
      <c r="B2011" s="4">
        <v>1</v>
      </c>
      <c r="C2011" s="5">
        <v>1.61</v>
      </c>
      <c r="D2011" s="4">
        <v>0</v>
      </c>
      <c r="E2011" s="5">
        <v>0</v>
      </c>
      <c r="F2011" s="4">
        <v>1</v>
      </c>
      <c r="G2011" s="5">
        <v>4.17</v>
      </c>
      <c r="H2011" s="4">
        <v>0</v>
      </c>
    </row>
    <row r="2012" spans="1:8" x14ac:dyDescent="0.2">
      <c r="A2012" s="2" t="s">
        <v>199</v>
      </c>
      <c r="B2012" s="4">
        <v>0</v>
      </c>
      <c r="C2012" s="5">
        <v>0</v>
      </c>
      <c r="D2012" s="4">
        <v>0</v>
      </c>
      <c r="E2012" s="5">
        <v>0</v>
      </c>
      <c r="F2012" s="4">
        <v>0</v>
      </c>
      <c r="G2012" s="5">
        <v>0</v>
      </c>
      <c r="H2012" s="4">
        <v>0</v>
      </c>
    </row>
    <row r="2013" spans="1:8" x14ac:dyDescent="0.2">
      <c r="A2013" s="2" t="s">
        <v>200</v>
      </c>
      <c r="B2013" s="4">
        <v>12</v>
      </c>
      <c r="C2013" s="5">
        <v>19.350000000000001</v>
      </c>
      <c r="D2013" s="4">
        <v>12</v>
      </c>
      <c r="E2013" s="5">
        <v>34.29</v>
      </c>
      <c r="F2013" s="4">
        <v>0</v>
      </c>
      <c r="G2013" s="5">
        <v>0</v>
      </c>
      <c r="H2013" s="4">
        <v>0</v>
      </c>
    </row>
    <row r="2014" spans="1:8" x14ac:dyDescent="0.2">
      <c r="A2014" s="2" t="s">
        <v>201</v>
      </c>
      <c r="B2014" s="4">
        <v>5</v>
      </c>
      <c r="C2014" s="5">
        <v>8.06</v>
      </c>
      <c r="D2014" s="4">
        <v>4</v>
      </c>
      <c r="E2014" s="5">
        <v>11.43</v>
      </c>
      <c r="F2014" s="4">
        <v>1</v>
      </c>
      <c r="G2014" s="5">
        <v>4.17</v>
      </c>
      <c r="H2014" s="4">
        <v>0</v>
      </c>
    </row>
    <row r="2015" spans="1:8" x14ac:dyDescent="0.2">
      <c r="A2015" s="2" t="s">
        <v>202</v>
      </c>
      <c r="B2015" s="4">
        <v>2</v>
      </c>
      <c r="C2015" s="5">
        <v>3.23</v>
      </c>
      <c r="D2015" s="4">
        <v>1</v>
      </c>
      <c r="E2015" s="5">
        <v>2.86</v>
      </c>
      <c r="F2015" s="4">
        <v>0</v>
      </c>
      <c r="G2015" s="5">
        <v>0</v>
      </c>
      <c r="H2015" s="4">
        <v>0</v>
      </c>
    </row>
    <row r="2016" spans="1:8" x14ac:dyDescent="0.2">
      <c r="A2016" s="2" t="s">
        <v>203</v>
      </c>
      <c r="B2016" s="4">
        <v>5</v>
      </c>
      <c r="C2016" s="5">
        <v>8.06</v>
      </c>
      <c r="D2016" s="4">
        <v>2</v>
      </c>
      <c r="E2016" s="5">
        <v>5.71</v>
      </c>
      <c r="F2016" s="4">
        <v>3</v>
      </c>
      <c r="G2016" s="5">
        <v>12.5</v>
      </c>
      <c r="H2016" s="4">
        <v>0</v>
      </c>
    </row>
    <row r="2017" spans="1:8" x14ac:dyDescent="0.2">
      <c r="A2017" s="2" t="s">
        <v>204</v>
      </c>
      <c r="B2017" s="4">
        <v>4</v>
      </c>
      <c r="C2017" s="5">
        <v>6.45</v>
      </c>
      <c r="D2017" s="4">
        <v>3</v>
      </c>
      <c r="E2017" s="5">
        <v>8.57</v>
      </c>
      <c r="F2017" s="4">
        <v>1</v>
      </c>
      <c r="G2017" s="5">
        <v>4.17</v>
      </c>
      <c r="H2017" s="4">
        <v>0</v>
      </c>
    </row>
    <row r="2018" spans="1:8" x14ac:dyDescent="0.2">
      <c r="A2018" s="1" t="s">
        <v>126</v>
      </c>
      <c r="B2018" s="4">
        <v>230</v>
      </c>
      <c r="C2018" s="5">
        <v>100</v>
      </c>
      <c r="D2018" s="4">
        <v>144</v>
      </c>
      <c r="E2018" s="5">
        <v>100</v>
      </c>
      <c r="F2018" s="4">
        <v>78</v>
      </c>
      <c r="G2018" s="5">
        <v>100.00999999999998</v>
      </c>
      <c r="H2018" s="4">
        <v>1</v>
      </c>
    </row>
    <row r="2019" spans="1:8" x14ac:dyDescent="0.2">
      <c r="A2019" s="2" t="s">
        <v>190</v>
      </c>
      <c r="B2019" s="4">
        <v>0</v>
      </c>
      <c r="C2019" s="5">
        <v>0</v>
      </c>
      <c r="D2019" s="4">
        <v>0</v>
      </c>
      <c r="E2019" s="5">
        <v>0</v>
      </c>
      <c r="F2019" s="4">
        <v>0</v>
      </c>
      <c r="G2019" s="5">
        <v>0</v>
      </c>
      <c r="H2019" s="4">
        <v>0</v>
      </c>
    </row>
    <row r="2020" spans="1:8" x14ac:dyDescent="0.2">
      <c r="A2020" s="2" t="s">
        <v>191</v>
      </c>
      <c r="B2020" s="4">
        <v>31</v>
      </c>
      <c r="C2020" s="5">
        <v>13.48</v>
      </c>
      <c r="D2020" s="4">
        <v>19</v>
      </c>
      <c r="E2020" s="5">
        <v>13.19</v>
      </c>
      <c r="F2020" s="4">
        <v>12</v>
      </c>
      <c r="G2020" s="5">
        <v>15.38</v>
      </c>
      <c r="H2020" s="4">
        <v>0</v>
      </c>
    </row>
    <row r="2021" spans="1:8" x14ac:dyDescent="0.2">
      <c r="A2021" s="2" t="s">
        <v>192</v>
      </c>
      <c r="B2021" s="4">
        <v>15</v>
      </c>
      <c r="C2021" s="5">
        <v>6.52</v>
      </c>
      <c r="D2021" s="4">
        <v>4</v>
      </c>
      <c r="E2021" s="5">
        <v>2.78</v>
      </c>
      <c r="F2021" s="4">
        <v>11</v>
      </c>
      <c r="G2021" s="5">
        <v>14.1</v>
      </c>
      <c r="H2021" s="4">
        <v>0</v>
      </c>
    </row>
    <row r="2022" spans="1:8" x14ac:dyDescent="0.2">
      <c r="A2022" s="2" t="s">
        <v>193</v>
      </c>
      <c r="B2022" s="4">
        <v>0</v>
      </c>
      <c r="C2022" s="5">
        <v>0</v>
      </c>
      <c r="D2022" s="4">
        <v>0</v>
      </c>
      <c r="E2022" s="5">
        <v>0</v>
      </c>
      <c r="F2022" s="4">
        <v>0</v>
      </c>
      <c r="G2022" s="5">
        <v>0</v>
      </c>
      <c r="H2022" s="4">
        <v>0</v>
      </c>
    </row>
    <row r="2023" spans="1:8" x14ac:dyDescent="0.2">
      <c r="A2023" s="2" t="s">
        <v>194</v>
      </c>
      <c r="B2023" s="4">
        <v>2</v>
      </c>
      <c r="C2023" s="5">
        <v>0.87</v>
      </c>
      <c r="D2023" s="4">
        <v>0</v>
      </c>
      <c r="E2023" s="5">
        <v>0</v>
      </c>
      <c r="F2023" s="4">
        <v>2</v>
      </c>
      <c r="G2023" s="5">
        <v>2.56</v>
      </c>
      <c r="H2023" s="4">
        <v>0</v>
      </c>
    </row>
    <row r="2024" spans="1:8" x14ac:dyDescent="0.2">
      <c r="A2024" s="2" t="s">
        <v>195</v>
      </c>
      <c r="B2024" s="4">
        <v>4</v>
      </c>
      <c r="C2024" s="5">
        <v>1.74</v>
      </c>
      <c r="D2024" s="4">
        <v>0</v>
      </c>
      <c r="E2024" s="5">
        <v>0</v>
      </c>
      <c r="F2024" s="4">
        <v>3</v>
      </c>
      <c r="G2024" s="5">
        <v>3.85</v>
      </c>
      <c r="H2024" s="4">
        <v>1</v>
      </c>
    </row>
    <row r="2025" spans="1:8" x14ac:dyDescent="0.2">
      <c r="A2025" s="2" t="s">
        <v>196</v>
      </c>
      <c r="B2025" s="4">
        <v>38</v>
      </c>
      <c r="C2025" s="5">
        <v>16.52</v>
      </c>
      <c r="D2025" s="4">
        <v>15</v>
      </c>
      <c r="E2025" s="5">
        <v>10.42</v>
      </c>
      <c r="F2025" s="4">
        <v>23</v>
      </c>
      <c r="G2025" s="5">
        <v>29.49</v>
      </c>
      <c r="H2025" s="4">
        <v>0</v>
      </c>
    </row>
    <row r="2026" spans="1:8" x14ac:dyDescent="0.2">
      <c r="A2026" s="2" t="s">
        <v>197</v>
      </c>
      <c r="B2026" s="4">
        <v>1</v>
      </c>
      <c r="C2026" s="5">
        <v>0.43</v>
      </c>
      <c r="D2026" s="4">
        <v>0</v>
      </c>
      <c r="E2026" s="5">
        <v>0</v>
      </c>
      <c r="F2026" s="4">
        <v>1</v>
      </c>
      <c r="G2026" s="5">
        <v>1.28</v>
      </c>
      <c r="H2026" s="4">
        <v>0</v>
      </c>
    </row>
    <row r="2027" spans="1:8" x14ac:dyDescent="0.2">
      <c r="A2027" s="2" t="s">
        <v>198</v>
      </c>
      <c r="B2027" s="4">
        <v>20</v>
      </c>
      <c r="C2027" s="5">
        <v>8.6999999999999993</v>
      </c>
      <c r="D2027" s="4">
        <v>12</v>
      </c>
      <c r="E2027" s="5">
        <v>8.33</v>
      </c>
      <c r="F2027" s="4">
        <v>8</v>
      </c>
      <c r="G2027" s="5">
        <v>10.26</v>
      </c>
      <c r="H2027" s="4">
        <v>0</v>
      </c>
    </row>
    <row r="2028" spans="1:8" x14ac:dyDescent="0.2">
      <c r="A2028" s="2" t="s">
        <v>199</v>
      </c>
      <c r="B2028" s="4">
        <v>9</v>
      </c>
      <c r="C2028" s="5">
        <v>3.91</v>
      </c>
      <c r="D2028" s="4">
        <v>5</v>
      </c>
      <c r="E2028" s="5">
        <v>3.47</v>
      </c>
      <c r="F2028" s="4">
        <v>3</v>
      </c>
      <c r="G2028" s="5">
        <v>3.85</v>
      </c>
      <c r="H2028" s="4">
        <v>0</v>
      </c>
    </row>
    <row r="2029" spans="1:8" x14ac:dyDescent="0.2">
      <c r="A2029" s="2" t="s">
        <v>200</v>
      </c>
      <c r="B2029" s="4">
        <v>39</v>
      </c>
      <c r="C2029" s="5">
        <v>16.96</v>
      </c>
      <c r="D2029" s="4">
        <v>35</v>
      </c>
      <c r="E2029" s="5">
        <v>24.31</v>
      </c>
      <c r="F2029" s="4">
        <v>4</v>
      </c>
      <c r="G2029" s="5">
        <v>5.13</v>
      </c>
      <c r="H2029" s="4">
        <v>0</v>
      </c>
    </row>
    <row r="2030" spans="1:8" x14ac:dyDescent="0.2">
      <c r="A2030" s="2" t="s">
        <v>201</v>
      </c>
      <c r="B2030" s="4">
        <v>37</v>
      </c>
      <c r="C2030" s="5">
        <v>16.09</v>
      </c>
      <c r="D2030" s="4">
        <v>33</v>
      </c>
      <c r="E2030" s="5">
        <v>22.92</v>
      </c>
      <c r="F2030" s="4">
        <v>4</v>
      </c>
      <c r="G2030" s="5">
        <v>5.13</v>
      </c>
      <c r="H2030" s="4">
        <v>0</v>
      </c>
    </row>
    <row r="2031" spans="1:8" x14ac:dyDescent="0.2">
      <c r="A2031" s="2" t="s">
        <v>202</v>
      </c>
      <c r="B2031" s="4">
        <v>5</v>
      </c>
      <c r="C2031" s="5">
        <v>2.17</v>
      </c>
      <c r="D2031" s="4">
        <v>5</v>
      </c>
      <c r="E2031" s="5">
        <v>3.47</v>
      </c>
      <c r="F2031" s="4">
        <v>0</v>
      </c>
      <c r="G2031" s="5">
        <v>0</v>
      </c>
      <c r="H2031" s="4">
        <v>0</v>
      </c>
    </row>
    <row r="2032" spans="1:8" x14ac:dyDescent="0.2">
      <c r="A2032" s="2" t="s">
        <v>203</v>
      </c>
      <c r="B2032" s="4">
        <v>17</v>
      </c>
      <c r="C2032" s="5">
        <v>7.39</v>
      </c>
      <c r="D2032" s="4">
        <v>7</v>
      </c>
      <c r="E2032" s="5">
        <v>4.8600000000000003</v>
      </c>
      <c r="F2032" s="4">
        <v>4</v>
      </c>
      <c r="G2032" s="5">
        <v>5.13</v>
      </c>
      <c r="H2032" s="4">
        <v>0</v>
      </c>
    </row>
    <row r="2033" spans="1:8" x14ac:dyDescent="0.2">
      <c r="A2033" s="2" t="s">
        <v>204</v>
      </c>
      <c r="B2033" s="4">
        <v>12</v>
      </c>
      <c r="C2033" s="5">
        <v>5.22</v>
      </c>
      <c r="D2033" s="4">
        <v>9</v>
      </c>
      <c r="E2033" s="5">
        <v>6.25</v>
      </c>
      <c r="F2033" s="4">
        <v>3</v>
      </c>
      <c r="G2033" s="5">
        <v>3.85</v>
      </c>
      <c r="H2033" s="4">
        <v>0</v>
      </c>
    </row>
    <row r="2034" spans="1:8" x14ac:dyDescent="0.2">
      <c r="A2034" s="1" t="s">
        <v>127</v>
      </c>
      <c r="B2034" s="4">
        <v>144</v>
      </c>
      <c r="C2034" s="5">
        <v>100.01</v>
      </c>
      <c r="D2034" s="4">
        <v>61</v>
      </c>
      <c r="E2034" s="5">
        <v>100.02000000000001</v>
      </c>
      <c r="F2034" s="4">
        <v>77</v>
      </c>
      <c r="G2034" s="5">
        <v>100.02</v>
      </c>
      <c r="H2034" s="4">
        <v>4</v>
      </c>
    </row>
    <row r="2035" spans="1:8" x14ac:dyDescent="0.2">
      <c r="A2035" s="2" t="s">
        <v>190</v>
      </c>
      <c r="B2035" s="4">
        <v>0</v>
      </c>
      <c r="C2035" s="5">
        <v>0</v>
      </c>
      <c r="D2035" s="4">
        <v>0</v>
      </c>
      <c r="E2035" s="5">
        <v>0</v>
      </c>
      <c r="F2035" s="4">
        <v>0</v>
      </c>
      <c r="G2035" s="5">
        <v>0</v>
      </c>
      <c r="H2035" s="4">
        <v>0</v>
      </c>
    </row>
    <row r="2036" spans="1:8" x14ac:dyDescent="0.2">
      <c r="A2036" s="2" t="s">
        <v>191</v>
      </c>
      <c r="B2036" s="4">
        <v>23</v>
      </c>
      <c r="C2036" s="5">
        <v>15.97</v>
      </c>
      <c r="D2036" s="4">
        <v>3</v>
      </c>
      <c r="E2036" s="5">
        <v>4.92</v>
      </c>
      <c r="F2036" s="4">
        <v>20</v>
      </c>
      <c r="G2036" s="5">
        <v>25.97</v>
      </c>
      <c r="H2036" s="4">
        <v>0</v>
      </c>
    </row>
    <row r="2037" spans="1:8" x14ac:dyDescent="0.2">
      <c r="A2037" s="2" t="s">
        <v>192</v>
      </c>
      <c r="B2037" s="4">
        <v>10</v>
      </c>
      <c r="C2037" s="5">
        <v>6.94</v>
      </c>
      <c r="D2037" s="4">
        <v>3</v>
      </c>
      <c r="E2037" s="5">
        <v>4.92</v>
      </c>
      <c r="F2037" s="4">
        <v>7</v>
      </c>
      <c r="G2037" s="5">
        <v>9.09</v>
      </c>
      <c r="H2037" s="4">
        <v>0</v>
      </c>
    </row>
    <row r="2038" spans="1:8" x14ac:dyDescent="0.2">
      <c r="A2038" s="2" t="s">
        <v>193</v>
      </c>
      <c r="B2038" s="4">
        <v>2</v>
      </c>
      <c r="C2038" s="5">
        <v>1.39</v>
      </c>
      <c r="D2038" s="4">
        <v>0</v>
      </c>
      <c r="E2038" s="5">
        <v>0</v>
      </c>
      <c r="F2038" s="4">
        <v>1</v>
      </c>
      <c r="G2038" s="5">
        <v>1.3</v>
      </c>
      <c r="H2038" s="4">
        <v>0</v>
      </c>
    </row>
    <row r="2039" spans="1:8" x14ac:dyDescent="0.2">
      <c r="A2039" s="2" t="s">
        <v>194</v>
      </c>
      <c r="B2039" s="4">
        <v>2</v>
      </c>
      <c r="C2039" s="5">
        <v>1.39</v>
      </c>
      <c r="D2039" s="4">
        <v>0</v>
      </c>
      <c r="E2039" s="5">
        <v>0</v>
      </c>
      <c r="F2039" s="4">
        <v>2</v>
      </c>
      <c r="G2039" s="5">
        <v>2.6</v>
      </c>
      <c r="H2039" s="4">
        <v>0</v>
      </c>
    </row>
    <row r="2040" spans="1:8" x14ac:dyDescent="0.2">
      <c r="A2040" s="2" t="s">
        <v>195</v>
      </c>
      <c r="B2040" s="4">
        <v>4</v>
      </c>
      <c r="C2040" s="5">
        <v>2.78</v>
      </c>
      <c r="D2040" s="4">
        <v>0</v>
      </c>
      <c r="E2040" s="5">
        <v>0</v>
      </c>
      <c r="F2040" s="4">
        <v>3</v>
      </c>
      <c r="G2040" s="5">
        <v>3.9</v>
      </c>
      <c r="H2040" s="4">
        <v>1</v>
      </c>
    </row>
    <row r="2041" spans="1:8" x14ac:dyDescent="0.2">
      <c r="A2041" s="2" t="s">
        <v>196</v>
      </c>
      <c r="B2041" s="4">
        <v>33</v>
      </c>
      <c r="C2041" s="5">
        <v>22.92</v>
      </c>
      <c r="D2041" s="4">
        <v>7</v>
      </c>
      <c r="E2041" s="5">
        <v>11.48</v>
      </c>
      <c r="F2041" s="4">
        <v>26</v>
      </c>
      <c r="G2041" s="5">
        <v>33.770000000000003</v>
      </c>
      <c r="H2041" s="4">
        <v>0</v>
      </c>
    </row>
    <row r="2042" spans="1:8" x14ac:dyDescent="0.2">
      <c r="A2042" s="2" t="s">
        <v>197</v>
      </c>
      <c r="B2042" s="4">
        <v>0</v>
      </c>
      <c r="C2042" s="5">
        <v>0</v>
      </c>
      <c r="D2042" s="4">
        <v>0</v>
      </c>
      <c r="E2042" s="5">
        <v>0</v>
      </c>
      <c r="F2042" s="4">
        <v>0</v>
      </c>
      <c r="G2042" s="5">
        <v>0</v>
      </c>
      <c r="H2042" s="4">
        <v>0</v>
      </c>
    </row>
    <row r="2043" spans="1:8" x14ac:dyDescent="0.2">
      <c r="A2043" s="2" t="s">
        <v>198</v>
      </c>
      <c r="B2043" s="4">
        <v>7</v>
      </c>
      <c r="C2043" s="5">
        <v>4.8600000000000003</v>
      </c>
      <c r="D2043" s="4">
        <v>5</v>
      </c>
      <c r="E2043" s="5">
        <v>8.1999999999999993</v>
      </c>
      <c r="F2043" s="4">
        <v>2</v>
      </c>
      <c r="G2043" s="5">
        <v>2.6</v>
      </c>
      <c r="H2043" s="4">
        <v>0</v>
      </c>
    </row>
    <row r="2044" spans="1:8" x14ac:dyDescent="0.2">
      <c r="A2044" s="2" t="s">
        <v>199</v>
      </c>
      <c r="B2044" s="4">
        <v>6</v>
      </c>
      <c r="C2044" s="5">
        <v>4.17</v>
      </c>
      <c r="D2044" s="4">
        <v>3</v>
      </c>
      <c r="E2044" s="5">
        <v>4.92</v>
      </c>
      <c r="F2044" s="4">
        <v>3</v>
      </c>
      <c r="G2044" s="5">
        <v>3.9</v>
      </c>
      <c r="H2044" s="4">
        <v>0</v>
      </c>
    </row>
    <row r="2045" spans="1:8" x14ac:dyDescent="0.2">
      <c r="A2045" s="2" t="s">
        <v>200</v>
      </c>
      <c r="B2045" s="4">
        <v>27</v>
      </c>
      <c r="C2045" s="5">
        <v>18.75</v>
      </c>
      <c r="D2045" s="4">
        <v>16</v>
      </c>
      <c r="E2045" s="5">
        <v>26.23</v>
      </c>
      <c r="F2045" s="4">
        <v>8</v>
      </c>
      <c r="G2045" s="5">
        <v>10.39</v>
      </c>
      <c r="H2045" s="4">
        <v>2</v>
      </c>
    </row>
    <row r="2046" spans="1:8" x14ac:dyDescent="0.2">
      <c r="A2046" s="2" t="s">
        <v>201</v>
      </c>
      <c r="B2046" s="4">
        <v>15</v>
      </c>
      <c r="C2046" s="5">
        <v>10.42</v>
      </c>
      <c r="D2046" s="4">
        <v>14</v>
      </c>
      <c r="E2046" s="5">
        <v>22.95</v>
      </c>
      <c r="F2046" s="4">
        <v>0</v>
      </c>
      <c r="G2046" s="5">
        <v>0</v>
      </c>
      <c r="H2046" s="4">
        <v>1</v>
      </c>
    </row>
    <row r="2047" spans="1:8" x14ac:dyDescent="0.2">
      <c r="A2047" s="2" t="s">
        <v>202</v>
      </c>
      <c r="B2047" s="4">
        <v>2</v>
      </c>
      <c r="C2047" s="5">
        <v>1.39</v>
      </c>
      <c r="D2047" s="4">
        <v>2</v>
      </c>
      <c r="E2047" s="5">
        <v>3.28</v>
      </c>
      <c r="F2047" s="4">
        <v>0</v>
      </c>
      <c r="G2047" s="5">
        <v>0</v>
      </c>
      <c r="H2047" s="4">
        <v>0</v>
      </c>
    </row>
    <row r="2048" spans="1:8" x14ac:dyDescent="0.2">
      <c r="A2048" s="2" t="s">
        <v>203</v>
      </c>
      <c r="B2048" s="4">
        <v>7</v>
      </c>
      <c r="C2048" s="5">
        <v>4.8600000000000003</v>
      </c>
      <c r="D2048" s="4">
        <v>5</v>
      </c>
      <c r="E2048" s="5">
        <v>8.1999999999999993</v>
      </c>
      <c r="F2048" s="4">
        <v>2</v>
      </c>
      <c r="G2048" s="5">
        <v>2.6</v>
      </c>
      <c r="H2048" s="4">
        <v>0</v>
      </c>
    </row>
    <row r="2049" spans="1:8" x14ac:dyDescent="0.2">
      <c r="A2049" s="2" t="s">
        <v>204</v>
      </c>
      <c r="B2049" s="4">
        <v>6</v>
      </c>
      <c r="C2049" s="5">
        <v>4.17</v>
      </c>
      <c r="D2049" s="4">
        <v>3</v>
      </c>
      <c r="E2049" s="5">
        <v>4.92</v>
      </c>
      <c r="F2049" s="4">
        <v>3</v>
      </c>
      <c r="G2049" s="5">
        <v>3.9</v>
      </c>
      <c r="H2049" s="4">
        <v>0</v>
      </c>
    </row>
    <row r="2050" spans="1:8" x14ac:dyDescent="0.2">
      <c r="A2050" s="1" t="s">
        <v>128</v>
      </c>
      <c r="B2050" s="4">
        <v>103</v>
      </c>
      <c r="C2050" s="5">
        <v>99.999999999999986</v>
      </c>
      <c r="D2050" s="4">
        <v>71</v>
      </c>
      <c r="E2050" s="5">
        <v>100.00999999999998</v>
      </c>
      <c r="F2050" s="4">
        <v>26</v>
      </c>
      <c r="G2050" s="5">
        <v>100.00999999999999</v>
      </c>
      <c r="H2050" s="4">
        <v>0</v>
      </c>
    </row>
    <row r="2051" spans="1:8" x14ac:dyDescent="0.2">
      <c r="A2051" s="2" t="s">
        <v>190</v>
      </c>
      <c r="B2051" s="4">
        <v>0</v>
      </c>
      <c r="C2051" s="5">
        <v>0</v>
      </c>
      <c r="D2051" s="4">
        <v>0</v>
      </c>
      <c r="E2051" s="5">
        <v>0</v>
      </c>
      <c r="F2051" s="4">
        <v>0</v>
      </c>
      <c r="G2051" s="5">
        <v>0</v>
      </c>
      <c r="H2051" s="4">
        <v>0</v>
      </c>
    </row>
    <row r="2052" spans="1:8" x14ac:dyDescent="0.2">
      <c r="A2052" s="2" t="s">
        <v>191</v>
      </c>
      <c r="B2052" s="4">
        <v>12</v>
      </c>
      <c r="C2052" s="5">
        <v>11.65</v>
      </c>
      <c r="D2052" s="4">
        <v>6</v>
      </c>
      <c r="E2052" s="5">
        <v>8.4499999999999993</v>
      </c>
      <c r="F2052" s="4">
        <v>6</v>
      </c>
      <c r="G2052" s="5">
        <v>23.08</v>
      </c>
      <c r="H2052" s="4">
        <v>0</v>
      </c>
    </row>
    <row r="2053" spans="1:8" x14ac:dyDescent="0.2">
      <c r="A2053" s="2" t="s">
        <v>192</v>
      </c>
      <c r="B2053" s="4">
        <v>8</v>
      </c>
      <c r="C2053" s="5">
        <v>7.77</v>
      </c>
      <c r="D2053" s="4">
        <v>5</v>
      </c>
      <c r="E2053" s="5">
        <v>7.04</v>
      </c>
      <c r="F2053" s="4">
        <v>3</v>
      </c>
      <c r="G2053" s="5">
        <v>11.54</v>
      </c>
      <c r="H2053" s="4">
        <v>0</v>
      </c>
    </row>
    <row r="2054" spans="1:8" x14ac:dyDescent="0.2">
      <c r="A2054" s="2" t="s">
        <v>193</v>
      </c>
      <c r="B2054" s="4">
        <v>1</v>
      </c>
      <c r="C2054" s="5">
        <v>0.97</v>
      </c>
      <c r="D2054" s="4">
        <v>0</v>
      </c>
      <c r="E2054" s="5">
        <v>0</v>
      </c>
      <c r="F2054" s="4">
        <v>0</v>
      </c>
      <c r="G2054" s="5">
        <v>0</v>
      </c>
      <c r="H2054" s="4">
        <v>0</v>
      </c>
    </row>
    <row r="2055" spans="1:8" x14ac:dyDescent="0.2">
      <c r="A2055" s="2" t="s">
        <v>194</v>
      </c>
      <c r="B2055" s="4">
        <v>0</v>
      </c>
      <c r="C2055" s="5">
        <v>0</v>
      </c>
      <c r="D2055" s="4">
        <v>0</v>
      </c>
      <c r="E2055" s="5">
        <v>0</v>
      </c>
      <c r="F2055" s="4">
        <v>0</v>
      </c>
      <c r="G2055" s="5">
        <v>0</v>
      </c>
      <c r="H2055" s="4">
        <v>0</v>
      </c>
    </row>
    <row r="2056" spans="1:8" x14ac:dyDescent="0.2">
      <c r="A2056" s="2" t="s">
        <v>195</v>
      </c>
      <c r="B2056" s="4">
        <v>3</v>
      </c>
      <c r="C2056" s="5">
        <v>2.91</v>
      </c>
      <c r="D2056" s="4">
        <v>0</v>
      </c>
      <c r="E2056" s="5">
        <v>0</v>
      </c>
      <c r="F2056" s="4">
        <v>2</v>
      </c>
      <c r="G2056" s="5">
        <v>7.69</v>
      </c>
      <c r="H2056" s="4">
        <v>0</v>
      </c>
    </row>
    <row r="2057" spans="1:8" x14ac:dyDescent="0.2">
      <c r="A2057" s="2" t="s">
        <v>196</v>
      </c>
      <c r="B2057" s="4">
        <v>29</v>
      </c>
      <c r="C2057" s="5">
        <v>28.16</v>
      </c>
      <c r="D2057" s="4">
        <v>19</v>
      </c>
      <c r="E2057" s="5">
        <v>26.76</v>
      </c>
      <c r="F2057" s="4">
        <v>10</v>
      </c>
      <c r="G2057" s="5">
        <v>38.46</v>
      </c>
      <c r="H2057" s="4">
        <v>0</v>
      </c>
    </row>
    <row r="2058" spans="1:8" x14ac:dyDescent="0.2">
      <c r="A2058" s="2" t="s">
        <v>197</v>
      </c>
      <c r="B2058" s="4">
        <v>0</v>
      </c>
      <c r="C2058" s="5">
        <v>0</v>
      </c>
      <c r="D2058" s="4">
        <v>0</v>
      </c>
      <c r="E2058" s="5">
        <v>0</v>
      </c>
      <c r="F2058" s="4">
        <v>0</v>
      </c>
      <c r="G2058" s="5">
        <v>0</v>
      </c>
      <c r="H2058" s="4">
        <v>0</v>
      </c>
    </row>
    <row r="2059" spans="1:8" x14ac:dyDescent="0.2">
      <c r="A2059" s="2" t="s">
        <v>198</v>
      </c>
      <c r="B2059" s="4">
        <v>3</v>
      </c>
      <c r="C2059" s="5">
        <v>2.91</v>
      </c>
      <c r="D2059" s="4">
        <v>2</v>
      </c>
      <c r="E2059" s="5">
        <v>2.82</v>
      </c>
      <c r="F2059" s="4">
        <v>1</v>
      </c>
      <c r="G2059" s="5">
        <v>3.85</v>
      </c>
      <c r="H2059" s="4">
        <v>0</v>
      </c>
    </row>
    <row r="2060" spans="1:8" x14ac:dyDescent="0.2">
      <c r="A2060" s="2" t="s">
        <v>199</v>
      </c>
      <c r="B2060" s="4">
        <v>3</v>
      </c>
      <c r="C2060" s="5">
        <v>2.91</v>
      </c>
      <c r="D2060" s="4">
        <v>1</v>
      </c>
      <c r="E2060" s="5">
        <v>1.41</v>
      </c>
      <c r="F2060" s="4">
        <v>0</v>
      </c>
      <c r="G2060" s="5">
        <v>0</v>
      </c>
      <c r="H2060" s="4">
        <v>0</v>
      </c>
    </row>
    <row r="2061" spans="1:8" x14ac:dyDescent="0.2">
      <c r="A2061" s="2" t="s">
        <v>200</v>
      </c>
      <c r="B2061" s="4">
        <v>30</v>
      </c>
      <c r="C2061" s="5">
        <v>29.13</v>
      </c>
      <c r="D2061" s="4">
        <v>27</v>
      </c>
      <c r="E2061" s="5">
        <v>38.03</v>
      </c>
      <c r="F2061" s="4">
        <v>3</v>
      </c>
      <c r="G2061" s="5">
        <v>11.54</v>
      </c>
      <c r="H2061" s="4">
        <v>0</v>
      </c>
    </row>
    <row r="2062" spans="1:8" x14ac:dyDescent="0.2">
      <c r="A2062" s="2" t="s">
        <v>201</v>
      </c>
      <c r="B2062" s="4">
        <v>8</v>
      </c>
      <c r="C2062" s="5">
        <v>7.77</v>
      </c>
      <c r="D2062" s="4">
        <v>8</v>
      </c>
      <c r="E2062" s="5">
        <v>11.27</v>
      </c>
      <c r="F2062" s="4">
        <v>0</v>
      </c>
      <c r="G2062" s="5">
        <v>0</v>
      </c>
      <c r="H2062" s="4">
        <v>0</v>
      </c>
    </row>
    <row r="2063" spans="1:8" x14ac:dyDescent="0.2">
      <c r="A2063" s="2" t="s">
        <v>202</v>
      </c>
      <c r="B2063" s="4">
        <v>0</v>
      </c>
      <c r="C2063" s="5">
        <v>0</v>
      </c>
      <c r="D2063" s="4">
        <v>0</v>
      </c>
      <c r="E2063" s="5">
        <v>0</v>
      </c>
      <c r="F2063" s="4">
        <v>0</v>
      </c>
      <c r="G2063" s="5">
        <v>0</v>
      </c>
      <c r="H2063" s="4">
        <v>0</v>
      </c>
    </row>
    <row r="2064" spans="1:8" x14ac:dyDescent="0.2">
      <c r="A2064" s="2" t="s">
        <v>203</v>
      </c>
      <c r="B2064" s="4">
        <v>1</v>
      </c>
      <c r="C2064" s="5">
        <v>0.97</v>
      </c>
      <c r="D2064" s="4">
        <v>1</v>
      </c>
      <c r="E2064" s="5">
        <v>1.41</v>
      </c>
      <c r="F2064" s="4">
        <v>0</v>
      </c>
      <c r="G2064" s="5">
        <v>0</v>
      </c>
      <c r="H2064" s="4">
        <v>0</v>
      </c>
    </row>
    <row r="2065" spans="1:8" x14ac:dyDescent="0.2">
      <c r="A2065" s="2" t="s">
        <v>204</v>
      </c>
      <c r="B2065" s="4">
        <v>5</v>
      </c>
      <c r="C2065" s="5">
        <v>4.8499999999999996</v>
      </c>
      <c r="D2065" s="4">
        <v>2</v>
      </c>
      <c r="E2065" s="5">
        <v>2.82</v>
      </c>
      <c r="F2065" s="4">
        <v>1</v>
      </c>
      <c r="G2065" s="5">
        <v>3.85</v>
      </c>
      <c r="H2065" s="4">
        <v>0</v>
      </c>
    </row>
    <row r="2066" spans="1:8" x14ac:dyDescent="0.2">
      <c r="A2066" s="1" t="s">
        <v>129</v>
      </c>
      <c r="B2066" s="4">
        <v>99</v>
      </c>
      <c r="C2066" s="5">
        <v>99.99</v>
      </c>
      <c r="D2066" s="4">
        <v>58</v>
      </c>
      <c r="E2066" s="5">
        <v>100</v>
      </c>
      <c r="F2066" s="4">
        <v>34</v>
      </c>
      <c r="G2066" s="5">
        <v>99.989999999999981</v>
      </c>
      <c r="H2066" s="4">
        <v>0</v>
      </c>
    </row>
    <row r="2067" spans="1:8" x14ac:dyDescent="0.2">
      <c r="A2067" s="2" t="s">
        <v>190</v>
      </c>
      <c r="B2067" s="4">
        <v>0</v>
      </c>
      <c r="C2067" s="5">
        <v>0</v>
      </c>
      <c r="D2067" s="4">
        <v>0</v>
      </c>
      <c r="E2067" s="5">
        <v>0</v>
      </c>
      <c r="F2067" s="4">
        <v>0</v>
      </c>
      <c r="G2067" s="5">
        <v>0</v>
      </c>
      <c r="H2067" s="4">
        <v>0</v>
      </c>
    </row>
    <row r="2068" spans="1:8" x14ac:dyDescent="0.2">
      <c r="A2068" s="2" t="s">
        <v>191</v>
      </c>
      <c r="B2068" s="4">
        <v>10</v>
      </c>
      <c r="C2068" s="5">
        <v>10.1</v>
      </c>
      <c r="D2068" s="4">
        <v>7</v>
      </c>
      <c r="E2068" s="5">
        <v>12.07</v>
      </c>
      <c r="F2068" s="4">
        <v>3</v>
      </c>
      <c r="G2068" s="5">
        <v>8.82</v>
      </c>
      <c r="H2068" s="4">
        <v>0</v>
      </c>
    </row>
    <row r="2069" spans="1:8" x14ac:dyDescent="0.2">
      <c r="A2069" s="2" t="s">
        <v>192</v>
      </c>
      <c r="B2069" s="4">
        <v>7</v>
      </c>
      <c r="C2069" s="5">
        <v>7.07</v>
      </c>
      <c r="D2069" s="4">
        <v>0</v>
      </c>
      <c r="E2069" s="5">
        <v>0</v>
      </c>
      <c r="F2069" s="4">
        <v>7</v>
      </c>
      <c r="G2069" s="5">
        <v>20.59</v>
      </c>
      <c r="H2069" s="4">
        <v>0</v>
      </c>
    </row>
    <row r="2070" spans="1:8" x14ac:dyDescent="0.2">
      <c r="A2070" s="2" t="s">
        <v>193</v>
      </c>
      <c r="B2070" s="4">
        <v>2</v>
      </c>
      <c r="C2070" s="5">
        <v>2.02</v>
      </c>
      <c r="D2070" s="4">
        <v>0</v>
      </c>
      <c r="E2070" s="5">
        <v>0</v>
      </c>
      <c r="F2070" s="4">
        <v>1</v>
      </c>
      <c r="G2070" s="5">
        <v>2.94</v>
      </c>
      <c r="H2070" s="4">
        <v>0</v>
      </c>
    </row>
    <row r="2071" spans="1:8" x14ac:dyDescent="0.2">
      <c r="A2071" s="2" t="s">
        <v>194</v>
      </c>
      <c r="B2071" s="4">
        <v>1</v>
      </c>
      <c r="C2071" s="5">
        <v>1.01</v>
      </c>
      <c r="D2071" s="4">
        <v>0</v>
      </c>
      <c r="E2071" s="5">
        <v>0</v>
      </c>
      <c r="F2071" s="4">
        <v>1</v>
      </c>
      <c r="G2071" s="5">
        <v>2.94</v>
      </c>
      <c r="H2071" s="4">
        <v>0</v>
      </c>
    </row>
    <row r="2072" spans="1:8" x14ac:dyDescent="0.2">
      <c r="A2072" s="2" t="s">
        <v>195</v>
      </c>
      <c r="B2072" s="4">
        <v>1</v>
      </c>
      <c r="C2072" s="5">
        <v>1.01</v>
      </c>
      <c r="D2072" s="4">
        <v>0</v>
      </c>
      <c r="E2072" s="5">
        <v>0</v>
      </c>
      <c r="F2072" s="4">
        <v>1</v>
      </c>
      <c r="G2072" s="5">
        <v>2.94</v>
      </c>
      <c r="H2072" s="4">
        <v>0</v>
      </c>
    </row>
    <row r="2073" spans="1:8" x14ac:dyDescent="0.2">
      <c r="A2073" s="2" t="s">
        <v>196</v>
      </c>
      <c r="B2073" s="4">
        <v>37</v>
      </c>
      <c r="C2073" s="5">
        <v>37.369999999999997</v>
      </c>
      <c r="D2073" s="4">
        <v>23</v>
      </c>
      <c r="E2073" s="5">
        <v>39.659999999999997</v>
      </c>
      <c r="F2073" s="4">
        <v>14</v>
      </c>
      <c r="G2073" s="5">
        <v>41.18</v>
      </c>
      <c r="H2073" s="4">
        <v>0</v>
      </c>
    </row>
    <row r="2074" spans="1:8" x14ac:dyDescent="0.2">
      <c r="A2074" s="2" t="s">
        <v>197</v>
      </c>
      <c r="B2074" s="4">
        <v>1</v>
      </c>
      <c r="C2074" s="5">
        <v>1.01</v>
      </c>
      <c r="D2074" s="4">
        <v>0</v>
      </c>
      <c r="E2074" s="5">
        <v>0</v>
      </c>
      <c r="F2074" s="4">
        <v>1</v>
      </c>
      <c r="G2074" s="5">
        <v>2.94</v>
      </c>
      <c r="H2074" s="4">
        <v>0</v>
      </c>
    </row>
    <row r="2075" spans="1:8" x14ac:dyDescent="0.2">
      <c r="A2075" s="2" t="s">
        <v>198</v>
      </c>
      <c r="B2075" s="4">
        <v>0</v>
      </c>
      <c r="C2075" s="5">
        <v>0</v>
      </c>
      <c r="D2075" s="4">
        <v>0</v>
      </c>
      <c r="E2075" s="5">
        <v>0</v>
      </c>
      <c r="F2075" s="4">
        <v>0</v>
      </c>
      <c r="G2075" s="5">
        <v>0</v>
      </c>
      <c r="H2075" s="4">
        <v>0</v>
      </c>
    </row>
    <row r="2076" spans="1:8" x14ac:dyDescent="0.2">
      <c r="A2076" s="2" t="s">
        <v>199</v>
      </c>
      <c r="B2076" s="4">
        <v>1</v>
      </c>
      <c r="C2076" s="5">
        <v>1.01</v>
      </c>
      <c r="D2076" s="4">
        <v>0</v>
      </c>
      <c r="E2076" s="5">
        <v>0</v>
      </c>
      <c r="F2076" s="4">
        <v>1</v>
      </c>
      <c r="G2076" s="5">
        <v>2.94</v>
      </c>
      <c r="H2076" s="4">
        <v>0</v>
      </c>
    </row>
    <row r="2077" spans="1:8" x14ac:dyDescent="0.2">
      <c r="A2077" s="2" t="s">
        <v>200</v>
      </c>
      <c r="B2077" s="4">
        <v>22</v>
      </c>
      <c r="C2077" s="5">
        <v>22.22</v>
      </c>
      <c r="D2077" s="4">
        <v>20</v>
      </c>
      <c r="E2077" s="5">
        <v>34.479999999999997</v>
      </c>
      <c r="F2077" s="4">
        <v>2</v>
      </c>
      <c r="G2077" s="5">
        <v>5.88</v>
      </c>
      <c r="H2077" s="4">
        <v>0</v>
      </c>
    </row>
    <row r="2078" spans="1:8" x14ac:dyDescent="0.2">
      <c r="A2078" s="2" t="s">
        <v>201</v>
      </c>
      <c r="B2078" s="4">
        <v>9</v>
      </c>
      <c r="C2078" s="5">
        <v>9.09</v>
      </c>
      <c r="D2078" s="4">
        <v>7</v>
      </c>
      <c r="E2078" s="5">
        <v>12.07</v>
      </c>
      <c r="F2078" s="4">
        <v>1</v>
      </c>
      <c r="G2078" s="5">
        <v>2.94</v>
      </c>
      <c r="H2078" s="4">
        <v>0</v>
      </c>
    </row>
    <row r="2079" spans="1:8" x14ac:dyDescent="0.2">
      <c r="A2079" s="2" t="s">
        <v>202</v>
      </c>
      <c r="B2079" s="4">
        <v>1</v>
      </c>
      <c r="C2079" s="5">
        <v>1.01</v>
      </c>
      <c r="D2079" s="4">
        <v>0</v>
      </c>
      <c r="E2079" s="5">
        <v>0</v>
      </c>
      <c r="F2079" s="4">
        <v>0</v>
      </c>
      <c r="G2079" s="5">
        <v>0</v>
      </c>
      <c r="H2079" s="4">
        <v>0</v>
      </c>
    </row>
    <row r="2080" spans="1:8" x14ac:dyDescent="0.2">
      <c r="A2080" s="2" t="s">
        <v>203</v>
      </c>
      <c r="B2080" s="4">
        <v>5</v>
      </c>
      <c r="C2080" s="5">
        <v>5.05</v>
      </c>
      <c r="D2080" s="4">
        <v>1</v>
      </c>
      <c r="E2080" s="5">
        <v>1.72</v>
      </c>
      <c r="F2080" s="4">
        <v>1</v>
      </c>
      <c r="G2080" s="5">
        <v>2.94</v>
      </c>
      <c r="H2080" s="4">
        <v>0</v>
      </c>
    </row>
    <row r="2081" spans="1:8" x14ac:dyDescent="0.2">
      <c r="A2081" s="2" t="s">
        <v>204</v>
      </c>
      <c r="B2081" s="4">
        <v>2</v>
      </c>
      <c r="C2081" s="5">
        <v>2.02</v>
      </c>
      <c r="D2081" s="4">
        <v>0</v>
      </c>
      <c r="E2081" s="5">
        <v>0</v>
      </c>
      <c r="F2081" s="4">
        <v>1</v>
      </c>
      <c r="G2081" s="5">
        <v>2.94</v>
      </c>
      <c r="H2081" s="4">
        <v>0</v>
      </c>
    </row>
    <row r="2082" spans="1:8" x14ac:dyDescent="0.2">
      <c r="A2082" s="1" t="s">
        <v>130</v>
      </c>
      <c r="B2082" s="4">
        <v>120</v>
      </c>
      <c r="C2082" s="5">
        <v>100.02000000000001</v>
      </c>
      <c r="D2082" s="4">
        <v>60</v>
      </c>
      <c r="E2082" s="5">
        <v>100</v>
      </c>
      <c r="F2082" s="4">
        <v>49</v>
      </c>
      <c r="G2082" s="5">
        <v>100.00000000000001</v>
      </c>
      <c r="H2082" s="4">
        <v>0</v>
      </c>
    </row>
    <row r="2083" spans="1:8" x14ac:dyDescent="0.2">
      <c r="A2083" s="2" t="s">
        <v>190</v>
      </c>
      <c r="B2083" s="4">
        <v>0</v>
      </c>
      <c r="C2083" s="5">
        <v>0</v>
      </c>
      <c r="D2083" s="4">
        <v>0</v>
      </c>
      <c r="E2083" s="5">
        <v>0</v>
      </c>
      <c r="F2083" s="4">
        <v>0</v>
      </c>
      <c r="G2083" s="5">
        <v>0</v>
      </c>
      <c r="H2083" s="4">
        <v>0</v>
      </c>
    </row>
    <row r="2084" spans="1:8" x14ac:dyDescent="0.2">
      <c r="A2084" s="2" t="s">
        <v>191</v>
      </c>
      <c r="B2084" s="4">
        <v>12</v>
      </c>
      <c r="C2084" s="5">
        <v>10</v>
      </c>
      <c r="D2084" s="4">
        <v>5</v>
      </c>
      <c r="E2084" s="5">
        <v>8.33</v>
      </c>
      <c r="F2084" s="4">
        <v>7</v>
      </c>
      <c r="G2084" s="5">
        <v>14.29</v>
      </c>
      <c r="H2084" s="4">
        <v>0</v>
      </c>
    </row>
    <row r="2085" spans="1:8" x14ac:dyDescent="0.2">
      <c r="A2085" s="2" t="s">
        <v>192</v>
      </c>
      <c r="B2085" s="4">
        <v>8</v>
      </c>
      <c r="C2085" s="5">
        <v>6.67</v>
      </c>
      <c r="D2085" s="4">
        <v>1</v>
      </c>
      <c r="E2085" s="5">
        <v>1.67</v>
      </c>
      <c r="F2085" s="4">
        <v>7</v>
      </c>
      <c r="G2085" s="5">
        <v>14.29</v>
      </c>
      <c r="H2085" s="4">
        <v>0</v>
      </c>
    </row>
    <row r="2086" spans="1:8" x14ac:dyDescent="0.2">
      <c r="A2086" s="2" t="s">
        <v>193</v>
      </c>
      <c r="B2086" s="4">
        <v>2</v>
      </c>
      <c r="C2086" s="5">
        <v>1.67</v>
      </c>
      <c r="D2086" s="4">
        <v>0</v>
      </c>
      <c r="E2086" s="5">
        <v>0</v>
      </c>
      <c r="F2086" s="4">
        <v>1</v>
      </c>
      <c r="G2086" s="5">
        <v>2.04</v>
      </c>
      <c r="H2086" s="4">
        <v>0</v>
      </c>
    </row>
    <row r="2087" spans="1:8" x14ac:dyDescent="0.2">
      <c r="A2087" s="2" t="s">
        <v>194</v>
      </c>
      <c r="B2087" s="4">
        <v>0</v>
      </c>
      <c r="C2087" s="5">
        <v>0</v>
      </c>
      <c r="D2087" s="4">
        <v>0</v>
      </c>
      <c r="E2087" s="5">
        <v>0</v>
      </c>
      <c r="F2087" s="4">
        <v>0</v>
      </c>
      <c r="G2087" s="5">
        <v>0</v>
      </c>
      <c r="H2087" s="4">
        <v>0</v>
      </c>
    </row>
    <row r="2088" spans="1:8" x14ac:dyDescent="0.2">
      <c r="A2088" s="2" t="s">
        <v>195</v>
      </c>
      <c r="B2088" s="4">
        <v>4</v>
      </c>
      <c r="C2088" s="5">
        <v>3.33</v>
      </c>
      <c r="D2088" s="4">
        <v>1</v>
      </c>
      <c r="E2088" s="5">
        <v>1.67</v>
      </c>
      <c r="F2088" s="4">
        <v>3</v>
      </c>
      <c r="G2088" s="5">
        <v>6.12</v>
      </c>
      <c r="H2088" s="4">
        <v>0</v>
      </c>
    </row>
    <row r="2089" spans="1:8" x14ac:dyDescent="0.2">
      <c r="A2089" s="2" t="s">
        <v>196</v>
      </c>
      <c r="B2089" s="4">
        <v>35</v>
      </c>
      <c r="C2089" s="5">
        <v>29.17</v>
      </c>
      <c r="D2089" s="4">
        <v>12</v>
      </c>
      <c r="E2089" s="5">
        <v>20</v>
      </c>
      <c r="F2089" s="4">
        <v>23</v>
      </c>
      <c r="G2089" s="5">
        <v>46.94</v>
      </c>
      <c r="H2089" s="4">
        <v>0</v>
      </c>
    </row>
    <row r="2090" spans="1:8" x14ac:dyDescent="0.2">
      <c r="A2090" s="2" t="s">
        <v>197</v>
      </c>
      <c r="B2090" s="4">
        <v>0</v>
      </c>
      <c r="C2090" s="5">
        <v>0</v>
      </c>
      <c r="D2090" s="4">
        <v>0</v>
      </c>
      <c r="E2090" s="5">
        <v>0</v>
      </c>
      <c r="F2090" s="4">
        <v>0</v>
      </c>
      <c r="G2090" s="5">
        <v>0</v>
      </c>
      <c r="H2090" s="4">
        <v>0</v>
      </c>
    </row>
    <row r="2091" spans="1:8" x14ac:dyDescent="0.2">
      <c r="A2091" s="2" t="s">
        <v>198</v>
      </c>
      <c r="B2091" s="4">
        <v>2</v>
      </c>
      <c r="C2091" s="5">
        <v>1.67</v>
      </c>
      <c r="D2091" s="4">
        <v>0</v>
      </c>
      <c r="E2091" s="5">
        <v>0</v>
      </c>
      <c r="F2091" s="4">
        <v>2</v>
      </c>
      <c r="G2091" s="5">
        <v>4.08</v>
      </c>
      <c r="H2091" s="4">
        <v>0</v>
      </c>
    </row>
    <row r="2092" spans="1:8" x14ac:dyDescent="0.2">
      <c r="A2092" s="2" t="s">
        <v>199</v>
      </c>
      <c r="B2092" s="4">
        <v>5</v>
      </c>
      <c r="C2092" s="5">
        <v>4.17</v>
      </c>
      <c r="D2092" s="4">
        <v>2</v>
      </c>
      <c r="E2092" s="5">
        <v>3.33</v>
      </c>
      <c r="F2092" s="4">
        <v>1</v>
      </c>
      <c r="G2092" s="5">
        <v>2.04</v>
      </c>
      <c r="H2092" s="4">
        <v>0</v>
      </c>
    </row>
    <row r="2093" spans="1:8" x14ac:dyDescent="0.2">
      <c r="A2093" s="2" t="s">
        <v>200</v>
      </c>
      <c r="B2093" s="4">
        <v>30</v>
      </c>
      <c r="C2093" s="5">
        <v>25</v>
      </c>
      <c r="D2093" s="4">
        <v>27</v>
      </c>
      <c r="E2093" s="5">
        <v>45</v>
      </c>
      <c r="F2093" s="4">
        <v>3</v>
      </c>
      <c r="G2093" s="5">
        <v>6.12</v>
      </c>
      <c r="H2093" s="4">
        <v>0</v>
      </c>
    </row>
    <row r="2094" spans="1:8" x14ac:dyDescent="0.2">
      <c r="A2094" s="2" t="s">
        <v>201</v>
      </c>
      <c r="B2094" s="4">
        <v>11</v>
      </c>
      <c r="C2094" s="5">
        <v>9.17</v>
      </c>
      <c r="D2094" s="4">
        <v>9</v>
      </c>
      <c r="E2094" s="5">
        <v>15</v>
      </c>
      <c r="F2094" s="4">
        <v>1</v>
      </c>
      <c r="G2094" s="5">
        <v>2.04</v>
      </c>
      <c r="H2094" s="4">
        <v>0</v>
      </c>
    </row>
    <row r="2095" spans="1:8" x14ac:dyDescent="0.2">
      <c r="A2095" s="2" t="s">
        <v>202</v>
      </c>
      <c r="B2095" s="4">
        <v>2</v>
      </c>
      <c r="C2095" s="5">
        <v>1.67</v>
      </c>
      <c r="D2095" s="4">
        <v>0</v>
      </c>
      <c r="E2095" s="5">
        <v>0</v>
      </c>
      <c r="F2095" s="4">
        <v>0</v>
      </c>
      <c r="G2095" s="5">
        <v>0</v>
      </c>
      <c r="H2095" s="4">
        <v>0</v>
      </c>
    </row>
    <row r="2096" spans="1:8" x14ac:dyDescent="0.2">
      <c r="A2096" s="2" t="s">
        <v>203</v>
      </c>
      <c r="B2096" s="4">
        <v>6</v>
      </c>
      <c r="C2096" s="5">
        <v>5</v>
      </c>
      <c r="D2096" s="4">
        <v>1</v>
      </c>
      <c r="E2096" s="5">
        <v>1.67</v>
      </c>
      <c r="F2096" s="4">
        <v>1</v>
      </c>
      <c r="G2096" s="5">
        <v>2.04</v>
      </c>
      <c r="H2096" s="4">
        <v>0</v>
      </c>
    </row>
    <row r="2097" spans="1:8" x14ac:dyDescent="0.2">
      <c r="A2097" s="2" t="s">
        <v>204</v>
      </c>
      <c r="B2097" s="4">
        <v>3</v>
      </c>
      <c r="C2097" s="5">
        <v>2.5</v>
      </c>
      <c r="D2097" s="4">
        <v>2</v>
      </c>
      <c r="E2097" s="5">
        <v>3.33</v>
      </c>
      <c r="F2097" s="4">
        <v>0</v>
      </c>
      <c r="G2097" s="5">
        <v>0</v>
      </c>
      <c r="H2097" s="4">
        <v>0</v>
      </c>
    </row>
    <row r="2098" spans="1:8" x14ac:dyDescent="0.2">
      <c r="A2098" s="1" t="s">
        <v>131</v>
      </c>
      <c r="B2098" s="4">
        <v>83</v>
      </c>
      <c r="C2098" s="5">
        <v>99.97</v>
      </c>
      <c r="D2098" s="4">
        <v>32</v>
      </c>
      <c r="E2098" s="5">
        <v>100.03999999999999</v>
      </c>
      <c r="F2098" s="4">
        <v>45</v>
      </c>
      <c r="G2098" s="5">
        <v>99.97999999999999</v>
      </c>
      <c r="H2098" s="4">
        <v>0</v>
      </c>
    </row>
    <row r="2099" spans="1:8" x14ac:dyDescent="0.2">
      <c r="A2099" s="2" t="s">
        <v>190</v>
      </c>
      <c r="B2099" s="4">
        <v>1</v>
      </c>
      <c r="C2099" s="5">
        <v>1.2</v>
      </c>
      <c r="D2099" s="4">
        <v>0</v>
      </c>
      <c r="E2099" s="5">
        <v>0</v>
      </c>
      <c r="F2099" s="4">
        <v>1</v>
      </c>
      <c r="G2099" s="5">
        <v>2.2200000000000002</v>
      </c>
      <c r="H2099" s="4">
        <v>0</v>
      </c>
    </row>
    <row r="2100" spans="1:8" x14ac:dyDescent="0.2">
      <c r="A2100" s="2" t="s">
        <v>191</v>
      </c>
      <c r="B2100" s="4">
        <v>8</v>
      </c>
      <c r="C2100" s="5">
        <v>9.64</v>
      </c>
      <c r="D2100" s="4">
        <v>3</v>
      </c>
      <c r="E2100" s="5">
        <v>9.3800000000000008</v>
      </c>
      <c r="F2100" s="4">
        <v>5</v>
      </c>
      <c r="G2100" s="5">
        <v>11.11</v>
      </c>
      <c r="H2100" s="4">
        <v>0</v>
      </c>
    </row>
    <row r="2101" spans="1:8" x14ac:dyDescent="0.2">
      <c r="A2101" s="2" t="s">
        <v>192</v>
      </c>
      <c r="B2101" s="4">
        <v>4</v>
      </c>
      <c r="C2101" s="5">
        <v>4.82</v>
      </c>
      <c r="D2101" s="4">
        <v>1</v>
      </c>
      <c r="E2101" s="5">
        <v>3.13</v>
      </c>
      <c r="F2101" s="4">
        <v>3</v>
      </c>
      <c r="G2101" s="5">
        <v>6.67</v>
      </c>
      <c r="H2101" s="4">
        <v>0</v>
      </c>
    </row>
    <row r="2102" spans="1:8" x14ac:dyDescent="0.2">
      <c r="A2102" s="2" t="s">
        <v>193</v>
      </c>
      <c r="B2102" s="4">
        <v>3</v>
      </c>
      <c r="C2102" s="5">
        <v>3.61</v>
      </c>
      <c r="D2102" s="4">
        <v>0</v>
      </c>
      <c r="E2102" s="5">
        <v>0</v>
      </c>
      <c r="F2102" s="4">
        <v>2</v>
      </c>
      <c r="G2102" s="5">
        <v>4.4400000000000004</v>
      </c>
      <c r="H2102" s="4">
        <v>0</v>
      </c>
    </row>
    <row r="2103" spans="1:8" x14ac:dyDescent="0.2">
      <c r="A2103" s="2" t="s">
        <v>194</v>
      </c>
      <c r="B2103" s="4">
        <v>1</v>
      </c>
      <c r="C2103" s="5">
        <v>1.2</v>
      </c>
      <c r="D2103" s="4">
        <v>1</v>
      </c>
      <c r="E2103" s="5">
        <v>3.13</v>
      </c>
      <c r="F2103" s="4">
        <v>0</v>
      </c>
      <c r="G2103" s="5">
        <v>0</v>
      </c>
      <c r="H2103" s="4">
        <v>0</v>
      </c>
    </row>
    <row r="2104" spans="1:8" x14ac:dyDescent="0.2">
      <c r="A2104" s="2" t="s">
        <v>195</v>
      </c>
      <c r="B2104" s="4">
        <v>1</v>
      </c>
      <c r="C2104" s="5">
        <v>1.2</v>
      </c>
      <c r="D2104" s="4">
        <v>0</v>
      </c>
      <c r="E2104" s="5">
        <v>0</v>
      </c>
      <c r="F2104" s="4">
        <v>1</v>
      </c>
      <c r="G2104" s="5">
        <v>2.2200000000000002</v>
      </c>
      <c r="H2104" s="4">
        <v>0</v>
      </c>
    </row>
    <row r="2105" spans="1:8" x14ac:dyDescent="0.2">
      <c r="A2105" s="2" t="s">
        <v>196</v>
      </c>
      <c r="B2105" s="4">
        <v>17</v>
      </c>
      <c r="C2105" s="5">
        <v>20.48</v>
      </c>
      <c r="D2105" s="4">
        <v>5</v>
      </c>
      <c r="E2105" s="5">
        <v>15.63</v>
      </c>
      <c r="F2105" s="4">
        <v>12</v>
      </c>
      <c r="G2105" s="5">
        <v>26.67</v>
      </c>
      <c r="H2105" s="4">
        <v>0</v>
      </c>
    </row>
    <row r="2106" spans="1:8" x14ac:dyDescent="0.2">
      <c r="A2106" s="2" t="s">
        <v>197</v>
      </c>
      <c r="B2106" s="4">
        <v>0</v>
      </c>
      <c r="C2106" s="5">
        <v>0</v>
      </c>
      <c r="D2106" s="4">
        <v>0</v>
      </c>
      <c r="E2106" s="5">
        <v>0</v>
      </c>
      <c r="F2106" s="4">
        <v>0</v>
      </c>
      <c r="G2106" s="5">
        <v>0</v>
      </c>
      <c r="H2106" s="4">
        <v>0</v>
      </c>
    </row>
    <row r="2107" spans="1:8" x14ac:dyDescent="0.2">
      <c r="A2107" s="2" t="s">
        <v>198</v>
      </c>
      <c r="B2107" s="4">
        <v>11</v>
      </c>
      <c r="C2107" s="5">
        <v>13.25</v>
      </c>
      <c r="D2107" s="4">
        <v>5</v>
      </c>
      <c r="E2107" s="5">
        <v>15.63</v>
      </c>
      <c r="F2107" s="4">
        <v>6</v>
      </c>
      <c r="G2107" s="5">
        <v>13.33</v>
      </c>
      <c r="H2107" s="4">
        <v>0</v>
      </c>
    </row>
    <row r="2108" spans="1:8" x14ac:dyDescent="0.2">
      <c r="A2108" s="2" t="s">
        <v>199</v>
      </c>
      <c r="B2108" s="4">
        <v>1</v>
      </c>
      <c r="C2108" s="5">
        <v>1.2</v>
      </c>
      <c r="D2108" s="4">
        <v>0</v>
      </c>
      <c r="E2108" s="5">
        <v>0</v>
      </c>
      <c r="F2108" s="4">
        <v>1</v>
      </c>
      <c r="G2108" s="5">
        <v>2.2200000000000002</v>
      </c>
      <c r="H2108" s="4">
        <v>0</v>
      </c>
    </row>
    <row r="2109" spans="1:8" x14ac:dyDescent="0.2">
      <c r="A2109" s="2" t="s">
        <v>200</v>
      </c>
      <c r="B2109" s="4">
        <v>16</v>
      </c>
      <c r="C2109" s="5">
        <v>19.28</v>
      </c>
      <c r="D2109" s="4">
        <v>10</v>
      </c>
      <c r="E2109" s="5">
        <v>31.25</v>
      </c>
      <c r="F2109" s="4">
        <v>6</v>
      </c>
      <c r="G2109" s="5">
        <v>13.33</v>
      </c>
      <c r="H2109" s="4">
        <v>0</v>
      </c>
    </row>
    <row r="2110" spans="1:8" x14ac:dyDescent="0.2">
      <c r="A2110" s="2" t="s">
        <v>201</v>
      </c>
      <c r="B2110" s="4">
        <v>3</v>
      </c>
      <c r="C2110" s="5">
        <v>3.61</v>
      </c>
      <c r="D2110" s="4">
        <v>3</v>
      </c>
      <c r="E2110" s="5">
        <v>9.3800000000000008</v>
      </c>
      <c r="F2110" s="4">
        <v>0</v>
      </c>
      <c r="G2110" s="5">
        <v>0</v>
      </c>
      <c r="H2110" s="4">
        <v>0</v>
      </c>
    </row>
    <row r="2111" spans="1:8" x14ac:dyDescent="0.2">
      <c r="A2111" s="2" t="s">
        <v>202</v>
      </c>
      <c r="B2111" s="4">
        <v>5</v>
      </c>
      <c r="C2111" s="5">
        <v>6.02</v>
      </c>
      <c r="D2111" s="4">
        <v>2</v>
      </c>
      <c r="E2111" s="5">
        <v>6.25</v>
      </c>
      <c r="F2111" s="4">
        <v>1</v>
      </c>
      <c r="G2111" s="5">
        <v>2.2200000000000002</v>
      </c>
      <c r="H2111" s="4">
        <v>0</v>
      </c>
    </row>
    <row r="2112" spans="1:8" x14ac:dyDescent="0.2">
      <c r="A2112" s="2" t="s">
        <v>203</v>
      </c>
      <c r="B2112" s="4">
        <v>6</v>
      </c>
      <c r="C2112" s="5">
        <v>7.23</v>
      </c>
      <c r="D2112" s="4">
        <v>1</v>
      </c>
      <c r="E2112" s="5">
        <v>3.13</v>
      </c>
      <c r="F2112" s="4">
        <v>2</v>
      </c>
      <c r="G2112" s="5">
        <v>4.4400000000000004</v>
      </c>
      <c r="H2112" s="4">
        <v>0</v>
      </c>
    </row>
    <row r="2113" spans="1:8" x14ac:dyDescent="0.2">
      <c r="A2113" s="2" t="s">
        <v>204</v>
      </c>
      <c r="B2113" s="4">
        <v>6</v>
      </c>
      <c r="C2113" s="5">
        <v>7.23</v>
      </c>
      <c r="D2113" s="4">
        <v>1</v>
      </c>
      <c r="E2113" s="5">
        <v>3.13</v>
      </c>
      <c r="F2113" s="4">
        <v>5</v>
      </c>
      <c r="G2113" s="5">
        <v>11.11</v>
      </c>
      <c r="H2113" s="4">
        <v>0</v>
      </c>
    </row>
    <row r="2114" spans="1:8" x14ac:dyDescent="0.2">
      <c r="A2114" s="1" t="s">
        <v>132</v>
      </c>
      <c r="B2114" s="4">
        <v>443</v>
      </c>
      <c r="C2114" s="5">
        <v>99.99</v>
      </c>
      <c r="D2114" s="4">
        <v>267</v>
      </c>
      <c r="E2114" s="5">
        <v>100.01</v>
      </c>
      <c r="F2114" s="4">
        <v>169</v>
      </c>
      <c r="G2114" s="5">
        <v>100.01</v>
      </c>
      <c r="H2114" s="4">
        <v>1</v>
      </c>
    </row>
    <row r="2115" spans="1:8" x14ac:dyDescent="0.2">
      <c r="A2115" s="2" t="s">
        <v>190</v>
      </c>
      <c r="B2115" s="4">
        <v>0</v>
      </c>
      <c r="C2115" s="5">
        <v>0</v>
      </c>
      <c r="D2115" s="4">
        <v>0</v>
      </c>
      <c r="E2115" s="5">
        <v>0</v>
      </c>
      <c r="F2115" s="4">
        <v>0</v>
      </c>
      <c r="G2115" s="5">
        <v>0</v>
      </c>
      <c r="H2115" s="4">
        <v>0</v>
      </c>
    </row>
    <row r="2116" spans="1:8" x14ac:dyDescent="0.2">
      <c r="A2116" s="2" t="s">
        <v>191</v>
      </c>
      <c r="B2116" s="4">
        <v>34</v>
      </c>
      <c r="C2116" s="5">
        <v>7.67</v>
      </c>
      <c r="D2116" s="4">
        <v>11</v>
      </c>
      <c r="E2116" s="5">
        <v>4.12</v>
      </c>
      <c r="F2116" s="4">
        <v>23</v>
      </c>
      <c r="G2116" s="5">
        <v>13.61</v>
      </c>
      <c r="H2116" s="4">
        <v>0</v>
      </c>
    </row>
    <row r="2117" spans="1:8" x14ac:dyDescent="0.2">
      <c r="A2117" s="2" t="s">
        <v>192</v>
      </c>
      <c r="B2117" s="4">
        <v>20</v>
      </c>
      <c r="C2117" s="5">
        <v>4.51</v>
      </c>
      <c r="D2117" s="4">
        <v>7</v>
      </c>
      <c r="E2117" s="5">
        <v>2.62</v>
      </c>
      <c r="F2117" s="4">
        <v>13</v>
      </c>
      <c r="G2117" s="5">
        <v>7.69</v>
      </c>
      <c r="H2117" s="4">
        <v>0</v>
      </c>
    </row>
    <row r="2118" spans="1:8" x14ac:dyDescent="0.2">
      <c r="A2118" s="2" t="s">
        <v>193</v>
      </c>
      <c r="B2118" s="4">
        <v>2</v>
      </c>
      <c r="C2118" s="5">
        <v>0.45</v>
      </c>
      <c r="D2118" s="4">
        <v>0</v>
      </c>
      <c r="E2118" s="5">
        <v>0</v>
      </c>
      <c r="F2118" s="4">
        <v>2</v>
      </c>
      <c r="G2118" s="5">
        <v>1.18</v>
      </c>
      <c r="H2118" s="4">
        <v>0</v>
      </c>
    </row>
    <row r="2119" spans="1:8" x14ac:dyDescent="0.2">
      <c r="A2119" s="2" t="s">
        <v>194</v>
      </c>
      <c r="B2119" s="4">
        <v>4</v>
      </c>
      <c r="C2119" s="5">
        <v>0.9</v>
      </c>
      <c r="D2119" s="4">
        <v>0</v>
      </c>
      <c r="E2119" s="5">
        <v>0</v>
      </c>
      <c r="F2119" s="4">
        <v>4</v>
      </c>
      <c r="G2119" s="5">
        <v>2.37</v>
      </c>
      <c r="H2119" s="4">
        <v>0</v>
      </c>
    </row>
    <row r="2120" spans="1:8" x14ac:dyDescent="0.2">
      <c r="A2120" s="2" t="s">
        <v>195</v>
      </c>
      <c r="B2120" s="4">
        <v>7</v>
      </c>
      <c r="C2120" s="5">
        <v>1.58</v>
      </c>
      <c r="D2120" s="4">
        <v>4</v>
      </c>
      <c r="E2120" s="5">
        <v>1.5</v>
      </c>
      <c r="F2120" s="4">
        <v>3</v>
      </c>
      <c r="G2120" s="5">
        <v>1.78</v>
      </c>
      <c r="H2120" s="4">
        <v>0</v>
      </c>
    </row>
    <row r="2121" spans="1:8" x14ac:dyDescent="0.2">
      <c r="A2121" s="2" t="s">
        <v>196</v>
      </c>
      <c r="B2121" s="4">
        <v>123</v>
      </c>
      <c r="C2121" s="5">
        <v>27.77</v>
      </c>
      <c r="D2121" s="4">
        <v>52</v>
      </c>
      <c r="E2121" s="5">
        <v>19.48</v>
      </c>
      <c r="F2121" s="4">
        <v>70</v>
      </c>
      <c r="G2121" s="5">
        <v>41.42</v>
      </c>
      <c r="H2121" s="4">
        <v>1</v>
      </c>
    </row>
    <row r="2122" spans="1:8" x14ac:dyDescent="0.2">
      <c r="A2122" s="2" t="s">
        <v>197</v>
      </c>
      <c r="B2122" s="4">
        <v>7</v>
      </c>
      <c r="C2122" s="5">
        <v>1.58</v>
      </c>
      <c r="D2122" s="4">
        <v>2</v>
      </c>
      <c r="E2122" s="5">
        <v>0.75</v>
      </c>
      <c r="F2122" s="4">
        <v>5</v>
      </c>
      <c r="G2122" s="5">
        <v>2.96</v>
      </c>
      <c r="H2122" s="4">
        <v>0</v>
      </c>
    </row>
    <row r="2123" spans="1:8" x14ac:dyDescent="0.2">
      <c r="A2123" s="2" t="s">
        <v>198</v>
      </c>
      <c r="B2123" s="4">
        <v>26</v>
      </c>
      <c r="C2123" s="5">
        <v>5.87</v>
      </c>
      <c r="D2123" s="4">
        <v>16</v>
      </c>
      <c r="E2123" s="5">
        <v>5.99</v>
      </c>
      <c r="F2123" s="4">
        <v>9</v>
      </c>
      <c r="G2123" s="5">
        <v>5.33</v>
      </c>
      <c r="H2123" s="4">
        <v>0</v>
      </c>
    </row>
    <row r="2124" spans="1:8" x14ac:dyDescent="0.2">
      <c r="A2124" s="2" t="s">
        <v>199</v>
      </c>
      <c r="B2124" s="4">
        <v>12</v>
      </c>
      <c r="C2124" s="5">
        <v>2.71</v>
      </c>
      <c r="D2124" s="4">
        <v>4</v>
      </c>
      <c r="E2124" s="5">
        <v>1.5</v>
      </c>
      <c r="F2124" s="4">
        <v>8</v>
      </c>
      <c r="G2124" s="5">
        <v>4.7300000000000004</v>
      </c>
      <c r="H2124" s="4">
        <v>0</v>
      </c>
    </row>
    <row r="2125" spans="1:8" x14ac:dyDescent="0.2">
      <c r="A2125" s="2" t="s">
        <v>200</v>
      </c>
      <c r="B2125" s="4">
        <v>82</v>
      </c>
      <c r="C2125" s="5">
        <v>18.510000000000002</v>
      </c>
      <c r="D2125" s="4">
        <v>72</v>
      </c>
      <c r="E2125" s="5">
        <v>26.97</v>
      </c>
      <c r="F2125" s="4">
        <v>10</v>
      </c>
      <c r="G2125" s="5">
        <v>5.92</v>
      </c>
      <c r="H2125" s="4">
        <v>0</v>
      </c>
    </row>
    <row r="2126" spans="1:8" x14ac:dyDescent="0.2">
      <c r="A2126" s="2" t="s">
        <v>201</v>
      </c>
      <c r="B2126" s="4">
        <v>73</v>
      </c>
      <c r="C2126" s="5">
        <v>16.48</v>
      </c>
      <c r="D2126" s="4">
        <v>68</v>
      </c>
      <c r="E2126" s="5">
        <v>25.47</v>
      </c>
      <c r="F2126" s="4">
        <v>5</v>
      </c>
      <c r="G2126" s="5">
        <v>2.96</v>
      </c>
      <c r="H2126" s="4">
        <v>0</v>
      </c>
    </row>
    <row r="2127" spans="1:8" x14ac:dyDescent="0.2">
      <c r="A2127" s="2" t="s">
        <v>202</v>
      </c>
      <c r="B2127" s="4">
        <v>11</v>
      </c>
      <c r="C2127" s="5">
        <v>2.48</v>
      </c>
      <c r="D2127" s="4">
        <v>9</v>
      </c>
      <c r="E2127" s="5">
        <v>3.37</v>
      </c>
      <c r="F2127" s="4">
        <v>2</v>
      </c>
      <c r="G2127" s="5">
        <v>1.18</v>
      </c>
      <c r="H2127" s="4">
        <v>0</v>
      </c>
    </row>
    <row r="2128" spans="1:8" x14ac:dyDescent="0.2">
      <c r="A2128" s="2" t="s">
        <v>203</v>
      </c>
      <c r="B2128" s="4">
        <v>21</v>
      </c>
      <c r="C2128" s="5">
        <v>4.74</v>
      </c>
      <c r="D2128" s="4">
        <v>12</v>
      </c>
      <c r="E2128" s="5">
        <v>4.49</v>
      </c>
      <c r="F2128" s="4">
        <v>6</v>
      </c>
      <c r="G2128" s="5">
        <v>3.55</v>
      </c>
      <c r="H2128" s="4">
        <v>0</v>
      </c>
    </row>
    <row r="2129" spans="1:8" x14ac:dyDescent="0.2">
      <c r="A2129" s="2" t="s">
        <v>204</v>
      </c>
      <c r="B2129" s="4">
        <v>21</v>
      </c>
      <c r="C2129" s="5">
        <v>4.74</v>
      </c>
      <c r="D2129" s="4">
        <v>10</v>
      </c>
      <c r="E2129" s="5">
        <v>3.75</v>
      </c>
      <c r="F2129" s="4">
        <v>9</v>
      </c>
      <c r="G2129" s="5">
        <v>5.33</v>
      </c>
      <c r="H2129" s="4">
        <v>0</v>
      </c>
    </row>
    <row r="2130" spans="1:8" x14ac:dyDescent="0.2">
      <c r="A2130" s="1" t="s">
        <v>133</v>
      </c>
      <c r="B2130" s="4">
        <v>114</v>
      </c>
      <c r="C2130" s="5">
        <v>99.990000000000009</v>
      </c>
      <c r="D2130" s="4">
        <v>55</v>
      </c>
      <c r="E2130" s="5">
        <v>99.990000000000009</v>
      </c>
      <c r="F2130" s="4">
        <v>55</v>
      </c>
      <c r="G2130" s="5">
        <v>99.98</v>
      </c>
      <c r="H2130" s="4">
        <v>2</v>
      </c>
    </row>
    <row r="2131" spans="1:8" x14ac:dyDescent="0.2">
      <c r="A2131" s="2" t="s">
        <v>190</v>
      </c>
      <c r="B2131" s="4">
        <v>0</v>
      </c>
      <c r="C2131" s="5">
        <v>0</v>
      </c>
      <c r="D2131" s="4">
        <v>0</v>
      </c>
      <c r="E2131" s="5">
        <v>0</v>
      </c>
      <c r="F2131" s="4">
        <v>0</v>
      </c>
      <c r="G2131" s="5">
        <v>0</v>
      </c>
      <c r="H2131" s="4">
        <v>0</v>
      </c>
    </row>
    <row r="2132" spans="1:8" x14ac:dyDescent="0.2">
      <c r="A2132" s="2" t="s">
        <v>191</v>
      </c>
      <c r="B2132" s="4">
        <v>14</v>
      </c>
      <c r="C2132" s="5">
        <v>12.28</v>
      </c>
      <c r="D2132" s="4">
        <v>5</v>
      </c>
      <c r="E2132" s="5">
        <v>9.09</v>
      </c>
      <c r="F2132" s="4">
        <v>9</v>
      </c>
      <c r="G2132" s="5">
        <v>16.36</v>
      </c>
      <c r="H2132" s="4">
        <v>0</v>
      </c>
    </row>
    <row r="2133" spans="1:8" x14ac:dyDescent="0.2">
      <c r="A2133" s="2" t="s">
        <v>192</v>
      </c>
      <c r="B2133" s="4">
        <v>9</v>
      </c>
      <c r="C2133" s="5">
        <v>7.89</v>
      </c>
      <c r="D2133" s="4">
        <v>0</v>
      </c>
      <c r="E2133" s="5">
        <v>0</v>
      </c>
      <c r="F2133" s="4">
        <v>9</v>
      </c>
      <c r="G2133" s="5">
        <v>16.36</v>
      </c>
      <c r="H2133" s="4">
        <v>0</v>
      </c>
    </row>
    <row r="2134" spans="1:8" x14ac:dyDescent="0.2">
      <c r="A2134" s="2" t="s">
        <v>193</v>
      </c>
      <c r="B2134" s="4">
        <v>1</v>
      </c>
      <c r="C2134" s="5">
        <v>0.88</v>
      </c>
      <c r="D2134" s="4">
        <v>0</v>
      </c>
      <c r="E2134" s="5">
        <v>0</v>
      </c>
      <c r="F2134" s="4">
        <v>0</v>
      </c>
      <c r="G2134" s="5">
        <v>0</v>
      </c>
      <c r="H2134" s="4">
        <v>0</v>
      </c>
    </row>
    <row r="2135" spans="1:8" x14ac:dyDescent="0.2">
      <c r="A2135" s="2" t="s">
        <v>194</v>
      </c>
      <c r="B2135" s="4">
        <v>2</v>
      </c>
      <c r="C2135" s="5">
        <v>1.75</v>
      </c>
      <c r="D2135" s="4">
        <v>0</v>
      </c>
      <c r="E2135" s="5">
        <v>0</v>
      </c>
      <c r="F2135" s="4">
        <v>2</v>
      </c>
      <c r="G2135" s="5">
        <v>3.64</v>
      </c>
      <c r="H2135" s="4">
        <v>0</v>
      </c>
    </row>
    <row r="2136" spans="1:8" x14ac:dyDescent="0.2">
      <c r="A2136" s="2" t="s">
        <v>195</v>
      </c>
      <c r="B2136" s="4">
        <v>3</v>
      </c>
      <c r="C2136" s="5">
        <v>2.63</v>
      </c>
      <c r="D2136" s="4">
        <v>0</v>
      </c>
      <c r="E2136" s="5">
        <v>0</v>
      </c>
      <c r="F2136" s="4">
        <v>3</v>
      </c>
      <c r="G2136" s="5">
        <v>5.45</v>
      </c>
      <c r="H2136" s="4">
        <v>0</v>
      </c>
    </row>
    <row r="2137" spans="1:8" x14ac:dyDescent="0.2">
      <c r="A2137" s="2" t="s">
        <v>196</v>
      </c>
      <c r="B2137" s="4">
        <v>29</v>
      </c>
      <c r="C2137" s="5">
        <v>25.44</v>
      </c>
      <c r="D2137" s="4">
        <v>15</v>
      </c>
      <c r="E2137" s="5">
        <v>27.27</v>
      </c>
      <c r="F2137" s="4">
        <v>14</v>
      </c>
      <c r="G2137" s="5">
        <v>25.45</v>
      </c>
      <c r="H2137" s="4">
        <v>0</v>
      </c>
    </row>
    <row r="2138" spans="1:8" x14ac:dyDescent="0.2">
      <c r="A2138" s="2" t="s">
        <v>197</v>
      </c>
      <c r="B2138" s="4">
        <v>1</v>
      </c>
      <c r="C2138" s="5">
        <v>0.88</v>
      </c>
      <c r="D2138" s="4">
        <v>0</v>
      </c>
      <c r="E2138" s="5">
        <v>0</v>
      </c>
      <c r="F2138" s="4">
        <v>1</v>
      </c>
      <c r="G2138" s="5">
        <v>1.82</v>
      </c>
      <c r="H2138" s="4">
        <v>0</v>
      </c>
    </row>
    <row r="2139" spans="1:8" x14ac:dyDescent="0.2">
      <c r="A2139" s="2" t="s">
        <v>198</v>
      </c>
      <c r="B2139" s="4">
        <v>4</v>
      </c>
      <c r="C2139" s="5">
        <v>3.51</v>
      </c>
      <c r="D2139" s="4">
        <v>1</v>
      </c>
      <c r="E2139" s="5">
        <v>1.82</v>
      </c>
      <c r="F2139" s="4">
        <v>3</v>
      </c>
      <c r="G2139" s="5">
        <v>5.45</v>
      </c>
      <c r="H2139" s="4">
        <v>0</v>
      </c>
    </row>
    <row r="2140" spans="1:8" x14ac:dyDescent="0.2">
      <c r="A2140" s="2" t="s">
        <v>199</v>
      </c>
      <c r="B2140" s="4">
        <v>5</v>
      </c>
      <c r="C2140" s="5">
        <v>4.3899999999999997</v>
      </c>
      <c r="D2140" s="4">
        <v>1</v>
      </c>
      <c r="E2140" s="5">
        <v>1.82</v>
      </c>
      <c r="F2140" s="4">
        <v>3</v>
      </c>
      <c r="G2140" s="5">
        <v>5.45</v>
      </c>
      <c r="H2140" s="4">
        <v>1</v>
      </c>
    </row>
    <row r="2141" spans="1:8" x14ac:dyDescent="0.2">
      <c r="A2141" s="2" t="s">
        <v>200</v>
      </c>
      <c r="B2141" s="4">
        <v>14</v>
      </c>
      <c r="C2141" s="5">
        <v>12.28</v>
      </c>
      <c r="D2141" s="4">
        <v>11</v>
      </c>
      <c r="E2141" s="5">
        <v>20</v>
      </c>
      <c r="F2141" s="4">
        <v>3</v>
      </c>
      <c r="G2141" s="5">
        <v>5.45</v>
      </c>
      <c r="H2141" s="4">
        <v>0</v>
      </c>
    </row>
    <row r="2142" spans="1:8" x14ac:dyDescent="0.2">
      <c r="A2142" s="2" t="s">
        <v>201</v>
      </c>
      <c r="B2142" s="4">
        <v>13</v>
      </c>
      <c r="C2142" s="5">
        <v>11.4</v>
      </c>
      <c r="D2142" s="4">
        <v>11</v>
      </c>
      <c r="E2142" s="5">
        <v>20</v>
      </c>
      <c r="F2142" s="4">
        <v>2</v>
      </c>
      <c r="G2142" s="5">
        <v>3.64</v>
      </c>
      <c r="H2142" s="4">
        <v>0</v>
      </c>
    </row>
    <row r="2143" spans="1:8" x14ac:dyDescent="0.2">
      <c r="A2143" s="2" t="s">
        <v>202</v>
      </c>
      <c r="B2143" s="4">
        <v>7</v>
      </c>
      <c r="C2143" s="5">
        <v>6.14</v>
      </c>
      <c r="D2143" s="4">
        <v>5</v>
      </c>
      <c r="E2143" s="5">
        <v>9.09</v>
      </c>
      <c r="F2143" s="4">
        <v>1</v>
      </c>
      <c r="G2143" s="5">
        <v>1.82</v>
      </c>
      <c r="H2143" s="4">
        <v>0</v>
      </c>
    </row>
    <row r="2144" spans="1:8" x14ac:dyDescent="0.2">
      <c r="A2144" s="2" t="s">
        <v>203</v>
      </c>
      <c r="B2144" s="4">
        <v>6</v>
      </c>
      <c r="C2144" s="5">
        <v>5.26</v>
      </c>
      <c r="D2144" s="4">
        <v>3</v>
      </c>
      <c r="E2144" s="5">
        <v>5.45</v>
      </c>
      <c r="F2144" s="4">
        <v>3</v>
      </c>
      <c r="G2144" s="5">
        <v>5.45</v>
      </c>
      <c r="H2144" s="4">
        <v>0</v>
      </c>
    </row>
    <row r="2145" spans="1:8" x14ac:dyDescent="0.2">
      <c r="A2145" s="2" t="s">
        <v>204</v>
      </c>
      <c r="B2145" s="4">
        <v>6</v>
      </c>
      <c r="C2145" s="5">
        <v>5.26</v>
      </c>
      <c r="D2145" s="4">
        <v>3</v>
      </c>
      <c r="E2145" s="5">
        <v>5.45</v>
      </c>
      <c r="F2145" s="4">
        <v>2</v>
      </c>
      <c r="G2145" s="5">
        <v>3.64</v>
      </c>
      <c r="H2145" s="4">
        <v>1</v>
      </c>
    </row>
    <row r="2146" spans="1:8" x14ac:dyDescent="0.2">
      <c r="A2146" s="1" t="s">
        <v>134</v>
      </c>
      <c r="B2146" s="4">
        <v>384</v>
      </c>
      <c r="C2146" s="5">
        <v>99.990000000000009</v>
      </c>
      <c r="D2146" s="4">
        <v>217</v>
      </c>
      <c r="E2146" s="5">
        <v>99.99</v>
      </c>
      <c r="F2146" s="4">
        <v>155</v>
      </c>
      <c r="G2146" s="5">
        <v>100.01</v>
      </c>
      <c r="H2146" s="4">
        <v>3</v>
      </c>
    </row>
    <row r="2147" spans="1:8" x14ac:dyDescent="0.2">
      <c r="A2147" s="2" t="s">
        <v>190</v>
      </c>
      <c r="B2147" s="4">
        <v>1</v>
      </c>
      <c r="C2147" s="5">
        <v>0.26</v>
      </c>
      <c r="D2147" s="4">
        <v>0</v>
      </c>
      <c r="E2147" s="5">
        <v>0</v>
      </c>
      <c r="F2147" s="4">
        <v>1</v>
      </c>
      <c r="G2147" s="5">
        <v>0.65</v>
      </c>
      <c r="H2147" s="4">
        <v>0</v>
      </c>
    </row>
    <row r="2148" spans="1:8" x14ac:dyDescent="0.2">
      <c r="A2148" s="2" t="s">
        <v>191</v>
      </c>
      <c r="B2148" s="4">
        <v>31</v>
      </c>
      <c r="C2148" s="5">
        <v>8.07</v>
      </c>
      <c r="D2148" s="4">
        <v>12</v>
      </c>
      <c r="E2148" s="5">
        <v>5.53</v>
      </c>
      <c r="F2148" s="4">
        <v>19</v>
      </c>
      <c r="G2148" s="5">
        <v>12.26</v>
      </c>
      <c r="H2148" s="4">
        <v>0</v>
      </c>
    </row>
    <row r="2149" spans="1:8" x14ac:dyDescent="0.2">
      <c r="A2149" s="2" t="s">
        <v>192</v>
      </c>
      <c r="B2149" s="4">
        <v>27</v>
      </c>
      <c r="C2149" s="5">
        <v>7.03</v>
      </c>
      <c r="D2149" s="4">
        <v>3</v>
      </c>
      <c r="E2149" s="5">
        <v>1.38</v>
      </c>
      <c r="F2149" s="4">
        <v>24</v>
      </c>
      <c r="G2149" s="5">
        <v>15.48</v>
      </c>
      <c r="H2149" s="4">
        <v>0</v>
      </c>
    </row>
    <row r="2150" spans="1:8" x14ac:dyDescent="0.2">
      <c r="A2150" s="2" t="s">
        <v>193</v>
      </c>
      <c r="B2150" s="4">
        <v>3</v>
      </c>
      <c r="C2150" s="5">
        <v>0.78</v>
      </c>
      <c r="D2150" s="4">
        <v>0</v>
      </c>
      <c r="E2150" s="5">
        <v>0</v>
      </c>
      <c r="F2150" s="4">
        <v>0</v>
      </c>
      <c r="G2150" s="5">
        <v>0</v>
      </c>
      <c r="H2150" s="4">
        <v>1</v>
      </c>
    </row>
    <row r="2151" spans="1:8" x14ac:dyDescent="0.2">
      <c r="A2151" s="2" t="s">
        <v>194</v>
      </c>
      <c r="B2151" s="4">
        <v>0</v>
      </c>
      <c r="C2151" s="5">
        <v>0</v>
      </c>
      <c r="D2151" s="4">
        <v>0</v>
      </c>
      <c r="E2151" s="5">
        <v>0</v>
      </c>
      <c r="F2151" s="4">
        <v>0</v>
      </c>
      <c r="G2151" s="5">
        <v>0</v>
      </c>
      <c r="H2151" s="4">
        <v>0</v>
      </c>
    </row>
    <row r="2152" spans="1:8" x14ac:dyDescent="0.2">
      <c r="A2152" s="2" t="s">
        <v>195</v>
      </c>
      <c r="B2152" s="4">
        <v>8</v>
      </c>
      <c r="C2152" s="5">
        <v>2.08</v>
      </c>
      <c r="D2152" s="4">
        <v>2</v>
      </c>
      <c r="E2152" s="5">
        <v>0.92</v>
      </c>
      <c r="F2152" s="4">
        <v>6</v>
      </c>
      <c r="G2152" s="5">
        <v>3.87</v>
      </c>
      <c r="H2152" s="4">
        <v>0</v>
      </c>
    </row>
    <row r="2153" spans="1:8" x14ac:dyDescent="0.2">
      <c r="A2153" s="2" t="s">
        <v>196</v>
      </c>
      <c r="B2153" s="4">
        <v>78</v>
      </c>
      <c r="C2153" s="5">
        <v>20.309999999999999</v>
      </c>
      <c r="D2153" s="4">
        <v>33</v>
      </c>
      <c r="E2153" s="5">
        <v>15.21</v>
      </c>
      <c r="F2153" s="4">
        <v>45</v>
      </c>
      <c r="G2153" s="5">
        <v>29.03</v>
      </c>
      <c r="H2153" s="4">
        <v>0</v>
      </c>
    </row>
    <row r="2154" spans="1:8" x14ac:dyDescent="0.2">
      <c r="A2154" s="2" t="s">
        <v>197</v>
      </c>
      <c r="B2154" s="4">
        <v>3</v>
      </c>
      <c r="C2154" s="5">
        <v>0.78</v>
      </c>
      <c r="D2154" s="4">
        <v>0</v>
      </c>
      <c r="E2154" s="5">
        <v>0</v>
      </c>
      <c r="F2154" s="4">
        <v>3</v>
      </c>
      <c r="G2154" s="5">
        <v>1.94</v>
      </c>
      <c r="H2154" s="4">
        <v>0</v>
      </c>
    </row>
    <row r="2155" spans="1:8" x14ac:dyDescent="0.2">
      <c r="A2155" s="2" t="s">
        <v>198</v>
      </c>
      <c r="B2155" s="4">
        <v>56</v>
      </c>
      <c r="C2155" s="5">
        <v>14.58</v>
      </c>
      <c r="D2155" s="4">
        <v>42</v>
      </c>
      <c r="E2155" s="5">
        <v>19.350000000000001</v>
      </c>
      <c r="F2155" s="4">
        <v>14</v>
      </c>
      <c r="G2155" s="5">
        <v>9.0299999999999994</v>
      </c>
      <c r="H2155" s="4">
        <v>0</v>
      </c>
    </row>
    <row r="2156" spans="1:8" x14ac:dyDescent="0.2">
      <c r="A2156" s="2" t="s">
        <v>199</v>
      </c>
      <c r="B2156" s="4">
        <v>12</v>
      </c>
      <c r="C2156" s="5">
        <v>3.13</v>
      </c>
      <c r="D2156" s="4">
        <v>5</v>
      </c>
      <c r="E2156" s="5">
        <v>2.2999999999999998</v>
      </c>
      <c r="F2156" s="4">
        <v>7</v>
      </c>
      <c r="G2156" s="5">
        <v>4.5199999999999996</v>
      </c>
      <c r="H2156" s="4">
        <v>0</v>
      </c>
    </row>
    <row r="2157" spans="1:8" x14ac:dyDescent="0.2">
      <c r="A2157" s="2" t="s">
        <v>200</v>
      </c>
      <c r="B2157" s="4">
        <v>75</v>
      </c>
      <c r="C2157" s="5">
        <v>19.53</v>
      </c>
      <c r="D2157" s="4">
        <v>56</v>
      </c>
      <c r="E2157" s="5">
        <v>25.81</v>
      </c>
      <c r="F2157" s="4">
        <v>18</v>
      </c>
      <c r="G2157" s="5">
        <v>11.61</v>
      </c>
      <c r="H2157" s="4">
        <v>1</v>
      </c>
    </row>
    <row r="2158" spans="1:8" x14ac:dyDescent="0.2">
      <c r="A2158" s="2" t="s">
        <v>201</v>
      </c>
      <c r="B2158" s="4">
        <v>52</v>
      </c>
      <c r="C2158" s="5">
        <v>13.54</v>
      </c>
      <c r="D2158" s="4">
        <v>45</v>
      </c>
      <c r="E2158" s="5">
        <v>20.74</v>
      </c>
      <c r="F2158" s="4">
        <v>5</v>
      </c>
      <c r="G2158" s="5">
        <v>3.23</v>
      </c>
      <c r="H2158" s="4">
        <v>0</v>
      </c>
    </row>
    <row r="2159" spans="1:8" x14ac:dyDescent="0.2">
      <c r="A2159" s="2" t="s">
        <v>202</v>
      </c>
      <c r="B2159" s="4">
        <v>11</v>
      </c>
      <c r="C2159" s="5">
        <v>2.86</v>
      </c>
      <c r="D2159" s="4">
        <v>8</v>
      </c>
      <c r="E2159" s="5">
        <v>3.69</v>
      </c>
      <c r="F2159" s="4">
        <v>1</v>
      </c>
      <c r="G2159" s="5">
        <v>0.65</v>
      </c>
      <c r="H2159" s="4">
        <v>0</v>
      </c>
    </row>
    <row r="2160" spans="1:8" x14ac:dyDescent="0.2">
      <c r="A2160" s="2" t="s">
        <v>203</v>
      </c>
      <c r="B2160" s="4">
        <v>13</v>
      </c>
      <c r="C2160" s="5">
        <v>3.39</v>
      </c>
      <c r="D2160" s="4">
        <v>5</v>
      </c>
      <c r="E2160" s="5">
        <v>2.2999999999999998</v>
      </c>
      <c r="F2160" s="4">
        <v>6</v>
      </c>
      <c r="G2160" s="5">
        <v>3.87</v>
      </c>
      <c r="H2160" s="4">
        <v>0</v>
      </c>
    </row>
    <row r="2161" spans="1:8" x14ac:dyDescent="0.2">
      <c r="A2161" s="2" t="s">
        <v>204</v>
      </c>
      <c r="B2161" s="4">
        <v>14</v>
      </c>
      <c r="C2161" s="5">
        <v>3.65</v>
      </c>
      <c r="D2161" s="4">
        <v>6</v>
      </c>
      <c r="E2161" s="5">
        <v>2.76</v>
      </c>
      <c r="F2161" s="4">
        <v>6</v>
      </c>
      <c r="G2161" s="5">
        <v>3.87</v>
      </c>
      <c r="H2161" s="4">
        <v>1</v>
      </c>
    </row>
    <row r="2162" spans="1:8" x14ac:dyDescent="0.2">
      <c r="A2162" s="1" t="s">
        <v>135</v>
      </c>
      <c r="B2162" s="4">
        <v>80</v>
      </c>
      <c r="C2162" s="5">
        <v>100</v>
      </c>
      <c r="D2162" s="4">
        <v>41</v>
      </c>
      <c r="E2162" s="5">
        <v>100.00999999999999</v>
      </c>
      <c r="F2162" s="4">
        <v>38</v>
      </c>
      <c r="G2162" s="5">
        <v>99.97999999999999</v>
      </c>
      <c r="H2162" s="4">
        <v>0</v>
      </c>
    </row>
    <row r="2163" spans="1:8" x14ac:dyDescent="0.2">
      <c r="A2163" s="2" t="s">
        <v>190</v>
      </c>
      <c r="B2163" s="4">
        <v>0</v>
      </c>
      <c r="C2163" s="5">
        <v>0</v>
      </c>
      <c r="D2163" s="4">
        <v>0</v>
      </c>
      <c r="E2163" s="5">
        <v>0</v>
      </c>
      <c r="F2163" s="4">
        <v>0</v>
      </c>
      <c r="G2163" s="5">
        <v>0</v>
      </c>
      <c r="H2163" s="4">
        <v>0</v>
      </c>
    </row>
    <row r="2164" spans="1:8" x14ac:dyDescent="0.2">
      <c r="A2164" s="2" t="s">
        <v>191</v>
      </c>
      <c r="B2164" s="4">
        <v>10</v>
      </c>
      <c r="C2164" s="5">
        <v>12.5</v>
      </c>
      <c r="D2164" s="4">
        <v>4</v>
      </c>
      <c r="E2164" s="5">
        <v>9.76</v>
      </c>
      <c r="F2164" s="4">
        <v>6</v>
      </c>
      <c r="G2164" s="5">
        <v>15.79</v>
      </c>
      <c r="H2164" s="4">
        <v>0</v>
      </c>
    </row>
    <row r="2165" spans="1:8" x14ac:dyDescent="0.2">
      <c r="A2165" s="2" t="s">
        <v>192</v>
      </c>
      <c r="B2165" s="4">
        <v>5</v>
      </c>
      <c r="C2165" s="5">
        <v>6.25</v>
      </c>
      <c r="D2165" s="4">
        <v>3</v>
      </c>
      <c r="E2165" s="5">
        <v>7.32</v>
      </c>
      <c r="F2165" s="4">
        <v>2</v>
      </c>
      <c r="G2165" s="5">
        <v>5.26</v>
      </c>
      <c r="H2165" s="4">
        <v>0</v>
      </c>
    </row>
    <row r="2166" spans="1:8" x14ac:dyDescent="0.2">
      <c r="A2166" s="2" t="s">
        <v>193</v>
      </c>
      <c r="B2166" s="4">
        <v>1</v>
      </c>
      <c r="C2166" s="5">
        <v>1.25</v>
      </c>
      <c r="D2166" s="4">
        <v>0</v>
      </c>
      <c r="E2166" s="5">
        <v>0</v>
      </c>
      <c r="F2166" s="4">
        <v>0</v>
      </c>
      <c r="G2166" s="5">
        <v>0</v>
      </c>
      <c r="H2166" s="4">
        <v>0</v>
      </c>
    </row>
    <row r="2167" spans="1:8" x14ac:dyDescent="0.2">
      <c r="A2167" s="2" t="s">
        <v>194</v>
      </c>
      <c r="B2167" s="4">
        <v>0</v>
      </c>
      <c r="C2167" s="5">
        <v>0</v>
      </c>
      <c r="D2167" s="4">
        <v>0</v>
      </c>
      <c r="E2167" s="5">
        <v>0</v>
      </c>
      <c r="F2167" s="4">
        <v>0</v>
      </c>
      <c r="G2167" s="5">
        <v>0</v>
      </c>
      <c r="H2167" s="4">
        <v>0</v>
      </c>
    </row>
    <row r="2168" spans="1:8" x14ac:dyDescent="0.2">
      <c r="A2168" s="2" t="s">
        <v>195</v>
      </c>
      <c r="B2168" s="4">
        <v>2</v>
      </c>
      <c r="C2168" s="5">
        <v>2.5</v>
      </c>
      <c r="D2168" s="4">
        <v>0</v>
      </c>
      <c r="E2168" s="5">
        <v>0</v>
      </c>
      <c r="F2168" s="4">
        <v>2</v>
      </c>
      <c r="G2168" s="5">
        <v>5.26</v>
      </c>
      <c r="H2168" s="4">
        <v>0</v>
      </c>
    </row>
    <row r="2169" spans="1:8" x14ac:dyDescent="0.2">
      <c r="A2169" s="2" t="s">
        <v>196</v>
      </c>
      <c r="B2169" s="4">
        <v>24</v>
      </c>
      <c r="C2169" s="5">
        <v>30</v>
      </c>
      <c r="D2169" s="4">
        <v>12</v>
      </c>
      <c r="E2169" s="5">
        <v>29.27</v>
      </c>
      <c r="F2169" s="4">
        <v>12</v>
      </c>
      <c r="G2169" s="5">
        <v>31.58</v>
      </c>
      <c r="H2169" s="4">
        <v>0</v>
      </c>
    </row>
    <row r="2170" spans="1:8" x14ac:dyDescent="0.2">
      <c r="A2170" s="2" t="s">
        <v>197</v>
      </c>
      <c r="B2170" s="4">
        <v>0</v>
      </c>
      <c r="C2170" s="5">
        <v>0</v>
      </c>
      <c r="D2170" s="4">
        <v>0</v>
      </c>
      <c r="E2170" s="5">
        <v>0</v>
      </c>
      <c r="F2170" s="4">
        <v>0</v>
      </c>
      <c r="G2170" s="5">
        <v>0</v>
      </c>
      <c r="H2170" s="4">
        <v>0</v>
      </c>
    </row>
    <row r="2171" spans="1:8" x14ac:dyDescent="0.2">
      <c r="A2171" s="2" t="s">
        <v>198</v>
      </c>
      <c r="B2171" s="4">
        <v>3</v>
      </c>
      <c r="C2171" s="5">
        <v>3.75</v>
      </c>
      <c r="D2171" s="4">
        <v>0</v>
      </c>
      <c r="E2171" s="5">
        <v>0</v>
      </c>
      <c r="F2171" s="4">
        <v>3</v>
      </c>
      <c r="G2171" s="5">
        <v>7.89</v>
      </c>
      <c r="H2171" s="4">
        <v>0</v>
      </c>
    </row>
    <row r="2172" spans="1:8" x14ac:dyDescent="0.2">
      <c r="A2172" s="2" t="s">
        <v>199</v>
      </c>
      <c r="B2172" s="4">
        <v>2</v>
      </c>
      <c r="C2172" s="5">
        <v>2.5</v>
      </c>
      <c r="D2172" s="4">
        <v>0</v>
      </c>
      <c r="E2172" s="5">
        <v>0</v>
      </c>
      <c r="F2172" s="4">
        <v>2</v>
      </c>
      <c r="G2172" s="5">
        <v>5.26</v>
      </c>
      <c r="H2172" s="4">
        <v>0</v>
      </c>
    </row>
    <row r="2173" spans="1:8" x14ac:dyDescent="0.2">
      <c r="A2173" s="2" t="s">
        <v>200</v>
      </c>
      <c r="B2173" s="4">
        <v>13</v>
      </c>
      <c r="C2173" s="5">
        <v>16.25</v>
      </c>
      <c r="D2173" s="4">
        <v>8</v>
      </c>
      <c r="E2173" s="5">
        <v>19.510000000000002</v>
      </c>
      <c r="F2173" s="4">
        <v>5</v>
      </c>
      <c r="G2173" s="5">
        <v>13.16</v>
      </c>
      <c r="H2173" s="4">
        <v>0</v>
      </c>
    </row>
    <row r="2174" spans="1:8" x14ac:dyDescent="0.2">
      <c r="A2174" s="2" t="s">
        <v>201</v>
      </c>
      <c r="B2174" s="4">
        <v>11</v>
      </c>
      <c r="C2174" s="5">
        <v>13.75</v>
      </c>
      <c r="D2174" s="4">
        <v>8</v>
      </c>
      <c r="E2174" s="5">
        <v>19.510000000000002</v>
      </c>
      <c r="F2174" s="4">
        <v>3</v>
      </c>
      <c r="G2174" s="5">
        <v>7.89</v>
      </c>
      <c r="H2174" s="4">
        <v>0</v>
      </c>
    </row>
    <row r="2175" spans="1:8" x14ac:dyDescent="0.2">
      <c r="A2175" s="2" t="s">
        <v>202</v>
      </c>
      <c r="B2175" s="4">
        <v>2</v>
      </c>
      <c r="C2175" s="5">
        <v>2.5</v>
      </c>
      <c r="D2175" s="4">
        <v>2</v>
      </c>
      <c r="E2175" s="5">
        <v>4.88</v>
      </c>
      <c r="F2175" s="4">
        <v>0</v>
      </c>
      <c r="G2175" s="5">
        <v>0</v>
      </c>
      <c r="H2175" s="4">
        <v>0</v>
      </c>
    </row>
    <row r="2176" spans="1:8" x14ac:dyDescent="0.2">
      <c r="A2176" s="2" t="s">
        <v>203</v>
      </c>
      <c r="B2176" s="4">
        <v>1</v>
      </c>
      <c r="C2176" s="5">
        <v>1.25</v>
      </c>
      <c r="D2176" s="4">
        <v>1</v>
      </c>
      <c r="E2176" s="5">
        <v>2.44</v>
      </c>
      <c r="F2176" s="4">
        <v>0</v>
      </c>
      <c r="G2176" s="5">
        <v>0</v>
      </c>
      <c r="H2176" s="4">
        <v>0</v>
      </c>
    </row>
    <row r="2177" spans="1:8" x14ac:dyDescent="0.2">
      <c r="A2177" s="2" t="s">
        <v>204</v>
      </c>
      <c r="B2177" s="4">
        <v>6</v>
      </c>
      <c r="C2177" s="5">
        <v>7.5</v>
      </c>
      <c r="D2177" s="4">
        <v>3</v>
      </c>
      <c r="E2177" s="5">
        <v>7.32</v>
      </c>
      <c r="F2177" s="4">
        <v>3</v>
      </c>
      <c r="G2177" s="5">
        <v>7.89</v>
      </c>
      <c r="H2177" s="4">
        <v>0</v>
      </c>
    </row>
    <row r="2178" spans="1:8" x14ac:dyDescent="0.2">
      <c r="A2178" s="1" t="s">
        <v>136</v>
      </c>
      <c r="B2178" s="4">
        <v>139</v>
      </c>
      <c r="C2178" s="5">
        <v>100.00999999999999</v>
      </c>
      <c r="D2178" s="4">
        <v>94</v>
      </c>
      <c r="E2178" s="5">
        <v>100.00999999999999</v>
      </c>
      <c r="F2178" s="4">
        <v>40</v>
      </c>
      <c r="G2178" s="5">
        <v>100</v>
      </c>
      <c r="H2178" s="4">
        <v>0</v>
      </c>
    </row>
    <row r="2179" spans="1:8" x14ac:dyDescent="0.2">
      <c r="A2179" s="2" t="s">
        <v>190</v>
      </c>
      <c r="B2179" s="4">
        <v>0</v>
      </c>
      <c r="C2179" s="5">
        <v>0</v>
      </c>
      <c r="D2179" s="4">
        <v>0</v>
      </c>
      <c r="E2179" s="5">
        <v>0</v>
      </c>
      <c r="F2179" s="4">
        <v>0</v>
      </c>
      <c r="G2179" s="5">
        <v>0</v>
      </c>
      <c r="H2179" s="4">
        <v>0</v>
      </c>
    </row>
    <row r="2180" spans="1:8" x14ac:dyDescent="0.2">
      <c r="A2180" s="2" t="s">
        <v>191</v>
      </c>
      <c r="B2180" s="4">
        <v>14</v>
      </c>
      <c r="C2180" s="5">
        <v>10.07</v>
      </c>
      <c r="D2180" s="4">
        <v>6</v>
      </c>
      <c r="E2180" s="5">
        <v>6.38</v>
      </c>
      <c r="F2180" s="4">
        <v>8</v>
      </c>
      <c r="G2180" s="5">
        <v>20</v>
      </c>
      <c r="H2180" s="4">
        <v>0</v>
      </c>
    </row>
    <row r="2181" spans="1:8" x14ac:dyDescent="0.2">
      <c r="A2181" s="2" t="s">
        <v>192</v>
      </c>
      <c r="B2181" s="4">
        <v>9</v>
      </c>
      <c r="C2181" s="5">
        <v>6.47</v>
      </c>
      <c r="D2181" s="4">
        <v>2</v>
      </c>
      <c r="E2181" s="5">
        <v>2.13</v>
      </c>
      <c r="F2181" s="4">
        <v>7</v>
      </c>
      <c r="G2181" s="5">
        <v>17.5</v>
      </c>
      <c r="H2181" s="4">
        <v>0</v>
      </c>
    </row>
    <row r="2182" spans="1:8" x14ac:dyDescent="0.2">
      <c r="A2182" s="2" t="s">
        <v>193</v>
      </c>
      <c r="B2182" s="4">
        <v>2</v>
      </c>
      <c r="C2182" s="5">
        <v>1.44</v>
      </c>
      <c r="D2182" s="4">
        <v>0</v>
      </c>
      <c r="E2182" s="5">
        <v>0</v>
      </c>
      <c r="F2182" s="4">
        <v>1</v>
      </c>
      <c r="G2182" s="5">
        <v>2.5</v>
      </c>
      <c r="H2182" s="4">
        <v>0</v>
      </c>
    </row>
    <row r="2183" spans="1:8" x14ac:dyDescent="0.2">
      <c r="A2183" s="2" t="s">
        <v>194</v>
      </c>
      <c r="B2183" s="4">
        <v>0</v>
      </c>
      <c r="C2183" s="5">
        <v>0</v>
      </c>
      <c r="D2183" s="4">
        <v>0</v>
      </c>
      <c r="E2183" s="5">
        <v>0</v>
      </c>
      <c r="F2183" s="4">
        <v>0</v>
      </c>
      <c r="G2183" s="5">
        <v>0</v>
      </c>
      <c r="H2183" s="4">
        <v>0</v>
      </c>
    </row>
    <row r="2184" spans="1:8" x14ac:dyDescent="0.2">
      <c r="A2184" s="2" t="s">
        <v>195</v>
      </c>
      <c r="B2184" s="4">
        <v>1</v>
      </c>
      <c r="C2184" s="5">
        <v>0.72</v>
      </c>
      <c r="D2184" s="4">
        <v>0</v>
      </c>
      <c r="E2184" s="5">
        <v>0</v>
      </c>
      <c r="F2184" s="4">
        <v>1</v>
      </c>
      <c r="G2184" s="5">
        <v>2.5</v>
      </c>
      <c r="H2184" s="4">
        <v>0</v>
      </c>
    </row>
    <row r="2185" spans="1:8" x14ac:dyDescent="0.2">
      <c r="A2185" s="2" t="s">
        <v>196</v>
      </c>
      <c r="B2185" s="4">
        <v>42</v>
      </c>
      <c r="C2185" s="5">
        <v>30.22</v>
      </c>
      <c r="D2185" s="4">
        <v>28</v>
      </c>
      <c r="E2185" s="5">
        <v>29.79</v>
      </c>
      <c r="F2185" s="4">
        <v>14</v>
      </c>
      <c r="G2185" s="5">
        <v>35</v>
      </c>
      <c r="H2185" s="4">
        <v>0</v>
      </c>
    </row>
    <row r="2186" spans="1:8" x14ac:dyDescent="0.2">
      <c r="A2186" s="2" t="s">
        <v>197</v>
      </c>
      <c r="B2186" s="4">
        <v>0</v>
      </c>
      <c r="C2186" s="5">
        <v>0</v>
      </c>
      <c r="D2186" s="4">
        <v>0</v>
      </c>
      <c r="E2186" s="5">
        <v>0</v>
      </c>
      <c r="F2186" s="4">
        <v>0</v>
      </c>
      <c r="G2186" s="5">
        <v>0</v>
      </c>
      <c r="H2186" s="4">
        <v>0</v>
      </c>
    </row>
    <row r="2187" spans="1:8" x14ac:dyDescent="0.2">
      <c r="A2187" s="2" t="s">
        <v>198</v>
      </c>
      <c r="B2187" s="4">
        <v>5</v>
      </c>
      <c r="C2187" s="5">
        <v>3.6</v>
      </c>
      <c r="D2187" s="4">
        <v>4</v>
      </c>
      <c r="E2187" s="5">
        <v>4.26</v>
      </c>
      <c r="F2187" s="4">
        <v>1</v>
      </c>
      <c r="G2187" s="5">
        <v>2.5</v>
      </c>
      <c r="H2187" s="4">
        <v>0</v>
      </c>
    </row>
    <row r="2188" spans="1:8" x14ac:dyDescent="0.2">
      <c r="A2188" s="2" t="s">
        <v>199</v>
      </c>
      <c r="B2188" s="4">
        <v>2</v>
      </c>
      <c r="C2188" s="5">
        <v>1.44</v>
      </c>
      <c r="D2188" s="4">
        <v>2</v>
      </c>
      <c r="E2188" s="5">
        <v>2.13</v>
      </c>
      <c r="F2188" s="4">
        <v>0</v>
      </c>
      <c r="G2188" s="5">
        <v>0</v>
      </c>
      <c r="H2188" s="4">
        <v>0</v>
      </c>
    </row>
    <row r="2189" spans="1:8" x14ac:dyDescent="0.2">
      <c r="A2189" s="2" t="s">
        <v>200</v>
      </c>
      <c r="B2189" s="4">
        <v>21</v>
      </c>
      <c r="C2189" s="5">
        <v>15.11</v>
      </c>
      <c r="D2189" s="4">
        <v>16</v>
      </c>
      <c r="E2189" s="5">
        <v>17.02</v>
      </c>
      <c r="F2189" s="4">
        <v>5</v>
      </c>
      <c r="G2189" s="5">
        <v>12.5</v>
      </c>
      <c r="H2189" s="4">
        <v>0</v>
      </c>
    </row>
    <row r="2190" spans="1:8" x14ac:dyDescent="0.2">
      <c r="A2190" s="2" t="s">
        <v>201</v>
      </c>
      <c r="B2190" s="4">
        <v>21</v>
      </c>
      <c r="C2190" s="5">
        <v>15.11</v>
      </c>
      <c r="D2190" s="4">
        <v>20</v>
      </c>
      <c r="E2190" s="5">
        <v>21.28</v>
      </c>
      <c r="F2190" s="4">
        <v>1</v>
      </c>
      <c r="G2190" s="5">
        <v>2.5</v>
      </c>
      <c r="H2190" s="4">
        <v>0</v>
      </c>
    </row>
    <row r="2191" spans="1:8" x14ac:dyDescent="0.2">
      <c r="A2191" s="2" t="s">
        <v>202</v>
      </c>
      <c r="B2191" s="4">
        <v>5</v>
      </c>
      <c r="C2191" s="5">
        <v>3.6</v>
      </c>
      <c r="D2191" s="4">
        <v>5</v>
      </c>
      <c r="E2191" s="5">
        <v>5.32</v>
      </c>
      <c r="F2191" s="4">
        <v>0</v>
      </c>
      <c r="G2191" s="5">
        <v>0</v>
      </c>
      <c r="H2191" s="4">
        <v>0</v>
      </c>
    </row>
    <row r="2192" spans="1:8" x14ac:dyDescent="0.2">
      <c r="A2192" s="2" t="s">
        <v>203</v>
      </c>
      <c r="B2192" s="4">
        <v>8</v>
      </c>
      <c r="C2192" s="5">
        <v>5.76</v>
      </c>
      <c r="D2192" s="4">
        <v>5</v>
      </c>
      <c r="E2192" s="5">
        <v>5.32</v>
      </c>
      <c r="F2192" s="4">
        <v>0</v>
      </c>
      <c r="G2192" s="5">
        <v>0</v>
      </c>
      <c r="H2192" s="4">
        <v>0</v>
      </c>
    </row>
    <row r="2193" spans="1:8" x14ac:dyDescent="0.2">
      <c r="A2193" s="2" t="s">
        <v>204</v>
      </c>
      <c r="B2193" s="4">
        <v>9</v>
      </c>
      <c r="C2193" s="5">
        <v>6.47</v>
      </c>
      <c r="D2193" s="4">
        <v>6</v>
      </c>
      <c r="E2193" s="5">
        <v>6.38</v>
      </c>
      <c r="F2193" s="4">
        <v>2</v>
      </c>
      <c r="G2193" s="5">
        <v>5</v>
      </c>
      <c r="H2193" s="4">
        <v>0</v>
      </c>
    </row>
    <row r="2194" spans="1:8" x14ac:dyDescent="0.2">
      <c r="A2194" s="1" t="s">
        <v>137</v>
      </c>
      <c r="B2194" s="4">
        <v>91</v>
      </c>
      <c r="C2194" s="5">
        <v>100</v>
      </c>
      <c r="D2194" s="4">
        <v>49</v>
      </c>
      <c r="E2194" s="5">
        <v>99.990000000000009</v>
      </c>
      <c r="F2194" s="4">
        <v>37</v>
      </c>
      <c r="G2194" s="5">
        <v>100.00000000000001</v>
      </c>
      <c r="H2194" s="4">
        <v>1</v>
      </c>
    </row>
    <row r="2195" spans="1:8" x14ac:dyDescent="0.2">
      <c r="A2195" s="2" t="s">
        <v>190</v>
      </c>
      <c r="B2195" s="4">
        <v>1</v>
      </c>
      <c r="C2195" s="5">
        <v>1.1000000000000001</v>
      </c>
      <c r="D2195" s="4">
        <v>0</v>
      </c>
      <c r="E2195" s="5">
        <v>0</v>
      </c>
      <c r="F2195" s="4">
        <v>1</v>
      </c>
      <c r="G2195" s="5">
        <v>2.7</v>
      </c>
      <c r="H2195" s="4">
        <v>0</v>
      </c>
    </row>
    <row r="2196" spans="1:8" x14ac:dyDescent="0.2">
      <c r="A2196" s="2" t="s">
        <v>191</v>
      </c>
      <c r="B2196" s="4">
        <v>15</v>
      </c>
      <c r="C2196" s="5">
        <v>16.48</v>
      </c>
      <c r="D2196" s="4">
        <v>6</v>
      </c>
      <c r="E2196" s="5">
        <v>12.24</v>
      </c>
      <c r="F2196" s="4">
        <v>9</v>
      </c>
      <c r="G2196" s="5">
        <v>24.32</v>
      </c>
      <c r="H2196" s="4">
        <v>0</v>
      </c>
    </row>
    <row r="2197" spans="1:8" x14ac:dyDescent="0.2">
      <c r="A2197" s="2" t="s">
        <v>192</v>
      </c>
      <c r="B2197" s="4">
        <v>4</v>
      </c>
      <c r="C2197" s="5">
        <v>4.4000000000000004</v>
      </c>
      <c r="D2197" s="4">
        <v>2</v>
      </c>
      <c r="E2197" s="5">
        <v>4.08</v>
      </c>
      <c r="F2197" s="4">
        <v>2</v>
      </c>
      <c r="G2197" s="5">
        <v>5.41</v>
      </c>
      <c r="H2197" s="4">
        <v>0</v>
      </c>
    </row>
    <row r="2198" spans="1:8" x14ac:dyDescent="0.2">
      <c r="A2198" s="2" t="s">
        <v>193</v>
      </c>
      <c r="B2198" s="4">
        <v>0</v>
      </c>
      <c r="C2198" s="5">
        <v>0</v>
      </c>
      <c r="D2198" s="4">
        <v>0</v>
      </c>
      <c r="E2198" s="5">
        <v>0</v>
      </c>
      <c r="F2198" s="4">
        <v>0</v>
      </c>
      <c r="G2198" s="5">
        <v>0</v>
      </c>
      <c r="H2198" s="4">
        <v>0</v>
      </c>
    </row>
    <row r="2199" spans="1:8" x14ac:dyDescent="0.2">
      <c r="A2199" s="2" t="s">
        <v>194</v>
      </c>
      <c r="B2199" s="4">
        <v>0</v>
      </c>
      <c r="C2199" s="5">
        <v>0</v>
      </c>
      <c r="D2199" s="4">
        <v>0</v>
      </c>
      <c r="E2199" s="5">
        <v>0</v>
      </c>
      <c r="F2199" s="4">
        <v>0</v>
      </c>
      <c r="G2199" s="5">
        <v>0</v>
      </c>
      <c r="H2199" s="4">
        <v>0</v>
      </c>
    </row>
    <row r="2200" spans="1:8" x14ac:dyDescent="0.2">
      <c r="A2200" s="2" t="s">
        <v>195</v>
      </c>
      <c r="B2200" s="4">
        <v>1</v>
      </c>
      <c r="C2200" s="5">
        <v>1.1000000000000001</v>
      </c>
      <c r="D2200" s="4">
        <v>0</v>
      </c>
      <c r="E2200" s="5">
        <v>0</v>
      </c>
      <c r="F2200" s="4">
        <v>1</v>
      </c>
      <c r="G2200" s="5">
        <v>2.7</v>
      </c>
      <c r="H2200" s="4">
        <v>0</v>
      </c>
    </row>
    <row r="2201" spans="1:8" x14ac:dyDescent="0.2">
      <c r="A2201" s="2" t="s">
        <v>196</v>
      </c>
      <c r="B2201" s="4">
        <v>22</v>
      </c>
      <c r="C2201" s="5">
        <v>24.18</v>
      </c>
      <c r="D2201" s="4">
        <v>9</v>
      </c>
      <c r="E2201" s="5">
        <v>18.37</v>
      </c>
      <c r="F2201" s="4">
        <v>13</v>
      </c>
      <c r="G2201" s="5">
        <v>35.14</v>
      </c>
      <c r="H2201" s="4">
        <v>0</v>
      </c>
    </row>
    <row r="2202" spans="1:8" x14ac:dyDescent="0.2">
      <c r="A2202" s="2" t="s">
        <v>197</v>
      </c>
      <c r="B2202" s="4">
        <v>0</v>
      </c>
      <c r="C2202" s="5">
        <v>0</v>
      </c>
      <c r="D2202" s="4">
        <v>0</v>
      </c>
      <c r="E2202" s="5">
        <v>0</v>
      </c>
      <c r="F2202" s="4">
        <v>0</v>
      </c>
      <c r="G2202" s="5">
        <v>0</v>
      </c>
      <c r="H2202" s="4">
        <v>0</v>
      </c>
    </row>
    <row r="2203" spans="1:8" x14ac:dyDescent="0.2">
      <c r="A2203" s="2" t="s">
        <v>198</v>
      </c>
      <c r="B2203" s="4">
        <v>2</v>
      </c>
      <c r="C2203" s="5">
        <v>2.2000000000000002</v>
      </c>
      <c r="D2203" s="4">
        <v>1</v>
      </c>
      <c r="E2203" s="5">
        <v>2.04</v>
      </c>
      <c r="F2203" s="4">
        <v>1</v>
      </c>
      <c r="G2203" s="5">
        <v>2.7</v>
      </c>
      <c r="H2203" s="4">
        <v>0</v>
      </c>
    </row>
    <row r="2204" spans="1:8" x14ac:dyDescent="0.2">
      <c r="A2204" s="2" t="s">
        <v>199</v>
      </c>
      <c r="B2204" s="4">
        <v>6</v>
      </c>
      <c r="C2204" s="5">
        <v>6.59</v>
      </c>
      <c r="D2204" s="4">
        <v>3</v>
      </c>
      <c r="E2204" s="5">
        <v>6.12</v>
      </c>
      <c r="F2204" s="4">
        <v>2</v>
      </c>
      <c r="G2204" s="5">
        <v>5.41</v>
      </c>
      <c r="H2204" s="4">
        <v>0</v>
      </c>
    </row>
    <row r="2205" spans="1:8" x14ac:dyDescent="0.2">
      <c r="A2205" s="2" t="s">
        <v>200</v>
      </c>
      <c r="B2205" s="4">
        <v>13</v>
      </c>
      <c r="C2205" s="5">
        <v>14.29</v>
      </c>
      <c r="D2205" s="4">
        <v>13</v>
      </c>
      <c r="E2205" s="5">
        <v>26.53</v>
      </c>
      <c r="F2205" s="4">
        <v>0</v>
      </c>
      <c r="G2205" s="5">
        <v>0</v>
      </c>
      <c r="H2205" s="4">
        <v>0</v>
      </c>
    </row>
    <row r="2206" spans="1:8" x14ac:dyDescent="0.2">
      <c r="A2206" s="2" t="s">
        <v>201</v>
      </c>
      <c r="B2206" s="4">
        <v>14</v>
      </c>
      <c r="C2206" s="5">
        <v>15.38</v>
      </c>
      <c r="D2206" s="4">
        <v>12</v>
      </c>
      <c r="E2206" s="5">
        <v>24.49</v>
      </c>
      <c r="F2206" s="4">
        <v>1</v>
      </c>
      <c r="G2206" s="5">
        <v>2.7</v>
      </c>
      <c r="H2206" s="4">
        <v>0</v>
      </c>
    </row>
    <row r="2207" spans="1:8" x14ac:dyDescent="0.2">
      <c r="A2207" s="2" t="s">
        <v>202</v>
      </c>
      <c r="B2207" s="4">
        <v>2</v>
      </c>
      <c r="C2207" s="5">
        <v>2.2000000000000002</v>
      </c>
      <c r="D2207" s="4">
        <v>1</v>
      </c>
      <c r="E2207" s="5">
        <v>2.04</v>
      </c>
      <c r="F2207" s="4">
        <v>0</v>
      </c>
      <c r="G2207" s="5">
        <v>0</v>
      </c>
      <c r="H2207" s="4">
        <v>0</v>
      </c>
    </row>
    <row r="2208" spans="1:8" x14ac:dyDescent="0.2">
      <c r="A2208" s="2" t="s">
        <v>203</v>
      </c>
      <c r="B2208" s="4">
        <v>5</v>
      </c>
      <c r="C2208" s="5">
        <v>5.49</v>
      </c>
      <c r="D2208" s="4">
        <v>1</v>
      </c>
      <c r="E2208" s="5">
        <v>2.04</v>
      </c>
      <c r="F2208" s="4">
        <v>3</v>
      </c>
      <c r="G2208" s="5">
        <v>8.11</v>
      </c>
      <c r="H2208" s="4">
        <v>0</v>
      </c>
    </row>
    <row r="2209" spans="1:8" x14ac:dyDescent="0.2">
      <c r="A2209" s="2" t="s">
        <v>204</v>
      </c>
      <c r="B2209" s="4">
        <v>6</v>
      </c>
      <c r="C2209" s="5">
        <v>6.59</v>
      </c>
      <c r="D2209" s="4">
        <v>1</v>
      </c>
      <c r="E2209" s="5">
        <v>2.04</v>
      </c>
      <c r="F2209" s="4">
        <v>4</v>
      </c>
      <c r="G2209" s="5">
        <v>10.81</v>
      </c>
      <c r="H2209" s="4">
        <v>1</v>
      </c>
    </row>
    <row r="2210" spans="1:8" x14ac:dyDescent="0.2">
      <c r="A2210" s="1" t="s">
        <v>138</v>
      </c>
      <c r="B2210" s="4">
        <v>108</v>
      </c>
      <c r="C2210" s="5">
        <v>100.01</v>
      </c>
      <c r="D2210" s="4">
        <v>72</v>
      </c>
      <c r="E2210" s="5">
        <v>100</v>
      </c>
      <c r="F2210" s="4">
        <v>27</v>
      </c>
      <c r="G2210" s="5">
        <v>99.99</v>
      </c>
      <c r="H2210" s="4">
        <v>0</v>
      </c>
    </row>
    <row r="2211" spans="1:8" x14ac:dyDescent="0.2">
      <c r="A2211" s="2" t="s">
        <v>190</v>
      </c>
      <c r="B2211" s="4">
        <v>0</v>
      </c>
      <c r="C2211" s="5">
        <v>0</v>
      </c>
      <c r="D2211" s="4">
        <v>0</v>
      </c>
      <c r="E2211" s="5">
        <v>0</v>
      </c>
      <c r="F2211" s="4">
        <v>0</v>
      </c>
      <c r="G2211" s="5">
        <v>0</v>
      </c>
      <c r="H2211" s="4">
        <v>0</v>
      </c>
    </row>
    <row r="2212" spans="1:8" x14ac:dyDescent="0.2">
      <c r="A2212" s="2" t="s">
        <v>191</v>
      </c>
      <c r="B2212" s="4">
        <v>7</v>
      </c>
      <c r="C2212" s="5">
        <v>6.48</v>
      </c>
      <c r="D2212" s="4">
        <v>4</v>
      </c>
      <c r="E2212" s="5">
        <v>5.56</v>
      </c>
      <c r="F2212" s="4">
        <v>3</v>
      </c>
      <c r="G2212" s="5">
        <v>11.11</v>
      </c>
      <c r="H2212" s="4">
        <v>0</v>
      </c>
    </row>
    <row r="2213" spans="1:8" x14ac:dyDescent="0.2">
      <c r="A2213" s="2" t="s">
        <v>192</v>
      </c>
      <c r="B2213" s="4">
        <v>30</v>
      </c>
      <c r="C2213" s="5">
        <v>27.78</v>
      </c>
      <c r="D2213" s="4">
        <v>24</v>
      </c>
      <c r="E2213" s="5">
        <v>33.33</v>
      </c>
      <c r="F2213" s="4">
        <v>6</v>
      </c>
      <c r="G2213" s="5">
        <v>22.22</v>
      </c>
      <c r="H2213" s="4">
        <v>0</v>
      </c>
    </row>
    <row r="2214" spans="1:8" x14ac:dyDescent="0.2">
      <c r="A2214" s="2" t="s">
        <v>193</v>
      </c>
      <c r="B2214" s="4">
        <v>2</v>
      </c>
      <c r="C2214" s="5">
        <v>1.85</v>
      </c>
      <c r="D2214" s="4">
        <v>0</v>
      </c>
      <c r="E2214" s="5">
        <v>0</v>
      </c>
      <c r="F2214" s="4">
        <v>0</v>
      </c>
      <c r="G2214" s="5">
        <v>0</v>
      </c>
      <c r="H2214" s="4">
        <v>0</v>
      </c>
    </row>
    <row r="2215" spans="1:8" x14ac:dyDescent="0.2">
      <c r="A2215" s="2" t="s">
        <v>194</v>
      </c>
      <c r="B2215" s="4">
        <v>1</v>
      </c>
      <c r="C2215" s="5">
        <v>0.93</v>
      </c>
      <c r="D2215" s="4">
        <v>0</v>
      </c>
      <c r="E2215" s="5">
        <v>0</v>
      </c>
      <c r="F2215" s="4">
        <v>1</v>
      </c>
      <c r="G2215" s="5">
        <v>3.7</v>
      </c>
      <c r="H2215" s="4">
        <v>0</v>
      </c>
    </row>
    <row r="2216" spans="1:8" x14ac:dyDescent="0.2">
      <c r="A2216" s="2" t="s">
        <v>195</v>
      </c>
      <c r="B2216" s="4">
        <v>1</v>
      </c>
      <c r="C2216" s="5">
        <v>0.93</v>
      </c>
      <c r="D2216" s="4">
        <v>0</v>
      </c>
      <c r="E2216" s="5">
        <v>0</v>
      </c>
      <c r="F2216" s="4">
        <v>1</v>
      </c>
      <c r="G2216" s="5">
        <v>3.7</v>
      </c>
      <c r="H2216" s="4">
        <v>0</v>
      </c>
    </row>
    <row r="2217" spans="1:8" x14ac:dyDescent="0.2">
      <c r="A2217" s="2" t="s">
        <v>196</v>
      </c>
      <c r="B2217" s="4">
        <v>27</v>
      </c>
      <c r="C2217" s="5">
        <v>25</v>
      </c>
      <c r="D2217" s="4">
        <v>16</v>
      </c>
      <c r="E2217" s="5">
        <v>22.22</v>
      </c>
      <c r="F2217" s="4">
        <v>11</v>
      </c>
      <c r="G2217" s="5">
        <v>40.74</v>
      </c>
      <c r="H2217" s="4">
        <v>0</v>
      </c>
    </row>
    <row r="2218" spans="1:8" x14ac:dyDescent="0.2">
      <c r="A2218" s="2" t="s">
        <v>197</v>
      </c>
      <c r="B2218" s="4">
        <v>0</v>
      </c>
      <c r="C2218" s="5">
        <v>0</v>
      </c>
      <c r="D2218" s="4">
        <v>0</v>
      </c>
      <c r="E2218" s="5">
        <v>0</v>
      </c>
      <c r="F2218" s="4">
        <v>0</v>
      </c>
      <c r="G2218" s="5">
        <v>0</v>
      </c>
      <c r="H2218" s="4">
        <v>0</v>
      </c>
    </row>
    <row r="2219" spans="1:8" x14ac:dyDescent="0.2">
      <c r="A2219" s="2" t="s">
        <v>198</v>
      </c>
      <c r="B2219" s="4">
        <v>3</v>
      </c>
      <c r="C2219" s="5">
        <v>2.78</v>
      </c>
      <c r="D2219" s="4">
        <v>3</v>
      </c>
      <c r="E2219" s="5">
        <v>4.17</v>
      </c>
      <c r="F2219" s="4">
        <v>0</v>
      </c>
      <c r="G2219" s="5">
        <v>0</v>
      </c>
      <c r="H2219" s="4">
        <v>0</v>
      </c>
    </row>
    <row r="2220" spans="1:8" x14ac:dyDescent="0.2">
      <c r="A2220" s="2" t="s">
        <v>199</v>
      </c>
      <c r="B2220" s="4">
        <v>1</v>
      </c>
      <c r="C2220" s="5">
        <v>0.93</v>
      </c>
      <c r="D2220" s="4">
        <v>1</v>
      </c>
      <c r="E2220" s="5">
        <v>1.39</v>
      </c>
      <c r="F2220" s="4">
        <v>0</v>
      </c>
      <c r="G2220" s="5">
        <v>0</v>
      </c>
      <c r="H2220" s="4">
        <v>0</v>
      </c>
    </row>
    <row r="2221" spans="1:8" x14ac:dyDescent="0.2">
      <c r="A2221" s="2" t="s">
        <v>200</v>
      </c>
      <c r="B2221" s="4">
        <v>4</v>
      </c>
      <c r="C2221" s="5">
        <v>3.7</v>
      </c>
      <c r="D2221" s="4">
        <v>4</v>
      </c>
      <c r="E2221" s="5">
        <v>5.56</v>
      </c>
      <c r="F2221" s="4">
        <v>0</v>
      </c>
      <c r="G2221" s="5">
        <v>0</v>
      </c>
      <c r="H2221" s="4">
        <v>0</v>
      </c>
    </row>
    <row r="2222" spans="1:8" x14ac:dyDescent="0.2">
      <c r="A2222" s="2" t="s">
        <v>201</v>
      </c>
      <c r="B2222" s="4">
        <v>11</v>
      </c>
      <c r="C2222" s="5">
        <v>10.19</v>
      </c>
      <c r="D2222" s="4">
        <v>9</v>
      </c>
      <c r="E2222" s="5">
        <v>12.5</v>
      </c>
      <c r="F2222" s="4">
        <v>0</v>
      </c>
      <c r="G2222" s="5">
        <v>0</v>
      </c>
      <c r="H2222" s="4">
        <v>0</v>
      </c>
    </row>
    <row r="2223" spans="1:8" x14ac:dyDescent="0.2">
      <c r="A2223" s="2" t="s">
        <v>202</v>
      </c>
      <c r="B2223" s="4">
        <v>4</v>
      </c>
      <c r="C2223" s="5">
        <v>3.7</v>
      </c>
      <c r="D2223" s="4">
        <v>0</v>
      </c>
      <c r="E2223" s="5">
        <v>0</v>
      </c>
      <c r="F2223" s="4">
        <v>0</v>
      </c>
      <c r="G2223" s="5">
        <v>0</v>
      </c>
      <c r="H2223" s="4">
        <v>0</v>
      </c>
    </row>
    <row r="2224" spans="1:8" x14ac:dyDescent="0.2">
      <c r="A2224" s="2" t="s">
        <v>203</v>
      </c>
      <c r="B2224" s="4">
        <v>9</v>
      </c>
      <c r="C2224" s="5">
        <v>8.33</v>
      </c>
      <c r="D2224" s="4">
        <v>5</v>
      </c>
      <c r="E2224" s="5">
        <v>6.94</v>
      </c>
      <c r="F2224" s="4">
        <v>3</v>
      </c>
      <c r="G2224" s="5">
        <v>11.11</v>
      </c>
      <c r="H2224" s="4">
        <v>0</v>
      </c>
    </row>
    <row r="2225" spans="1:8" x14ac:dyDescent="0.2">
      <c r="A2225" s="2" t="s">
        <v>204</v>
      </c>
      <c r="B2225" s="4">
        <v>8</v>
      </c>
      <c r="C2225" s="5">
        <v>7.41</v>
      </c>
      <c r="D2225" s="4">
        <v>6</v>
      </c>
      <c r="E2225" s="5">
        <v>8.33</v>
      </c>
      <c r="F2225" s="4">
        <v>2</v>
      </c>
      <c r="G2225" s="5">
        <v>7.41</v>
      </c>
      <c r="H2225" s="4">
        <v>0</v>
      </c>
    </row>
    <row r="2226" spans="1:8" x14ac:dyDescent="0.2">
      <c r="A2226" s="1" t="s">
        <v>139</v>
      </c>
      <c r="B2226" s="4">
        <v>149</v>
      </c>
      <c r="C2226" s="5">
        <v>99.989999999999981</v>
      </c>
      <c r="D2226" s="4">
        <v>82</v>
      </c>
      <c r="E2226" s="5">
        <v>100.00999999999999</v>
      </c>
      <c r="F2226" s="4">
        <v>58</v>
      </c>
      <c r="G2226" s="5">
        <v>100.01</v>
      </c>
      <c r="H2226" s="4">
        <v>0</v>
      </c>
    </row>
    <row r="2227" spans="1:8" x14ac:dyDescent="0.2">
      <c r="A2227" s="2" t="s">
        <v>190</v>
      </c>
      <c r="B2227" s="4">
        <v>0</v>
      </c>
      <c r="C2227" s="5">
        <v>0</v>
      </c>
      <c r="D2227" s="4">
        <v>0</v>
      </c>
      <c r="E2227" s="5">
        <v>0</v>
      </c>
      <c r="F2227" s="4">
        <v>0</v>
      </c>
      <c r="G2227" s="5">
        <v>0</v>
      </c>
      <c r="H2227" s="4">
        <v>0</v>
      </c>
    </row>
    <row r="2228" spans="1:8" x14ac:dyDescent="0.2">
      <c r="A2228" s="2" t="s">
        <v>191</v>
      </c>
      <c r="B2228" s="4">
        <v>18</v>
      </c>
      <c r="C2228" s="5">
        <v>12.08</v>
      </c>
      <c r="D2228" s="4">
        <v>9</v>
      </c>
      <c r="E2228" s="5">
        <v>10.98</v>
      </c>
      <c r="F2228" s="4">
        <v>9</v>
      </c>
      <c r="G2228" s="5">
        <v>15.52</v>
      </c>
      <c r="H2228" s="4">
        <v>0</v>
      </c>
    </row>
    <row r="2229" spans="1:8" x14ac:dyDescent="0.2">
      <c r="A2229" s="2" t="s">
        <v>192</v>
      </c>
      <c r="B2229" s="4">
        <v>9</v>
      </c>
      <c r="C2229" s="5">
        <v>6.04</v>
      </c>
      <c r="D2229" s="4">
        <v>0</v>
      </c>
      <c r="E2229" s="5">
        <v>0</v>
      </c>
      <c r="F2229" s="4">
        <v>9</v>
      </c>
      <c r="G2229" s="5">
        <v>15.52</v>
      </c>
      <c r="H2229" s="4">
        <v>0</v>
      </c>
    </row>
    <row r="2230" spans="1:8" x14ac:dyDescent="0.2">
      <c r="A2230" s="2" t="s">
        <v>193</v>
      </c>
      <c r="B2230" s="4">
        <v>2</v>
      </c>
      <c r="C2230" s="5">
        <v>1.34</v>
      </c>
      <c r="D2230" s="4">
        <v>0</v>
      </c>
      <c r="E2230" s="5">
        <v>0</v>
      </c>
      <c r="F2230" s="4">
        <v>0</v>
      </c>
      <c r="G2230" s="5">
        <v>0</v>
      </c>
      <c r="H2230" s="4">
        <v>0</v>
      </c>
    </row>
    <row r="2231" spans="1:8" x14ac:dyDescent="0.2">
      <c r="A2231" s="2" t="s">
        <v>194</v>
      </c>
      <c r="B2231" s="4">
        <v>0</v>
      </c>
      <c r="C2231" s="5">
        <v>0</v>
      </c>
      <c r="D2231" s="4">
        <v>0</v>
      </c>
      <c r="E2231" s="5">
        <v>0</v>
      </c>
      <c r="F2231" s="4">
        <v>0</v>
      </c>
      <c r="G2231" s="5">
        <v>0</v>
      </c>
      <c r="H2231" s="4">
        <v>0</v>
      </c>
    </row>
    <row r="2232" spans="1:8" x14ac:dyDescent="0.2">
      <c r="A2232" s="2" t="s">
        <v>195</v>
      </c>
      <c r="B2232" s="4">
        <v>2</v>
      </c>
      <c r="C2232" s="5">
        <v>1.34</v>
      </c>
      <c r="D2232" s="4">
        <v>1</v>
      </c>
      <c r="E2232" s="5">
        <v>1.22</v>
      </c>
      <c r="F2232" s="4">
        <v>1</v>
      </c>
      <c r="G2232" s="5">
        <v>1.72</v>
      </c>
      <c r="H2232" s="4">
        <v>0</v>
      </c>
    </row>
    <row r="2233" spans="1:8" x14ac:dyDescent="0.2">
      <c r="A2233" s="2" t="s">
        <v>196</v>
      </c>
      <c r="B2233" s="4">
        <v>43</v>
      </c>
      <c r="C2233" s="5">
        <v>28.86</v>
      </c>
      <c r="D2233" s="4">
        <v>28</v>
      </c>
      <c r="E2233" s="5">
        <v>34.15</v>
      </c>
      <c r="F2233" s="4">
        <v>15</v>
      </c>
      <c r="G2233" s="5">
        <v>25.86</v>
      </c>
      <c r="H2233" s="4">
        <v>0</v>
      </c>
    </row>
    <row r="2234" spans="1:8" x14ac:dyDescent="0.2">
      <c r="A2234" s="2" t="s">
        <v>197</v>
      </c>
      <c r="B2234" s="4">
        <v>0</v>
      </c>
      <c r="C2234" s="5">
        <v>0</v>
      </c>
      <c r="D2234" s="4">
        <v>0</v>
      </c>
      <c r="E2234" s="5">
        <v>0</v>
      </c>
      <c r="F2234" s="4">
        <v>0</v>
      </c>
      <c r="G2234" s="5">
        <v>0</v>
      </c>
      <c r="H2234" s="4">
        <v>0</v>
      </c>
    </row>
    <row r="2235" spans="1:8" x14ac:dyDescent="0.2">
      <c r="A2235" s="2" t="s">
        <v>198</v>
      </c>
      <c r="B2235" s="4">
        <v>9</v>
      </c>
      <c r="C2235" s="5">
        <v>6.04</v>
      </c>
      <c r="D2235" s="4">
        <v>7</v>
      </c>
      <c r="E2235" s="5">
        <v>8.5399999999999991</v>
      </c>
      <c r="F2235" s="4">
        <v>2</v>
      </c>
      <c r="G2235" s="5">
        <v>3.45</v>
      </c>
      <c r="H2235" s="4">
        <v>0</v>
      </c>
    </row>
    <row r="2236" spans="1:8" x14ac:dyDescent="0.2">
      <c r="A2236" s="2" t="s">
        <v>199</v>
      </c>
      <c r="B2236" s="4">
        <v>7</v>
      </c>
      <c r="C2236" s="5">
        <v>4.7</v>
      </c>
      <c r="D2236" s="4">
        <v>3</v>
      </c>
      <c r="E2236" s="5">
        <v>3.66</v>
      </c>
      <c r="F2236" s="4">
        <v>4</v>
      </c>
      <c r="G2236" s="5">
        <v>6.9</v>
      </c>
      <c r="H2236" s="4">
        <v>0</v>
      </c>
    </row>
    <row r="2237" spans="1:8" x14ac:dyDescent="0.2">
      <c r="A2237" s="2" t="s">
        <v>200</v>
      </c>
      <c r="B2237" s="4">
        <v>20</v>
      </c>
      <c r="C2237" s="5">
        <v>13.42</v>
      </c>
      <c r="D2237" s="4">
        <v>11</v>
      </c>
      <c r="E2237" s="5">
        <v>13.41</v>
      </c>
      <c r="F2237" s="4">
        <v>9</v>
      </c>
      <c r="G2237" s="5">
        <v>15.52</v>
      </c>
      <c r="H2237" s="4">
        <v>0</v>
      </c>
    </row>
    <row r="2238" spans="1:8" x14ac:dyDescent="0.2">
      <c r="A2238" s="2" t="s">
        <v>201</v>
      </c>
      <c r="B2238" s="4">
        <v>15</v>
      </c>
      <c r="C2238" s="5">
        <v>10.07</v>
      </c>
      <c r="D2238" s="4">
        <v>13</v>
      </c>
      <c r="E2238" s="5">
        <v>15.85</v>
      </c>
      <c r="F2238" s="4">
        <v>2</v>
      </c>
      <c r="G2238" s="5">
        <v>3.45</v>
      </c>
      <c r="H2238" s="4">
        <v>0</v>
      </c>
    </row>
    <row r="2239" spans="1:8" x14ac:dyDescent="0.2">
      <c r="A2239" s="2" t="s">
        <v>202</v>
      </c>
      <c r="B2239" s="4">
        <v>3</v>
      </c>
      <c r="C2239" s="5">
        <v>2.0099999999999998</v>
      </c>
      <c r="D2239" s="4">
        <v>1</v>
      </c>
      <c r="E2239" s="5">
        <v>1.22</v>
      </c>
      <c r="F2239" s="4">
        <v>0</v>
      </c>
      <c r="G2239" s="5">
        <v>0</v>
      </c>
      <c r="H2239" s="4">
        <v>0</v>
      </c>
    </row>
    <row r="2240" spans="1:8" x14ac:dyDescent="0.2">
      <c r="A2240" s="2" t="s">
        <v>203</v>
      </c>
      <c r="B2240" s="4">
        <v>11</v>
      </c>
      <c r="C2240" s="5">
        <v>7.38</v>
      </c>
      <c r="D2240" s="4">
        <v>3</v>
      </c>
      <c r="E2240" s="5">
        <v>3.66</v>
      </c>
      <c r="F2240" s="4">
        <v>3</v>
      </c>
      <c r="G2240" s="5">
        <v>5.17</v>
      </c>
      <c r="H2240" s="4">
        <v>0</v>
      </c>
    </row>
    <row r="2241" spans="1:8" x14ac:dyDescent="0.2">
      <c r="A2241" s="2" t="s">
        <v>204</v>
      </c>
      <c r="B2241" s="4">
        <v>10</v>
      </c>
      <c r="C2241" s="5">
        <v>6.71</v>
      </c>
      <c r="D2241" s="4">
        <v>6</v>
      </c>
      <c r="E2241" s="5">
        <v>7.32</v>
      </c>
      <c r="F2241" s="4">
        <v>4</v>
      </c>
      <c r="G2241" s="5">
        <v>6.9</v>
      </c>
      <c r="H2241" s="4">
        <v>0</v>
      </c>
    </row>
    <row r="2242" spans="1:8" x14ac:dyDescent="0.2">
      <c r="A2242" s="1" t="s">
        <v>140</v>
      </c>
      <c r="B2242" s="4">
        <v>439</v>
      </c>
      <c r="C2242" s="5">
        <v>100</v>
      </c>
      <c r="D2242" s="4">
        <v>250</v>
      </c>
      <c r="E2242" s="5">
        <v>99.999999999999986</v>
      </c>
      <c r="F2242" s="4">
        <v>176</v>
      </c>
      <c r="G2242" s="5">
        <v>99.99</v>
      </c>
      <c r="H2242" s="4">
        <v>2</v>
      </c>
    </row>
    <row r="2243" spans="1:8" x14ac:dyDescent="0.2">
      <c r="A2243" s="2" t="s">
        <v>190</v>
      </c>
      <c r="B2243" s="4">
        <v>0</v>
      </c>
      <c r="C2243" s="5">
        <v>0</v>
      </c>
      <c r="D2243" s="4">
        <v>0</v>
      </c>
      <c r="E2243" s="5">
        <v>0</v>
      </c>
      <c r="F2243" s="4">
        <v>0</v>
      </c>
      <c r="G2243" s="5">
        <v>0</v>
      </c>
      <c r="H2243" s="4">
        <v>0</v>
      </c>
    </row>
    <row r="2244" spans="1:8" x14ac:dyDescent="0.2">
      <c r="A2244" s="2" t="s">
        <v>191</v>
      </c>
      <c r="B2244" s="4">
        <v>56</v>
      </c>
      <c r="C2244" s="5">
        <v>12.76</v>
      </c>
      <c r="D2244" s="4">
        <v>24</v>
      </c>
      <c r="E2244" s="5">
        <v>9.6</v>
      </c>
      <c r="F2244" s="4">
        <v>32</v>
      </c>
      <c r="G2244" s="5">
        <v>18.18</v>
      </c>
      <c r="H2244" s="4">
        <v>0</v>
      </c>
    </row>
    <row r="2245" spans="1:8" x14ac:dyDescent="0.2">
      <c r="A2245" s="2" t="s">
        <v>192</v>
      </c>
      <c r="B2245" s="4">
        <v>28</v>
      </c>
      <c r="C2245" s="5">
        <v>6.38</v>
      </c>
      <c r="D2245" s="4">
        <v>8</v>
      </c>
      <c r="E2245" s="5">
        <v>3.2</v>
      </c>
      <c r="F2245" s="4">
        <v>20</v>
      </c>
      <c r="G2245" s="5">
        <v>11.36</v>
      </c>
      <c r="H2245" s="4">
        <v>0</v>
      </c>
    </row>
    <row r="2246" spans="1:8" x14ac:dyDescent="0.2">
      <c r="A2246" s="2" t="s">
        <v>193</v>
      </c>
      <c r="B2246" s="4">
        <v>3</v>
      </c>
      <c r="C2246" s="5">
        <v>0.68</v>
      </c>
      <c r="D2246" s="4">
        <v>0</v>
      </c>
      <c r="E2246" s="5">
        <v>0</v>
      </c>
      <c r="F2246" s="4">
        <v>1</v>
      </c>
      <c r="G2246" s="5">
        <v>0.56999999999999995</v>
      </c>
      <c r="H2246" s="4">
        <v>0</v>
      </c>
    </row>
    <row r="2247" spans="1:8" x14ac:dyDescent="0.2">
      <c r="A2247" s="2" t="s">
        <v>194</v>
      </c>
      <c r="B2247" s="4">
        <v>2</v>
      </c>
      <c r="C2247" s="5">
        <v>0.46</v>
      </c>
      <c r="D2247" s="4">
        <v>0</v>
      </c>
      <c r="E2247" s="5">
        <v>0</v>
      </c>
      <c r="F2247" s="4">
        <v>1</v>
      </c>
      <c r="G2247" s="5">
        <v>0.56999999999999995</v>
      </c>
      <c r="H2247" s="4">
        <v>1</v>
      </c>
    </row>
    <row r="2248" spans="1:8" x14ac:dyDescent="0.2">
      <c r="A2248" s="2" t="s">
        <v>195</v>
      </c>
      <c r="B2248" s="4">
        <v>7</v>
      </c>
      <c r="C2248" s="5">
        <v>1.59</v>
      </c>
      <c r="D2248" s="4">
        <v>2</v>
      </c>
      <c r="E2248" s="5">
        <v>0.8</v>
      </c>
      <c r="F2248" s="4">
        <v>5</v>
      </c>
      <c r="G2248" s="5">
        <v>2.84</v>
      </c>
      <c r="H2248" s="4">
        <v>0</v>
      </c>
    </row>
    <row r="2249" spans="1:8" x14ac:dyDescent="0.2">
      <c r="A2249" s="2" t="s">
        <v>196</v>
      </c>
      <c r="B2249" s="4">
        <v>92</v>
      </c>
      <c r="C2249" s="5">
        <v>20.96</v>
      </c>
      <c r="D2249" s="4">
        <v>33</v>
      </c>
      <c r="E2249" s="5">
        <v>13.2</v>
      </c>
      <c r="F2249" s="4">
        <v>59</v>
      </c>
      <c r="G2249" s="5">
        <v>33.520000000000003</v>
      </c>
      <c r="H2249" s="4">
        <v>0</v>
      </c>
    </row>
    <row r="2250" spans="1:8" x14ac:dyDescent="0.2">
      <c r="A2250" s="2" t="s">
        <v>197</v>
      </c>
      <c r="B2250" s="4">
        <v>5</v>
      </c>
      <c r="C2250" s="5">
        <v>1.1399999999999999</v>
      </c>
      <c r="D2250" s="4">
        <v>0</v>
      </c>
      <c r="E2250" s="5">
        <v>0</v>
      </c>
      <c r="F2250" s="4">
        <v>5</v>
      </c>
      <c r="G2250" s="5">
        <v>2.84</v>
      </c>
      <c r="H2250" s="4">
        <v>0</v>
      </c>
    </row>
    <row r="2251" spans="1:8" x14ac:dyDescent="0.2">
      <c r="A2251" s="2" t="s">
        <v>198</v>
      </c>
      <c r="B2251" s="4">
        <v>24</v>
      </c>
      <c r="C2251" s="5">
        <v>5.47</v>
      </c>
      <c r="D2251" s="4">
        <v>16</v>
      </c>
      <c r="E2251" s="5">
        <v>6.4</v>
      </c>
      <c r="F2251" s="4">
        <v>8</v>
      </c>
      <c r="G2251" s="5">
        <v>4.55</v>
      </c>
      <c r="H2251" s="4">
        <v>0</v>
      </c>
    </row>
    <row r="2252" spans="1:8" x14ac:dyDescent="0.2">
      <c r="A2252" s="2" t="s">
        <v>199</v>
      </c>
      <c r="B2252" s="4">
        <v>14</v>
      </c>
      <c r="C2252" s="5">
        <v>3.19</v>
      </c>
      <c r="D2252" s="4">
        <v>10</v>
      </c>
      <c r="E2252" s="5">
        <v>4</v>
      </c>
      <c r="F2252" s="4">
        <v>3</v>
      </c>
      <c r="G2252" s="5">
        <v>1.7</v>
      </c>
      <c r="H2252" s="4">
        <v>0</v>
      </c>
    </row>
    <row r="2253" spans="1:8" x14ac:dyDescent="0.2">
      <c r="A2253" s="2" t="s">
        <v>200</v>
      </c>
      <c r="B2253" s="4">
        <v>67</v>
      </c>
      <c r="C2253" s="5">
        <v>15.26</v>
      </c>
      <c r="D2253" s="4">
        <v>57</v>
      </c>
      <c r="E2253" s="5">
        <v>22.8</v>
      </c>
      <c r="F2253" s="4">
        <v>9</v>
      </c>
      <c r="G2253" s="5">
        <v>5.1100000000000003</v>
      </c>
      <c r="H2253" s="4">
        <v>1</v>
      </c>
    </row>
    <row r="2254" spans="1:8" x14ac:dyDescent="0.2">
      <c r="A2254" s="2" t="s">
        <v>201</v>
      </c>
      <c r="B2254" s="4">
        <v>71</v>
      </c>
      <c r="C2254" s="5">
        <v>16.170000000000002</v>
      </c>
      <c r="D2254" s="4">
        <v>62</v>
      </c>
      <c r="E2254" s="5">
        <v>24.8</v>
      </c>
      <c r="F2254" s="4">
        <v>9</v>
      </c>
      <c r="G2254" s="5">
        <v>5.1100000000000003</v>
      </c>
      <c r="H2254" s="4">
        <v>0</v>
      </c>
    </row>
    <row r="2255" spans="1:8" x14ac:dyDescent="0.2">
      <c r="A2255" s="2" t="s">
        <v>202</v>
      </c>
      <c r="B2255" s="4">
        <v>20</v>
      </c>
      <c r="C2255" s="5">
        <v>4.5599999999999996</v>
      </c>
      <c r="D2255" s="4">
        <v>9</v>
      </c>
      <c r="E2255" s="5">
        <v>3.6</v>
      </c>
      <c r="F2255" s="4">
        <v>6</v>
      </c>
      <c r="G2255" s="5">
        <v>3.41</v>
      </c>
      <c r="H2255" s="4">
        <v>0</v>
      </c>
    </row>
    <row r="2256" spans="1:8" x14ac:dyDescent="0.2">
      <c r="A2256" s="2" t="s">
        <v>203</v>
      </c>
      <c r="B2256" s="4">
        <v>34</v>
      </c>
      <c r="C2256" s="5">
        <v>7.74</v>
      </c>
      <c r="D2256" s="4">
        <v>22</v>
      </c>
      <c r="E2256" s="5">
        <v>8.8000000000000007</v>
      </c>
      <c r="F2256" s="4">
        <v>10</v>
      </c>
      <c r="G2256" s="5">
        <v>5.68</v>
      </c>
      <c r="H2256" s="4">
        <v>0</v>
      </c>
    </row>
    <row r="2257" spans="1:8" x14ac:dyDescent="0.2">
      <c r="A2257" s="2" t="s">
        <v>204</v>
      </c>
      <c r="B2257" s="4">
        <v>16</v>
      </c>
      <c r="C2257" s="5">
        <v>3.64</v>
      </c>
      <c r="D2257" s="4">
        <v>7</v>
      </c>
      <c r="E2257" s="5">
        <v>2.8</v>
      </c>
      <c r="F2257" s="4">
        <v>8</v>
      </c>
      <c r="G2257" s="5">
        <v>4.55</v>
      </c>
      <c r="H2257" s="4">
        <v>0</v>
      </c>
    </row>
    <row r="2258" spans="1:8" x14ac:dyDescent="0.2">
      <c r="A2258" s="1" t="s">
        <v>141</v>
      </c>
      <c r="B2258" s="4">
        <v>251</v>
      </c>
      <c r="C2258" s="5">
        <v>100.00000000000001</v>
      </c>
      <c r="D2258" s="4">
        <v>141</v>
      </c>
      <c r="E2258" s="5">
        <v>100.00999999999999</v>
      </c>
      <c r="F2258" s="4">
        <v>102</v>
      </c>
      <c r="G2258" s="5">
        <v>99.99</v>
      </c>
      <c r="H2258" s="4">
        <v>4</v>
      </c>
    </row>
    <row r="2259" spans="1:8" x14ac:dyDescent="0.2">
      <c r="A2259" s="2" t="s">
        <v>190</v>
      </c>
      <c r="B2259" s="4">
        <v>0</v>
      </c>
      <c r="C2259" s="5">
        <v>0</v>
      </c>
      <c r="D2259" s="4">
        <v>0</v>
      </c>
      <c r="E2259" s="5">
        <v>0</v>
      </c>
      <c r="F2259" s="4">
        <v>0</v>
      </c>
      <c r="G2259" s="5">
        <v>0</v>
      </c>
      <c r="H2259" s="4">
        <v>0</v>
      </c>
    </row>
    <row r="2260" spans="1:8" x14ac:dyDescent="0.2">
      <c r="A2260" s="2" t="s">
        <v>191</v>
      </c>
      <c r="B2260" s="4">
        <v>29</v>
      </c>
      <c r="C2260" s="5">
        <v>11.55</v>
      </c>
      <c r="D2260" s="4">
        <v>10</v>
      </c>
      <c r="E2260" s="5">
        <v>7.09</v>
      </c>
      <c r="F2260" s="4">
        <v>19</v>
      </c>
      <c r="G2260" s="5">
        <v>18.63</v>
      </c>
      <c r="H2260" s="4">
        <v>0</v>
      </c>
    </row>
    <row r="2261" spans="1:8" x14ac:dyDescent="0.2">
      <c r="A2261" s="2" t="s">
        <v>192</v>
      </c>
      <c r="B2261" s="4">
        <v>33</v>
      </c>
      <c r="C2261" s="5">
        <v>13.15</v>
      </c>
      <c r="D2261" s="4">
        <v>14</v>
      </c>
      <c r="E2261" s="5">
        <v>9.93</v>
      </c>
      <c r="F2261" s="4">
        <v>19</v>
      </c>
      <c r="G2261" s="5">
        <v>18.63</v>
      </c>
      <c r="H2261" s="4">
        <v>0</v>
      </c>
    </row>
    <row r="2262" spans="1:8" x14ac:dyDescent="0.2">
      <c r="A2262" s="2" t="s">
        <v>193</v>
      </c>
      <c r="B2262" s="4">
        <v>0</v>
      </c>
      <c r="C2262" s="5">
        <v>0</v>
      </c>
      <c r="D2262" s="4">
        <v>0</v>
      </c>
      <c r="E2262" s="5">
        <v>0</v>
      </c>
      <c r="F2262" s="4">
        <v>0</v>
      </c>
      <c r="G2262" s="5">
        <v>0</v>
      </c>
      <c r="H2262" s="4">
        <v>0</v>
      </c>
    </row>
    <row r="2263" spans="1:8" x14ac:dyDescent="0.2">
      <c r="A2263" s="2" t="s">
        <v>194</v>
      </c>
      <c r="B2263" s="4">
        <v>1</v>
      </c>
      <c r="C2263" s="5">
        <v>0.4</v>
      </c>
      <c r="D2263" s="4">
        <v>0</v>
      </c>
      <c r="E2263" s="5">
        <v>0</v>
      </c>
      <c r="F2263" s="4">
        <v>1</v>
      </c>
      <c r="G2263" s="5">
        <v>0.98</v>
      </c>
      <c r="H2263" s="4">
        <v>0</v>
      </c>
    </row>
    <row r="2264" spans="1:8" x14ac:dyDescent="0.2">
      <c r="A2264" s="2" t="s">
        <v>195</v>
      </c>
      <c r="B2264" s="4">
        <v>5</v>
      </c>
      <c r="C2264" s="5">
        <v>1.99</v>
      </c>
      <c r="D2264" s="4">
        <v>3</v>
      </c>
      <c r="E2264" s="5">
        <v>2.13</v>
      </c>
      <c r="F2264" s="4">
        <v>1</v>
      </c>
      <c r="G2264" s="5">
        <v>0.98</v>
      </c>
      <c r="H2264" s="4">
        <v>1</v>
      </c>
    </row>
    <row r="2265" spans="1:8" x14ac:dyDescent="0.2">
      <c r="A2265" s="2" t="s">
        <v>196</v>
      </c>
      <c r="B2265" s="4">
        <v>64</v>
      </c>
      <c r="C2265" s="5">
        <v>25.5</v>
      </c>
      <c r="D2265" s="4">
        <v>30</v>
      </c>
      <c r="E2265" s="5">
        <v>21.28</v>
      </c>
      <c r="F2265" s="4">
        <v>34</v>
      </c>
      <c r="G2265" s="5">
        <v>33.33</v>
      </c>
      <c r="H2265" s="4">
        <v>0</v>
      </c>
    </row>
    <row r="2266" spans="1:8" x14ac:dyDescent="0.2">
      <c r="A2266" s="2" t="s">
        <v>197</v>
      </c>
      <c r="B2266" s="4">
        <v>0</v>
      </c>
      <c r="C2266" s="5">
        <v>0</v>
      </c>
      <c r="D2266" s="4">
        <v>0</v>
      </c>
      <c r="E2266" s="5">
        <v>0</v>
      </c>
      <c r="F2266" s="4">
        <v>0</v>
      </c>
      <c r="G2266" s="5">
        <v>0</v>
      </c>
      <c r="H2266" s="4">
        <v>0</v>
      </c>
    </row>
    <row r="2267" spans="1:8" x14ac:dyDescent="0.2">
      <c r="A2267" s="2" t="s">
        <v>198</v>
      </c>
      <c r="B2267" s="4">
        <v>12</v>
      </c>
      <c r="C2267" s="5">
        <v>4.78</v>
      </c>
      <c r="D2267" s="4">
        <v>8</v>
      </c>
      <c r="E2267" s="5">
        <v>5.67</v>
      </c>
      <c r="F2267" s="4">
        <v>4</v>
      </c>
      <c r="G2267" s="5">
        <v>3.92</v>
      </c>
      <c r="H2267" s="4">
        <v>0</v>
      </c>
    </row>
    <row r="2268" spans="1:8" x14ac:dyDescent="0.2">
      <c r="A2268" s="2" t="s">
        <v>199</v>
      </c>
      <c r="B2268" s="4">
        <v>5</v>
      </c>
      <c r="C2268" s="5">
        <v>1.99</v>
      </c>
      <c r="D2268" s="4">
        <v>4</v>
      </c>
      <c r="E2268" s="5">
        <v>2.84</v>
      </c>
      <c r="F2268" s="4">
        <v>1</v>
      </c>
      <c r="G2268" s="5">
        <v>0.98</v>
      </c>
      <c r="H2268" s="4">
        <v>0</v>
      </c>
    </row>
    <row r="2269" spans="1:8" x14ac:dyDescent="0.2">
      <c r="A2269" s="2" t="s">
        <v>200</v>
      </c>
      <c r="B2269" s="4">
        <v>36</v>
      </c>
      <c r="C2269" s="5">
        <v>14.34</v>
      </c>
      <c r="D2269" s="4">
        <v>26</v>
      </c>
      <c r="E2269" s="5">
        <v>18.440000000000001</v>
      </c>
      <c r="F2269" s="4">
        <v>8</v>
      </c>
      <c r="G2269" s="5">
        <v>7.84</v>
      </c>
      <c r="H2269" s="4">
        <v>1</v>
      </c>
    </row>
    <row r="2270" spans="1:8" x14ac:dyDescent="0.2">
      <c r="A2270" s="2" t="s">
        <v>201</v>
      </c>
      <c r="B2270" s="4">
        <v>34</v>
      </c>
      <c r="C2270" s="5">
        <v>13.55</v>
      </c>
      <c r="D2270" s="4">
        <v>27</v>
      </c>
      <c r="E2270" s="5">
        <v>19.149999999999999</v>
      </c>
      <c r="F2270" s="4">
        <v>6</v>
      </c>
      <c r="G2270" s="5">
        <v>5.88</v>
      </c>
      <c r="H2270" s="4">
        <v>0</v>
      </c>
    </row>
    <row r="2271" spans="1:8" x14ac:dyDescent="0.2">
      <c r="A2271" s="2" t="s">
        <v>202</v>
      </c>
      <c r="B2271" s="4">
        <v>7</v>
      </c>
      <c r="C2271" s="5">
        <v>2.79</v>
      </c>
      <c r="D2271" s="4">
        <v>5</v>
      </c>
      <c r="E2271" s="5">
        <v>3.55</v>
      </c>
      <c r="F2271" s="4">
        <v>0</v>
      </c>
      <c r="G2271" s="5">
        <v>0</v>
      </c>
      <c r="H2271" s="4">
        <v>0</v>
      </c>
    </row>
    <row r="2272" spans="1:8" x14ac:dyDescent="0.2">
      <c r="A2272" s="2" t="s">
        <v>203</v>
      </c>
      <c r="B2272" s="4">
        <v>15</v>
      </c>
      <c r="C2272" s="5">
        <v>5.98</v>
      </c>
      <c r="D2272" s="4">
        <v>11</v>
      </c>
      <c r="E2272" s="5">
        <v>7.8</v>
      </c>
      <c r="F2272" s="4">
        <v>4</v>
      </c>
      <c r="G2272" s="5">
        <v>3.92</v>
      </c>
      <c r="H2272" s="4">
        <v>0</v>
      </c>
    </row>
    <row r="2273" spans="1:8" x14ac:dyDescent="0.2">
      <c r="A2273" s="2" t="s">
        <v>204</v>
      </c>
      <c r="B2273" s="4">
        <v>10</v>
      </c>
      <c r="C2273" s="5">
        <v>3.98</v>
      </c>
      <c r="D2273" s="4">
        <v>3</v>
      </c>
      <c r="E2273" s="5">
        <v>2.13</v>
      </c>
      <c r="F2273" s="4">
        <v>5</v>
      </c>
      <c r="G2273" s="5">
        <v>4.9000000000000004</v>
      </c>
      <c r="H2273" s="4">
        <v>2</v>
      </c>
    </row>
    <row r="2274" spans="1:8" x14ac:dyDescent="0.2">
      <c r="A2274" s="1" t="s">
        <v>142</v>
      </c>
      <c r="B2274" s="4">
        <v>82</v>
      </c>
      <c r="C2274" s="5">
        <v>100.01999999999998</v>
      </c>
      <c r="D2274" s="4">
        <v>43</v>
      </c>
      <c r="E2274" s="5">
        <v>100.03999999999999</v>
      </c>
      <c r="F2274" s="4">
        <v>29</v>
      </c>
      <c r="G2274" s="5">
        <v>100.01000000000002</v>
      </c>
      <c r="H2274" s="4">
        <v>0</v>
      </c>
    </row>
    <row r="2275" spans="1:8" x14ac:dyDescent="0.2">
      <c r="A2275" s="2" t="s">
        <v>190</v>
      </c>
      <c r="B2275" s="4">
        <v>0</v>
      </c>
      <c r="C2275" s="5">
        <v>0</v>
      </c>
      <c r="D2275" s="4">
        <v>0</v>
      </c>
      <c r="E2275" s="5">
        <v>0</v>
      </c>
      <c r="F2275" s="4">
        <v>0</v>
      </c>
      <c r="G2275" s="5">
        <v>0</v>
      </c>
      <c r="H2275" s="4">
        <v>0</v>
      </c>
    </row>
    <row r="2276" spans="1:8" x14ac:dyDescent="0.2">
      <c r="A2276" s="2" t="s">
        <v>191</v>
      </c>
      <c r="B2276" s="4">
        <v>9</v>
      </c>
      <c r="C2276" s="5">
        <v>10.98</v>
      </c>
      <c r="D2276" s="4">
        <v>3</v>
      </c>
      <c r="E2276" s="5">
        <v>6.98</v>
      </c>
      <c r="F2276" s="4">
        <v>6</v>
      </c>
      <c r="G2276" s="5">
        <v>20.69</v>
      </c>
      <c r="H2276" s="4">
        <v>0</v>
      </c>
    </row>
    <row r="2277" spans="1:8" x14ac:dyDescent="0.2">
      <c r="A2277" s="2" t="s">
        <v>192</v>
      </c>
      <c r="B2277" s="4">
        <v>8</v>
      </c>
      <c r="C2277" s="5">
        <v>9.76</v>
      </c>
      <c r="D2277" s="4">
        <v>3</v>
      </c>
      <c r="E2277" s="5">
        <v>6.98</v>
      </c>
      <c r="F2277" s="4">
        <v>5</v>
      </c>
      <c r="G2277" s="5">
        <v>17.239999999999998</v>
      </c>
      <c r="H2277" s="4">
        <v>0</v>
      </c>
    </row>
    <row r="2278" spans="1:8" x14ac:dyDescent="0.2">
      <c r="A2278" s="2" t="s">
        <v>193</v>
      </c>
      <c r="B2278" s="4">
        <v>1</v>
      </c>
      <c r="C2278" s="5">
        <v>1.22</v>
      </c>
      <c r="D2278" s="4">
        <v>0</v>
      </c>
      <c r="E2278" s="5">
        <v>0</v>
      </c>
      <c r="F2278" s="4">
        <v>0</v>
      </c>
      <c r="G2278" s="5">
        <v>0</v>
      </c>
      <c r="H2278" s="4">
        <v>0</v>
      </c>
    </row>
    <row r="2279" spans="1:8" x14ac:dyDescent="0.2">
      <c r="A2279" s="2" t="s">
        <v>194</v>
      </c>
      <c r="B2279" s="4">
        <v>1</v>
      </c>
      <c r="C2279" s="5">
        <v>1.22</v>
      </c>
      <c r="D2279" s="4">
        <v>1</v>
      </c>
      <c r="E2279" s="5">
        <v>2.33</v>
      </c>
      <c r="F2279" s="4">
        <v>0</v>
      </c>
      <c r="G2279" s="5">
        <v>0</v>
      </c>
      <c r="H2279" s="4">
        <v>0</v>
      </c>
    </row>
    <row r="2280" spans="1:8" x14ac:dyDescent="0.2">
      <c r="A2280" s="2" t="s">
        <v>195</v>
      </c>
      <c r="B2280" s="4">
        <v>3</v>
      </c>
      <c r="C2280" s="5">
        <v>3.66</v>
      </c>
      <c r="D2280" s="4">
        <v>1</v>
      </c>
      <c r="E2280" s="5">
        <v>2.33</v>
      </c>
      <c r="F2280" s="4">
        <v>2</v>
      </c>
      <c r="G2280" s="5">
        <v>6.9</v>
      </c>
      <c r="H2280" s="4">
        <v>0</v>
      </c>
    </row>
    <row r="2281" spans="1:8" x14ac:dyDescent="0.2">
      <c r="A2281" s="2" t="s">
        <v>196</v>
      </c>
      <c r="B2281" s="4">
        <v>25</v>
      </c>
      <c r="C2281" s="5">
        <v>30.49</v>
      </c>
      <c r="D2281" s="4">
        <v>13</v>
      </c>
      <c r="E2281" s="5">
        <v>30.23</v>
      </c>
      <c r="F2281" s="4">
        <v>12</v>
      </c>
      <c r="G2281" s="5">
        <v>41.38</v>
      </c>
      <c r="H2281" s="4">
        <v>0</v>
      </c>
    </row>
    <row r="2282" spans="1:8" x14ac:dyDescent="0.2">
      <c r="A2282" s="2" t="s">
        <v>197</v>
      </c>
      <c r="B2282" s="4">
        <v>0</v>
      </c>
      <c r="C2282" s="5">
        <v>0</v>
      </c>
      <c r="D2282" s="4">
        <v>0</v>
      </c>
      <c r="E2282" s="5">
        <v>0</v>
      </c>
      <c r="F2282" s="4">
        <v>0</v>
      </c>
      <c r="G2282" s="5">
        <v>0</v>
      </c>
      <c r="H2282" s="4">
        <v>0</v>
      </c>
    </row>
    <row r="2283" spans="1:8" x14ac:dyDescent="0.2">
      <c r="A2283" s="2" t="s">
        <v>198</v>
      </c>
      <c r="B2283" s="4">
        <v>2</v>
      </c>
      <c r="C2283" s="5">
        <v>2.44</v>
      </c>
      <c r="D2283" s="4">
        <v>1</v>
      </c>
      <c r="E2283" s="5">
        <v>2.33</v>
      </c>
      <c r="F2283" s="4">
        <v>0</v>
      </c>
      <c r="G2283" s="5">
        <v>0</v>
      </c>
      <c r="H2283" s="4">
        <v>0</v>
      </c>
    </row>
    <row r="2284" spans="1:8" x14ac:dyDescent="0.2">
      <c r="A2284" s="2" t="s">
        <v>199</v>
      </c>
      <c r="B2284" s="4">
        <v>1</v>
      </c>
      <c r="C2284" s="5">
        <v>1.22</v>
      </c>
      <c r="D2284" s="4">
        <v>1</v>
      </c>
      <c r="E2284" s="5">
        <v>2.33</v>
      </c>
      <c r="F2284" s="4">
        <v>0</v>
      </c>
      <c r="G2284" s="5">
        <v>0</v>
      </c>
      <c r="H2284" s="4">
        <v>0</v>
      </c>
    </row>
    <row r="2285" spans="1:8" x14ac:dyDescent="0.2">
      <c r="A2285" s="2" t="s">
        <v>200</v>
      </c>
      <c r="B2285" s="4">
        <v>9</v>
      </c>
      <c r="C2285" s="5">
        <v>10.98</v>
      </c>
      <c r="D2285" s="4">
        <v>7</v>
      </c>
      <c r="E2285" s="5">
        <v>16.28</v>
      </c>
      <c r="F2285" s="4">
        <v>2</v>
      </c>
      <c r="G2285" s="5">
        <v>6.9</v>
      </c>
      <c r="H2285" s="4">
        <v>0</v>
      </c>
    </row>
    <row r="2286" spans="1:8" x14ac:dyDescent="0.2">
      <c r="A2286" s="2" t="s">
        <v>201</v>
      </c>
      <c r="B2286" s="4">
        <v>14</v>
      </c>
      <c r="C2286" s="5">
        <v>17.07</v>
      </c>
      <c r="D2286" s="4">
        <v>10</v>
      </c>
      <c r="E2286" s="5">
        <v>23.26</v>
      </c>
      <c r="F2286" s="4">
        <v>2</v>
      </c>
      <c r="G2286" s="5">
        <v>6.9</v>
      </c>
      <c r="H2286" s="4">
        <v>0</v>
      </c>
    </row>
    <row r="2287" spans="1:8" x14ac:dyDescent="0.2">
      <c r="A2287" s="2" t="s">
        <v>202</v>
      </c>
      <c r="B2287" s="4">
        <v>4</v>
      </c>
      <c r="C2287" s="5">
        <v>4.88</v>
      </c>
      <c r="D2287" s="4">
        <v>1</v>
      </c>
      <c r="E2287" s="5">
        <v>2.33</v>
      </c>
      <c r="F2287" s="4">
        <v>0</v>
      </c>
      <c r="G2287" s="5">
        <v>0</v>
      </c>
      <c r="H2287" s="4">
        <v>0</v>
      </c>
    </row>
    <row r="2288" spans="1:8" x14ac:dyDescent="0.2">
      <c r="A2288" s="2" t="s">
        <v>203</v>
      </c>
      <c r="B2288" s="4">
        <v>3</v>
      </c>
      <c r="C2288" s="5">
        <v>3.66</v>
      </c>
      <c r="D2288" s="4">
        <v>1</v>
      </c>
      <c r="E2288" s="5">
        <v>2.33</v>
      </c>
      <c r="F2288" s="4">
        <v>0</v>
      </c>
      <c r="G2288" s="5">
        <v>0</v>
      </c>
      <c r="H2288" s="4">
        <v>0</v>
      </c>
    </row>
    <row r="2289" spans="1:8" x14ac:dyDescent="0.2">
      <c r="A2289" s="2" t="s">
        <v>204</v>
      </c>
      <c r="B2289" s="4">
        <v>2</v>
      </c>
      <c r="C2289" s="5">
        <v>2.44</v>
      </c>
      <c r="D2289" s="4">
        <v>1</v>
      </c>
      <c r="E2289" s="5">
        <v>2.33</v>
      </c>
      <c r="F2289" s="4">
        <v>0</v>
      </c>
      <c r="G2289" s="5">
        <v>0</v>
      </c>
      <c r="H2289" s="4">
        <v>0</v>
      </c>
    </row>
    <row r="2290" spans="1:8" x14ac:dyDescent="0.2">
      <c r="A2290" s="1" t="s">
        <v>143</v>
      </c>
      <c r="B2290" s="4">
        <v>94</v>
      </c>
      <c r="C2290" s="5">
        <v>100.00999999999999</v>
      </c>
      <c r="D2290" s="4">
        <v>55</v>
      </c>
      <c r="E2290" s="5">
        <v>100.01</v>
      </c>
      <c r="F2290" s="4">
        <v>35</v>
      </c>
      <c r="G2290" s="5">
        <v>99.989999999999981</v>
      </c>
      <c r="H2290" s="4">
        <v>1</v>
      </c>
    </row>
    <row r="2291" spans="1:8" x14ac:dyDescent="0.2">
      <c r="A2291" s="2" t="s">
        <v>190</v>
      </c>
      <c r="B2291" s="4">
        <v>0</v>
      </c>
      <c r="C2291" s="5">
        <v>0</v>
      </c>
      <c r="D2291" s="4">
        <v>0</v>
      </c>
      <c r="E2291" s="5">
        <v>0</v>
      </c>
      <c r="F2291" s="4">
        <v>0</v>
      </c>
      <c r="G2291" s="5">
        <v>0</v>
      </c>
      <c r="H2291" s="4">
        <v>0</v>
      </c>
    </row>
    <row r="2292" spans="1:8" x14ac:dyDescent="0.2">
      <c r="A2292" s="2" t="s">
        <v>191</v>
      </c>
      <c r="B2292" s="4">
        <v>6</v>
      </c>
      <c r="C2292" s="5">
        <v>6.38</v>
      </c>
      <c r="D2292" s="4">
        <v>1</v>
      </c>
      <c r="E2292" s="5">
        <v>1.82</v>
      </c>
      <c r="F2292" s="4">
        <v>5</v>
      </c>
      <c r="G2292" s="5">
        <v>14.29</v>
      </c>
      <c r="H2292" s="4">
        <v>0</v>
      </c>
    </row>
    <row r="2293" spans="1:8" x14ac:dyDescent="0.2">
      <c r="A2293" s="2" t="s">
        <v>192</v>
      </c>
      <c r="B2293" s="4">
        <v>17</v>
      </c>
      <c r="C2293" s="5">
        <v>18.09</v>
      </c>
      <c r="D2293" s="4">
        <v>5</v>
      </c>
      <c r="E2293" s="5">
        <v>9.09</v>
      </c>
      <c r="F2293" s="4">
        <v>12</v>
      </c>
      <c r="G2293" s="5">
        <v>34.29</v>
      </c>
      <c r="H2293" s="4">
        <v>0</v>
      </c>
    </row>
    <row r="2294" spans="1:8" x14ac:dyDescent="0.2">
      <c r="A2294" s="2" t="s">
        <v>193</v>
      </c>
      <c r="B2294" s="4">
        <v>0</v>
      </c>
      <c r="C2294" s="5">
        <v>0</v>
      </c>
      <c r="D2294" s="4">
        <v>0</v>
      </c>
      <c r="E2294" s="5">
        <v>0</v>
      </c>
      <c r="F2294" s="4">
        <v>0</v>
      </c>
      <c r="G2294" s="5">
        <v>0</v>
      </c>
      <c r="H2294" s="4">
        <v>0</v>
      </c>
    </row>
    <row r="2295" spans="1:8" x14ac:dyDescent="0.2">
      <c r="A2295" s="2" t="s">
        <v>194</v>
      </c>
      <c r="B2295" s="4">
        <v>0</v>
      </c>
      <c r="C2295" s="5">
        <v>0</v>
      </c>
      <c r="D2295" s="4">
        <v>0</v>
      </c>
      <c r="E2295" s="5">
        <v>0</v>
      </c>
      <c r="F2295" s="4">
        <v>0</v>
      </c>
      <c r="G2295" s="5">
        <v>0</v>
      </c>
      <c r="H2295" s="4">
        <v>0</v>
      </c>
    </row>
    <row r="2296" spans="1:8" x14ac:dyDescent="0.2">
      <c r="A2296" s="2" t="s">
        <v>195</v>
      </c>
      <c r="B2296" s="4">
        <v>0</v>
      </c>
      <c r="C2296" s="5">
        <v>0</v>
      </c>
      <c r="D2296" s="4">
        <v>0</v>
      </c>
      <c r="E2296" s="5">
        <v>0</v>
      </c>
      <c r="F2296" s="4">
        <v>0</v>
      </c>
      <c r="G2296" s="5">
        <v>0</v>
      </c>
      <c r="H2296" s="4">
        <v>0</v>
      </c>
    </row>
    <row r="2297" spans="1:8" x14ac:dyDescent="0.2">
      <c r="A2297" s="2" t="s">
        <v>196</v>
      </c>
      <c r="B2297" s="4">
        <v>25</v>
      </c>
      <c r="C2297" s="5">
        <v>26.6</v>
      </c>
      <c r="D2297" s="4">
        <v>15</v>
      </c>
      <c r="E2297" s="5">
        <v>27.27</v>
      </c>
      <c r="F2297" s="4">
        <v>9</v>
      </c>
      <c r="G2297" s="5">
        <v>25.71</v>
      </c>
      <c r="H2297" s="4">
        <v>1</v>
      </c>
    </row>
    <row r="2298" spans="1:8" x14ac:dyDescent="0.2">
      <c r="A2298" s="2" t="s">
        <v>197</v>
      </c>
      <c r="B2298" s="4">
        <v>0</v>
      </c>
      <c r="C2298" s="5">
        <v>0</v>
      </c>
      <c r="D2298" s="4">
        <v>0</v>
      </c>
      <c r="E2298" s="5">
        <v>0</v>
      </c>
      <c r="F2298" s="4">
        <v>0</v>
      </c>
      <c r="G2298" s="5">
        <v>0</v>
      </c>
      <c r="H2298" s="4">
        <v>0</v>
      </c>
    </row>
    <row r="2299" spans="1:8" x14ac:dyDescent="0.2">
      <c r="A2299" s="2" t="s">
        <v>198</v>
      </c>
      <c r="B2299" s="4">
        <v>2</v>
      </c>
      <c r="C2299" s="5">
        <v>2.13</v>
      </c>
      <c r="D2299" s="4">
        <v>0</v>
      </c>
      <c r="E2299" s="5">
        <v>0</v>
      </c>
      <c r="F2299" s="4">
        <v>2</v>
      </c>
      <c r="G2299" s="5">
        <v>5.71</v>
      </c>
      <c r="H2299" s="4">
        <v>0</v>
      </c>
    </row>
    <row r="2300" spans="1:8" x14ac:dyDescent="0.2">
      <c r="A2300" s="2" t="s">
        <v>199</v>
      </c>
      <c r="B2300" s="4">
        <v>5</v>
      </c>
      <c r="C2300" s="5">
        <v>5.32</v>
      </c>
      <c r="D2300" s="4">
        <v>2</v>
      </c>
      <c r="E2300" s="5">
        <v>3.64</v>
      </c>
      <c r="F2300" s="4">
        <v>3</v>
      </c>
      <c r="G2300" s="5">
        <v>8.57</v>
      </c>
      <c r="H2300" s="4">
        <v>0</v>
      </c>
    </row>
    <row r="2301" spans="1:8" x14ac:dyDescent="0.2">
      <c r="A2301" s="2" t="s">
        <v>200</v>
      </c>
      <c r="B2301" s="4">
        <v>15</v>
      </c>
      <c r="C2301" s="5">
        <v>15.96</v>
      </c>
      <c r="D2301" s="4">
        <v>13</v>
      </c>
      <c r="E2301" s="5">
        <v>23.64</v>
      </c>
      <c r="F2301" s="4">
        <v>2</v>
      </c>
      <c r="G2301" s="5">
        <v>5.71</v>
      </c>
      <c r="H2301" s="4">
        <v>0</v>
      </c>
    </row>
    <row r="2302" spans="1:8" x14ac:dyDescent="0.2">
      <c r="A2302" s="2" t="s">
        <v>201</v>
      </c>
      <c r="B2302" s="4">
        <v>12</v>
      </c>
      <c r="C2302" s="5">
        <v>12.77</v>
      </c>
      <c r="D2302" s="4">
        <v>12</v>
      </c>
      <c r="E2302" s="5">
        <v>21.82</v>
      </c>
      <c r="F2302" s="4">
        <v>0</v>
      </c>
      <c r="G2302" s="5">
        <v>0</v>
      </c>
      <c r="H2302" s="4">
        <v>0</v>
      </c>
    </row>
    <row r="2303" spans="1:8" x14ac:dyDescent="0.2">
      <c r="A2303" s="2" t="s">
        <v>202</v>
      </c>
      <c r="B2303" s="4">
        <v>6</v>
      </c>
      <c r="C2303" s="5">
        <v>6.38</v>
      </c>
      <c r="D2303" s="4">
        <v>5</v>
      </c>
      <c r="E2303" s="5">
        <v>9.09</v>
      </c>
      <c r="F2303" s="4">
        <v>0</v>
      </c>
      <c r="G2303" s="5">
        <v>0</v>
      </c>
      <c r="H2303" s="4">
        <v>0</v>
      </c>
    </row>
    <row r="2304" spans="1:8" x14ac:dyDescent="0.2">
      <c r="A2304" s="2" t="s">
        <v>203</v>
      </c>
      <c r="B2304" s="4">
        <v>0</v>
      </c>
      <c r="C2304" s="5">
        <v>0</v>
      </c>
      <c r="D2304" s="4">
        <v>0</v>
      </c>
      <c r="E2304" s="5">
        <v>0</v>
      </c>
      <c r="F2304" s="4">
        <v>0</v>
      </c>
      <c r="G2304" s="5">
        <v>0</v>
      </c>
      <c r="H2304" s="4">
        <v>0</v>
      </c>
    </row>
    <row r="2305" spans="1:8" x14ac:dyDescent="0.2">
      <c r="A2305" s="2" t="s">
        <v>204</v>
      </c>
      <c r="B2305" s="4">
        <v>6</v>
      </c>
      <c r="C2305" s="5">
        <v>6.38</v>
      </c>
      <c r="D2305" s="4">
        <v>2</v>
      </c>
      <c r="E2305" s="5">
        <v>3.64</v>
      </c>
      <c r="F2305" s="4">
        <v>2</v>
      </c>
      <c r="G2305" s="5">
        <v>5.71</v>
      </c>
      <c r="H2305" s="4">
        <v>0</v>
      </c>
    </row>
    <row r="2306" spans="1:8" x14ac:dyDescent="0.2">
      <c r="A2306" s="1" t="s">
        <v>144</v>
      </c>
      <c r="B2306" s="4">
        <v>42</v>
      </c>
      <c r="C2306" s="5">
        <v>99.990000000000009</v>
      </c>
      <c r="D2306" s="4">
        <v>22</v>
      </c>
      <c r="E2306" s="5">
        <v>100.00999999999999</v>
      </c>
      <c r="F2306" s="4">
        <v>8</v>
      </c>
      <c r="G2306" s="5">
        <v>100</v>
      </c>
      <c r="H2306" s="4">
        <v>0</v>
      </c>
    </row>
    <row r="2307" spans="1:8" x14ac:dyDescent="0.2">
      <c r="A2307" s="2" t="s">
        <v>190</v>
      </c>
      <c r="B2307" s="4">
        <v>0</v>
      </c>
      <c r="C2307" s="5">
        <v>0</v>
      </c>
      <c r="D2307" s="4">
        <v>0</v>
      </c>
      <c r="E2307" s="5">
        <v>0</v>
      </c>
      <c r="F2307" s="4">
        <v>0</v>
      </c>
      <c r="G2307" s="5">
        <v>0</v>
      </c>
      <c r="H2307" s="4">
        <v>0</v>
      </c>
    </row>
    <row r="2308" spans="1:8" x14ac:dyDescent="0.2">
      <c r="A2308" s="2" t="s">
        <v>191</v>
      </c>
      <c r="B2308" s="4">
        <v>3</v>
      </c>
      <c r="C2308" s="5">
        <v>7.14</v>
      </c>
      <c r="D2308" s="4">
        <v>3</v>
      </c>
      <c r="E2308" s="5">
        <v>13.64</v>
      </c>
      <c r="F2308" s="4">
        <v>0</v>
      </c>
      <c r="G2308" s="5">
        <v>0</v>
      </c>
      <c r="H2308" s="4">
        <v>0</v>
      </c>
    </row>
    <row r="2309" spans="1:8" x14ac:dyDescent="0.2">
      <c r="A2309" s="2" t="s">
        <v>192</v>
      </c>
      <c r="B2309" s="4">
        <v>2</v>
      </c>
      <c r="C2309" s="5">
        <v>4.76</v>
      </c>
      <c r="D2309" s="4">
        <v>2</v>
      </c>
      <c r="E2309" s="5">
        <v>9.09</v>
      </c>
      <c r="F2309" s="4">
        <v>0</v>
      </c>
      <c r="G2309" s="5">
        <v>0</v>
      </c>
      <c r="H2309" s="4">
        <v>0</v>
      </c>
    </row>
    <row r="2310" spans="1:8" x14ac:dyDescent="0.2">
      <c r="A2310" s="2" t="s">
        <v>193</v>
      </c>
      <c r="B2310" s="4">
        <v>2</v>
      </c>
      <c r="C2310" s="5">
        <v>4.76</v>
      </c>
      <c r="D2310" s="4">
        <v>0</v>
      </c>
      <c r="E2310" s="5">
        <v>0</v>
      </c>
      <c r="F2310" s="4">
        <v>1</v>
      </c>
      <c r="G2310" s="5">
        <v>12.5</v>
      </c>
      <c r="H2310" s="4">
        <v>0</v>
      </c>
    </row>
    <row r="2311" spans="1:8" x14ac:dyDescent="0.2">
      <c r="A2311" s="2" t="s">
        <v>194</v>
      </c>
      <c r="B2311" s="4">
        <v>1</v>
      </c>
      <c r="C2311" s="5">
        <v>2.38</v>
      </c>
      <c r="D2311" s="4">
        <v>0</v>
      </c>
      <c r="E2311" s="5">
        <v>0</v>
      </c>
      <c r="F2311" s="4">
        <v>0</v>
      </c>
      <c r="G2311" s="5">
        <v>0</v>
      </c>
      <c r="H2311" s="4">
        <v>0</v>
      </c>
    </row>
    <row r="2312" spans="1:8" x14ac:dyDescent="0.2">
      <c r="A2312" s="2" t="s">
        <v>195</v>
      </c>
      <c r="B2312" s="4">
        <v>1</v>
      </c>
      <c r="C2312" s="5">
        <v>2.38</v>
      </c>
      <c r="D2312" s="4">
        <v>0</v>
      </c>
      <c r="E2312" s="5">
        <v>0</v>
      </c>
      <c r="F2312" s="4">
        <v>0</v>
      </c>
      <c r="G2312" s="5">
        <v>0</v>
      </c>
      <c r="H2312" s="4">
        <v>0</v>
      </c>
    </row>
    <row r="2313" spans="1:8" x14ac:dyDescent="0.2">
      <c r="A2313" s="2" t="s">
        <v>196</v>
      </c>
      <c r="B2313" s="4">
        <v>9</v>
      </c>
      <c r="C2313" s="5">
        <v>21.43</v>
      </c>
      <c r="D2313" s="4">
        <v>8</v>
      </c>
      <c r="E2313" s="5">
        <v>36.36</v>
      </c>
      <c r="F2313" s="4">
        <v>1</v>
      </c>
      <c r="G2313" s="5">
        <v>12.5</v>
      </c>
      <c r="H2313" s="4">
        <v>0</v>
      </c>
    </row>
    <row r="2314" spans="1:8" x14ac:dyDescent="0.2">
      <c r="A2314" s="2" t="s">
        <v>197</v>
      </c>
      <c r="B2314" s="4">
        <v>0</v>
      </c>
      <c r="C2314" s="5">
        <v>0</v>
      </c>
      <c r="D2314" s="4">
        <v>0</v>
      </c>
      <c r="E2314" s="5">
        <v>0</v>
      </c>
      <c r="F2314" s="4">
        <v>0</v>
      </c>
      <c r="G2314" s="5">
        <v>0</v>
      </c>
      <c r="H2314" s="4">
        <v>0</v>
      </c>
    </row>
    <row r="2315" spans="1:8" x14ac:dyDescent="0.2">
      <c r="A2315" s="2" t="s">
        <v>198</v>
      </c>
      <c r="B2315" s="4">
        <v>0</v>
      </c>
      <c r="C2315" s="5">
        <v>0</v>
      </c>
      <c r="D2315" s="4">
        <v>0</v>
      </c>
      <c r="E2315" s="5">
        <v>0</v>
      </c>
      <c r="F2315" s="4">
        <v>0</v>
      </c>
      <c r="G2315" s="5">
        <v>0</v>
      </c>
      <c r="H2315" s="4">
        <v>0</v>
      </c>
    </row>
    <row r="2316" spans="1:8" x14ac:dyDescent="0.2">
      <c r="A2316" s="2" t="s">
        <v>199</v>
      </c>
      <c r="B2316" s="4">
        <v>2</v>
      </c>
      <c r="C2316" s="5">
        <v>4.76</v>
      </c>
      <c r="D2316" s="4">
        <v>1</v>
      </c>
      <c r="E2316" s="5">
        <v>4.55</v>
      </c>
      <c r="F2316" s="4">
        <v>1</v>
      </c>
      <c r="G2316" s="5">
        <v>12.5</v>
      </c>
      <c r="H2316" s="4">
        <v>0</v>
      </c>
    </row>
    <row r="2317" spans="1:8" x14ac:dyDescent="0.2">
      <c r="A2317" s="2" t="s">
        <v>200</v>
      </c>
      <c r="B2317" s="4">
        <v>7</v>
      </c>
      <c r="C2317" s="5">
        <v>16.670000000000002</v>
      </c>
      <c r="D2317" s="4">
        <v>4</v>
      </c>
      <c r="E2317" s="5">
        <v>18.18</v>
      </c>
      <c r="F2317" s="4">
        <v>3</v>
      </c>
      <c r="G2317" s="5">
        <v>37.5</v>
      </c>
      <c r="H2317" s="4">
        <v>0</v>
      </c>
    </row>
    <row r="2318" spans="1:8" x14ac:dyDescent="0.2">
      <c r="A2318" s="2" t="s">
        <v>201</v>
      </c>
      <c r="B2318" s="4">
        <v>8</v>
      </c>
      <c r="C2318" s="5">
        <v>19.05</v>
      </c>
      <c r="D2318" s="4">
        <v>2</v>
      </c>
      <c r="E2318" s="5">
        <v>9.09</v>
      </c>
      <c r="F2318" s="4">
        <v>0</v>
      </c>
      <c r="G2318" s="5">
        <v>0</v>
      </c>
      <c r="H2318" s="4">
        <v>0</v>
      </c>
    </row>
    <row r="2319" spans="1:8" x14ac:dyDescent="0.2">
      <c r="A2319" s="2" t="s">
        <v>202</v>
      </c>
      <c r="B2319" s="4">
        <v>2</v>
      </c>
      <c r="C2319" s="5">
        <v>4.76</v>
      </c>
      <c r="D2319" s="4">
        <v>1</v>
      </c>
      <c r="E2319" s="5">
        <v>4.55</v>
      </c>
      <c r="F2319" s="4">
        <v>0</v>
      </c>
      <c r="G2319" s="5">
        <v>0</v>
      </c>
      <c r="H2319" s="4">
        <v>0</v>
      </c>
    </row>
    <row r="2320" spans="1:8" x14ac:dyDescent="0.2">
      <c r="A2320" s="2" t="s">
        <v>203</v>
      </c>
      <c r="B2320" s="4">
        <v>3</v>
      </c>
      <c r="C2320" s="5">
        <v>7.14</v>
      </c>
      <c r="D2320" s="4">
        <v>1</v>
      </c>
      <c r="E2320" s="5">
        <v>4.55</v>
      </c>
      <c r="F2320" s="4">
        <v>2</v>
      </c>
      <c r="G2320" s="5">
        <v>25</v>
      </c>
      <c r="H2320" s="4">
        <v>0</v>
      </c>
    </row>
    <row r="2321" spans="1:8" x14ac:dyDescent="0.2">
      <c r="A2321" s="2" t="s">
        <v>204</v>
      </c>
      <c r="B2321" s="4">
        <v>2</v>
      </c>
      <c r="C2321" s="5">
        <v>4.76</v>
      </c>
      <c r="D2321" s="4">
        <v>0</v>
      </c>
      <c r="E2321" s="5">
        <v>0</v>
      </c>
      <c r="F2321" s="4">
        <v>0</v>
      </c>
      <c r="G2321" s="5">
        <v>0</v>
      </c>
      <c r="H2321" s="4">
        <v>0</v>
      </c>
    </row>
    <row r="2322" spans="1:8" x14ac:dyDescent="0.2">
      <c r="A2322" s="1" t="s">
        <v>145</v>
      </c>
      <c r="B2322" s="4">
        <v>123</v>
      </c>
      <c r="C2322" s="5">
        <v>100.02</v>
      </c>
      <c r="D2322" s="4">
        <v>79</v>
      </c>
      <c r="E2322" s="5">
        <v>99.99</v>
      </c>
      <c r="F2322" s="4">
        <v>40</v>
      </c>
      <c r="G2322" s="5">
        <v>100</v>
      </c>
      <c r="H2322" s="4">
        <v>1</v>
      </c>
    </row>
    <row r="2323" spans="1:8" x14ac:dyDescent="0.2">
      <c r="A2323" s="2" t="s">
        <v>190</v>
      </c>
      <c r="B2323" s="4">
        <v>0</v>
      </c>
      <c r="C2323" s="5">
        <v>0</v>
      </c>
      <c r="D2323" s="4">
        <v>0</v>
      </c>
      <c r="E2323" s="5">
        <v>0</v>
      </c>
      <c r="F2323" s="4">
        <v>0</v>
      </c>
      <c r="G2323" s="5">
        <v>0</v>
      </c>
      <c r="H2323" s="4">
        <v>0</v>
      </c>
    </row>
    <row r="2324" spans="1:8" x14ac:dyDescent="0.2">
      <c r="A2324" s="2" t="s">
        <v>191</v>
      </c>
      <c r="B2324" s="4">
        <v>13</v>
      </c>
      <c r="C2324" s="5">
        <v>10.57</v>
      </c>
      <c r="D2324" s="4">
        <v>6</v>
      </c>
      <c r="E2324" s="5">
        <v>7.59</v>
      </c>
      <c r="F2324" s="4">
        <v>7</v>
      </c>
      <c r="G2324" s="5">
        <v>17.5</v>
      </c>
      <c r="H2324" s="4">
        <v>0</v>
      </c>
    </row>
    <row r="2325" spans="1:8" x14ac:dyDescent="0.2">
      <c r="A2325" s="2" t="s">
        <v>192</v>
      </c>
      <c r="B2325" s="4">
        <v>14</v>
      </c>
      <c r="C2325" s="5">
        <v>11.38</v>
      </c>
      <c r="D2325" s="4">
        <v>6</v>
      </c>
      <c r="E2325" s="5">
        <v>7.59</v>
      </c>
      <c r="F2325" s="4">
        <v>8</v>
      </c>
      <c r="G2325" s="5">
        <v>20</v>
      </c>
      <c r="H2325" s="4">
        <v>0</v>
      </c>
    </row>
    <row r="2326" spans="1:8" x14ac:dyDescent="0.2">
      <c r="A2326" s="2" t="s">
        <v>193</v>
      </c>
      <c r="B2326" s="4">
        <v>0</v>
      </c>
      <c r="C2326" s="5">
        <v>0</v>
      </c>
      <c r="D2326" s="4">
        <v>0</v>
      </c>
      <c r="E2326" s="5">
        <v>0</v>
      </c>
      <c r="F2326" s="4">
        <v>0</v>
      </c>
      <c r="G2326" s="5">
        <v>0</v>
      </c>
      <c r="H2326" s="4">
        <v>0</v>
      </c>
    </row>
    <row r="2327" spans="1:8" x14ac:dyDescent="0.2">
      <c r="A2327" s="2" t="s">
        <v>194</v>
      </c>
      <c r="B2327" s="4">
        <v>0</v>
      </c>
      <c r="C2327" s="5">
        <v>0</v>
      </c>
      <c r="D2327" s="4">
        <v>0</v>
      </c>
      <c r="E2327" s="5">
        <v>0</v>
      </c>
      <c r="F2327" s="4">
        <v>0</v>
      </c>
      <c r="G2327" s="5">
        <v>0</v>
      </c>
      <c r="H2327" s="4">
        <v>0</v>
      </c>
    </row>
    <row r="2328" spans="1:8" x14ac:dyDescent="0.2">
      <c r="A2328" s="2" t="s">
        <v>195</v>
      </c>
      <c r="B2328" s="4">
        <v>2</v>
      </c>
      <c r="C2328" s="5">
        <v>1.63</v>
      </c>
      <c r="D2328" s="4">
        <v>0</v>
      </c>
      <c r="E2328" s="5">
        <v>0</v>
      </c>
      <c r="F2328" s="4">
        <v>2</v>
      </c>
      <c r="G2328" s="5">
        <v>5</v>
      </c>
      <c r="H2328" s="4">
        <v>0</v>
      </c>
    </row>
    <row r="2329" spans="1:8" x14ac:dyDescent="0.2">
      <c r="A2329" s="2" t="s">
        <v>196</v>
      </c>
      <c r="B2329" s="4">
        <v>30</v>
      </c>
      <c r="C2329" s="5">
        <v>24.39</v>
      </c>
      <c r="D2329" s="4">
        <v>15</v>
      </c>
      <c r="E2329" s="5">
        <v>18.989999999999998</v>
      </c>
      <c r="F2329" s="4">
        <v>14</v>
      </c>
      <c r="G2329" s="5">
        <v>35</v>
      </c>
      <c r="H2329" s="4">
        <v>1</v>
      </c>
    </row>
    <row r="2330" spans="1:8" x14ac:dyDescent="0.2">
      <c r="A2330" s="2" t="s">
        <v>197</v>
      </c>
      <c r="B2330" s="4">
        <v>0</v>
      </c>
      <c r="C2330" s="5">
        <v>0</v>
      </c>
      <c r="D2330" s="4">
        <v>0</v>
      </c>
      <c r="E2330" s="5">
        <v>0</v>
      </c>
      <c r="F2330" s="4">
        <v>0</v>
      </c>
      <c r="G2330" s="5">
        <v>0</v>
      </c>
      <c r="H2330" s="4">
        <v>0</v>
      </c>
    </row>
    <row r="2331" spans="1:8" x14ac:dyDescent="0.2">
      <c r="A2331" s="2" t="s">
        <v>198</v>
      </c>
      <c r="B2331" s="4">
        <v>2</v>
      </c>
      <c r="C2331" s="5">
        <v>1.63</v>
      </c>
      <c r="D2331" s="4">
        <v>0</v>
      </c>
      <c r="E2331" s="5">
        <v>0</v>
      </c>
      <c r="F2331" s="4">
        <v>2</v>
      </c>
      <c r="G2331" s="5">
        <v>5</v>
      </c>
      <c r="H2331" s="4">
        <v>0</v>
      </c>
    </row>
    <row r="2332" spans="1:8" x14ac:dyDescent="0.2">
      <c r="A2332" s="2" t="s">
        <v>199</v>
      </c>
      <c r="B2332" s="4">
        <v>3</v>
      </c>
      <c r="C2332" s="5">
        <v>2.44</v>
      </c>
      <c r="D2332" s="4">
        <v>1</v>
      </c>
      <c r="E2332" s="5">
        <v>1.27</v>
      </c>
      <c r="F2332" s="4">
        <v>2</v>
      </c>
      <c r="G2332" s="5">
        <v>5</v>
      </c>
      <c r="H2332" s="4">
        <v>0</v>
      </c>
    </row>
    <row r="2333" spans="1:8" x14ac:dyDescent="0.2">
      <c r="A2333" s="2" t="s">
        <v>200</v>
      </c>
      <c r="B2333" s="4">
        <v>29</v>
      </c>
      <c r="C2333" s="5">
        <v>23.58</v>
      </c>
      <c r="D2333" s="4">
        <v>26</v>
      </c>
      <c r="E2333" s="5">
        <v>32.909999999999997</v>
      </c>
      <c r="F2333" s="4">
        <v>2</v>
      </c>
      <c r="G2333" s="5">
        <v>5</v>
      </c>
      <c r="H2333" s="4">
        <v>0</v>
      </c>
    </row>
    <row r="2334" spans="1:8" x14ac:dyDescent="0.2">
      <c r="A2334" s="2" t="s">
        <v>201</v>
      </c>
      <c r="B2334" s="4">
        <v>19</v>
      </c>
      <c r="C2334" s="5">
        <v>15.45</v>
      </c>
      <c r="D2334" s="4">
        <v>17</v>
      </c>
      <c r="E2334" s="5">
        <v>21.52</v>
      </c>
      <c r="F2334" s="4">
        <v>2</v>
      </c>
      <c r="G2334" s="5">
        <v>5</v>
      </c>
      <c r="H2334" s="4">
        <v>0</v>
      </c>
    </row>
    <row r="2335" spans="1:8" x14ac:dyDescent="0.2">
      <c r="A2335" s="2" t="s">
        <v>202</v>
      </c>
      <c r="B2335" s="4">
        <v>2</v>
      </c>
      <c r="C2335" s="5">
        <v>1.63</v>
      </c>
      <c r="D2335" s="4">
        <v>0</v>
      </c>
      <c r="E2335" s="5">
        <v>0</v>
      </c>
      <c r="F2335" s="4">
        <v>0</v>
      </c>
      <c r="G2335" s="5">
        <v>0</v>
      </c>
      <c r="H2335" s="4">
        <v>0</v>
      </c>
    </row>
    <row r="2336" spans="1:8" x14ac:dyDescent="0.2">
      <c r="A2336" s="2" t="s">
        <v>203</v>
      </c>
      <c r="B2336" s="4">
        <v>2</v>
      </c>
      <c r="C2336" s="5">
        <v>1.63</v>
      </c>
      <c r="D2336" s="4">
        <v>2</v>
      </c>
      <c r="E2336" s="5">
        <v>2.5299999999999998</v>
      </c>
      <c r="F2336" s="4">
        <v>0</v>
      </c>
      <c r="G2336" s="5">
        <v>0</v>
      </c>
      <c r="H2336" s="4">
        <v>0</v>
      </c>
    </row>
    <row r="2337" spans="1:8" x14ac:dyDescent="0.2">
      <c r="A2337" s="2" t="s">
        <v>204</v>
      </c>
      <c r="B2337" s="4">
        <v>7</v>
      </c>
      <c r="C2337" s="5">
        <v>5.69</v>
      </c>
      <c r="D2337" s="4">
        <v>6</v>
      </c>
      <c r="E2337" s="5">
        <v>7.59</v>
      </c>
      <c r="F2337" s="4">
        <v>1</v>
      </c>
      <c r="G2337" s="5">
        <v>2.5</v>
      </c>
      <c r="H2337" s="4">
        <v>0</v>
      </c>
    </row>
    <row r="2338" spans="1:8" x14ac:dyDescent="0.2">
      <c r="A2338" s="1" t="s">
        <v>146</v>
      </c>
      <c r="B2338" s="4">
        <v>174</v>
      </c>
      <c r="C2338" s="5">
        <v>99.990000000000009</v>
      </c>
      <c r="D2338" s="4">
        <v>76</v>
      </c>
      <c r="E2338" s="5">
        <v>100.02000000000001</v>
      </c>
      <c r="F2338" s="4">
        <v>91</v>
      </c>
      <c r="G2338" s="5">
        <v>100.01000000000002</v>
      </c>
      <c r="H2338" s="4">
        <v>2</v>
      </c>
    </row>
    <row r="2339" spans="1:8" x14ac:dyDescent="0.2">
      <c r="A2339" s="2" t="s">
        <v>190</v>
      </c>
      <c r="B2339" s="4">
        <v>0</v>
      </c>
      <c r="C2339" s="5">
        <v>0</v>
      </c>
      <c r="D2339" s="4">
        <v>0</v>
      </c>
      <c r="E2339" s="5">
        <v>0</v>
      </c>
      <c r="F2339" s="4">
        <v>0</v>
      </c>
      <c r="G2339" s="5">
        <v>0</v>
      </c>
      <c r="H2339" s="4">
        <v>0</v>
      </c>
    </row>
    <row r="2340" spans="1:8" x14ac:dyDescent="0.2">
      <c r="A2340" s="2" t="s">
        <v>191</v>
      </c>
      <c r="B2340" s="4">
        <v>26</v>
      </c>
      <c r="C2340" s="5">
        <v>14.94</v>
      </c>
      <c r="D2340" s="4">
        <v>3</v>
      </c>
      <c r="E2340" s="5">
        <v>3.95</v>
      </c>
      <c r="F2340" s="4">
        <v>23</v>
      </c>
      <c r="G2340" s="5">
        <v>25.27</v>
      </c>
      <c r="H2340" s="4">
        <v>0</v>
      </c>
    </row>
    <row r="2341" spans="1:8" x14ac:dyDescent="0.2">
      <c r="A2341" s="2" t="s">
        <v>192</v>
      </c>
      <c r="B2341" s="4">
        <v>12</v>
      </c>
      <c r="C2341" s="5">
        <v>6.9</v>
      </c>
      <c r="D2341" s="4">
        <v>3</v>
      </c>
      <c r="E2341" s="5">
        <v>3.95</v>
      </c>
      <c r="F2341" s="4">
        <v>9</v>
      </c>
      <c r="G2341" s="5">
        <v>9.89</v>
      </c>
      <c r="H2341" s="4">
        <v>0</v>
      </c>
    </row>
    <row r="2342" spans="1:8" x14ac:dyDescent="0.2">
      <c r="A2342" s="2" t="s">
        <v>193</v>
      </c>
      <c r="B2342" s="4">
        <v>3</v>
      </c>
      <c r="C2342" s="5">
        <v>1.72</v>
      </c>
      <c r="D2342" s="4">
        <v>0</v>
      </c>
      <c r="E2342" s="5">
        <v>0</v>
      </c>
      <c r="F2342" s="4">
        <v>1</v>
      </c>
      <c r="G2342" s="5">
        <v>1.1000000000000001</v>
      </c>
      <c r="H2342" s="4">
        <v>0</v>
      </c>
    </row>
    <row r="2343" spans="1:8" x14ac:dyDescent="0.2">
      <c r="A2343" s="2" t="s">
        <v>194</v>
      </c>
      <c r="B2343" s="4">
        <v>0</v>
      </c>
      <c r="C2343" s="5">
        <v>0</v>
      </c>
      <c r="D2343" s="4">
        <v>0</v>
      </c>
      <c r="E2343" s="5">
        <v>0</v>
      </c>
      <c r="F2343" s="4">
        <v>0</v>
      </c>
      <c r="G2343" s="5">
        <v>0</v>
      </c>
      <c r="H2343" s="4">
        <v>0</v>
      </c>
    </row>
    <row r="2344" spans="1:8" x14ac:dyDescent="0.2">
      <c r="A2344" s="2" t="s">
        <v>195</v>
      </c>
      <c r="B2344" s="4">
        <v>3</v>
      </c>
      <c r="C2344" s="5">
        <v>1.72</v>
      </c>
      <c r="D2344" s="4">
        <v>1</v>
      </c>
      <c r="E2344" s="5">
        <v>1.32</v>
      </c>
      <c r="F2344" s="4">
        <v>2</v>
      </c>
      <c r="G2344" s="5">
        <v>2.2000000000000002</v>
      </c>
      <c r="H2344" s="4">
        <v>0</v>
      </c>
    </row>
    <row r="2345" spans="1:8" x14ac:dyDescent="0.2">
      <c r="A2345" s="2" t="s">
        <v>196</v>
      </c>
      <c r="B2345" s="4">
        <v>45</v>
      </c>
      <c r="C2345" s="5">
        <v>25.86</v>
      </c>
      <c r="D2345" s="4">
        <v>15</v>
      </c>
      <c r="E2345" s="5">
        <v>19.739999999999998</v>
      </c>
      <c r="F2345" s="4">
        <v>30</v>
      </c>
      <c r="G2345" s="5">
        <v>32.97</v>
      </c>
      <c r="H2345" s="4">
        <v>0</v>
      </c>
    </row>
    <row r="2346" spans="1:8" x14ac:dyDescent="0.2">
      <c r="A2346" s="2" t="s">
        <v>197</v>
      </c>
      <c r="B2346" s="4">
        <v>0</v>
      </c>
      <c r="C2346" s="5">
        <v>0</v>
      </c>
      <c r="D2346" s="4">
        <v>0</v>
      </c>
      <c r="E2346" s="5">
        <v>0</v>
      </c>
      <c r="F2346" s="4">
        <v>0</v>
      </c>
      <c r="G2346" s="5">
        <v>0</v>
      </c>
      <c r="H2346" s="4">
        <v>0</v>
      </c>
    </row>
    <row r="2347" spans="1:8" x14ac:dyDescent="0.2">
      <c r="A2347" s="2" t="s">
        <v>198</v>
      </c>
      <c r="B2347" s="4">
        <v>4</v>
      </c>
      <c r="C2347" s="5">
        <v>2.2999999999999998</v>
      </c>
      <c r="D2347" s="4">
        <v>0</v>
      </c>
      <c r="E2347" s="5">
        <v>0</v>
      </c>
      <c r="F2347" s="4">
        <v>4</v>
      </c>
      <c r="G2347" s="5">
        <v>4.4000000000000004</v>
      </c>
      <c r="H2347" s="4">
        <v>0</v>
      </c>
    </row>
    <row r="2348" spans="1:8" x14ac:dyDescent="0.2">
      <c r="A2348" s="2" t="s">
        <v>199</v>
      </c>
      <c r="B2348" s="4">
        <v>10</v>
      </c>
      <c r="C2348" s="5">
        <v>5.75</v>
      </c>
      <c r="D2348" s="4">
        <v>5</v>
      </c>
      <c r="E2348" s="5">
        <v>6.58</v>
      </c>
      <c r="F2348" s="4">
        <v>4</v>
      </c>
      <c r="G2348" s="5">
        <v>4.4000000000000004</v>
      </c>
      <c r="H2348" s="4">
        <v>1</v>
      </c>
    </row>
    <row r="2349" spans="1:8" x14ac:dyDescent="0.2">
      <c r="A2349" s="2" t="s">
        <v>200</v>
      </c>
      <c r="B2349" s="4">
        <v>30</v>
      </c>
      <c r="C2349" s="5">
        <v>17.239999999999998</v>
      </c>
      <c r="D2349" s="4">
        <v>20</v>
      </c>
      <c r="E2349" s="5">
        <v>26.32</v>
      </c>
      <c r="F2349" s="4">
        <v>7</v>
      </c>
      <c r="G2349" s="5">
        <v>7.69</v>
      </c>
      <c r="H2349" s="4">
        <v>0</v>
      </c>
    </row>
    <row r="2350" spans="1:8" x14ac:dyDescent="0.2">
      <c r="A2350" s="2" t="s">
        <v>201</v>
      </c>
      <c r="B2350" s="4">
        <v>19</v>
      </c>
      <c r="C2350" s="5">
        <v>10.92</v>
      </c>
      <c r="D2350" s="4">
        <v>17</v>
      </c>
      <c r="E2350" s="5">
        <v>22.37</v>
      </c>
      <c r="F2350" s="4">
        <v>2</v>
      </c>
      <c r="G2350" s="5">
        <v>2.2000000000000002</v>
      </c>
      <c r="H2350" s="4">
        <v>0</v>
      </c>
    </row>
    <row r="2351" spans="1:8" x14ac:dyDescent="0.2">
      <c r="A2351" s="2" t="s">
        <v>202</v>
      </c>
      <c r="B2351" s="4">
        <v>5</v>
      </c>
      <c r="C2351" s="5">
        <v>2.87</v>
      </c>
      <c r="D2351" s="4">
        <v>5</v>
      </c>
      <c r="E2351" s="5">
        <v>6.58</v>
      </c>
      <c r="F2351" s="4">
        <v>0</v>
      </c>
      <c r="G2351" s="5">
        <v>0</v>
      </c>
      <c r="H2351" s="4">
        <v>0</v>
      </c>
    </row>
    <row r="2352" spans="1:8" x14ac:dyDescent="0.2">
      <c r="A2352" s="2" t="s">
        <v>203</v>
      </c>
      <c r="B2352" s="4">
        <v>5</v>
      </c>
      <c r="C2352" s="5">
        <v>2.87</v>
      </c>
      <c r="D2352" s="4">
        <v>4</v>
      </c>
      <c r="E2352" s="5">
        <v>5.26</v>
      </c>
      <c r="F2352" s="4">
        <v>1</v>
      </c>
      <c r="G2352" s="5">
        <v>1.1000000000000001</v>
      </c>
      <c r="H2352" s="4">
        <v>0</v>
      </c>
    </row>
    <row r="2353" spans="1:8" x14ac:dyDescent="0.2">
      <c r="A2353" s="2" t="s">
        <v>204</v>
      </c>
      <c r="B2353" s="4">
        <v>12</v>
      </c>
      <c r="C2353" s="5">
        <v>6.9</v>
      </c>
      <c r="D2353" s="4">
        <v>3</v>
      </c>
      <c r="E2353" s="5">
        <v>3.95</v>
      </c>
      <c r="F2353" s="4">
        <v>8</v>
      </c>
      <c r="G2353" s="5">
        <v>8.7899999999999991</v>
      </c>
      <c r="H2353" s="4">
        <v>1</v>
      </c>
    </row>
    <row r="2354" spans="1:8" x14ac:dyDescent="0.2">
      <c r="A2354" s="1" t="s">
        <v>147</v>
      </c>
      <c r="B2354" s="4">
        <v>131</v>
      </c>
      <c r="C2354" s="5">
        <v>100.00999999999998</v>
      </c>
      <c r="D2354" s="4">
        <v>63</v>
      </c>
      <c r="E2354" s="5">
        <v>99.970000000000013</v>
      </c>
      <c r="F2354" s="4">
        <v>61</v>
      </c>
      <c r="G2354" s="5">
        <v>100.01000000000002</v>
      </c>
      <c r="H2354" s="4">
        <v>1</v>
      </c>
    </row>
    <row r="2355" spans="1:8" x14ac:dyDescent="0.2">
      <c r="A2355" s="2" t="s">
        <v>190</v>
      </c>
      <c r="B2355" s="4">
        <v>0</v>
      </c>
      <c r="C2355" s="5">
        <v>0</v>
      </c>
      <c r="D2355" s="4">
        <v>0</v>
      </c>
      <c r="E2355" s="5">
        <v>0</v>
      </c>
      <c r="F2355" s="4">
        <v>0</v>
      </c>
      <c r="G2355" s="5">
        <v>0</v>
      </c>
      <c r="H2355" s="4">
        <v>0</v>
      </c>
    </row>
    <row r="2356" spans="1:8" x14ac:dyDescent="0.2">
      <c r="A2356" s="2" t="s">
        <v>191</v>
      </c>
      <c r="B2356" s="4">
        <v>18</v>
      </c>
      <c r="C2356" s="5">
        <v>13.74</v>
      </c>
      <c r="D2356" s="4">
        <v>6</v>
      </c>
      <c r="E2356" s="5">
        <v>9.52</v>
      </c>
      <c r="F2356" s="4">
        <v>12</v>
      </c>
      <c r="G2356" s="5">
        <v>19.670000000000002</v>
      </c>
      <c r="H2356" s="4">
        <v>0</v>
      </c>
    </row>
    <row r="2357" spans="1:8" x14ac:dyDescent="0.2">
      <c r="A2357" s="2" t="s">
        <v>192</v>
      </c>
      <c r="B2357" s="4">
        <v>16</v>
      </c>
      <c r="C2357" s="5">
        <v>12.21</v>
      </c>
      <c r="D2357" s="4">
        <v>6</v>
      </c>
      <c r="E2357" s="5">
        <v>9.52</v>
      </c>
      <c r="F2357" s="4">
        <v>9</v>
      </c>
      <c r="G2357" s="5">
        <v>14.75</v>
      </c>
      <c r="H2357" s="4">
        <v>1</v>
      </c>
    </row>
    <row r="2358" spans="1:8" x14ac:dyDescent="0.2">
      <c r="A2358" s="2" t="s">
        <v>193</v>
      </c>
      <c r="B2358" s="4">
        <v>2</v>
      </c>
      <c r="C2358" s="5">
        <v>1.53</v>
      </c>
      <c r="D2358" s="4">
        <v>0</v>
      </c>
      <c r="E2358" s="5">
        <v>0</v>
      </c>
      <c r="F2358" s="4">
        <v>1</v>
      </c>
      <c r="G2358" s="5">
        <v>1.64</v>
      </c>
      <c r="H2358" s="4">
        <v>0</v>
      </c>
    </row>
    <row r="2359" spans="1:8" x14ac:dyDescent="0.2">
      <c r="A2359" s="2" t="s">
        <v>194</v>
      </c>
      <c r="B2359" s="4">
        <v>0</v>
      </c>
      <c r="C2359" s="5">
        <v>0</v>
      </c>
      <c r="D2359" s="4">
        <v>0</v>
      </c>
      <c r="E2359" s="5">
        <v>0</v>
      </c>
      <c r="F2359" s="4">
        <v>0</v>
      </c>
      <c r="G2359" s="5">
        <v>0</v>
      </c>
      <c r="H2359" s="4">
        <v>0</v>
      </c>
    </row>
    <row r="2360" spans="1:8" x14ac:dyDescent="0.2">
      <c r="A2360" s="2" t="s">
        <v>195</v>
      </c>
      <c r="B2360" s="4">
        <v>2</v>
      </c>
      <c r="C2360" s="5">
        <v>1.53</v>
      </c>
      <c r="D2360" s="4">
        <v>0</v>
      </c>
      <c r="E2360" s="5">
        <v>0</v>
      </c>
      <c r="F2360" s="4">
        <v>2</v>
      </c>
      <c r="G2360" s="5">
        <v>3.28</v>
      </c>
      <c r="H2360" s="4">
        <v>0</v>
      </c>
    </row>
    <row r="2361" spans="1:8" x14ac:dyDescent="0.2">
      <c r="A2361" s="2" t="s">
        <v>196</v>
      </c>
      <c r="B2361" s="4">
        <v>35</v>
      </c>
      <c r="C2361" s="5">
        <v>26.72</v>
      </c>
      <c r="D2361" s="4">
        <v>19</v>
      </c>
      <c r="E2361" s="5">
        <v>30.16</v>
      </c>
      <c r="F2361" s="4">
        <v>16</v>
      </c>
      <c r="G2361" s="5">
        <v>26.23</v>
      </c>
      <c r="H2361" s="4">
        <v>0</v>
      </c>
    </row>
    <row r="2362" spans="1:8" x14ac:dyDescent="0.2">
      <c r="A2362" s="2" t="s">
        <v>197</v>
      </c>
      <c r="B2362" s="4">
        <v>0</v>
      </c>
      <c r="C2362" s="5">
        <v>0</v>
      </c>
      <c r="D2362" s="4">
        <v>0</v>
      </c>
      <c r="E2362" s="5">
        <v>0</v>
      </c>
      <c r="F2362" s="4">
        <v>0</v>
      </c>
      <c r="G2362" s="5">
        <v>0</v>
      </c>
      <c r="H2362" s="4">
        <v>0</v>
      </c>
    </row>
    <row r="2363" spans="1:8" x14ac:dyDescent="0.2">
      <c r="A2363" s="2" t="s">
        <v>198</v>
      </c>
      <c r="B2363" s="4">
        <v>6</v>
      </c>
      <c r="C2363" s="5">
        <v>4.58</v>
      </c>
      <c r="D2363" s="4">
        <v>0</v>
      </c>
      <c r="E2363" s="5">
        <v>0</v>
      </c>
      <c r="F2363" s="4">
        <v>5</v>
      </c>
      <c r="G2363" s="5">
        <v>8.1999999999999993</v>
      </c>
      <c r="H2363" s="4">
        <v>0</v>
      </c>
    </row>
    <row r="2364" spans="1:8" x14ac:dyDescent="0.2">
      <c r="A2364" s="2" t="s">
        <v>199</v>
      </c>
      <c r="B2364" s="4">
        <v>5</v>
      </c>
      <c r="C2364" s="5">
        <v>3.82</v>
      </c>
      <c r="D2364" s="4">
        <v>2</v>
      </c>
      <c r="E2364" s="5">
        <v>3.17</v>
      </c>
      <c r="F2364" s="4">
        <v>3</v>
      </c>
      <c r="G2364" s="5">
        <v>4.92</v>
      </c>
      <c r="H2364" s="4">
        <v>0</v>
      </c>
    </row>
    <row r="2365" spans="1:8" x14ac:dyDescent="0.2">
      <c r="A2365" s="2" t="s">
        <v>200</v>
      </c>
      <c r="B2365" s="4">
        <v>20</v>
      </c>
      <c r="C2365" s="5">
        <v>15.27</v>
      </c>
      <c r="D2365" s="4">
        <v>13</v>
      </c>
      <c r="E2365" s="5">
        <v>20.63</v>
      </c>
      <c r="F2365" s="4">
        <v>6</v>
      </c>
      <c r="G2365" s="5">
        <v>9.84</v>
      </c>
      <c r="H2365" s="4">
        <v>0</v>
      </c>
    </row>
    <row r="2366" spans="1:8" x14ac:dyDescent="0.2">
      <c r="A2366" s="2" t="s">
        <v>201</v>
      </c>
      <c r="B2366" s="4">
        <v>14</v>
      </c>
      <c r="C2366" s="5">
        <v>10.69</v>
      </c>
      <c r="D2366" s="4">
        <v>11</v>
      </c>
      <c r="E2366" s="5">
        <v>17.46</v>
      </c>
      <c r="F2366" s="4">
        <v>1</v>
      </c>
      <c r="G2366" s="5">
        <v>1.64</v>
      </c>
      <c r="H2366" s="4">
        <v>0</v>
      </c>
    </row>
    <row r="2367" spans="1:8" x14ac:dyDescent="0.2">
      <c r="A2367" s="2" t="s">
        <v>202</v>
      </c>
      <c r="B2367" s="4">
        <v>4</v>
      </c>
      <c r="C2367" s="5">
        <v>3.05</v>
      </c>
      <c r="D2367" s="4">
        <v>2</v>
      </c>
      <c r="E2367" s="5">
        <v>3.17</v>
      </c>
      <c r="F2367" s="4">
        <v>1</v>
      </c>
      <c r="G2367" s="5">
        <v>1.64</v>
      </c>
      <c r="H2367" s="4">
        <v>0</v>
      </c>
    </row>
    <row r="2368" spans="1:8" x14ac:dyDescent="0.2">
      <c r="A2368" s="2" t="s">
        <v>203</v>
      </c>
      <c r="B2368" s="4">
        <v>5</v>
      </c>
      <c r="C2368" s="5">
        <v>3.82</v>
      </c>
      <c r="D2368" s="4">
        <v>2</v>
      </c>
      <c r="E2368" s="5">
        <v>3.17</v>
      </c>
      <c r="F2368" s="4">
        <v>3</v>
      </c>
      <c r="G2368" s="5">
        <v>4.92</v>
      </c>
      <c r="H2368" s="4">
        <v>0</v>
      </c>
    </row>
    <row r="2369" spans="1:8" x14ac:dyDescent="0.2">
      <c r="A2369" s="2" t="s">
        <v>204</v>
      </c>
      <c r="B2369" s="4">
        <v>4</v>
      </c>
      <c r="C2369" s="5">
        <v>3.05</v>
      </c>
      <c r="D2369" s="4">
        <v>2</v>
      </c>
      <c r="E2369" s="5">
        <v>3.17</v>
      </c>
      <c r="F2369" s="4">
        <v>2</v>
      </c>
      <c r="G2369" s="5">
        <v>3.28</v>
      </c>
      <c r="H2369" s="4">
        <v>0</v>
      </c>
    </row>
    <row r="2370" spans="1:8" x14ac:dyDescent="0.2">
      <c r="A2370" s="1" t="s">
        <v>148</v>
      </c>
      <c r="B2370" s="4">
        <v>82</v>
      </c>
      <c r="C2370" s="5">
        <v>100.01999999999998</v>
      </c>
      <c r="D2370" s="4">
        <v>41</v>
      </c>
      <c r="E2370" s="5">
        <v>100</v>
      </c>
      <c r="F2370" s="4">
        <v>38</v>
      </c>
      <c r="G2370" s="5">
        <v>99.99</v>
      </c>
      <c r="H2370" s="4">
        <v>0</v>
      </c>
    </row>
    <row r="2371" spans="1:8" x14ac:dyDescent="0.2">
      <c r="A2371" s="2" t="s">
        <v>190</v>
      </c>
      <c r="B2371" s="4">
        <v>0</v>
      </c>
      <c r="C2371" s="5">
        <v>0</v>
      </c>
      <c r="D2371" s="4">
        <v>0</v>
      </c>
      <c r="E2371" s="5">
        <v>0</v>
      </c>
      <c r="F2371" s="4">
        <v>0</v>
      </c>
      <c r="G2371" s="5">
        <v>0</v>
      </c>
      <c r="H2371" s="4">
        <v>0</v>
      </c>
    </row>
    <row r="2372" spans="1:8" x14ac:dyDescent="0.2">
      <c r="A2372" s="2" t="s">
        <v>191</v>
      </c>
      <c r="B2372" s="4">
        <v>6</v>
      </c>
      <c r="C2372" s="5">
        <v>7.32</v>
      </c>
      <c r="D2372" s="4">
        <v>1</v>
      </c>
      <c r="E2372" s="5">
        <v>2.44</v>
      </c>
      <c r="F2372" s="4">
        <v>5</v>
      </c>
      <c r="G2372" s="5">
        <v>13.16</v>
      </c>
      <c r="H2372" s="4">
        <v>0</v>
      </c>
    </row>
    <row r="2373" spans="1:8" x14ac:dyDescent="0.2">
      <c r="A2373" s="2" t="s">
        <v>192</v>
      </c>
      <c r="B2373" s="4">
        <v>6</v>
      </c>
      <c r="C2373" s="5">
        <v>7.32</v>
      </c>
      <c r="D2373" s="4">
        <v>1</v>
      </c>
      <c r="E2373" s="5">
        <v>2.44</v>
      </c>
      <c r="F2373" s="4">
        <v>5</v>
      </c>
      <c r="G2373" s="5">
        <v>13.16</v>
      </c>
      <c r="H2373" s="4">
        <v>0</v>
      </c>
    </row>
    <row r="2374" spans="1:8" x14ac:dyDescent="0.2">
      <c r="A2374" s="2" t="s">
        <v>193</v>
      </c>
      <c r="B2374" s="4">
        <v>1</v>
      </c>
      <c r="C2374" s="5">
        <v>1.22</v>
      </c>
      <c r="D2374" s="4">
        <v>0</v>
      </c>
      <c r="E2374" s="5">
        <v>0</v>
      </c>
      <c r="F2374" s="4">
        <v>0</v>
      </c>
      <c r="G2374" s="5">
        <v>0</v>
      </c>
      <c r="H2374" s="4">
        <v>0</v>
      </c>
    </row>
    <row r="2375" spans="1:8" x14ac:dyDescent="0.2">
      <c r="A2375" s="2" t="s">
        <v>194</v>
      </c>
      <c r="B2375" s="4">
        <v>0</v>
      </c>
      <c r="C2375" s="5">
        <v>0</v>
      </c>
      <c r="D2375" s="4">
        <v>0</v>
      </c>
      <c r="E2375" s="5">
        <v>0</v>
      </c>
      <c r="F2375" s="4">
        <v>0</v>
      </c>
      <c r="G2375" s="5">
        <v>0</v>
      </c>
      <c r="H2375" s="4">
        <v>0</v>
      </c>
    </row>
    <row r="2376" spans="1:8" x14ac:dyDescent="0.2">
      <c r="A2376" s="2" t="s">
        <v>195</v>
      </c>
      <c r="B2376" s="4">
        <v>1</v>
      </c>
      <c r="C2376" s="5">
        <v>1.22</v>
      </c>
      <c r="D2376" s="4">
        <v>0</v>
      </c>
      <c r="E2376" s="5">
        <v>0</v>
      </c>
      <c r="F2376" s="4">
        <v>1</v>
      </c>
      <c r="G2376" s="5">
        <v>2.63</v>
      </c>
      <c r="H2376" s="4">
        <v>0</v>
      </c>
    </row>
    <row r="2377" spans="1:8" x14ac:dyDescent="0.2">
      <c r="A2377" s="2" t="s">
        <v>196</v>
      </c>
      <c r="B2377" s="4">
        <v>23</v>
      </c>
      <c r="C2377" s="5">
        <v>28.05</v>
      </c>
      <c r="D2377" s="4">
        <v>16</v>
      </c>
      <c r="E2377" s="5">
        <v>39.020000000000003</v>
      </c>
      <c r="F2377" s="4">
        <v>7</v>
      </c>
      <c r="G2377" s="5">
        <v>18.420000000000002</v>
      </c>
      <c r="H2377" s="4">
        <v>0</v>
      </c>
    </row>
    <row r="2378" spans="1:8" x14ac:dyDescent="0.2">
      <c r="A2378" s="2" t="s">
        <v>197</v>
      </c>
      <c r="B2378" s="4">
        <v>1</v>
      </c>
      <c r="C2378" s="5">
        <v>1.22</v>
      </c>
      <c r="D2378" s="4">
        <v>0</v>
      </c>
      <c r="E2378" s="5">
        <v>0</v>
      </c>
      <c r="F2378" s="4">
        <v>1</v>
      </c>
      <c r="G2378" s="5">
        <v>2.63</v>
      </c>
      <c r="H2378" s="4">
        <v>0</v>
      </c>
    </row>
    <row r="2379" spans="1:8" x14ac:dyDescent="0.2">
      <c r="A2379" s="2" t="s">
        <v>198</v>
      </c>
      <c r="B2379" s="4">
        <v>8</v>
      </c>
      <c r="C2379" s="5">
        <v>9.76</v>
      </c>
      <c r="D2379" s="4">
        <v>4</v>
      </c>
      <c r="E2379" s="5">
        <v>9.76</v>
      </c>
      <c r="F2379" s="4">
        <v>3</v>
      </c>
      <c r="G2379" s="5">
        <v>7.89</v>
      </c>
      <c r="H2379" s="4">
        <v>0</v>
      </c>
    </row>
    <row r="2380" spans="1:8" x14ac:dyDescent="0.2">
      <c r="A2380" s="2" t="s">
        <v>199</v>
      </c>
      <c r="B2380" s="4">
        <v>3</v>
      </c>
      <c r="C2380" s="5">
        <v>3.66</v>
      </c>
      <c r="D2380" s="4">
        <v>0</v>
      </c>
      <c r="E2380" s="5">
        <v>0</v>
      </c>
      <c r="F2380" s="4">
        <v>3</v>
      </c>
      <c r="G2380" s="5">
        <v>7.89</v>
      </c>
      <c r="H2380" s="4">
        <v>0</v>
      </c>
    </row>
    <row r="2381" spans="1:8" x14ac:dyDescent="0.2">
      <c r="A2381" s="2" t="s">
        <v>200</v>
      </c>
      <c r="B2381" s="4">
        <v>15</v>
      </c>
      <c r="C2381" s="5">
        <v>18.29</v>
      </c>
      <c r="D2381" s="4">
        <v>10</v>
      </c>
      <c r="E2381" s="5">
        <v>24.39</v>
      </c>
      <c r="F2381" s="4">
        <v>5</v>
      </c>
      <c r="G2381" s="5">
        <v>13.16</v>
      </c>
      <c r="H2381" s="4">
        <v>0</v>
      </c>
    </row>
    <row r="2382" spans="1:8" x14ac:dyDescent="0.2">
      <c r="A2382" s="2" t="s">
        <v>201</v>
      </c>
      <c r="B2382" s="4">
        <v>6</v>
      </c>
      <c r="C2382" s="5">
        <v>7.32</v>
      </c>
      <c r="D2382" s="4">
        <v>6</v>
      </c>
      <c r="E2382" s="5">
        <v>14.63</v>
      </c>
      <c r="F2382" s="4">
        <v>0</v>
      </c>
      <c r="G2382" s="5">
        <v>0</v>
      </c>
      <c r="H2382" s="4">
        <v>0</v>
      </c>
    </row>
    <row r="2383" spans="1:8" x14ac:dyDescent="0.2">
      <c r="A2383" s="2" t="s">
        <v>202</v>
      </c>
      <c r="B2383" s="4">
        <v>2</v>
      </c>
      <c r="C2383" s="5">
        <v>2.44</v>
      </c>
      <c r="D2383" s="4">
        <v>1</v>
      </c>
      <c r="E2383" s="5">
        <v>2.44</v>
      </c>
      <c r="F2383" s="4">
        <v>1</v>
      </c>
      <c r="G2383" s="5">
        <v>2.63</v>
      </c>
      <c r="H2383" s="4">
        <v>0</v>
      </c>
    </row>
    <row r="2384" spans="1:8" x14ac:dyDescent="0.2">
      <c r="A2384" s="2" t="s">
        <v>203</v>
      </c>
      <c r="B2384" s="4">
        <v>5</v>
      </c>
      <c r="C2384" s="5">
        <v>6.1</v>
      </c>
      <c r="D2384" s="4">
        <v>0</v>
      </c>
      <c r="E2384" s="5">
        <v>0</v>
      </c>
      <c r="F2384" s="4">
        <v>4</v>
      </c>
      <c r="G2384" s="5">
        <v>10.53</v>
      </c>
      <c r="H2384" s="4">
        <v>0</v>
      </c>
    </row>
    <row r="2385" spans="1:8" x14ac:dyDescent="0.2">
      <c r="A2385" s="2" t="s">
        <v>204</v>
      </c>
      <c r="B2385" s="4">
        <v>5</v>
      </c>
      <c r="C2385" s="5">
        <v>6.1</v>
      </c>
      <c r="D2385" s="4">
        <v>2</v>
      </c>
      <c r="E2385" s="5">
        <v>4.88</v>
      </c>
      <c r="F2385" s="4">
        <v>3</v>
      </c>
      <c r="G2385" s="5">
        <v>7.89</v>
      </c>
      <c r="H2385" s="4">
        <v>0</v>
      </c>
    </row>
    <row r="2386" spans="1:8" x14ac:dyDescent="0.2">
      <c r="A2386" s="1" t="s">
        <v>149</v>
      </c>
      <c r="B2386" s="4">
        <v>407</v>
      </c>
      <c r="C2386" s="5">
        <v>100.01</v>
      </c>
      <c r="D2386" s="4">
        <v>201</v>
      </c>
      <c r="E2386" s="5">
        <v>100.02000000000001</v>
      </c>
      <c r="F2386" s="4">
        <v>195</v>
      </c>
      <c r="G2386" s="5">
        <v>99.990000000000009</v>
      </c>
      <c r="H2386" s="4">
        <v>1</v>
      </c>
    </row>
    <row r="2387" spans="1:8" x14ac:dyDescent="0.2">
      <c r="A2387" s="2" t="s">
        <v>190</v>
      </c>
      <c r="B2387" s="4">
        <v>1</v>
      </c>
      <c r="C2387" s="5">
        <v>0.25</v>
      </c>
      <c r="D2387" s="4">
        <v>0</v>
      </c>
      <c r="E2387" s="5">
        <v>0</v>
      </c>
      <c r="F2387" s="4">
        <v>1</v>
      </c>
      <c r="G2387" s="5">
        <v>0.51</v>
      </c>
      <c r="H2387" s="4">
        <v>0</v>
      </c>
    </row>
    <row r="2388" spans="1:8" x14ac:dyDescent="0.2">
      <c r="A2388" s="2" t="s">
        <v>191</v>
      </c>
      <c r="B2388" s="4">
        <v>55</v>
      </c>
      <c r="C2388" s="5">
        <v>13.51</v>
      </c>
      <c r="D2388" s="4">
        <v>22</v>
      </c>
      <c r="E2388" s="5">
        <v>10.95</v>
      </c>
      <c r="F2388" s="4">
        <v>33</v>
      </c>
      <c r="G2388" s="5">
        <v>16.920000000000002</v>
      </c>
      <c r="H2388" s="4">
        <v>0</v>
      </c>
    </row>
    <row r="2389" spans="1:8" x14ac:dyDescent="0.2">
      <c r="A2389" s="2" t="s">
        <v>192</v>
      </c>
      <c r="B2389" s="4">
        <v>43</v>
      </c>
      <c r="C2389" s="5">
        <v>10.57</v>
      </c>
      <c r="D2389" s="4">
        <v>10</v>
      </c>
      <c r="E2389" s="5">
        <v>4.9800000000000004</v>
      </c>
      <c r="F2389" s="4">
        <v>33</v>
      </c>
      <c r="G2389" s="5">
        <v>16.920000000000002</v>
      </c>
      <c r="H2389" s="4">
        <v>0</v>
      </c>
    </row>
    <row r="2390" spans="1:8" x14ac:dyDescent="0.2">
      <c r="A2390" s="2" t="s">
        <v>193</v>
      </c>
      <c r="B2390" s="4">
        <v>1</v>
      </c>
      <c r="C2390" s="5">
        <v>0.25</v>
      </c>
      <c r="D2390" s="4">
        <v>0</v>
      </c>
      <c r="E2390" s="5">
        <v>0</v>
      </c>
      <c r="F2390" s="4">
        <v>1</v>
      </c>
      <c r="G2390" s="5">
        <v>0.51</v>
      </c>
      <c r="H2390" s="4">
        <v>0</v>
      </c>
    </row>
    <row r="2391" spans="1:8" x14ac:dyDescent="0.2">
      <c r="A2391" s="2" t="s">
        <v>194</v>
      </c>
      <c r="B2391" s="4">
        <v>4</v>
      </c>
      <c r="C2391" s="5">
        <v>0.98</v>
      </c>
      <c r="D2391" s="4">
        <v>1</v>
      </c>
      <c r="E2391" s="5">
        <v>0.5</v>
      </c>
      <c r="F2391" s="4">
        <v>3</v>
      </c>
      <c r="G2391" s="5">
        <v>1.54</v>
      </c>
      <c r="H2391" s="4">
        <v>0</v>
      </c>
    </row>
    <row r="2392" spans="1:8" x14ac:dyDescent="0.2">
      <c r="A2392" s="2" t="s">
        <v>195</v>
      </c>
      <c r="B2392" s="4">
        <v>8</v>
      </c>
      <c r="C2392" s="5">
        <v>1.97</v>
      </c>
      <c r="D2392" s="4">
        <v>1</v>
      </c>
      <c r="E2392" s="5">
        <v>0.5</v>
      </c>
      <c r="F2392" s="4">
        <v>7</v>
      </c>
      <c r="G2392" s="5">
        <v>3.59</v>
      </c>
      <c r="H2392" s="4">
        <v>0</v>
      </c>
    </row>
    <row r="2393" spans="1:8" x14ac:dyDescent="0.2">
      <c r="A2393" s="2" t="s">
        <v>196</v>
      </c>
      <c r="B2393" s="4">
        <v>95</v>
      </c>
      <c r="C2393" s="5">
        <v>23.34</v>
      </c>
      <c r="D2393" s="4">
        <v>33</v>
      </c>
      <c r="E2393" s="5">
        <v>16.420000000000002</v>
      </c>
      <c r="F2393" s="4">
        <v>62</v>
      </c>
      <c r="G2393" s="5">
        <v>31.79</v>
      </c>
      <c r="H2393" s="4">
        <v>0</v>
      </c>
    </row>
    <row r="2394" spans="1:8" x14ac:dyDescent="0.2">
      <c r="A2394" s="2" t="s">
        <v>197</v>
      </c>
      <c r="B2394" s="4">
        <v>3</v>
      </c>
      <c r="C2394" s="5">
        <v>0.74</v>
      </c>
      <c r="D2394" s="4">
        <v>1</v>
      </c>
      <c r="E2394" s="5">
        <v>0.5</v>
      </c>
      <c r="F2394" s="4">
        <v>2</v>
      </c>
      <c r="G2394" s="5">
        <v>1.03</v>
      </c>
      <c r="H2394" s="4">
        <v>0</v>
      </c>
    </row>
    <row r="2395" spans="1:8" x14ac:dyDescent="0.2">
      <c r="A2395" s="2" t="s">
        <v>198</v>
      </c>
      <c r="B2395" s="4">
        <v>18</v>
      </c>
      <c r="C2395" s="5">
        <v>4.42</v>
      </c>
      <c r="D2395" s="4">
        <v>8</v>
      </c>
      <c r="E2395" s="5">
        <v>3.98</v>
      </c>
      <c r="F2395" s="4">
        <v>10</v>
      </c>
      <c r="G2395" s="5">
        <v>5.13</v>
      </c>
      <c r="H2395" s="4">
        <v>0</v>
      </c>
    </row>
    <row r="2396" spans="1:8" x14ac:dyDescent="0.2">
      <c r="A2396" s="2" t="s">
        <v>199</v>
      </c>
      <c r="B2396" s="4">
        <v>7</v>
      </c>
      <c r="C2396" s="5">
        <v>1.72</v>
      </c>
      <c r="D2396" s="4">
        <v>4</v>
      </c>
      <c r="E2396" s="5">
        <v>1.99</v>
      </c>
      <c r="F2396" s="4">
        <v>3</v>
      </c>
      <c r="G2396" s="5">
        <v>1.54</v>
      </c>
      <c r="H2396" s="4">
        <v>0</v>
      </c>
    </row>
    <row r="2397" spans="1:8" x14ac:dyDescent="0.2">
      <c r="A2397" s="2" t="s">
        <v>200</v>
      </c>
      <c r="B2397" s="4">
        <v>67</v>
      </c>
      <c r="C2397" s="5">
        <v>16.46</v>
      </c>
      <c r="D2397" s="4">
        <v>55</v>
      </c>
      <c r="E2397" s="5">
        <v>27.36</v>
      </c>
      <c r="F2397" s="4">
        <v>11</v>
      </c>
      <c r="G2397" s="5">
        <v>5.64</v>
      </c>
      <c r="H2397" s="4">
        <v>0</v>
      </c>
    </row>
    <row r="2398" spans="1:8" x14ac:dyDescent="0.2">
      <c r="A2398" s="2" t="s">
        <v>201</v>
      </c>
      <c r="B2398" s="4">
        <v>54</v>
      </c>
      <c r="C2398" s="5">
        <v>13.27</v>
      </c>
      <c r="D2398" s="4">
        <v>45</v>
      </c>
      <c r="E2398" s="5">
        <v>22.39</v>
      </c>
      <c r="F2398" s="4">
        <v>7</v>
      </c>
      <c r="G2398" s="5">
        <v>3.59</v>
      </c>
      <c r="H2398" s="4">
        <v>0</v>
      </c>
    </row>
    <row r="2399" spans="1:8" x14ac:dyDescent="0.2">
      <c r="A2399" s="2" t="s">
        <v>202</v>
      </c>
      <c r="B2399" s="4">
        <v>7</v>
      </c>
      <c r="C2399" s="5">
        <v>1.72</v>
      </c>
      <c r="D2399" s="4">
        <v>4</v>
      </c>
      <c r="E2399" s="5">
        <v>1.99</v>
      </c>
      <c r="F2399" s="4">
        <v>1</v>
      </c>
      <c r="G2399" s="5">
        <v>0.51</v>
      </c>
      <c r="H2399" s="4">
        <v>0</v>
      </c>
    </row>
    <row r="2400" spans="1:8" x14ac:dyDescent="0.2">
      <c r="A2400" s="2" t="s">
        <v>203</v>
      </c>
      <c r="B2400" s="4">
        <v>24</v>
      </c>
      <c r="C2400" s="5">
        <v>5.9</v>
      </c>
      <c r="D2400" s="4">
        <v>9</v>
      </c>
      <c r="E2400" s="5">
        <v>4.4800000000000004</v>
      </c>
      <c r="F2400" s="4">
        <v>10</v>
      </c>
      <c r="G2400" s="5">
        <v>5.13</v>
      </c>
      <c r="H2400" s="4">
        <v>0</v>
      </c>
    </row>
    <row r="2401" spans="1:8" x14ac:dyDescent="0.2">
      <c r="A2401" s="2" t="s">
        <v>204</v>
      </c>
      <c r="B2401" s="4">
        <v>20</v>
      </c>
      <c r="C2401" s="5">
        <v>4.91</v>
      </c>
      <c r="D2401" s="4">
        <v>8</v>
      </c>
      <c r="E2401" s="5">
        <v>3.98</v>
      </c>
      <c r="F2401" s="4">
        <v>11</v>
      </c>
      <c r="G2401" s="5">
        <v>5.64</v>
      </c>
      <c r="H2401" s="4">
        <v>1</v>
      </c>
    </row>
    <row r="2402" spans="1:8" x14ac:dyDescent="0.2">
      <c r="A2402" s="1" t="s">
        <v>150</v>
      </c>
      <c r="B2402" s="4">
        <v>119</v>
      </c>
      <c r="C2402" s="5">
        <v>99.98</v>
      </c>
      <c r="D2402" s="4">
        <v>53</v>
      </c>
      <c r="E2402" s="5">
        <v>100.00000000000001</v>
      </c>
      <c r="F2402" s="4">
        <v>59</v>
      </c>
      <c r="G2402" s="5">
        <v>99.95999999999998</v>
      </c>
      <c r="H2402" s="4">
        <v>1</v>
      </c>
    </row>
    <row r="2403" spans="1:8" x14ac:dyDescent="0.2">
      <c r="A2403" s="2" t="s">
        <v>190</v>
      </c>
      <c r="B2403" s="4">
        <v>2</v>
      </c>
      <c r="C2403" s="5">
        <v>1.68</v>
      </c>
      <c r="D2403" s="4">
        <v>0</v>
      </c>
      <c r="E2403" s="5">
        <v>0</v>
      </c>
      <c r="F2403" s="4">
        <v>2</v>
      </c>
      <c r="G2403" s="5">
        <v>3.39</v>
      </c>
      <c r="H2403" s="4">
        <v>0</v>
      </c>
    </row>
    <row r="2404" spans="1:8" x14ac:dyDescent="0.2">
      <c r="A2404" s="2" t="s">
        <v>191</v>
      </c>
      <c r="B2404" s="4">
        <v>14</v>
      </c>
      <c r="C2404" s="5">
        <v>11.76</v>
      </c>
      <c r="D2404" s="4">
        <v>2</v>
      </c>
      <c r="E2404" s="5">
        <v>3.77</v>
      </c>
      <c r="F2404" s="4">
        <v>12</v>
      </c>
      <c r="G2404" s="5">
        <v>20.34</v>
      </c>
      <c r="H2404" s="4">
        <v>0</v>
      </c>
    </row>
    <row r="2405" spans="1:8" x14ac:dyDescent="0.2">
      <c r="A2405" s="2" t="s">
        <v>192</v>
      </c>
      <c r="B2405" s="4">
        <v>10</v>
      </c>
      <c r="C2405" s="5">
        <v>8.4</v>
      </c>
      <c r="D2405" s="4">
        <v>4</v>
      </c>
      <c r="E2405" s="5">
        <v>7.55</v>
      </c>
      <c r="F2405" s="4">
        <v>6</v>
      </c>
      <c r="G2405" s="5">
        <v>10.17</v>
      </c>
      <c r="H2405" s="4">
        <v>0</v>
      </c>
    </row>
    <row r="2406" spans="1:8" x14ac:dyDescent="0.2">
      <c r="A2406" s="2" t="s">
        <v>193</v>
      </c>
      <c r="B2406" s="4">
        <v>4</v>
      </c>
      <c r="C2406" s="5">
        <v>3.36</v>
      </c>
      <c r="D2406" s="4">
        <v>0</v>
      </c>
      <c r="E2406" s="5">
        <v>0</v>
      </c>
      <c r="F2406" s="4">
        <v>3</v>
      </c>
      <c r="G2406" s="5">
        <v>5.08</v>
      </c>
      <c r="H2406" s="4">
        <v>0</v>
      </c>
    </row>
    <row r="2407" spans="1:8" x14ac:dyDescent="0.2">
      <c r="A2407" s="2" t="s">
        <v>194</v>
      </c>
      <c r="B2407" s="4">
        <v>4</v>
      </c>
      <c r="C2407" s="5">
        <v>3.36</v>
      </c>
      <c r="D2407" s="4">
        <v>3</v>
      </c>
      <c r="E2407" s="5">
        <v>5.66</v>
      </c>
      <c r="F2407" s="4">
        <v>1</v>
      </c>
      <c r="G2407" s="5">
        <v>1.69</v>
      </c>
      <c r="H2407" s="4">
        <v>0</v>
      </c>
    </row>
    <row r="2408" spans="1:8" x14ac:dyDescent="0.2">
      <c r="A2408" s="2" t="s">
        <v>195</v>
      </c>
      <c r="B2408" s="4">
        <v>1</v>
      </c>
      <c r="C2408" s="5">
        <v>0.84</v>
      </c>
      <c r="D2408" s="4">
        <v>0</v>
      </c>
      <c r="E2408" s="5">
        <v>0</v>
      </c>
      <c r="F2408" s="4">
        <v>1</v>
      </c>
      <c r="G2408" s="5">
        <v>1.69</v>
      </c>
      <c r="H2408" s="4">
        <v>0</v>
      </c>
    </row>
    <row r="2409" spans="1:8" x14ac:dyDescent="0.2">
      <c r="A2409" s="2" t="s">
        <v>196</v>
      </c>
      <c r="B2409" s="4">
        <v>26</v>
      </c>
      <c r="C2409" s="5">
        <v>21.85</v>
      </c>
      <c r="D2409" s="4">
        <v>12</v>
      </c>
      <c r="E2409" s="5">
        <v>22.64</v>
      </c>
      <c r="F2409" s="4">
        <v>14</v>
      </c>
      <c r="G2409" s="5">
        <v>23.73</v>
      </c>
      <c r="H2409" s="4">
        <v>0</v>
      </c>
    </row>
    <row r="2410" spans="1:8" x14ac:dyDescent="0.2">
      <c r="A2410" s="2" t="s">
        <v>197</v>
      </c>
      <c r="B2410" s="4">
        <v>1</v>
      </c>
      <c r="C2410" s="5">
        <v>0.84</v>
      </c>
      <c r="D2410" s="4">
        <v>0</v>
      </c>
      <c r="E2410" s="5">
        <v>0</v>
      </c>
      <c r="F2410" s="4">
        <v>1</v>
      </c>
      <c r="G2410" s="5">
        <v>1.69</v>
      </c>
      <c r="H2410" s="4">
        <v>0</v>
      </c>
    </row>
    <row r="2411" spans="1:8" x14ac:dyDescent="0.2">
      <c r="A2411" s="2" t="s">
        <v>198</v>
      </c>
      <c r="B2411" s="4">
        <v>6</v>
      </c>
      <c r="C2411" s="5">
        <v>5.04</v>
      </c>
      <c r="D2411" s="4">
        <v>1</v>
      </c>
      <c r="E2411" s="5">
        <v>1.89</v>
      </c>
      <c r="F2411" s="4">
        <v>5</v>
      </c>
      <c r="G2411" s="5">
        <v>8.4700000000000006</v>
      </c>
      <c r="H2411" s="4">
        <v>0</v>
      </c>
    </row>
    <row r="2412" spans="1:8" x14ac:dyDescent="0.2">
      <c r="A2412" s="2" t="s">
        <v>199</v>
      </c>
      <c r="B2412" s="4">
        <v>4</v>
      </c>
      <c r="C2412" s="5">
        <v>3.36</v>
      </c>
      <c r="D2412" s="4">
        <v>2</v>
      </c>
      <c r="E2412" s="5">
        <v>3.77</v>
      </c>
      <c r="F2412" s="4">
        <v>1</v>
      </c>
      <c r="G2412" s="5">
        <v>1.69</v>
      </c>
      <c r="H2412" s="4">
        <v>0</v>
      </c>
    </row>
    <row r="2413" spans="1:8" x14ac:dyDescent="0.2">
      <c r="A2413" s="2" t="s">
        <v>200</v>
      </c>
      <c r="B2413" s="4">
        <v>18</v>
      </c>
      <c r="C2413" s="5">
        <v>15.13</v>
      </c>
      <c r="D2413" s="4">
        <v>15</v>
      </c>
      <c r="E2413" s="5">
        <v>28.3</v>
      </c>
      <c r="F2413" s="4">
        <v>3</v>
      </c>
      <c r="G2413" s="5">
        <v>5.08</v>
      </c>
      <c r="H2413" s="4">
        <v>0</v>
      </c>
    </row>
    <row r="2414" spans="1:8" x14ac:dyDescent="0.2">
      <c r="A2414" s="2" t="s">
        <v>201</v>
      </c>
      <c r="B2414" s="4">
        <v>11</v>
      </c>
      <c r="C2414" s="5">
        <v>9.24</v>
      </c>
      <c r="D2414" s="4">
        <v>7</v>
      </c>
      <c r="E2414" s="5">
        <v>13.21</v>
      </c>
      <c r="F2414" s="4">
        <v>2</v>
      </c>
      <c r="G2414" s="5">
        <v>3.39</v>
      </c>
      <c r="H2414" s="4">
        <v>0</v>
      </c>
    </row>
    <row r="2415" spans="1:8" x14ac:dyDescent="0.2">
      <c r="A2415" s="2" t="s">
        <v>202</v>
      </c>
      <c r="B2415" s="4">
        <v>1</v>
      </c>
      <c r="C2415" s="5">
        <v>0.84</v>
      </c>
      <c r="D2415" s="4">
        <v>1</v>
      </c>
      <c r="E2415" s="5">
        <v>1.89</v>
      </c>
      <c r="F2415" s="4">
        <v>0</v>
      </c>
      <c r="G2415" s="5">
        <v>0</v>
      </c>
      <c r="H2415" s="4">
        <v>0</v>
      </c>
    </row>
    <row r="2416" spans="1:8" x14ac:dyDescent="0.2">
      <c r="A2416" s="2" t="s">
        <v>203</v>
      </c>
      <c r="B2416" s="4">
        <v>9</v>
      </c>
      <c r="C2416" s="5">
        <v>7.56</v>
      </c>
      <c r="D2416" s="4">
        <v>4</v>
      </c>
      <c r="E2416" s="5">
        <v>7.55</v>
      </c>
      <c r="F2416" s="4">
        <v>3</v>
      </c>
      <c r="G2416" s="5">
        <v>5.08</v>
      </c>
      <c r="H2416" s="4">
        <v>0</v>
      </c>
    </row>
    <row r="2417" spans="1:8" x14ac:dyDescent="0.2">
      <c r="A2417" s="2" t="s">
        <v>204</v>
      </c>
      <c r="B2417" s="4">
        <v>8</v>
      </c>
      <c r="C2417" s="5">
        <v>6.72</v>
      </c>
      <c r="D2417" s="4">
        <v>2</v>
      </c>
      <c r="E2417" s="5">
        <v>3.77</v>
      </c>
      <c r="F2417" s="4">
        <v>5</v>
      </c>
      <c r="G2417" s="5">
        <v>8.4700000000000006</v>
      </c>
      <c r="H2417" s="4">
        <v>1</v>
      </c>
    </row>
    <row r="2418" spans="1:8" x14ac:dyDescent="0.2">
      <c r="A2418" s="1" t="s">
        <v>151</v>
      </c>
      <c r="B2418" s="4">
        <v>291</v>
      </c>
      <c r="C2418" s="5">
        <v>99.990000000000009</v>
      </c>
      <c r="D2418" s="4">
        <v>160</v>
      </c>
      <c r="E2418" s="5">
        <v>100.03999999999999</v>
      </c>
      <c r="F2418" s="4">
        <v>123</v>
      </c>
      <c r="G2418" s="5">
        <v>100.02</v>
      </c>
      <c r="H2418" s="4">
        <v>1</v>
      </c>
    </row>
    <row r="2419" spans="1:8" x14ac:dyDescent="0.2">
      <c r="A2419" s="2" t="s">
        <v>190</v>
      </c>
      <c r="B2419" s="4">
        <v>2</v>
      </c>
      <c r="C2419" s="5">
        <v>0.69</v>
      </c>
      <c r="D2419" s="4">
        <v>0</v>
      </c>
      <c r="E2419" s="5">
        <v>0</v>
      </c>
      <c r="F2419" s="4">
        <v>2</v>
      </c>
      <c r="G2419" s="5">
        <v>1.63</v>
      </c>
      <c r="H2419" s="4">
        <v>0</v>
      </c>
    </row>
    <row r="2420" spans="1:8" x14ac:dyDescent="0.2">
      <c r="A2420" s="2" t="s">
        <v>191</v>
      </c>
      <c r="B2420" s="4">
        <v>36</v>
      </c>
      <c r="C2420" s="5">
        <v>12.37</v>
      </c>
      <c r="D2420" s="4">
        <v>15</v>
      </c>
      <c r="E2420" s="5">
        <v>9.3800000000000008</v>
      </c>
      <c r="F2420" s="4">
        <v>21</v>
      </c>
      <c r="G2420" s="5">
        <v>17.07</v>
      </c>
      <c r="H2420" s="4">
        <v>0</v>
      </c>
    </row>
    <row r="2421" spans="1:8" x14ac:dyDescent="0.2">
      <c r="A2421" s="2" t="s">
        <v>192</v>
      </c>
      <c r="B2421" s="4">
        <v>20</v>
      </c>
      <c r="C2421" s="5">
        <v>6.87</v>
      </c>
      <c r="D2421" s="4">
        <v>5</v>
      </c>
      <c r="E2421" s="5">
        <v>3.13</v>
      </c>
      <c r="F2421" s="4">
        <v>15</v>
      </c>
      <c r="G2421" s="5">
        <v>12.2</v>
      </c>
      <c r="H2421" s="4">
        <v>0</v>
      </c>
    </row>
    <row r="2422" spans="1:8" x14ac:dyDescent="0.2">
      <c r="A2422" s="2" t="s">
        <v>193</v>
      </c>
      <c r="B2422" s="4">
        <v>0</v>
      </c>
      <c r="C2422" s="5">
        <v>0</v>
      </c>
      <c r="D2422" s="4">
        <v>0</v>
      </c>
      <c r="E2422" s="5">
        <v>0</v>
      </c>
      <c r="F2422" s="4">
        <v>0</v>
      </c>
      <c r="G2422" s="5">
        <v>0</v>
      </c>
      <c r="H2422" s="4">
        <v>0</v>
      </c>
    </row>
    <row r="2423" spans="1:8" x14ac:dyDescent="0.2">
      <c r="A2423" s="2" t="s">
        <v>194</v>
      </c>
      <c r="B2423" s="4">
        <v>0</v>
      </c>
      <c r="C2423" s="5">
        <v>0</v>
      </c>
      <c r="D2423" s="4">
        <v>0</v>
      </c>
      <c r="E2423" s="5">
        <v>0</v>
      </c>
      <c r="F2423" s="4">
        <v>0</v>
      </c>
      <c r="G2423" s="5">
        <v>0</v>
      </c>
      <c r="H2423" s="4">
        <v>0</v>
      </c>
    </row>
    <row r="2424" spans="1:8" x14ac:dyDescent="0.2">
      <c r="A2424" s="2" t="s">
        <v>195</v>
      </c>
      <c r="B2424" s="4">
        <v>3</v>
      </c>
      <c r="C2424" s="5">
        <v>1.03</v>
      </c>
      <c r="D2424" s="4">
        <v>1</v>
      </c>
      <c r="E2424" s="5">
        <v>0.63</v>
      </c>
      <c r="F2424" s="4">
        <v>2</v>
      </c>
      <c r="G2424" s="5">
        <v>1.63</v>
      </c>
      <c r="H2424" s="4">
        <v>0</v>
      </c>
    </row>
    <row r="2425" spans="1:8" x14ac:dyDescent="0.2">
      <c r="A2425" s="2" t="s">
        <v>196</v>
      </c>
      <c r="B2425" s="4">
        <v>61</v>
      </c>
      <c r="C2425" s="5">
        <v>20.96</v>
      </c>
      <c r="D2425" s="4">
        <v>31</v>
      </c>
      <c r="E2425" s="5">
        <v>19.38</v>
      </c>
      <c r="F2425" s="4">
        <v>30</v>
      </c>
      <c r="G2425" s="5">
        <v>24.39</v>
      </c>
      <c r="H2425" s="4">
        <v>0</v>
      </c>
    </row>
    <row r="2426" spans="1:8" x14ac:dyDescent="0.2">
      <c r="A2426" s="2" t="s">
        <v>197</v>
      </c>
      <c r="B2426" s="4">
        <v>2</v>
      </c>
      <c r="C2426" s="5">
        <v>0.69</v>
      </c>
      <c r="D2426" s="4">
        <v>0</v>
      </c>
      <c r="E2426" s="5">
        <v>0</v>
      </c>
      <c r="F2426" s="4">
        <v>2</v>
      </c>
      <c r="G2426" s="5">
        <v>1.63</v>
      </c>
      <c r="H2426" s="4">
        <v>0</v>
      </c>
    </row>
    <row r="2427" spans="1:8" x14ac:dyDescent="0.2">
      <c r="A2427" s="2" t="s">
        <v>198</v>
      </c>
      <c r="B2427" s="4">
        <v>23</v>
      </c>
      <c r="C2427" s="5">
        <v>7.9</v>
      </c>
      <c r="D2427" s="4">
        <v>9</v>
      </c>
      <c r="E2427" s="5">
        <v>5.63</v>
      </c>
      <c r="F2427" s="4">
        <v>14</v>
      </c>
      <c r="G2427" s="5">
        <v>11.38</v>
      </c>
      <c r="H2427" s="4">
        <v>0</v>
      </c>
    </row>
    <row r="2428" spans="1:8" x14ac:dyDescent="0.2">
      <c r="A2428" s="2" t="s">
        <v>199</v>
      </c>
      <c r="B2428" s="4">
        <v>11</v>
      </c>
      <c r="C2428" s="5">
        <v>3.78</v>
      </c>
      <c r="D2428" s="4">
        <v>8</v>
      </c>
      <c r="E2428" s="5">
        <v>5</v>
      </c>
      <c r="F2428" s="4">
        <v>3</v>
      </c>
      <c r="G2428" s="5">
        <v>2.44</v>
      </c>
      <c r="H2428" s="4">
        <v>0</v>
      </c>
    </row>
    <row r="2429" spans="1:8" x14ac:dyDescent="0.2">
      <c r="A2429" s="2" t="s">
        <v>200</v>
      </c>
      <c r="B2429" s="4">
        <v>77</v>
      </c>
      <c r="C2429" s="5">
        <v>26.46</v>
      </c>
      <c r="D2429" s="4">
        <v>51</v>
      </c>
      <c r="E2429" s="5">
        <v>31.88</v>
      </c>
      <c r="F2429" s="4">
        <v>26</v>
      </c>
      <c r="G2429" s="5">
        <v>21.14</v>
      </c>
      <c r="H2429" s="4">
        <v>0</v>
      </c>
    </row>
    <row r="2430" spans="1:8" x14ac:dyDescent="0.2">
      <c r="A2430" s="2" t="s">
        <v>201</v>
      </c>
      <c r="B2430" s="4">
        <v>32</v>
      </c>
      <c r="C2430" s="5">
        <v>11</v>
      </c>
      <c r="D2430" s="4">
        <v>28</v>
      </c>
      <c r="E2430" s="5">
        <v>17.5</v>
      </c>
      <c r="F2430" s="4">
        <v>2</v>
      </c>
      <c r="G2430" s="5">
        <v>1.63</v>
      </c>
      <c r="H2430" s="4">
        <v>0</v>
      </c>
    </row>
    <row r="2431" spans="1:8" x14ac:dyDescent="0.2">
      <c r="A2431" s="2" t="s">
        <v>202</v>
      </c>
      <c r="B2431" s="4">
        <v>11</v>
      </c>
      <c r="C2431" s="5">
        <v>3.78</v>
      </c>
      <c r="D2431" s="4">
        <v>5</v>
      </c>
      <c r="E2431" s="5">
        <v>3.13</v>
      </c>
      <c r="F2431" s="4">
        <v>0</v>
      </c>
      <c r="G2431" s="5">
        <v>0</v>
      </c>
      <c r="H2431" s="4">
        <v>1</v>
      </c>
    </row>
    <row r="2432" spans="1:8" x14ac:dyDescent="0.2">
      <c r="A2432" s="2" t="s">
        <v>203</v>
      </c>
      <c r="B2432" s="4">
        <v>9</v>
      </c>
      <c r="C2432" s="5">
        <v>3.09</v>
      </c>
      <c r="D2432" s="4">
        <v>5</v>
      </c>
      <c r="E2432" s="5">
        <v>3.13</v>
      </c>
      <c r="F2432" s="4">
        <v>4</v>
      </c>
      <c r="G2432" s="5">
        <v>3.25</v>
      </c>
      <c r="H2432" s="4">
        <v>0</v>
      </c>
    </row>
    <row r="2433" spans="1:8" x14ac:dyDescent="0.2">
      <c r="A2433" s="2" t="s">
        <v>204</v>
      </c>
      <c r="B2433" s="4">
        <v>4</v>
      </c>
      <c r="C2433" s="5">
        <v>1.37</v>
      </c>
      <c r="D2433" s="4">
        <v>2</v>
      </c>
      <c r="E2433" s="5">
        <v>1.25</v>
      </c>
      <c r="F2433" s="4">
        <v>2</v>
      </c>
      <c r="G2433" s="5">
        <v>1.63</v>
      </c>
      <c r="H2433" s="4">
        <v>0</v>
      </c>
    </row>
    <row r="2434" spans="1:8" x14ac:dyDescent="0.2">
      <c r="A2434" s="1" t="s">
        <v>152</v>
      </c>
      <c r="B2434" s="4">
        <v>187</v>
      </c>
      <c r="C2434" s="5">
        <v>99.990000000000009</v>
      </c>
      <c r="D2434" s="4">
        <v>83</v>
      </c>
      <c r="E2434" s="5">
        <v>99.99</v>
      </c>
      <c r="F2434" s="4">
        <v>97</v>
      </c>
      <c r="G2434" s="5">
        <v>99.990000000000009</v>
      </c>
      <c r="H2434" s="4">
        <v>0</v>
      </c>
    </row>
    <row r="2435" spans="1:8" x14ac:dyDescent="0.2">
      <c r="A2435" s="2" t="s">
        <v>190</v>
      </c>
      <c r="B2435" s="4">
        <v>0</v>
      </c>
      <c r="C2435" s="5">
        <v>0</v>
      </c>
      <c r="D2435" s="4">
        <v>0</v>
      </c>
      <c r="E2435" s="5">
        <v>0</v>
      </c>
      <c r="F2435" s="4">
        <v>0</v>
      </c>
      <c r="G2435" s="5">
        <v>0</v>
      </c>
      <c r="H2435" s="4">
        <v>0</v>
      </c>
    </row>
    <row r="2436" spans="1:8" x14ac:dyDescent="0.2">
      <c r="A2436" s="2" t="s">
        <v>191</v>
      </c>
      <c r="B2436" s="4">
        <v>30</v>
      </c>
      <c r="C2436" s="5">
        <v>16.04</v>
      </c>
      <c r="D2436" s="4">
        <v>5</v>
      </c>
      <c r="E2436" s="5">
        <v>6.02</v>
      </c>
      <c r="F2436" s="4">
        <v>25</v>
      </c>
      <c r="G2436" s="5">
        <v>25.77</v>
      </c>
      <c r="H2436" s="4">
        <v>0</v>
      </c>
    </row>
    <row r="2437" spans="1:8" x14ac:dyDescent="0.2">
      <c r="A2437" s="2" t="s">
        <v>192</v>
      </c>
      <c r="B2437" s="4">
        <v>13</v>
      </c>
      <c r="C2437" s="5">
        <v>6.95</v>
      </c>
      <c r="D2437" s="4">
        <v>2</v>
      </c>
      <c r="E2437" s="5">
        <v>2.41</v>
      </c>
      <c r="F2437" s="4">
        <v>11</v>
      </c>
      <c r="G2437" s="5">
        <v>11.34</v>
      </c>
      <c r="H2437" s="4">
        <v>0</v>
      </c>
    </row>
    <row r="2438" spans="1:8" x14ac:dyDescent="0.2">
      <c r="A2438" s="2" t="s">
        <v>193</v>
      </c>
      <c r="B2438" s="4">
        <v>1</v>
      </c>
      <c r="C2438" s="5">
        <v>0.53</v>
      </c>
      <c r="D2438" s="4">
        <v>0</v>
      </c>
      <c r="E2438" s="5">
        <v>0</v>
      </c>
      <c r="F2438" s="4">
        <v>1</v>
      </c>
      <c r="G2438" s="5">
        <v>1.03</v>
      </c>
      <c r="H2438" s="4">
        <v>0</v>
      </c>
    </row>
    <row r="2439" spans="1:8" x14ac:dyDescent="0.2">
      <c r="A2439" s="2" t="s">
        <v>194</v>
      </c>
      <c r="B2439" s="4">
        <v>0</v>
      </c>
      <c r="C2439" s="5">
        <v>0</v>
      </c>
      <c r="D2439" s="4">
        <v>0</v>
      </c>
      <c r="E2439" s="5">
        <v>0</v>
      </c>
      <c r="F2439" s="4">
        <v>0</v>
      </c>
      <c r="G2439" s="5">
        <v>0</v>
      </c>
      <c r="H2439" s="4">
        <v>0</v>
      </c>
    </row>
    <row r="2440" spans="1:8" x14ac:dyDescent="0.2">
      <c r="A2440" s="2" t="s">
        <v>195</v>
      </c>
      <c r="B2440" s="4">
        <v>1</v>
      </c>
      <c r="C2440" s="5">
        <v>0.53</v>
      </c>
      <c r="D2440" s="4">
        <v>0</v>
      </c>
      <c r="E2440" s="5">
        <v>0</v>
      </c>
      <c r="F2440" s="4">
        <v>1</v>
      </c>
      <c r="G2440" s="5">
        <v>1.03</v>
      </c>
      <c r="H2440" s="4">
        <v>0</v>
      </c>
    </row>
    <row r="2441" spans="1:8" x14ac:dyDescent="0.2">
      <c r="A2441" s="2" t="s">
        <v>196</v>
      </c>
      <c r="B2441" s="4">
        <v>46</v>
      </c>
      <c r="C2441" s="5">
        <v>24.6</v>
      </c>
      <c r="D2441" s="4">
        <v>21</v>
      </c>
      <c r="E2441" s="5">
        <v>25.3</v>
      </c>
      <c r="F2441" s="4">
        <v>25</v>
      </c>
      <c r="G2441" s="5">
        <v>25.77</v>
      </c>
      <c r="H2441" s="4">
        <v>0</v>
      </c>
    </row>
    <row r="2442" spans="1:8" x14ac:dyDescent="0.2">
      <c r="A2442" s="2" t="s">
        <v>197</v>
      </c>
      <c r="B2442" s="4">
        <v>2</v>
      </c>
      <c r="C2442" s="5">
        <v>1.07</v>
      </c>
      <c r="D2442" s="4">
        <v>0</v>
      </c>
      <c r="E2442" s="5">
        <v>0</v>
      </c>
      <c r="F2442" s="4">
        <v>2</v>
      </c>
      <c r="G2442" s="5">
        <v>2.06</v>
      </c>
      <c r="H2442" s="4">
        <v>0</v>
      </c>
    </row>
    <row r="2443" spans="1:8" x14ac:dyDescent="0.2">
      <c r="A2443" s="2" t="s">
        <v>198</v>
      </c>
      <c r="B2443" s="4">
        <v>5</v>
      </c>
      <c r="C2443" s="5">
        <v>2.67</v>
      </c>
      <c r="D2443" s="4">
        <v>2</v>
      </c>
      <c r="E2443" s="5">
        <v>2.41</v>
      </c>
      <c r="F2443" s="4">
        <v>3</v>
      </c>
      <c r="G2443" s="5">
        <v>3.09</v>
      </c>
      <c r="H2443" s="4">
        <v>0</v>
      </c>
    </row>
    <row r="2444" spans="1:8" x14ac:dyDescent="0.2">
      <c r="A2444" s="2" t="s">
        <v>199</v>
      </c>
      <c r="B2444" s="4">
        <v>8</v>
      </c>
      <c r="C2444" s="5">
        <v>4.28</v>
      </c>
      <c r="D2444" s="4">
        <v>4</v>
      </c>
      <c r="E2444" s="5">
        <v>4.82</v>
      </c>
      <c r="F2444" s="4">
        <v>4</v>
      </c>
      <c r="G2444" s="5">
        <v>4.12</v>
      </c>
      <c r="H2444" s="4">
        <v>0</v>
      </c>
    </row>
    <row r="2445" spans="1:8" x14ac:dyDescent="0.2">
      <c r="A2445" s="2" t="s">
        <v>200</v>
      </c>
      <c r="B2445" s="4">
        <v>30</v>
      </c>
      <c r="C2445" s="5">
        <v>16.04</v>
      </c>
      <c r="D2445" s="4">
        <v>22</v>
      </c>
      <c r="E2445" s="5">
        <v>26.51</v>
      </c>
      <c r="F2445" s="4">
        <v>7</v>
      </c>
      <c r="G2445" s="5">
        <v>7.22</v>
      </c>
      <c r="H2445" s="4">
        <v>0</v>
      </c>
    </row>
    <row r="2446" spans="1:8" x14ac:dyDescent="0.2">
      <c r="A2446" s="2" t="s">
        <v>201</v>
      </c>
      <c r="B2446" s="4">
        <v>17</v>
      </c>
      <c r="C2446" s="5">
        <v>9.09</v>
      </c>
      <c r="D2446" s="4">
        <v>13</v>
      </c>
      <c r="E2446" s="5">
        <v>15.66</v>
      </c>
      <c r="F2446" s="4">
        <v>4</v>
      </c>
      <c r="G2446" s="5">
        <v>4.12</v>
      </c>
      <c r="H2446" s="4">
        <v>0</v>
      </c>
    </row>
    <row r="2447" spans="1:8" x14ac:dyDescent="0.2">
      <c r="A2447" s="2" t="s">
        <v>202</v>
      </c>
      <c r="B2447" s="4">
        <v>8</v>
      </c>
      <c r="C2447" s="5">
        <v>4.28</v>
      </c>
      <c r="D2447" s="4">
        <v>3</v>
      </c>
      <c r="E2447" s="5">
        <v>3.61</v>
      </c>
      <c r="F2447" s="4">
        <v>1</v>
      </c>
      <c r="G2447" s="5">
        <v>1.03</v>
      </c>
      <c r="H2447" s="4">
        <v>0</v>
      </c>
    </row>
    <row r="2448" spans="1:8" x14ac:dyDescent="0.2">
      <c r="A2448" s="2" t="s">
        <v>203</v>
      </c>
      <c r="B2448" s="4">
        <v>12</v>
      </c>
      <c r="C2448" s="5">
        <v>6.42</v>
      </c>
      <c r="D2448" s="4">
        <v>6</v>
      </c>
      <c r="E2448" s="5">
        <v>7.23</v>
      </c>
      <c r="F2448" s="4">
        <v>6</v>
      </c>
      <c r="G2448" s="5">
        <v>6.19</v>
      </c>
      <c r="H2448" s="4">
        <v>0</v>
      </c>
    </row>
    <row r="2449" spans="1:8" x14ac:dyDescent="0.2">
      <c r="A2449" s="2" t="s">
        <v>204</v>
      </c>
      <c r="B2449" s="4">
        <v>14</v>
      </c>
      <c r="C2449" s="5">
        <v>7.49</v>
      </c>
      <c r="D2449" s="4">
        <v>5</v>
      </c>
      <c r="E2449" s="5">
        <v>6.02</v>
      </c>
      <c r="F2449" s="4">
        <v>7</v>
      </c>
      <c r="G2449" s="5">
        <v>7.22</v>
      </c>
      <c r="H2449" s="4">
        <v>0</v>
      </c>
    </row>
    <row r="2450" spans="1:8" x14ac:dyDescent="0.2">
      <c r="A2450" s="1" t="s">
        <v>153</v>
      </c>
      <c r="B2450" s="4">
        <v>211</v>
      </c>
      <c r="C2450" s="5">
        <v>100.00999999999999</v>
      </c>
      <c r="D2450" s="4">
        <v>114</v>
      </c>
      <c r="E2450" s="5">
        <v>100.00999999999999</v>
      </c>
      <c r="F2450" s="4">
        <v>89</v>
      </c>
      <c r="G2450" s="5">
        <v>99.999999999999986</v>
      </c>
      <c r="H2450" s="4">
        <v>1</v>
      </c>
    </row>
    <row r="2451" spans="1:8" x14ac:dyDescent="0.2">
      <c r="A2451" s="2" t="s">
        <v>190</v>
      </c>
      <c r="B2451" s="4">
        <v>3</v>
      </c>
      <c r="C2451" s="5">
        <v>1.42</v>
      </c>
      <c r="D2451" s="4">
        <v>0</v>
      </c>
      <c r="E2451" s="5">
        <v>0</v>
      </c>
      <c r="F2451" s="4">
        <v>3</v>
      </c>
      <c r="G2451" s="5">
        <v>3.37</v>
      </c>
      <c r="H2451" s="4">
        <v>0</v>
      </c>
    </row>
    <row r="2452" spans="1:8" x14ac:dyDescent="0.2">
      <c r="A2452" s="2" t="s">
        <v>191</v>
      </c>
      <c r="B2452" s="4">
        <v>34</v>
      </c>
      <c r="C2452" s="5">
        <v>16.11</v>
      </c>
      <c r="D2452" s="4">
        <v>13</v>
      </c>
      <c r="E2452" s="5">
        <v>11.4</v>
      </c>
      <c r="F2452" s="4">
        <v>21</v>
      </c>
      <c r="G2452" s="5">
        <v>23.6</v>
      </c>
      <c r="H2452" s="4">
        <v>0</v>
      </c>
    </row>
    <row r="2453" spans="1:8" x14ac:dyDescent="0.2">
      <c r="A2453" s="2" t="s">
        <v>192</v>
      </c>
      <c r="B2453" s="4">
        <v>20</v>
      </c>
      <c r="C2453" s="5">
        <v>9.48</v>
      </c>
      <c r="D2453" s="4">
        <v>7</v>
      </c>
      <c r="E2453" s="5">
        <v>6.14</v>
      </c>
      <c r="F2453" s="4">
        <v>13</v>
      </c>
      <c r="G2453" s="5">
        <v>14.61</v>
      </c>
      <c r="H2453" s="4">
        <v>0</v>
      </c>
    </row>
    <row r="2454" spans="1:8" x14ac:dyDescent="0.2">
      <c r="A2454" s="2" t="s">
        <v>193</v>
      </c>
      <c r="B2454" s="4">
        <v>2</v>
      </c>
      <c r="C2454" s="5">
        <v>0.95</v>
      </c>
      <c r="D2454" s="4">
        <v>0</v>
      </c>
      <c r="E2454" s="5">
        <v>0</v>
      </c>
      <c r="F2454" s="4">
        <v>1</v>
      </c>
      <c r="G2454" s="5">
        <v>1.1200000000000001</v>
      </c>
      <c r="H2454" s="4">
        <v>0</v>
      </c>
    </row>
    <row r="2455" spans="1:8" x14ac:dyDescent="0.2">
      <c r="A2455" s="2" t="s">
        <v>194</v>
      </c>
      <c r="B2455" s="4">
        <v>0</v>
      </c>
      <c r="C2455" s="5">
        <v>0</v>
      </c>
      <c r="D2455" s="4">
        <v>0</v>
      </c>
      <c r="E2455" s="5">
        <v>0</v>
      </c>
      <c r="F2455" s="4">
        <v>0</v>
      </c>
      <c r="G2455" s="5">
        <v>0</v>
      </c>
      <c r="H2455" s="4">
        <v>0</v>
      </c>
    </row>
    <row r="2456" spans="1:8" x14ac:dyDescent="0.2">
      <c r="A2456" s="2" t="s">
        <v>195</v>
      </c>
      <c r="B2456" s="4">
        <v>4</v>
      </c>
      <c r="C2456" s="5">
        <v>1.9</v>
      </c>
      <c r="D2456" s="4">
        <v>1</v>
      </c>
      <c r="E2456" s="5">
        <v>0.88</v>
      </c>
      <c r="F2456" s="4">
        <v>3</v>
      </c>
      <c r="G2456" s="5">
        <v>3.37</v>
      </c>
      <c r="H2456" s="4">
        <v>0</v>
      </c>
    </row>
    <row r="2457" spans="1:8" x14ac:dyDescent="0.2">
      <c r="A2457" s="2" t="s">
        <v>196</v>
      </c>
      <c r="B2457" s="4">
        <v>42</v>
      </c>
      <c r="C2457" s="5">
        <v>19.91</v>
      </c>
      <c r="D2457" s="4">
        <v>22</v>
      </c>
      <c r="E2457" s="5">
        <v>19.3</v>
      </c>
      <c r="F2457" s="4">
        <v>20</v>
      </c>
      <c r="G2457" s="5">
        <v>22.47</v>
      </c>
      <c r="H2457" s="4">
        <v>0</v>
      </c>
    </row>
    <row r="2458" spans="1:8" x14ac:dyDescent="0.2">
      <c r="A2458" s="2" t="s">
        <v>197</v>
      </c>
      <c r="B2458" s="4">
        <v>0</v>
      </c>
      <c r="C2458" s="5">
        <v>0</v>
      </c>
      <c r="D2458" s="4">
        <v>0</v>
      </c>
      <c r="E2458" s="5">
        <v>0</v>
      </c>
      <c r="F2458" s="4">
        <v>0</v>
      </c>
      <c r="G2458" s="5">
        <v>0</v>
      </c>
      <c r="H2458" s="4">
        <v>0</v>
      </c>
    </row>
    <row r="2459" spans="1:8" x14ac:dyDescent="0.2">
      <c r="A2459" s="2" t="s">
        <v>198</v>
      </c>
      <c r="B2459" s="4">
        <v>17</v>
      </c>
      <c r="C2459" s="5">
        <v>8.06</v>
      </c>
      <c r="D2459" s="4">
        <v>12</v>
      </c>
      <c r="E2459" s="5">
        <v>10.53</v>
      </c>
      <c r="F2459" s="4">
        <v>5</v>
      </c>
      <c r="G2459" s="5">
        <v>5.62</v>
      </c>
      <c r="H2459" s="4">
        <v>0</v>
      </c>
    </row>
    <row r="2460" spans="1:8" x14ac:dyDescent="0.2">
      <c r="A2460" s="2" t="s">
        <v>199</v>
      </c>
      <c r="B2460" s="4">
        <v>7</v>
      </c>
      <c r="C2460" s="5">
        <v>3.32</v>
      </c>
      <c r="D2460" s="4">
        <v>3</v>
      </c>
      <c r="E2460" s="5">
        <v>2.63</v>
      </c>
      <c r="F2460" s="4">
        <v>4</v>
      </c>
      <c r="G2460" s="5">
        <v>4.49</v>
      </c>
      <c r="H2460" s="4">
        <v>0</v>
      </c>
    </row>
    <row r="2461" spans="1:8" x14ac:dyDescent="0.2">
      <c r="A2461" s="2" t="s">
        <v>200</v>
      </c>
      <c r="B2461" s="4">
        <v>45</v>
      </c>
      <c r="C2461" s="5">
        <v>21.33</v>
      </c>
      <c r="D2461" s="4">
        <v>35</v>
      </c>
      <c r="E2461" s="5">
        <v>30.7</v>
      </c>
      <c r="F2461" s="4">
        <v>8</v>
      </c>
      <c r="G2461" s="5">
        <v>8.99</v>
      </c>
      <c r="H2461" s="4">
        <v>0</v>
      </c>
    </row>
    <row r="2462" spans="1:8" x14ac:dyDescent="0.2">
      <c r="A2462" s="2" t="s">
        <v>201</v>
      </c>
      <c r="B2462" s="4">
        <v>16</v>
      </c>
      <c r="C2462" s="5">
        <v>7.58</v>
      </c>
      <c r="D2462" s="4">
        <v>14</v>
      </c>
      <c r="E2462" s="5">
        <v>12.28</v>
      </c>
      <c r="F2462" s="4">
        <v>2</v>
      </c>
      <c r="G2462" s="5">
        <v>2.25</v>
      </c>
      <c r="H2462" s="4">
        <v>0</v>
      </c>
    </row>
    <row r="2463" spans="1:8" x14ac:dyDescent="0.2">
      <c r="A2463" s="2" t="s">
        <v>202</v>
      </c>
      <c r="B2463" s="4">
        <v>3</v>
      </c>
      <c r="C2463" s="5">
        <v>1.42</v>
      </c>
      <c r="D2463" s="4">
        <v>1</v>
      </c>
      <c r="E2463" s="5">
        <v>0.88</v>
      </c>
      <c r="F2463" s="4">
        <v>0</v>
      </c>
      <c r="G2463" s="5">
        <v>0</v>
      </c>
      <c r="H2463" s="4">
        <v>0</v>
      </c>
    </row>
    <row r="2464" spans="1:8" x14ac:dyDescent="0.2">
      <c r="A2464" s="2" t="s">
        <v>203</v>
      </c>
      <c r="B2464" s="4">
        <v>12</v>
      </c>
      <c r="C2464" s="5">
        <v>5.69</v>
      </c>
      <c r="D2464" s="4">
        <v>5</v>
      </c>
      <c r="E2464" s="5">
        <v>4.3899999999999997</v>
      </c>
      <c r="F2464" s="4">
        <v>5</v>
      </c>
      <c r="G2464" s="5">
        <v>5.62</v>
      </c>
      <c r="H2464" s="4">
        <v>0</v>
      </c>
    </row>
    <row r="2465" spans="1:8" x14ac:dyDescent="0.2">
      <c r="A2465" s="2" t="s">
        <v>204</v>
      </c>
      <c r="B2465" s="4">
        <v>6</v>
      </c>
      <c r="C2465" s="5">
        <v>2.84</v>
      </c>
      <c r="D2465" s="4">
        <v>1</v>
      </c>
      <c r="E2465" s="5">
        <v>0.88</v>
      </c>
      <c r="F2465" s="4">
        <v>4</v>
      </c>
      <c r="G2465" s="5">
        <v>4.49</v>
      </c>
      <c r="H2465" s="4">
        <v>1</v>
      </c>
    </row>
    <row r="2466" spans="1:8" x14ac:dyDescent="0.2">
      <c r="A2466" s="1" t="s">
        <v>154</v>
      </c>
      <c r="B2466" s="4">
        <v>296</v>
      </c>
      <c r="C2466" s="5">
        <v>99.990000000000009</v>
      </c>
      <c r="D2466" s="4">
        <v>146</v>
      </c>
      <c r="E2466" s="5">
        <v>99.97</v>
      </c>
      <c r="F2466" s="4">
        <v>137</v>
      </c>
      <c r="G2466" s="5">
        <v>100.01</v>
      </c>
      <c r="H2466" s="4">
        <v>1</v>
      </c>
    </row>
    <row r="2467" spans="1:8" x14ac:dyDescent="0.2">
      <c r="A2467" s="2" t="s">
        <v>190</v>
      </c>
      <c r="B2467" s="4">
        <v>0</v>
      </c>
      <c r="C2467" s="5">
        <v>0</v>
      </c>
      <c r="D2467" s="4">
        <v>0</v>
      </c>
      <c r="E2467" s="5">
        <v>0</v>
      </c>
      <c r="F2467" s="4">
        <v>0</v>
      </c>
      <c r="G2467" s="5">
        <v>0</v>
      </c>
      <c r="H2467" s="4">
        <v>0</v>
      </c>
    </row>
    <row r="2468" spans="1:8" x14ac:dyDescent="0.2">
      <c r="A2468" s="2" t="s">
        <v>191</v>
      </c>
      <c r="B2468" s="4">
        <v>33</v>
      </c>
      <c r="C2468" s="5">
        <v>11.15</v>
      </c>
      <c r="D2468" s="4">
        <v>6</v>
      </c>
      <c r="E2468" s="5">
        <v>4.1100000000000003</v>
      </c>
      <c r="F2468" s="4">
        <v>27</v>
      </c>
      <c r="G2468" s="5">
        <v>19.71</v>
      </c>
      <c r="H2468" s="4">
        <v>0</v>
      </c>
    </row>
    <row r="2469" spans="1:8" x14ac:dyDescent="0.2">
      <c r="A2469" s="2" t="s">
        <v>192</v>
      </c>
      <c r="B2469" s="4">
        <v>18</v>
      </c>
      <c r="C2469" s="5">
        <v>6.08</v>
      </c>
      <c r="D2469" s="4">
        <v>3</v>
      </c>
      <c r="E2469" s="5">
        <v>2.0499999999999998</v>
      </c>
      <c r="F2469" s="4">
        <v>15</v>
      </c>
      <c r="G2469" s="5">
        <v>10.95</v>
      </c>
      <c r="H2469" s="4">
        <v>0</v>
      </c>
    </row>
    <row r="2470" spans="1:8" x14ac:dyDescent="0.2">
      <c r="A2470" s="2" t="s">
        <v>193</v>
      </c>
      <c r="B2470" s="4">
        <v>3</v>
      </c>
      <c r="C2470" s="5">
        <v>1.01</v>
      </c>
      <c r="D2470" s="4">
        <v>0</v>
      </c>
      <c r="E2470" s="5">
        <v>0</v>
      </c>
      <c r="F2470" s="4">
        <v>2</v>
      </c>
      <c r="G2470" s="5">
        <v>1.46</v>
      </c>
      <c r="H2470" s="4">
        <v>0</v>
      </c>
    </row>
    <row r="2471" spans="1:8" x14ac:dyDescent="0.2">
      <c r="A2471" s="2" t="s">
        <v>194</v>
      </c>
      <c r="B2471" s="4">
        <v>2</v>
      </c>
      <c r="C2471" s="5">
        <v>0.68</v>
      </c>
      <c r="D2471" s="4">
        <v>0</v>
      </c>
      <c r="E2471" s="5">
        <v>0</v>
      </c>
      <c r="F2471" s="4">
        <v>2</v>
      </c>
      <c r="G2471" s="5">
        <v>1.46</v>
      </c>
      <c r="H2471" s="4">
        <v>0</v>
      </c>
    </row>
    <row r="2472" spans="1:8" x14ac:dyDescent="0.2">
      <c r="A2472" s="2" t="s">
        <v>195</v>
      </c>
      <c r="B2472" s="4">
        <v>7</v>
      </c>
      <c r="C2472" s="5">
        <v>2.36</v>
      </c>
      <c r="D2472" s="4">
        <v>1</v>
      </c>
      <c r="E2472" s="5">
        <v>0.68</v>
      </c>
      <c r="F2472" s="4">
        <v>6</v>
      </c>
      <c r="G2472" s="5">
        <v>4.38</v>
      </c>
      <c r="H2472" s="4">
        <v>0</v>
      </c>
    </row>
    <row r="2473" spans="1:8" x14ac:dyDescent="0.2">
      <c r="A2473" s="2" t="s">
        <v>196</v>
      </c>
      <c r="B2473" s="4">
        <v>69</v>
      </c>
      <c r="C2473" s="5">
        <v>23.31</v>
      </c>
      <c r="D2473" s="4">
        <v>26</v>
      </c>
      <c r="E2473" s="5">
        <v>17.809999999999999</v>
      </c>
      <c r="F2473" s="4">
        <v>43</v>
      </c>
      <c r="G2473" s="5">
        <v>31.39</v>
      </c>
      <c r="H2473" s="4">
        <v>0</v>
      </c>
    </row>
    <row r="2474" spans="1:8" x14ac:dyDescent="0.2">
      <c r="A2474" s="2" t="s">
        <v>197</v>
      </c>
      <c r="B2474" s="4">
        <v>1</v>
      </c>
      <c r="C2474" s="5">
        <v>0.34</v>
      </c>
      <c r="D2474" s="4">
        <v>0</v>
      </c>
      <c r="E2474" s="5">
        <v>0</v>
      </c>
      <c r="F2474" s="4">
        <v>1</v>
      </c>
      <c r="G2474" s="5">
        <v>0.73</v>
      </c>
      <c r="H2474" s="4">
        <v>0</v>
      </c>
    </row>
    <row r="2475" spans="1:8" x14ac:dyDescent="0.2">
      <c r="A2475" s="2" t="s">
        <v>198</v>
      </c>
      <c r="B2475" s="4">
        <v>8</v>
      </c>
      <c r="C2475" s="5">
        <v>2.7</v>
      </c>
      <c r="D2475" s="4">
        <v>3</v>
      </c>
      <c r="E2475" s="5">
        <v>2.0499999999999998</v>
      </c>
      <c r="F2475" s="4">
        <v>5</v>
      </c>
      <c r="G2475" s="5">
        <v>3.65</v>
      </c>
      <c r="H2475" s="4">
        <v>0</v>
      </c>
    </row>
    <row r="2476" spans="1:8" x14ac:dyDescent="0.2">
      <c r="A2476" s="2" t="s">
        <v>199</v>
      </c>
      <c r="B2476" s="4">
        <v>13</v>
      </c>
      <c r="C2476" s="5">
        <v>4.3899999999999997</v>
      </c>
      <c r="D2476" s="4">
        <v>5</v>
      </c>
      <c r="E2476" s="5">
        <v>3.42</v>
      </c>
      <c r="F2476" s="4">
        <v>8</v>
      </c>
      <c r="G2476" s="5">
        <v>5.84</v>
      </c>
      <c r="H2476" s="4">
        <v>0</v>
      </c>
    </row>
    <row r="2477" spans="1:8" x14ac:dyDescent="0.2">
      <c r="A2477" s="2" t="s">
        <v>200</v>
      </c>
      <c r="B2477" s="4">
        <v>59</v>
      </c>
      <c r="C2477" s="5">
        <v>19.93</v>
      </c>
      <c r="D2477" s="4">
        <v>47</v>
      </c>
      <c r="E2477" s="5">
        <v>32.19</v>
      </c>
      <c r="F2477" s="4">
        <v>11</v>
      </c>
      <c r="G2477" s="5">
        <v>8.0299999999999994</v>
      </c>
      <c r="H2477" s="4">
        <v>0</v>
      </c>
    </row>
    <row r="2478" spans="1:8" x14ac:dyDescent="0.2">
      <c r="A2478" s="2" t="s">
        <v>201</v>
      </c>
      <c r="B2478" s="4">
        <v>44</v>
      </c>
      <c r="C2478" s="5">
        <v>14.86</v>
      </c>
      <c r="D2478" s="4">
        <v>37</v>
      </c>
      <c r="E2478" s="5">
        <v>25.34</v>
      </c>
      <c r="F2478" s="4">
        <v>6</v>
      </c>
      <c r="G2478" s="5">
        <v>4.38</v>
      </c>
      <c r="H2478" s="4">
        <v>0</v>
      </c>
    </row>
    <row r="2479" spans="1:8" x14ac:dyDescent="0.2">
      <c r="A2479" s="2" t="s">
        <v>202</v>
      </c>
      <c r="B2479" s="4">
        <v>10</v>
      </c>
      <c r="C2479" s="5">
        <v>3.38</v>
      </c>
      <c r="D2479" s="4">
        <v>8</v>
      </c>
      <c r="E2479" s="5">
        <v>5.48</v>
      </c>
      <c r="F2479" s="4">
        <v>0</v>
      </c>
      <c r="G2479" s="5">
        <v>0</v>
      </c>
      <c r="H2479" s="4">
        <v>0</v>
      </c>
    </row>
    <row r="2480" spans="1:8" x14ac:dyDescent="0.2">
      <c r="A2480" s="2" t="s">
        <v>203</v>
      </c>
      <c r="B2480" s="4">
        <v>18</v>
      </c>
      <c r="C2480" s="5">
        <v>6.08</v>
      </c>
      <c r="D2480" s="4">
        <v>7</v>
      </c>
      <c r="E2480" s="5">
        <v>4.79</v>
      </c>
      <c r="F2480" s="4">
        <v>4</v>
      </c>
      <c r="G2480" s="5">
        <v>2.92</v>
      </c>
      <c r="H2480" s="4">
        <v>0</v>
      </c>
    </row>
    <row r="2481" spans="1:8" x14ac:dyDescent="0.2">
      <c r="A2481" s="2" t="s">
        <v>204</v>
      </c>
      <c r="B2481" s="4">
        <v>11</v>
      </c>
      <c r="C2481" s="5">
        <v>3.72</v>
      </c>
      <c r="D2481" s="4">
        <v>3</v>
      </c>
      <c r="E2481" s="5">
        <v>2.0499999999999998</v>
      </c>
      <c r="F2481" s="4">
        <v>7</v>
      </c>
      <c r="G2481" s="5">
        <v>5.1100000000000003</v>
      </c>
      <c r="H2481" s="4">
        <v>1</v>
      </c>
    </row>
    <row r="2482" spans="1:8" x14ac:dyDescent="0.2">
      <c r="A2482" s="1" t="s">
        <v>155</v>
      </c>
      <c r="B2482" s="4">
        <v>144</v>
      </c>
      <c r="C2482" s="5">
        <v>100</v>
      </c>
      <c r="D2482" s="4">
        <v>76</v>
      </c>
      <c r="E2482" s="5">
        <v>100.01000000000002</v>
      </c>
      <c r="F2482" s="4">
        <v>57</v>
      </c>
      <c r="G2482" s="5">
        <v>100.00000000000001</v>
      </c>
      <c r="H2482" s="4">
        <v>0</v>
      </c>
    </row>
    <row r="2483" spans="1:8" x14ac:dyDescent="0.2">
      <c r="A2483" s="2" t="s">
        <v>190</v>
      </c>
      <c r="B2483" s="4">
        <v>2</v>
      </c>
      <c r="C2483" s="5">
        <v>1.39</v>
      </c>
      <c r="D2483" s="4">
        <v>0</v>
      </c>
      <c r="E2483" s="5">
        <v>0</v>
      </c>
      <c r="F2483" s="4">
        <v>2</v>
      </c>
      <c r="G2483" s="5">
        <v>3.51</v>
      </c>
      <c r="H2483" s="4">
        <v>0</v>
      </c>
    </row>
    <row r="2484" spans="1:8" x14ac:dyDescent="0.2">
      <c r="A2484" s="2" t="s">
        <v>191</v>
      </c>
      <c r="B2484" s="4">
        <v>23</v>
      </c>
      <c r="C2484" s="5">
        <v>15.97</v>
      </c>
      <c r="D2484" s="4">
        <v>10</v>
      </c>
      <c r="E2484" s="5">
        <v>13.16</v>
      </c>
      <c r="F2484" s="4">
        <v>13</v>
      </c>
      <c r="G2484" s="5">
        <v>22.81</v>
      </c>
      <c r="H2484" s="4">
        <v>0</v>
      </c>
    </row>
    <row r="2485" spans="1:8" x14ac:dyDescent="0.2">
      <c r="A2485" s="2" t="s">
        <v>192</v>
      </c>
      <c r="B2485" s="4">
        <v>7</v>
      </c>
      <c r="C2485" s="5">
        <v>4.8600000000000003</v>
      </c>
      <c r="D2485" s="4">
        <v>2</v>
      </c>
      <c r="E2485" s="5">
        <v>2.63</v>
      </c>
      <c r="F2485" s="4">
        <v>5</v>
      </c>
      <c r="G2485" s="5">
        <v>8.77</v>
      </c>
      <c r="H2485" s="4">
        <v>0</v>
      </c>
    </row>
    <row r="2486" spans="1:8" x14ac:dyDescent="0.2">
      <c r="A2486" s="2" t="s">
        <v>193</v>
      </c>
      <c r="B2486" s="4">
        <v>1</v>
      </c>
      <c r="C2486" s="5">
        <v>0.69</v>
      </c>
      <c r="D2486" s="4">
        <v>0</v>
      </c>
      <c r="E2486" s="5">
        <v>0</v>
      </c>
      <c r="F2486" s="4">
        <v>0</v>
      </c>
      <c r="G2486" s="5">
        <v>0</v>
      </c>
      <c r="H2486" s="4">
        <v>0</v>
      </c>
    </row>
    <row r="2487" spans="1:8" x14ac:dyDescent="0.2">
      <c r="A2487" s="2" t="s">
        <v>194</v>
      </c>
      <c r="B2487" s="4">
        <v>0</v>
      </c>
      <c r="C2487" s="5">
        <v>0</v>
      </c>
      <c r="D2487" s="4">
        <v>0</v>
      </c>
      <c r="E2487" s="5">
        <v>0</v>
      </c>
      <c r="F2487" s="4">
        <v>0</v>
      </c>
      <c r="G2487" s="5">
        <v>0</v>
      </c>
      <c r="H2487" s="4">
        <v>0</v>
      </c>
    </row>
    <row r="2488" spans="1:8" x14ac:dyDescent="0.2">
      <c r="A2488" s="2" t="s">
        <v>195</v>
      </c>
      <c r="B2488" s="4">
        <v>4</v>
      </c>
      <c r="C2488" s="5">
        <v>2.78</v>
      </c>
      <c r="D2488" s="4">
        <v>1</v>
      </c>
      <c r="E2488" s="5">
        <v>1.32</v>
      </c>
      <c r="F2488" s="4">
        <v>3</v>
      </c>
      <c r="G2488" s="5">
        <v>5.26</v>
      </c>
      <c r="H2488" s="4">
        <v>0</v>
      </c>
    </row>
    <row r="2489" spans="1:8" x14ac:dyDescent="0.2">
      <c r="A2489" s="2" t="s">
        <v>196</v>
      </c>
      <c r="B2489" s="4">
        <v>38</v>
      </c>
      <c r="C2489" s="5">
        <v>26.39</v>
      </c>
      <c r="D2489" s="4">
        <v>16</v>
      </c>
      <c r="E2489" s="5">
        <v>21.05</v>
      </c>
      <c r="F2489" s="4">
        <v>22</v>
      </c>
      <c r="G2489" s="5">
        <v>38.6</v>
      </c>
      <c r="H2489" s="4">
        <v>0</v>
      </c>
    </row>
    <row r="2490" spans="1:8" x14ac:dyDescent="0.2">
      <c r="A2490" s="2" t="s">
        <v>197</v>
      </c>
      <c r="B2490" s="4">
        <v>1</v>
      </c>
      <c r="C2490" s="5">
        <v>0.69</v>
      </c>
      <c r="D2490" s="4">
        <v>1</v>
      </c>
      <c r="E2490" s="5">
        <v>1.32</v>
      </c>
      <c r="F2490" s="4">
        <v>0</v>
      </c>
      <c r="G2490" s="5">
        <v>0</v>
      </c>
      <c r="H2490" s="4">
        <v>0</v>
      </c>
    </row>
    <row r="2491" spans="1:8" x14ac:dyDescent="0.2">
      <c r="A2491" s="2" t="s">
        <v>198</v>
      </c>
      <c r="B2491" s="4">
        <v>5</v>
      </c>
      <c r="C2491" s="5">
        <v>3.47</v>
      </c>
      <c r="D2491" s="4">
        <v>2</v>
      </c>
      <c r="E2491" s="5">
        <v>2.63</v>
      </c>
      <c r="F2491" s="4">
        <v>3</v>
      </c>
      <c r="G2491" s="5">
        <v>5.26</v>
      </c>
      <c r="H2491" s="4">
        <v>0</v>
      </c>
    </row>
    <row r="2492" spans="1:8" x14ac:dyDescent="0.2">
      <c r="A2492" s="2" t="s">
        <v>199</v>
      </c>
      <c r="B2492" s="4">
        <v>4</v>
      </c>
      <c r="C2492" s="5">
        <v>2.78</v>
      </c>
      <c r="D2492" s="4">
        <v>3</v>
      </c>
      <c r="E2492" s="5">
        <v>3.95</v>
      </c>
      <c r="F2492" s="4">
        <v>0</v>
      </c>
      <c r="G2492" s="5">
        <v>0</v>
      </c>
      <c r="H2492" s="4">
        <v>0</v>
      </c>
    </row>
    <row r="2493" spans="1:8" x14ac:dyDescent="0.2">
      <c r="A2493" s="2" t="s">
        <v>200</v>
      </c>
      <c r="B2493" s="4">
        <v>22</v>
      </c>
      <c r="C2493" s="5">
        <v>15.28</v>
      </c>
      <c r="D2493" s="4">
        <v>18</v>
      </c>
      <c r="E2493" s="5">
        <v>23.68</v>
      </c>
      <c r="F2493" s="4">
        <v>4</v>
      </c>
      <c r="G2493" s="5">
        <v>7.02</v>
      </c>
      <c r="H2493" s="4">
        <v>0</v>
      </c>
    </row>
    <row r="2494" spans="1:8" x14ac:dyDescent="0.2">
      <c r="A2494" s="2" t="s">
        <v>201</v>
      </c>
      <c r="B2494" s="4">
        <v>15</v>
      </c>
      <c r="C2494" s="5">
        <v>10.42</v>
      </c>
      <c r="D2494" s="4">
        <v>14</v>
      </c>
      <c r="E2494" s="5">
        <v>18.420000000000002</v>
      </c>
      <c r="F2494" s="4">
        <v>0</v>
      </c>
      <c r="G2494" s="5">
        <v>0</v>
      </c>
      <c r="H2494" s="4">
        <v>0</v>
      </c>
    </row>
    <row r="2495" spans="1:8" x14ac:dyDescent="0.2">
      <c r="A2495" s="2" t="s">
        <v>202</v>
      </c>
      <c r="B2495" s="4">
        <v>5</v>
      </c>
      <c r="C2495" s="5">
        <v>3.47</v>
      </c>
      <c r="D2495" s="4">
        <v>3</v>
      </c>
      <c r="E2495" s="5">
        <v>3.95</v>
      </c>
      <c r="F2495" s="4">
        <v>0</v>
      </c>
      <c r="G2495" s="5">
        <v>0</v>
      </c>
      <c r="H2495" s="4">
        <v>0</v>
      </c>
    </row>
    <row r="2496" spans="1:8" x14ac:dyDescent="0.2">
      <c r="A2496" s="2" t="s">
        <v>203</v>
      </c>
      <c r="B2496" s="4">
        <v>11</v>
      </c>
      <c r="C2496" s="5">
        <v>7.64</v>
      </c>
      <c r="D2496" s="4">
        <v>3</v>
      </c>
      <c r="E2496" s="5">
        <v>3.95</v>
      </c>
      <c r="F2496" s="4">
        <v>3</v>
      </c>
      <c r="G2496" s="5">
        <v>5.26</v>
      </c>
      <c r="H2496" s="4">
        <v>0</v>
      </c>
    </row>
    <row r="2497" spans="1:8" x14ac:dyDescent="0.2">
      <c r="A2497" s="2" t="s">
        <v>204</v>
      </c>
      <c r="B2497" s="4">
        <v>6</v>
      </c>
      <c r="C2497" s="5">
        <v>4.17</v>
      </c>
      <c r="D2497" s="4">
        <v>3</v>
      </c>
      <c r="E2497" s="5">
        <v>3.95</v>
      </c>
      <c r="F2497" s="4">
        <v>2</v>
      </c>
      <c r="G2497" s="5">
        <v>3.51</v>
      </c>
      <c r="H2497" s="4">
        <v>0</v>
      </c>
    </row>
    <row r="2498" spans="1:8" x14ac:dyDescent="0.2">
      <c r="A2498" s="1" t="s">
        <v>156</v>
      </c>
      <c r="B2498" s="4">
        <v>136</v>
      </c>
      <c r="C2498" s="5">
        <v>100.00999999999999</v>
      </c>
      <c r="D2498" s="4">
        <v>68</v>
      </c>
      <c r="E2498" s="5">
        <v>99.989999999999981</v>
      </c>
      <c r="F2498" s="4">
        <v>63</v>
      </c>
      <c r="G2498" s="5">
        <v>100.00000000000001</v>
      </c>
      <c r="H2498" s="4">
        <v>1</v>
      </c>
    </row>
    <row r="2499" spans="1:8" x14ac:dyDescent="0.2">
      <c r="A2499" s="2" t="s">
        <v>190</v>
      </c>
      <c r="B2499" s="4">
        <v>1</v>
      </c>
      <c r="C2499" s="5">
        <v>0.74</v>
      </c>
      <c r="D2499" s="4">
        <v>0</v>
      </c>
      <c r="E2499" s="5">
        <v>0</v>
      </c>
      <c r="F2499" s="4">
        <v>1</v>
      </c>
      <c r="G2499" s="5">
        <v>1.59</v>
      </c>
      <c r="H2499" s="4">
        <v>0</v>
      </c>
    </row>
    <row r="2500" spans="1:8" x14ac:dyDescent="0.2">
      <c r="A2500" s="2" t="s">
        <v>191</v>
      </c>
      <c r="B2500" s="4">
        <v>28</v>
      </c>
      <c r="C2500" s="5">
        <v>20.59</v>
      </c>
      <c r="D2500" s="4">
        <v>7</v>
      </c>
      <c r="E2500" s="5">
        <v>10.29</v>
      </c>
      <c r="F2500" s="4">
        <v>21</v>
      </c>
      <c r="G2500" s="5">
        <v>33.33</v>
      </c>
      <c r="H2500" s="4">
        <v>0</v>
      </c>
    </row>
    <row r="2501" spans="1:8" x14ac:dyDescent="0.2">
      <c r="A2501" s="2" t="s">
        <v>192</v>
      </c>
      <c r="B2501" s="4">
        <v>6</v>
      </c>
      <c r="C2501" s="5">
        <v>4.41</v>
      </c>
      <c r="D2501" s="4">
        <v>2</v>
      </c>
      <c r="E2501" s="5">
        <v>2.94</v>
      </c>
      <c r="F2501" s="4">
        <v>4</v>
      </c>
      <c r="G2501" s="5">
        <v>6.35</v>
      </c>
      <c r="H2501" s="4">
        <v>0</v>
      </c>
    </row>
    <row r="2502" spans="1:8" x14ac:dyDescent="0.2">
      <c r="A2502" s="2" t="s">
        <v>193</v>
      </c>
      <c r="B2502" s="4">
        <v>1</v>
      </c>
      <c r="C2502" s="5">
        <v>0.74</v>
      </c>
      <c r="D2502" s="4">
        <v>0</v>
      </c>
      <c r="E2502" s="5">
        <v>0</v>
      </c>
      <c r="F2502" s="4">
        <v>0</v>
      </c>
      <c r="G2502" s="5">
        <v>0</v>
      </c>
      <c r="H2502" s="4">
        <v>0</v>
      </c>
    </row>
    <row r="2503" spans="1:8" x14ac:dyDescent="0.2">
      <c r="A2503" s="2" t="s">
        <v>194</v>
      </c>
      <c r="B2503" s="4">
        <v>0</v>
      </c>
      <c r="C2503" s="5">
        <v>0</v>
      </c>
      <c r="D2503" s="4">
        <v>0</v>
      </c>
      <c r="E2503" s="5">
        <v>0</v>
      </c>
      <c r="F2503" s="4">
        <v>0</v>
      </c>
      <c r="G2503" s="5">
        <v>0</v>
      </c>
      <c r="H2503" s="4">
        <v>0</v>
      </c>
    </row>
    <row r="2504" spans="1:8" x14ac:dyDescent="0.2">
      <c r="A2504" s="2" t="s">
        <v>195</v>
      </c>
      <c r="B2504" s="4">
        <v>1</v>
      </c>
      <c r="C2504" s="5">
        <v>0.74</v>
      </c>
      <c r="D2504" s="4">
        <v>0</v>
      </c>
      <c r="E2504" s="5">
        <v>0</v>
      </c>
      <c r="F2504" s="4">
        <v>1</v>
      </c>
      <c r="G2504" s="5">
        <v>1.59</v>
      </c>
      <c r="H2504" s="4">
        <v>0</v>
      </c>
    </row>
    <row r="2505" spans="1:8" x14ac:dyDescent="0.2">
      <c r="A2505" s="2" t="s">
        <v>196</v>
      </c>
      <c r="B2505" s="4">
        <v>33</v>
      </c>
      <c r="C2505" s="5">
        <v>24.26</v>
      </c>
      <c r="D2505" s="4">
        <v>14</v>
      </c>
      <c r="E2505" s="5">
        <v>20.59</v>
      </c>
      <c r="F2505" s="4">
        <v>19</v>
      </c>
      <c r="G2505" s="5">
        <v>30.16</v>
      </c>
      <c r="H2505" s="4">
        <v>0</v>
      </c>
    </row>
    <row r="2506" spans="1:8" x14ac:dyDescent="0.2">
      <c r="A2506" s="2" t="s">
        <v>197</v>
      </c>
      <c r="B2506" s="4">
        <v>0</v>
      </c>
      <c r="C2506" s="5">
        <v>0</v>
      </c>
      <c r="D2506" s="4">
        <v>0</v>
      </c>
      <c r="E2506" s="5">
        <v>0</v>
      </c>
      <c r="F2506" s="4">
        <v>0</v>
      </c>
      <c r="G2506" s="5">
        <v>0</v>
      </c>
      <c r="H2506" s="4">
        <v>0</v>
      </c>
    </row>
    <row r="2507" spans="1:8" x14ac:dyDescent="0.2">
      <c r="A2507" s="2" t="s">
        <v>198</v>
      </c>
      <c r="B2507" s="4">
        <v>9</v>
      </c>
      <c r="C2507" s="5">
        <v>6.62</v>
      </c>
      <c r="D2507" s="4">
        <v>5</v>
      </c>
      <c r="E2507" s="5">
        <v>7.35</v>
      </c>
      <c r="F2507" s="4">
        <v>4</v>
      </c>
      <c r="G2507" s="5">
        <v>6.35</v>
      </c>
      <c r="H2507" s="4">
        <v>0</v>
      </c>
    </row>
    <row r="2508" spans="1:8" x14ac:dyDescent="0.2">
      <c r="A2508" s="2" t="s">
        <v>199</v>
      </c>
      <c r="B2508" s="4">
        <v>8</v>
      </c>
      <c r="C2508" s="5">
        <v>5.88</v>
      </c>
      <c r="D2508" s="4">
        <v>5</v>
      </c>
      <c r="E2508" s="5">
        <v>7.35</v>
      </c>
      <c r="F2508" s="4">
        <v>3</v>
      </c>
      <c r="G2508" s="5">
        <v>4.76</v>
      </c>
      <c r="H2508" s="4">
        <v>0</v>
      </c>
    </row>
    <row r="2509" spans="1:8" x14ac:dyDescent="0.2">
      <c r="A2509" s="2" t="s">
        <v>200</v>
      </c>
      <c r="B2509" s="4">
        <v>17</v>
      </c>
      <c r="C2509" s="5">
        <v>12.5</v>
      </c>
      <c r="D2509" s="4">
        <v>14</v>
      </c>
      <c r="E2509" s="5">
        <v>20.59</v>
      </c>
      <c r="F2509" s="4">
        <v>3</v>
      </c>
      <c r="G2509" s="5">
        <v>4.76</v>
      </c>
      <c r="H2509" s="4">
        <v>0</v>
      </c>
    </row>
    <row r="2510" spans="1:8" x14ac:dyDescent="0.2">
      <c r="A2510" s="2" t="s">
        <v>201</v>
      </c>
      <c r="B2510" s="4">
        <v>14</v>
      </c>
      <c r="C2510" s="5">
        <v>10.29</v>
      </c>
      <c r="D2510" s="4">
        <v>11</v>
      </c>
      <c r="E2510" s="5">
        <v>16.18</v>
      </c>
      <c r="F2510" s="4">
        <v>2</v>
      </c>
      <c r="G2510" s="5">
        <v>3.17</v>
      </c>
      <c r="H2510" s="4">
        <v>0</v>
      </c>
    </row>
    <row r="2511" spans="1:8" x14ac:dyDescent="0.2">
      <c r="A2511" s="2" t="s">
        <v>202</v>
      </c>
      <c r="B2511" s="4">
        <v>5</v>
      </c>
      <c r="C2511" s="5">
        <v>3.68</v>
      </c>
      <c r="D2511" s="4">
        <v>3</v>
      </c>
      <c r="E2511" s="5">
        <v>4.41</v>
      </c>
      <c r="F2511" s="4">
        <v>0</v>
      </c>
      <c r="G2511" s="5">
        <v>0</v>
      </c>
      <c r="H2511" s="4">
        <v>0</v>
      </c>
    </row>
    <row r="2512" spans="1:8" x14ac:dyDescent="0.2">
      <c r="A2512" s="2" t="s">
        <v>203</v>
      </c>
      <c r="B2512" s="4">
        <v>6</v>
      </c>
      <c r="C2512" s="5">
        <v>4.41</v>
      </c>
      <c r="D2512" s="4">
        <v>5</v>
      </c>
      <c r="E2512" s="5">
        <v>7.35</v>
      </c>
      <c r="F2512" s="4">
        <v>1</v>
      </c>
      <c r="G2512" s="5">
        <v>1.59</v>
      </c>
      <c r="H2512" s="4">
        <v>0</v>
      </c>
    </row>
    <row r="2513" spans="1:8" x14ac:dyDescent="0.2">
      <c r="A2513" s="2" t="s">
        <v>204</v>
      </c>
      <c r="B2513" s="4">
        <v>7</v>
      </c>
      <c r="C2513" s="5">
        <v>5.15</v>
      </c>
      <c r="D2513" s="4">
        <v>2</v>
      </c>
      <c r="E2513" s="5">
        <v>2.94</v>
      </c>
      <c r="F2513" s="4">
        <v>4</v>
      </c>
      <c r="G2513" s="5">
        <v>6.35</v>
      </c>
      <c r="H2513" s="4">
        <v>1</v>
      </c>
    </row>
    <row r="2514" spans="1:8" x14ac:dyDescent="0.2">
      <c r="A2514" s="1" t="s">
        <v>157</v>
      </c>
      <c r="B2514" s="4">
        <v>419</v>
      </c>
      <c r="C2514" s="5">
        <v>100.00000000000001</v>
      </c>
      <c r="D2514" s="4">
        <v>221</v>
      </c>
      <c r="E2514" s="5">
        <v>99.98</v>
      </c>
      <c r="F2514" s="4">
        <v>177</v>
      </c>
      <c r="G2514" s="5">
        <v>99.949999999999989</v>
      </c>
      <c r="H2514" s="4">
        <v>0</v>
      </c>
    </row>
    <row r="2515" spans="1:8" x14ac:dyDescent="0.2">
      <c r="A2515" s="2" t="s">
        <v>190</v>
      </c>
      <c r="B2515" s="4">
        <v>0</v>
      </c>
      <c r="C2515" s="5">
        <v>0</v>
      </c>
      <c r="D2515" s="4">
        <v>0</v>
      </c>
      <c r="E2515" s="5">
        <v>0</v>
      </c>
      <c r="F2515" s="4">
        <v>0</v>
      </c>
      <c r="G2515" s="5">
        <v>0</v>
      </c>
      <c r="H2515" s="4">
        <v>0</v>
      </c>
    </row>
    <row r="2516" spans="1:8" x14ac:dyDescent="0.2">
      <c r="A2516" s="2" t="s">
        <v>191</v>
      </c>
      <c r="B2516" s="4">
        <v>44</v>
      </c>
      <c r="C2516" s="5">
        <v>10.5</v>
      </c>
      <c r="D2516" s="4">
        <v>13</v>
      </c>
      <c r="E2516" s="5">
        <v>5.88</v>
      </c>
      <c r="F2516" s="4">
        <v>31</v>
      </c>
      <c r="G2516" s="5">
        <v>17.510000000000002</v>
      </c>
      <c r="H2516" s="4">
        <v>0</v>
      </c>
    </row>
    <row r="2517" spans="1:8" x14ac:dyDescent="0.2">
      <c r="A2517" s="2" t="s">
        <v>192</v>
      </c>
      <c r="B2517" s="4">
        <v>24</v>
      </c>
      <c r="C2517" s="5">
        <v>5.73</v>
      </c>
      <c r="D2517" s="4">
        <v>9</v>
      </c>
      <c r="E2517" s="5">
        <v>4.07</v>
      </c>
      <c r="F2517" s="4">
        <v>15</v>
      </c>
      <c r="G2517" s="5">
        <v>8.4700000000000006</v>
      </c>
      <c r="H2517" s="4">
        <v>0</v>
      </c>
    </row>
    <row r="2518" spans="1:8" x14ac:dyDescent="0.2">
      <c r="A2518" s="2" t="s">
        <v>193</v>
      </c>
      <c r="B2518" s="4">
        <v>1</v>
      </c>
      <c r="C2518" s="5">
        <v>0.24</v>
      </c>
      <c r="D2518" s="4">
        <v>0</v>
      </c>
      <c r="E2518" s="5">
        <v>0</v>
      </c>
      <c r="F2518" s="4">
        <v>1</v>
      </c>
      <c r="G2518" s="5">
        <v>0.56000000000000005</v>
      </c>
      <c r="H2518" s="4">
        <v>0</v>
      </c>
    </row>
    <row r="2519" spans="1:8" x14ac:dyDescent="0.2">
      <c r="A2519" s="2" t="s">
        <v>194</v>
      </c>
      <c r="B2519" s="4">
        <v>5</v>
      </c>
      <c r="C2519" s="5">
        <v>1.19</v>
      </c>
      <c r="D2519" s="4">
        <v>1</v>
      </c>
      <c r="E2519" s="5">
        <v>0.45</v>
      </c>
      <c r="F2519" s="4">
        <v>4</v>
      </c>
      <c r="G2519" s="5">
        <v>2.2599999999999998</v>
      </c>
      <c r="H2519" s="4">
        <v>0</v>
      </c>
    </row>
    <row r="2520" spans="1:8" x14ac:dyDescent="0.2">
      <c r="A2520" s="2" t="s">
        <v>195</v>
      </c>
      <c r="B2520" s="4">
        <v>1</v>
      </c>
      <c r="C2520" s="5">
        <v>0.24</v>
      </c>
      <c r="D2520" s="4">
        <v>0</v>
      </c>
      <c r="E2520" s="5">
        <v>0</v>
      </c>
      <c r="F2520" s="4">
        <v>1</v>
      </c>
      <c r="G2520" s="5">
        <v>0.56000000000000005</v>
      </c>
      <c r="H2520" s="4">
        <v>0</v>
      </c>
    </row>
    <row r="2521" spans="1:8" x14ac:dyDescent="0.2">
      <c r="A2521" s="2" t="s">
        <v>196</v>
      </c>
      <c r="B2521" s="4">
        <v>99</v>
      </c>
      <c r="C2521" s="5">
        <v>23.63</v>
      </c>
      <c r="D2521" s="4">
        <v>52</v>
      </c>
      <c r="E2521" s="5">
        <v>23.53</v>
      </c>
      <c r="F2521" s="4">
        <v>47</v>
      </c>
      <c r="G2521" s="5">
        <v>26.55</v>
      </c>
      <c r="H2521" s="4">
        <v>0</v>
      </c>
    </row>
    <row r="2522" spans="1:8" x14ac:dyDescent="0.2">
      <c r="A2522" s="2" t="s">
        <v>197</v>
      </c>
      <c r="B2522" s="4">
        <v>6</v>
      </c>
      <c r="C2522" s="5">
        <v>1.43</v>
      </c>
      <c r="D2522" s="4">
        <v>1</v>
      </c>
      <c r="E2522" s="5">
        <v>0.45</v>
      </c>
      <c r="F2522" s="4">
        <v>5</v>
      </c>
      <c r="G2522" s="5">
        <v>2.82</v>
      </c>
      <c r="H2522" s="4">
        <v>0</v>
      </c>
    </row>
    <row r="2523" spans="1:8" x14ac:dyDescent="0.2">
      <c r="A2523" s="2" t="s">
        <v>198</v>
      </c>
      <c r="B2523" s="4">
        <v>27</v>
      </c>
      <c r="C2523" s="5">
        <v>6.44</v>
      </c>
      <c r="D2523" s="4">
        <v>12</v>
      </c>
      <c r="E2523" s="5">
        <v>5.43</v>
      </c>
      <c r="F2523" s="4">
        <v>14</v>
      </c>
      <c r="G2523" s="5">
        <v>7.91</v>
      </c>
      <c r="H2523" s="4">
        <v>0</v>
      </c>
    </row>
    <row r="2524" spans="1:8" x14ac:dyDescent="0.2">
      <c r="A2524" s="2" t="s">
        <v>199</v>
      </c>
      <c r="B2524" s="4">
        <v>19</v>
      </c>
      <c r="C2524" s="5">
        <v>4.53</v>
      </c>
      <c r="D2524" s="4">
        <v>13</v>
      </c>
      <c r="E2524" s="5">
        <v>5.88</v>
      </c>
      <c r="F2524" s="4">
        <v>5</v>
      </c>
      <c r="G2524" s="5">
        <v>2.82</v>
      </c>
      <c r="H2524" s="4">
        <v>0</v>
      </c>
    </row>
    <row r="2525" spans="1:8" x14ac:dyDescent="0.2">
      <c r="A2525" s="2" t="s">
        <v>200</v>
      </c>
      <c r="B2525" s="4">
        <v>70</v>
      </c>
      <c r="C2525" s="5">
        <v>16.71</v>
      </c>
      <c r="D2525" s="4">
        <v>57</v>
      </c>
      <c r="E2525" s="5">
        <v>25.79</v>
      </c>
      <c r="F2525" s="4">
        <v>13</v>
      </c>
      <c r="G2525" s="5">
        <v>7.34</v>
      </c>
      <c r="H2525" s="4">
        <v>0</v>
      </c>
    </row>
    <row r="2526" spans="1:8" x14ac:dyDescent="0.2">
      <c r="A2526" s="2" t="s">
        <v>201</v>
      </c>
      <c r="B2526" s="4">
        <v>65</v>
      </c>
      <c r="C2526" s="5">
        <v>15.51</v>
      </c>
      <c r="D2526" s="4">
        <v>44</v>
      </c>
      <c r="E2526" s="5">
        <v>19.91</v>
      </c>
      <c r="F2526" s="4">
        <v>17</v>
      </c>
      <c r="G2526" s="5">
        <v>9.6</v>
      </c>
      <c r="H2526" s="4">
        <v>0</v>
      </c>
    </row>
    <row r="2527" spans="1:8" x14ac:dyDescent="0.2">
      <c r="A2527" s="2" t="s">
        <v>202</v>
      </c>
      <c r="B2527" s="4">
        <v>9</v>
      </c>
      <c r="C2527" s="5">
        <v>2.15</v>
      </c>
      <c r="D2527" s="4">
        <v>5</v>
      </c>
      <c r="E2527" s="5">
        <v>2.2599999999999998</v>
      </c>
      <c r="F2527" s="4">
        <v>3</v>
      </c>
      <c r="G2527" s="5">
        <v>1.69</v>
      </c>
      <c r="H2527" s="4">
        <v>0</v>
      </c>
    </row>
    <row r="2528" spans="1:8" x14ac:dyDescent="0.2">
      <c r="A2528" s="2" t="s">
        <v>203</v>
      </c>
      <c r="B2528" s="4">
        <v>32</v>
      </c>
      <c r="C2528" s="5">
        <v>7.64</v>
      </c>
      <c r="D2528" s="4">
        <v>9</v>
      </c>
      <c r="E2528" s="5">
        <v>4.07</v>
      </c>
      <c r="F2528" s="4">
        <v>17</v>
      </c>
      <c r="G2528" s="5">
        <v>9.6</v>
      </c>
      <c r="H2528" s="4">
        <v>0</v>
      </c>
    </row>
    <row r="2529" spans="1:8" x14ac:dyDescent="0.2">
      <c r="A2529" s="2" t="s">
        <v>204</v>
      </c>
      <c r="B2529" s="4">
        <v>17</v>
      </c>
      <c r="C2529" s="5">
        <v>4.0599999999999996</v>
      </c>
      <c r="D2529" s="4">
        <v>5</v>
      </c>
      <c r="E2529" s="5">
        <v>2.2599999999999998</v>
      </c>
      <c r="F2529" s="4">
        <v>4</v>
      </c>
      <c r="G2529" s="5">
        <v>2.2599999999999998</v>
      </c>
      <c r="H2529" s="4">
        <v>0</v>
      </c>
    </row>
    <row r="2530" spans="1:8" x14ac:dyDescent="0.2">
      <c r="A2530" s="1" t="s">
        <v>158</v>
      </c>
      <c r="B2530" s="4">
        <v>133</v>
      </c>
      <c r="C2530" s="5">
        <v>100.00000000000001</v>
      </c>
      <c r="D2530" s="4">
        <v>66</v>
      </c>
      <c r="E2530" s="5">
        <v>100.03</v>
      </c>
      <c r="F2530" s="4">
        <v>60</v>
      </c>
      <c r="G2530" s="5">
        <v>100.01</v>
      </c>
      <c r="H2530" s="4">
        <v>0</v>
      </c>
    </row>
    <row r="2531" spans="1:8" x14ac:dyDescent="0.2">
      <c r="A2531" s="2" t="s">
        <v>190</v>
      </c>
      <c r="B2531" s="4">
        <v>0</v>
      </c>
      <c r="C2531" s="5">
        <v>0</v>
      </c>
      <c r="D2531" s="4">
        <v>0</v>
      </c>
      <c r="E2531" s="5">
        <v>0</v>
      </c>
      <c r="F2531" s="4">
        <v>0</v>
      </c>
      <c r="G2531" s="5">
        <v>0</v>
      </c>
      <c r="H2531" s="4">
        <v>0</v>
      </c>
    </row>
    <row r="2532" spans="1:8" x14ac:dyDescent="0.2">
      <c r="A2532" s="2" t="s">
        <v>191</v>
      </c>
      <c r="B2532" s="4">
        <v>13</v>
      </c>
      <c r="C2532" s="5">
        <v>9.77</v>
      </c>
      <c r="D2532" s="4">
        <v>5</v>
      </c>
      <c r="E2532" s="5">
        <v>7.58</v>
      </c>
      <c r="F2532" s="4">
        <v>8</v>
      </c>
      <c r="G2532" s="5">
        <v>13.33</v>
      </c>
      <c r="H2532" s="4">
        <v>0</v>
      </c>
    </row>
    <row r="2533" spans="1:8" x14ac:dyDescent="0.2">
      <c r="A2533" s="2" t="s">
        <v>192</v>
      </c>
      <c r="B2533" s="4">
        <v>11</v>
      </c>
      <c r="C2533" s="5">
        <v>8.27</v>
      </c>
      <c r="D2533" s="4">
        <v>1</v>
      </c>
      <c r="E2533" s="5">
        <v>1.52</v>
      </c>
      <c r="F2533" s="4">
        <v>10</v>
      </c>
      <c r="G2533" s="5">
        <v>16.670000000000002</v>
      </c>
      <c r="H2533" s="4">
        <v>0</v>
      </c>
    </row>
    <row r="2534" spans="1:8" x14ac:dyDescent="0.2">
      <c r="A2534" s="2" t="s">
        <v>193</v>
      </c>
      <c r="B2534" s="4">
        <v>0</v>
      </c>
      <c r="C2534" s="5">
        <v>0</v>
      </c>
      <c r="D2534" s="4">
        <v>0</v>
      </c>
      <c r="E2534" s="5">
        <v>0</v>
      </c>
      <c r="F2534" s="4">
        <v>0</v>
      </c>
      <c r="G2534" s="5">
        <v>0</v>
      </c>
      <c r="H2534" s="4">
        <v>0</v>
      </c>
    </row>
    <row r="2535" spans="1:8" x14ac:dyDescent="0.2">
      <c r="A2535" s="2" t="s">
        <v>194</v>
      </c>
      <c r="B2535" s="4">
        <v>0</v>
      </c>
      <c r="C2535" s="5">
        <v>0</v>
      </c>
      <c r="D2535" s="4">
        <v>0</v>
      </c>
      <c r="E2535" s="5">
        <v>0</v>
      </c>
      <c r="F2535" s="4">
        <v>0</v>
      </c>
      <c r="G2535" s="5">
        <v>0</v>
      </c>
      <c r="H2535" s="4">
        <v>0</v>
      </c>
    </row>
    <row r="2536" spans="1:8" x14ac:dyDescent="0.2">
      <c r="A2536" s="2" t="s">
        <v>195</v>
      </c>
      <c r="B2536" s="4">
        <v>1</v>
      </c>
      <c r="C2536" s="5">
        <v>0.75</v>
      </c>
      <c r="D2536" s="4">
        <v>0</v>
      </c>
      <c r="E2536" s="5">
        <v>0</v>
      </c>
      <c r="F2536" s="4">
        <v>1</v>
      </c>
      <c r="G2536" s="5">
        <v>1.67</v>
      </c>
      <c r="H2536" s="4">
        <v>0</v>
      </c>
    </row>
    <row r="2537" spans="1:8" x14ac:dyDescent="0.2">
      <c r="A2537" s="2" t="s">
        <v>196</v>
      </c>
      <c r="B2537" s="4">
        <v>38</v>
      </c>
      <c r="C2537" s="5">
        <v>28.57</v>
      </c>
      <c r="D2537" s="4">
        <v>16</v>
      </c>
      <c r="E2537" s="5">
        <v>24.24</v>
      </c>
      <c r="F2537" s="4">
        <v>22</v>
      </c>
      <c r="G2537" s="5">
        <v>36.67</v>
      </c>
      <c r="H2537" s="4">
        <v>0</v>
      </c>
    </row>
    <row r="2538" spans="1:8" x14ac:dyDescent="0.2">
      <c r="A2538" s="2" t="s">
        <v>197</v>
      </c>
      <c r="B2538" s="4">
        <v>1</v>
      </c>
      <c r="C2538" s="5">
        <v>0.75</v>
      </c>
      <c r="D2538" s="4">
        <v>0</v>
      </c>
      <c r="E2538" s="5">
        <v>0</v>
      </c>
      <c r="F2538" s="4">
        <v>1</v>
      </c>
      <c r="G2538" s="5">
        <v>1.67</v>
      </c>
      <c r="H2538" s="4">
        <v>0</v>
      </c>
    </row>
    <row r="2539" spans="1:8" x14ac:dyDescent="0.2">
      <c r="A2539" s="2" t="s">
        <v>198</v>
      </c>
      <c r="B2539" s="4">
        <v>15</v>
      </c>
      <c r="C2539" s="5">
        <v>11.28</v>
      </c>
      <c r="D2539" s="4">
        <v>9</v>
      </c>
      <c r="E2539" s="5">
        <v>13.64</v>
      </c>
      <c r="F2539" s="4">
        <v>5</v>
      </c>
      <c r="G2539" s="5">
        <v>8.33</v>
      </c>
      <c r="H2539" s="4">
        <v>0</v>
      </c>
    </row>
    <row r="2540" spans="1:8" x14ac:dyDescent="0.2">
      <c r="A2540" s="2" t="s">
        <v>199</v>
      </c>
      <c r="B2540" s="4">
        <v>3</v>
      </c>
      <c r="C2540" s="5">
        <v>2.2599999999999998</v>
      </c>
      <c r="D2540" s="4">
        <v>1</v>
      </c>
      <c r="E2540" s="5">
        <v>1.52</v>
      </c>
      <c r="F2540" s="4">
        <v>2</v>
      </c>
      <c r="G2540" s="5">
        <v>3.33</v>
      </c>
      <c r="H2540" s="4">
        <v>0</v>
      </c>
    </row>
    <row r="2541" spans="1:8" x14ac:dyDescent="0.2">
      <c r="A2541" s="2" t="s">
        <v>200</v>
      </c>
      <c r="B2541" s="4">
        <v>20</v>
      </c>
      <c r="C2541" s="5">
        <v>15.04</v>
      </c>
      <c r="D2541" s="4">
        <v>17</v>
      </c>
      <c r="E2541" s="5">
        <v>25.76</v>
      </c>
      <c r="F2541" s="4">
        <v>3</v>
      </c>
      <c r="G2541" s="5">
        <v>5</v>
      </c>
      <c r="H2541" s="4">
        <v>0</v>
      </c>
    </row>
    <row r="2542" spans="1:8" x14ac:dyDescent="0.2">
      <c r="A2542" s="2" t="s">
        <v>201</v>
      </c>
      <c r="B2542" s="4">
        <v>15</v>
      </c>
      <c r="C2542" s="5">
        <v>11.28</v>
      </c>
      <c r="D2542" s="4">
        <v>11</v>
      </c>
      <c r="E2542" s="5">
        <v>16.670000000000002</v>
      </c>
      <c r="F2542" s="4">
        <v>4</v>
      </c>
      <c r="G2542" s="5">
        <v>6.67</v>
      </c>
      <c r="H2542" s="4">
        <v>0</v>
      </c>
    </row>
    <row r="2543" spans="1:8" x14ac:dyDescent="0.2">
      <c r="A2543" s="2" t="s">
        <v>202</v>
      </c>
      <c r="B2543" s="4">
        <v>5</v>
      </c>
      <c r="C2543" s="5">
        <v>3.76</v>
      </c>
      <c r="D2543" s="4">
        <v>2</v>
      </c>
      <c r="E2543" s="5">
        <v>3.03</v>
      </c>
      <c r="F2543" s="4">
        <v>0</v>
      </c>
      <c r="G2543" s="5">
        <v>0</v>
      </c>
      <c r="H2543" s="4">
        <v>0</v>
      </c>
    </row>
    <row r="2544" spans="1:8" x14ac:dyDescent="0.2">
      <c r="A2544" s="2" t="s">
        <v>203</v>
      </c>
      <c r="B2544" s="4">
        <v>6</v>
      </c>
      <c r="C2544" s="5">
        <v>4.51</v>
      </c>
      <c r="D2544" s="4">
        <v>3</v>
      </c>
      <c r="E2544" s="5">
        <v>4.55</v>
      </c>
      <c r="F2544" s="4">
        <v>1</v>
      </c>
      <c r="G2544" s="5">
        <v>1.67</v>
      </c>
      <c r="H2544" s="4">
        <v>0</v>
      </c>
    </row>
    <row r="2545" spans="1:8" x14ac:dyDescent="0.2">
      <c r="A2545" s="2" t="s">
        <v>204</v>
      </c>
      <c r="B2545" s="4">
        <v>5</v>
      </c>
      <c r="C2545" s="5">
        <v>3.76</v>
      </c>
      <c r="D2545" s="4">
        <v>1</v>
      </c>
      <c r="E2545" s="5">
        <v>1.52</v>
      </c>
      <c r="F2545" s="4">
        <v>3</v>
      </c>
      <c r="G2545" s="5">
        <v>5</v>
      </c>
      <c r="H2545" s="4">
        <v>0</v>
      </c>
    </row>
    <row r="2546" spans="1:8" x14ac:dyDescent="0.2">
      <c r="A2546" s="1" t="s">
        <v>159</v>
      </c>
      <c r="B2546" s="4">
        <v>156</v>
      </c>
      <c r="C2546" s="5">
        <v>99.98</v>
      </c>
      <c r="D2546" s="4">
        <v>86</v>
      </c>
      <c r="E2546" s="5">
        <v>100.01</v>
      </c>
      <c r="F2546" s="4">
        <v>53</v>
      </c>
      <c r="G2546" s="5">
        <v>99.97999999999999</v>
      </c>
      <c r="H2546" s="4">
        <v>1</v>
      </c>
    </row>
    <row r="2547" spans="1:8" x14ac:dyDescent="0.2">
      <c r="A2547" s="2" t="s">
        <v>190</v>
      </c>
      <c r="B2547" s="4">
        <v>0</v>
      </c>
      <c r="C2547" s="5">
        <v>0</v>
      </c>
      <c r="D2547" s="4">
        <v>0</v>
      </c>
      <c r="E2547" s="5">
        <v>0</v>
      </c>
      <c r="F2547" s="4">
        <v>0</v>
      </c>
      <c r="G2547" s="5">
        <v>0</v>
      </c>
      <c r="H2547" s="4">
        <v>0</v>
      </c>
    </row>
    <row r="2548" spans="1:8" x14ac:dyDescent="0.2">
      <c r="A2548" s="2" t="s">
        <v>191</v>
      </c>
      <c r="B2548" s="4">
        <v>24</v>
      </c>
      <c r="C2548" s="5">
        <v>15.38</v>
      </c>
      <c r="D2548" s="4">
        <v>9</v>
      </c>
      <c r="E2548" s="5">
        <v>10.47</v>
      </c>
      <c r="F2548" s="4">
        <v>15</v>
      </c>
      <c r="G2548" s="5">
        <v>28.3</v>
      </c>
      <c r="H2548" s="4">
        <v>0</v>
      </c>
    </row>
    <row r="2549" spans="1:8" x14ac:dyDescent="0.2">
      <c r="A2549" s="2" t="s">
        <v>192</v>
      </c>
      <c r="B2549" s="4">
        <v>9</v>
      </c>
      <c r="C2549" s="5">
        <v>5.77</v>
      </c>
      <c r="D2549" s="4">
        <v>1</v>
      </c>
      <c r="E2549" s="5">
        <v>1.1599999999999999</v>
      </c>
      <c r="F2549" s="4">
        <v>8</v>
      </c>
      <c r="G2549" s="5">
        <v>15.09</v>
      </c>
      <c r="H2549" s="4">
        <v>0</v>
      </c>
    </row>
    <row r="2550" spans="1:8" x14ac:dyDescent="0.2">
      <c r="A2550" s="2" t="s">
        <v>193</v>
      </c>
      <c r="B2550" s="4">
        <v>1</v>
      </c>
      <c r="C2550" s="5">
        <v>0.64</v>
      </c>
      <c r="D2550" s="4">
        <v>0</v>
      </c>
      <c r="E2550" s="5">
        <v>0</v>
      </c>
      <c r="F2550" s="4">
        <v>0</v>
      </c>
      <c r="G2550" s="5">
        <v>0</v>
      </c>
      <c r="H2550" s="4">
        <v>0</v>
      </c>
    </row>
    <row r="2551" spans="1:8" x14ac:dyDescent="0.2">
      <c r="A2551" s="2" t="s">
        <v>194</v>
      </c>
      <c r="B2551" s="4">
        <v>0</v>
      </c>
      <c r="C2551" s="5">
        <v>0</v>
      </c>
      <c r="D2551" s="4">
        <v>0</v>
      </c>
      <c r="E2551" s="5">
        <v>0</v>
      </c>
      <c r="F2551" s="4">
        <v>0</v>
      </c>
      <c r="G2551" s="5">
        <v>0</v>
      </c>
      <c r="H2551" s="4">
        <v>0</v>
      </c>
    </row>
    <row r="2552" spans="1:8" x14ac:dyDescent="0.2">
      <c r="A2552" s="2" t="s">
        <v>195</v>
      </c>
      <c r="B2552" s="4">
        <v>2</v>
      </c>
      <c r="C2552" s="5">
        <v>1.28</v>
      </c>
      <c r="D2552" s="4">
        <v>0</v>
      </c>
      <c r="E2552" s="5">
        <v>0</v>
      </c>
      <c r="F2552" s="4">
        <v>2</v>
      </c>
      <c r="G2552" s="5">
        <v>3.77</v>
      </c>
      <c r="H2552" s="4">
        <v>0</v>
      </c>
    </row>
    <row r="2553" spans="1:8" x14ac:dyDescent="0.2">
      <c r="A2553" s="2" t="s">
        <v>196</v>
      </c>
      <c r="B2553" s="4">
        <v>40</v>
      </c>
      <c r="C2553" s="5">
        <v>25.64</v>
      </c>
      <c r="D2553" s="4">
        <v>21</v>
      </c>
      <c r="E2553" s="5">
        <v>24.42</v>
      </c>
      <c r="F2553" s="4">
        <v>18</v>
      </c>
      <c r="G2553" s="5">
        <v>33.96</v>
      </c>
      <c r="H2553" s="4">
        <v>1</v>
      </c>
    </row>
    <row r="2554" spans="1:8" x14ac:dyDescent="0.2">
      <c r="A2554" s="2" t="s">
        <v>197</v>
      </c>
      <c r="B2554" s="4">
        <v>0</v>
      </c>
      <c r="C2554" s="5">
        <v>0</v>
      </c>
      <c r="D2554" s="4">
        <v>0</v>
      </c>
      <c r="E2554" s="5">
        <v>0</v>
      </c>
      <c r="F2554" s="4">
        <v>0</v>
      </c>
      <c r="G2554" s="5">
        <v>0</v>
      </c>
      <c r="H2554" s="4">
        <v>0</v>
      </c>
    </row>
    <row r="2555" spans="1:8" x14ac:dyDescent="0.2">
      <c r="A2555" s="2" t="s">
        <v>198</v>
      </c>
      <c r="B2555" s="4">
        <v>2</v>
      </c>
      <c r="C2555" s="5">
        <v>1.28</v>
      </c>
      <c r="D2555" s="4">
        <v>0</v>
      </c>
      <c r="E2555" s="5">
        <v>0</v>
      </c>
      <c r="F2555" s="4">
        <v>2</v>
      </c>
      <c r="G2555" s="5">
        <v>3.77</v>
      </c>
      <c r="H2555" s="4">
        <v>0</v>
      </c>
    </row>
    <row r="2556" spans="1:8" x14ac:dyDescent="0.2">
      <c r="A2556" s="2" t="s">
        <v>199</v>
      </c>
      <c r="B2556" s="4">
        <v>3</v>
      </c>
      <c r="C2556" s="5">
        <v>1.92</v>
      </c>
      <c r="D2556" s="4">
        <v>2</v>
      </c>
      <c r="E2556" s="5">
        <v>2.33</v>
      </c>
      <c r="F2556" s="4">
        <v>0</v>
      </c>
      <c r="G2556" s="5">
        <v>0</v>
      </c>
      <c r="H2556" s="4">
        <v>0</v>
      </c>
    </row>
    <row r="2557" spans="1:8" x14ac:dyDescent="0.2">
      <c r="A2557" s="2" t="s">
        <v>200</v>
      </c>
      <c r="B2557" s="4">
        <v>31</v>
      </c>
      <c r="C2557" s="5">
        <v>19.87</v>
      </c>
      <c r="D2557" s="4">
        <v>27</v>
      </c>
      <c r="E2557" s="5">
        <v>31.4</v>
      </c>
      <c r="F2557" s="4">
        <v>3</v>
      </c>
      <c r="G2557" s="5">
        <v>5.66</v>
      </c>
      <c r="H2557" s="4">
        <v>0</v>
      </c>
    </row>
    <row r="2558" spans="1:8" x14ac:dyDescent="0.2">
      <c r="A2558" s="2" t="s">
        <v>201</v>
      </c>
      <c r="B2558" s="4">
        <v>21</v>
      </c>
      <c r="C2558" s="5">
        <v>13.46</v>
      </c>
      <c r="D2558" s="4">
        <v>16</v>
      </c>
      <c r="E2558" s="5">
        <v>18.600000000000001</v>
      </c>
      <c r="F2558" s="4">
        <v>2</v>
      </c>
      <c r="G2558" s="5">
        <v>3.77</v>
      </c>
      <c r="H2558" s="4">
        <v>0</v>
      </c>
    </row>
    <row r="2559" spans="1:8" x14ac:dyDescent="0.2">
      <c r="A2559" s="2" t="s">
        <v>202</v>
      </c>
      <c r="B2559" s="4">
        <v>4</v>
      </c>
      <c r="C2559" s="5">
        <v>2.56</v>
      </c>
      <c r="D2559" s="4">
        <v>2</v>
      </c>
      <c r="E2559" s="5">
        <v>2.33</v>
      </c>
      <c r="F2559" s="4">
        <v>0</v>
      </c>
      <c r="G2559" s="5">
        <v>0</v>
      </c>
      <c r="H2559" s="4">
        <v>0</v>
      </c>
    </row>
    <row r="2560" spans="1:8" x14ac:dyDescent="0.2">
      <c r="A2560" s="2" t="s">
        <v>203</v>
      </c>
      <c r="B2560" s="4">
        <v>11</v>
      </c>
      <c r="C2560" s="5">
        <v>7.05</v>
      </c>
      <c r="D2560" s="4">
        <v>4</v>
      </c>
      <c r="E2560" s="5">
        <v>4.6500000000000004</v>
      </c>
      <c r="F2560" s="4">
        <v>2</v>
      </c>
      <c r="G2560" s="5">
        <v>3.77</v>
      </c>
      <c r="H2560" s="4">
        <v>0</v>
      </c>
    </row>
    <row r="2561" spans="1:8" x14ac:dyDescent="0.2">
      <c r="A2561" s="2" t="s">
        <v>204</v>
      </c>
      <c r="B2561" s="4">
        <v>8</v>
      </c>
      <c r="C2561" s="5">
        <v>5.13</v>
      </c>
      <c r="D2561" s="4">
        <v>4</v>
      </c>
      <c r="E2561" s="5">
        <v>4.6500000000000004</v>
      </c>
      <c r="F2561" s="4">
        <v>1</v>
      </c>
      <c r="G2561" s="5">
        <v>1.89</v>
      </c>
      <c r="H2561" s="4">
        <v>0</v>
      </c>
    </row>
    <row r="2562" spans="1:8" x14ac:dyDescent="0.2">
      <c r="A2562" s="1" t="s">
        <v>160</v>
      </c>
      <c r="B2562" s="4">
        <v>661</v>
      </c>
      <c r="C2562" s="5">
        <v>99.999999999999986</v>
      </c>
      <c r="D2562" s="4">
        <v>358</v>
      </c>
      <c r="E2562" s="5">
        <v>100.00999999999999</v>
      </c>
      <c r="F2562" s="4">
        <v>292</v>
      </c>
      <c r="G2562" s="5">
        <v>100.00000000000001</v>
      </c>
      <c r="H2562" s="4">
        <v>2</v>
      </c>
    </row>
    <row r="2563" spans="1:8" x14ac:dyDescent="0.2">
      <c r="A2563" s="2" t="s">
        <v>190</v>
      </c>
      <c r="B2563" s="4">
        <v>1</v>
      </c>
      <c r="C2563" s="5">
        <v>0.15</v>
      </c>
      <c r="D2563" s="4">
        <v>0</v>
      </c>
      <c r="E2563" s="5">
        <v>0</v>
      </c>
      <c r="F2563" s="4">
        <v>1</v>
      </c>
      <c r="G2563" s="5">
        <v>0.34</v>
      </c>
      <c r="H2563" s="4">
        <v>0</v>
      </c>
    </row>
    <row r="2564" spans="1:8" x14ac:dyDescent="0.2">
      <c r="A2564" s="2" t="s">
        <v>191</v>
      </c>
      <c r="B2564" s="4">
        <v>88</v>
      </c>
      <c r="C2564" s="5">
        <v>13.31</v>
      </c>
      <c r="D2564" s="4">
        <v>33</v>
      </c>
      <c r="E2564" s="5">
        <v>9.2200000000000006</v>
      </c>
      <c r="F2564" s="4">
        <v>55</v>
      </c>
      <c r="G2564" s="5">
        <v>18.84</v>
      </c>
      <c r="H2564" s="4">
        <v>0</v>
      </c>
    </row>
    <row r="2565" spans="1:8" x14ac:dyDescent="0.2">
      <c r="A2565" s="2" t="s">
        <v>192</v>
      </c>
      <c r="B2565" s="4">
        <v>33</v>
      </c>
      <c r="C2565" s="5">
        <v>4.99</v>
      </c>
      <c r="D2565" s="4">
        <v>13</v>
      </c>
      <c r="E2565" s="5">
        <v>3.63</v>
      </c>
      <c r="F2565" s="4">
        <v>20</v>
      </c>
      <c r="G2565" s="5">
        <v>6.85</v>
      </c>
      <c r="H2565" s="4">
        <v>0</v>
      </c>
    </row>
    <row r="2566" spans="1:8" x14ac:dyDescent="0.2">
      <c r="A2566" s="2" t="s">
        <v>193</v>
      </c>
      <c r="B2566" s="4">
        <v>1</v>
      </c>
      <c r="C2566" s="5">
        <v>0.15</v>
      </c>
      <c r="D2566" s="4">
        <v>0</v>
      </c>
      <c r="E2566" s="5">
        <v>0</v>
      </c>
      <c r="F2566" s="4">
        <v>0</v>
      </c>
      <c r="G2566" s="5">
        <v>0</v>
      </c>
      <c r="H2566" s="4">
        <v>0</v>
      </c>
    </row>
    <row r="2567" spans="1:8" x14ac:dyDescent="0.2">
      <c r="A2567" s="2" t="s">
        <v>194</v>
      </c>
      <c r="B2567" s="4">
        <v>4</v>
      </c>
      <c r="C2567" s="5">
        <v>0.61</v>
      </c>
      <c r="D2567" s="4">
        <v>0</v>
      </c>
      <c r="E2567" s="5">
        <v>0</v>
      </c>
      <c r="F2567" s="4">
        <v>4</v>
      </c>
      <c r="G2567" s="5">
        <v>1.37</v>
      </c>
      <c r="H2567" s="4">
        <v>0</v>
      </c>
    </row>
    <row r="2568" spans="1:8" x14ac:dyDescent="0.2">
      <c r="A2568" s="2" t="s">
        <v>195</v>
      </c>
      <c r="B2568" s="4">
        <v>6</v>
      </c>
      <c r="C2568" s="5">
        <v>0.91</v>
      </c>
      <c r="D2568" s="4">
        <v>1</v>
      </c>
      <c r="E2568" s="5">
        <v>0.28000000000000003</v>
      </c>
      <c r="F2568" s="4">
        <v>4</v>
      </c>
      <c r="G2568" s="5">
        <v>1.37</v>
      </c>
      <c r="H2568" s="4">
        <v>1</v>
      </c>
    </row>
    <row r="2569" spans="1:8" x14ac:dyDescent="0.2">
      <c r="A2569" s="2" t="s">
        <v>196</v>
      </c>
      <c r="B2569" s="4">
        <v>160</v>
      </c>
      <c r="C2569" s="5">
        <v>24.21</v>
      </c>
      <c r="D2569" s="4">
        <v>66</v>
      </c>
      <c r="E2569" s="5">
        <v>18.440000000000001</v>
      </c>
      <c r="F2569" s="4">
        <v>94</v>
      </c>
      <c r="G2569" s="5">
        <v>32.19</v>
      </c>
      <c r="H2569" s="4">
        <v>0</v>
      </c>
    </row>
    <row r="2570" spans="1:8" x14ac:dyDescent="0.2">
      <c r="A2570" s="2" t="s">
        <v>197</v>
      </c>
      <c r="B2570" s="4">
        <v>5</v>
      </c>
      <c r="C2570" s="5">
        <v>0.76</v>
      </c>
      <c r="D2570" s="4">
        <v>1</v>
      </c>
      <c r="E2570" s="5">
        <v>0.28000000000000003</v>
      </c>
      <c r="F2570" s="4">
        <v>4</v>
      </c>
      <c r="G2570" s="5">
        <v>1.37</v>
      </c>
      <c r="H2570" s="4">
        <v>0</v>
      </c>
    </row>
    <row r="2571" spans="1:8" x14ac:dyDescent="0.2">
      <c r="A2571" s="2" t="s">
        <v>198</v>
      </c>
      <c r="B2571" s="4">
        <v>63</v>
      </c>
      <c r="C2571" s="5">
        <v>9.5299999999999994</v>
      </c>
      <c r="D2571" s="4">
        <v>39</v>
      </c>
      <c r="E2571" s="5">
        <v>10.89</v>
      </c>
      <c r="F2571" s="4">
        <v>24</v>
      </c>
      <c r="G2571" s="5">
        <v>8.2200000000000006</v>
      </c>
      <c r="H2571" s="4">
        <v>0</v>
      </c>
    </row>
    <row r="2572" spans="1:8" x14ac:dyDescent="0.2">
      <c r="A2572" s="2" t="s">
        <v>199</v>
      </c>
      <c r="B2572" s="4">
        <v>31</v>
      </c>
      <c r="C2572" s="5">
        <v>4.6900000000000004</v>
      </c>
      <c r="D2572" s="4">
        <v>19</v>
      </c>
      <c r="E2572" s="5">
        <v>5.31</v>
      </c>
      <c r="F2572" s="4">
        <v>10</v>
      </c>
      <c r="G2572" s="5">
        <v>3.42</v>
      </c>
      <c r="H2572" s="4">
        <v>1</v>
      </c>
    </row>
    <row r="2573" spans="1:8" x14ac:dyDescent="0.2">
      <c r="A2573" s="2" t="s">
        <v>200</v>
      </c>
      <c r="B2573" s="4">
        <v>110</v>
      </c>
      <c r="C2573" s="5">
        <v>16.64</v>
      </c>
      <c r="D2573" s="4">
        <v>90</v>
      </c>
      <c r="E2573" s="5">
        <v>25.14</v>
      </c>
      <c r="F2573" s="4">
        <v>19</v>
      </c>
      <c r="G2573" s="5">
        <v>6.51</v>
      </c>
      <c r="H2573" s="4">
        <v>0</v>
      </c>
    </row>
    <row r="2574" spans="1:8" x14ac:dyDescent="0.2">
      <c r="A2574" s="2" t="s">
        <v>201</v>
      </c>
      <c r="B2574" s="4">
        <v>80</v>
      </c>
      <c r="C2574" s="5">
        <v>12.1</v>
      </c>
      <c r="D2574" s="4">
        <v>62</v>
      </c>
      <c r="E2574" s="5">
        <v>17.32</v>
      </c>
      <c r="F2574" s="4">
        <v>17</v>
      </c>
      <c r="G2574" s="5">
        <v>5.82</v>
      </c>
      <c r="H2574" s="4">
        <v>0</v>
      </c>
    </row>
    <row r="2575" spans="1:8" x14ac:dyDescent="0.2">
      <c r="A2575" s="2" t="s">
        <v>202</v>
      </c>
      <c r="B2575" s="4">
        <v>18</v>
      </c>
      <c r="C2575" s="5">
        <v>2.72</v>
      </c>
      <c r="D2575" s="4">
        <v>13</v>
      </c>
      <c r="E2575" s="5">
        <v>3.63</v>
      </c>
      <c r="F2575" s="4">
        <v>3</v>
      </c>
      <c r="G2575" s="5">
        <v>1.03</v>
      </c>
      <c r="H2575" s="4">
        <v>0</v>
      </c>
    </row>
    <row r="2576" spans="1:8" x14ac:dyDescent="0.2">
      <c r="A2576" s="2" t="s">
        <v>203</v>
      </c>
      <c r="B2576" s="4">
        <v>39</v>
      </c>
      <c r="C2576" s="5">
        <v>5.9</v>
      </c>
      <c r="D2576" s="4">
        <v>16</v>
      </c>
      <c r="E2576" s="5">
        <v>4.47</v>
      </c>
      <c r="F2576" s="4">
        <v>21</v>
      </c>
      <c r="G2576" s="5">
        <v>7.19</v>
      </c>
      <c r="H2576" s="4">
        <v>0</v>
      </c>
    </row>
    <row r="2577" spans="1:8" x14ac:dyDescent="0.2">
      <c r="A2577" s="2" t="s">
        <v>204</v>
      </c>
      <c r="B2577" s="4">
        <v>22</v>
      </c>
      <c r="C2577" s="5">
        <v>3.33</v>
      </c>
      <c r="D2577" s="4">
        <v>5</v>
      </c>
      <c r="E2577" s="5">
        <v>1.4</v>
      </c>
      <c r="F2577" s="4">
        <v>16</v>
      </c>
      <c r="G2577" s="5">
        <v>5.48</v>
      </c>
      <c r="H2577" s="4">
        <v>0</v>
      </c>
    </row>
    <row r="2578" spans="1:8" x14ac:dyDescent="0.2">
      <c r="A2578" s="1" t="s">
        <v>161</v>
      </c>
      <c r="B2578" s="4">
        <v>698</v>
      </c>
      <c r="C2578" s="5">
        <v>99.99</v>
      </c>
      <c r="D2578" s="4">
        <v>359</v>
      </c>
      <c r="E2578" s="5">
        <v>99.99</v>
      </c>
      <c r="F2578" s="4">
        <v>336</v>
      </c>
      <c r="G2578" s="5">
        <v>99.989999999999981</v>
      </c>
      <c r="H2578" s="4">
        <v>0</v>
      </c>
    </row>
    <row r="2579" spans="1:8" x14ac:dyDescent="0.2">
      <c r="A2579" s="2" t="s">
        <v>190</v>
      </c>
      <c r="B2579" s="4">
        <v>0</v>
      </c>
      <c r="C2579" s="5">
        <v>0</v>
      </c>
      <c r="D2579" s="4">
        <v>0</v>
      </c>
      <c r="E2579" s="5">
        <v>0</v>
      </c>
      <c r="F2579" s="4">
        <v>0</v>
      </c>
      <c r="G2579" s="5">
        <v>0</v>
      </c>
      <c r="H2579" s="4">
        <v>0</v>
      </c>
    </row>
    <row r="2580" spans="1:8" x14ac:dyDescent="0.2">
      <c r="A2580" s="2" t="s">
        <v>191</v>
      </c>
      <c r="B2580" s="4">
        <v>133</v>
      </c>
      <c r="C2580" s="5">
        <v>19.05</v>
      </c>
      <c r="D2580" s="4">
        <v>38</v>
      </c>
      <c r="E2580" s="5">
        <v>10.58</v>
      </c>
      <c r="F2580" s="4">
        <v>95</v>
      </c>
      <c r="G2580" s="5">
        <v>28.27</v>
      </c>
      <c r="H2580" s="4">
        <v>0</v>
      </c>
    </row>
    <row r="2581" spans="1:8" x14ac:dyDescent="0.2">
      <c r="A2581" s="2" t="s">
        <v>192</v>
      </c>
      <c r="B2581" s="4">
        <v>34</v>
      </c>
      <c r="C2581" s="5">
        <v>4.87</v>
      </c>
      <c r="D2581" s="4">
        <v>11</v>
      </c>
      <c r="E2581" s="5">
        <v>3.06</v>
      </c>
      <c r="F2581" s="4">
        <v>23</v>
      </c>
      <c r="G2581" s="5">
        <v>6.85</v>
      </c>
      <c r="H2581" s="4">
        <v>0</v>
      </c>
    </row>
    <row r="2582" spans="1:8" x14ac:dyDescent="0.2">
      <c r="A2582" s="2" t="s">
        <v>193</v>
      </c>
      <c r="B2582" s="4">
        <v>4</v>
      </c>
      <c r="C2582" s="5">
        <v>0.56999999999999995</v>
      </c>
      <c r="D2582" s="4">
        <v>0</v>
      </c>
      <c r="E2582" s="5">
        <v>0</v>
      </c>
      <c r="F2582" s="4">
        <v>4</v>
      </c>
      <c r="G2582" s="5">
        <v>1.19</v>
      </c>
      <c r="H2582" s="4">
        <v>0</v>
      </c>
    </row>
    <row r="2583" spans="1:8" x14ac:dyDescent="0.2">
      <c r="A2583" s="2" t="s">
        <v>194</v>
      </c>
      <c r="B2583" s="4">
        <v>4</v>
      </c>
      <c r="C2583" s="5">
        <v>0.56999999999999995</v>
      </c>
      <c r="D2583" s="4">
        <v>1</v>
      </c>
      <c r="E2583" s="5">
        <v>0.28000000000000003</v>
      </c>
      <c r="F2583" s="4">
        <v>3</v>
      </c>
      <c r="G2583" s="5">
        <v>0.89</v>
      </c>
      <c r="H2583" s="4">
        <v>0</v>
      </c>
    </row>
    <row r="2584" spans="1:8" x14ac:dyDescent="0.2">
      <c r="A2584" s="2" t="s">
        <v>195</v>
      </c>
      <c r="B2584" s="4">
        <v>10</v>
      </c>
      <c r="C2584" s="5">
        <v>1.43</v>
      </c>
      <c r="D2584" s="4">
        <v>5</v>
      </c>
      <c r="E2584" s="5">
        <v>1.39</v>
      </c>
      <c r="F2584" s="4">
        <v>5</v>
      </c>
      <c r="G2584" s="5">
        <v>1.49</v>
      </c>
      <c r="H2584" s="4">
        <v>0</v>
      </c>
    </row>
    <row r="2585" spans="1:8" x14ac:dyDescent="0.2">
      <c r="A2585" s="2" t="s">
        <v>196</v>
      </c>
      <c r="B2585" s="4">
        <v>142</v>
      </c>
      <c r="C2585" s="5">
        <v>20.34</v>
      </c>
      <c r="D2585" s="4">
        <v>49</v>
      </c>
      <c r="E2585" s="5">
        <v>13.65</v>
      </c>
      <c r="F2585" s="4">
        <v>93</v>
      </c>
      <c r="G2585" s="5">
        <v>27.68</v>
      </c>
      <c r="H2585" s="4">
        <v>0</v>
      </c>
    </row>
    <row r="2586" spans="1:8" x14ac:dyDescent="0.2">
      <c r="A2586" s="2" t="s">
        <v>197</v>
      </c>
      <c r="B2586" s="4">
        <v>6</v>
      </c>
      <c r="C2586" s="5">
        <v>0.86</v>
      </c>
      <c r="D2586" s="4">
        <v>1</v>
      </c>
      <c r="E2586" s="5">
        <v>0.28000000000000003</v>
      </c>
      <c r="F2586" s="4">
        <v>5</v>
      </c>
      <c r="G2586" s="5">
        <v>1.49</v>
      </c>
      <c r="H2586" s="4">
        <v>0</v>
      </c>
    </row>
    <row r="2587" spans="1:8" x14ac:dyDescent="0.2">
      <c r="A2587" s="2" t="s">
        <v>198</v>
      </c>
      <c r="B2587" s="4">
        <v>57</v>
      </c>
      <c r="C2587" s="5">
        <v>8.17</v>
      </c>
      <c r="D2587" s="4">
        <v>36</v>
      </c>
      <c r="E2587" s="5">
        <v>10.029999999999999</v>
      </c>
      <c r="F2587" s="4">
        <v>20</v>
      </c>
      <c r="G2587" s="5">
        <v>5.95</v>
      </c>
      <c r="H2587" s="4">
        <v>0</v>
      </c>
    </row>
    <row r="2588" spans="1:8" x14ac:dyDescent="0.2">
      <c r="A2588" s="2" t="s">
        <v>199</v>
      </c>
      <c r="B2588" s="4">
        <v>30</v>
      </c>
      <c r="C2588" s="5">
        <v>4.3</v>
      </c>
      <c r="D2588" s="4">
        <v>14</v>
      </c>
      <c r="E2588" s="5">
        <v>3.9</v>
      </c>
      <c r="F2588" s="4">
        <v>16</v>
      </c>
      <c r="G2588" s="5">
        <v>4.76</v>
      </c>
      <c r="H2588" s="4">
        <v>0</v>
      </c>
    </row>
    <row r="2589" spans="1:8" x14ac:dyDescent="0.2">
      <c r="A2589" s="2" t="s">
        <v>200</v>
      </c>
      <c r="B2589" s="4">
        <v>61</v>
      </c>
      <c r="C2589" s="5">
        <v>8.74</v>
      </c>
      <c r="D2589" s="4">
        <v>46</v>
      </c>
      <c r="E2589" s="5">
        <v>12.81</v>
      </c>
      <c r="F2589" s="4">
        <v>15</v>
      </c>
      <c r="G2589" s="5">
        <v>4.46</v>
      </c>
      <c r="H2589" s="4">
        <v>0</v>
      </c>
    </row>
    <row r="2590" spans="1:8" x14ac:dyDescent="0.2">
      <c r="A2590" s="2" t="s">
        <v>201</v>
      </c>
      <c r="B2590" s="4">
        <v>109</v>
      </c>
      <c r="C2590" s="5">
        <v>15.62</v>
      </c>
      <c r="D2590" s="4">
        <v>94</v>
      </c>
      <c r="E2590" s="5">
        <v>26.18</v>
      </c>
      <c r="F2590" s="4">
        <v>15</v>
      </c>
      <c r="G2590" s="5">
        <v>4.46</v>
      </c>
      <c r="H2590" s="4">
        <v>0</v>
      </c>
    </row>
    <row r="2591" spans="1:8" x14ac:dyDescent="0.2">
      <c r="A2591" s="2" t="s">
        <v>202</v>
      </c>
      <c r="B2591" s="4">
        <v>32</v>
      </c>
      <c r="C2591" s="5">
        <v>4.58</v>
      </c>
      <c r="D2591" s="4">
        <v>23</v>
      </c>
      <c r="E2591" s="5">
        <v>6.41</v>
      </c>
      <c r="F2591" s="4">
        <v>8</v>
      </c>
      <c r="G2591" s="5">
        <v>2.38</v>
      </c>
      <c r="H2591" s="4">
        <v>0</v>
      </c>
    </row>
    <row r="2592" spans="1:8" x14ac:dyDescent="0.2">
      <c r="A2592" s="2" t="s">
        <v>203</v>
      </c>
      <c r="B2592" s="4">
        <v>42</v>
      </c>
      <c r="C2592" s="5">
        <v>6.02</v>
      </c>
      <c r="D2592" s="4">
        <v>30</v>
      </c>
      <c r="E2592" s="5">
        <v>8.36</v>
      </c>
      <c r="F2592" s="4">
        <v>11</v>
      </c>
      <c r="G2592" s="5">
        <v>3.27</v>
      </c>
      <c r="H2592" s="4">
        <v>0</v>
      </c>
    </row>
    <row r="2593" spans="1:8" x14ac:dyDescent="0.2">
      <c r="A2593" s="2" t="s">
        <v>204</v>
      </c>
      <c r="B2593" s="4">
        <v>34</v>
      </c>
      <c r="C2593" s="5">
        <v>4.87</v>
      </c>
      <c r="D2593" s="4">
        <v>11</v>
      </c>
      <c r="E2593" s="5">
        <v>3.06</v>
      </c>
      <c r="F2593" s="4">
        <v>23</v>
      </c>
      <c r="G2593" s="5">
        <v>6.85</v>
      </c>
      <c r="H2593" s="4">
        <v>0</v>
      </c>
    </row>
    <row r="2594" spans="1:8" x14ac:dyDescent="0.2">
      <c r="A2594" s="1" t="s">
        <v>162</v>
      </c>
      <c r="B2594" s="4">
        <v>129</v>
      </c>
      <c r="C2594" s="5">
        <v>100.00999999999999</v>
      </c>
      <c r="D2594" s="4">
        <v>71</v>
      </c>
      <c r="E2594" s="5">
        <v>100.00999999999999</v>
      </c>
      <c r="F2594" s="4">
        <v>56</v>
      </c>
      <c r="G2594" s="5">
        <v>100.03000000000002</v>
      </c>
      <c r="H2594" s="4">
        <v>0</v>
      </c>
    </row>
    <row r="2595" spans="1:8" x14ac:dyDescent="0.2">
      <c r="A2595" s="2" t="s">
        <v>190</v>
      </c>
      <c r="B2595" s="4">
        <v>0</v>
      </c>
      <c r="C2595" s="5">
        <v>0</v>
      </c>
      <c r="D2595" s="4">
        <v>0</v>
      </c>
      <c r="E2595" s="5">
        <v>0</v>
      </c>
      <c r="F2595" s="4">
        <v>0</v>
      </c>
      <c r="G2595" s="5">
        <v>0</v>
      </c>
      <c r="H2595" s="4">
        <v>0</v>
      </c>
    </row>
    <row r="2596" spans="1:8" x14ac:dyDescent="0.2">
      <c r="A2596" s="2" t="s">
        <v>191</v>
      </c>
      <c r="B2596" s="4">
        <v>29</v>
      </c>
      <c r="C2596" s="5">
        <v>22.48</v>
      </c>
      <c r="D2596" s="4">
        <v>14</v>
      </c>
      <c r="E2596" s="5">
        <v>19.72</v>
      </c>
      <c r="F2596" s="4">
        <v>15</v>
      </c>
      <c r="G2596" s="5">
        <v>26.79</v>
      </c>
      <c r="H2596" s="4">
        <v>0</v>
      </c>
    </row>
    <row r="2597" spans="1:8" x14ac:dyDescent="0.2">
      <c r="A2597" s="2" t="s">
        <v>192</v>
      </c>
      <c r="B2597" s="4">
        <v>8</v>
      </c>
      <c r="C2597" s="5">
        <v>6.2</v>
      </c>
      <c r="D2597" s="4">
        <v>3</v>
      </c>
      <c r="E2597" s="5">
        <v>4.2300000000000004</v>
      </c>
      <c r="F2597" s="4">
        <v>5</v>
      </c>
      <c r="G2597" s="5">
        <v>8.93</v>
      </c>
      <c r="H2597" s="4">
        <v>0</v>
      </c>
    </row>
    <row r="2598" spans="1:8" x14ac:dyDescent="0.2">
      <c r="A2598" s="2" t="s">
        <v>193</v>
      </c>
      <c r="B2598" s="4">
        <v>1</v>
      </c>
      <c r="C2598" s="5">
        <v>0.78</v>
      </c>
      <c r="D2598" s="4">
        <v>0</v>
      </c>
      <c r="E2598" s="5">
        <v>0</v>
      </c>
      <c r="F2598" s="4">
        <v>1</v>
      </c>
      <c r="G2598" s="5">
        <v>1.79</v>
      </c>
      <c r="H2598" s="4">
        <v>0</v>
      </c>
    </row>
    <row r="2599" spans="1:8" x14ac:dyDescent="0.2">
      <c r="A2599" s="2" t="s">
        <v>194</v>
      </c>
      <c r="B2599" s="4">
        <v>0</v>
      </c>
      <c r="C2599" s="5">
        <v>0</v>
      </c>
      <c r="D2599" s="4">
        <v>0</v>
      </c>
      <c r="E2599" s="5">
        <v>0</v>
      </c>
      <c r="F2599" s="4">
        <v>0</v>
      </c>
      <c r="G2599" s="5">
        <v>0</v>
      </c>
      <c r="H2599" s="4">
        <v>0</v>
      </c>
    </row>
    <row r="2600" spans="1:8" x14ac:dyDescent="0.2">
      <c r="A2600" s="2" t="s">
        <v>195</v>
      </c>
      <c r="B2600" s="4">
        <v>2</v>
      </c>
      <c r="C2600" s="5">
        <v>1.55</v>
      </c>
      <c r="D2600" s="4">
        <v>1</v>
      </c>
      <c r="E2600" s="5">
        <v>1.41</v>
      </c>
      <c r="F2600" s="4">
        <v>0</v>
      </c>
      <c r="G2600" s="5">
        <v>0</v>
      </c>
      <c r="H2600" s="4">
        <v>0</v>
      </c>
    </row>
    <row r="2601" spans="1:8" x14ac:dyDescent="0.2">
      <c r="A2601" s="2" t="s">
        <v>196</v>
      </c>
      <c r="B2601" s="4">
        <v>31</v>
      </c>
      <c r="C2601" s="5">
        <v>24.03</v>
      </c>
      <c r="D2601" s="4">
        <v>5</v>
      </c>
      <c r="E2601" s="5">
        <v>7.04</v>
      </c>
      <c r="F2601" s="4">
        <v>26</v>
      </c>
      <c r="G2601" s="5">
        <v>46.43</v>
      </c>
      <c r="H2601" s="4">
        <v>0</v>
      </c>
    </row>
    <row r="2602" spans="1:8" x14ac:dyDescent="0.2">
      <c r="A2602" s="2" t="s">
        <v>197</v>
      </c>
      <c r="B2602" s="4">
        <v>1</v>
      </c>
      <c r="C2602" s="5">
        <v>0.78</v>
      </c>
      <c r="D2602" s="4">
        <v>0</v>
      </c>
      <c r="E2602" s="5">
        <v>0</v>
      </c>
      <c r="F2602" s="4">
        <v>1</v>
      </c>
      <c r="G2602" s="5">
        <v>1.79</v>
      </c>
      <c r="H2602" s="4">
        <v>0</v>
      </c>
    </row>
    <row r="2603" spans="1:8" x14ac:dyDescent="0.2">
      <c r="A2603" s="2" t="s">
        <v>198</v>
      </c>
      <c r="B2603" s="4">
        <v>11</v>
      </c>
      <c r="C2603" s="5">
        <v>8.5299999999999994</v>
      </c>
      <c r="D2603" s="4">
        <v>10</v>
      </c>
      <c r="E2603" s="5">
        <v>14.08</v>
      </c>
      <c r="F2603" s="4">
        <v>1</v>
      </c>
      <c r="G2603" s="5">
        <v>1.79</v>
      </c>
      <c r="H2603" s="4">
        <v>0</v>
      </c>
    </row>
    <row r="2604" spans="1:8" x14ac:dyDescent="0.2">
      <c r="A2604" s="2" t="s">
        <v>199</v>
      </c>
      <c r="B2604" s="4">
        <v>5</v>
      </c>
      <c r="C2604" s="5">
        <v>3.88</v>
      </c>
      <c r="D2604" s="4">
        <v>3</v>
      </c>
      <c r="E2604" s="5">
        <v>4.2300000000000004</v>
      </c>
      <c r="F2604" s="4">
        <v>2</v>
      </c>
      <c r="G2604" s="5">
        <v>3.57</v>
      </c>
      <c r="H2604" s="4">
        <v>0</v>
      </c>
    </row>
    <row r="2605" spans="1:8" x14ac:dyDescent="0.2">
      <c r="A2605" s="2" t="s">
        <v>200</v>
      </c>
      <c r="B2605" s="4">
        <v>20</v>
      </c>
      <c r="C2605" s="5">
        <v>15.5</v>
      </c>
      <c r="D2605" s="4">
        <v>18</v>
      </c>
      <c r="E2605" s="5">
        <v>25.35</v>
      </c>
      <c r="F2605" s="4">
        <v>1</v>
      </c>
      <c r="G2605" s="5">
        <v>1.79</v>
      </c>
      <c r="H2605" s="4">
        <v>0</v>
      </c>
    </row>
    <row r="2606" spans="1:8" x14ac:dyDescent="0.2">
      <c r="A2606" s="2" t="s">
        <v>201</v>
      </c>
      <c r="B2606" s="4">
        <v>14</v>
      </c>
      <c r="C2606" s="5">
        <v>10.85</v>
      </c>
      <c r="D2606" s="4">
        <v>14</v>
      </c>
      <c r="E2606" s="5">
        <v>19.72</v>
      </c>
      <c r="F2606" s="4">
        <v>0</v>
      </c>
      <c r="G2606" s="5">
        <v>0</v>
      </c>
      <c r="H2606" s="4">
        <v>0</v>
      </c>
    </row>
    <row r="2607" spans="1:8" x14ac:dyDescent="0.2">
      <c r="A2607" s="2" t="s">
        <v>202</v>
      </c>
      <c r="B2607" s="4">
        <v>1</v>
      </c>
      <c r="C2607" s="5">
        <v>0.78</v>
      </c>
      <c r="D2607" s="4">
        <v>0</v>
      </c>
      <c r="E2607" s="5">
        <v>0</v>
      </c>
      <c r="F2607" s="4">
        <v>1</v>
      </c>
      <c r="G2607" s="5">
        <v>1.79</v>
      </c>
      <c r="H2607" s="4">
        <v>0</v>
      </c>
    </row>
    <row r="2608" spans="1:8" x14ac:dyDescent="0.2">
      <c r="A2608" s="2" t="s">
        <v>203</v>
      </c>
      <c r="B2608" s="4">
        <v>2</v>
      </c>
      <c r="C2608" s="5">
        <v>1.55</v>
      </c>
      <c r="D2608" s="4">
        <v>2</v>
      </c>
      <c r="E2608" s="5">
        <v>2.82</v>
      </c>
      <c r="F2608" s="4">
        <v>0</v>
      </c>
      <c r="G2608" s="5">
        <v>0</v>
      </c>
      <c r="H2608" s="4">
        <v>0</v>
      </c>
    </row>
    <row r="2609" spans="1:8" x14ac:dyDescent="0.2">
      <c r="A2609" s="2" t="s">
        <v>204</v>
      </c>
      <c r="B2609" s="4">
        <v>4</v>
      </c>
      <c r="C2609" s="5">
        <v>3.1</v>
      </c>
      <c r="D2609" s="4">
        <v>1</v>
      </c>
      <c r="E2609" s="5">
        <v>1.41</v>
      </c>
      <c r="F2609" s="4">
        <v>3</v>
      </c>
      <c r="G2609" s="5">
        <v>5.36</v>
      </c>
      <c r="H2609" s="4">
        <v>0</v>
      </c>
    </row>
    <row r="2610" spans="1:8" x14ac:dyDescent="0.2">
      <c r="A2610" s="1" t="s">
        <v>163</v>
      </c>
      <c r="B2610" s="4">
        <v>150</v>
      </c>
      <c r="C2610" s="5">
        <v>100</v>
      </c>
      <c r="D2610" s="4">
        <v>89</v>
      </c>
      <c r="E2610" s="5">
        <v>99.999999999999986</v>
      </c>
      <c r="F2610" s="4">
        <v>55</v>
      </c>
      <c r="G2610" s="5">
        <v>100.01999999999998</v>
      </c>
      <c r="H2610" s="4">
        <v>1</v>
      </c>
    </row>
    <row r="2611" spans="1:8" x14ac:dyDescent="0.2">
      <c r="A2611" s="2" t="s">
        <v>190</v>
      </c>
      <c r="B2611" s="4">
        <v>0</v>
      </c>
      <c r="C2611" s="5">
        <v>0</v>
      </c>
      <c r="D2611" s="4">
        <v>0</v>
      </c>
      <c r="E2611" s="5">
        <v>0</v>
      </c>
      <c r="F2611" s="4">
        <v>0</v>
      </c>
      <c r="G2611" s="5">
        <v>0</v>
      </c>
      <c r="H2611" s="4">
        <v>0</v>
      </c>
    </row>
    <row r="2612" spans="1:8" x14ac:dyDescent="0.2">
      <c r="A2612" s="2" t="s">
        <v>191</v>
      </c>
      <c r="B2612" s="4">
        <v>22</v>
      </c>
      <c r="C2612" s="5">
        <v>14.67</v>
      </c>
      <c r="D2612" s="4">
        <v>9</v>
      </c>
      <c r="E2612" s="5">
        <v>10.11</v>
      </c>
      <c r="F2612" s="4">
        <v>13</v>
      </c>
      <c r="G2612" s="5">
        <v>23.64</v>
      </c>
      <c r="H2612" s="4">
        <v>0</v>
      </c>
    </row>
    <row r="2613" spans="1:8" x14ac:dyDescent="0.2">
      <c r="A2613" s="2" t="s">
        <v>192</v>
      </c>
      <c r="B2613" s="4">
        <v>15</v>
      </c>
      <c r="C2613" s="5">
        <v>10</v>
      </c>
      <c r="D2613" s="4">
        <v>7</v>
      </c>
      <c r="E2613" s="5">
        <v>7.87</v>
      </c>
      <c r="F2613" s="4">
        <v>8</v>
      </c>
      <c r="G2613" s="5">
        <v>14.55</v>
      </c>
      <c r="H2613" s="4">
        <v>0</v>
      </c>
    </row>
    <row r="2614" spans="1:8" x14ac:dyDescent="0.2">
      <c r="A2614" s="2" t="s">
        <v>193</v>
      </c>
      <c r="B2614" s="4">
        <v>2</v>
      </c>
      <c r="C2614" s="5">
        <v>1.33</v>
      </c>
      <c r="D2614" s="4">
        <v>0</v>
      </c>
      <c r="E2614" s="5">
        <v>0</v>
      </c>
      <c r="F2614" s="4">
        <v>2</v>
      </c>
      <c r="G2614" s="5">
        <v>3.64</v>
      </c>
      <c r="H2614" s="4">
        <v>0</v>
      </c>
    </row>
    <row r="2615" spans="1:8" x14ac:dyDescent="0.2">
      <c r="A2615" s="2" t="s">
        <v>194</v>
      </c>
      <c r="B2615" s="4">
        <v>0</v>
      </c>
      <c r="C2615" s="5">
        <v>0</v>
      </c>
      <c r="D2615" s="4">
        <v>0</v>
      </c>
      <c r="E2615" s="5">
        <v>0</v>
      </c>
      <c r="F2615" s="4">
        <v>0</v>
      </c>
      <c r="G2615" s="5">
        <v>0</v>
      </c>
      <c r="H2615" s="4">
        <v>0</v>
      </c>
    </row>
    <row r="2616" spans="1:8" x14ac:dyDescent="0.2">
      <c r="A2616" s="2" t="s">
        <v>195</v>
      </c>
      <c r="B2616" s="4">
        <v>4</v>
      </c>
      <c r="C2616" s="5">
        <v>2.67</v>
      </c>
      <c r="D2616" s="4">
        <v>2</v>
      </c>
      <c r="E2616" s="5">
        <v>2.25</v>
      </c>
      <c r="F2616" s="4">
        <v>2</v>
      </c>
      <c r="G2616" s="5">
        <v>3.64</v>
      </c>
      <c r="H2616" s="4">
        <v>0</v>
      </c>
    </row>
    <row r="2617" spans="1:8" x14ac:dyDescent="0.2">
      <c r="A2617" s="2" t="s">
        <v>196</v>
      </c>
      <c r="B2617" s="4">
        <v>27</v>
      </c>
      <c r="C2617" s="5">
        <v>18</v>
      </c>
      <c r="D2617" s="4">
        <v>17</v>
      </c>
      <c r="E2617" s="5">
        <v>19.100000000000001</v>
      </c>
      <c r="F2617" s="4">
        <v>10</v>
      </c>
      <c r="G2617" s="5">
        <v>18.18</v>
      </c>
      <c r="H2617" s="4">
        <v>0</v>
      </c>
    </row>
    <row r="2618" spans="1:8" x14ac:dyDescent="0.2">
      <c r="A2618" s="2" t="s">
        <v>197</v>
      </c>
      <c r="B2618" s="4">
        <v>1</v>
      </c>
      <c r="C2618" s="5">
        <v>0.67</v>
      </c>
      <c r="D2618" s="4">
        <v>0</v>
      </c>
      <c r="E2618" s="5">
        <v>0</v>
      </c>
      <c r="F2618" s="4">
        <v>1</v>
      </c>
      <c r="G2618" s="5">
        <v>1.82</v>
      </c>
      <c r="H2618" s="4">
        <v>0</v>
      </c>
    </row>
    <row r="2619" spans="1:8" x14ac:dyDescent="0.2">
      <c r="A2619" s="2" t="s">
        <v>198</v>
      </c>
      <c r="B2619" s="4">
        <v>2</v>
      </c>
      <c r="C2619" s="5">
        <v>1.33</v>
      </c>
      <c r="D2619" s="4">
        <v>1</v>
      </c>
      <c r="E2619" s="5">
        <v>1.1200000000000001</v>
      </c>
      <c r="F2619" s="4">
        <v>1</v>
      </c>
      <c r="G2619" s="5">
        <v>1.82</v>
      </c>
      <c r="H2619" s="4">
        <v>0</v>
      </c>
    </row>
    <row r="2620" spans="1:8" x14ac:dyDescent="0.2">
      <c r="A2620" s="2" t="s">
        <v>199</v>
      </c>
      <c r="B2620" s="4">
        <v>9</v>
      </c>
      <c r="C2620" s="5">
        <v>6</v>
      </c>
      <c r="D2620" s="4">
        <v>7</v>
      </c>
      <c r="E2620" s="5">
        <v>7.87</v>
      </c>
      <c r="F2620" s="4">
        <v>1</v>
      </c>
      <c r="G2620" s="5">
        <v>1.82</v>
      </c>
      <c r="H2620" s="4">
        <v>0</v>
      </c>
    </row>
    <row r="2621" spans="1:8" x14ac:dyDescent="0.2">
      <c r="A2621" s="2" t="s">
        <v>200</v>
      </c>
      <c r="B2621" s="4">
        <v>29</v>
      </c>
      <c r="C2621" s="5">
        <v>19.329999999999998</v>
      </c>
      <c r="D2621" s="4">
        <v>18</v>
      </c>
      <c r="E2621" s="5">
        <v>20.22</v>
      </c>
      <c r="F2621" s="4">
        <v>11</v>
      </c>
      <c r="G2621" s="5">
        <v>20</v>
      </c>
      <c r="H2621" s="4">
        <v>0</v>
      </c>
    </row>
    <row r="2622" spans="1:8" x14ac:dyDescent="0.2">
      <c r="A2622" s="2" t="s">
        <v>201</v>
      </c>
      <c r="B2622" s="4">
        <v>22</v>
      </c>
      <c r="C2622" s="5">
        <v>14.67</v>
      </c>
      <c r="D2622" s="4">
        <v>19</v>
      </c>
      <c r="E2622" s="5">
        <v>21.35</v>
      </c>
      <c r="F2622" s="4">
        <v>2</v>
      </c>
      <c r="G2622" s="5">
        <v>3.64</v>
      </c>
      <c r="H2622" s="4">
        <v>0</v>
      </c>
    </row>
    <row r="2623" spans="1:8" x14ac:dyDescent="0.2">
      <c r="A2623" s="2" t="s">
        <v>202</v>
      </c>
      <c r="B2623" s="4">
        <v>5</v>
      </c>
      <c r="C2623" s="5">
        <v>3.33</v>
      </c>
      <c r="D2623" s="4">
        <v>3</v>
      </c>
      <c r="E2623" s="5">
        <v>3.37</v>
      </c>
      <c r="F2623" s="4">
        <v>1</v>
      </c>
      <c r="G2623" s="5">
        <v>1.82</v>
      </c>
      <c r="H2623" s="4">
        <v>1</v>
      </c>
    </row>
    <row r="2624" spans="1:8" x14ac:dyDescent="0.2">
      <c r="A2624" s="2" t="s">
        <v>203</v>
      </c>
      <c r="B2624" s="4">
        <v>6</v>
      </c>
      <c r="C2624" s="5">
        <v>4</v>
      </c>
      <c r="D2624" s="4">
        <v>4</v>
      </c>
      <c r="E2624" s="5">
        <v>4.49</v>
      </c>
      <c r="F2624" s="4">
        <v>0</v>
      </c>
      <c r="G2624" s="5">
        <v>0</v>
      </c>
      <c r="H2624" s="4">
        <v>0</v>
      </c>
    </row>
    <row r="2625" spans="1:8" x14ac:dyDescent="0.2">
      <c r="A2625" s="2" t="s">
        <v>204</v>
      </c>
      <c r="B2625" s="4">
        <v>6</v>
      </c>
      <c r="C2625" s="5">
        <v>4</v>
      </c>
      <c r="D2625" s="4">
        <v>2</v>
      </c>
      <c r="E2625" s="5">
        <v>2.25</v>
      </c>
      <c r="F2625" s="4">
        <v>3</v>
      </c>
      <c r="G2625" s="5">
        <v>5.45</v>
      </c>
      <c r="H2625" s="4">
        <v>0</v>
      </c>
    </row>
    <row r="2626" spans="1:8" x14ac:dyDescent="0.2">
      <c r="A2626" s="1" t="s">
        <v>164</v>
      </c>
      <c r="B2626" s="4">
        <v>138</v>
      </c>
      <c r="C2626" s="5">
        <v>100.00000000000001</v>
      </c>
      <c r="D2626" s="4">
        <v>60</v>
      </c>
      <c r="E2626" s="5">
        <v>100</v>
      </c>
      <c r="F2626" s="4">
        <v>55</v>
      </c>
      <c r="G2626" s="5">
        <v>100.00999999999998</v>
      </c>
      <c r="H2626" s="4">
        <v>1</v>
      </c>
    </row>
    <row r="2627" spans="1:8" x14ac:dyDescent="0.2">
      <c r="A2627" s="2" t="s">
        <v>190</v>
      </c>
      <c r="B2627" s="4">
        <v>0</v>
      </c>
      <c r="C2627" s="5">
        <v>0</v>
      </c>
      <c r="D2627" s="4">
        <v>0</v>
      </c>
      <c r="E2627" s="5">
        <v>0</v>
      </c>
      <c r="F2627" s="4">
        <v>0</v>
      </c>
      <c r="G2627" s="5">
        <v>0</v>
      </c>
      <c r="H2627" s="4">
        <v>0</v>
      </c>
    </row>
    <row r="2628" spans="1:8" x14ac:dyDescent="0.2">
      <c r="A2628" s="2" t="s">
        <v>191</v>
      </c>
      <c r="B2628" s="4">
        <v>11</v>
      </c>
      <c r="C2628" s="5">
        <v>7.97</v>
      </c>
      <c r="D2628" s="4">
        <v>1</v>
      </c>
      <c r="E2628" s="5">
        <v>1.67</v>
      </c>
      <c r="F2628" s="4">
        <v>10</v>
      </c>
      <c r="G2628" s="5">
        <v>18.18</v>
      </c>
      <c r="H2628" s="4">
        <v>0</v>
      </c>
    </row>
    <row r="2629" spans="1:8" x14ac:dyDescent="0.2">
      <c r="A2629" s="2" t="s">
        <v>192</v>
      </c>
      <c r="B2629" s="4">
        <v>10</v>
      </c>
      <c r="C2629" s="5">
        <v>7.25</v>
      </c>
      <c r="D2629" s="4">
        <v>2</v>
      </c>
      <c r="E2629" s="5">
        <v>3.33</v>
      </c>
      <c r="F2629" s="4">
        <v>8</v>
      </c>
      <c r="G2629" s="5">
        <v>14.55</v>
      </c>
      <c r="H2629" s="4">
        <v>0</v>
      </c>
    </row>
    <row r="2630" spans="1:8" x14ac:dyDescent="0.2">
      <c r="A2630" s="2" t="s">
        <v>193</v>
      </c>
      <c r="B2630" s="4">
        <v>1</v>
      </c>
      <c r="C2630" s="5">
        <v>0.72</v>
      </c>
      <c r="D2630" s="4">
        <v>0</v>
      </c>
      <c r="E2630" s="5">
        <v>0</v>
      </c>
      <c r="F2630" s="4">
        <v>0</v>
      </c>
      <c r="G2630" s="5">
        <v>0</v>
      </c>
      <c r="H2630" s="4">
        <v>0</v>
      </c>
    </row>
    <row r="2631" spans="1:8" x14ac:dyDescent="0.2">
      <c r="A2631" s="2" t="s">
        <v>194</v>
      </c>
      <c r="B2631" s="4">
        <v>0</v>
      </c>
      <c r="C2631" s="5">
        <v>0</v>
      </c>
      <c r="D2631" s="4">
        <v>0</v>
      </c>
      <c r="E2631" s="5">
        <v>0</v>
      </c>
      <c r="F2631" s="4">
        <v>0</v>
      </c>
      <c r="G2631" s="5">
        <v>0</v>
      </c>
      <c r="H2631" s="4">
        <v>0</v>
      </c>
    </row>
    <row r="2632" spans="1:8" x14ac:dyDescent="0.2">
      <c r="A2632" s="2" t="s">
        <v>195</v>
      </c>
      <c r="B2632" s="4">
        <v>2</v>
      </c>
      <c r="C2632" s="5">
        <v>1.45</v>
      </c>
      <c r="D2632" s="4">
        <v>0</v>
      </c>
      <c r="E2632" s="5">
        <v>0</v>
      </c>
      <c r="F2632" s="4">
        <v>1</v>
      </c>
      <c r="G2632" s="5">
        <v>1.82</v>
      </c>
      <c r="H2632" s="4">
        <v>0</v>
      </c>
    </row>
    <row r="2633" spans="1:8" x14ac:dyDescent="0.2">
      <c r="A2633" s="2" t="s">
        <v>196</v>
      </c>
      <c r="B2633" s="4">
        <v>25</v>
      </c>
      <c r="C2633" s="5">
        <v>18.12</v>
      </c>
      <c r="D2633" s="4">
        <v>8</v>
      </c>
      <c r="E2633" s="5">
        <v>13.33</v>
      </c>
      <c r="F2633" s="4">
        <v>16</v>
      </c>
      <c r="G2633" s="5">
        <v>29.09</v>
      </c>
      <c r="H2633" s="4">
        <v>1</v>
      </c>
    </row>
    <row r="2634" spans="1:8" x14ac:dyDescent="0.2">
      <c r="A2634" s="2" t="s">
        <v>197</v>
      </c>
      <c r="B2634" s="4">
        <v>0</v>
      </c>
      <c r="C2634" s="5">
        <v>0</v>
      </c>
      <c r="D2634" s="4">
        <v>0</v>
      </c>
      <c r="E2634" s="5">
        <v>0</v>
      </c>
      <c r="F2634" s="4">
        <v>0</v>
      </c>
      <c r="G2634" s="5">
        <v>0</v>
      </c>
      <c r="H2634" s="4">
        <v>0</v>
      </c>
    </row>
    <row r="2635" spans="1:8" x14ac:dyDescent="0.2">
      <c r="A2635" s="2" t="s">
        <v>198</v>
      </c>
      <c r="B2635" s="4">
        <v>5</v>
      </c>
      <c r="C2635" s="5">
        <v>3.62</v>
      </c>
      <c r="D2635" s="4">
        <v>3</v>
      </c>
      <c r="E2635" s="5">
        <v>5</v>
      </c>
      <c r="F2635" s="4">
        <v>2</v>
      </c>
      <c r="G2635" s="5">
        <v>3.64</v>
      </c>
      <c r="H2635" s="4">
        <v>0</v>
      </c>
    </row>
    <row r="2636" spans="1:8" x14ac:dyDescent="0.2">
      <c r="A2636" s="2" t="s">
        <v>199</v>
      </c>
      <c r="B2636" s="4">
        <v>5</v>
      </c>
      <c r="C2636" s="5">
        <v>3.62</v>
      </c>
      <c r="D2636" s="4">
        <v>4</v>
      </c>
      <c r="E2636" s="5">
        <v>6.67</v>
      </c>
      <c r="F2636" s="4">
        <v>1</v>
      </c>
      <c r="G2636" s="5">
        <v>1.82</v>
      </c>
      <c r="H2636" s="4">
        <v>0</v>
      </c>
    </row>
    <row r="2637" spans="1:8" x14ac:dyDescent="0.2">
      <c r="A2637" s="2" t="s">
        <v>200</v>
      </c>
      <c r="B2637" s="4">
        <v>28</v>
      </c>
      <c r="C2637" s="5">
        <v>20.29</v>
      </c>
      <c r="D2637" s="4">
        <v>17</v>
      </c>
      <c r="E2637" s="5">
        <v>28.33</v>
      </c>
      <c r="F2637" s="4">
        <v>9</v>
      </c>
      <c r="G2637" s="5">
        <v>16.36</v>
      </c>
      <c r="H2637" s="4">
        <v>0</v>
      </c>
    </row>
    <row r="2638" spans="1:8" x14ac:dyDescent="0.2">
      <c r="A2638" s="2" t="s">
        <v>201</v>
      </c>
      <c r="B2638" s="4">
        <v>21</v>
      </c>
      <c r="C2638" s="5">
        <v>15.22</v>
      </c>
      <c r="D2638" s="4">
        <v>15</v>
      </c>
      <c r="E2638" s="5">
        <v>25</v>
      </c>
      <c r="F2638" s="4">
        <v>4</v>
      </c>
      <c r="G2638" s="5">
        <v>7.27</v>
      </c>
      <c r="H2638" s="4">
        <v>0</v>
      </c>
    </row>
    <row r="2639" spans="1:8" x14ac:dyDescent="0.2">
      <c r="A2639" s="2" t="s">
        <v>202</v>
      </c>
      <c r="B2639" s="4">
        <v>11</v>
      </c>
      <c r="C2639" s="5">
        <v>7.97</v>
      </c>
      <c r="D2639" s="4">
        <v>7</v>
      </c>
      <c r="E2639" s="5">
        <v>11.67</v>
      </c>
      <c r="F2639" s="4">
        <v>1</v>
      </c>
      <c r="G2639" s="5">
        <v>1.82</v>
      </c>
      <c r="H2639" s="4">
        <v>0</v>
      </c>
    </row>
    <row r="2640" spans="1:8" x14ac:dyDescent="0.2">
      <c r="A2640" s="2" t="s">
        <v>203</v>
      </c>
      <c r="B2640" s="4">
        <v>7</v>
      </c>
      <c r="C2640" s="5">
        <v>5.07</v>
      </c>
      <c r="D2640" s="4">
        <v>0</v>
      </c>
      <c r="E2640" s="5">
        <v>0</v>
      </c>
      <c r="F2640" s="4">
        <v>1</v>
      </c>
      <c r="G2640" s="5">
        <v>1.82</v>
      </c>
      <c r="H2640" s="4">
        <v>0</v>
      </c>
    </row>
    <row r="2641" spans="1:8" x14ac:dyDescent="0.2">
      <c r="A2641" s="2" t="s">
        <v>204</v>
      </c>
      <c r="B2641" s="4">
        <v>12</v>
      </c>
      <c r="C2641" s="5">
        <v>8.6999999999999993</v>
      </c>
      <c r="D2641" s="4">
        <v>3</v>
      </c>
      <c r="E2641" s="5">
        <v>5</v>
      </c>
      <c r="F2641" s="4">
        <v>2</v>
      </c>
      <c r="G2641" s="5">
        <v>3.64</v>
      </c>
      <c r="H2641" s="4">
        <v>0</v>
      </c>
    </row>
    <row r="2642" spans="1:8" x14ac:dyDescent="0.2">
      <c r="A2642" s="1" t="s">
        <v>165</v>
      </c>
      <c r="B2642" s="4">
        <v>167</v>
      </c>
      <c r="C2642" s="5">
        <v>100</v>
      </c>
      <c r="D2642" s="4">
        <v>82</v>
      </c>
      <c r="E2642" s="5">
        <v>100</v>
      </c>
      <c r="F2642" s="4">
        <v>75</v>
      </c>
      <c r="G2642" s="5">
        <v>100</v>
      </c>
      <c r="H2642" s="4">
        <v>2</v>
      </c>
    </row>
    <row r="2643" spans="1:8" x14ac:dyDescent="0.2">
      <c r="A2643" s="2" t="s">
        <v>190</v>
      </c>
      <c r="B2643" s="4">
        <v>0</v>
      </c>
      <c r="C2643" s="5">
        <v>0</v>
      </c>
      <c r="D2643" s="4">
        <v>0</v>
      </c>
      <c r="E2643" s="5">
        <v>0</v>
      </c>
      <c r="F2643" s="4">
        <v>0</v>
      </c>
      <c r="G2643" s="5">
        <v>0</v>
      </c>
      <c r="H2643" s="4">
        <v>0</v>
      </c>
    </row>
    <row r="2644" spans="1:8" x14ac:dyDescent="0.2">
      <c r="A2644" s="2" t="s">
        <v>191</v>
      </c>
      <c r="B2644" s="4">
        <v>15</v>
      </c>
      <c r="C2644" s="5">
        <v>8.98</v>
      </c>
      <c r="D2644" s="4">
        <v>4</v>
      </c>
      <c r="E2644" s="5">
        <v>4.88</v>
      </c>
      <c r="F2644" s="4">
        <v>11</v>
      </c>
      <c r="G2644" s="5">
        <v>14.67</v>
      </c>
      <c r="H2644" s="4">
        <v>0</v>
      </c>
    </row>
    <row r="2645" spans="1:8" x14ac:dyDescent="0.2">
      <c r="A2645" s="2" t="s">
        <v>192</v>
      </c>
      <c r="B2645" s="4">
        <v>12</v>
      </c>
      <c r="C2645" s="5">
        <v>7.19</v>
      </c>
      <c r="D2645" s="4">
        <v>2</v>
      </c>
      <c r="E2645" s="5">
        <v>2.44</v>
      </c>
      <c r="F2645" s="4">
        <v>10</v>
      </c>
      <c r="G2645" s="5">
        <v>13.33</v>
      </c>
      <c r="H2645" s="4">
        <v>0</v>
      </c>
    </row>
    <row r="2646" spans="1:8" x14ac:dyDescent="0.2">
      <c r="A2646" s="2" t="s">
        <v>193</v>
      </c>
      <c r="B2646" s="4">
        <v>5</v>
      </c>
      <c r="C2646" s="5">
        <v>2.99</v>
      </c>
      <c r="D2646" s="4">
        <v>0</v>
      </c>
      <c r="E2646" s="5">
        <v>0</v>
      </c>
      <c r="F2646" s="4">
        <v>5</v>
      </c>
      <c r="G2646" s="5">
        <v>6.67</v>
      </c>
      <c r="H2646" s="4">
        <v>0</v>
      </c>
    </row>
    <row r="2647" spans="1:8" x14ac:dyDescent="0.2">
      <c r="A2647" s="2" t="s">
        <v>194</v>
      </c>
      <c r="B2647" s="4">
        <v>3</v>
      </c>
      <c r="C2647" s="5">
        <v>1.8</v>
      </c>
      <c r="D2647" s="4">
        <v>0</v>
      </c>
      <c r="E2647" s="5">
        <v>0</v>
      </c>
      <c r="F2647" s="4">
        <v>3</v>
      </c>
      <c r="G2647" s="5">
        <v>4</v>
      </c>
      <c r="H2647" s="4">
        <v>0</v>
      </c>
    </row>
    <row r="2648" spans="1:8" x14ac:dyDescent="0.2">
      <c r="A2648" s="2" t="s">
        <v>195</v>
      </c>
      <c r="B2648" s="4">
        <v>2</v>
      </c>
      <c r="C2648" s="5">
        <v>1.2</v>
      </c>
      <c r="D2648" s="4">
        <v>1</v>
      </c>
      <c r="E2648" s="5">
        <v>1.22</v>
      </c>
      <c r="F2648" s="4">
        <v>1</v>
      </c>
      <c r="G2648" s="5">
        <v>1.33</v>
      </c>
      <c r="H2648" s="4">
        <v>0</v>
      </c>
    </row>
    <row r="2649" spans="1:8" x14ac:dyDescent="0.2">
      <c r="A2649" s="2" t="s">
        <v>196</v>
      </c>
      <c r="B2649" s="4">
        <v>32</v>
      </c>
      <c r="C2649" s="5">
        <v>19.16</v>
      </c>
      <c r="D2649" s="4">
        <v>16</v>
      </c>
      <c r="E2649" s="5">
        <v>19.510000000000002</v>
      </c>
      <c r="F2649" s="4">
        <v>16</v>
      </c>
      <c r="G2649" s="5">
        <v>21.33</v>
      </c>
      <c r="H2649" s="4">
        <v>0</v>
      </c>
    </row>
    <row r="2650" spans="1:8" x14ac:dyDescent="0.2">
      <c r="A2650" s="2" t="s">
        <v>197</v>
      </c>
      <c r="B2650" s="4">
        <v>1</v>
      </c>
      <c r="C2650" s="5">
        <v>0.6</v>
      </c>
      <c r="D2650" s="4">
        <v>0</v>
      </c>
      <c r="E2650" s="5">
        <v>0</v>
      </c>
      <c r="F2650" s="4">
        <v>1</v>
      </c>
      <c r="G2650" s="5">
        <v>1.33</v>
      </c>
      <c r="H2650" s="4">
        <v>0</v>
      </c>
    </row>
    <row r="2651" spans="1:8" x14ac:dyDescent="0.2">
      <c r="A2651" s="2" t="s">
        <v>198</v>
      </c>
      <c r="B2651" s="4">
        <v>8</v>
      </c>
      <c r="C2651" s="5">
        <v>4.79</v>
      </c>
      <c r="D2651" s="4">
        <v>2</v>
      </c>
      <c r="E2651" s="5">
        <v>2.44</v>
      </c>
      <c r="F2651" s="4">
        <v>5</v>
      </c>
      <c r="G2651" s="5">
        <v>6.67</v>
      </c>
      <c r="H2651" s="4">
        <v>0</v>
      </c>
    </row>
    <row r="2652" spans="1:8" x14ac:dyDescent="0.2">
      <c r="A2652" s="2" t="s">
        <v>199</v>
      </c>
      <c r="B2652" s="4">
        <v>6</v>
      </c>
      <c r="C2652" s="5">
        <v>3.59</v>
      </c>
      <c r="D2652" s="4">
        <v>2</v>
      </c>
      <c r="E2652" s="5">
        <v>2.44</v>
      </c>
      <c r="F2652" s="4">
        <v>3</v>
      </c>
      <c r="G2652" s="5">
        <v>4</v>
      </c>
      <c r="H2652" s="4">
        <v>0</v>
      </c>
    </row>
    <row r="2653" spans="1:8" x14ac:dyDescent="0.2">
      <c r="A2653" s="2" t="s">
        <v>200</v>
      </c>
      <c r="B2653" s="4">
        <v>44</v>
      </c>
      <c r="C2653" s="5">
        <v>26.35</v>
      </c>
      <c r="D2653" s="4">
        <v>34</v>
      </c>
      <c r="E2653" s="5">
        <v>41.46</v>
      </c>
      <c r="F2653" s="4">
        <v>10</v>
      </c>
      <c r="G2653" s="5">
        <v>13.33</v>
      </c>
      <c r="H2653" s="4">
        <v>0</v>
      </c>
    </row>
    <row r="2654" spans="1:8" x14ac:dyDescent="0.2">
      <c r="A2654" s="2" t="s">
        <v>201</v>
      </c>
      <c r="B2654" s="4">
        <v>14</v>
      </c>
      <c r="C2654" s="5">
        <v>8.3800000000000008</v>
      </c>
      <c r="D2654" s="4">
        <v>11</v>
      </c>
      <c r="E2654" s="5">
        <v>13.41</v>
      </c>
      <c r="F2654" s="4">
        <v>2</v>
      </c>
      <c r="G2654" s="5">
        <v>2.67</v>
      </c>
      <c r="H2654" s="4">
        <v>1</v>
      </c>
    </row>
    <row r="2655" spans="1:8" x14ac:dyDescent="0.2">
      <c r="A2655" s="2" t="s">
        <v>202</v>
      </c>
      <c r="B2655" s="4">
        <v>6</v>
      </c>
      <c r="C2655" s="5">
        <v>3.59</v>
      </c>
      <c r="D2655" s="4">
        <v>3</v>
      </c>
      <c r="E2655" s="5">
        <v>3.66</v>
      </c>
      <c r="F2655" s="4">
        <v>0</v>
      </c>
      <c r="G2655" s="5">
        <v>0</v>
      </c>
      <c r="H2655" s="4">
        <v>0</v>
      </c>
    </row>
    <row r="2656" spans="1:8" x14ac:dyDescent="0.2">
      <c r="A2656" s="2" t="s">
        <v>203</v>
      </c>
      <c r="B2656" s="4">
        <v>12</v>
      </c>
      <c r="C2656" s="5">
        <v>7.19</v>
      </c>
      <c r="D2656" s="4">
        <v>3</v>
      </c>
      <c r="E2656" s="5">
        <v>3.66</v>
      </c>
      <c r="F2656" s="4">
        <v>6</v>
      </c>
      <c r="G2656" s="5">
        <v>8</v>
      </c>
      <c r="H2656" s="4">
        <v>1</v>
      </c>
    </row>
    <row r="2657" spans="1:8" x14ac:dyDescent="0.2">
      <c r="A2657" s="2" t="s">
        <v>204</v>
      </c>
      <c r="B2657" s="4">
        <v>7</v>
      </c>
      <c r="C2657" s="5">
        <v>4.1900000000000004</v>
      </c>
      <c r="D2657" s="4">
        <v>4</v>
      </c>
      <c r="E2657" s="5">
        <v>4.88</v>
      </c>
      <c r="F2657" s="4">
        <v>2</v>
      </c>
      <c r="G2657" s="5">
        <v>2.67</v>
      </c>
      <c r="H2657" s="4">
        <v>0</v>
      </c>
    </row>
    <row r="2658" spans="1:8" x14ac:dyDescent="0.2">
      <c r="A2658" s="1" t="s">
        <v>166</v>
      </c>
      <c r="B2658" s="4">
        <v>250</v>
      </c>
      <c r="C2658" s="5">
        <v>100</v>
      </c>
      <c r="D2658" s="4">
        <v>138</v>
      </c>
      <c r="E2658" s="5">
        <v>100.00999999999999</v>
      </c>
      <c r="F2658" s="4">
        <v>110</v>
      </c>
      <c r="G2658" s="5">
        <v>100.00999999999999</v>
      </c>
      <c r="H2658" s="4">
        <v>0</v>
      </c>
    </row>
    <row r="2659" spans="1:8" x14ac:dyDescent="0.2">
      <c r="A2659" s="2" t="s">
        <v>190</v>
      </c>
      <c r="B2659" s="4">
        <v>0</v>
      </c>
      <c r="C2659" s="5">
        <v>0</v>
      </c>
      <c r="D2659" s="4">
        <v>0</v>
      </c>
      <c r="E2659" s="5">
        <v>0</v>
      </c>
      <c r="F2659" s="4">
        <v>0</v>
      </c>
      <c r="G2659" s="5">
        <v>0</v>
      </c>
      <c r="H2659" s="4">
        <v>0</v>
      </c>
    </row>
    <row r="2660" spans="1:8" x14ac:dyDescent="0.2">
      <c r="A2660" s="2" t="s">
        <v>191</v>
      </c>
      <c r="B2660" s="4">
        <v>35</v>
      </c>
      <c r="C2660" s="5">
        <v>14</v>
      </c>
      <c r="D2660" s="4">
        <v>12</v>
      </c>
      <c r="E2660" s="5">
        <v>8.6999999999999993</v>
      </c>
      <c r="F2660" s="4">
        <v>23</v>
      </c>
      <c r="G2660" s="5">
        <v>20.91</v>
      </c>
      <c r="H2660" s="4">
        <v>0</v>
      </c>
    </row>
    <row r="2661" spans="1:8" x14ac:dyDescent="0.2">
      <c r="A2661" s="2" t="s">
        <v>192</v>
      </c>
      <c r="B2661" s="4">
        <v>19</v>
      </c>
      <c r="C2661" s="5">
        <v>7.6</v>
      </c>
      <c r="D2661" s="4">
        <v>4</v>
      </c>
      <c r="E2661" s="5">
        <v>2.9</v>
      </c>
      <c r="F2661" s="4">
        <v>15</v>
      </c>
      <c r="G2661" s="5">
        <v>13.64</v>
      </c>
      <c r="H2661" s="4">
        <v>0</v>
      </c>
    </row>
    <row r="2662" spans="1:8" x14ac:dyDescent="0.2">
      <c r="A2662" s="2" t="s">
        <v>193</v>
      </c>
      <c r="B2662" s="4">
        <v>1</v>
      </c>
      <c r="C2662" s="5">
        <v>0.4</v>
      </c>
      <c r="D2662" s="4">
        <v>0</v>
      </c>
      <c r="E2662" s="5">
        <v>0</v>
      </c>
      <c r="F2662" s="4">
        <v>1</v>
      </c>
      <c r="G2662" s="5">
        <v>0.91</v>
      </c>
      <c r="H2662" s="4">
        <v>0</v>
      </c>
    </row>
    <row r="2663" spans="1:8" x14ac:dyDescent="0.2">
      <c r="A2663" s="2" t="s">
        <v>194</v>
      </c>
      <c r="B2663" s="4">
        <v>1</v>
      </c>
      <c r="C2663" s="5">
        <v>0.4</v>
      </c>
      <c r="D2663" s="4">
        <v>0</v>
      </c>
      <c r="E2663" s="5">
        <v>0</v>
      </c>
      <c r="F2663" s="4">
        <v>1</v>
      </c>
      <c r="G2663" s="5">
        <v>0.91</v>
      </c>
      <c r="H2663" s="4">
        <v>0</v>
      </c>
    </row>
    <row r="2664" spans="1:8" x14ac:dyDescent="0.2">
      <c r="A2664" s="2" t="s">
        <v>195</v>
      </c>
      <c r="B2664" s="4">
        <v>4</v>
      </c>
      <c r="C2664" s="5">
        <v>1.6</v>
      </c>
      <c r="D2664" s="4">
        <v>1</v>
      </c>
      <c r="E2664" s="5">
        <v>0.72</v>
      </c>
      <c r="F2664" s="4">
        <v>3</v>
      </c>
      <c r="G2664" s="5">
        <v>2.73</v>
      </c>
      <c r="H2664" s="4">
        <v>0</v>
      </c>
    </row>
    <row r="2665" spans="1:8" x14ac:dyDescent="0.2">
      <c r="A2665" s="2" t="s">
        <v>196</v>
      </c>
      <c r="B2665" s="4">
        <v>57</v>
      </c>
      <c r="C2665" s="5">
        <v>22.8</v>
      </c>
      <c r="D2665" s="4">
        <v>24</v>
      </c>
      <c r="E2665" s="5">
        <v>17.39</v>
      </c>
      <c r="F2665" s="4">
        <v>33</v>
      </c>
      <c r="G2665" s="5">
        <v>30</v>
      </c>
      <c r="H2665" s="4">
        <v>0</v>
      </c>
    </row>
    <row r="2666" spans="1:8" x14ac:dyDescent="0.2">
      <c r="A2666" s="2" t="s">
        <v>197</v>
      </c>
      <c r="B2666" s="4">
        <v>0</v>
      </c>
      <c r="C2666" s="5">
        <v>0</v>
      </c>
      <c r="D2666" s="4">
        <v>0</v>
      </c>
      <c r="E2666" s="5">
        <v>0</v>
      </c>
      <c r="F2666" s="4">
        <v>0</v>
      </c>
      <c r="G2666" s="5">
        <v>0</v>
      </c>
      <c r="H2666" s="4">
        <v>0</v>
      </c>
    </row>
    <row r="2667" spans="1:8" x14ac:dyDescent="0.2">
      <c r="A2667" s="2" t="s">
        <v>198</v>
      </c>
      <c r="B2667" s="4">
        <v>20</v>
      </c>
      <c r="C2667" s="5">
        <v>8</v>
      </c>
      <c r="D2667" s="4">
        <v>12</v>
      </c>
      <c r="E2667" s="5">
        <v>8.6999999999999993</v>
      </c>
      <c r="F2667" s="4">
        <v>7</v>
      </c>
      <c r="G2667" s="5">
        <v>6.36</v>
      </c>
      <c r="H2667" s="4">
        <v>0</v>
      </c>
    </row>
    <row r="2668" spans="1:8" x14ac:dyDescent="0.2">
      <c r="A2668" s="2" t="s">
        <v>199</v>
      </c>
      <c r="B2668" s="4">
        <v>8</v>
      </c>
      <c r="C2668" s="5">
        <v>3.2</v>
      </c>
      <c r="D2668" s="4">
        <v>6</v>
      </c>
      <c r="E2668" s="5">
        <v>4.3499999999999996</v>
      </c>
      <c r="F2668" s="4">
        <v>2</v>
      </c>
      <c r="G2668" s="5">
        <v>1.82</v>
      </c>
      <c r="H2668" s="4">
        <v>0</v>
      </c>
    </row>
    <row r="2669" spans="1:8" x14ac:dyDescent="0.2">
      <c r="A2669" s="2" t="s">
        <v>200</v>
      </c>
      <c r="B2669" s="4">
        <v>46</v>
      </c>
      <c r="C2669" s="5">
        <v>18.399999999999999</v>
      </c>
      <c r="D2669" s="4">
        <v>40</v>
      </c>
      <c r="E2669" s="5">
        <v>28.99</v>
      </c>
      <c r="F2669" s="4">
        <v>6</v>
      </c>
      <c r="G2669" s="5">
        <v>5.45</v>
      </c>
      <c r="H2669" s="4">
        <v>0</v>
      </c>
    </row>
    <row r="2670" spans="1:8" x14ac:dyDescent="0.2">
      <c r="A2670" s="2" t="s">
        <v>201</v>
      </c>
      <c r="B2670" s="4">
        <v>24</v>
      </c>
      <c r="C2670" s="5">
        <v>9.6</v>
      </c>
      <c r="D2670" s="4">
        <v>20</v>
      </c>
      <c r="E2670" s="5">
        <v>14.49</v>
      </c>
      <c r="F2670" s="4">
        <v>4</v>
      </c>
      <c r="G2670" s="5">
        <v>3.64</v>
      </c>
      <c r="H2670" s="4">
        <v>0</v>
      </c>
    </row>
    <row r="2671" spans="1:8" x14ac:dyDescent="0.2">
      <c r="A2671" s="2" t="s">
        <v>202</v>
      </c>
      <c r="B2671" s="4">
        <v>8</v>
      </c>
      <c r="C2671" s="5">
        <v>3.2</v>
      </c>
      <c r="D2671" s="4">
        <v>7</v>
      </c>
      <c r="E2671" s="5">
        <v>5.07</v>
      </c>
      <c r="F2671" s="4">
        <v>1</v>
      </c>
      <c r="G2671" s="5">
        <v>0.91</v>
      </c>
      <c r="H2671" s="4">
        <v>0</v>
      </c>
    </row>
    <row r="2672" spans="1:8" x14ac:dyDescent="0.2">
      <c r="A2672" s="2" t="s">
        <v>203</v>
      </c>
      <c r="B2672" s="4">
        <v>17</v>
      </c>
      <c r="C2672" s="5">
        <v>6.8</v>
      </c>
      <c r="D2672" s="4">
        <v>6</v>
      </c>
      <c r="E2672" s="5">
        <v>4.3499999999999996</v>
      </c>
      <c r="F2672" s="4">
        <v>11</v>
      </c>
      <c r="G2672" s="5">
        <v>10</v>
      </c>
      <c r="H2672" s="4">
        <v>0</v>
      </c>
    </row>
    <row r="2673" spans="1:8" x14ac:dyDescent="0.2">
      <c r="A2673" s="2" t="s">
        <v>204</v>
      </c>
      <c r="B2673" s="4">
        <v>10</v>
      </c>
      <c r="C2673" s="5">
        <v>4</v>
      </c>
      <c r="D2673" s="4">
        <v>6</v>
      </c>
      <c r="E2673" s="5">
        <v>4.3499999999999996</v>
      </c>
      <c r="F2673" s="4">
        <v>3</v>
      </c>
      <c r="G2673" s="5">
        <v>2.73</v>
      </c>
      <c r="H2673" s="4">
        <v>0</v>
      </c>
    </row>
    <row r="2674" spans="1:8" x14ac:dyDescent="0.2">
      <c r="A2674" s="1" t="s">
        <v>167</v>
      </c>
      <c r="B2674" s="4">
        <v>345</v>
      </c>
      <c r="C2674" s="5">
        <v>100.01000000000002</v>
      </c>
      <c r="D2674" s="4">
        <v>155</v>
      </c>
      <c r="E2674" s="5">
        <v>100.02000000000001</v>
      </c>
      <c r="F2674" s="4">
        <v>181</v>
      </c>
      <c r="G2674" s="5">
        <v>99.99</v>
      </c>
      <c r="H2674" s="4">
        <v>2</v>
      </c>
    </row>
    <row r="2675" spans="1:8" x14ac:dyDescent="0.2">
      <c r="A2675" s="2" t="s">
        <v>190</v>
      </c>
      <c r="B2675" s="4">
        <v>0</v>
      </c>
      <c r="C2675" s="5">
        <v>0</v>
      </c>
      <c r="D2675" s="4">
        <v>0</v>
      </c>
      <c r="E2675" s="5">
        <v>0</v>
      </c>
      <c r="F2675" s="4">
        <v>0</v>
      </c>
      <c r="G2675" s="5">
        <v>0</v>
      </c>
      <c r="H2675" s="4">
        <v>0</v>
      </c>
    </row>
    <row r="2676" spans="1:8" x14ac:dyDescent="0.2">
      <c r="A2676" s="2" t="s">
        <v>191</v>
      </c>
      <c r="B2676" s="4">
        <v>49</v>
      </c>
      <c r="C2676" s="5">
        <v>14.2</v>
      </c>
      <c r="D2676" s="4">
        <v>9</v>
      </c>
      <c r="E2676" s="5">
        <v>5.81</v>
      </c>
      <c r="F2676" s="4">
        <v>40</v>
      </c>
      <c r="G2676" s="5">
        <v>22.1</v>
      </c>
      <c r="H2676" s="4">
        <v>0</v>
      </c>
    </row>
    <row r="2677" spans="1:8" x14ac:dyDescent="0.2">
      <c r="A2677" s="2" t="s">
        <v>192</v>
      </c>
      <c r="B2677" s="4">
        <v>21</v>
      </c>
      <c r="C2677" s="5">
        <v>6.09</v>
      </c>
      <c r="D2677" s="4">
        <v>7</v>
      </c>
      <c r="E2677" s="5">
        <v>4.5199999999999996</v>
      </c>
      <c r="F2677" s="4">
        <v>14</v>
      </c>
      <c r="G2677" s="5">
        <v>7.73</v>
      </c>
      <c r="H2677" s="4">
        <v>0</v>
      </c>
    </row>
    <row r="2678" spans="1:8" x14ac:dyDescent="0.2">
      <c r="A2678" s="2" t="s">
        <v>193</v>
      </c>
      <c r="B2678" s="4">
        <v>1</v>
      </c>
      <c r="C2678" s="5">
        <v>0.28999999999999998</v>
      </c>
      <c r="D2678" s="4">
        <v>0</v>
      </c>
      <c r="E2678" s="5">
        <v>0</v>
      </c>
      <c r="F2678" s="4">
        <v>1</v>
      </c>
      <c r="G2678" s="5">
        <v>0.55000000000000004</v>
      </c>
      <c r="H2678" s="4">
        <v>0</v>
      </c>
    </row>
    <row r="2679" spans="1:8" x14ac:dyDescent="0.2">
      <c r="A2679" s="2" t="s">
        <v>194</v>
      </c>
      <c r="B2679" s="4">
        <v>0</v>
      </c>
      <c r="C2679" s="5">
        <v>0</v>
      </c>
      <c r="D2679" s="4">
        <v>0</v>
      </c>
      <c r="E2679" s="5">
        <v>0</v>
      </c>
      <c r="F2679" s="4">
        <v>0</v>
      </c>
      <c r="G2679" s="5">
        <v>0</v>
      </c>
      <c r="H2679" s="4">
        <v>0</v>
      </c>
    </row>
    <row r="2680" spans="1:8" x14ac:dyDescent="0.2">
      <c r="A2680" s="2" t="s">
        <v>195</v>
      </c>
      <c r="B2680" s="4">
        <v>16</v>
      </c>
      <c r="C2680" s="5">
        <v>4.6399999999999997</v>
      </c>
      <c r="D2680" s="4">
        <v>0</v>
      </c>
      <c r="E2680" s="5">
        <v>0</v>
      </c>
      <c r="F2680" s="4">
        <v>15</v>
      </c>
      <c r="G2680" s="5">
        <v>8.2899999999999991</v>
      </c>
      <c r="H2680" s="4">
        <v>0</v>
      </c>
    </row>
    <row r="2681" spans="1:8" x14ac:dyDescent="0.2">
      <c r="A2681" s="2" t="s">
        <v>196</v>
      </c>
      <c r="B2681" s="4">
        <v>88</v>
      </c>
      <c r="C2681" s="5">
        <v>25.51</v>
      </c>
      <c r="D2681" s="4">
        <v>25</v>
      </c>
      <c r="E2681" s="5">
        <v>16.13</v>
      </c>
      <c r="F2681" s="4">
        <v>63</v>
      </c>
      <c r="G2681" s="5">
        <v>34.81</v>
      </c>
      <c r="H2681" s="4">
        <v>0</v>
      </c>
    </row>
    <row r="2682" spans="1:8" x14ac:dyDescent="0.2">
      <c r="A2682" s="2" t="s">
        <v>197</v>
      </c>
      <c r="B2682" s="4">
        <v>5</v>
      </c>
      <c r="C2682" s="5">
        <v>1.45</v>
      </c>
      <c r="D2682" s="4">
        <v>3</v>
      </c>
      <c r="E2682" s="5">
        <v>1.94</v>
      </c>
      <c r="F2682" s="4">
        <v>2</v>
      </c>
      <c r="G2682" s="5">
        <v>1.1000000000000001</v>
      </c>
      <c r="H2682" s="4">
        <v>0</v>
      </c>
    </row>
    <row r="2683" spans="1:8" x14ac:dyDescent="0.2">
      <c r="A2683" s="2" t="s">
        <v>198</v>
      </c>
      <c r="B2683" s="4">
        <v>33</v>
      </c>
      <c r="C2683" s="5">
        <v>9.57</v>
      </c>
      <c r="D2683" s="4">
        <v>13</v>
      </c>
      <c r="E2683" s="5">
        <v>8.39</v>
      </c>
      <c r="F2683" s="4">
        <v>19</v>
      </c>
      <c r="G2683" s="5">
        <v>10.5</v>
      </c>
      <c r="H2683" s="4">
        <v>0</v>
      </c>
    </row>
    <row r="2684" spans="1:8" x14ac:dyDescent="0.2">
      <c r="A2684" s="2" t="s">
        <v>199</v>
      </c>
      <c r="B2684" s="4">
        <v>11</v>
      </c>
      <c r="C2684" s="5">
        <v>3.19</v>
      </c>
      <c r="D2684" s="4">
        <v>7</v>
      </c>
      <c r="E2684" s="5">
        <v>4.5199999999999996</v>
      </c>
      <c r="F2684" s="4">
        <v>3</v>
      </c>
      <c r="G2684" s="5">
        <v>1.66</v>
      </c>
      <c r="H2684" s="4">
        <v>0</v>
      </c>
    </row>
    <row r="2685" spans="1:8" x14ac:dyDescent="0.2">
      <c r="A2685" s="2" t="s">
        <v>200</v>
      </c>
      <c r="B2685" s="4">
        <v>37</v>
      </c>
      <c r="C2685" s="5">
        <v>10.72</v>
      </c>
      <c r="D2685" s="4">
        <v>30</v>
      </c>
      <c r="E2685" s="5">
        <v>19.350000000000001</v>
      </c>
      <c r="F2685" s="4">
        <v>7</v>
      </c>
      <c r="G2685" s="5">
        <v>3.87</v>
      </c>
      <c r="H2685" s="4">
        <v>0</v>
      </c>
    </row>
    <row r="2686" spans="1:8" x14ac:dyDescent="0.2">
      <c r="A2686" s="2" t="s">
        <v>201</v>
      </c>
      <c r="B2686" s="4">
        <v>40</v>
      </c>
      <c r="C2686" s="5">
        <v>11.59</v>
      </c>
      <c r="D2686" s="4">
        <v>35</v>
      </c>
      <c r="E2686" s="5">
        <v>22.58</v>
      </c>
      <c r="F2686" s="4">
        <v>5</v>
      </c>
      <c r="G2686" s="5">
        <v>2.76</v>
      </c>
      <c r="H2686" s="4">
        <v>0</v>
      </c>
    </row>
    <row r="2687" spans="1:8" x14ac:dyDescent="0.2">
      <c r="A2687" s="2" t="s">
        <v>202</v>
      </c>
      <c r="B2687" s="4">
        <v>11</v>
      </c>
      <c r="C2687" s="5">
        <v>3.19</v>
      </c>
      <c r="D2687" s="4">
        <v>8</v>
      </c>
      <c r="E2687" s="5">
        <v>5.16</v>
      </c>
      <c r="F2687" s="4">
        <v>2</v>
      </c>
      <c r="G2687" s="5">
        <v>1.1000000000000001</v>
      </c>
      <c r="H2687" s="4">
        <v>0</v>
      </c>
    </row>
    <row r="2688" spans="1:8" x14ac:dyDescent="0.2">
      <c r="A2688" s="2" t="s">
        <v>203</v>
      </c>
      <c r="B2688" s="4">
        <v>14</v>
      </c>
      <c r="C2688" s="5">
        <v>4.0599999999999996</v>
      </c>
      <c r="D2688" s="4">
        <v>9</v>
      </c>
      <c r="E2688" s="5">
        <v>5.81</v>
      </c>
      <c r="F2688" s="4">
        <v>2</v>
      </c>
      <c r="G2688" s="5">
        <v>1.1000000000000001</v>
      </c>
      <c r="H2688" s="4">
        <v>1</v>
      </c>
    </row>
    <row r="2689" spans="1:8" x14ac:dyDescent="0.2">
      <c r="A2689" s="2" t="s">
        <v>204</v>
      </c>
      <c r="B2689" s="4">
        <v>19</v>
      </c>
      <c r="C2689" s="5">
        <v>5.51</v>
      </c>
      <c r="D2689" s="4">
        <v>9</v>
      </c>
      <c r="E2689" s="5">
        <v>5.81</v>
      </c>
      <c r="F2689" s="4">
        <v>8</v>
      </c>
      <c r="G2689" s="5">
        <v>4.42</v>
      </c>
      <c r="H2689" s="4">
        <v>1</v>
      </c>
    </row>
    <row r="2690" spans="1:8" x14ac:dyDescent="0.2">
      <c r="A2690" s="1" t="s">
        <v>168</v>
      </c>
      <c r="B2690" s="4">
        <v>107</v>
      </c>
      <c r="C2690" s="5">
        <v>99.990000000000023</v>
      </c>
      <c r="D2690" s="4">
        <v>52</v>
      </c>
      <c r="E2690" s="5">
        <v>100.00999999999999</v>
      </c>
      <c r="F2690" s="4">
        <v>51</v>
      </c>
      <c r="G2690" s="5">
        <v>99.99</v>
      </c>
      <c r="H2690" s="4">
        <v>0</v>
      </c>
    </row>
    <row r="2691" spans="1:8" x14ac:dyDescent="0.2">
      <c r="A2691" s="2" t="s">
        <v>190</v>
      </c>
      <c r="B2691" s="4">
        <v>1</v>
      </c>
      <c r="C2691" s="5">
        <v>0.93</v>
      </c>
      <c r="D2691" s="4">
        <v>0</v>
      </c>
      <c r="E2691" s="5">
        <v>0</v>
      </c>
      <c r="F2691" s="4">
        <v>1</v>
      </c>
      <c r="G2691" s="5">
        <v>1.96</v>
      </c>
      <c r="H2691" s="4">
        <v>0</v>
      </c>
    </row>
    <row r="2692" spans="1:8" x14ac:dyDescent="0.2">
      <c r="A2692" s="2" t="s">
        <v>191</v>
      </c>
      <c r="B2692" s="4">
        <v>9</v>
      </c>
      <c r="C2692" s="5">
        <v>8.41</v>
      </c>
      <c r="D2692" s="4">
        <v>1</v>
      </c>
      <c r="E2692" s="5">
        <v>1.92</v>
      </c>
      <c r="F2692" s="4">
        <v>8</v>
      </c>
      <c r="G2692" s="5">
        <v>15.69</v>
      </c>
      <c r="H2692" s="4">
        <v>0</v>
      </c>
    </row>
    <row r="2693" spans="1:8" x14ac:dyDescent="0.2">
      <c r="A2693" s="2" t="s">
        <v>192</v>
      </c>
      <c r="B2693" s="4">
        <v>13</v>
      </c>
      <c r="C2693" s="5">
        <v>12.15</v>
      </c>
      <c r="D2693" s="4">
        <v>0</v>
      </c>
      <c r="E2693" s="5">
        <v>0</v>
      </c>
      <c r="F2693" s="4">
        <v>13</v>
      </c>
      <c r="G2693" s="5">
        <v>25.49</v>
      </c>
      <c r="H2693" s="4">
        <v>0</v>
      </c>
    </row>
    <row r="2694" spans="1:8" x14ac:dyDescent="0.2">
      <c r="A2694" s="2" t="s">
        <v>193</v>
      </c>
      <c r="B2694" s="4">
        <v>3</v>
      </c>
      <c r="C2694" s="5">
        <v>2.8</v>
      </c>
      <c r="D2694" s="4">
        <v>0</v>
      </c>
      <c r="E2694" s="5">
        <v>0</v>
      </c>
      <c r="F2694" s="4">
        <v>2</v>
      </c>
      <c r="G2694" s="5">
        <v>3.92</v>
      </c>
      <c r="H2694" s="4">
        <v>0</v>
      </c>
    </row>
    <row r="2695" spans="1:8" x14ac:dyDescent="0.2">
      <c r="A2695" s="2" t="s">
        <v>194</v>
      </c>
      <c r="B2695" s="4">
        <v>0</v>
      </c>
      <c r="C2695" s="5">
        <v>0</v>
      </c>
      <c r="D2695" s="4">
        <v>0</v>
      </c>
      <c r="E2695" s="5">
        <v>0</v>
      </c>
      <c r="F2695" s="4">
        <v>0</v>
      </c>
      <c r="G2695" s="5">
        <v>0</v>
      </c>
      <c r="H2695" s="4">
        <v>0</v>
      </c>
    </row>
    <row r="2696" spans="1:8" x14ac:dyDescent="0.2">
      <c r="A2696" s="2" t="s">
        <v>195</v>
      </c>
      <c r="B2696" s="4">
        <v>3</v>
      </c>
      <c r="C2696" s="5">
        <v>2.8</v>
      </c>
      <c r="D2696" s="4">
        <v>0</v>
      </c>
      <c r="E2696" s="5">
        <v>0</v>
      </c>
      <c r="F2696" s="4">
        <v>3</v>
      </c>
      <c r="G2696" s="5">
        <v>5.88</v>
      </c>
      <c r="H2696" s="4">
        <v>0</v>
      </c>
    </row>
    <row r="2697" spans="1:8" x14ac:dyDescent="0.2">
      <c r="A2697" s="2" t="s">
        <v>196</v>
      </c>
      <c r="B2697" s="4">
        <v>23</v>
      </c>
      <c r="C2697" s="5">
        <v>21.5</v>
      </c>
      <c r="D2697" s="4">
        <v>13</v>
      </c>
      <c r="E2697" s="5">
        <v>25</v>
      </c>
      <c r="F2697" s="4">
        <v>10</v>
      </c>
      <c r="G2697" s="5">
        <v>19.61</v>
      </c>
      <c r="H2697" s="4">
        <v>0</v>
      </c>
    </row>
    <row r="2698" spans="1:8" x14ac:dyDescent="0.2">
      <c r="A2698" s="2" t="s">
        <v>197</v>
      </c>
      <c r="B2698" s="4">
        <v>0</v>
      </c>
      <c r="C2698" s="5">
        <v>0</v>
      </c>
      <c r="D2698" s="4">
        <v>0</v>
      </c>
      <c r="E2698" s="5">
        <v>0</v>
      </c>
      <c r="F2698" s="4">
        <v>0</v>
      </c>
      <c r="G2698" s="5">
        <v>0</v>
      </c>
      <c r="H2698" s="4">
        <v>0</v>
      </c>
    </row>
    <row r="2699" spans="1:8" x14ac:dyDescent="0.2">
      <c r="A2699" s="2" t="s">
        <v>198</v>
      </c>
      <c r="B2699" s="4">
        <v>8</v>
      </c>
      <c r="C2699" s="5">
        <v>7.48</v>
      </c>
      <c r="D2699" s="4">
        <v>3</v>
      </c>
      <c r="E2699" s="5">
        <v>5.77</v>
      </c>
      <c r="F2699" s="4">
        <v>5</v>
      </c>
      <c r="G2699" s="5">
        <v>9.8000000000000007</v>
      </c>
      <c r="H2699" s="4">
        <v>0</v>
      </c>
    </row>
    <row r="2700" spans="1:8" x14ac:dyDescent="0.2">
      <c r="A2700" s="2" t="s">
        <v>199</v>
      </c>
      <c r="B2700" s="4">
        <v>5</v>
      </c>
      <c r="C2700" s="5">
        <v>4.67</v>
      </c>
      <c r="D2700" s="4">
        <v>3</v>
      </c>
      <c r="E2700" s="5">
        <v>5.77</v>
      </c>
      <c r="F2700" s="4">
        <v>2</v>
      </c>
      <c r="G2700" s="5">
        <v>3.92</v>
      </c>
      <c r="H2700" s="4">
        <v>0</v>
      </c>
    </row>
    <row r="2701" spans="1:8" x14ac:dyDescent="0.2">
      <c r="A2701" s="2" t="s">
        <v>200</v>
      </c>
      <c r="B2701" s="4">
        <v>13</v>
      </c>
      <c r="C2701" s="5">
        <v>12.15</v>
      </c>
      <c r="D2701" s="4">
        <v>12</v>
      </c>
      <c r="E2701" s="5">
        <v>23.08</v>
      </c>
      <c r="F2701" s="4">
        <v>1</v>
      </c>
      <c r="G2701" s="5">
        <v>1.96</v>
      </c>
      <c r="H2701" s="4">
        <v>0</v>
      </c>
    </row>
    <row r="2702" spans="1:8" x14ac:dyDescent="0.2">
      <c r="A2702" s="2" t="s">
        <v>201</v>
      </c>
      <c r="B2702" s="4">
        <v>11</v>
      </c>
      <c r="C2702" s="5">
        <v>10.28</v>
      </c>
      <c r="D2702" s="4">
        <v>9</v>
      </c>
      <c r="E2702" s="5">
        <v>17.309999999999999</v>
      </c>
      <c r="F2702" s="4">
        <v>2</v>
      </c>
      <c r="G2702" s="5">
        <v>3.92</v>
      </c>
      <c r="H2702" s="4">
        <v>0</v>
      </c>
    </row>
    <row r="2703" spans="1:8" x14ac:dyDescent="0.2">
      <c r="A2703" s="2" t="s">
        <v>202</v>
      </c>
      <c r="B2703" s="4">
        <v>7</v>
      </c>
      <c r="C2703" s="5">
        <v>6.54</v>
      </c>
      <c r="D2703" s="4">
        <v>5</v>
      </c>
      <c r="E2703" s="5">
        <v>9.6199999999999992</v>
      </c>
      <c r="F2703" s="4">
        <v>1</v>
      </c>
      <c r="G2703" s="5">
        <v>1.96</v>
      </c>
      <c r="H2703" s="4">
        <v>0</v>
      </c>
    </row>
    <row r="2704" spans="1:8" x14ac:dyDescent="0.2">
      <c r="A2704" s="2" t="s">
        <v>203</v>
      </c>
      <c r="B2704" s="4">
        <v>6</v>
      </c>
      <c r="C2704" s="5">
        <v>5.61</v>
      </c>
      <c r="D2704" s="4">
        <v>3</v>
      </c>
      <c r="E2704" s="5">
        <v>5.77</v>
      </c>
      <c r="F2704" s="4">
        <v>2</v>
      </c>
      <c r="G2704" s="5">
        <v>3.92</v>
      </c>
      <c r="H2704" s="4">
        <v>0</v>
      </c>
    </row>
    <row r="2705" spans="1:8" x14ac:dyDescent="0.2">
      <c r="A2705" s="2" t="s">
        <v>204</v>
      </c>
      <c r="B2705" s="4">
        <v>5</v>
      </c>
      <c r="C2705" s="5">
        <v>4.67</v>
      </c>
      <c r="D2705" s="4">
        <v>3</v>
      </c>
      <c r="E2705" s="5">
        <v>5.77</v>
      </c>
      <c r="F2705" s="4">
        <v>1</v>
      </c>
      <c r="G2705" s="5">
        <v>1.96</v>
      </c>
      <c r="H2705" s="4">
        <v>0</v>
      </c>
    </row>
    <row r="2706" spans="1:8" x14ac:dyDescent="0.2">
      <c r="A2706" s="1" t="s">
        <v>169</v>
      </c>
      <c r="B2706" s="4">
        <v>62</v>
      </c>
      <c r="C2706" s="5">
        <v>100.00000000000001</v>
      </c>
      <c r="D2706" s="4">
        <v>35</v>
      </c>
      <c r="E2706" s="5">
        <v>100.00999999999998</v>
      </c>
      <c r="F2706" s="4">
        <v>26</v>
      </c>
      <c r="G2706" s="5">
        <v>100.00999999999999</v>
      </c>
      <c r="H2706" s="4">
        <v>0</v>
      </c>
    </row>
    <row r="2707" spans="1:8" x14ac:dyDescent="0.2">
      <c r="A2707" s="2" t="s">
        <v>190</v>
      </c>
      <c r="B2707" s="4">
        <v>0</v>
      </c>
      <c r="C2707" s="5">
        <v>0</v>
      </c>
      <c r="D2707" s="4">
        <v>0</v>
      </c>
      <c r="E2707" s="5">
        <v>0</v>
      </c>
      <c r="F2707" s="4">
        <v>0</v>
      </c>
      <c r="G2707" s="5">
        <v>0</v>
      </c>
      <c r="H2707" s="4">
        <v>0</v>
      </c>
    </row>
    <row r="2708" spans="1:8" x14ac:dyDescent="0.2">
      <c r="A2708" s="2" t="s">
        <v>191</v>
      </c>
      <c r="B2708" s="4">
        <v>2</v>
      </c>
      <c r="C2708" s="5">
        <v>3.23</v>
      </c>
      <c r="D2708" s="4">
        <v>0</v>
      </c>
      <c r="E2708" s="5">
        <v>0</v>
      </c>
      <c r="F2708" s="4">
        <v>2</v>
      </c>
      <c r="G2708" s="5">
        <v>7.69</v>
      </c>
      <c r="H2708" s="4">
        <v>0</v>
      </c>
    </row>
    <row r="2709" spans="1:8" x14ac:dyDescent="0.2">
      <c r="A2709" s="2" t="s">
        <v>192</v>
      </c>
      <c r="B2709" s="4">
        <v>3</v>
      </c>
      <c r="C2709" s="5">
        <v>4.84</v>
      </c>
      <c r="D2709" s="4">
        <v>1</v>
      </c>
      <c r="E2709" s="5">
        <v>2.86</v>
      </c>
      <c r="F2709" s="4">
        <v>2</v>
      </c>
      <c r="G2709" s="5">
        <v>7.69</v>
      </c>
      <c r="H2709" s="4">
        <v>0</v>
      </c>
    </row>
    <row r="2710" spans="1:8" x14ac:dyDescent="0.2">
      <c r="A2710" s="2" t="s">
        <v>193</v>
      </c>
      <c r="B2710" s="4">
        <v>2</v>
      </c>
      <c r="C2710" s="5">
        <v>3.23</v>
      </c>
      <c r="D2710" s="4">
        <v>0</v>
      </c>
      <c r="E2710" s="5">
        <v>0</v>
      </c>
      <c r="F2710" s="4">
        <v>1</v>
      </c>
      <c r="G2710" s="5">
        <v>3.85</v>
      </c>
      <c r="H2710" s="4">
        <v>0</v>
      </c>
    </row>
    <row r="2711" spans="1:8" x14ac:dyDescent="0.2">
      <c r="A2711" s="2" t="s">
        <v>194</v>
      </c>
      <c r="B2711" s="4">
        <v>1</v>
      </c>
      <c r="C2711" s="5">
        <v>1.61</v>
      </c>
      <c r="D2711" s="4">
        <v>0</v>
      </c>
      <c r="E2711" s="5">
        <v>0</v>
      </c>
      <c r="F2711" s="4">
        <v>1</v>
      </c>
      <c r="G2711" s="5">
        <v>3.85</v>
      </c>
      <c r="H2711" s="4">
        <v>0</v>
      </c>
    </row>
    <row r="2712" spans="1:8" x14ac:dyDescent="0.2">
      <c r="A2712" s="2" t="s">
        <v>195</v>
      </c>
      <c r="B2712" s="4">
        <v>0</v>
      </c>
      <c r="C2712" s="5">
        <v>0</v>
      </c>
      <c r="D2712" s="4">
        <v>0</v>
      </c>
      <c r="E2712" s="5">
        <v>0</v>
      </c>
      <c r="F2712" s="4">
        <v>0</v>
      </c>
      <c r="G2712" s="5">
        <v>0</v>
      </c>
      <c r="H2712" s="4">
        <v>0</v>
      </c>
    </row>
    <row r="2713" spans="1:8" x14ac:dyDescent="0.2">
      <c r="A2713" s="2" t="s">
        <v>196</v>
      </c>
      <c r="B2713" s="4">
        <v>20</v>
      </c>
      <c r="C2713" s="5">
        <v>32.26</v>
      </c>
      <c r="D2713" s="4">
        <v>10</v>
      </c>
      <c r="E2713" s="5">
        <v>28.57</v>
      </c>
      <c r="F2713" s="4">
        <v>10</v>
      </c>
      <c r="G2713" s="5">
        <v>38.46</v>
      </c>
      <c r="H2713" s="4">
        <v>0</v>
      </c>
    </row>
    <row r="2714" spans="1:8" x14ac:dyDescent="0.2">
      <c r="A2714" s="2" t="s">
        <v>197</v>
      </c>
      <c r="B2714" s="4">
        <v>0</v>
      </c>
      <c r="C2714" s="5">
        <v>0</v>
      </c>
      <c r="D2714" s="4">
        <v>0</v>
      </c>
      <c r="E2714" s="5">
        <v>0</v>
      </c>
      <c r="F2714" s="4">
        <v>0</v>
      </c>
      <c r="G2714" s="5">
        <v>0</v>
      </c>
      <c r="H2714" s="4">
        <v>0</v>
      </c>
    </row>
    <row r="2715" spans="1:8" x14ac:dyDescent="0.2">
      <c r="A2715" s="2" t="s">
        <v>198</v>
      </c>
      <c r="B2715" s="4">
        <v>2</v>
      </c>
      <c r="C2715" s="5">
        <v>3.23</v>
      </c>
      <c r="D2715" s="4">
        <v>1</v>
      </c>
      <c r="E2715" s="5">
        <v>2.86</v>
      </c>
      <c r="F2715" s="4">
        <v>1</v>
      </c>
      <c r="G2715" s="5">
        <v>3.85</v>
      </c>
      <c r="H2715" s="4">
        <v>0</v>
      </c>
    </row>
    <row r="2716" spans="1:8" x14ac:dyDescent="0.2">
      <c r="A2716" s="2" t="s">
        <v>199</v>
      </c>
      <c r="B2716" s="4">
        <v>6</v>
      </c>
      <c r="C2716" s="5">
        <v>9.68</v>
      </c>
      <c r="D2716" s="4">
        <v>1</v>
      </c>
      <c r="E2716" s="5">
        <v>2.86</v>
      </c>
      <c r="F2716" s="4">
        <v>5</v>
      </c>
      <c r="G2716" s="5">
        <v>19.23</v>
      </c>
      <c r="H2716" s="4">
        <v>0</v>
      </c>
    </row>
    <row r="2717" spans="1:8" x14ac:dyDescent="0.2">
      <c r="A2717" s="2" t="s">
        <v>200</v>
      </c>
      <c r="B2717" s="4">
        <v>12</v>
      </c>
      <c r="C2717" s="5">
        <v>19.350000000000001</v>
      </c>
      <c r="D2717" s="4">
        <v>11</v>
      </c>
      <c r="E2717" s="5">
        <v>31.43</v>
      </c>
      <c r="F2717" s="4">
        <v>1</v>
      </c>
      <c r="G2717" s="5">
        <v>3.85</v>
      </c>
      <c r="H2717" s="4">
        <v>0</v>
      </c>
    </row>
    <row r="2718" spans="1:8" x14ac:dyDescent="0.2">
      <c r="A2718" s="2" t="s">
        <v>201</v>
      </c>
      <c r="B2718" s="4">
        <v>5</v>
      </c>
      <c r="C2718" s="5">
        <v>8.06</v>
      </c>
      <c r="D2718" s="4">
        <v>4</v>
      </c>
      <c r="E2718" s="5">
        <v>11.43</v>
      </c>
      <c r="F2718" s="4">
        <v>1</v>
      </c>
      <c r="G2718" s="5">
        <v>3.85</v>
      </c>
      <c r="H2718" s="4">
        <v>0</v>
      </c>
    </row>
    <row r="2719" spans="1:8" x14ac:dyDescent="0.2">
      <c r="A2719" s="2" t="s">
        <v>202</v>
      </c>
      <c r="B2719" s="4">
        <v>5</v>
      </c>
      <c r="C2719" s="5">
        <v>8.06</v>
      </c>
      <c r="D2719" s="4">
        <v>5</v>
      </c>
      <c r="E2719" s="5">
        <v>14.29</v>
      </c>
      <c r="F2719" s="4">
        <v>0</v>
      </c>
      <c r="G2719" s="5">
        <v>0</v>
      </c>
      <c r="H2719" s="4">
        <v>0</v>
      </c>
    </row>
    <row r="2720" spans="1:8" x14ac:dyDescent="0.2">
      <c r="A2720" s="2" t="s">
        <v>203</v>
      </c>
      <c r="B2720" s="4">
        <v>4</v>
      </c>
      <c r="C2720" s="5">
        <v>6.45</v>
      </c>
      <c r="D2720" s="4">
        <v>2</v>
      </c>
      <c r="E2720" s="5">
        <v>5.71</v>
      </c>
      <c r="F2720" s="4">
        <v>2</v>
      </c>
      <c r="G2720" s="5">
        <v>7.69</v>
      </c>
      <c r="H2720" s="4">
        <v>0</v>
      </c>
    </row>
    <row r="2721" spans="1:8" x14ac:dyDescent="0.2">
      <c r="A2721" s="2" t="s">
        <v>204</v>
      </c>
      <c r="B2721" s="4">
        <v>0</v>
      </c>
      <c r="C2721" s="5">
        <v>0</v>
      </c>
      <c r="D2721" s="4">
        <v>0</v>
      </c>
      <c r="E2721" s="5">
        <v>0</v>
      </c>
      <c r="F2721" s="4">
        <v>0</v>
      </c>
      <c r="G2721" s="5">
        <v>0</v>
      </c>
      <c r="H2721" s="4">
        <v>0</v>
      </c>
    </row>
    <row r="2722" spans="1:8" x14ac:dyDescent="0.2">
      <c r="A2722" s="1" t="s">
        <v>170</v>
      </c>
      <c r="B2722" s="4">
        <v>170</v>
      </c>
      <c r="C2722" s="5">
        <v>99.990000000000009</v>
      </c>
      <c r="D2722" s="4">
        <v>99</v>
      </c>
      <c r="E2722" s="5">
        <v>99.990000000000009</v>
      </c>
      <c r="F2722" s="4">
        <v>67</v>
      </c>
      <c r="G2722" s="5">
        <v>99.999999999999986</v>
      </c>
      <c r="H2722" s="4">
        <v>1</v>
      </c>
    </row>
    <row r="2723" spans="1:8" x14ac:dyDescent="0.2">
      <c r="A2723" s="2" t="s">
        <v>190</v>
      </c>
      <c r="B2723" s="4">
        <v>0</v>
      </c>
      <c r="C2723" s="5">
        <v>0</v>
      </c>
      <c r="D2723" s="4">
        <v>0</v>
      </c>
      <c r="E2723" s="5">
        <v>0</v>
      </c>
      <c r="F2723" s="4">
        <v>0</v>
      </c>
      <c r="G2723" s="5">
        <v>0</v>
      </c>
      <c r="H2723" s="4">
        <v>0</v>
      </c>
    </row>
    <row r="2724" spans="1:8" x14ac:dyDescent="0.2">
      <c r="A2724" s="2" t="s">
        <v>191</v>
      </c>
      <c r="B2724" s="4">
        <v>28</v>
      </c>
      <c r="C2724" s="5">
        <v>16.47</v>
      </c>
      <c r="D2724" s="4">
        <v>10</v>
      </c>
      <c r="E2724" s="5">
        <v>10.1</v>
      </c>
      <c r="F2724" s="4">
        <v>18</v>
      </c>
      <c r="G2724" s="5">
        <v>26.87</v>
      </c>
      <c r="H2724" s="4">
        <v>0</v>
      </c>
    </row>
    <row r="2725" spans="1:8" x14ac:dyDescent="0.2">
      <c r="A2725" s="2" t="s">
        <v>192</v>
      </c>
      <c r="B2725" s="4">
        <v>16</v>
      </c>
      <c r="C2725" s="5">
        <v>9.41</v>
      </c>
      <c r="D2725" s="4">
        <v>5</v>
      </c>
      <c r="E2725" s="5">
        <v>5.05</v>
      </c>
      <c r="F2725" s="4">
        <v>11</v>
      </c>
      <c r="G2725" s="5">
        <v>16.420000000000002</v>
      </c>
      <c r="H2725" s="4">
        <v>0</v>
      </c>
    </row>
    <row r="2726" spans="1:8" x14ac:dyDescent="0.2">
      <c r="A2726" s="2" t="s">
        <v>193</v>
      </c>
      <c r="B2726" s="4">
        <v>0</v>
      </c>
      <c r="C2726" s="5">
        <v>0</v>
      </c>
      <c r="D2726" s="4">
        <v>0</v>
      </c>
      <c r="E2726" s="5">
        <v>0</v>
      </c>
      <c r="F2726" s="4">
        <v>0</v>
      </c>
      <c r="G2726" s="5">
        <v>0</v>
      </c>
      <c r="H2726" s="4">
        <v>0</v>
      </c>
    </row>
    <row r="2727" spans="1:8" x14ac:dyDescent="0.2">
      <c r="A2727" s="2" t="s">
        <v>194</v>
      </c>
      <c r="B2727" s="4">
        <v>1</v>
      </c>
      <c r="C2727" s="5">
        <v>0.59</v>
      </c>
      <c r="D2727" s="4">
        <v>0</v>
      </c>
      <c r="E2727" s="5">
        <v>0</v>
      </c>
      <c r="F2727" s="4">
        <v>1</v>
      </c>
      <c r="G2727" s="5">
        <v>1.49</v>
      </c>
      <c r="H2727" s="4">
        <v>0</v>
      </c>
    </row>
    <row r="2728" spans="1:8" x14ac:dyDescent="0.2">
      <c r="A2728" s="2" t="s">
        <v>195</v>
      </c>
      <c r="B2728" s="4">
        <v>2</v>
      </c>
      <c r="C2728" s="5">
        <v>1.18</v>
      </c>
      <c r="D2728" s="4">
        <v>1</v>
      </c>
      <c r="E2728" s="5">
        <v>1.01</v>
      </c>
      <c r="F2728" s="4">
        <v>1</v>
      </c>
      <c r="G2728" s="5">
        <v>1.49</v>
      </c>
      <c r="H2728" s="4">
        <v>0</v>
      </c>
    </row>
    <row r="2729" spans="1:8" x14ac:dyDescent="0.2">
      <c r="A2729" s="2" t="s">
        <v>196</v>
      </c>
      <c r="B2729" s="4">
        <v>43</v>
      </c>
      <c r="C2729" s="5">
        <v>25.29</v>
      </c>
      <c r="D2729" s="4">
        <v>26</v>
      </c>
      <c r="E2729" s="5">
        <v>26.26</v>
      </c>
      <c r="F2729" s="4">
        <v>17</v>
      </c>
      <c r="G2729" s="5">
        <v>25.37</v>
      </c>
      <c r="H2729" s="4">
        <v>0</v>
      </c>
    </row>
    <row r="2730" spans="1:8" x14ac:dyDescent="0.2">
      <c r="A2730" s="2" t="s">
        <v>197</v>
      </c>
      <c r="B2730" s="4">
        <v>1</v>
      </c>
      <c r="C2730" s="5">
        <v>0.59</v>
      </c>
      <c r="D2730" s="4">
        <v>0</v>
      </c>
      <c r="E2730" s="5">
        <v>0</v>
      </c>
      <c r="F2730" s="4">
        <v>1</v>
      </c>
      <c r="G2730" s="5">
        <v>1.49</v>
      </c>
      <c r="H2730" s="4">
        <v>0</v>
      </c>
    </row>
    <row r="2731" spans="1:8" x14ac:dyDescent="0.2">
      <c r="A2731" s="2" t="s">
        <v>198</v>
      </c>
      <c r="B2731" s="4">
        <v>10</v>
      </c>
      <c r="C2731" s="5">
        <v>5.88</v>
      </c>
      <c r="D2731" s="4">
        <v>4</v>
      </c>
      <c r="E2731" s="5">
        <v>4.04</v>
      </c>
      <c r="F2731" s="4">
        <v>6</v>
      </c>
      <c r="G2731" s="5">
        <v>8.9600000000000009</v>
      </c>
      <c r="H2731" s="4">
        <v>0</v>
      </c>
    </row>
    <row r="2732" spans="1:8" x14ac:dyDescent="0.2">
      <c r="A2732" s="2" t="s">
        <v>199</v>
      </c>
      <c r="B2732" s="4">
        <v>4</v>
      </c>
      <c r="C2732" s="5">
        <v>2.35</v>
      </c>
      <c r="D2732" s="4">
        <v>2</v>
      </c>
      <c r="E2732" s="5">
        <v>2.02</v>
      </c>
      <c r="F2732" s="4">
        <v>1</v>
      </c>
      <c r="G2732" s="5">
        <v>1.49</v>
      </c>
      <c r="H2732" s="4">
        <v>0</v>
      </c>
    </row>
    <row r="2733" spans="1:8" x14ac:dyDescent="0.2">
      <c r="A2733" s="2" t="s">
        <v>200</v>
      </c>
      <c r="B2733" s="4">
        <v>33</v>
      </c>
      <c r="C2733" s="5">
        <v>19.41</v>
      </c>
      <c r="D2733" s="4">
        <v>26</v>
      </c>
      <c r="E2733" s="5">
        <v>26.26</v>
      </c>
      <c r="F2733" s="4">
        <v>7</v>
      </c>
      <c r="G2733" s="5">
        <v>10.45</v>
      </c>
      <c r="H2733" s="4">
        <v>0</v>
      </c>
    </row>
    <row r="2734" spans="1:8" x14ac:dyDescent="0.2">
      <c r="A2734" s="2" t="s">
        <v>201</v>
      </c>
      <c r="B2734" s="4">
        <v>15</v>
      </c>
      <c r="C2734" s="5">
        <v>8.82</v>
      </c>
      <c r="D2734" s="4">
        <v>13</v>
      </c>
      <c r="E2734" s="5">
        <v>13.13</v>
      </c>
      <c r="F2734" s="4">
        <v>1</v>
      </c>
      <c r="G2734" s="5">
        <v>1.49</v>
      </c>
      <c r="H2734" s="4">
        <v>0</v>
      </c>
    </row>
    <row r="2735" spans="1:8" x14ac:dyDescent="0.2">
      <c r="A2735" s="2" t="s">
        <v>202</v>
      </c>
      <c r="B2735" s="4">
        <v>5</v>
      </c>
      <c r="C2735" s="5">
        <v>2.94</v>
      </c>
      <c r="D2735" s="4">
        <v>5</v>
      </c>
      <c r="E2735" s="5">
        <v>5.05</v>
      </c>
      <c r="F2735" s="4">
        <v>0</v>
      </c>
      <c r="G2735" s="5">
        <v>0</v>
      </c>
      <c r="H2735" s="4">
        <v>0</v>
      </c>
    </row>
    <row r="2736" spans="1:8" x14ac:dyDescent="0.2">
      <c r="A2736" s="2" t="s">
        <v>203</v>
      </c>
      <c r="B2736" s="4">
        <v>6</v>
      </c>
      <c r="C2736" s="5">
        <v>3.53</v>
      </c>
      <c r="D2736" s="4">
        <v>3</v>
      </c>
      <c r="E2736" s="5">
        <v>3.03</v>
      </c>
      <c r="F2736" s="4">
        <v>2</v>
      </c>
      <c r="G2736" s="5">
        <v>2.99</v>
      </c>
      <c r="H2736" s="4">
        <v>0</v>
      </c>
    </row>
    <row r="2737" spans="1:8" x14ac:dyDescent="0.2">
      <c r="A2737" s="2" t="s">
        <v>204</v>
      </c>
      <c r="B2737" s="4">
        <v>6</v>
      </c>
      <c r="C2737" s="5">
        <v>3.53</v>
      </c>
      <c r="D2737" s="4">
        <v>4</v>
      </c>
      <c r="E2737" s="5">
        <v>4.04</v>
      </c>
      <c r="F2737" s="4">
        <v>1</v>
      </c>
      <c r="G2737" s="5">
        <v>1.49</v>
      </c>
      <c r="H2737" s="4">
        <v>1</v>
      </c>
    </row>
    <row r="2738" spans="1:8" x14ac:dyDescent="0.2">
      <c r="A2738" s="1" t="s">
        <v>171</v>
      </c>
      <c r="B2738" s="4">
        <v>245</v>
      </c>
      <c r="C2738" s="5">
        <v>99.999999999999986</v>
      </c>
      <c r="D2738" s="4">
        <v>153</v>
      </c>
      <c r="E2738" s="5">
        <v>99.99</v>
      </c>
      <c r="F2738" s="4">
        <v>82</v>
      </c>
      <c r="G2738" s="5">
        <v>100.00999999999999</v>
      </c>
      <c r="H2738" s="4">
        <v>0</v>
      </c>
    </row>
    <row r="2739" spans="1:8" x14ac:dyDescent="0.2">
      <c r="A2739" s="2" t="s">
        <v>190</v>
      </c>
      <c r="B2739" s="4">
        <v>0</v>
      </c>
      <c r="C2739" s="5">
        <v>0</v>
      </c>
      <c r="D2739" s="4">
        <v>0</v>
      </c>
      <c r="E2739" s="5">
        <v>0</v>
      </c>
      <c r="F2739" s="4">
        <v>0</v>
      </c>
      <c r="G2739" s="5">
        <v>0</v>
      </c>
      <c r="H2739" s="4">
        <v>0</v>
      </c>
    </row>
    <row r="2740" spans="1:8" x14ac:dyDescent="0.2">
      <c r="A2740" s="2" t="s">
        <v>191</v>
      </c>
      <c r="B2740" s="4">
        <v>37</v>
      </c>
      <c r="C2740" s="5">
        <v>15.1</v>
      </c>
      <c r="D2740" s="4">
        <v>21</v>
      </c>
      <c r="E2740" s="5">
        <v>13.73</v>
      </c>
      <c r="F2740" s="4">
        <v>16</v>
      </c>
      <c r="G2740" s="5">
        <v>19.510000000000002</v>
      </c>
      <c r="H2740" s="4">
        <v>0</v>
      </c>
    </row>
    <row r="2741" spans="1:8" x14ac:dyDescent="0.2">
      <c r="A2741" s="2" t="s">
        <v>192</v>
      </c>
      <c r="B2741" s="4">
        <v>21</v>
      </c>
      <c r="C2741" s="5">
        <v>8.57</v>
      </c>
      <c r="D2741" s="4">
        <v>5</v>
      </c>
      <c r="E2741" s="5">
        <v>3.27</v>
      </c>
      <c r="F2741" s="4">
        <v>16</v>
      </c>
      <c r="G2741" s="5">
        <v>19.510000000000002</v>
      </c>
      <c r="H2741" s="4">
        <v>0</v>
      </c>
    </row>
    <row r="2742" spans="1:8" x14ac:dyDescent="0.2">
      <c r="A2742" s="2" t="s">
        <v>193</v>
      </c>
      <c r="B2742" s="4">
        <v>0</v>
      </c>
      <c r="C2742" s="5">
        <v>0</v>
      </c>
      <c r="D2742" s="4">
        <v>0</v>
      </c>
      <c r="E2742" s="5">
        <v>0</v>
      </c>
      <c r="F2742" s="4">
        <v>0</v>
      </c>
      <c r="G2742" s="5">
        <v>0</v>
      </c>
      <c r="H2742" s="4">
        <v>0</v>
      </c>
    </row>
    <row r="2743" spans="1:8" x14ac:dyDescent="0.2">
      <c r="A2743" s="2" t="s">
        <v>194</v>
      </c>
      <c r="B2743" s="4">
        <v>3</v>
      </c>
      <c r="C2743" s="5">
        <v>1.22</v>
      </c>
      <c r="D2743" s="4">
        <v>0</v>
      </c>
      <c r="E2743" s="5">
        <v>0</v>
      </c>
      <c r="F2743" s="4">
        <v>3</v>
      </c>
      <c r="G2743" s="5">
        <v>3.66</v>
      </c>
      <c r="H2743" s="4">
        <v>0</v>
      </c>
    </row>
    <row r="2744" spans="1:8" x14ac:dyDescent="0.2">
      <c r="A2744" s="2" t="s">
        <v>195</v>
      </c>
      <c r="B2744" s="4">
        <v>8</v>
      </c>
      <c r="C2744" s="5">
        <v>3.27</v>
      </c>
      <c r="D2744" s="4">
        <v>3</v>
      </c>
      <c r="E2744" s="5">
        <v>1.96</v>
      </c>
      <c r="F2744" s="4">
        <v>4</v>
      </c>
      <c r="G2744" s="5">
        <v>4.88</v>
      </c>
      <c r="H2744" s="4">
        <v>0</v>
      </c>
    </row>
    <row r="2745" spans="1:8" x14ac:dyDescent="0.2">
      <c r="A2745" s="2" t="s">
        <v>196</v>
      </c>
      <c r="B2745" s="4">
        <v>62</v>
      </c>
      <c r="C2745" s="5">
        <v>25.31</v>
      </c>
      <c r="D2745" s="4">
        <v>34</v>
      </c>
      <c r="E2745" s="5">
        <v>22.22</v>
      </c>
      <c r="F2745" s="4">
        <v>28</v>
      </c>
      <c r="G2745" s="5">
        <v>34.15</v>
      </c>
      <c r="H2745" s="4">
        <v>0</v>
      </c>
    </row>
    <row r="2746" spans="1:8" x14ac:dyDescent="0.2">
      <c r="A2746" s="2" t="s">
        <v>197</v>
      </c>
      <c r="B2746" s="4">
        <v>1</v>
      </c>
      <c r="C2746" s="5">
        <v>0.41</v>
      </c>
      <c r="D2746" s="4">
        <v>1</v>
      </c>
      <c r="E2746" s="5">
        <v>0.65</v>
      </c>
      <c r="F2746" s="4">
        <v>0</v>
      </c>
      <c r="G2746" s="5">
        <v>0</v>
      </c>
      <c r="H2746" s="4">
        <v>0</v>
      </c>
    </row>
    <row r="2747" spans="1:8" x14ac:dyDescent="0.2">
      <c r="A2747" s="2" t="s">
        <v>198</v>
      </c>
      <c r="B2747" s="4">
        <v>15</v>
      </c>
      <c r="C2747" s="5">
        <v>6.12</v>
      </c>
      <c r="D2747" s="4">
        <v>11</v>
      </c>
      <c r="E2747" s="5">
        <v>7.19</v>
      </c>
      <c r="F2747" s="4">
        <v>4</v>
      </c>
      <c r="G2747" s="5">
        <v>4.88</v>
      </c>
      <c r="H2747" s="4">
        <v>0</v>
      </c>
    </row>
    <row r="2748" spans="1:8" x14ac:dyDescent="0.2">
      <c r="A2748" s="2" t="s">
        <v>199</v>
      </c>
      <c r="B2748" s="4">
        <v>9</v>
      </c>
      <c r="C2748" s="5">
        <v>3.67</v>
      </c>
      <c r="D2748" s="4">
        <v>5</v>
      </c>
      <c r="E2748" s="5">
        <v>3.27</v>
      </c>
      <c r="F2748" s="4">
        <v>2</v>
      </c>
      <c r="G2748" s="5">
        <v>2.44</v>
      </c>
      <c r="H2748" s="4">
        <v>0</v>
      </c>
    </row>
    <row r="2749" spans="1:8" x14ac:dyDescent="0.2">
      <c r="A2749" s="2" t="s">
        <v>200</v>
      </c>
      <c r="B2749" s="4">
        <v>36</v>
      </c>
      <c r="C2749" s="5">
        <v>14.69</v>
      </c>
      <c r="D2749" s="4">
        <v>31</v>
      </c>
      <c r="E2749" s="5">
        <v>20.260000000000002</v>
      </c>
      <c r="F2749" s="4">
        <v>5</v>
      </c>
      <c r="G2749" s="5">
        <v>6.1</v>
      </c>
      <c r="H2749" s="4">
        <v>0</v>
      </c>
    </row>
    <row r="2750" spans="1:8" x14ac:dyDescent="0.2">
      <c r="A2750" s="2" t="s">
        <v>201</v>
      </c>
      <c r="B2750" s="4">
        <v>28</v>
      </c>
      <c r="C2750" s="5">
        <v>11.43</v>
      </c>
      <c r="D2750" s="4">
        <v>28</v>
      </c>
      <c r="E2750" s="5">
        <v>18.3</v>
      </c>
      <c r="F2750" s="4">
        <v>0</v>
      </c>
      <c r="G2750" s="5">
        <v>0</v>
      </c>
      <c r="H2750" s="4">
        <v>0</v>
      </c>
    </row>
    <row r="2751" spans="1:8" x14ac:dyDescent="0.2">
      <c r="A2751" s="2" t="s">
        <v>202</v>
      </c>
      <c r="B2751" s="4">
        <v>7</v>
      </c>
      <c r="C2751" s="5">
        <v>2.86</v>
      </c>
      <c r="D2751" s="4">
        <v>4</v>
      </c>
      <c r="E2751" s="5">
        <v>2.61</v>
      </c>
      <c r="F2751" s="4">
        <v>0</v>
      </c>
      <c r="G2751" s="5">
        <v>0</v>
      </c>
      <c r="H2751" s="4">
        <v>0</v>
      </c>
    </row>
    <row r="2752" spans="1:8" x14ac:dyDescent="0.2">
      <c r="A2752" s="2" t="s">
        <v>203</v>
      </c>
      <c r="B2752" s="4">
        <v>8</v>
      </c>
      <c r="C2752" s="5">
        <v>3.27</v>
      </c>
      <c r="D2752" s="4">
        <v>4</v>
      </c>
      <c r="E2752" s="5">
        <v>2.61</v>
      </c>
      <c r="F2752" s="4">
        <v>2</v>
      </c>
      <c r="G2752" s="5">
        <v>2.44</v>
      </c>
      <c r="H2752" s="4">
        <v>0</v>
      </c>
    </row>
    <row r="2753" spans="1:8" x14ac:dyDescent="0.2">
      <c r="A2753" s="2" t="s">
        <v>204</v>
      </c>
      <c r="B2753" s="4">
        <v>10</v>
      </c>
      <c r="C2753" s="5">
        <v>4.08</v>
      </c>
      <c r="D2753" s="4">
        <v>6</v>
      </c>
      <c r="E2753" s="5">
        <v>3.92</v>
      </c>
      <c r="F2753" s="4">
        <v>2</v>
      </c>
      <c r="G2753" s="5">
        <v>2.44</v>
      </c>
      <c r="H2753" s="4">
        <v>0</v>
      </c>
    </row>
    <row r="2754" spans="1:8" x14ac:dyDescent="0.2">
      <c r="A2754" s="1" t="s">
        <v>172</v>
      </c>
      <c r="B2754" s="4">
        <v>535</v>
      </c>
      <c r="C2754" s="5">
        <v>100.01</v>
      </c>
      <c r="D2754" s="4">
        <v>266</v>
      </c>
      <c r="E2754" s="5">
        <v>100.03</v>
      </c>
      <c r="F2754" s="4">
        <v>249</v>
      </c>
      <c r="G2754" s="5">
        <v>99.999999999999986</v>
      </c>
      <c r="H2754" s="4">
        <v>2</v>
      </c>
    </row>
    <row r="2755" spans="1:8" x14ac:dyDescent="0.2">
      <c r="A2755" s="2" t="s">
        <v>190</v>
      </c>
      <c r="B2755" s="4">
        <v>0</v>
      </c>
      <c r="C2755" s="5">
        <v>0</v>
      </c>
      <c r="D2755" s="4">
        <v>0</v>
      </c>
      <c r="E2755" s="5">
        <v>0</v>
      </c>
      <c r="F2755" s="4">
        <v>0</v>
      </c>
      <c r="G2755" s="5">
        <v>0</v>
      </c>
      <c r="H2755" s="4">
        <v>0</v>
      </c>
    </row>
    <row r="2756" spans="1:8" x14ac:dyDescent="0.2">
      <c r="A2756" s="2" t="s">
        <v>191</v>
      </c>
      <c r="B2756" s="4">
        <v>83</v>
      </c>
      <c r="C2756" s="5">
        <v>15.51</v>
      </c>
      <c r="D2756" s="4">
        <v>23</v>
      </c>
      <c r="E2756" s="5">
        <v>8.65</v>
      </c>
      <c r="F2756" s="4">
        <v>60</v>
      </c>
      <c r="G2756" s="5">
        <v>24.1</v>
      </c>
      <c r="H2756" s="4">
        <v>0</v>
      </c>
    </row>
    <row r="2757" spans="1:8" x14ac:dyDescent="0.2">
      <c r="A2757" s="2" t="s">
        <v>192</v>
      </c>
      <c r="B2757" s="4">
        <v>40</v>
      </c>
      <c r="C2757" s="5">
        <v>7.48</v>
      </c>
      <c r="D2757" s="4">
        <v>11</v>
      </c>
      <c r="E2757" s="5">
        <v>4.1399999999999997</v>
      </c>
      <c r="F2757" s="4">
        <v>29</v>
      </c>
      <c r="G2757" s="5">
        <v>11.65</v>
      </c>
      <c r="H2757" s="4">
        <v>0</v>
      </c>
    </row>
    <row r="2758" spans="1:8" x14ac:dyDescent="0.2">
      <c r="A2758" s="2" t="s">
        <v>193</v>
      </c>
      <c r="B2758" s="4">
        <v>4</v>
      </c>
      <c r="C2758" s="5">
        <v>0.75</v>
      </c>
      <c r="D2758" s="4">
        <v>0</v>
      </c>
      <c r="E2758" s="5">
        <v>0</v>
      </c>
      <c r="F2758" s="4">
        <v>2</v>
      </c>
      <c r="G2758" s="5">
        <v>0.8</v>
      </c>
      <c r="H2758" s="4">
        <v>0</v>
      </c>
    </row>
    <row r="2759" spans="1:8" x14ac:dyDescent="0.2">
      <c r="A2759" s="2" t="s">
        <v>194</v>
      </c>
      <c r="B2759" s="4">
        <v>1</v>
      </c>
      <c r="C2759" s="5">
        <v>0.19</v>
      </c>
      <c r="D2759" s="4">
        <v>0</v>
      </c>
      <c r="E2759" s="5">
        <v>0</v>
      </c>
      <c r="F2759" s="4">
        <v>1</v>
      </c>
      <c r="G2759" s="5">
        <v>0.4</v>
      </c>
      <c r="H2759" s="4">
        <v>0</v>
      </c>
    </row>
    <row r="2760" spans="1:8" x14ac:dyDescent="0.2">
      <c r="A2760" s="2" t="s">
        <v>195</v>
      </c>
      <c r="B2760" s="4">
        <v>5</v>
      </c>
      <c r="C2760" s="5">
        <v>0.93</v>
      </c>
      <c r="D2760" s="4">
        <v>1</v>
      </c>
      <c r="E2760" s="5">
        <v>0.38</v>
      </c>
      <c r="F2760" s="4">
        <v>4</v>
      </c>
      <c r="G2760" s="5">
        <v>1.61</v>
      </c>
      <c r="H2760" s="4">
        <v>0</v>
      </c>
    </row>
    <row r="2761" spans="1:8" x14ac:dyDescent="0.2">
      <c r="A2761" s="2" t="s">
        <v>196</v>
      </c>
      <c r="B2761" s="4">
        <v>127</v>
      </c>
      <c r="C2761" s="5">
        <v>23.74</v>
      </c>
      <c r="D2761" s="4">
        <v>48</v>
      </c>
      <c r="E2761" s="5">
        <v>18.05</v>
      </c>
      <c r="F2761" s="4">
        <v>79</v>
      </c>
      <c r="G2761" s="5">
        <v>31.73</v>
      </c>
      <c r="H2761" s="4">
        <v>0</v>
      </c>
    </row>
    <row r="2762" spans="1:8" x14ac:dyDescent="0.2">
      <c r="A2762" s="2" t="s">
        <v>197</v>
      </c>
      <c r="B2762" s="4">
        <v>3</v>
      </c>
      <c r="C2762" s="5">
        <v>0.56000000000000005</v>
      </c>
      <c r="D2762" s="4">
        <v>1</v>
      </c>
      <c r="E2762" s="5">
        <v>0.38</v>
      </c>
      <c r="F2762" s="4">
        <v>1</v>
      </c>
      <c r="G2762" s="5">
        <v>0.4</v>
      </c>
      <c r="H2762" s="4">
        <v>1</v>
      </c>
    </row>
    <row r="2763" spans="1:8" x14ac:dyDescent="0.2">
      <c r="A2763" s="2" t="s">
        <v>198</v>
      </c>
      <c r="B2763" s="4">
        <v>26</v>
      </c>
      <c r="C2763" s="5">
        <v>4.8600000000000003</v>
      </c>
      <c r="D2763" s="4">
        <v>13</v>
      </c>
      <c r="E2763" s="5">
        <v>4.8899999999999997</v>
      </c>
      <c r="F2763" s="4">
        <v>12</v>
      </c>
      <c r="G2763" s="5">
        <v>4.82</v>
      </c>
      <c r="H2763" s="4">
        <v>0</v>
      </c>
    </row>
    <row r="2764" spans="1:8" x14ac:dyDescent="0.2">
      <c r="A2764" s="2" t="s">
        <v>199</v>
      </c>
      <c r="B2764" s="4">
        <v>21</v>
      </c>
      <c r="C2764" s="5">
        <v>3.93</v>
      </c>
      <c r="D2764" s="4">
        <v>8</v>
      </c>
      <c r="E2764" s="5">
        <v>3.01</v>
      </c>
      <c r="F2764" s="4">
        <v>12</v>
      </c>
      <c r="G2764" s="5">
        <v>4.82</v>
      </c>
      <c r="H2764" s="4">
        <v>1</v>
      </c>
    </row>
    <row r="2765" spans="1:8" x14ac:dyDescent="0.2">
      <c r="A2765" s="2" t="s">
        <v>200</v>
      </c>
      <c r="B2765" s="4">
        <v>56</v>
      </c>
      <c r="C2765" s="5">
        <v>10.47</v>
      </c>
      <c r="D2765" s="4">
        <v>47</v>
      </c>
      <c r="E2765" s="5">
        <v>17.670000000000002</v>
      </c>
      <c r="F2765" s="4">
        <v>9</v>
      </c>
      <c r="G2765" s="5">
        <v>3.61</v>
      </c>
      <c r="H2765" s="4">
        <v>0</v>
      </c>
    </row>
    <row r="2766" spans="1:8" x14ac:dyDescent="0.2">
      <c r="A2766" s="2" t="s">
        <v>201</v>
      </c>
      <c r="B2766" s="4">
        <v>73</v>
      </c>
      <c r="C2766" s="5">
        <v>13.64</v>
      </c>
      <c r="D2766" s="4">
        <v>62</v>
      </c>
      <c r="E2766" s="5">
        <v>23.31</v>
      </c>
      <c r="F2766" s="4">
        <v>10</v>
      </c>
      <c r="G2766" s="5">
        <v>4.0199999999999996</v>
      </c>
      <c r="H2766" s="4">
        <v>0</v>
      </c>
    </row>
    <row r="2767" spans="1:8" x14ac:dyDescent="0.2">
      <c r="A2767" s="2" t="s">
        <v>202</v>
      </c>
      <c r="B2767" s="4">
        <v>27</v>
      </c>
      <c r="C2767" s="5">
        <v>5.05</v>
      </c>
      <c r="D2767" s="4">
        <v>14</v>
      </c>
      <c r="E2767" s="5">
        <v>5.26</v>
      </c>
      <c r="F2767" s="4">
        <v>7</v>
      </c>
      <c r="G2767" s="5">
        <v>2.81</v>
      </c>
      <c r="H2767" s="4">
        <v>0</v>
      </c>
    </row>
    <row r="2768" spans="1:8" x14ac:dyDescent="0.2">
      <c r="A2768" s="2" t="s">
        <v>203</v>
      </c>
      <c r="B2768" s="4">
        <v>39</v>
      </c>
      <c r="C2768" s="5">
        <v>7.29</v>
      </c>
      <c r="D2768" s="4">
        <v>23</v>
      </c>
      <c r="E2768" s="5">
        <v>8.65</v>
      </c>
      <c r="F2768" s="4">
        <v>9</v>
      </c>
      <c r="G2768" s="5">
        <v>3.61</v>
      </c>
      <c r="H2768" s="4">
        <v>0</v>
      </c>
    </row>
    <row r="2769" spans="1:8" x14ac:dyDescent="0.2">
      <c r="A2769" s="2" t="s">
        <v>204</v>
      </c>
      <c r="B2769" s="4">
        <v>30</v>
      </c>
      <c r="C2769" s="5">
        <v>5.61</v>
      </c>
      <c r="D2769" s="4">
        <v>15</v>
      </c>
      <c r="E2769" s="5">
        <v>5.64</v>
      </c>
      <c r="F2769" s="4">
        <v>14</v>
      </c>
      <c r="G2769" s="5">
        <v>5.62</v>
      </c>
      <c r="H2769" s="4">
        <v>0</v>
      </c>
    </row>
    <row r="2770" spans="1:8" x14ac:dyDescent="0.2">
      <c r="A2770" s="1" t="s">
        <v>173</v>
      </c>
      <c r="B2770" s="4">
        <v>214</v>
      </c>
      <c r="C2770" s="5">
        <v>99.990000000000009</v>
      </c>
      <c r="D2770" s="4">
        <v>123</v>
      </c>
      <c r="E2770" s="5">
        <v>100</v>
      </c>
      <c r="F2770" s="4">
        <v>86</v>
      </c>
      <c r="G2770" s="5">
        <v>100.00999999999998</v>
      </c>
      <c r="H2770" s="4">
        <v>0</v>
      </c>
    </row>
    <row r="2771" spans="1:8" x14ac:dyDescent="0.2">
      <c r="A2771" s="2" t="s">
        <v>190</v>
      </c>
      <c r="B2771" s="4">
        <v>0</v>
      </c>
      <c r="C2771" s="5">
        <v>0</v>
      </c>
      <c r="D2771" s="4">
        <v>0</v>
      </c>
      <c r="E2771" s="5">
        <v>0</v>
      </c>
      <c r="F2771" s="4">
        <v>0</v>
      </c>
      <c r="G2771" s="5">
        <v>0</v>
      </c>
      <c r="H2771" s="4">
        <v>0</v>
      </c>
    </row>
    <row r="2772" spans="1:8" x14ac:dyDescent="0.2">
      <c r="A2772" s="2" t="s">
        <v>191</v>
      </c>
      <c r="B2772" s="4">
        <v>29</v>
      </c>
      <c r="C2772" s="5">
        <v>13.55</v>
      </c>
      <c r="D2772" s="4">
        <v>11</v>
      </c>
      <c r="E2772" s="5">
        <v>8.94</v>
      </c>
      <c r="F2772" s="4">
        <v>18</v>
      </c>
      <c r="G2772" s="5">
        <v>20.93</v>
      </c>
      <c r="H2772" s="4">
        <v>0</v>
      </c>
    </row>
    <row r="2773" spans="1:8" x14ac:dyDescent="0.2">
      <c r="A2773" s="2" t="s">
        <v>192</v>
      </c>
      <c r="B2773" s="4">
        <v>14</v>
      </c>
      <c r="C2773" s="5">
        <v>6.54</v>
      </c>
      <c r="D2773" s="4">
        <v>4</v>
      </c>
      <c r="E2773" s="5">
        <v>3.25</v>
      </c>
      <c r="F2773" s="4">
        <v>10</v>
      </c>
      <c r="G2773" s="5">
        <v>11.63</v>
      </c>
      <c r="H2773" s="4">
        <v>0</v>
      </c>
    </row>
    <row r="2774" spans="1:8" x14ac:dyDescent="0.2">
      <c r="A2774" s="2" t="s">
        <v>193</v>
      </c>
      <c r="B2774" s="4">
        <v>1</v>
      </c>
      <c r="C2774" s="5">
        <v>0.47</v>
      </c>
      <c r="D2774" s="4">
        <v>0</v>
      </c>
      <c r="E2774" s="5">
        <v>0</v>
      </c>
      <c r="F2774" s="4">
        <v>0</v>
      </c>
      <c r="G2774" s="5">
        <v>0</v>
      </c>
      <c r="H2774" s="4">
        <v>0</v>
      </c>
    </row>
    <row r="2775" spans="1:8" x14ac:dyDescent="0.2">
      <c r="A2775" s="2" t="s">
        <v>194</v>
      </c>
      <c r="B2775" s="4">
        <v>3</v>
      </c>
      <c r="C2775" s="5">
        <v>1.4</v>
      </c>
      <c r="D2775" s="4">
        <v>1</v>
      </c>
      <c r="E2775" s="5">
        <v>0.81</v>
      </c>
      <c r="F2775" s="4">
        <v>2</v>
      </c>
      <c r="G2775" s="5">
        <v>2.33</v>
      </c>
      <c r="H2775" s="4">
        <v>0</v>
      </c>
    </row>
    <row r="2776" spans="1:8" x14ac:dyDescent="0.2">
      <c r="A2776" s="2" t="s">
        <v>195</v>
      </c>
      <c r="B2776" s="4">
        <v>2</v>
      </c>
      <c r="C2776" s="5">
        <v>0.93</v>
      </c>
      <c r="D2776" s="4">
        <v>1</v>
      </c>
      <c r="E2776" s="5">
        <v>0.81</v>
      </c>
      <c r="F2776" s="4">
        <v>1</v>
      </c>
      <c r="G2776" s="5">
        <v>1.1599999999999999</v>
      </c>
      <c r="H2776" s="4">
        <v>0</v>
      </c>
    </row>
    <row r="2777" spans="1:8" x14ac:dyDescent="0.2">
      <c r="A2777" s="2" t="s">
        <v>196</v>
      </c>
      <c r="B2777" s="4">
        <v>50</v>
      </c>
      <c r="C2777" s="5">
        <v>23.36</v>
      </c>
      <c r="D2777" s="4">
        <v>21</v>
      </c>
      <c r="E2777" s="5">
        <v>17.07</v>
      </c>
      <c r="F2777" s="4">
        <v>29</v>
      </c>
      <c r="G2777" s="5">
        <v>33.72</v>
      </c>
      <c r="H2777" s="4">
        <v>0</v>
      </c>
    </row>
    <row r="2778" spans="1:8" x14ac:dyDescent="0.2">
      <c r="A2778" s="2" t="s">
        <v>197</v>
      </c>
      <c r="B2778" s="4">
        <v>1</v>
      </c>
      <c r="C2778" s="5">
        <v>0.47</v>
      </c>
      <c r="D2778" s="4">
        <v>1</v>
      </c>
      <c r="E2778" s="5">
        <v>0.81</v>
      </c>
      <c r="F2778" s="4">
        <v>0</v>
      </c>
      <c r="G2778" s="5">
        <v>0</v>
      </c>
      <c r="H2778" s="4">
        <v>0</v>
      </c>
    </row>
    <row r="2779" spans="1:8" x14ac:dyDescent="0.2">
      <c r="A2779" s="2" t="s">
        <v>198</v>
      </c>
      <c r="B2779" s="4">
        <v>13</v>
      </c>
      <c r="C2779" s="5">
        <v>6.07</v>
      </c>
      <c r="D2779" s="4">
        <v>10</v>
      </c>
      <c r="E2779" s="5">
        <v>8.1300000000000008</v>
      </c>
      <c r="F2779" s="4">
        <v>3</v>
      </c>
      <c r="G2779" s="5">
        <v>3.49</v>
      </c>
      <c r="H2779" s="4">
        <v>0</v>
      </c>
    </row>
    <row r="2780" spans="1:8" x14ac:dyDescent="0.2">
      <c r="A2780" s="2" t="s">
        <v>199</v>
      </c>
      <c r="B2780" s="4">
        <v>8</v>
      </c>
      <c r="C2780" s="5">
        <v>3.74</v>
      </c>
      <c r="D2780" s="4">
        <v>5</v>
      </c>
      <c r="E2780" s="5">
        <v>4.07</v>
      </c>
      <c r="F2780" s="4">
        <v>3</v>
      </c>
      <c r="G2780" s="5">
        <v>3.49</v>
      </c>
      <c r="H2780" s="4">
        <v>0</v>
      </c>
    </row>
    <row r="2781" spans="1:8" x14ac:dyDescent="0.2">
      <c r="A2781" s="2" t="s">
        <v>200</v>
      </c>
      <c r="B2781" s="4">
        <v>33</v>
      </c>
      <c r="C2781" s="5">
        <v>15.42</v>
      </c>
      <c r="D2781" s="4">
        <v>26</v>
      </c>
      <c r="E2781" s="5">
        <v>21.14</v>
      </c>
      <c r="F2781" s="4">
        <v>7</v>
      </c>
      <c r="G2781" s="5">
        <v>8.14</v>
      </c>
      <c r="H2781" s="4">
        <v>0</v>
      </c>
    </row>
    <row r="2782" spans="1:8" x14ac:dyDescent="0.2">
      <c r="A2782" s="2" t="s">
        <v>201</v>
      </c>
      <c r="B2782" s="4">
        <v>23</v>
      </c>
      <c r="C2782" s="5">
        <v>10.75</v>
      </c>
      <c r="D2782" s="4">
        <v>20</v>
      </c>
      <c r="E2782" s="5">
        <v>16.260000000000002</v>
      </c>
      <c r="F2782" s="4">
        <v>3</v>
      </c>
      <c r="G2782" s="5">
        <v>3.49</v>
      </c>
      <c r="H2782" s="4">
        <v>0</v>
      </c>
    </row>
    <row r="2783" spans="1:8" x14ac:dyDescent="0.2">
      <c r="A2783" s="2" t="s">
        <v>202</v>
      </c>
      <c r="B2783" s="4">
        <v>15</v>
      </c>
      <c r="C2783" s="5">
        <v>7.01</v>
      </c>
      <c r="D2783" s="4">
        <v>9</v>
      </c>
      <c r="E2783" s="5">
        <v>7.32</v>
      </c>
      <c r="F2783" s="4">
        <v>3</v>
      </c>
      <c r="G2783" s="5">
        <v>3.49</v>
      </c>
      <c r="H2783" s="4">
        <v>0</v>
      </c>
    </row>
    <row r="2784" spans="1:8" x14ac:dyDescent="0.2">
      <c r="A2784" s="2" t="s">
        <v>203</v>
      </c>
      <c r="B2784" s="4">
        <v>14</v>
      </c>
      <c r="C2784" s="5">
        <v>6.54</v>
      </c>
      <c r="D2784" s="4">
        <v>9</v>
      </c>
      <c r="E2784" s="5">
        <v>7.32</v>
      </c>
      <c r="F2784" s="4">
        <v>4</v>
      </c>
      <c r="G2784" s="5">
        <v>4.6500000000000004</v>
      </c>
      <c r="H2784" s="4">
        <v>0</v>
      </c>
    </row>
    <row r="2785" spans="1:8" x14ac:dyDescent="0.2">
      <c r="A2785" s="2" t="s">
        <v>204</v>
      </c>
      <c r="B2785" s="4">
        <v>8</v>
      </c>
      <c r="C2785" s="5">
        <v>3.74</v>
      </c>
      <c r="D2785" s="4">
        <v>5</v>
      </c>
      <c r="E2785" s="5">
        <v>4.07</v>
      </c>
      <c r="F2785" s="4">
        <v>3</v>
      </c>
      <c r="G2785" s="5">
        <v>3.49</v>
      </c>
      <c r="H2785" s="4">
        <v>0</v>
      </c>
    </row>
    <row r="2786" spans="1:8" x14ac:dyDescent="0.2">
      <c r="A2786" s="1" t="s">
        <v>174</v>
      </c>
      <c r="B2786" s="4">
        <v>84</v>
      </c>
      <c r="C2786" s="5">
        <v>99.970000000000013</v>
      </c>
      <c r="D2786" s="4">
        <v>42</v>
      </c>
      <c r="E2786" s="5">
        <v>99.99</v>
      </c>
      <c r="F2786" s="4">
        <v>33</v>
      </c>
      <c r="G2786" s="5">
        <v>99.990000000000009</v>
      </c>
      <c r="H2786" s="4">
        <v>1</v>
      </c>
    </row>
    <row r="2787" spans="1:8" x14ac:dyDescent="0.2">
      <c r="A2787" s="2" t="s">
        <v>190</v>
      </c>
      <c r="B2787" s="4">
        <v>1</v>
      </c>
      <c r="C2787" s="5">
        <v>1.19</v>
      </c>
      <c r="D2787" s="4">
        <v>0</v>
      </c>
      <c r="E2787" s="5">
        <v>0</v>
      </c>
      <c r="F2787" s="4">
        <v>1</v>
      </c>
      <c r="G2787" s="5">
        <v>3.03</v>
      </c>
      <c r="H2787" s="4">
        <v>0</v>
      </c>
    </row>
    <row r="2788" spans="1:8" x14ac:dyDescent="0.2">
      <c r="A2788" s="2" t="s">
        <v>191</v>
      </c>
      <c r="B2788" s="4">
        <v>9</v>
      </c>
      <c r="C2788" s="5">
        <v>10.71</v>
      </c>
      <c r="D2788" s="4">
        <v>2</v>
      </c>
      <c r="E2788" s="5">
        <v>4.76</v>
      </c>
      <c r="F2788" s="4">
        <v>7</v>
      </c>
      <c r="G2788" s="5">
        <v>21.21</v>
      </c>
      <c r="H2788" s="4">
        <v>0</v>
      </c>
    </row>
    <row r="2789" spans="1:8" x14ac:dyDescent="0.2">
      <c r="A2789" s="2" t="s">
        <v>192</v>
      </c>
      <c r="B2789" s="4">
        <v>10</v>
      </c>
      <c r="C2789" s="5">
        <v>11.9</v>
      </c>
      <c r="D2789" s="4">
        <v>4</v>
      </c>
      <c r="E2789" s="5">
        <v>9.52</v>
      </c>
      <c r="F2789" s="4">
        <v>6</v>
      </c>
      <c r="G2789" s="5">
        <v>18.18</v>
      </c>
      <c r="H2789" s="4">
        <v>0</v>
      </c>
    </row>
    <row r="2790" spans="1:8" x14ac:dyDescent="0.2">
      <c r="A2790" s="2" t="s">
        <v>193</v>
      </c>
      <c r="B2790" s="4">
        <v>4</v>
      </c>
      <c r="C2790" s="5">
        <v>4.76</v>
      </c>
      <c r="D2790" s="4">
        <v>0</v>
      </c>
      <c r="E2790" s="5">
        <v>0</v>
      </c>
      <c r="F2790" s="4">
        <v>3</v>
      </c>
      <c r="G2790" s="5">
        <v>9.09</v>
      </c>
      <c r="H2790" s="4">
        <v>0</v>
      </c>
    </row>
    <row r="2791" spans="1:8" x14ac:dyDescent="0.2">
      <c r="A2791" s="2" t="s">
        <v>194</v>
      </c>
      <c r="B2791" s="4">
        <v>0</v>
      </c>
      <c r="C2791" s="5">
        <v>0</v>
      </c>
      <c r="D2791" s="4">
        <v>0</v>
      </c>
      <c r="E2791" s="5">
        <v>0</v>
      </c>
      <c r="F2791" s="4">
        <v>0</v>
      </c>
      <c r="G2791" s="5">
        <v>0</v>
      </c>
      <c r="H2791" s="4">
        <v>0</v>
      </c>
    </row>
    <row r="2792" spans="1:8" x14ac:dyDescent="0.2">
      <c r="A2792" s="2" t="s">
        <v>195</v>
      </c>
      <c r="B2792" s="4">
        <v>2</v>
      </c>
      <c r="C2792" s="5">
        <v>2.38</v>
      </c>
      <c r="D2792" s="4">
        <v>1</v>
      </c>
      <c r="E2792" s="5">
        <v>2.38</v>
      </c>
      <c r="F2792" s="4">
        <v>0</v>
      </c>
      <c r="G2792" s="5">
        <v>0</v>
      </c>
      <c r="H2792" s="4">
        <v>0</v>
      </c>
    </row>
    <row r="2793" spans="1:8" x14ac:dyDescent="0.2">
      <c r="A2793" s="2" t="s">
        <v>196</v>
      </c>
      <c r="B2793" s="4">
        <v>22</v>
      </c>
      <c r="C2793" s="5">
        <v>26.19</v>
      </c>
      <c r="D2793" s="4">
        <v>12</v>
      </c>
      <c r="E2793" s="5">
        <v>28.57</v>
      </c>
      <c r="F2793" s="4">
        <v>9</v>
      </c>
      <c r="G2793" s="5">
        <v>27.27</v>
      </c>
      <c r="H2793" s="4">
        <v>1</v>
      </c>
    </row>
    <row r="2794" spans="1:8" x14ac:dyDescent="0.2">
      <c r="A2794" s="2" t="s">
        <v>197</v>
      </c>
      <c r="B2794" s="4">
        <v>0</v>
      </c>
      <c r="C2794" s="5">
        <v>0</v>
      </c>
      <c r="D2794" s="4">
        <v>0</v>
      </c>
      <c r="E2794" s="5">
        <v>0</v>
      </c>
      <c r="F2794" s="4">
        <v>0</v>
      </c>
      <c r="G2794" s="5">
        <v>0</v>
      </c>
      <c r="H2794" s="4">
        <v>0</v>
      </c>
    </row>
    <row r="2795" spans="1:8" x14ac:dyDescent="0.2">
      <c r="A2795" s="2" t="s">
        <v>198</v>
      </c>
      <c r="B2795" s="4">
        <v>1</v>
      </c>
      <c r="C2795" s="5">
        <v>1.19</v>
      </c>
      <c r="D2795" s="4">
        <v>0</v>
      </c>
      <c r="E2795" s="5">
        <v>0</v>
      </c>
      <c r="F2795" s="4">
        <v>1</v>
      </c>
      <c r="G2795" s="5">
        <v>3.03</v>
      </c>
      <c r="H2795" s="4">
        <v>0</v>
      </c>
    </row>
    <row r="2796" spans="1:8" x14ac:dyDescent="0.2">
      <c r="A2796" s="2" t="s">
        <v>199</v>
      </c>
      <c r="B2796" s="4">
        <v>3</v>
      </c>
      <c r="C2796" s="5">
        <v>3.57</v>
      </c>
      <c r="D2796" s="4">
        <v>1</v>
      </c>
      <c r="E2796" s="5">
        <v>2.38</v>
      </c>
      <c r="F2796" s="4">
        <v>2</v>
      </c>
      <c r="G2796" s="5">
        <v>6.06</v>
      </c>
      <c r="H2796" s="4">
        <v>0</v>
      </c>
    </row>
    <row r="2797" spans="1:8" x14ac:dyDescent="0.2">
      <c r="A2797" s="2" t="s">
        <v>200</v>
      </c>
      <c r="B2797" s="4">
        <v>10</v>
      </c>
      <c r="C2797" s="5">
        <v>11.9</v>
      </c>
      <c r="D2797" s="4">
        <v>7</v>
      </c>
      <c r="E2797" s="5">
        <v>16.670000000000002</v>
      </c>
      <c r="F2797" s="4">
        <v>2</v>
      </c>
      <c r="G2797" s="5">
        <v>6.06</v>
      </c>
      <c r="H2797" s="4">
        <v>0</v>
      </c>
    </row>
    <row r="2798" spans="1:8" x14ac:dyDescent="0.2">
      <c r="A2798" s="2" t="s">
        <v>201</v>
      </c>
      <c r="B2798" s="4">
        <v>10</v>
      </c>
      <c r="C2798" s="5">
        <v>11.9</v>
      </c>
      <c r="D2798" s="4">
        <v>9</v>
      </c>
      <c r="E2798" s="5">
        <v>21.43</v>
      </c>
      <c r="F2798" s="4">
        <v>0</v>
      </c>
      <c r="G2798" s="5">
        <v>0</v>
      </c>
      <c r="H2798" s="4">
        <v>0</v>
      </c>
    </row>
    <row r="2799" spans="1:8" x14ac:dyDescent="0.2">
      <c r="A2799" s="2" t="s">
        <v>202</v>
      </c>
      <c r="B2799" s="4">
        <v>2</v>
      </c>
      <c r="C2799" s="5">
        <v>2.38</v>
      </c>
      <c r="D2799" s="4">
        <v>1</v>
      </c>
      <c r="E2799" s="5">
        <v>2.38</v>
      </c>
      <c r="F2799" s="4">
        <v>0</v>
      </c>
      <c r="G2799" s="5">
        <v>0</v>
      </c>
      <c r="H2799" s="4">
        <v>0</v>
      </c>
    </row>
    <row r="2800" spans="1:8" x14ac:dyDescent="0.2">
      <c r="A2800" s="2" t="s">
        <v>203</v>
      </c>
      <c r="B2800" s="4">
        <v>4</v>
      </c>
      <c r="C2800" s="5">
        <v>4.76</v>
      </c>
      <c r="D2800" s="4">
        <v>1</v>
      </c>
      <c r="E2800" s="5">
        <v>2.38</v>
      </c>
      <c r="F2800" s="4">
        <v>0</v>
      </c>
      <c r="G2800" s="5">
        <v>0</v>
      </c>
      <c r="H2800" s="4">
        <v>0</v>
      </c>
    </row>
    <row r="2801" spans="1:8" x14ac:dyDescent="0.2">
      <c r="A2801" s="2" t="s">
        <v>204</v>
      </c>
      <c r="B2801" s="4">
        <v>6</v>
      </c>
      <c r="C2801" s="5">
        <v>7.14</v>
      </c>
      <c r="D2801" s="4">
        <v>4</v>
      </c>
      <c r="E2801" s="5">
        <v>9.52</v>
      </c>
      <c r="F2801" s="4">
        <v>2</v>
      </c>
      <c r="G2801" s="5">
        <v>6.06</v>
      </c>
      <c r="H2801" s="4">
        <v>0</v>
      </c>
    </row>
    <row r="2802" spans="1:8" x14ac:dyDescent="0.2">
      <c r="A2802" s="1" t="s">
        <v>175</v>
      </c>
      <c r="B2802" s="4">
        <v>214</v>
      </c>
      <c r="C2802" s="5">
        <v>99.999999999999986</v>
      </c>
      <c r="D2802" s="4">
        <v>115</v>
      </c>
      <c r="E2802" s="5">
        <v>100.02</v>
      </c>
      <c r="F2802" s="4">
        <v>88</v>
      </c>
      <c r="G2802" s="5">
        <v>100.01999999999998</v>
      </c>
      <c r="H2802" s="4">
        <v>3</v>
      </c>
    </row>
    <row r="2803" spans="1:8" x14ac:dyDescent="0.2">
      <c r="A2803" s="2" t="s">
        <v>190</v>
      </c>
      <c r="B2803" s="4">
        <v>0</v>
      </c>
      <c r="C2803" s="5">
        <v>0</v>
      </c>
      <c r="D2803" s="4">
        <v>0</v>
      </c>
      <c r="E2803" s="5">
        <v>0</v>
      </c>
      <c r="F2803" s="4">
        <v>0</v>
      </c>
      <c r="G2803" s="5">
        <v>0</v>
      </c>
      <c r="H2803" s="4">
        <v>0</v>
      </c>
    </row>
    <row r="2804" spans="1:8" x14ac:dyDescent="0.2">
      <c r="A2804" s="2" t="s">
        <v>191</v>
      </c>
      <c r="B2804" s="4">
        <v>26</v>
      </c>
      <c r="C2804" s="5">
        <v>12.15</v>
      </c>
      <c r="D2804" s="4">
        <v>10</v>
      </c>
      <c r="E2804" s="5">
        <v>8.6999999999999993</v>
      </c>
      <c r="F2804" s="4">
        <v>16</v>
      </c>
      <c r="G2804" s="5">
        <v>18.18</v>
      </c>
      <c r="H2804" s="4">
        <v>0</v>
      </c>
    </row>
    <row r="2805" spans="1:8" x14ac:dyDescent="0.2">
      <c r="A2805" s="2" t="s">
        <v>192</v>
      </c>
      <c r="B2805" s="4">
        <v>14</v>
      </c>
      <c r="C2805" s="5">
        <v>6.54</v>
      </c>
      <c r="D2805" s="4">
        <v>2</v>
      </c>
      <c r="E2805" s="5">
        <v>1.74</v>
      </c>
      <c r="F2805" s="4">
        <v>12</v>
      </c>
      <c r="G2805" s="5">
        <v>13.64</v>
      </c>
      <c r="H2805" s="4">
        <v>0</v>
      </c>
    </row>
    <row r="2806" spans="1:8" x14ac:dyDescent="0.2">
      <c r="A2806" s="2" t="s">
        <v>193</v>
      </c>
      <c r="B2806" s="4">
        <v>0</v>
      </c>
      <c r="C2806" s="5">
        <v>0</v>
      </c>
      <c r="D2806" s="4">
        <v>0</v>
      </c>
      <c r="E2806" s="5">
        <v>0</v>
      </c>
      <c r="F2806" s="4">
        <v>0</v>
      </c>
      <c r="G2806" s="5">
        <v>0</v>
      </c>
      <c r="H2806" s="4">
        <v>0</v>
      </c>
    </row>
    <row r="2807" spans="1:8" x14ac:dyDescent="0.2">
      <c r="A2807" s="2" t="s">
        <v>194</v>
      </c>
      <c r="B2807" s="4">
        <v>2</v>
      </c>
      <c r="C2807" s="5">
        <v>0.93</v>
      </c>
      <c r="D2807" s="4">
        <v>0</v>
      </c>
      <c r="E2807" s="5">
        <v>0</v>
      </c>
      <c r="F2807" s="4">
        <v>2</v>
      </c>
      <c r="G2807" s="5">
        <v>2.27</v>
      </c>
      <c r="H2807" s="4">
        <v>0</v>
      </c>
    </row>
    <row r="2808" spans="1:8" x14ac:dyDescent="0.2">
      <c r="A2808" s="2" t="s">
        <v>195</v>
      </c>
      <c r="B2808" s="4">
        <v>6</v>
      </c>
      <c r="C2808" s="5">
        <v>2.8</v>
      </c>
      <c r="D2808" s="4">
        <v>2</v>
      </c>
      <c r="E2808" s="5">
        <v>1.74</v>
      </c>
      <c r="F2808" s="4">
        <v>4</v>
      </c>
      <c r="G2808" s="5">
        <v>4.55</v>
      </c>
      <c r="H2808" s="4">
        <v>0</v>
      </c>
    </row>
    <row r="2809" spans="1:8" x14ac:dyDescent="0.2">
      <c r="A2809" s="2" t="s">
        <v>196</v>
      </c>
      <c r="B2809" s="4">
        <v>62</v>
      </c>
      <c r="C2809" s="5">
        <v>28.97</v>
      </c>
      <c r="D2809" s="4">
        <v>26</v>
      </c>
      <c r="E2809" s="5">
        <v>22.61</v>
      </c>
      <c r="F2809" s="4">
        <v>34</v>
      </c>
      <c r="G2809" s="5">
        <v>38.64</v>
      </c>
      <c r="H2809" s="4">
        <v>2</v>
      </c>
    </row>
    <row r="2810" spans="1:8" x14ac:dyDescent="0.2">
      <c r="A2810" s="2" t="s">
        <v>197</v>
      </c>
      <c r="B2810" s="4">
        <v>1</v>
      </c>
      <c r="C2810" s="5">
        <v>0.47</v>
      </c>
      <c r="D2810" s="4">
        <v>0</v>
      </c>
      <c r="E2810" s="5">
        <v>0</v>
      </c>
      <c r="F2810" s="4">
        <v>1</v>
      </c>
      <c r="G2810" s="5">
        <v>1.1399999999999999</v>
      </c>
      <c r="H2810" s="4">
        <v>0</v>
      </c>
    </row>
    <row r="2811" spans="1:8" x14ac:dyDescent="0.2">
      <c r="A2811" s="2" t="s">
        <v>198</v>
      </c>
      <c r="B2811" s="4">
        <v>11</v>
      </c>
      <c r="C2811" s="5">
        <v>5.14</v>
      </c>
      <c r="D2811" s="4">
        <v>6</v>
      </c>
      <c r="E2811" s="5">
        <v>5.22</v>
      </c>
      <c r="F2811" s="4">
        <v>5</v>
      </c>
      <c r="G2811" s="5">
        <v>5.68</v>
      </c>
      <c r="H2811" s="4">
        <v>0</v>
      </c>
    </row>
    <row r="2812" spans="1:8" x14ac:dyDescent="0.2">
      <c r="A2812" s="2" t="s">
        <v>199</v>
      </c>
      <c r="B2812" s="4">
        <v>7</v>
      </c>
      <c r="C2812" s="5">
        <v>3.27</v>
      </c>
      <c r="D2812" s="4">
        <v>4</v>
      </c>
      <c r="E2812" s="5">
        <v>3.48</v>
      </c>
      <c r="F2812" s="4">
        <v>3</v>
      </c>
      <c r="G2812" s="5">
        <v>3.41</v>
      </c>
      <c r="H2812" s="4">
        <v>0</v>
      </c>
    </row>
    <row r="2813" spans="1:8" x14ac:dyDescent="0.2">
      <c r="A2813" s="2" t="s">
        <v>200</v>
      </c>
      <c r="B2813" s="4">
        <v>26</v>
      </c>
      <c r="C2813" s="5">
        <v>12.15</v>
      </c>
      <c r="D2813" s="4">
        <v>22</v>
      </c>
      <c r="E2813" s="5">
        <v>19.13</v>
      </c>
      <c r="F2813" s="4">
        <v>4</v>
      </c>
      <c r="G2813" s="5">
        <v>4.55</v>
      </c>
      <c r="H2813" s="4">
        <v>0</v>
      </c>
    </row>
    <row r="2814" spans="1:8" x14ac:dyDescent="0.2">
      <c r="A2814" s="2" t="s">
        <v>201</v>
      </c>
      <c r="B2814" s="4">
        <v>30</v>
      </c>
      <c r="C2814" s="5">
        <v>14.02</v>
      </c>
      <c r="D2814" s="4">
        <v>27</v>
      </c>
      <c r="E2814" s="5">
        <v>23.48</v>
      </c>
      <c r="F2814" s="4">
        <v>2</v>
      </c>
      <c r="G2814" s="5">
        <v>2.27</v>
      </c>
      <c r="H2814" s="4">
        <v>0</v>
      </c>
    </row>
    <row r="2815" spans="1:8" x14ac:dyDescent="0.2">
      <c r="A2815" s="2" t="s">
        <v>202</v>
      </c>
      <c r="B2815" s="4">
        <v>12</v>
      </c>
      <c r="C2815" s="5">
        <v>5.61</v>
      </c>
      <c r="D2815" s="4">
        <v>7</v>
      </c>
      <c r="E2815" s="5">
        <v>6.09</v>
      </c>
      <c r="F2815" s="4">
        <v>0</v>
      </c>
      <c r="G2815" s="5">
        <v>0</v>
      </c>
      <c r="H2815" s="4">
        <v>0</v>
      </c>
    </row>
    <row r="2816" spans="1:8" x14ac:dyDescent="0.2">
      <c r="A2816" s="2" t="s">
        <v>203</v>
      </c>
      <c r="B2816" s="4">
        <v>9</v>
      </c>
      <c r="C2816" s="5">
        <v>4.21</v>
      </c>
      <c r="D2816" s="4">
        <v>6</v>
      </c>
      <c r="E2816" s="5">
        <v>5.22</v>
      </c>
      <c r="F2816" s="4">
        <v>1</v>
      </c>
      <c r="G2816" s="5">
        <v>1.1399999999999999</v>
      </c>
      <c r="H2816" s="4">
        <v>0</v>
      </c>
    </row>
    <row r="2817" spans="1:8" x14ac:dyDescent="0.2">
      <c r="A2817" s="2" t="s">
        <v>204</v>
      </c>
      <c r="B2817" s="4">
        <v>8</v>
      </c>
      <c r="C2817" s="5">
        <v>3.74</v>
      </c>
      <c r="D2817" s="4">
        <v>3</v>
      </c>
      <c r="E2817" s="5">
        <v>2.61</v>
      </c>
      <c r="F2817" s="4">
        <v>4</v>
      </c>
      <c r="G2817" s="5">
        <v>4.55</v>
      </c>
      <c r="H2817" s="4">
        <v>1</v>
      </c>
    </row>
    <row r="2818" spans="1:8" x14ac:dyDescent="0.2">
      <c r="A2818" s="1" t="s">
        <v>176</v>
      </c>
      <c r="B2818" s="4">
        <v>198</v>
      </c>
      <c r="C2818" s="5">
        <v>100.03</v>
      </c>
      <c r="D2818" s="4">
        <v>104</v>
      </c>
      <c r="E2818" s="5">
        <v>99.99</v>
      </c>
      <c r="F2818" s="4">
        <v>88</v>
      </c>
      <c r="G2818" s="5">
        <v>99.999999999999986</v>
      </c>
      <c r="H2818" s="4">
        <v>0</v>
      </c>
    </row>
    <row r="2819" spans="1:8" x14ac:dyDescent="0.2">
      <c r="A2819" s="2" t="s">
        <v>190</v>
      </c>
      <c r="B2819" s="4">
        <v>1</v>
      </c>
      <c r="C2819" s="5">
        <v>0.51</v>
      </c>
      <c r="D2819" s="4">
        <v>0</v>
      </c>
      <c r="E2819" s="5">
        <v>0</v>
      </c>
      <c r="F2819" s="4">
        <v>1</v>
      </c>
      <c r="G2819" s="5">
        <v>1.1399999999999999</v>
      </c>
      <c r="H2819" s="4">
        <v>0</v>
      </c>
    </row>
    <row r="2820" spans="1:8" x14ac:dyDescent="0.2">
      <c r="A2820" s="2" t="s">
        <v>191</v>
      </c>
      <c r="B2820" s="4">
        <v>21</v>
      </c>
      <c r="C2820" s="5">
        <v>10.61</v>
      </c>
      <c r="D2820" s="4">
        <v>6</v>
      </c>
      <c r="E2820" s="5">
        <v>5.77</v>
      </c>
      <c r="F2820" s="4">
        <v>15</v>
      </c>
      <c r="G2820" s="5">
        <v>17.05</v>
      </c>
      <c r="H2820" s="4">
        <v>0</v>
      </c>
    </row>
    <row r="2821" spans="1:8" x14ac:dyDescent="0.2">
      <c r="A2821" s="2" t="s">
        <v>192</v>
      </c>
      <c r="B2821" s="4">
        <v>15</v>
      </c>
      <c r="C2821" s="5">
        <v>7.58</v>
      </c>
      <c r="D2821" s="4">
        <v>2</v>
      </c>
      <c r="E2821" s="5">
        <v>1.92</v>
      </c>
      <c r="F2821" s="4">
        <v>13</v>
      </c>
      <c r="G2821" s="5">
        <v>14.77</v>
      </c>
      <c r="H2821" s="4">
        <v>0</v>
      </c>
    </row>
    <row r="2822" spans="1:8" x14ac:dyDescent="0.2">
      <c r="A2822" s="2" t="s">
        <v>193</v>
      </c>
      <c r="B2822" s="4">
        <v>3</v>
      </c>
      <c r="C2822" s="5">
        <v>1.52</v>
      </c>
      <c r="D2822" s="4">
        <v>0</v>
      </c>
      <c r="E2822" s="5">
        <v>0</v>
      </c>
      <c r="F2822" s="4">
        <v>3</v>
      </c>
      <c r="G2822" s="5">
        <v>3.41</v>
      </c>
      <c r="H2822" s="4">
        <v>0</v>
      </c>
    </row>
    <row r="2823" spans="1:8" x14ac:dyDescent="0.2">
      <c r="A2823" s="2" t="s">
        <v>194</v>
      </c>
      <c r="B2823" s="4">
        <v>0</v>
      </c>
      <c r="C2823" s="5">
        <v>0</v>
      </c>
      <c r="D2823" s="4">
        <v>0</v>
      </c>
      <c r="E2823" s="5">
        <v>0</v>
      </c>
      <c r="F2823" s="4">
        <v>0</v>
      </c>
      <c r="G2823" s="5">
        <v>0</v>
      </c>
      <c r="H2823" s="4">
        <v>0</v>
      </c>
    </row>
    <row r="2824" spans="1:8" x14ac:dyDescent="0.2">
      <c r="A2824" s="2" t="s">
        <v>195</v>
      </c>
      <c r="B2824" s="4">
        <v>0</v>
      </c>
      <c r="C2824" s="5">
        <v>0</v>
      </c>
      <c r="D2824" s="4">
        <v>0</v>
      </c>
      <c r="E2824" s="5">
        <v>0</v>
      </c>
      <c r="F2824" s="4">
        <v>0</v>
      </c>
      <c r="G2824" s="5">
        <v>0</v>
      </c>
      <c r="H2824" s="4">
        <v>0</v>
      </c>
    </row>
    <row r="2825" spans="1:8" x14ac:dyDescent="0.2">
      <c r="A2825" s="2" t="s">
        <v>196</v>
      </c>
      <c r="B2825" s="4">
        <v>49</v>
      </c>
      <c r="C2825" s="5">
        <v>24.75</v>
      </c>
      <c r="D2825" s="4">
        <v>16</v>
      </c>
      <c r="E2825" s="5">
        <v>15.38</v>
      </c>
      <c r="F2825" s="4">
        <v>33</v>
      </c>
      <c r="G2825" s="5">
        <v>37.5</v>
      </c>
      <c r="H2825" s="4">
        <v>0</v>
      </c>
    </row>
    <row r="2826" spans="1:8" x14ac:dyDescent="0.2">
      <c r="A2826" s="2" t="s">
        <v>197</v>
      </c>
      <c r="B2826" s="4">
        <v>2</v>
      </c>
      <c r="C2826" s="5">
        <v>1.01</v>
      </c>
      <c r="D2826" s="4">
        <v>0</v>
      </c>
      <c r="E2826" s="5">
        <v>0</v>
      </c>
      <c r="F2826" s="4">
        <v>2</v>
      </c>
      <c r="G2826" s="5">
        <v>2.27</v>
      </c>
      <c r="H2826" s="4">
        <v>0</v>
      </c>
    </row>
    <row r="2827" spans="1:8" x14ac:dyDescent="0.2">
      <c r="A2827" s="2" t="s">
        <v>198</v>
      </c>
      <c r="B2827" s="4">
        <v>18</v>
      </c>
      <c r="C2827" s="5">
        <v>9.09</v>
      </c>
      <c r="D2827" s="4">
        <v>11</v>
      </c>
      <c r="E2827" s="5">
        <v>10.58</v>
      </c>
      <c r="F2827" s="4">
        <v>7</v>
      </c>
      <c r="G2827" s="5">
        <v>7.95</v>
      </c>
      <c r="H2827" s="4">
        <v>0</v>
      </c>
    </row>
    <row r="2828" spans="1:8" x14ac:dyDescent="0.2">
      <c r="A2828" s="2" t="s">
        <v>199</v>
      </c>
      <c r="B2828" s="4">
        <v>8</v>
      </c>
      <c r="C2828" s="5">
        <v>4.04</v>
      </c>
      <c r="D2828" s="4">
        <v>3</v>
      </c>
      <c r="E2828" s="5">
        <v>2.88</v>
      </c>
      <c r="F2828" s="4">
        <v>4</v>
      </c>
      <c r="G2828" s="5">
        <v>4.55</v>
      </c>
      <c r="H2828" s="4">
        <v>0</v>
      </c>
    </row>
    <row r="2829" spans="1:8" x14ac:dyDescent="0.2">
      <c r="A2829" s="2" t="s">
        <v>200</v>
      </c>
      <c r="B2829" s="4">
        <v>36</v>
      </c>
      <c r="C2829" s="5">
        <v>18.18</v>
      </c>
      <c r="D2829" s="4">
        <v>31</v>
      </c>
      <c r="E2829" s="5">
        <v>29.81</v>
      </c>
      <c r="F2829" s="4">
        <v>5</v>
      </c>
      <c r="G2829" s="5">
        <v>5.68</v>
      </c>
      <c r="H2829" s="4">
        <v>0</v>
      </c>
    </row>
    <row r="2830" spans="1:8" x14ac:dyDescent="0.2">
      <c r="A2830" s="2" t="s">
        <v>201</v>
      </c>
      <c r="B2830" s="4">
        <v>23</v>
      </c>
      <c r="C2830" s="5">
        <v>11.62</v>
      </c>
      <c r="D2830" s="4">
        <v>20</v>
      </c>
      <c r="E2830" s="5">
        <v>19.23</v>
      </c>
      <c r="F2830" s="4">
        <v>2</v>
      </c>
      <c r="G2830" s="5">
        <v>2.27</v>
      </c>
      <c r="H2830" s="4">
        <v>0</v>
      </c>
    </row>
    <row r="2831" spans="1:8" x14ac:dyDescent="0.2">
      <c r="A2831" s="2" t="s">
        <v>202</v>
      </c>
      <c r="B2831" s="4">
        <v>5</v>
      </c>
      <c r="C2831" s="5">
        <v>2.5299999999999998</v>
      </c>
      <c r="D2831" s="4">
        <v>4</v>
      </c>
      <c r="E2831" s="5">
        <v>3.85</v>
      </c>
      <c r="F2831" s="4">
        <v>0</v>
      </c>
      <c r="G2831" s="5">
        <v>0</v>
      </c>
      <c r="H2831" s="4">
        <v>0</v>
      </c>
    </row>
    <row r="2832" spans="1:8" x14ac:dyDescent="0.2">
      <c r="A2832" s="2" t="s">
        <v>203</v>
      </c>
      <c r="B2832" s="4">
        <v>10</v>
      </c>
      <c r="C2832" s="5">
        <v>5.05</v>
      </c>
      <c r="D2832" s="4">
        <v>8</v>
      </c>
      <c r="E2832" s="5">
        <v>7.69</v>
      </c>
      <c r="F2832" s="4">
        <v>0</v>
      </c>
      <c r="G2832" s="5">
        <v>0</v>
      </c>
      <c r="H2832" s="4">
        <v>0</v>
      </c>
    </row>
    <row r="2833" spans="1:8" x14ac:dyDescent="0.2">
      <c r="A2833" s="2" t="s">
        <v>204</v>
      </c>
      <c r="B2833" s="4">
        <v>7</v>
      </c>
      <c r="C2833" s="5">
        <v>3.54</v>
      </c>
      <c r="D2833" s="4">
        <v>3</v>
      </c>
      <c r="E2833" s="5">
        <v>2.88</v>
      </c>
      <c r="F2833" s="4">
        <v>3</v>
      </c>
      <c r="G2833" s="5">
        <v>3.41</v>
      </c>
      <c r="H2833" s="4">
        <v>0</v>
      </c>
    </row>
    <row r="2834" spans="1:8" x14ac:dyDescent="0.2">
      <c r="A2834" s="1" t="s">
        <v>177</v>
      </c>
      <c r="B2834" s="4">
        <v>66</v>
      </c>
      <c r="C2834" s="5">
        <v>100.02</v>
      </c>
      <c r="D2834" s="4">
        <v>32</v>
      </c>
      <c r="E2834" s="5">
        <v>100.03</v>
      </c>
      <c r="F2834" s="4">
        <v>30</v>
      </c>
      <c r="G2834" s="5">
        <v>100</v>
      </c>
      <c r="H2834" s="4">
        <v>1</v>
      </c>
    </row>
    <row r="2835" spans="1:8" x14ac:dyDescent="0.2">
      <c r="A2835" s="2" t="s">
        <v>190</v>
      </c>
      <c r="B2835" s="4">
        <v>0</v>
      </c>
      <c r="C2835" s="5">
        <v>0</v>
      </c>
      <c r="D2835" s="4">
        <v>0</v>
      </c>
      <c r="E2835" s="5">
        <v>0</v>
      </c>
      <c r="F2835" s="4">
        <v>0</v>
      </c>
      <c r="G2835" s="5">
        <v>0</v>
      </c>
      <c r="H2835" s="4">
        <v>0</v>
      </c>
    </row>
    <row r="2836" spans="1:8" x14ac:dyDescent="0.2">
      <c r="A2836" s="2" t="s">
        <v>191</v>
      </c>
      <c r="B2836" s="4">
        <v>7</v>
      </c>
      <c r="C2836" s="5">
        <v>10.61</v>
      </c>
      <c r="D2836" s="4">
        <v>1</v>
      </c>
      <c r="E2836" s="5">
        <v>3.13</v>
      </c>
      <c r="F2836" s="4">
        <v>6</v>
      </c>
      <c r="G2836" s="5">
        <v>20</v>
      </c>
      <c r="H2836" s="4">
        <v>0</v>
      </c>
    </row>
    <row r="2837" spans="1:8" x14ac:dyDescent="0.2">
      <c r="A2837" s="2" t="s">
        <v>192</v>
      </c>
      <c r="B2837" s="4">
        <v>5</v>
      </c>
      <c r="C2837" s="5">
        <v>7.58</v>
      </c>
      <c r="D2837" s="4">
        <v>1</v>
      </c>
      <c r="E2837" s="5">
        <v>3.13</v>
      </c>
      <c r="F2837" s="4">
        <v>3</v>
      </c>
      <c r="G2837" s="5">
        <v>10</v>
      </c>
      <c r="H2837" s="4">
        <v>1</v>
      </c>
    </row>
    <row r="2838" spans="1:8" x14ac:dyDescent="0.2">
      <c r="A2838" s="2" t="s">
        <v>193</v>
      </c>
      <c r="B2838" s="4">
        <v>2</v>
      </c>
      <c r="C2838" s="5">
        <v>3.03</v>
      </c>
      <c r="D2838" s="4">
        <v>0</v>
      </c>
      <c r="E2838" s="5">
        <v>0</v>
      </c>
      <c r="F2838" s="4">
        <v>1</v>
      </c>
      <c r="G2838" s="5">
        <v>3.33</v>
      </c>
      <c r="H2838" s="4">
        <v>0</v>
      </c>
    </row>
    <row r="2839" spans="1:8" x14ac:dyDescent="0.2">
      <c r="A2839" s="2" t="s">
        <v>194</v>
      </c>
      <c r="B2839" s="4">
        <v>0</v>
      </c>
      <c r="C2839" s="5">
        <v>0</v>
      </c>
      <c r="D2839" s="4">
        <v>0</v>
      </c>
      <c r="E2839" s="5">
        <v>0</v>
      </c>
      <c r="F2839" s="4">
        <v>0</v>
      </c>
      <c r="G2839" s="5">
        <v>0</v>
      </c>
      <c r="H2839" s="4">
        <v>0</v>
      </c>
    </row>
    <row r="2840" spans="1:8" x14ac:dyDescent="0.2">
      <c r="A2840" s="2" t="s">
        <v>195</v>
      </c>
      <c r="B2840" s="4">
        <v>1</v>
      </c>
      <c r="C2840" s="5">
        <v>1.52</v>
      </c>
      <c r="D2840" s="4">
        <v>1</v>
      </c>
      <c r="E2840" s="5">
        <v>3.13</v>
      </c>
      <c r="F2840" s="4">
        <v>0</v>
      </c>
      <c r="G2840" s="5">
        <v>0</v>
      </c>
      <c r="H2840" s="4">
        <v>0</v>
      </c>
    </row>
    <row r="2841" spans="1:8" x14ac:dyDescent="0.2">
      <c r="A2841" s="2" t="s">
        <v>196</v>
      </c>
      <c r="B2841" s="4">
        <v>13</v>
      </c>
      <c r="C2841" s="5">
        <v>19.7</v>
      </c>
      <c r="D2841" s="4">
        <v>5</v>
      </c>
      <c r="E2841" s="5">
        <v>15.63</v>
      </c>
      <c r="F2841" s="4">
        <v>8</v>
      </c>
      <c r="G2841" s="5">
        <v>26.67</v>
      </c>
      <c r="H2841" s="4">
        <v>0</v>
      </c>
    </row>
    <row r="2842" spans="1:8" x14ac:dyDescent="0.2">
      <c r="A2842" s="2" t="s">
        <v>197</v>
      </c>
      <c r="B2842" s="4">
        <v>0</v>
      </c>
      <c r="C2842" s="5">
        <v>0</v>
      </c>
      <c r="D2842" s="4">
        <v>0</v>
      </c>
      <c r="E2842" s="5">
        <v>0</v>
      </c>
      <c r="F2842" s="4">
        <v>0</v>
      </c>
      <c r="G2842" s="5">
        <v>0</v>
      </c>
      <c r="H2842" s="4">
        <v>0</v>
      </c>
    </row>
    <row r="2843" spans="1:8" x14ac:dyDescent="0.2">
      <c r="A2843" s="2" t="s">
        <v>198</v>
      </c>
      <c r="B2843" s="4">
        <v>6</v>
      </c>
      <c r="C2843" s="5">
        <v>9.09</v>
      </c>
      <c r="D2843" s="4">
        <v>1</v>
      </c>
      <c r="E2843" s="5">
        <v>3.13</v>
      </c>
      <c r="F2843" s="4">
        <v>5</v>
      </c>
      <c r="G2843" s="5">
        <v>16.670000000000002</v>
      </c>
      <c r="H2843" s="4">
        <v>0</v>
      </c>
    </row>
    <row r="2844" spans="1:8" x14ac:dyDescent="0.2">
      <c r="A2844" s="2" t="s">
        <v>199</v>
      </c>
      <c r="B2844" s="4">
        <v>3</v>
      </c>
      <c r="C2844" s="5">
        <v>4.55</v>
      </c>
      <c r="D2844" s="4">
        <v>2</v>
      </c>
      <c r="E2844" s="5">
        <v>6.25</v>
      </c>
      <c r="F2844" s="4">
        <v>1</v>
      </c>
      <c r="G2844" s="5">
        <v>3.33</v>
      </c>
      <c r="H2844" s="4">
        <v>0</v>
      </c>
    </row>
    <row r="2845" spans="1:8" x14ac:dyDescent="0.2">
      <c r="A2845" s="2" t="s">
        <v>200</v>
      </c>
      <c r="B2845" s="4">
        <v>14</v>
      </c>
      <c r="C2845" s="5">
        <v>21.21</v>
      </c>
      <c r="D2845" s="4">
        <v>11</v>
      </c>
      <c r="E2845" s="5">
        <v>34.380000000000003</v>
      </c>
      <c r="F2845" s="4">
        <v>3</v>
      </c>
      <c r="G2845" s="5">
        <v>10</v>
      </c>
      <c r="H2845" s="4">
        <v>0</v>
      </c>
    </row>
    <row r="2846" spans="1:8" x14ac:dyDescent="0.2">
      <c r="A2846" s="2" t="s">
        <v>201</v>
      </c>
      <c r="B2846" s="4">
        <v>6</v>
      </c>
      <c r="C2846" s="5">
        <v>9.09</v>
      </c>
      <c r="D2846" s="4">
        <v>4</v>
      </c>
      <c r="E2846" s="5">
        <v>12.5</v>
      </c>
      <c r="F2846" s="4">
        <v>2</v>
      </c>
      <c r="G2846" s="5">
        <v>6.67</v>
      </c>
      <c r="H2846" s="4">
        <v>0</v>
      </c>
    </row>
    <row r="2847" spans="1:8" x14ac:dyDescent="0.2">
      <c r="A2847" s="2" t="s">
        <v>202</v>
      </c>
      <c r="B2847" s="4">
        <v>2</v>
      </c>
      <c r="C2847" s="5">
        <v>3.03</v>
      </c>
      <c r="D2847" s="4">
        <v>2</v>
      </c>
      <c r="E2847" s="5">
        <v>6.25</v>
      </c>
      <c r="F2847" s="4">
        <v>0</v>
      </c>
      <c r="G2847" s="5">
        <v>0</v>
      </c>
      <c r="H2847" s="4">
        <v>0</v>
      </c>
    </row>
    <row r="2848" spans="1:8" x14ac:dyDescent="0.2">
      <c r="A2848" s="2" t="s">
        <v>203</v>
      </c>
      <c r="B2848" s="4">
        <v>4</v>
      </c>
      <c r="C2848" s="5">
        <v>6.06</v>
      </c>
      <c r="D2848" s="4">
        <v>2</v>
      </c>
      <c r="E2848" s="5">
        <v>6.25</v>
      </c>
      <c r="F2848" s="4">
        <v>0</v>
      </c>
      <c r="G2848" s="5">
        <v>0</v>
      </c>
      <c r="H2848" s="4">
        <v>0</v>
      </c>
    </row>
    <row r="2849" spans="1:8" x14ac:dyDescent="0.2">
      <c r="A2849" s="2" t="s">
        <v>204</v>
      </c>
      <c r="B2849" s="4">
        <v>3</v>
      </c>
      <c r="C2849" s="5">
        <v>4.55</v>
      </c>
      <c r="D2849" s="4">
        <v>2</v>
      </c>
      <c r="E2849" s="5">
        <v>6.25</v>
      </c>
      <c r="F2849" s="4">
        <v>1</v>
      </c>
      <c r="G2849" s="5">
        <v>3.33</v>
      </c>
      <c r="H2849" s="4">
        <v>0</v>
      </c>
    </row>
    <row r="2850" spans="1:8" x14ac:dyDescent="0.2">
      <c r="A2850" s="1" t="s">
        <v>178</v>
      </c>
      <c r="B2850" s="4">
        <v>144</v>
      </c>
      <c r="C2850" s="5">
        <v>99.97999999999999</v>
      </c>
      <c r="D2850" s="4">
        <v>76</v>
      </c>
      <c r="E2850" s="5">
        <v>100</v>
      </c>
      <c r="F2850" s="4">
        <v>60</v>
      </c>
      <c r="G2850" s="5">
        <v>100</v>
      </c>
      <c r="H2850" s="4">
        <v>0</v>
      </c>
    </row>
    <row r="2851" spans="1:8" x14ac:dyDescent="0.2">
      <c r="A2851" s="2" t="s">
        <v>190</v>
      </c>
      <c r="B2851" s="4">
        <v>0</v>
      </c>
      <c r="C2851" s="5">
        <v>0</v>
      </c>
      <c r="D2851" s="4">
        <v>0</v>
      </c>
      <c r="E2851" s="5">
        <v>0</v>
      </c>
      <c r="F2851" s="4">
        <v>0</v>
      </c>
      <c r="G2851" s="5">
        <v>0</v>
      </c>
      <c r="H2851" s="4">
        <v>0</v>
      </c>
    </row>
    <row r="2852" spans="1:8" x14ac:dyDescent="0.2">
      <c r="A2852" s="2" t="s">
        <v>191</v>
      </c>
      <c r="B2852" s="4">
        <v>19</v>
      </c>
      <c r="C2852" s="5">
        <v>13.19</v>
      </c>
      <c r="D2852" s="4">
        <v>8</v>
      </c>
      <c r="E2852" s="5">
        <v>10.53</v>
      </c>
      <c r="F2852" s="4">
        <v>11</v>
      </c>
      <c r="G2852" s="5">
        <v>18.329999999999998</v>
      </c>
      <c r="H2852" s="4">
        <v>0</v>
      </c>
    </row>
    <row r="2853" spans="1:8" x14ac:dyDescent="0.2">
      <c r="A2853" s="2" t="s">
        <v>192</v>
      </c>
      <c r="B2853" s="4">
        <v>9</v>
      </c>
      <c r="C2853" s="5">
        <v>6.25</v>
      </c>
      <c r="D2853" s="4">
        <v>3</v>
      </c>
      <c r="E2853" s="5">
        <v>3.95</v>
      </c>
      <c r="F2853" s="4">
        <v>6</v>
      </c>
      <c r="G2853" s="5">
        <v>10</v>
      </c>
      <c r="H2853" s="4">
        <v>0</v>
      </c>
    </row>
    <row r="2854" spans="1:8" x14ac:dyDescent="0.2">
      <c r="A2854" s="2" t="s">
        <v>193</v>
      </c>
      <c r="B2854" s="4">
        <v>1</v>
      </c>
      <c r="C2854" s="5">
        <v>0.69</v>
      </c>
      <c r="D2854" s="4">
        <v>0</v>
      </c>
      <c r="E2854" s="5">
        <v>0</v>
      </c>
      <c r="F2854" s="4">
        <v>0</v>
      </c>
      <c r="G2854" s="5">
        <v>0</v>
      </c>
      <c r="H2854" s="4">
        <v>0</v>
      </c>
    </row>
    <row r="2855" spans="1:8" x14ac:dyDescent="0.2">
      <c r="A2855" s="2" t="s">
        <v>194</v>
      </c>
      <c r="B2855" s="4">
        <v>0</v>
      </c>
      <c r="C2855" s="5">
        <v>0</v>
      </c>
      <c r="D2855" s="4">
        <v>0</v>
      </c>
      <c r="E2855" s="5">
        <v>0</v>
      </c>
      <c r="F2855" s="4">
        <v>0</v>
      </c>
      <c r="G2855" s="5">
        <v>0</v>
      </c>
      <c r="H2855" s="4">
        <v>0</v>
      </c>
    </row>
    <row r="2856" spans="1:8" x14ac:dyDescent="0.2">
      <c r="A2856" s="2" t="s">
        <v>195</v>
      </c>
      <c r="B2856" s="4">
        <v>5</v>
      </c>
      <c r="C2856" s="5">
        <v>3.47</v>
      </c>
      <c r="D2856" s="4">
        <v>1</v>
      </c>
      <c r="E2856" s="5">
        <v>1.32</v>
      </c>
      <c r="F2856" s="4">
        <v>4</v>
      </c>
      <c r="G2856" s="5">
        <v>6.67</v>
      </c>
      <c r="H2856" s="4">
        <v>0</v>
      </c>
    </row>
    <row r="2857" spans="1:8" x14ac:dyDescent="0.2">
      <c r="A2857" s="2" t="s">
        <v>196</v>
      </c>
      <c r="B2857" s="4">
        <v>37</v>
      </c>
      <c r="C2857" s="5">
        <v>25.69</v>
      </c>
      <c r="D2857" s="4">
        <v>16</v>
      </c>
      <c r="E2857" s="5">
        <v>21.05</v>
      </c>
      <c r="F2857" s="4">
        <v>21</v>
      </c>
      <c r="G2857" s="5">
        <v>35</v>
      </c>
      <c r="H2857" s="4">
        <v>0</v>
      </c>
    </row>
    <row r="2858" spans="1:8" x14ac:dyDescent="0.2">
      <c r="A2858" s="2" t="s">
        <v>197</v>
      </c>
      <c r="B2858" s="4">
        <v>0</v>
      </c>
      <c r="C2858" s="5">
        <v>0</v>
      </c>
      <c r="D2858" s="4">
        <v>0</v>
      </c>
      <c r="E2858" s="5">
        <v>0</v>
      </c>
      <c r="F2858" s="4">
        <v>0</v>
      </c>
      <c r="G2858" s="5">
        <v>0</v>
      </c>
      <c r="H2858" s="4">
        <v>0</v>
      </c>
    </row>
    <row r="2859" spans="1:8" x14ac:dyDescent="0.2">
      <c r="A2859" s="2" t="s">
        <v>198</v>
      </c>
      <c r="B2859" s="4">
        <v>10</v>
      </c>
      <c r="C2859" s="5">
        <v>6.94</v>
      </c>
      <c r="D2859" s="4">
        <v>6</v>
      </c>
      <c r="E2859" s="5">
        <v>7.89</v>
      </c>
      <c r="F2859" s="4">
        <v>3</v>
      </c>
      <c r="G2859" s="5">
        <v>5</v>
      </c>
      <c r="H2859" s="4">
        <v>0</v>
      </c>
    </row>
    <row r="2860" spans="1:8" x14ac:dyDescent="0.2">
      <c r="A2860" s="2" t="s">
        <v>199</v>
      </c>
      <c r="B2860" s="4">
        <v>4</v>
      </c>
      <c r="C2860" s="5">
        <v>2.78</v>
      </c>
      <c r="D2860" s="4">
        <v>2</v>
      </c>
      <c r="E2860" s="5">
        <v>2.63</v>
      </c>
      <c r="F2860" s="4">
        <v>2</v>
      </c>
      <c r="G2860" s="5">
        <v>3.33</v>
      </c>
      <c r="H2860" s="4">
        <v>0</v>
      </c>
    </row>
    <row r="2861" spans="1:8" x14ac:dyDescent="0.2">
      <c r="A2861" s="2" t="s">
        <v>200</v>
      </c>
      <c r="B2861" s="4">
        <v>27</v>
      </c>
      <c r="C2861" s="5">
        <v>18.75</v>
      </c>
      <c r="D2861" s="4">
        <v>24</v>
      </c>
      <c r="E2861" s="5">
        <v>31.58</v>
      </c>
      <c r="F2861" s="4">
        <v>3</v>
      </c>
      <c r="G2861" s="5">
        <v>5</v>
      </c>
      <c r="H2861" s="4">
        <v>0</v>
      </c>
    </row>
    <row r="2862" spans="1:8" x14ac:dyDescent="0.2">
      <c r="A2862" s="2" t="s">
        <v>201</v>
      </c>
      <c r="B2862" s="4">
        <v>10</v>
      </c>
      <c r="C2862" s="5">
        <v>6.94</v>
      </c>
      <c r="D2862" s="4">
        <v>9</v>
      </c>
      <c r="E2862" s="5">
        <v>11.84</v>
      </c>
      <c r="F2862" s="4">
        <v>1</v>
      </c>
      <c r="G2862" s="5">
        <v>1.67</v>
      </c>
      <c r="H2862" s="4">
        <v>0</v>
      </c>
    </row>
    <row r="2863" spans="1:8" x14ac:dyDescent="0.2">
      <c r="A2863" s="2" t="s">
        <v>202</v>
      </c>
      <c r="B2863" s="4">
        <v>7</v>
      </c>
      <c r="C2863" s="5">
        <v>4.8600000000000003</v>
      </c>
      <c r="D2863" s="4">
        <v>2</v>
      </c>
      <c r="E2863" s="5">
        <v>2.63</v>
      </c>
      <c r="F2863" s="4">
        <v>2</v>
      </c>
      <c r="G2863" s="5">
        <v>3.33</v>
      </c>
      <c r="H2863" s="4">
        <v>0</v>
      </c>
    </row>
    <row r="2864" spans="1:8" x14ac:dyDescent="0.2">
      <c r="A2864" s="2" t="s">
        <v>203</v>
      </c>
      <c r="B2864" s="4">
        <v>8</v>
      </c>
      <c r="C2864" s="5">
        <v>5.56</v>
      </c>
      <c r="D2864" s="4">
        <v>2</v>
      </c>
      <c r="E2864" s="5">
        <v>2.63</v>
      </c>
      <c r="F2864" s="4">
        <v>3</v>
      </c>
      <c r="G2864" s="5">
        <v>5</v>
      </c>
      <c r="H2864" s="4">
        <v>0</v>
      </c>
    </row>
    <row r="2865" spans="1:8" x14ac:dyDescent="0.2">
      <c r="A2865" s="2" t="s">
        <v>204</v>
      </c>
      <c r="B2865" s="4">
        <v>7</v>
      </c>
      <c r="C2865" s="5">
        <v>4.8600000000000003</v>
      </c>
      <c r="D2865" s="4">
        <v>3</v>
      </c>
      <c r="E2865" s="5">
        <v>3.95</v>
      </c>
      <c r="F2865" s="4">
        <v>4</v>
      </c>
      <c r="G2865" s="5">
        <v>6.67</v>
      </c>
      <c r="H2865" s="4">
        <v>0</v>
      </c>
    </row>
    <row r="2866" spans="1:8" x14ac:dyDescent="0.2">
      <c r="A2866" s="1" t="s">
        <v>179</v>
      </c>
      <c r="B2866" s="4">
        <v>553</v>
      </c>
      <c r="C2866" s="5">
        <v>99.98</v>
      </c>
      <c r="D2866" s="4">
        <v>250</v>
      </c>
      <c r="E2866" s="5">
        <v>100</v>
      </c>
      <c r="F2866" s="4">
        <v>297</v>
      </c>
      <c r="G2866" s="5">
        <v>100</v>
      </c>
      <c r="H2866" s="4">
        <v>0</v>
      </c>
    </row>
    <row r="2867" spans="1:8" x14ac:dyDescent="0.2">
      <c r="A2867" s="2" t="s">
        <v>190</v>
      </c>
      <c r="B2867" s="4">
        <v>0</v>
      </c>
      <c r="C2867" s="5">
        <v>0</v>
      </c>
      <c r="D2867" s="4">
        <v>0</v>
      </c>
      <c r="E2867" s="5">
        <v>0</v>
      </c>
      <c r="F2867" s="4">
        <v>0</v>
      </c>
      <c r="G2867" s="5">
        <v>0</v>
      </c>
      <c r="H2867" s="4">
        <v>0</v>
      </c>
    </row>
    <row r="2868" spans="1:8" x14ac:dyDescent="0.2">
      <c r="A2868" s="2" t="s">
        <v>191</v>
      </c>
      <c r="B2868" s="4">
        <v>125</v>
      </c>
      <c r="C2868" s="5">
        <v>22.6</v>
      </c>
      <c r="D2868" s="4">
        <v>34</v>
      </c>
      <c r="E2868" s="5">
        <v>13.6</v>
      </c>
      <c r="F2868" s="4">
        <v>91</v>
      </c>
      <c r="G2868" s="5">
        <v>30.64</v>
      </c>
      <c r="H2868" s="4">
        <v>0</v>
      </c>
    </row>
    <row r="2869" spans="1:8" x14ac:dyDescent="0.2">
      <c r="A2869" s="2" t="s">
        <v>192</v>
      </c>
      <c r="B2869" s="4">
        <v>44</v>
      </c>
      <c r="C2869" s="5">
        <v>7.96</v>
      </c>
      <c r="D2869" s="4">
        <v>13</v>
      </c>
      <c r="E2869" s="5">
        <v>5.2</v>
      </c>
      <c r="F2869" s="4">
        <v>31</v>
      </c>
      <c r="G2869" s="5">
        <v>10.44</v>
      </c>
      <c r="H2869" s="4">
        <v>0</v>
      </c>
    </row>
    <row r="2870" spans="1:8" x14ac:dyDescent="0.2">
      <c r="A2870" s="2" t="s">
        <v>193</v>
      </c>
      <c r="B2870" s="4">
        <v>0</v>
      </c>
      <c r="C2870" s="5">
        <v>0</v>
      </c>
      <c r="D2870" s="4">
        <v>0</v>
      </c>
      <c r="E2870" s="5">
        <v>0</v>
      </c>
      <c r="F2870" s="4">
        <v>0</v>
      </c>
      <c r="G2870" s="5">
        <v>0</v>
      </c>
      <c r="H2870" s="4">
        <v>0</v>
      </c>
    </row>
    <row r="2871" spans="1:8" x14ac:dyDescent="0.2">
      <c r="A2871" s="2" t="s">
        <v>194</v>
      </c>
      <c r="B2871" s="4">
        <v>2</v>
      </c>
      <c r="C2871" s="5">
        <v>0.36</v>
      </c>
      <c r="D2871" s="4">
        <v>2</v>
      </c>
      <c r="E2871" s="5">
        <v>0.8</v>
      </c>
      <c r="F2871" s="4">
        <v>0</v>
      </c>
      <c r="G2871" s="5">
        <v>0</v>
      </c>
      <c r="H2871" s="4">
        <v>0</v>
      </c>
    </row>
    <row r="2872" spans="1:8" x14ac:dyDescent="0.2">
      <c r="A2872" s="2" t="s">
        <v>195</v>
      </c>
      <c r="B2872" s="4">
        <v>6</v>
      </c>
      <c r="C2872" s="5">
        <v>1.08</v>
      </c>
      <c r="D2872" s="4">
        <v>4</v>
      </c>
      <c r="E2872" s="5">
        <v>1.6</v>
      </c>
      <c r="F2872" s="4">
        <v>2</v>
      </c>
      <c r="G2872" s="5">
        <v>0.67</v>
      </c>
      <c r="H2872" s="4">
        <v>0</v>
      </c>
    </row>
    <row r="2873" spans="1:8" x14ac:dyDescent="0.2">
      <c r="A2873" s="2" t="s">
        <v>196</v>
      </c>
      <c r="B2873" s="4">
        <v>126</v>
      </c>
      <c r="C2873" s="5">
        <v>22.78</v>
      </c>
      <c r="D2873" s="4">
        <v>30</v>
      </c>
      <c r="E2873" s="5">
        <v>12</v>
      </c>
      <c r="F2873" s="4">
        <v>96</v>
      </c>
      <c r="G2873" s="5">
        <v>32.32</v>
      </c>
      <c r="H2873" s="4">
        <v>0</v>
      </c>
    </row>
    <row r="2874" spans="1:8" x14ac:dyDescent="0.2">
      <c r="A2874" s="2" t="s">
        <v>197</v>
      </c>
      <c r="B2874" s="4">
        <v>3</v>
      </c>
      <c r="C2874" s="5">
        <v>0.54</v>
      </c>
      <c r="D2874" s="4">
        <v>1</v>
      </c>
      <c r="E2874" s="5">
        <v>0.4</v>
      </c>
      <c r="F2874" s="4">
        <v>2</v>
      </c>
      <c r="G2874" s="5">
        <v>0.67</v>
      </c>
      <c r="H2874" s="4">
        <v>0</v>
      </c>
    </row>
    <row r="2875" spans="1:8" x14ac:dyDescent="0.2">
      <c r="A2875" s="2" t="s">
        <v>198</v>
      </c>
      <c r="B2875" s="4">
        <v>49</v>
      </c>
      <c r="C2875" s="5">
        <v>8.86</v>
      </c>
      <c r="D2875" s="4">
        <v>35</v>
      </c>
      <c r="E2875" s="5">
        <v>14</v>
      </c>
      <c r="F2875" s="4">
        <v>13</v>
      </c>
      <c r="G2875" s="5">
        <v>4.38</v>
      </c>
      <c r="H2875" s="4">
        <v>0</v>
      </c>
    </row>
    <row r="2876" spans="1:8" x14ac:dyDescent="0.2">
      <c r="A2876" s="2" t="s">
        <v>199</v>
      </c>
      <c r="B2876" s="4">
        <v>10</v>
      </c>
      <c r="C2876" s="5">
        <v>1.81</v>
      </c>
      <c r="D2876" s="4">
        <v>4</v>
      </c>
      <c r="E2876" s="5">
        <v>1.6</v>
      </c>
      <c r="F2876" s="4">
        <v>6</v>
      </c>
      <c r="G2876" s="5">
        <v>2.02</v>
      </c>
      <c r="H2876" s="4">
        <v>0</v>
      </c>
    </row>
    <row r="2877" spans="1:8" x14ac:dyDescent="0.2">
      <c r="A2877" s="2" t="s">
        <v>200</v>
      </c>
      <c r="B2877" s="4">
        <v>51</v>
      </c>
      <c r="C2877" s="5">
        <v>9.2200000000000006</v>
      </c>
      <c r="D2877" s="4">
        <v>39</v>
      </c>
      <c r="E2877" s="5">
        <v>15.6</v>
      </c>
      <c r="F2877" s="4">
        <v>12</v>
      </c>
      <c r="G2877" s="5">
        <v>4.04</v>
      </c>
      <c r="H2877" s="4">
        <v>0</v>
      </c>
    </row>
    <row r="2878" spans="1:8" x14ac:dyDescent="0.2">
      <c r="A2878" s="2" t="s">
        <v>201</v>
      </c>
      <c r="B2878" s="4">
        <v>61</v>
      </c>
      <c r="C2878" s="5">
        <v>11.03</v>
      </c>
      <c r="D2878" s="4">
        <v>49</v>
      </c>
      <c r="E2878" s="5">
        <v>19.600000000000001</v>
      </c>
      <c r="F2878" s="4">
        <v>12</v>
      </c>
      <c r="G2878" s="5">
        <v>4.04</v>
      </c>
      <c r="H2878" s="4">
        <v>0</v>
      </c>
    </row>
    <row r="2879" spans="1:8" x14ac:dyDescent="0.2">
      <c r="A2879" s="2" t="s">
        <v>202</v>
      </c>
      <c r="B2879" s="4">
        <v>21</v>
      </c>
      <c r="C2879" s="5">
        <v>3.8</v>
      </c>
      <c r="D2879" s="4">
        <v>15</v>
      </c>
      <c r="E2879" s="5">
        <v>6</v>
      </c>
      <c r="F2879" s="4">
        <v>3</v>
      </c>
      <c r="G2879" s="5">
        <v>1.01</v>
      </c>
      <c r="H2879" s="4">
        <v>0</v>
      </c>
    </row>
    <row r="2880" spans="1:8" x14ac:dyDescent="0.2">
      <c r="A2880" s="2" t="s">
        <v>203</v>
      </c>
      <c r="B2880" s="4">
        <v>29</v>
      </c>
      <c r="C2880" s="5">
        <v>5.24</v>
      </c>
      <c r="D2880" s="4">
        <v>14</v>
      </c>
      <c r="E2880" s="5">
        <v>5.6</v>
      </c>
      <c r="F2880" s="4">
        <v>13</v>
      </c>
      <c r="G2880" s="5">
        <v>4.38</v>
      </c>
      <c r="H2880" s="4">
        <v>0</v>
      </c>
    </row>
    <row r="2881" spans="1:8" x14ac:dyDescent="0.2">
      <c r="A2881" s="2" t="s">
        <v>204</v>
      </c>
      <c r="B2881" s="4">
        <v>26</v>
      </c>
      <c r="C2881" s="5">
        <v>4.7</v>
      </c>
      <c r="D2881" s="4">
        <v>10</v>
      </c>
      <c r="E2881" s="5">
        <v>4</v>
      </c>
      <c r="F2881" s="4">
        <v>16</v>
      </c>
      <c r="G2881" s="5">
        <v>5.39</v>
      </c>
      <c r="H2881" s="4">
        <v>0</v>
      </c>
    </row>
    <row r="2882" spans="1:8" x14ac:dyDescent="0.2">
      <c r="A2882" s="1" t="s">
        <v>180</v>
      </c>
      <c r="B2882" s="4">
        <v>288</v>
      </c>
      <c r="C2882" s="5">
        <v>100.00000000000001</v>
      </c>
      <c r="D2882" s="4">
        <v>149</v>
      </c>
      <c r="E2882" s="5">
        <v>100.00000000000001</v>
      </c>
      <c r="F2882" s="4">
        <v>123</v>
      </c>
      <c r="G2882" s="5">
        <v>99.999999999999986</v>
      </c>
      <c r="H2882" s="4">
        <v>3</v>
      </c>
    </row>
    <row r="2883" spans="1:8" x14ac:dyDescent="0.2">
      <c r="A2883" s="2" t="s">
        <v>190</v>
      </c>
      <c r="B2883" s="4">
        <v>0</v>
      </c>
      <c r="C2883" s="5">
        <v>0</v>
      </c>
      <c r="D2883" s="4">
        <v>0</v>
      </c>
      <c r="E2883" s="5">
        <v>0</v>
      </c>
      <c r="F2883" s="4">
        <v>0</v>
      </c>
      <c r="G2883" s="5">
        <v>0</v>
      </c>
      <c r="H2883" s="4">
        <v>0</v>
      </c>
    </row>
    <row r="2884" spans="1:8" x14ac:dyDescent="0.2">
      <c r="A2884" s="2" t="s">
        <v>191</v>
      </c>
      <c r="B2884" s="4">
        <v>35</v>
      </c>
      <c r="C2884" s="5">
        <v>12.15</v>
      </c>
      <c r="D2884" s="4">
        <v>12</v>
      </c>
      <c r="E2884" s="5">
        <v>8.0500000000000007</v>
      </c>
      <c r="F2884" s="4">
        <v>23</v>
      </c>
      <c r="G2884" s="5">
        <v>18.7</v>
      </c>
      <c r="H2884" s="4">
        <v>0</v>
      </c>
    </row>
    <row r="2885" spans="1:8" x14ac:dyDescent="0.2">
      <c r="A2885" s="2" t="s">
        <v>192</v>
      </c>
      <c r="B2885" s="4">
        <v>30</v>
      </c>
      <c r="C2885" s="5">
        <v>10.42</v>
      </c>
      <c r="D2885" s="4">
        <v>6</v>
      </c>
      <c r="E2885" s="5">
        <v>4.03</v>
      </c>
      <c r="F2885" s="4">
        <v>24</v>
      </c>
      <c r="G2885" s="5">
        <v>19.510000000000002</v>
      </c>
      <c r="H2885" s="4">
        <v>0</v>
      </c>
    </row>
    <row r="2886" spans="1:8" x14ac:dyDescent="0.2">
      <c r="A2886" s="2" t="s">
        <v>193</v>
      </c>
      <c r="B2886" s="4">
        <v>0</v>
      </c>
      <c r="C2886" s="5">
        <v>0</v>
      </c>
      <c r="D2886" s="4">
        <v>0</v>
      </c>
      <c r="E2886" s="5">
        <v>0</v>
      </c>
      <c r="F2886" s="4">
        <v>0</v>
      </c>
      <c r="G2886" s="5">
        <v>0</v>
      </c>
      <c r="H2886" s="4">
        <v>0</v>
      </c>
    </row>
    <row r="2887" spans="1:8" x14ac:dyDescent="0.2">
      <c r="A2887" s="2" t="s">
        <v>194</v>
      </c>
      <c r="B2887" s="4">
        <v>1</v>
      </c>
      <c r="C2887" s="5">
        <v>0.35</v>
      </c>
      <c r="D2887" s="4">
        <v>0</v>
      </c>
      <c r="E2887" s="5">
        <v>0</v>
      </c>
      <c r="F2887" s="4">
        <v>1</v>
      </c>
      <c r="G2887" s="5">
        <v>0.81</v>
      </c>
      <c r="H2887" s="4">
        <v>0</v>
      </c>
    </row>
    <row r="2888" spans="1:8" x14ac:dyDescent="0.2">
      <c r="A2888" s="2" t="s">
        <v>195</v>
      </c>
      <c r="B2888" s="4">
        <v>4</v>
      </c>
      <c r="C2888" s="5">
        <v>1.39</v>
      </c>
      <c r="D2888" s="4">
        <v>3</v>
      </c>
      <c r="E2888" s="5">
        <v>2.0099999999999998</v>
      </c>
      <c r="F2888" s="4">
        <v>0</v>
      </c>
      <c r="G2888" s="5">
        <v>0</v>
      </c>
      <c r="H2888" s="4">
        <v>1</v>
      </c>
    </row>
    <row r="2889" spans="1:8" x14ac:dyDescent="0.2">
      <c r="A2889" s="2" t="s">
        <v>196</v>
      </c>
      <c r="B2889" s="4">
        <v>85</v>
      </c>
      <c r="C2889" s="5">
        <v>29.51</v>
      </c>
      <c r="D2889" s="4">
        <v>29</v>
      </c>
      <c r="E2889" s="5">
        <v>19.46</v>
      </c>
      <c r="F2889" s="4">
        <v>54</v>
      </c>
      <c r="G2889" s="5">
        <v>43.9</v>
      </c>
      <c r="H2889" s="4">
        <v>2</v>
      </c>
    </row>
    <row r="2890" spans="1:8" x14ac:dyDescent="0.2">
      <c r="A2890" s="2" t="s">
        <v>197</v>
      </c>
      <c r="B2890" s="4">
        <v>2</v>
      </c>
      <c r="C2890" s="5">
        <v>0.69</v>
      </c>
      <c r="D2890" s="4">
        <v>1</v>
      </c>
      <c r="E2890" s="5">
        <v>0.67</v>
      </c>
      <c r="F2890" s="4">
        <v>1</v>
      </c>
      <c r="G2890" s="5">
        <v>0.81</v>
      </c>
      <c r="H2890" s="4">
        <v>0</v>
      </c>
    </row>
    <row r="2891" spans="1:8" x14ac:dyDescent="0.2">
      <c r="A2891" s="2" t="s">
        <v>198</v>
      </c>
      <c r="B2891" s="4">
        <v>22</v>
      </c>
      <c r="C2891" s="5">
        <v>7.64</v>
      </c>
      <c r="D2891" s="4">
        <v>16</v>
      </c>
      <c r="E2891" s="5">
        <v>10.74</v>
      </c>
      <c r="F2891" s="4">
        <v>6</v>
      </c>
      <c r="G2891" s="5">
        <v>4.88</v>
      </c>
      <c r="H2891" s="4">
        <v>0</v>
      </c>
    </row>
    <row r="2892" spans="1:8" x14ac:dyDescent="0.2">
      <c r="A2892" s="2" t="s">
        <v>199</v>
      </c>
      <c r="B2892" s="4">
        <v>5</v>
      </c>
      <c r="C2892" s="5">
        <v>1.74</v>
      </c>
      <c r="D2892" s="4">
        <v>3</v>
      </c>
      <c r="E2892" s="5">
        <v>2.0099999999999998</v>
      </c>
      <c r="F2892" s="4">
        <v>2</v>
      </c>
      <c r="G2892" s="5">
        <v>1.63</v>
      </c>
      <c r="H2892" s="4">
        <v>0</v>
      </c>
    </row>
    <row r="2893" spans="1:8" x14ac:dyDescent="0.2">
      <c r="A2893" s="2" t="s">
        <v>200</v>
      </c>
      <c r="B2893" s="4">
        <v>36</v>
      </c>
      <c r="C2893" s="5">
        <v>12.5</v>
      </c>
      <c r="D2893" s="4">
        <v>32</v>
      </c>
      <c r="E2893" s="5">
        <v>21.48</v>
      </c>
      <c r="F2893" s="4">
        <v>4</v>
      </c>
      <c r="G2893" s="5">
        <v>3.25</v>
      </c>
      <c r="H2893" s="4">
        <v>0</v>
      </c>
    </row>
    <row r="2894" spans="1:8" x14ac:dyDescent="0.2">
      <c r="A2894" s="2" t="s">
        <v>201</v>
      </c>
      <c r="B2894" s="4">
        <v>35</v>
      </c>
      <c r="C2894" s="5">
        <v>12.15</v>
      </c>
      <c r="D2894" s="4">
        <v>28</v>
      </c>
      <c r="E2894" s="5">
        <v>18.79</v>
      </c>
      <c r="F2894" s="4">
        <v>3</v>
      </c>
      <c r="G2894" s="5">
        <v>2.44</v>
      </c>
      <c r="H2894" s="4">
        <v>0</v>
      </c>
    </row>
    <row r="2895" spans="1:8" x14ac:dyDescent="0.2">
      <c r="A2895" s="2" t="s">
        <v>202</v>
      </c>
      <c r="B2895" s="4">
        <v>10</v>
      </c>
      <c r="C2895" s="5">
        <v>3.47</v>
      </c>
      <c r="D2895" s="4">
        <v>5</v>
      </c>
      <c r="E2895" s="5">
        <v>3.36</v>
      </c>
      <c r="F2895" s="4">
        <v>0</v>
      </c>
      <c r="G2895" s="5">
        <v>0</v>
      </c>
      <c r="H2895" s="4">
        <v>0</v>
      </c>
    </row>
    <row r="2896" spans="1:8" x14ac:dyDescent="0.2">
      <c r="A2896" s="2" t="s">
        <v>203</v>
      </c>
      <c r="B2896" s="4">
        <v>11</v>
      </c>
      <c r="C2896" s="5">
        <v>3.82</v>
      </c>
      <c r="D2896" s="4">
        <v>6</v>
      </c>
      <c r="E2896" s="5">
        <v>4.03</v>
      </c>
      <c r="F2896" s="4">
        <v>3</v>
      </c>
      <c r="G2896" s="5">
        <v>2.44</v>
      </c>
      <c r="H2896" s="4">
        <v>0</v>
      </c>
    </row>
    <row r="2897" spans="1:8" x14ac:dyDescent="0.2">
      <c r="A2897" s="2" t="s">
        <v>204</v>
      </c>
      <c r="B2897" s="4">
        <v>12</v>
      </c>
      <c r="C2897" s="5">
        <v>4.17</v>
      </c>
      <c r="D2897" s="4">
        <v>8</v>
      </c>
      <c r="E2897" s="5">
        <v>5.37</v>
      </c>
      <c r="F2897" s="4">
        <v>2</v>
      </c>
      <c r="G2897" s="5">
        <v>1.63</v>
      </c>
      <c r="H2897" s="4">
        <v>0</v>
      </c>
    </row>
    <row r="2898" spans="1:8" x14ac:dyDescent="0.2">
      <c r="A2898" s="1" t="s">
        <v>181</v>
      </c>
      <c r="B2898" s="4">
        <v>147</v>
      </c>
      <c r="C2898" s="5">
        <v>99.999999999999986</v>
      </c>
      <c r="D2898" s="4">
        <v>89</v>
      </c>
      <c r="E2898" s="5">
        <v>100.02</v>
      </c>
      <c r="F2898" s="4">
        <v>46</v>
      </c>
      <c r="G2898" s="5">
        <v>99.989999999999981</v>
      </c>
      <c r="H2898" s="4">
        <v>0</v>
      </c>
    </row>
    <row r="2899" spans="1:8" x14ac:dyDescent="0.2">
      <c r="A2899" s="2" t="s">
        <v>190</v>
      </c>
      <c r="B2899" s="4">
        <v>0</v>
      </c>
      <c r="C2899" s="5">
        <v>0</v>
      </c>
      <c r="D2899" s="4">
        <v>0</v>
      </c>
      <c r="E2899" s="5">
        <v>0</v>
      </c>
      <c r="F2899" s="4">
        <v>0</v>
      </c>
      <c r="G2899" s="5">
        <v>0</v>
      </c>
      <c r="H2899" s="4">
        <v>0</v>
      </c>
    </row>
    <row r="2900" spans="1:8" x14ac:dyDescent="0.2">
      <c r="A2900" s="2" t="s">
        <v>191</v>
      </c>
      <c r="B2900" s="4">
        <v>13</v>
      </c>
      <c r="C2900" s="5">
        <v>8.84</v>
      </c>
      <c r="D2900" s="4">
        <v>5</v>
      </c>
      <c r="E2900" s="5">
        <v>5.62</v>
      </c>
      <c r="F2900" s="4">
        <v>8</v>
      </c>
      <c r="G2900" s="5">
        <v>17.39</v>
      </c>
      <c r="H2900" s="4">
        <v>0</v>
      </c>
    </row>
    <row r="2901" spans="1:8" x14ac:dyDescent="0.2">
      <c r="A2901" s="2" t="s">
        <v>192</v>
      </c>
      <c r="B2901" s="4">
        <v>20</v>
      </c>
      <c r="C2901" s="5">
        <v>13.61</v>
      </c>
      <c r="D2901" s="4">
        <v>11</v>
      </c>
      <c r="E2901" s="5">
        <v>12.36</v>
      </c>
      <c r="F2901" s="4">
        <v>9</v>
      </c>
      <c r="G2901" s="5">
        <v>19.57</v>
      </c>
      <c r="H2901" s="4">
        <v>0</v>
      </c>
    </row>
    <row r="2902" spans="1:8" x14ac:dyDescent="0.2">
      <c r="A2902" s="2" t="s">
        <v>193</v>
      </c>
      <c r="B2902" s="4">
        <v>1</v>
      </c>
      <c r="C2902" s="5">
        <v>0.68</v>
      </c>
      <c r="D2902" s="4">
        <v>0</v>
      </c>
      <c r="E2902" s="5">
        <v>0</v>
      </c>
      <c r="F2902" s="4">
        <v>1</v>
      </c>
      <c r="G2902" s="5">
        <v>2.17</v>
      </c>
      <c r="H2902" s="4">
        <v>0</v>
      </c>
    </row>
    <row r="2903" spans="1:8" x14ac:dyDescent="0.2">
      <c r="A2903" s="2" t="s">
        <v>194</v>
      </c>
      <c r="B2903" s="4">
        <v>0</v>
      </c>
      <c r="C2903" s="5">
        <v>0</v>
      </c>
      <c r="D2903" s="4">
        <v>0</v>
      </c>
      <c r="E2903" s="5">
        <v>0</v>
      </c>
      <c r="F2903" s="4">
        <v>0</v>
      </c>
      <c r="G2903" s="5">
        <v>0</v>
      </c>
      <c r="H2903" s="4">
        <v>0</v>
      </c>
    </row>
    <row r="2904" spans="1:8" x14ac:dyDescent="0.2">
      <c r="A2904" s="2" t="s">
        <v>195</v>
      </c>
      <c r="B2904" s="4">
        <v>1</v>
      </c>
      <c r="C2904" s="5">
        <v>0.68</v>
      </c>
      <c r="D2904" s="4">
        <v>0</v>
      </c>
      <c r="E2904" s="5">
        <v>0</v>
      </c>
      <c r="F2904" s="4">
        <v>1</v>
      </c>
      <c r="G2904" s="5">
        <v>2.17</v>
      </c>
      <c r="H2904" s="4">
        <v>0</v>
      </c>
    </row>
    <row r="2905" spans="1:8" x14ac:dyDescent="0.2">
      <c r="A2905" s="2" t="s">
        <v>196</v>
      </c>
      <c r="B2905" s="4">
        <v>35</v>
      </c>
      <c r="C2905" s="5">
        <v>23.81</v>
      </c>
      <c r="D2905" s="4">
        <v>16</v>
      </c>
      <c r="E2905" s="5">
        <v>17.98</v>
      </c>
      <c r="F2905" s="4">
        <v>19</v>
      </c>
      <c r="G2905" s="5">
        <v>41.3</v>
      </c>
      <c r="H2905" s="4">
        <v>0</v>
      </c>
    </row>
    <row r="2906" spans="1:8" x14ac:dyDescent="0.2">
      <c r="A2906" s="2" t="s">
        <v>197</v>
      </c>
      <c r="B2906" s="4">
        <v>2</v>
      </c>
      <c r="C2906" s="5">
        <v>1.36</v>
      </c>
      <c r="D2906" s="4">
        <v>0</v>
      </c>
      <c r="E2906" s="5">
        <v>0</v>
      </c>
      <c r="F2906" s="4">
        <v>2</v>
      </c>
      <c r="G2906" s="5">
        <v>4.3499999999999996</v>
      </c>
      <c r="H2906" s="4">
        <v>0</v>
      </c>
    </row>
    <row r="2907" spans="1:8" x14ac:dyDescent="0.2">
      <c r="A2907" s="2" t="s">
        <v>198</v>
      </c>
      <c r="B2907" s="4">
        <v>3</v>
      </c>
      <c r="C2907" s="5">
        <v>2.04</v>
      </c>
      <c r="D2907" s="4">
        <v>2</v>
      </c>
      <c r="E2907" s="5">
        <v>2.25</v>
      </c>
      <c r="F2907" s="4">
        <v>1</v>
      </c>
      <c r="G2907" s="5">
        <v>2.17</v>
      </c>
      <c r="H2907" s="4">
        <v>0</v>
      </c>
    </row>
    <row r="2908" spans="1:8" x14ac:dyDescent="0.2">
      <c r="A2908" s="2" t="s">
        <v>199</v>
      </c>
      <c r="B2908" s="4">
        <v>3</v>
      </c>
      <c r="C2908" s="5">
        <v>2.04</v>
      </c>
      <c r="D2908" s="4">
        <v>2</v>
      </c>
      <c r="E2908" s="5">
        <v>2.25</v>
      </c>
      <c r="F2908" s="4">
        <v>1</v>
      </c>
      <c r="G2908" s="5">
        <v>2.17</v>
      </c>
      <c r="H2908" s="4">
        <v>0</v>
      </c>
    </row>
    <row r="2909" spans="1:8" x14ac:dyDescent="0.2">
      <c r="A2909" s="2" t="s">
        <v>200</v>
      </c>
      <c r="B2909" s="4">
        <v>29</v>
      </c>
      <c r="C2909" s="5">
        <v>19.73</v>
      </c>
      <c r="D2909" s="4">
        <v>27</v>
      </c>
      <c r="E2909" s="5">
        <v>30.34</v>
      </c>
      <c r="F2909" s="4">
        <v>2</v>
      </c>
      <c r="G2909" s="5">
        <v>4.3499999999999996</v>
      </c>
      <c r="H2909" s="4">
        <v>0</v>
      </c>
    </row>
    <row r="2910" spans="1:8" x14ac:dyDescent="0.2">
      <c r="A2910" s="2" t="s">
        <v>201</v>
      </c>
      <c r="B2910" s="4">
        <v>24</v>
      </c>
      <c r="C2910" s="5">
        <v>16.329999999999998</v>
      </c>
      <c r="D2910" s="4">
        <v>20</v>
      </c>
      <c r="E2910" s="5">
        <v>22.47</v>
      </c>
      <c r="F2910" s="4">
        <v>0</v>
      </c>
      <c r="G2910" s="5">
        <v>0</v>
      </c>
      <c r="H2910" s="4">
        <v>0</v>
      </c>
    </row>
    <row r="2911" spans="1:8" x14ac:dyDescent="0.2">
      <c r="A2911" s="2" t="s">
        <v>202</v>
      </c>
      <c r="B2911" s="4">
        <v>2</v>
      </c>
      <c r="C2911" s="5">
        <v>1.36</v>
      </c>
      <c r="D2911" s="4">
        <v>2</v>
      </c>
      <c r="E2911" s="5">
        <v>2.25</v>
      </c>
      <c r="F2911" s="4">
        <v>0</v>
      </c>
      <c r="G2911" s="5">
        <v>0</v>
      </c>
      <c r="H2911" s="4">
        <v>0</v>
      </c>
    </row>
    <row r="2912" spans="1:8" x14ac:dyDescent="0.2">
      <c r="A2912" s="2" t="s">
        <v>203</v>
      </c>
      <c r="B2912" s="4">
        <v>8</v>
      </c>
      <c r="C2912" s="5">
        <v>5.44</v>
      </c>
      <c r="D2912" s="4">
        <v>2</v>
      </c>
      <c r="E2912" s="5">
        <v>2.25</v>
      </c>
      <c r="F2912" s="4">
        <v>0</v>
      </c>
      <c r="G2912" s="5">
        <v>0</v>
      </c>
      <c r="H2912" s="4">
        <v>0</v>
      </c>
    </row>
    <row r="2913" spans="1:8" x14ac:dyDescent="0.2">
      <c r="A2913" s="2" t="s">
        <v>204</v>
      </c>
      <c r="B2913" s="4">
        <v>6</v>
      </c>
      <c r="C2913" s="5">
        <v>4.08</v>
      </c>
      <c r="D2913" s="4">
        <v>2</v>
      </c>
      <c r="E2913" s="5">
        <v>2.25</v>
      </c>
      <c r="F2913" s="4">
        <v>2</v>
      </c>
      <c r="G2913" s="5">
        <v>4.3499999999999996</v>
      </c>
      <c r="H2913" s="4">
        <v>0</v>
      </c>
    </row>
    <row r="2914" spans="1:8" x14ac:dyDescent="0.2">
      <c r="A2914" s="1" t="s">
        <v>182</v>
      </c>
      <c r="B2914" s="4">
        <v>218</v>
      </c>
      <c r="C2914" s="5">
        <v>100.02000000000001</v>
      </c>
      <c r="D2914" s="4">
        <v>111</v>
      </c>
      <c r="E2914" s="5">
        <v>99.99</v>
      </c>
      <c r="F2914" s="4">
        <v>96</v>
      </c>
      <c r="G2914" s="5">
        <v>99.999999999999986</v>
      </c>
      <c r="H2914" s="4">
        <v>0</v>
      </c>
    </row>
    <row r="2915" spans="1:8" x14ac:dyDescent="0.2">
      <c r="A2915" s="2" t="s">
        <v>190</v>
      </c>
      <c r="B2915" s="4">
        <v>0</v>
      </c>
      <c r="C2915" s="5">
        <v>0</v>
      </c>
      <c r="D2915" s="4">
        <v>0</v>
      </c>
      <c r="E2915" s="5">
        <v>0</v>
      </c>
      <c r="F2915" s="4">
        <v>0</v>
      </c>
      <c r="G2915" s="5">
        <v>0</v>
      </c>
      <c r="H2915" s="4">
        <v>0</v>
      </c>
    </row>
    <row r="2916" spans="1:8" x14ac:dyDescent="0.2">
      <c r="A2916" s="2" t="s">
        <v>191</v>
      </c>
      <c r="B2916" s="4">
        <v>25</v>
      </c>
      <c r="C2916" s="5">
        <v>11.47</v>
      </c>
      <c r="D2916" s="4">
        <v>4</v>
      </c>
      <c r="E2916" s="5">
        <v>3.6</v>
      </c>
      <c r="F2916" s="4">
        <v>21</v>
      </c>
      <c r="G2916" s="5">
        <v>21.88</v>
      </c>
      <c r="H2916" s="4">
        <v>0</v>
      </c>
    </row>
    <row r="2917" spans="1:8" x14ac:dyDescent="0.2">
      <c r="A2917" s="2" t="s">
        <v>192</v>
      </c>
      <c r="B2917" s="4">
        <v>9</v>
      </c>
      <c r="C2917" s="5">
        <v>4.13</v>
      </c>
      <c r="D2917" s="4">
        <v>1</v>
      </c>
      <c r="E2917" s="5">
        <v>0.9</v>
      </c>
      <c r="F2917" s="4">
        <v>8</v>
      </c>
      <c r="G2917" s="5">
        <v>8.33</v>
      </c>
      <c r="H2917" s="4">
        <v>0</v>
      </c>
    </row>
    <row r="2918" spans="1:8" x14ac:dyDescent="0.2">
      <c r="A2918" s="2" t="s">
        <v>193</v>
      </c>
      <c r="B2918" s="4">
        <v>2</v>
      </c>
      <c r="C2918" s="5">
        <v>0.92</v>
      </c>
      <c r="D2918" s="4">
        <v>0</v>
      </c>
      <c r="E2918" s="5">
        <v>0</v>
      </c>
      <c r="F2918" s="4">
        <v>2</v>
      </c>
      <c r="G2918" s="5">
        <v>2.08</v>
      </c>
      <c r="H2918" s="4">
        <v>0</v>
      </c>
    </row>
    <row r="2919" spans="1:8" x14ac:dyDescent="0.2">
      <c r="A2919" s="2" t="s">
        <v>194</v>
      </c>
      <c r="B2919" s="4">
        <v>1</v>
      </c>
      <c r="C2919" s="5">
        <v>0.46</v>
      </c>
      <c r="D2919" s="4">
        <v>0</v>
      </c>
      <c r="E2919" s="5">
        <v>0</v>
      </c>
      <c r="F2919" s="4">
        <v>1</v>
      </c>
      <c r="G2919" s="5">
        <v>1.04</v>
      </c>
      <c r="H2919" s="4">
        <v>0</v>
      </c>
    </row>
    <row r="2920" spans="1:8" x14ac:dyDescent="0.2">
      <c r="A2920" s="2" t="s">
        <v>195</v>
      </c>
      <c r="B2920" s="4">
        <v>2</v>
      </c>
      <c r="C2920" s="5">
        <v>0.92</v>
      </c>
      <c r="D2920" s="4">
        <v>0</v>
      </c>
      <c r="E2920" s="5">
        <v>0</v>
      </c>
      <c r="F2920" s="4">
        <v>2</v>
      </c>
      <c r="G2920" s="5">
        <v>2.08</v>
      </c>
      <c r="H2920" s="4">
        <v>0</v>
      </c>
    </row>
    <row r="2921" spans="1:8" x14ac:dyDescent="0.2">
      <c r="A2921" s="2" t="s">
        <v>196</v>
      </c>
      <c r="B2921" s="4">
        <v>56</v>
      </c>
      <c r="C2921" s="5">
        <v>25.69</v>
      </c>
      <c r="D2921" s="4">
        <v>23</v>
      </c>
      <c r="E2921" s="5">
        <v>20.72</v>
      </c>
      <c r="F2921" s="4">
        <v>33</v>
      </c>
      <c r="G2921" s="5">
        <v>34.380000000000003</v>
      </c>
      <c r="H2921" s="4">
        <v>0</v>
      </c>
    </row>
    <row r="2922" spans="1:8" x14ac:dyDescent="0.2">
      <c r="A2922" s="2" t="s">
        <v>197</v>
      </c>
      <c r="B2922" s="4">
        <v>1</v>
      </c>
      <c r="C2922" s="5">
        <v>0.46</v>
      </c>
      <c r="D2922" s="4">
        <v>0</v>
      </c>
      <c r="E2922" s="5">
        <v>0</v>
      </c>
      <c r="F2922" s="4">
        <v>1</v>
      </c>
      <c r="G2922" s="5">
        <v>1.04</v>
      </c>
      <c r="H2922" s="4">
        <v>0</v>
      </c>
    </row>
    <row r="2923" spans="1:8" x14ac:dyDescent="0.2">
      <c r="A2923" s="2" t="s">
        <v>198</v>
      </c>
      <c r="B2923" s="4">
        <v>17</v>
      </c>
      <c r="C2923" s="5">
        <v>7.8</v>
      </c>
      <c r="D2923" s="4">
        <v>10</v>
      </c>
      <c r="E2923" s="5">
        <v>9.01</v>
      </c>
      <c r="F2923" s="4">
        <v>7</v>
      </c>
      <c r="G2923" s="5">
        <v>7.29</v>
      </c>
      <c r="H2923" s="4">
        <v>0</v>
      </c>
    </row>
    <row r="2924" spans="1:8" x14ac:dyDescent="0.2">
      <c r="A2924" s="2" t="s">
        <v>199</v>
      </c>
      <c r="B2924" s="4">
        <v>9</v>
      </c>
      <c r="C2924" s="5">
        <v>4.13</v>
      </c>
      <c r="D2924" s="4">
        <v>3</v>
      </c>
      <c r="E2924" s="5">
        <v>2.7</v>
      </c>
      <c r="F2924" s="4">
        <v>6</v>
      </c>
      <c r="G2924" s="5">
        <v>6.25</v>
      </c>
      <c r="H2924" s="4">
        <v>0</v>
      </c>
    </row>
    <row r="2925" spans="1:8" x14ac:dyDescent="0.2">
      <c r="A2925" s="2" t="s">
        <v>200</v>
      </c>
      <c r="B2925" s="4">
        <v>40</v>
      </c>
      <c r="C2925" s="5">
        <v>18.350000000000001</v>
      </c>
      <c r="D2925" s="4">
        <v>37</v>
      </c>
      <c r="E2925" s="5">
        <v>33.33</v>
      </c>
      <c r="F2925" s="4">
        <v>3</v>
      </c>
      <c r="G2925" s="5">
        <v>3.13</v>
      </c>
      <c r="H2925" s="4">
        <v>0</v>
      </c>
    </row>
    <row r="2926" spans="1:8" x14ac:dyDescent="0.2">
      <c r="A2926" s="2" t="s">
        <v>201</v>
      </c>
      <c r="B2926" s="4">
        <v>25</v>
      </c>
      <c r="C2926" s="5">
        <v>11.47</v>
      </c>
      <c r="D2926" s="4">
        <v>19</v>
      </c>
      <c r="E2926" s="5">
        <v>17.12</v>
      </c>
      <c r="F2926" s="4">
        <v>5</v>
      </c>
      <c r="G2926" s="5">
        <v>5.21</v>
      </c>
      <c r="H2926" s="4">
        <v>0</v>
      </c>
    </row>
    <row r="2927" spans="1:8" x14ac:dyDescent="0.2">
      <c r="A2927" s="2" t="s">
        <v>202</v>
      </c>
      <c r="B2927" s="4">
        <v>9</v>
      </c>
      <c r="C2927" s="5">
        <v>4.13</v>
      </c>
      <c r="D2927" s="4">
        <v>3</v>
      </c>
      <c r="E2927" s="5">
        <v>2.7</v>
      </c>
      <c r="F2927" s="4">
        <v>0</v>
      </c>
      <c r="G2927" s="5">
        <v>0</v>
      </c>
      <c r="H2927" s="4">
        <v>0</v>
      </c>
    </row>
    <row r="2928" spans="1:8" x14ac:dyDescent="0.2">
      <c r="A2928" s="2" t="s">
        <v>203</v>
      </c>
      <c r="B2928" s="4">
        <v>10</v>
      </c>
      <c r="C2928" s="5">
        <v>4.59</v>
      </c>
      <c r="D2928" s="4">
        <v>4</v>
      </c>
      <c r="E2928" s="5">
        <v>3.6</v>
      </c>
      <c r="F2928" s="4">
        <v>2</v>
      </c>
      <c r="G2928" s="5">
        <v>2.08</v>
      </c>
      <c r="H2928" s="4">
        <v>0</v>
      </c>
    </row>
    <row r="2929" spans="1:8" x14ac:dyDescent="0.2">
      <c r="A2929" s="2" t="s">
        <v>204</v>
      </c>
      <c r="B2929" s="4">
        <v>12</v>
      </c>
      <c r="C2929" s="5">
        <v>5.5</v>
      </c>
      <c r="D2929" s="4">
        <v>7</v>
      </c>
      <c r="E2929" s="5">
        <v>6.31</v>
      </c>
      <c r="F2929" s="4">
        <v>5</v>
      </c>
      <c r="G2929" s="5">
        <v>5.21</v>
      </c>
      <c r="H2929" s="4">
        <v>0</v>
      </c>
    </row>
    <row r="2930" spans="1:8" x14ac:dyDescent="0.2">
      <c r="A2930" s="1" t="s">
        <v>183</v>
      </c>
      <c r="B2930" s="4">
        <v>288</v>
      </c>
      <c r="C2930" s="5">
        <v>100.02</v>
      </c>
      <c r="D2930" s="4">
        <v>152</v>
      </c>
      <c r="E2930" s="5">
        <v>100.02</v>
      </c>
      <c r="F2930" s="4">
        <v>123</v>
      </c>
      <c r="G2930" s="5">
        <v>100.00999999999999</v>
      </c>
      <c r="H2930" s="4">
        <v>0</v>
      </c>
    </row>
    <row r="2931" spans="1:8" x14ac:dyDescent="0.2">
      <c r="A2931" s="2" t="s">
        <v>190</v>
      </c>
      <c r="B2931" s="4">
        <v>0</v>
      </c>
      <c r="C2931" s="5">
        <v>0</v>
      </c>
      <c r="D2931" s="4">
        <v>0</v>
      </c>
      <c r="E2931" s="5">
        <v>0</v>
      </c>
      <c r="F2931" s="4">
        <v>0</v>
      </c>
      <c r="G2931" s="5">
        <v>0</v>
      </c>
      <c r="H2931" s="4">
        <v>0</v>
      </c>
    </row>
    <row r="2932" spans="1:8" x14ac:dyDescent="0.2">
      <c r="A2932" s="2" t="s">
        <v>191</v>
      </c>
      <c r="B2932" s="4">
        <v>26</v>
      </c>
      <c r="C2932" s="5">
        <v>9.0299999999999994</v>
      </c>
      <c r="D2932" s="4">
        <v>9</v>
      </c>
      <c r="E2932" s="5">
        <v>5.92</v>
      </c>
      <c r="F2932" s="4">
        <v>17</v>
      </c>
      <c r="G2932" s="5">
        <v>13.82</v>
      </c>
      <c r="H2932" s="4">
        <v>0</v>
      </c>
    </row>
    <row r="2933" spans="1:8" x14ac:dyDescent="0.2">
      <c r="A2933" s="2" t="s">
        <v>192</v>
      </c>
      <c r="B2933" s="4">
        <v>9</v>
      </c>
      <c r="C2933" s="5">
        <v>3.13</v>
      </c>
      <c r="D2933" s="4">
        <v>2</v>
      </c>
      <c r="E2933" s="5">
        <v>1.32</v>
      </c>
      <c r="F2933" s="4">
        <v>7</v>
      </c>
      <c r="G2933" s="5">
        <v>5.69</v>
      </c>
      <c r="H2933" s="4">
        <v>0</v>
      </c>
    </row>
    <row r="2934" spans="1:8" x14ac:dyDescent="0.2">
      <c r="A2934" s="2" t="s">
        <v>193</v>
      </c>
      <c r="B2934" s="4">
        <v>1</v>
      </c>
      <c r="C2934" s="5">
        <v>0.35</v>
      </c>
      <c r="D2934" s="4">
        <v>0</v>
      </c>
      <c r="E2934" s="5">
        <v>0</v>
      </c>
      <c r="F2934" s="4">
        <v>0</v>
      </c>
      <c r="G2934" s="5">
        <v>0</v>
      </c>
      <c r="H2934" s="4">
        <v>0</v>
      </c>
    </row>
    <row r="2935" spans="1:8" x14ac:dyDescent="0.2">
      <c r="A2935" s="2" t="s">
        <v>194</v>
      </c>
      <c r="B2935" s="4">
        <v>2</v>
      </c>
      <c r="C2935" s="5">
        <v>0.69</v>
      </c>
      <c r="D2935" s="4">
        <v>0</v>
      </c>
      <c r="E2935" s="5">
        <v>0</v>
      </c>
      <c r="F2935" s="4">
        <v>2</v>
      </c>
      <c r="G2935" s="5">
        <v>1.63</v>
      </c>
      <c r="H2935" s="4">
        <v>0</v>
      </c>
    </row>
    <row r="2936" spans="1:8" x14ac:dyDescent="0.2">
      <c r="A2936" s="2" t="s">
        <v>195</v>
      </c>
      <c r="B2936" s="4">
        <v>10</v>
      </c>
      <c r="C2936" s="5">
        <v>3.47</v>
      </c>
      <c r="D2936" s="4">
        <v>2</v>
      </c>
      <c r="E2936" s="5">
        <v>1.32</v>
      </c>
      <c r="F2936" s="4">
        <v>7</v>
      </c>
      <c r="G2936" s="5">
        <v>5.69</v>
      </c>
      <c r="H2936" s="4">
        <v>0</v>
      </c>
    </row>
    <row r="2937" spans="1:8" x14ac:dyDescent="0.2">
      <c r="A2937" s="2" t="s">
        <v>196</v>
      </c>
      <c r="B2937" s="4">
        <v>69</v>
      </c>
      <c r="C2937" s="5">
        <v>23.96</v>
      </c>
      <c r="D2937" s="4">
        <v>35</v>
      </c>
      <c r="E2937" s="5">
        <v>23.03</v>
      </c>
      <c r="F2937" s="4">
        <v>34</v>
      </c>
      <c r="G2937" s="5">
        <v>27.64</v>
      </c>
      <c r="H2937" s="4">
        <v>0</v>
      </c>
    </row>
    <row r="2938" spans="1:8" x14ac:dyDescent="0.2">
      <c r="A2938" s="2" t="s">
        <v>197</v>
      </c>
      <c r="B2938" s="4">
        <v>2</v>
      </c>
      <c r="C2938" s="5">
        <v>0.69</v>
      </c>
      <c r="D2938" s="4">
        <v>0</v>
      </c>
      <c r="E2938" s="5">
        <v>0</v>
      </c>
      <c r="F2938" s="4">
        <v>2</v>
      </c>
      <c r="G2938" s="5">
        <v>1.63</v>
      </c>
      <c r="H2938" s="4">
        <v>0</v>
      </c>
    </row>
    <row r="2939" spans="1:8" x14ac:dyDescent="0.2">
      <c r="A2939" s="2" t="s">
        <v>198</v>
      </c>
      <c r="B2939" s="4">
        <v>12</v>
      </c>
      <c r="C2939" s="5">
        <v>4.17</v>
      </c>
      <c r="D2939" s="4">
        <v>2</v>
      </c>
      <c r="E2939" s="5">
        <v>1.32</v>
      </c>
      <c r="F2939" s="4">
        <v>9</v>
      </c>
      <c r="G2939" s="5">
        <v>7.32</v>
      </c>
      <c r="H2939" s="4">
        <v>0</v>
      </c>
    </row>
    <row r="2940" spans="1:8" x14ac:dyDescent="0.2">
      <c r="A2940" s="2" t="s">
        <v>199</v>
      </c>
      <c r="B2940" s="4">
        <v>4</v>
      </c>
      <c r="C2940" s="5">
        <v>1.39</v>
      </c>
      <c r="D2940" s="4">
        <v>1</v>
      </c>
      <c r="E2940" s="5">
        <v>0.66</v>
      </c>
      <c r="F2940" s="4">
        <v>3</v>
      </c>
      <c r="G2940" s="5">
        <v>2.44</v>
      </c>
      <c r="H2940" s="4">
        <v>0</v>
      </c>
    </row>
    <row r="2941" spans="1:8" x14ac:dyDescent="0.2">
      <c r="A2941" s="2" t="s">
        <v>200</v>
      </c>
      <c r="B2941" s="4">
        <v>81</v>
      </c>
      <c r="C2941" s="5">
        <v>28.13</v>
      </c>
      <c r="D2941" s="4">
        <v>61</v>
      </c>
      <c r="E2941" s="5">
        <v>40.130000000000003</v>
      </c>
      <c r="F2941" s="4">
        <v>20</v>
      </c>
      <c r="G2941" s="5">
        <v>16.260000000000002</v>
      </c>
      <c r="H2941" s="4">
        <v>0</v>
      </c>
    </row>
    <row r="2942" spans="1:8" x14ac:dyDescent="0.2">
      <c r="A2942" s="2" t="s">
        <v>201</v>
      </c>
      <c r="B2942" s="4">
        <v>44</v>
      </c>
      <c r="C2942" s="5">
        <v>15.28</v>
      </c>
      <c r="D2942" s="4">
        <v>35</v>
      </c>
      <c r="E2942" s="5">
        <v>23.03</v>
      </c>
      <c r="F2942" s="4">
        <v>7</v>
      </c>
      <c r="G2942" s="5">
        <v>5.69</v>
      </c>
      <c r="H2942" s="4">
        <v>0</v>
      </c>
    </row>
    <row r="2943" spans="1:8" x14ac:dyDescent="0.2">
      <c r="A2943" s="2" t="s">
        <v>202</v>
      </c>
      <c r="B2943" s="4">
        <v>7</v>
      </c>
      <c r="C2943" s="5">
        <v>2.4300000000000002</v>
      </c>
      <c r="D2943" s="4">
        <v>2</v>
      </c>
      <c r="E2943" s="5">
        <v>1.32</v>
      </c>
      <c r="F2943" s="4">
        <v>2</v>
      </c>
      <c r="G2943" s="5">
        <v>1.63</v>
      </c>
      <c r="H2943" s="4">
        <v>0</v>
      </c>
    </row>
    <row r="2944" spans="1:8" x14ac:dyDescent="0.2">
      <c r="A2944" s="2" t="s">
        <v>203</v>
      </c>
      <c r="B2944" s="4">
        <v>12</v>
      </c>
      <c r="C2944" s="5">
        <v>4.17</v>
      </c>
      <c r="D2944" s="4">
        <v>3</v>
      </c>
      <c r="E2944" s="5">
        <v>1.97</v>
      </c>
      <c r="F2944" s="4">
        <v>6</v>
      </c>
      <c r="G2944" s="5">
        <v>4.88</v>
      </c>
      <c r="H2944" s="4">
        <v>0</v>
      </c>
    </row>
    <row r="2945" spans="1:8" x14ac:dyDescent="0.2">
      <c r="A2945" s="2" t="s">
        <v>204</v>
      </c>
      <c r="B2945" s="4">
        <v>9</v>
      </c>
      <c r="C2945" s="5">
        <v>3.13</v>
      </c>
      <c r="D2945" s="4">
        <v>0</v>
      </c>
      <c r="E2945" s="5">
        <v>0</v>
      </c>
      <c r="F2945" s="4">
        <v>7</v>
      </c>
      <c r="G2945" s="5">
        <v>5.69</v>
      </c>
      <c r="H2945" s="4">
        <v>0</v>
      </c>
    </row>
    <row r="2946" spans="1:8" x14ac:dyDescent="0.2">
      <c r="A2946" s="1" t="s">
        <v>184</v>
      </c>
      <c r="B2946" s="4">
        <v>58</v>
      </c>
      <c r="C2946" s="5">
        <v>99.970000000000013</v>
      </c>
      <c r="D2946" s="4">
        <v>22</v>
      </c>
      <c r="E2946" s="5">
        <v>100.02</v>
      </c>
      <c r="F2946" s="4">
        <v>33</v>
      </c>
      <c r="G2946" s="5">
        <v>99.990000000000023</v>
      </c>
      <c r="H2946" s="4">
        <v>0</v>
      </c>
    </row>
    <row r="2947" spans="1:8" x14ac:dyDescent="0.2">
      <c r="A2947" s="2" t="s">
        <v>190</v>
      </c>
      <c r="B2947" s="4">
        <v>1</v>
      </c>
      <c r="C2947" s="5">
        <v>1.72</v>
      </c>
      <c r="D2947" s="4">
        <v>0</v>
      </c>
      <c r="E2947" s="5">
        <v>0</v>
      </c>
      <c r="F2947" s="4">
        <v>1</v>
      </c>
      <c r="G2947" s="5">
        <v>3.03</v>
      </c>
      <c r="H2947" s="4">
        <v>0</v>
      </c>
    </row>
    <row r="2948" spans="1:8" x14ac:dyDescent="0.2">
      <c r="A2948" s="2" t="s">
        <v>191</v>
      </c>
      <c r="B2948" s="4">
        <v>3</v>
      </c>
      <c r="C2948" s="5">
        <v>5.17</v>
      </c>
      <c r="D2948" s="4">
        <v>1</v>
      </c>
      <c r="E2948" s="5">
        <v>4.55</v>
      </c>
      <c r="F2948" s="4">
        <v>2</v>
      </c>
      <c r="G2948" s="5">
        <v>6.06</v>
      </c>
      <c r="H2948" s="4">
        <v>0</v>
      </c>
    </row>
    <row r="2949" spans="1:8" x14ac:dyDescent="0.2">
      <c r="A2949" s="2" t="s">
        <v>192</v>
      </c>
      <c r="B2949" s="4">
        <v>4</v>
      </c>
      <c r="C2949" s="5">
        <v>6.9</v>
      </c>
      <c r="D2949" s="4">
        <v>0</v>
      </c>
      <c r="E2949" s="5">
        <v>0</v>
      </c>
      <c r="F2949" s="4">
        <v>4</v>
      </c>
      <c r="G2949" s="5">
        <v>12.12</v>
      </c>
      <c r="H2949" s="4">
        <v>0</v>
      </c>
    </row>
    <row r="2950" spans="1:8" x14ac:dyDescent="0.2">
      <c r="A2950" s="2" t="s">
        <v>193</v>
      </c>
      <c r="B2950" s="4">
        <v>1</v>
      </c>
      <c r="C2950" s="5">
        <v>1.72</v>
      </c>
      <c r="D2950" s="4">
        <v>0</v>
      </c>
      <c r="E2950" s="5">
        <v>0</v>
      </c>
      <c r="F2950" s="4">
        <v>0</v>
      </c>
      <c r="G2950" s="5">
        <v>0</v>
      </c>
      <c r="H2950" s="4">
        <v>0</v>
      </c>
    </row>
    <row r="2951" spans="1:8" x14ac:dyDescent="0.2">
      <c r="A2951" s="2" t="s">
        <v>194</v>
      </c>
      <c r="B2951" s="4">
        <v>1</v>
      </c>
      <c r="C2951" s="5">
        <v>1.72</v>
      </c>
      <c r="D2951" s="4">
        <v>0</v>
      </c>
      <c r="E2951" s="5">
        <v>0</v>
      </c>
      <c r="F2951" s="4">
        <v>1</v>
      </c>
      <c r="G2951" s="5">
        <v>3.03</v>
      </c>
      <c r="H2951" s="4">
        <v>0</v>
      </c>
    </row>
    <row r="2952" spans="1:8" x14ac:dyDescent="0.2">
      <c r="A2952" s="2" t="s">
        <v>195</v>
      </c>
      <c r="B2952" s="4">
        <v>1</v>
      </c>
      <c r="C2952" s="5">
        <v>1.72</v>
      </c>
      <c r="D2952" s="4">
        <v>0</v>
      </c>
      <c r="E2952" s="5">
        <v>0</v>
      </c>
      <c r="F2952" s="4">
        <v>1</v>
      </c>
      <c r="G2952" s="5">
        <v>3.03</v>
      </c>
      <c r="H2952" s="4">
        <v>0</v>
      </c>
    </row>
    <row r="2953" spans="1:8" x14ac:dyDescent="0.2">
      <c r="A2953" s="2" t="s">
        <v>196</v>
      </c>
      <c r="B2953" s="4">
        <v>12</v>
      </c>
      <c r="C2953" s="5">
        <v>20.69</v>
      </c>
      <c r="D2953" s="4">
        <v>3</v>
      </c>
      <c r="E2953" s="5">
        <v>13.64</v>
      </c>
      <c r="F2953" s="4">
        <v>9</v>
      </c>
      <c r="G2953" s="5">
        <v>27.27</v>
      </c>
      <c r="H2953" s="4">
        <v>0</v>
      </c>
    </row>
    <row r="2954" spans="1:8" x14ac:dyDescent="0.2">
      <c r="A2954" s="2" t="s">
        <v>197</v>
      </c>
      <c r="B2954" s="4">
        <v>0</v>
      </c>
      <c r="C2954" s="5">
        <v>0</v>
      </c>
      <c r="D2954" s="4">
        <v>0</v>
      </c>
      <c r="E2954" s="5">
        <v>0</v>
      </c>
      <c r="F2954" s="4">
        <v>0</v>
      </c>
      <c r="G2954" s="5">
        <v>0</v>
      </c>
      <c r="H2954" s="4">
        <v>0</v>
      </c>
    </row>
    <row r="2955" spans="1:8" x14ac:dyDescent="0.2">
      <c r="A2955" s="2" t="s">
        <v>198</v>
      </c>
      <c r="B2955" s="4">
        <v>1</v>
      </c>
      <c r="C2955" s="5">
        <v>1.72</v>
      </c>
      <c r="D2955" s="4">
        <v>0</v>
      </c>
      <c r="E2955" s="5">
        <v>0</v>
      </c>
      <c r="F2955" s="4">
        <v>1</v>
      </c>
      <c r="G2955" s="5">
        <v>3.03</v>
      </c>
      <c r="H2955" s="4">
        <v>0</v>
      </c>
    </row>
    <row r="2956" spans="1:8" x14ac:dyDescent="0.2">
      <c r="A2956" s="2" t="s">
        <v>199</v>
      </c>
      <c r="B2956" s="4">
        <v>3</v>
      </c>
      <c r="C2956" s="5">
        <v>5.17</v>
      </c>
      <c r="D2956" s="4">
        <v>0</v>
      </c>
      <c r="E2956" s="5">
        <v>0</v>
      </c>
      <c r="F2956" s="4">
        <v>3</v>
      </c>
      <c r="G2956" s="5">
        <v>9.09</v>
      </c>
      <c r="H2956" s="4">
        <v>0</v>
      </c>
    </row>
    <row r="2957" spans="1:8" x14ac:dyDescent="0.2">
      <c r="A2957" s="2" t="s">
        <v>200</v>
      </c>
      <c r="B2957" s="4">
        <v>15</v>
      </c>
      <c r="C2957" s="5">
        <v>25.86</v>
      </c>
      <c r="D2957" s="4">
        <v>11</v>
      </c>
      <c r="E2957" s="5">
        <v>50</v>
      </c>
      <c r="F2957" s="4">
        <v>4</v>
      </c>
      <c r="G2957" s="5">
        <v>12.12</v>
      </c>
      <c r="H2957" s="4">
        <v>0</v>
      </c>
    </row>
    <row r="2958" spans="1:8" x14ac:dyDescent="0.2">
      <c r="A2958" s="2" t="s">
        <v>201</v>
      </c>
      <c r="B2958" s="4">
        <v>8</v>
      </c>
      <c r="C2958" s="5">
        <v>13.79</v>
      </c>
      <c r="D2958" s="4">
        <v>3</v>
      </c>
      <c r="E2958" s="5">
        <v>13.64</v>
      </c>
      <c r="F2958" s="4">
        <v>5</v>
      </c>
      <c r="G2958" s="5">
        <v>15.15</v>
      </c>
      <c r="H2958" s="4">
        <v>0</v>
      </c>
    </row>
    <row r="2959" spans="1:8" x14ac:dyDescent="0.2">
      <c r="A2959" s="2" t="s">
        <v>202</v>
      </c>
      <c r="B2959" s="4">
        <v>3</v>
      </c>
      <c r="C2959" s="5">
        <v>5.17</v>
      </c>
      <c r="D2959" s="4">
        <v>2</v>
      </c>
      <c r="E2959" s="5">
        <v>9.09</v>
      </c>
      <c r="F2959" s="4">
        <v>0</v>
      </c>
      <c r="G2959" s="5">
        <v>0</v>
      </c>
      <c r="H2959" s="4">
        <v>0</v>
      </c>
    </row>
    <row r="2960" spans="1:8" x14ac:dyDescent="0.2">
      <c r="A2960" s="2" t="s">
        <v>203</v>
      </c>
      <c r="B2960" s="4">
        <v>4</v>
      </c>
      <c r="C2960" s="5">
        <v>6.9</v>
      </c>
      <c r="D2960" s="4">
        <v>1</v>
      </c>
      <c r="E2960" s="5">
        <v>4.55</v>
      </c>
      <c r="F2960" s="4">
        <v>2</v>
      </c>
      <c r="G2960" s="5">
        <v>6.06</v>
      </c>
      <c r="H2960" s="4">
        <v>0</v>
      </c>
    </row>
    <row r="2961" spans="1:8" x14ac:dyDescent="0.2">
      <c r="A2961" s="2" t="s">
        <v>204</v>
      </c>
      <c r="B2961" s="4">
        <v>1</v>
      </c>
      <c r="C2961" s="5">
        <v>1.72</v>
      </c>
      <c r="D2961" s="4">
        <v>1</v>
      </c>
      <c r="E2961" s="5">
        <v>4.55</v>
      </c>
      <c r="F2961" s="4">
        <v>0</v>
      </c>
      <c r="G2961" s="5">
        <v>0</v>
      </c>
      <c r="H2961" s="4">
        <v>0</v>
      </c>
    </row>
    <row r="2962" spans="1:8" x14ac:dyDescent="0.2">
      <c r="A2962" s="1" t="s">
        <v>185</v>
      </c>
      <c r="B2962" s="4">
        <v>206</v>
      </c>
      <c r="C2962" s="5">
        <v>100.01</v>
      </c>
      <c r="D2962" s="4">
        <v>97</v>
      </c>
      <c r="E2962" s="5">
        <v>99.980000000000018</v>
      </c>
      <c r="F2962" s="4">
        <v>105</v>
      </c>
      <c r="G2962" s="5">
        <v>99.990000000000038</v>
      </c>
      <c r="H2962" s="4">
        <v>0</v>
      </c>
    </row>
    <row r="2963" spans="1:8" x14ac:dyDescent="0.2">
      <c r="A2963" s="2" t="s">
        <v>190</v>
      </c>
      <c r="B2963" s="4">
        <v>0</v>
      </c>
      <c r="C2963" s="5">
        <v>0</v>
      </c>
      <c r="D2963" s="4">
        <v>0</v>
      </c>
      <c r="E2963" s="5">
        <v>0</v>
      </c>
      <c r="F2963" s="4">
        <v>0</v>
      </c>
      <c r="G2963" s="5">
        <v>0</v>
      </c>
      <c r="H2963" s="4">
        <v>0</v>
      </c>
    </row>
    <row r="2964" spans="1:8" x14ac:dyDescent="0.2">
      <c r="A2964" s="2" t="s">
        <v>191</v>
      </c>
      <c r="B2964" s="4">
        <v>23</v>
      </c>
      <c r="C2964" s="5">
        <v>11.17</v>
      </c>
      <c r="D2964" s="4">
        <v>5</v>
      </c>
      <c r="E2964" s="5">
        <v>5.15</v>
      </c>
      <c r="F2964" s="4">
        <v>18</v>
      </c>
      <c r="G2964" s="5">
        <v>17.14</v>
      </c>
      <c r="H2964" s="4">
        <v>0</v>
      </c>
    </row>
    <row r="2965" spans="1:8" x14ac:dyDescent="0.2">
      <c r="A2965" s="2" t="s">
        <v>192</v>
      </c>
      <c r="B2965" s="4">
        <v>27</v>
      </c>
      <c r="C2965" s="5">
        <v>13.11</v>
      </c>
      <c r="D2965" s="4">
        <v>5</v>
      </c>
      <c r="E2965" s="5">
        <v>5.15</v>
      </c>
      <c r="F2965" s="4">
        <v>22</v>
      </c>
      <c r="G2965" s="5">
        <v>20.95</v>
      </c>
      <c r="H2965" s="4">
        <v>0</v>
      </c>
    </row>
    <row r="2966" spans="1:8" x14ac:dyDescent="0.2">
      <c r="A2966" s="2" t="s">
        <v>193</v>
      </c>
      <c r="B2966" s="4">
        <v>4</v>
      </c>
      <c r="C2966" s="5">
        <v>1.94</v>
      </c>
      <c r="D2966" s="4">
        <v>0</v>
      </c>
      <c r="E2966" s="5">
        <v>0</v>
      </c>
      <c r="F2966" s="4">
        <v>3</v>
      </c>
      <c r="G2966" s="5">
        <v>2.86</v>
      </c>
      <c r="H2966" s="4">
        <v>0</v>
      </c>
    </row>
    <row r="2967" spans="1:8" x14ac:dyDescent="0.2">
      <c r="A2967" s="2" t="s">
        <v>194</v>
      </c>
      <c r="B2967" s="4">
        <v>0</v>
      </c>
      <c r="C2967" s="5">
        <v>0</v>
      </c>
      <c r="D2967" s="4">
        <v>0</v>
      </c>
      <c r="E2967" s="5">
        <v>0</v>
      </c>
      <c r="F2967" s="4">
        <v>0</v>
      </c>
      <c r="G2967" s="5">
        <v>0</v>
      </c>
      <c r="H2967" s="4">
        <v>0</v>
      </c>
    </row>
    <row r="2968" spans="1:8" x14ac:dyDescent="0.2">
      <c r="A2968" s="2" t="s">
        <v>195</v>
      </c>
      <c r="B2968" s="4">
        <v>6</v>
      </c>
      <c r="C2968" s="5">
        <v>2.91</v>
      </c>
      <c r="D2968" s="4">
        <v>2</v>
      </c>
      <c r="E2968" s="5">
        <v>2.06</v>
      </c>
      <c r="F2968" s="4">
        <v>4</v>
      </c>
      <c r="G2968" s="5">
        <v>3.81</v>
      </c>
      <c r="H2968" s="4">
        <v>0</v>
      </c>
    </row>
    <row r="2969" spans="1:8" x14ac:dyDescent="0.2">
      <c r="A2969" s="2" t="s">
        <v>196</v>
      </c>
      <c r="B2969" s="4">
        <v>52</v>
      </c>
      <c r="C2969" s="5">
        <v>25.24</v>
      </c>
      <c r="D2969" s="4">
        <v>18</v>
      </c>
      <c r="E2969" s="5">
        <v>18.559999999999999</v>
      </c>
      <c r="F2969" s="4">
        <v>34</v>
      </c>
      <c r="G2969" s="5">
        <v>32.380000000000003</v>
      </c>
      <c r="H2969" s="4">
        <v>0</v>
      </c>
    </row>
    <row r="2970" spans="1:8" x14ac:dyDescent="0.2">
      <c r="A2970" s="2" t="s">
        <v>197</v>
      </c>
      <c r="B2970" s="4">
        <v>1</v>
      </c>
      <c r="C2970" s="5">
        <v>0.49</v>
      </c>
      <c r="D2970" s="4">
        <v>0</v>
      </c>
      <c r="E2970" s="5">
        <v>0</v>
      </c>
      <c r="F2970" s="4">
        <v>1</v>
      </c>
      <c r="G2970" s="5">
        <v>0.95</v>
      </c>
      <c r="H2970" s="4">
        <v>0</v>
      </c>
    </row>
    <row r="2971" spans="1:8" x14ac:dyDescent="0.2">
      <c r="A2971" s="2" t="s">
        <v>198</v>
      </c>
      <c r="B2971" s="4">
        <v>5</v>
      </c>
      <c r="C2971" s="5">
        <v>2.4300000000000002</v>
      </c>
      <c r="D2971" s="4">
        <v>1</v>
      </c>
      <c r="E2971" s="5">
        <v>1.03</v>
      </c>
      <c r="F2971" s="4">
        <v>3</v>
      </c>
      <c r="G2971" s="5">
        <v>2.86</v>
      </c>
      <c r="H2971" s="4">
        <v>0</v>
      </c>
    </row>
    <row r="2972" spans="1:8" x14ac:dyDescent="0.2">
      <c r="A2972" s="2" t="s">
        <v>199</v>
      </c>
      <c r="B2972" s="4">
        <v>3</v>
      </c>
      <c r="C2972" s="5">
        <v>1.46</v>
      </c>
      <c r="D2972" s="4">
        <v>1</v>
      </c>
      <c r="E2972" s="5">
        <v>1.03</v>
      </c>
      <c r="F2972" s="4">
        <v>2</v>
      </c>
      <c r="G2972" s="5">
        <v>1.9</v>
      </c>
      <c r="H2972" s="4">
        <v>0</v>
      </c>
    </row>
    <row r="2973" spans="1:8" x14ac:dyDescent="0.2">
      <c r="A2973" s="2" t="s">
        <v>200</v>
      </c>
      <c r="B2973" s="4">
        <v>27</v>
      </c>
      <c r="C2973" s="5">
        <v>13.11</v>
      </c>
      <c r="D2973" s="4">
        <v>25</v>
      </c>
      <c r="E2973" s="5">
        <v>25.77</v>
      </c>
      <c r="F2973" s="4">
        <v>2</v>
      </c>
      <c r="G2973" s="5">
        <v>1.9</v>
      </c>
      <c r="H2973" s="4">
        <v>0</v>
      </c>
    </row>
    <row r="2974" spans="1:8" x14ac:dyDescent="0.2">
      <c r="A2974" s="2" t="s">
        <v>201</v>
      </c>
      <c r="B2974" s="4">
        <v>43</v>
      </c>
      <c r="C2974" s="5">
        <v>20.87</v>
      </c>
      <c r="D2974" s="4">
        <v>31</v>
      </c>
      <c r="E2974" s="5">
        <v>31.96</v>
      </c>
      <c r="F2974" s="4">
        <v>12</v>
      </c>
      <c r="G2974" s="5">
        <v>11.43</v>
      </c>
      <c r="H2974" s="4">
        <v>0</v>
      </c>
    </row>
    <row r="2975" spans="1:8" x14ac:dyDescent="0.2">
      <c r="A2975" s="2" t="s">
        <v>202</v>
      </c>
      <c r="B2975" s="4">
        <v>6</v>
      </c>
      <c r="C2975" s="5">
        <v>2.91</v>
      </c>
      <c r="D2975" s="4">
        <v>4</v>
      </c>
      <c r="E2975" s="5">
        <v>4.12</v>
      </c>
      <c r="F2975" s="4">
        <v>0</v>
      </c>
      <c r="G2975" s="5">
        <v>0</v>
      </c>
      <c r="H2975" s="4">
        <v>0</v>
      </c>
    </row>
    <row r="2976" spans="1:8" x14ac:dyDescent="0.2">
      <c r="A2976" s="2" t="s">
        <v>203</v>
      </c>
      <c r="B2976" s="4">
        <v>6</v>
      </c>
      <c r="C2976" s="5">
        <v>2.91</v>
      </c>
      <c r="D2976" s="4">
        <v>3</v>
      </c>
      <c r="E2976" s="5">
        <v>3.09</v>
      </c>
      <c r="F2976" s="4">
        <v>3</v>
      </c>
      <c r="G2976" s="5">
        <v>2.86</v>
      </c>
      <c r="H2976" s="4">
        <v>0</v>
      </c>
    </row>
    <row r="2977" spans="1:8" x14ac:dyDescent="0.2">
      <c r="A2977" s="2" t="s">
        <v>204</v>
      </c>
      <c r="B2977" s="4">
        <v>3</v>
      </c>
      <c r="C2977" s="5">
        <v>1.46</v>
      </c>
      <c r="D2977" s="4">
        <v>2</v>
      </c>
      <c r="E2977" s="5">
        <v>2.06</v>
      </c>
      <c r="F2977" s="4">
        <v>1</v>
      </c>
      <c r="G2977" s="5">
        <v>0.95</v>
      </c>
      <c r="H2977" s="4">
        <v>0</v>
      </c>
    </row>
    <row r="2978" spans="1:8" x14ac:dyDescent="0.2">
      <c r="A2978" s="1" t="s">
        <v>186</v>
      </c>
      <c r="B2978" s="4">
        <v>346</v>
      </c>
      <c r="C2978" s="5">
        <v>100</v>
      </c>
      <c r="D2978" s="4">
        <v>185</v>
      </c>
      <c r="E2978" s="5">
        <v>100</v>
      </c>
      <c r="F2978" s="4">
        <v>141</v>
      </c>
      <c r="G2978" s="5">
        <v>100</v>
      </c>
      <c r="H2978" s="4">
        <v>3</v>
      </c>
    </row>
    <row r="2979" spans="1:8" x14ac:dyDescent="0.2">
      <c r="A2979" s="2" t="s">
        <v>190</v>
      </c>
      <c r="B2979" s="4">
        <v>0</v>
      </c>
      <c r="C2979" s="5">
        <v>0</v>
      </c>
      <c r="D2979" s="4">
        <v>0</v>
      </c>
      <c r="E2979" s="5">
        <v>0</v>
      </c>
      <c r="F2979" s="4">
        <v>0</v>
      </c>
      <c r="G2979" s="5">
        <v>0</v>
      </c>
      <c r="H2979" s="4">
        <v>0</v>
      </c>
    </row>
    <row r="2980" spans="1:8" x14ac:dyDescent="0.2">
      <c r="A2980" s="2" t="s">
        <v>191</v>
      </c>
      <c r="B2980" s="4">
        <v>46</v>
      </c>
      <c r="C2980" s="5">
        <v>13.29</v>
      </c>
      <c r="D2980" s="4">
        <v>14</v>
      </c>
      <c r="E2980" s="5">
        <v>7.57</v>
      </c>
      <c r="F2980" s="4">
        <v>32</v>
      </c>
      <c r="G2980" s="5">
        <v>22.7</v>
      </c>
      <c r="H2980" s="4">
        <v>0</v>
      </c>
    </row>
    <row r="2981" spans="1:8" x14ac:dyDescent="0.2">
      <c r="A2981" s="2" t="s">
        <v>192</v>
      </c>
      <c r="B2981" s="4">
        <v>28</v>
      </c>
      <c r="C2981" s="5">
        <v>8.09</v>
      </c>
      <c r="D2981" s="4">
        <v>7</v>
      </c>
      <c r="E2981" s="5">
        <v>3.78</v>
      </c>
      <c r="F2981" s="4">
        <v>21</v>
      </c>
      <c r="G2981" s="5">
        <v>14.89</v>
      </c>
      <c r="H2981" s="4">
        <v>0</v>
      </c>
    </row>
    <row r="2982" spans="1:8" x14ac:dyDescent="0.2">
      <c r="A2982" s="2" t="s">
        <v>193</v>
      </c>
      <c r="B2982" s="4">
        <v>4</v>
      </c>
      <c r="C2982" s="5">
        <v>1.1599999999999999</v>
      </c>
      <c r="D2982" s="4">
        <v>0</v>
      </c>
      <c r="E2982" s="5">
        <v>0</v>
      </c>
      <c r="F2982" s="4">
        <v>3</v>
      </c>
      <c r="G2982" s="5">
        <v>2.13</v>
      </c>
      <c r="H2982" s="4">
        <v>0</v>
      </c>
    </row>
    <row r="2983" spans="1:8" x14ac:dyDescent="0.2">
      <c r="A2983" s="2" t="s">
        <v>194</v>
      </c>
      <c r="B2983" s="4">
        <v>0</v>
      </c>
      <c r="C2983" s="5">
        <v>0</v>
      </c>
      <c r="D2983" s="4">
        <v>0</v>
      </c>
      <c r="E2983" s="5">
        <v>0</v>
      </c>
      <c r="F2983" s="4">
        <v>0</v>
      </c>
      <c r="G2983" s="5">
        <v>0</v>
      </c>
      <c r="H2983" s="4">
        <v>0</v>
      </c>
    </row>
    <row r="2984" spans="1:8" x14ac:dyDescent="0.2">
      <c r="A2984" s="2" t="s">
        <v>195</v>
      </c>
      <c r="B2984" s="4">
        <v>5</v>
      </c>
      <c r="C2984" s="5">
        <v>1.45</v>
      </c>
      <c r="D2984" s="4">
        <v>1</v>
      </c>
      <c r="E2984" s="5">
        <v>0.54</v>
      </c>
      <c r="F2984" s="4">
        <v>2</v>
      </c>
      <c r="G2984" s="5">
        <v>1.42</v>
      </c>
      <c r="H2984" s="4">
        <v>1</v>
      </c>
    </row>
    <row r="2985" spans="1:8" x14ac:dyDescent="0.2">
      <c r="A2985" s="2" t="s">
        <v>196</v>
      </c>
      <c r="B2985" s="4">
        <v>78</v>
      </c>
      <c r="C2985" s="5">
        <v>22.54</v>
      </c>
      <c r="D2985" s="4">
        <v>30</v>
      </c>
      <c r="E2985" s="5">
        <v>16.22</v>
      </c>
      <c r="F2985" s="4">
        <v>48</v>
      </c>
      <c r="G2985" s="5">
        <v>34.04</v>
      </c>
      <c r="H2985" s="4">
        <v>0</v>
      </c>
    </row>
    <row r="2986" spans="1:8" x14ac:dyDescent="0.2">
      <c r="A2986" s="2" t="s">
        <v>197</v>
      </c>
      <c r="B2986" s="4">
        <v>1</v>
      </c>
      <c r="C2986" s="5">
        <v>0.28999999999999998</v>
      </c>
      <c r="D2986" s="4">
        <v>1</v>
      </c>
      <c r="E2986" s="5">
        <v>0.54</v>
      </c>
      <c r="F2986" s="4">
        <v>0</v>
      </c>
      <c r="G2986" s="5">
        <v>0</v>
      </c>
      <c r="H2986" s="4">
        <v>0</v>
      </c>
    </row>
    <row r="2987" spans="1:8" x14ac:dyDescent="0.2">
      <c r="A2987" s="2" t="s">
        <v>198</v>
      </c>
      <c r="B2987" s="4">
        <v>38</v>
      </c>
      <c r="C2987" s="5">
        <v>10.98</v>
      </c>
      <c r="D2987" s="4">
        <v>30</v>
      </c>
      <c r="E2987" s="5">
        <v>16.22</v>
      </c>
      <c r="F2987" s="4">
        <v>8</v>
      </c>
      <c r="G2987" s="5">
        <v>5.67</v>
      </c>
      <c r="H2987" s="4">
        <v>0</v>
      </c>
    </row>
    <row r="2988" spans="1:8" x14ac:dyDescent="0.2">
      <c r="A2988" s="2" t="s">
        <v>199</v>
      </c>
      <c r="B2988" s="4">
        <v>9</v>
      </c>
      <c r="C2988" s="5">
        <v>2.6</v>
      </c>
      <c r="D2988" s="4">
        <v>4</v>
      </c>
      <c r="E2988" s="5">
        <v>2.16</v>
      </c>
      <c r="F2988" s="4">
        <v>5</v>
      </c>
      <c r="G2988" s="5">
        <v>3.55</v>
      </c>
      <c r="H2988" s="4">
        <v>0</v>
      </c>
    </row>
    <row r="2989" spans="1:8" x14ac:dyDescent="0.2">
      <c r="A2989" s="2" t="s">
        <v>200</v>
      </c>
      <c r="B2989" s="4">
        <v>53</v>
      </c>
      <c r="C2989" s="5">
        <v>15.32</v>
      </c>
      <c r="D2989" s="4">
        <v>45</v>
      </c>
      <c r="E2989" s="5">
        <v>24.32</v>
      </c>
      <c r="F2989" s="4">
        <v>8</v>
      </c>
      <c r="G2989" s="5">
        <v>5.67</v>
      </c>
      <c r="H2989" s="4">
        <v>0</v>
      </c>
    </row>
    <row r="2990" spans="1:8" x14ac:dyDescent="0.2">
      <c r="A2990" s="2" t="s">
        <v>201</v>
      </c>
      <c r="B2990" s="4">
        <v>38</v>
      </c>
      <c r="C2990" s="5">
        <v>10.98</v>
      </c>
      <c r="D2990" s="4">
        <v>31</v>
      </c>
      <c r="E2990" s="5">
        <v>16.760000000000002</v>
      </c>
      <c r="F2990" s="4">
        <v>3</v>
      </c>
      <c r="G2990" s="5">
        <v>2.13</v>
      </c>
      <c r="H2990" s="4">
        <v>0</v>
      </c>
    </row>
    <row r="2991" spans="1:8" x14ac:dyDescent="0.2">
      <c r="A2991" s="2" t="s">
        <v>202</v>
      </c>
      <c r="B2991" s="4">
        <v>10</v>
      </c>
      <c r="C2991" s="5">
        <v>2.89</v>
      </c>
      <c r="D2991" s="4">
        <v>7</v>
      </c>
      <c r="E2991" s="5">
        <v>3.78</v>
      </c>
      <c r="F2991" s="4">
        <v>0</v>
      </c>
      <c r="G2991" s="5">
        <v>0</v>
      </c>
      <c r="H2991" s="4">
        <v>0</v>
      </c>
    </row>
    <row r="2992" spans="1:8" x14ac:dyDescent="0.2">
      <c r="A2992" s="2" t="s">
        <v>203</v>
      </c>
      <c r="B2992" s="4">
        <v>14</v>
      </c>
      <c r="C2992" s="5">
        <v>4.05</v>
      </c>
      <c r="D2992" s="4">
        <v>4</v>
      </c>
      <c r="E2992" s="5">
        <v>2.16</v>
      </c>
      <c r="F2992" s="4">
        <v>2</v>
      </c>
      <c r="G2992" s="5">
        <v>1.42</v>
      </c>
      <c r="H2992" s="4">
        <v>1</v>
      </c>
    </row>
    <row r="2993" spans="1:8" x14ac:dyDescent="0.2">
      <c r="A2993" s="2" t="s">
        <v>204</v>
      </c>
      <c r="B2993" s="4">
        <v>22</v>
      </c>
      <c r="C2993" s="5">
        <v>6.36</v>
      </c>
      <c r="D2993" s="4">
        <v>11</v>
      </c>
      <c r="E2993" s="5">
        <v>5.95</v>
      </c>
      <c r="F2993" s="4">
        <v>9</v>
      </c>
      <c r="G2993" s="5">
        <v>6.38</v>
      </c>
      <c r="H2993" s="4">
        <v>1</v>
      </c>
    </row>
    <row r="2994" spans="1:8" x14ac:dyDescent="0.2">
      <c r="A2994" s="1" t="s">
        <v>187</v>
      </c>
      <c r="B2994" s="4">
        <v>825</v>
      </c>
      <c r="C2994" s="5">
        <v>99.99</v>
      </c>
      <c r="D2994" s="4">
        <v>465</v>
      </c>
      <c r="E2994" s="5">
        <v>100.02000000000001</v>
      </c>
      <c r="F2994" s="4">
        <v>349</v>
      </c>
      <c r="G2994" s="5">
        <v>99.990000000000009</v>
      </c>
      <c r="H2994" s="4">
        <v>3</v>
      </c>
    </row>
    <row r="2995" spans="1:8" x14ac:dyDescent="0.2">
      <c r="A2995" s="2" t="s">
        <v>190</v>
      </c>
      <c r="B2995" s="4">
        <v>0</v>
      </c>
      <c r="C2995" s="5">
        <v>0</v>
      </c>
      <c r="D2995" s="4">
        <v>0</v>
      </c>
      <c r="E2995" s="5">
        <v>0</v>
      </c>
      <c r="F2995" s="4">
        <v>0</v>
      </c>
      <c r="G2995" s="5">
        <v>0</v>
      </c>
      <c r="H2995" s="4">
        <v>0</v>
      </c>
    </row>
    <row r="2996" spans="1:8" x14ac:dyDescent="0.2">
      <c r="A2996" s="2" t="s">
        <v>191</v>
      </c>
      <c r="B2996" s="4">
        <v>117</v>
      </c>
      <c r="C2996" s="5">
        <v>14.18</v>
      </c>
      <c r="D2996" s="4">
        <v>42</v>
      </c>
      <c r="E2996" s="5">
        <v>9.0299999999999994</v>
      </c>
      <c r="F2996" s="4">
        <v>75</v>
      </c>
      <c r="G2996" s="5">
        <v>21.49</v>
      </c>
      <c r="H2996" s="4">
        <v>0</v>
      </c>
    </row>
    <row r="2997" spans="1:8" x14ac:dyDescent="0.2">
      <c r="A2997" s="2" t="s">
        <v>192</v>
      </c>
      <c r="B2997" s="4">
        <v>45</v>
      </c>
      <c r="C2997" s="5">
        <v>5.45</v>
      </c>
      <c r="D2997" s="4">
        <v>13</v>
      </c>
      <c r="E2997" s="5">
        <v>2.8</v>
      </c>
      <c r="F2997" s="4">
        <v>31</v>
      </c>
      <c r="G2997" s="5">
        <v>8.8800000000000008</v>
      </c>
      <c r="H2997" s="4">
        <v>1</v>
      </c>
    </row>
    <row r="2998" spans="1:8" x14ac:dyDescent="0.2">
      <c r="A2998" s="2" t="s">
        <v>193</v>
      </c>
      <c r="B2998" s="4">
        <v>3</v>
      </c>
      <c r="C2998" s="5">
        <v>0.36</v>
      </c>
      <c r="D2998" s="4">
        <v>0</v>
      </c>
      <c r="E2998" s="5">
        <v>0</v>
      </c>
      <c r="F2998" s="4">
        <v>2</v>
      </c>
      <c r="G2998" s="5">
        <v>0.56999999999999995</v>
      </c>
      <c r="H2998" s="4">
        <v>0</v>
      </c>
    </row>
    <row r="2999" spans="1:8" x14ac:dyDescent="0.2">
      <c r="A2999" s="2" t="s">
        <v>194</v>
      </c>
      <c r="B2999" s="4">
        <v>5</v>
      </c>
      <c r="C2999" s="5">
        <v>0.61</v>
      </c>
      <c r="D2999" s="4">
        <v>2</v>
      </c>
      <c r="E2999" s="5">
        <v>0.43</v>
      </c>
      <c r="F2999" s="4">
        <v>3</v>
      </c>
      <c r="G2999" s="5">
        <v>0.86</v>
      </c>
      <c r="H2999" s="4">
        <v>0</v>
      </c>
    </row>
    <row r="3000" spans="1:8" x14ac:dyDescent="0.2">
      <c r="A3000" s="2" t="s">
        <v>195</v>
      </c>
      <c r="B3000" s="4">
        <v>13</v>
      </c>
      <c r="C3000" s="5">
        <v>1.58</v>
      </c>
      <c r="D3000" s="4">
        <v>2</v>
      </c>
      <c r="E3000" s="5">
        <v>0.43</v>
      </c>
      <c r="F3000" s="4">
        <v>11</v>
      </c>
      <c r="G3000" s="5">
        <v>3.15</v>
      </c>
      <c r="H3000" s="4">
        <v>0</v>
      </c>
    </row>
    <row r="3001" spans="1:8" x14ac:dyDescent="0.2">
      <c r="A3001" s="2" t="s">
        <v>196</v>
      </c>
      <c r="B3001" s="4">
        <v>204</v>
      </c>
      <c r="C3001" s="5">
        <v>24.73</v>
      </c>
      <c r="D3001" s="4">
        <v>76</v>
      </c>
      <c r="E3001" s="5">
        <v>16.34</v>
      </c>
      <c r="F3001" s="4">
        <v>128</v>
      </c>
      <c r="G3001" s="5">
        <v>36.68</v>
      </c>
      <c r="H3001" s="4">
        <v>0</v>
      </c>
    </row>
    <row r="3002" spans="1:8" x14ac:dyDescent="0.2">
      <c r="A3002" s="2" t="s">
        <v>197</v>
      </c>
      <c r="B3002" s="4">
        <v>11</v>
      </c>
      <c r="C3002" s="5">
        <v>1.33</v>
      </c>
      <c r="D3002" s="4">
        <v>3</v>
      </c>
      <c r="E3002" s="5">
        <v>0.65</v>
      </c>
      <c r="F3002" s="4">
        <v>8</v>
      </c>
      <c r="G3002" s="5">
        <v>2.29</v>
      </c>
      <c r="H3002" s="4">
        <v>0</v>
      </c>
    </row>
    <row r="3003" spans="1:8" x14ac:dyDescent="0.2">
      <c r="A3003" s="2" t="s">
        <v>198</v>
      </c>
      <c r="B3003" s="4">
        <v>77</v>
      </c>
      <c r="C3003" s="5">
        <v>9.33</v>
      </c>
      <c r="D3003" s="4">
        <v>55</v>
      </c>
      <c r="E3003" s="5">
        <v>11.83</v>
      </c>
      <c r="F3003" s="4">
        <v>21</v>
      </c>
      <c r="G3003" s="5">
        <v>6.02</v>
      </c>
      <c r="H3003" s="4">
        <v>0</v>
      </c>
    </row>
    <row r="3004" spans="1:8" x14ac:dyDescent="0.2">
      <c r="A3004" s="2" t="s">
        <v>199</v>
      </c>
      <c r="B3004" s="4">
        <v>36</v>
      </c>
      <c r="C3004" s="5">
        <v>4.3600000000000003</v>
      </c>
      <c r="D3004" s="4">
        <v>17</v>
      </c>
      <c r="E3004" s="5">
        <v>3.66</v>
      </c>
      <c r="F3004" s="4">
        <v>17</v>
      </c>
      <c r="G3004" s="5">
        <v>4.87</v>
      </c>
      <c r="H3004" s="4">
        <v>0</v>
      </c>
    </row>
    <row r="3005" spans="1:8" x14ac:dyDescent="0.2">
      <c r="A3005" s="2" t="s">
        <v>200</v>
      </c>
      <c r="B3005" s="4">
        <v>123</v>
      </c>
      <c r="C3005" s="5">
        <v>14.91</v>
      </c>
      <c r="D3005" s="4">
        <v>110</v>
      </c>
      <c r="E3005" s="5">
        <v>23.66</v>
      </c>
      <c r="F3005" s="4">
        <v>13</v>
      </c>
      <c r="G3005" s="5">
        <v>3.72</v>
      </c>
      <c r="H3005" s="4">
        <v>0</v>
      </c>
    </row>
    <row r="3006" spans="1:8" x14ac:dyDescent="0.2">
      <c r="A3006" s="2" t="s">
        <v>201</v>
      </c>
      <c r="B3006" s="4">
        <v>110</v>
      </c>
      <c r="C3006" s="5">
        <v>13.33</v>
      </c>
      <c r="D3006" s="4">
        <v>93</v>
      </c>
      <c r="E3006" s="5">
        <v>20</v>
      </c>
      <c r="F3006" s="4">
        <v>16</v>
      </c>
      <c r="G3006" s="5">
        <v>4.58</v>
      </c>
      <c r="H3006" s="4">
        <v>0</v>
      </c>
    </row>
    <row r="3007" spans="1:8" x14ac:dyDescent="0.2">
      <c r="A3007" s="2" t="s">
        <v>202</v>
      </c>
      <c r="B3007" s="4">
        <v>25</v>
      </c>
      <c r="C3007" s="5">
        <v>3.03</v>
      </c>
      <c r="D3007" s="4">
        <v>19</v>
      </c>
      <c r="E3007" s="5">
        <v>4.09</v>
      </c>
      <c r="F3007" s="4">
        <v>4</v>
      </c>
      <c r="G3007" s="5">
        <v>1.1499999999999999</v>
      </c>
      <c r="H3007" s="4">
        <v>1</v>
      </c>
    </row>
    <row r="3008" spans="1:8" x14ac:dyDescent="0.2">
      <c r="A3008" s="2" t="s">
        <v>203</v>
      </c>
      <c r="B3008" s="4">
        <v>31</v>
      </c>
      <c r="C3008" s="5">
        <v>3.76</v>
      </c>
      <c r="D3008" s="4">
        <v>22</v>
      </c>
      <c r="E3008" s="5">
        <v>4.7300000000000004</v>
      </c>
      <c r="F3008" s="4">
        <v>9</v>
      </c>
      <c r="G3008" s="5">
        <v>2.58</v>
      </c>
      <c r="H3008" s="4">
        <v>0</v>
      </c>
    </row>
    <row r="3009" spans="1:8" x14ac:dyDescent="0.2">
      <c r="A3009" s="2" t="s">
        <v>204</v>
      </c>
      <c r="B3009" s="4">
        <v>25</v>
      </c>
      <c r="C3009" s="5">
        <v>3.03</v>
      </c>
      <c r="D3009" s="4">
        <v>11</v>
      </c>
      <c r="E3009" s="5">
        <v>2.37</v>
      </c>
      <c r="F3009" s="4">
        <v>11</v>
      </c>
      <c r="G3009" s="5">
        <v>3.15</v>
      </c>
      <c r="H3009" s="4">
        <v>1</v>
      </c>
    </row>
    <row r="3010" spans="1:8" x14ac:dyDescent="0.2">
      <c r="A3010" s="1" t="s">
        <v>188</v>
      </c>
      <c r="B3010" s="4">
        <v>147</v>
      </c>
      <c r="C3010" s="5">
        <v>99.99</v>
      </c>
      <c r="D3010" s="4">
        <v>79</v>
      </c>
      <c r="E3010" s="5">
        <v>99.999999999999986</v>
      </c>
      <c r="F3010" s="4">
        <v>54</v>
      </c>
      <c r="G3010" s="5">
        <v>99.99</v>
      </c>
      <c r="H3010" s="4">
        <v>0</v>
      </c>
    </row>
    <row r="3011" spans="1:8" x14ac:dyDescent="0.2">
      <c r="A3011" s="2" t="s">
        <v>190</v>
      </c>
      <c r="B3011" s="4">
        <v>0</v>
      </c>
      <c r="C3011" s="5">
        <v>0</v>
      </c>
      <c r="D3011" s="4">
        <v>0</v>
      </c>
      <c r="E3011" s="5">
        <v>0</v>
      </c>
      <c r="F3011" s="4">
        <v>0</v>
      </c>
      <c r="G3011" s="5">
        <v>0</v>
      </c>
      <c r="H3011" s="4">
        <v>0</v>
      </c>
    </row>
    <row r="3012" spans="1:8" x14ac:dyDescent="0.2">
      <c r="A3012" s="2" t="s">
        <v>191</v>
      </c>
      <c r="B3012" s="4">
        <v>21</v>
      </c>
      <c r="C3012" s="5">
        <v>14.29</v>
      </c>
      <c r="D3012" s="4">
        <v>6</v>
      </c>
      <c r="E3012" s="5">
        <v>7.59</v>
      </c>
      <c r="F3012" s="4">
        <v>15</v>
      </c>
      <c r="G3012" s="5">
        <v>27.78</v>
      </c>
      <c r="H3012" s="4">
        <v>0</v>
      </c>
    </row>
    <row r="3013" spans="1:8" x14ac:dyDescent="0.2">
      <c r="A3013" s="2" t="s">
        <v>192</v>
      </c>
      <c r="B3013" s="4">
        <v>16</v>
      </c>
      <c r="C3013" s="5">
        <v>10.88</v>
      </c>
      <c r="D3013" s="4">
        <v>4</v>
      </c>
      <c r="E3013" s="5">
        <v>5.0599999999999996</v>
      </c>
      <c r="F3013" s="4">
        <v>12</v>
      </c>
      <c r="G3013" s="5">
        <v>22.22</v>
      </c>
      <c r="H3013" s="4">
        <v>0</v>
      </c>
    </row>
    <row r="3014" spans="1:8" x14ac:dyDescent="0.2">
      <c r="A3014" s="2" t="s">
        <v>193</v>
      </c>
      <c r="B3014" s="4">
        <v>1</v>
      </c>
      <c r="C3014" s="5">
        <v>0.68</v>
      </c>
      <c r="D3014" s="4">
        <v>0</v>
      </c>
      <c r="E3014" s="5">
        <v>0</v>
      </c>
      <c r="F3014" s="4">
        <v>1</v>
      </c>
      <c r="G3014" s="5">
        <v>1.85</v>
      </c>
      <c r="H3014" s="4">
        <v>0</v>
      </c>
    </row>
    <row r="3015" spans="1:8" x14ac:dyDescent="0.2">
      <c r="A3015" s="2" t="s">
        <v>194</v>
      </c>
      <c r="B3015" s="4">
        <v>0</v>
      </c>
      <c r="C3015" s="5">
        <v>0</v>
      </c>
      <c r="D3015" s="4">
        <v>0</v>
      </c>
      <c r="E3015" s="5">
        <v>0</v>
      </c>
      <c r="F3015" s="4">
        <v>0</v>
      </c>
      <c r="G3015" s="5">
        <v>0</v>
      </c>
      <c r="H3015" s="4">
        <v>0</v>
      </c>
    </row>
    <row r="3016" spans="1:8" x14ac:dyDescent="0.2">
      <c r="A3016" s="2" t="s">
        <v>195</v>
      </c>
      <c r="B3016" s="4">
        <v>3</v>
      </c>
      <c r="C3016" s="5">
        <v>2.04</v>
      </c>
      <c r="D3016" s="4">
        <v>0</v>
      </c>
      <c r="E3016" s="5">
        <v>0</v>
      </c>
      <c r="F3016" s="4">
        <v>3</v>
      </c>
      <c r="G3016" s="5">
        <v>5.56</v>
      </c>
      <c r="H3016" s="4">
        <v>0</v>
      </c>
    </row>
    <row r="3017" spans="1:8" x14ac:dyDescent="0.2">
      <c r="A3017" s="2" t="s">
        <v>196</v>
      </c>
      <c r="B3017" s="4">
        <v>28</v>
      </c>
      <c r="C3017" s="5">
        <v>19.05</v>
      </c>
      <c r="D3017" s="4">
        <v>15</v>
      </c>
      <c r="E3017" s="5">
        <v>18.989999999999998</v>
      </c>
      <c r="F3017" s="4">
        <v>13</v>
      </c>
      <c r="G3017" s="5">
        <v>24.07</v>
      </c>
      <c r="H3017" s="4">
        <v>0</v>
      </c>
    </row>
    <row r="3018" spans="1:8" x14ac:dyDescent="0.2">
      <c r="A3018" s="2" t="s">
        <v>197</v>
      </c>
      <c r="B3018" s="4">
        <v>1</v>
      </c>
      <c r="C3018" s="5">
        <v>0.68</v>
      </c>
      <c r="D3018" s="4">
        <v>1</v>
      </c>
      <c r="E3018" s="5">
        <v>1.27</v>
      </c>
      <c r="F3018" s="4">
        <v>0</v>
      </c>
      <c r="G3018" s="5">
        <v>0</v>
      </c>
      <c r="H3018" s="4">
        <v>0</v>
      </c>
    </row>
    <row r="3019" spans="1:8" x14ac:dyDescent="0.2">
      <c r="A3019" s="2" t="s">
        <v>198</v>
      </c>
      <c r="B3019" s="4">
        <v>9</v>
      </c>
      <c r="C3019" s="5">
        <v>6.12</v>
      </c>
      <c r="D3019" s="4">
        <v>7</v>
      </c>
      <c r="E3019" s="5">
        <v>8.86</v>
      </c>
      <c r="F3019" s="4">
        <v>1</v>
      </c>
      <c r="G3019" s="5">
        <v>1.85</v>
      </c>
      <c r="H3019" s="4">
        <v>0</v>
      </c>
    </row>
    <row r="3020" spans="1:8" x14ac:dyDescent="0.2">
      <c r="A3020" s="2" t="s">
        <v>199</v>
      </c>
      <c r="B3020" s="4">
        <v>6</v>
      </c>
      <c r="C3020" s="5">
        <v>4.08</v>
      </c>
      <c r="D3020" s="4">
        <v>2</v>
      </c>
      <c r="E3020" s="5">
        <v>2.5299999999999998</v>
      </c>
      <c r="F3020" s="4">
        <v>3</v>
      </c>
      <c r="G3020" s="5">
        <v>5.56</v>
      </c>
      <c r="H3020" s="4">
        <v>0</v>
      </c>
    </row>
    <row r="3021" spans="1:8" x14ac:dyDescent="0.2">
      <c r="A3021" s="2" t="s">
        <v>200</v>
      </c>
      <c r="B3021" s="4">
        <v>30</v>
      </c>
      <c r="C3021" s="5">
        <v>20.41</v>
      </c>
      <c r="D3021" s="4">
        <v>28</v>
      </c>
      <c r="E3021" s="5">
        <v>35.44</v>
      </c>
      <c r="F3021" s="4">
        <v>1</v>
      </c>
      <c r="G3021" s="5">
        <v>1.85</v>
      </c>
      <c r="H3021" s="4">
        <v>0</v>
      </c>
    </row>
    <row r="3022" spans="1:8" x14ac:dyDescent="0.2">
      <c r="A3022" s="2" t="s">
        <v>201</v>
      </c>
      <c r="B3022" s="4">
        <v>9</v>
      </c>
      <c r="C3022" s="5">
        <v>6.12</v>
      </c>
      <c r="D3022" s="4">
        <v>8</v>
      </c>
      <c r="E3022" s="5">
        <v>10.130000000000001</v>
      </c>
      <c r="F3022" s="4">
        <v>0</v>
      </c>
      <c r="G3022" s="5">
        <v>0</v>
      </c>
      <c r="H3022" s="4">
        <v>0</v>
      </c>
    </row>
    <row r="3023" spans="1:8" x14ac:dyDescent="0.2">
      <c r="A3023" s="2" t="s">
        <v>202</v>
      </c>
      <c r="B3023" s="4">
        <v>6</v>
      </c>
      <c r="C3023" s="5">
        <v>4.08</v>
      </c>
      <c r="D3023" s="4">
        <v>2</v>
      </c>
      <c r="E3023" s="5">
        <v>2.5299999999999998</v>
      </c>
      <c r="F3023" s="4">
        <v>1</v>
      </c>
      <c r="G3023" s="5">
        <v>1.85</v>
      </c>
      <c r="H3023" s="4">
        <v>0</v>
      </c>
    </row>
    <row r="3024" spans="1:8" x14ac:dyDescent="0.2">
      <c r="A3024" s="2" t="s">
        <v>203</v>
      </c>
      <c r="B3024" s="4">
        <v>10</v>
      </c>
      <c r="C3024" s="5">
        <v>6.8</v>
      </c>
      <c r="D3024" s="4">
        <v>3</v>
      </c>
      <c r="E3024" s="5">
        <v>3.8</v>
      </c>
      <c r="F3024" s="4">
        <v>2</v>
      </c>
      <c r="G3024" s="5">
        <v>3.7</v>
      </c>
      <c r="H3024" s="4">
        <v>0</v>
      </c>
    </row>
    <row r="3025" spans="1:8" x14ac:dyDescent="0.2">
      <c r="A3025" s="2" t="s">
        <v>204</v>
      </c>
      <c r="B3025" s="4">
        <v>7</v>
      </c>
      <c r="C3025" s="5">
        <v>4.76</v>
      </c>
      <c r="D3025" s="4">
        <v>3</v>
      </c>
      <c r="E3025" s="5">
        <v>3.8</v>
      </c>
      <c r="F3025" s="4">
        <v>2</v>
      </c>
      <c r="G3025" s="5">
        <v>3.7</v>
      </c>
      <c r="H3025" s="4">
        <v>0</v>
      </c>
    </row>
    <row r="3026" spans="1:8" x14ac:dyDescent="0.2">
      <c r="A3026" s="1" t="s">
        <v>189</v>
      </c>
      <c r="B3026" s="4">
        <v>172</v>
      </c>
      <c r="C3026" s="5">
        <v>99.999999999999972</v>
      </c>
      <c r="D3026" s="4">
        <v>86</v>
      </c>
      <c r="E3026" s="5">
        <v>100</v>
      </c>
      <c r="F3026" s="4">
        <v>82</v>
      </c>
      <c r="G3026" s="5">
        <v>100.01999999999998</v>
      </c>
      <c r="H3026" s="4">
        <v>0</v>
      </c>
    </row>
    <row r="3027" spans="1:8" x14ac:dyDescent="0.2">
      <c r="A3027" s="2" t="s">
        <v>190</v>
      </c>
      <c r="B3027" s="4">
        <v>0</v>
      </c>
      <c r="C3027" s="5">
        <v>0</v>
      </c>
      <c r="D3027" s="4">
        <v>0</v>
      </c>
      <c r="E3027" s="5">
        <v>0</v>
      </c>
      <c r="F3027" s="4">
        <v>0</v>
      </c>
      <c r="G3027" s="5">
        <v>0</v>
      </c>
      <c r="H3027" s="4">
        <v>0</v>
      </c>
    </row>
    <row r="3028" spans="1:8" x14ac:dyDescent="0.2">
      <c r="A3028" s="2" t="s">
        <v>191</v>
      </c>
      <c r="B3028" s="4">
        <v>10</v>
      </c>
      <c r="C3028" s="5">
        <v>5.81</v>
      </c>
      <c r="D3028" s="4">
        <v>3</v>
      </c>
      <c r="E3028" s="5">
        <v>3.49</v>
      </c>
      <c r="F3028" s="4">
        <v>7</v>
      </c>
      <c r="G3028" s="5">
        <v>8.5399999999999991</v>
      </c>
      <c r="H3028" s="4">
        <v>0</v>
      </c>
    </row>
    <row r="3029" spans="1:8" x14ac:dyDescent="0.2">
      <c r="A3029" s="2" t="s">
        <v>192</v>
      </c>
      <c r="B3029" s="4">
        <v>21</v>
      </c>
      <c r="C3029" s="5">
        <v>12.21</v>
      </c>
      <c r="D3029" s="4">
        <v>4</v>
      </c>
      <c r="E3029" s="5">
        <v>4.6500000000000004</v>
      </c>
      <c r="F3029" s="4">
        <v>17</v>
      </c>
      <c r="G3029" s="5">
        <v>20.73</v>
      </c>
      <c r="H3029" s="4">
        <v>0</v>
      </c>
    </row>
    <row r="3030" spans="1:8" x14ac:dyDescent="0.2">
      <c r="A3030" s="2" t="s">
        <v>193</v>
      </c>
      <c r="B3030" s="4">
        <v>1</v>
      </c>
      <c r="C3030" s="5">
        <v>0.57999999999999996</v>
      </c>
      <c r="D3030" s="4">
        <v>0</v>
      </c>
      <c r="E3030" s="5">
        <v>0</v>
      </c>
      <c r="F3030" s="4">
        <v>0</v>
      </c>
      <c r="G3030" s="5">
        <v>0</v>
      </c>
      <c r="H3030" s="4">
        <v>0</v>
      </c>
    </row>
    <row r="3031" spans="1:8" x14ac:dyDescent="0.2">
      <c r="A3031" s="2" t="s">
        <v>194</v>
      </c>
      <c r="B3031" s="4">
        <v>1</v>
      </c>
      <c r="C3031" s="5">
        <v>0.57999999999999996</v>
      </c>
      <c r="D3031" s="4">
        <v>0</v>
      </c>
      <c r="E3031" s="5">
        <v>0</v>
      </c>
      <c r="F3031" s="4">
        <v>1</v>
      </c>
      <c r="G3031" s="5">
        <v>1.22</v>
      </c>
      <c r="H3031" s="4">
        <v>0</v>
      </c>
    </row>
    <row r="3032" spans="1:8" x14ac:dyDescent="0.2">
      <c r="A3032" s="2" t="s">
        <v>195</v>
      </c>
      <c r="B3032" s="4">
        <v>6</v>
      </c>
      <c r="C3032" s="5">
        <v>3.49</v>
      </c>
      <c r="D3032" s="4">
        <v>1</v>
      </c>
      <c r="E3032" s="5">
        <v>1.1599999999999999</v>
      </c>
      <c r="F3032" s="4">
        <v>5</v>
      </c>
      <c r="G3032" s="5">
        <v>6.1</v>
      </c>
      <c r="H3032" s="4">
        <v>0</v>
      </c>
    </row>
    <row r="3033" spans="1:8" x14ac:dyDescent="0.2">
      <c r="A3033" s="2" t="s">
        <v>196</v>
      </c>
      <c r="B3033" s="4">
        <v>40</v>
      </c>
      <c r="C3033" s="5">
        <v>23.26</v>
      </c>
      <c r="D3033" s="4">
        <v>13</v>
      </c>
      <c r="E3033" s="5">
        <v>15.12</v>
      </c>
      <c r="F3033" s="4">
        <v>27</v>
      </c>
      <c r="G3033" s="5">
        <v>32.93</v>
      </c>
      <c r="H3033" s="4">
        <v>0</v>
      </c>
    </row>
    <row r="3034" spans="1:8" x14ac:dyDescent="0.2">
      <c r="A3034" s="2" t="s">
        <v>197</v>
      </c>
      <c r="B3034" s="4">
        <v>1</v>
      </c>
      <c r="C3034" s="5">
        <v>0.57999999999999996</v>
      </c>
      <c r="D3034" s="4">
        <v>0</v>
      </c>
      <c r="E3034" s="5">
        <v>0</v>
      </c>
      <c r="F3034" s="4">
        <v>1</v>
      </c>
      <c r="G3034" s="5">
        <v>1.22</v>
      </c>
      <c r="H3034" s="4">
        <v>0</v>
      </c>
    </row>
    <row r="3035" spans="1:8" x14ac:dyDescent="0.2">
      <c r="A3035" s="2" t="s">
        <v>198</v>
      </c>
      <c r="B3035" s="4">
        <v>26</v>
      </c>
      <c r="C3035" s="5">
        <v>15.12</v>
      </c>
      <c r="D3035" s="4">
        <v>16</v>
      </c>
      <c r="E3035" s="5">
        <v>18.600000000000001</v>
      </c>
      <c r="F3035" s="4">
        <v>10</v>
      </c>
      <c r="G3035" s="5">
        <v>12.2</v>
      </c>
      <c r="H3035" s="4">
        <v>0</v>
      </c>
    </row>
    <row r="3036" spans="1:8" x14ac:dyDescent="0.2">
      <c r="A3036" s="2" t="s">
        <v>199</v>
      </c>
      <c r="B3036" s="4">
        <v>2</v>
      </c>
      <c r="C3036" s="5">
        <v>1.1599999999999999</v>
      </c>
      <c r="D3036" s="4">
        <v>1</v>
      </c>
      <c r="E3036" s="5">
        <v>1.1599999999999999</v>
      </c>
      <c r="F3036" s="4">
        <v>1</v>
      </c>
      <c r="G3036" s="5">
        <v>1.22</v>
      </c>
      <c r="H3036" s="4">
        <v>0</v>
      </c>
    </row>
    <row r="3037" spans="1:8" x14ac:dyDescent="0.2">
      <c r="A3037" s="2" t="s">
        <v>200</v>
      </c>
      <c r="B3037" s="4">
        <v>33</v>
      </c>
      <c r="C3037" s="5">
        <v>19.190000000000001</v>
      </c>
      <c r="D3037" s="4">
        <v>29</v>
      </c>
      <c r="E3037" s="5">
        <v>33.72</v>
      </c>
      <c r="F3037" s="4">
        <v>4</v>
      </c>
      <c r="G3037" s="5">
        <v>4.88</v>
      </c>
      <c r="H3037" s="4">
        <v>0</v>
      </c>
    </row>
    <row r="3038" spans="1:8" x14ac:dyDescent="0.2">
      <c r="A3038" s="2" t="s">
        <v>201</v>
      </c>
      <c r="B3038" s="4">
        <v>17</v>
      </c>
      <c r="C3038" s="5">
        <v>9.8800000000000008</v>
      </c>
      <c r="D3038" s="4">
        <v>14</v>
      </c>
      <c r="E3038" s="5">
        <v>16.28</v>
      </c>
      <c r="F3038" s="4">
        <v>2</v>
      </c>
      <c r="G3038" s="5">
        <v>2.44</v>
      </c>
      <c r="H3038" s="4">
        <v>0</v>
      </c>
    </row>
    <row r="3039" spans="1:8" x14ac:dyDescent="0.2">
      <c r="A3039" s="2" t="s">
        <v>202</v>
      </c>
      <c r="B3039" s="4">
        <v>1</v>
      </c>
      <c r="C3039" s="5">
        <v>0.57999999999999996</v>
      </c>
      <c r="D3039" s="4">
        <v>0</v>
      </c>
      <c r="E3039" s="5">
        <v>0</v>
      </c>
      <c r="F3039" s="4">
        <v>0</v>
      </c>
      <c r="G3039" s="5">
        <v>0</v>
      </c>
      <c r="H3039" s="4">
        <v>0</v>
      </c>
    </row>
    <row r="3040" spans="1:8" x14ac:dyDescent="0.2">
      <c r="A3040" s="2" t="s">
        <v>203</v>
      </c>
      <c r="B3040" s="4">
        <v>6</v>
      </c>
      <c r="C3040" s="5">
        <v>3.49</v>
      </c>
      <c r="D3040" s="4">
        <v>3</v>
      </c>
      <c r="E3040" s="5">
        <v>3.49</v>
      </c>
      <c r="F3040" s="4">
        <v>2</v>
      </c>
      <c r="G3040" s="5">
        <v>2.44</v>
      </c>
      <c r="H3040" s="4">
        <v>0</v>
      </c>
    </row>
    <row r="3041" spans="1:8" x14ac:dyDescent="0.2">
      <c r="A3041" s="2" t="s">
        <v>204</v>
      </c>
      <c r="B3041" s="4">
        <v>7</v>
      </c>
      <c r="C3041" s="5">
        <v>4.07</v>
      </c>
      <c r="D3041" s="4">
        <v>2</v>
      </c>
      <c r="E3041" s="5">
        <v>2.33</v>
      </c>
      <c r="F3041" s="4">
        <v>5</v>
      </c>
      <c r="G3041" s="5">
        <v>6.1</v>
      </c>
      <c r="H3041" s="4">
        <v>0</v>
      </c>
    </row>
  </sheetData>
  <phoneticPr fontId="1"/>
  <pageMargins left="0.70866141732283505" right="0.70866141732283505" top="0.74803149606299202" bottom="0.74803149606299202" header="0.31496062992126" footer="0.31496062992126"/>
  <pageSetup paperSize="12" fitToHeight="0" orientation="portrait" r:id="rId2"/>
  <headerFooter>
    <oddHeader>&amp;C自治体別　産業大分類別　事業所数</oddHeader>
    <oddFooter>&amp;C&amp;P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B13DB-C019-4336-BB39-92A71F3E849A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265</v>
      </c>
      <c r="D6" s="8">
        <v>12.83</v>
      </c>
      <c r="E6" s="12">
        <v>43</v>
      </c>
      <c r="F6" s="8">
        <v>4.33</v>
      </c>
      <c r="G6" s="12">
        <v>222</v>
      </c>
      <c r="H6" s="8">
        <v>21.1</v>
      </c>
      <c r="I6" s="12">
        <v>0</v>
      </c>
    </row>
    <row r="7" spans="2:9" ht="15" customHeight="1" x14ac:dyDescent="0.2">
      <c r="B7" t="s">
        <v>192</v>
      </c>
      <c r="C7" s="12">
        <v>110</v>
      </c>
      <c r="D7" s="8">
        <v>5.32</v>
      </c>
      <c r="E7" s="12">
        <v>30</v>
      </c>
      <c r="F7" s="8">
        <v>3.02</v>
      </c>
      <c r="G7" s="12">
        <v>80</v>
      </c>
      <c r="H7" s="8">
        <v>7.6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0.1</v>
      </c>
      <c r="E8" s="12">
        <v>0</v>
      </c>
      <c r="F8" s="8">
        <v>0</v>
      </c>
      <c r="G8" s="12">
        <v>1</v>
      </c>
      <c r="H8" s="8">
        <v>0.1</v>
      </c>
      <c r="I8" s="12">
        <v>0</v>
      </c>
    </row>
    <row r="9" spans="2:9" ht="15" customHeight="1" x14ac:dyDescent="0.2">
      <c r="B9" t="s">
        <v>194</v>
      </c>
      <c r="C9" s="12">
        <v>15</v>
      </c>
      <c r="D9" s="8">
        <v>0.73</v>
      </c>
      <c r="E9" s="12">
        <v>1</v>
      </c>
      <c r="F9" s="8">
        <v>0.1</v>
      </c>
      <c r="G9" s="12">
        <v>14</v>
      </c>
      <c r="H9" s="8">
        <v>1.33</v>
      </c>
      <c r="I9" s="12">
        <v>0</v>
      </c>
    </row>
    <row r="10" spans="2:9" ht="15" customHeight="1" x14ac:dyDescent="0.2">
      <c r="B10" t="s">
        <v>195</v>
      </c>
      <c r="C10" s="12">
        <v>37</v>
      </c>
      <c r="D10" s="8">
        <v>1.79</v>
      </c>
      <c r="E10" s="12">
        <v>13</v>
      </c>
      <c r="F10" s="8">
        <v>1.31</v>
      </c>
      <c r="G10" s="12">
        <v>24</v>
      </c>
      <c r="H10" s="8">
        <v>2.2799999999999998</v>
      </c>
      <c r="I10" s="12">
        <v>0</v>
      </c>
    </row>
    <row r="11" spans="2:9" ht="15" customHeight="1" x14ac:dyDescent="0.2">
      <c r="B11" t="s">
        <v>196</v>
      </c>
      <c r="C11" s="12">
        <v>486</v>
      </c>
      <c r="D11" s="8">
        <v>23.52</v>
      </c>
      <c r="E11" s="12">
        <v>164</v>
      </c>
      <c r="F11" s="8">
        <v>16.5</v>
      </c>
      <c r="G11" s="12">
        <v>322</v>
      </c>
      <c r="H11" s="8">
        <v>30.61</v>
      </c>
      <c r="I11" s="12">
        <v>0</v>
      </c>
    </row>
    <row r="12" spans="2:9" ht="15" customHeight="1" x14ac:dyDescent="0.2">
      <c r="B12" t="s">
        <v>197</v>
      </c>
      <c r="C12" s="12">
        <v>34</v>
      </c>
      <c r="D12" s="8">
        <v>1.65</v>
      </c>
      <c r="E12" s="12">
        <v>5</v>
      </c>
      <c r="F12" s="8">
        <v>0.5</v>
      </c>
      <c r="G12" s="12">
        <v>29</v>
      </c>
      <c r="H12" s="8">
        <v>2.76</v>
      </c>
      <c r="I12" s="12">
        <v>0</v>
      </c>
    </row>
    <row r="13" spans="2:9" ht="15" customHeight="1" x14ac:dyDescent="0.2">
      <c r="B13" t="s">
        <v>198</v>
      </c>
      <c r="C13" s="12">
        <v>213</v>
      </c>
      <c r="D13" s="8">
        <v>10.31</v>
      </c>
      <c r="E13" s="12">
        <v>98</v>
      </c>
      <c r="F13" s="8">
        <v>9.86</v>
      </c>
      <c r="G13" s="12">
        <v>113</v>
      </c>
      <c r="H13" s="8">
        <v>10.74</v>
      </c>
      <c r="I13" s="12">
        <v>1</v>
      </c>
    </row>
    <row r="14" spans="2:9" ht="15" customHeight="1" x14ac:dyDescent="0.2">
      <c r="B14" t="s">
        <v>199</v>
      </c>
      <c r="C14" s="12">
        <v>77</v>
      </c>
      <c r="D14" s="8">
        <v>3.73</v>
      </c>
      <c r="E14" s="12">
        <v>41</v>
      </c>
      <c r="F14" s="8">
        <v>4.12</v>
      </c>
      <c r="G14" s="12">
        <v>32</v>
      </c>
      <c r="H14" s="8">
        <v>3.04</v>
      </c>
      <c r="I14" s="12">
        <v>0</v>
      </c>
    </row>
    <row r="15" spans="2:9" ht="15" customHeight="1" x14ac:dyDescent="0.2">
      <c r="B15" t="s">
        <v>200</v>
      </c>
      <c r="C15" s="12">
        <v>358</v>
      </c>
      <c r="D15" s="8">
        <v>17.329999999999998</v>
      </c>
      <c r="E15" s="12">
        <v>297</v>
      </c>
      <c r="F15" s="8">
        <v>29.88</v>
      </c>
      <c r="G15" s="12">
        <v>60</v>
      </c>
      <c r="H15" s="8">
        <v>5.7</v>
      </c>
      <c r="I15" s="12">
        <v>0</v>
      </c>
    </row>
    <row r="16" spans="2:9" ht="15" customHeight="1" x14ac:dyDescent="0.2">
      <c r="B16" t="s">
        <v>201</v>
      </c>
      <c r="C16" s="12">
        <v>253</v>
      </c>
      <c r="D16" s="8">
        <v>12.25</v>
      </c>
      <c r="E16" s="12">
        <v>205</v>
      </c>
      <c r="F16" s="8">
        <v>20.62</v>
      </c>
      <c r="G16" s="12">
        <v>46</v>
      </c>
      <c r="H16" s="8">
        <v>4.37</v>
      </c>
      <c r="I16" s="12">
        <v>1</v>
      </c>
    </row>
    <row r="17" spans="2:9" ht="15" customHeight="1" x14ac:dyDescent="0.2">
      <c r="B17" t="s">
        <v>202</v>
      </c>
      <c r="C17" s="12">
        <v>44</v>
      </c>
      <c r="D17" s="8">
        <v>2.13</v>
      </c>
      <c r="E17" s="12">
        <v>24</v>
      </c>
      <c r="F17" s="8">
        <v>2.41</v>
      </c>
      <c r="G17" s="12">
        <v>14</v>
      </c>
      <c r="H17" s="8">
        <v>1.33</v>
      </c>
      <c r="I17" s="12">
        <v>0</v>
      </c>
    </row>
    <row r="18" spans="2:9" ht="15" customHeight="1" x14ac:dyDescent="0.2">
      <c r="B18" t="s">
        <v>203</v>
      </c>
      <c r="C18" s="12">
        <v>81</v>
      </c>
      <c r="D18" s="8">
        <v>3.92</v>
      </c>
      <c r="E18" s="12">
        <v>46</v>
      </c>
      <c r="F18" s="8">
        <v>4.63</v>
      </c>
      <c r="G18" s="12">
        <v>34</v>
      </c>
      <c r="H18" s="8">
        <v>3.23</v>
      </c>
      <c r="I18" s="12">
        <v>0</v>
      </c>
    </row>
    <row r="19" spans="2:9" ht="15" customHeight="1" x14ac:dyDescent="0.2">
      <c r="B19" t="s">
        <v>204</v>
      </c>
      <c r="C19" s="12">
        <v>91</v>
      </c>
      <c r="D19" s="8">
        <v>4.4000000000000004</v>
      </c>
      <c r="E19" s="12">
        <v>27</v>
      </c>
      <c r="F19" s="8">
        <v>2.72</v>
      </c>
      <c r="G19" s="12">
        <v>61</v>
      </c>
      <c r="H19" s="8">
        <v>5.8</v>
      </c>
      <c r="I19" s="12">
        <v>2</v>
      </c>
    </row>
    <row r="20" spans="2:9" ht="15" customHeight="1" x14ac:dyDescent="0.2">
      <c r="B20" s="9" t="s">
        <v>529</v>
      </c>
      <c r="C20" s="12">
        <f>SUM(LTBL_01205[総数／事業所数])</f>
        <v>2066</v>
      </c>
      <c r="E20" s="12">
        <f>SUBTOTAL(109,LTBL_01205[個人／事業所数])</f>
        <v>994</v>
      </c>
      <c r="G20" s="12">
        <f>SUBTOTAL(109,LTBL_01205[法人／事業所数])</f>
        <v>1052</v>
      </c>
      <c r="I20" s="12">
        <f>SUBTOTAL(109,LTBL_01205[法人以外の団体／事業所数])</f>
        <v>4</v>
      </c>
    </row>
    <row r="21" spans="2:9" ht="15" customHeight="1" x14ac:dyDescent="0.2">
      <c r="E21" s="11">
        <f>LTBL_01205[[#Totals],[個人／事業所数]]/LTBL_01205[[#Totals],[総数／事業所数]]</f>
        <v>0.48112294288480156</v>
      </c>
      <c r="G21" s="11">
        <f>LTBL_01205[[#Totals],[法人／事業所数]]/LTBL_01205[[#Totals],[総数／事業所数]]</f>
        <v>0.50919651500484031</v>
      </c>
      <c r="I21" s="11">
        <f>LTBL_01205[[#Totals],[法人以外の団体／事業所数]]/LTBL_01205[[#Totals],[総数／事業所数]]</f>
        <v>1.9361084220716361E-3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322</v>
      </c>
      <c r="D24" s="8">
        <v>15.59</v>
      </c>
      <c r="E24" s="12">
        <v>287</v>
      </c>
      <c r="F24" s="8">
        <v>28.87</v>
      </c>
      <c r="G24" s="12">
        <v>35</v>
      </c>
      <c r="H24" s="8">
        <v>3.33</v>
      </c>
      <c r="I24" s="12">
        <v>0</v>
      </c>
    </row>
    <row r="25" spans="2:9" ht="15" customHeight="1" x14ac:dyDescent="0.2">
      <c r="B25" t="s">
        <v>228</v>
      </c>
      <c r="C25" s="12">
        <v>224</v>
      </c>
      <c r="D25" s="8">
        <v>10.84</v>
      </c>
      <c r="E25" s="12">
        <v>189</v>
      </c>
      <c r="F25" s="8">
        <v>19.010000000000002</v>
      </c>
      <c r="G25" s="12">
        <v>35</v>
      </c>
      <c r="H25" s="8">
        <v>3.33</v>
      </c>
      <c r="I25" s="12">
        <v>0</v>
      </c>
    </row>
    <row r="26" spans="2:9" ht="15" customHeight="1" x14ac:dyDescent="0.2">
      <c r="B26" t="s">
        <v>224</v>
      </c>
      <c r="C26" s="12">
        <v>184</v>
      </c>
      <c r="D26" s="8">
        <v>8.91</v>
      </c>
      <c r="E26" s="12">
        <v>97</v>
      </c>
      <c r="F26" s="8">
        <v>9.76</v>
      </c>
      <c r="G26" s="12">
        <v>85</v>
      </c>
      <c r="H26" s="8">
        <v>8.08</v>
      </c>
      <c r="I26" s="12">
        <v>1</v>
      </c>
    </row>
    <row r="27" spans="2:9" ht="15" customHeight="1" x14ac:dyDescent="0.2">
      <c r="B27" t="s">
        <v>223</v>
      </c>
      <c r="C27" s="12">
        <v>142</v>
      </c>
      <c r="D27" s="8">
        <v>6.87</v>
      </c>
      <c r="E27" s="12">
        <v>53</v>
      </c>
      <c r="F27" s="8">
        <v>5.33</v>
      </c>
      <c r="G27" s="12">
        <v>89</v>
      </c>
      <c r="H27" s="8">
        <v>8.4600000000000009</v>
      </c>
      <c r="I27" s="12">
        <v>0</v>
      </c>
    </row>
    <row r="28" spans="2:9" ht="15" customHeight="1" x14ac:dyDescent="0.2">
      <c r="B28" t="s">
        <v>221</v>
      </c>
      <c r="C28" s="12">
        <v>98</v>
      </c>
      <c r="D28" s="8">
        <v>4.74</v>
      </c>
      <c r="E28" s="12">
        <v>53</v>
      </c>
      <c r="F28" s="8">
        <v>5.33</v>
      </c>
      <c r="G28" s="12">
        <v>45</v>
      </c>
      <c r="H28" s="8">
        <v>4.28</v>
      </c>
      <c r="I28" s="12">
        <v>0</v>
      </c>
    </row>
    <row r="29" spans="2:9" ht="15" customHeight="1" x14ac:dyDescent="0.2">
      <c r="B29" t="s">
        <v>213</v>
      </c>
      <c r="C29" s="12">
        <v>95</v>
      </c>
      <c r="D29" s="8">
        <v>4.5999999999999996</v>
      </c>
      <c r="E29" s="12">
        <v>10</v>
      </c>
      <c r="F29" s="8">
        <v>1.01</v>
      </c>
      <c r="G29" s="12">
        <v>85</v>
      </c>
      <c r="H29" s="8">
        <v>8.08</v>
      </c>
      <c r="I29" s="12">
        <v>0</v>
      </c>
    </row>
    <row r="30" spans="2:9" ht="15" customHeight="1" x14ac:dyDescent="0.2">
      <c r="B30" t="s">
        <v>214</v>
      </c>
      <c r="C30" s="12">
        <v>86</v>
      </c>
      <c r="D30" s="8">
        <v>4.16</v>
      </c>
      <c r="E30" s="12">
        <v>25</v>
      </c>
      <c r="F30" s="8">
        <v>2.52</v>
      </c>
      <c r="G30" s="12">
        <v>61</v>
      </c>
      <c r="H30" s="8">
        <v>5.8</v>
      </c>
      <c r="I30" s="12">
        <v>0</v>
      </c>
    </row>
    <row r="31" spans="2:9" ht="15" customHeight="1" x14ac:dyDescent="0.2">
      <c r="B31" t="s">
        <v>215</v>
      </c>
      <c r="C31" s="12">
        <v>84</v>
      </c>
      <c r="D31" s="8">
        <v>4.07</v>
      </c>
      <c r="E31" s="12">
        <v>8</v>
      </c>
      <c r="F31" s="8">
        <v>0.8</v>
      </c>
      <c r="G31" s="12">
        <v>76</v>
      </c>
      <c r="H31" s="8">
        <v>7.22</v>
      </c>
      <c r="I31" s="12">
        <v>0</v>
      </c>
    </row>
    <row r="32" spans="2:9" ht="15" customHeight="1" x14ac:dyDescent="0.2">
      <c r="B32" t="s">
        <v>231</v>
      </c>
      <c r="C32" s="12">
        <v>51</v>
      </c>
      <c r="D32" s="8">
        <v>2.4700000000000002</v>
      </c>
      <c r="E32" s="12">
        <v>45</v>
      </c>
      <c r="F32" s="8">
        <v>4.53</v>
      </c>
      <c r="G32" s="12">
        <v>6</v>
      </c>
      <c r="H32" s="8">
        <v>0.56999999999999995</v>
      </c>
      <c r="I32" s="12">
        <v>0</v>
      </c>
    </row>
    <row r="33" spans="2:9" ht="15" customHeight="1" x14ac:dyDescent="0.2">
      <c r="B33" t="s">
        <v>222</v>
      </c>
      <c r="C33" s="12">
        <v>48</v>
      </c>
      <c r="D33" s="8">
        <v>2.3199999999999998</v>
      </c>
      <c r="E33" s="12">
        <v>21</v>
      </c>
      <c r="F33" s="8">
        <v>2.11</v>
      </c>
      <c r="G33" s="12">
        <v>27</v>
      </c>
      <c r="H33" s="8">
        <v>2.57</v>
      </c>
      <c r="I33" s="12">
        <v>0</v>
      </c>
    </row>
    <row r="34" spans="2:9" ht="15" customHeight="1" x14ac:dyDescent="0.2">
      <c r="B34" t="s">
        <v>217</v>
      </c>
      <c r="C34" s="12">
        <v>46</v>
      </c>
      <c r="D34" s="8">
        <v>2.23</v>
      </c>
      <c r="E34" s="12">
        <v>2</v>
      </c>
      <c r="F34" s="8">
        <v>0.2</v>
      </c>
      <c r="G34" s="12">
        <v>44</v>
      </c>
      <c r="H34" s="8">
        <v>4.18</v>
      </c>
      <c r="I34" s="12">
        <v>0</v>
      </c>
    </row>
    <row r="35" spans="2:9" ht="15" customHeight="1" x14ac:dyDescent="0.2">
      <c r="B35" t="s">
        <v>218</v>
      </c>
      <c r="C35" s="12">
        <v>46</v>
      </c>
      <c r="D35" s="8">
        <v>2.23</v>
      </c>
      <c r="E35" s="12">
        <v>3</v>
      </c>
      <c r="F35" s="8">
        <v>0.3</v>
      </c>
      <c r="G35" s="12">
        <v>43</v>
      </c>
      <c r="H35" s="8">
        <v>4.09</v>
      </c>
      <c r="I35" s="12">
        <v>0</v>
      </c>
    </row>
    <row r="36" spans="2:9" ht="15" customHeight="1" x14ac:dyDescent="0.2">
      <c r="B36" t="s">
        <v>220</v>
      </c>
      <c r="C36" s="12">
        <v>45</v>
      </c>
      <c r="D36" s="8">
        <v>2.1800000000000002</v>
      </c>
      <c r="E36" s="12">
        <v>17</v>
      </c>
      <c r="F36" s="8">
        <v>1.71</v>
      </c>
      <c r="G36" s="12">
        <v>28</v>
      </c>
      <c r="H36" s="8">
        <v>2.66</v>
      </c>
      <c r="I36" s="12">
        <v>0</v>
      </c>
    </row>
    <row r="37" spans="2:9" ht="15" customHeight="1" x14ac:dyDescent="0.2">
      <c r="B37" t="s">
        <v>230</v>
      </c>
      <c r="C37" s="12">
        <v>44</v>
      </c>
      <c r="D37" s="8">
        <v>2.13</v>
      </c>
      <c r="E37" s="12">
        <v>24</v>
      </c>
      <c r="F37" s="8">
        <v>2.41</v>
      </c>
      <c r="G37" s="12">
        <v>14</v>
      </c>
      <c r="H37" s="8">
        <v>1.33</v>
      </c>
      <c r="I37" s="12">
        <v>0</v>
      </c>
    </row>
    <row r="38" spans="2:9" ht="15" customHeight="1" x14ac:dyDescent="0.2">
      <c r="B38" t="s">
        <v>225</v>
      </c>
      <c r="C38" s="12">
        <v>39</v>
      </c>
      <c r="D38" s="8">
        <v>1.89</v>
      </c>
      <c r="E38" s="12">
        <v>32</v>
      </c>
      <c r="F38" s="8">
        <v>3.22</v>
      </c>
      <c r="G38" s="12">
        <v>7</v>
      </c>
      <c r="H38" s="8">
        <v>0.67</v>
      </c>
      <c r="I38" s="12">
        <v>0</v>
      </c>
    </row>
    <row r="39" spans="2:9" ht="15" customHeight="1" x14ac:dyDescent="0.2">
      <c r="B39" t="s">
        <v>237</v>
      </c>
      <c r="C39" s="12">
        <v>34</v>
      </c>
      <c r="D39" s="8">
        <v>1.65</v>
      </c>
      <c r="E39" s="12">
        <v>5</v>
      </c>
      <c r="F39" s="8">
        <v>0.5</v>
      </c>
      <c r="G39" s="12">
        <v>29</v>
      </c>
      <c r="H39" s="8">
        <v>2.76</v>
      </c>
      <c r="I39" s="12">
        <v>0</v>
      </c>
    </row>
    <row r="40" spans="2:9" ht="15" customHeight="1" x14ac:dyDescent="0.2">
      <c r="B40" t="s">
        <v>226</v>
      </c>
      <c r="C40" s="12">
        <v>33</v>
      </c>
      <c r="D40" s="8">
        <v>1.6</v>
      </c>
      <c r="E40" s="12">
        <v>9</v>
      </c>
      <c r="F40" s="8">
        <v>0.91</v>
      </c>
      <c r="G40" s="12">
        <v>21</v>
      </c>
      <c r="H40" s="8">
        <v>2</v>
      </c>
      <c r="I40" s="12">
        <v>0</v>
      </c>
    </row>
    <row r="41" spans="2:9" ht="15" customHeight="1" x14ac:dyDescent="0.2">
      <c r="B41" t="s">
        <v>232</v>
      </c>
      <c r="C41" s="12">
        <v>30</v>
      </c>
      <c r="D41" s="8">
        <v>1.45</v>
      </c>
      <c r="E41" s="12">
        <v>1</v>
      </c>
      <c r="F41" s="8">
        <v>0.1</v>
      </c>
      <c r="G41" s="12">
        <v>28</v>
      </c>
      <c r="H41" s="8">
        <v>2.66</v>
      </c>
      <c r="I41" s="12">
        <v>0</v>
      </c>
    </row>
    <row r="42" spans="2:9" ht="15" customHeight="1" x14ac:dyDescent="0.2">
      <c r="B42" t="s">
        <v>242</v>
      </c>
      <c r="C42" s="12">
        <v>29</v>
      </c>
      <c r="D42" s="8">
        <v>1.4</v>
      </c>
      <c r="E42" s="12">
        <v>9</v>
      </c>
      <c r="F42" s="8">
        <v>0.91</v>
      </c>
      <c r="G42" s="12">
        <v>20</v>
      </c>
      <c r="H42" s="8">
        <v>1.9</v>
      </c>
      <c r="I42" s="12">
        <v>0</v>
      </c>
    </row>
    <row r="43" spans="2:9" ht="15" customHeight="1" x14ac:dyDescent="0.2">
      <c r="B43" t="s">
        <v>219</v>
      </c>
      <c r="C43" s="12">
        <v>27</v>
      </c>
      <c r="D43" s="8">
        <v>1.31</v>
      </c>
      <c r="E43" s="12">
        <v>6</v>
      </c>
      <c r="F43" s="8">
        <v>0.6</v>
      </c>
      <c r="G43" s="12">
        <v>21</v>
      </c>
      <c r="H43" s="8">
        <v>2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131</v>
      </c>
      <c r="D47" s="8">
        <v>6.34</v>
      </c>
      <c r="E47" s="12">
        <v>82</v>
      </c>
      <c r="F47" s="8">
        <v>8.25</v>
      </c>
      <c r="G47" s="12">
        <v>48</v>
      </c>
      <c r="H47" s="8">
        <v>4.5599999999999996</v>
      </c>
      <c r="I47" s="12">
        <v>0</v>
      </c>
    </row>
    <row r="48" spans="2:9" ht="15" customHeight="1" x14ac:dyDescent="0.2">
      <c r="B48" t="s">
        <v>301</v>
      </c>
      <c r="C48" s="12">
        <v>128</v>
      </c>
      <c r="D48" s="8">
        <v>6.2</v>
      </c>
      <c r="E48" s="12">
        <v>118</v>
      </c>
      <c r="F48" s="8">
        <v>11.87</v>
      </c>
      <c r="G48" s="12">
        <v>10</v>
      </c>
      <c r="H48" s="8">
        <v>0.95</v>
      </c>
      <c r="I48" s="12">
        <v>0</v>
      </c>
    </row>
    <row r="49" spans="2:9" ht="15" customHeight="1" x14ac:dyDescent="0.2">
      <c r="B49" t="s">
        <v>304</v>
      </c>
      <c r="C49" s="12">
        <v>101</v>
      </c>
      <c r="D49" s="8">
        <v>4.8899999999999997</v>
      </c>
      <c r="E49" s="12">
        <v>90</v>
      </c>
      <c r="F49" s="8">
        <v>9.0500000000000007</v>
      </c>
      <c r="G49" s="12">
        <v>11</v>
      </c>
      <c r="H49" s="8">
        <v>1.05</v>
      </c>
      <c r="I49" s="12">
        <v>0</v>
      </c>
    </row>
    <row r="50" spans="2:9" ht="15" customHeight="1" x14ac:dyDescent="0.2">
      <c r="B50" t="s">
        <v>303</v>
      </c>
      <c r="C50" s="12">
        <v>93</v>
      </c>
      <c r="D50" s="8">
        <v>4.5</v>
      </c>
      <c r="E50" s="12">
        <v>86</v>
      </c>
      <c r="F50" s="8">
        <v>8.65</v>
      </c>
      <c r="G50" s="12">
        <v>7</v>
      </c>
      <c r="H50" s="8">
        <v>0.67</v>
      </c>
      <c r="I50" s="12">
        <v>0</v>
      </c>
    </row>
    <row r="51" spans="2:9" ht="15" customHeight="1" x14ac:dyDescent="0.2">
      <c r="B51" t="s">
        <v>299</v>
      </c>
      <c r="C51" s="12">
        <v>59</v>
      </c>
      <c r="D51" s="8">
        <v>2.86</v>
      </c>
      <c r="E51" s="12">
        <v>50</v>
      </c>
      <c r="F51" s="8">
        <v>5.03</v>
      </c>
      <c r="G51" s="12">
        <v>9</v>
      </c>
      <c r="H51" s="8">
        <v>0.86</v>
      </c>
      <c r="I51" s="12">
        <v>0</v>
      </c>
    </row>
    <row r="52" spans="2:9" ht="15" customHeight="1" x14ac:dyDescent="0.2">
      <c r="B52" t="s">
        <v>300</v>
      </c>
      <c r="C52" s="12">
        <v>57</v>
      </c>
      <c r="D52" s="8">
        <v>2.76</v>
      </c>
      <c r="E52" s="12">
        <v>50</v>
      </c>
      <c r="F52" s="8">
        <v>5.03</v>
      </c>
      <c r="G52" s="12">
        <v>7</v>
      </c>
      <c r="H52" s="8">
        <v>0.67</v>
      </c>
      <c r="I52" s="12">
        <v>0</v>
      </c>
    </row>
    <row r="53" spans="2:9" ht="15" customHeight="1" x14ac:dyDescent="0.2">
      <c r="B53" t="s">
        <v>295</v>
      </c>
      <c r="C53" s="12">
        <v>43</v>
      </c>
      <c r="D53" s="8">
        <v>2.08</v>
      </c>
      <c r="E53" s="12">
        <v>23</v>
      </c>
      <c r="F53" s="8">
        <v>2.31</v>
      </c>
      <c r="G53" s="12">
        <v>20</v>
      </c>
      <c r="H53" s="8">
        <v>1.9</v>
      </c>
      <c r="I53" s="12">
        <v>0</v>
      </c>
    </row>
    <row r="54" spans="2:9" ht="15" customHeight="1" x14ac:dyDescent="0.2">
      <c r="B54" t="s">
        <v>302</v>
      </c>
      <c r="C54" s="12">
        <v>43</v>
      </c>
      <c r="D54" s="8">
        <v>2.08</v>
      </c>
      <c r="E54" s="12">
        <v>41</v>
      </c>
      <c r="F54" s="8">
        <v>4.12</v>
      </c>
      <c r="G54" s="12">
        <v>2</v>
      </c>
      <c r="H54" s="8">
        <v>0.19</v>
      </c>
      <c r="I54" s="12">
        <v>0</v>
      </c>
    </row>
    <row r="55" spans="2:9" ht="15" customHeight="1" x14ac:dyDescent="0.2">
      <c r="B55" t="s">
        <v>294</v>
      </c>
      <c r="C55" s="12">
        <v>34</v>
      </c>
      <c r="D55" s="8">
        <v>1.65</v>
      </c>
      <c r="E55" s="12">
        <v>6</v>
      </c>
      <c r="F55" s="8">
        <v>0.6</v>
      </c>
      <c r="G55" s="12">
        <v>28</v>
      </c>
      <c r="H55" s="8">
        <v>2.66</v>
      </c>
      <c r="I55" s="12">
        <v>0</v>
      </c>
    </row>
    <row r="56" spans="2:9" ht="15" customHeight="1" x14ac:dyDescent="0.2">
      <c r="B56" t="s">
        <v>306</v>
      </c>
      <c r="C56" s="12">
        <v>32</v>
      </c>
      <c r="D56" s="8">
        <v>1.55</v>
      </c>
      <c r="E56" s="12">
        <v>30</v>
      </c>
      <c r="F56" s="8">
        <v>3.02</v>
      </c>
      <c r="G56" s="12">
        <v>2</v>
      </c>
      <c r="H56" s="8">
        <v>0.19</v>
      </c>
      <c r="I56" s="12">
        <v>0</v>
      </c>
    </row>
    <row r="57" spans="2:9" ht="15" customHeight="1" x14ac:dyDescent="0.2">
      <c r="B57" t="s">
        <v>291</v>
      </c>
      <c r="C57" s="12">
        <v>29</v>
      </c>
      <c r="D57" s="8">
        <v>1.4</v>
      </c>
      <c r="E57" s="12">
        <v>3</v>
      </c>
      <c r="F57" s="8">
        <v>0.3</v>
      </c>
      <c r="G57" s="12">
        <v>26</v>
      </c>
      <c r="H57" s="8">
        <v>2.4700000000000002</v>
      </c>
      <c r="I57" s="12">
        <v>0</v>
      </c>
    </row>
    <row r="58" spans="2:9" ht="15" customHeight="1" x14ac:dyDescent="0.2">
      <c r="B58" t="s">
        <v>288</v>
      </c>
      <c r="C58" s="12">
        <v>28</v>
      </c>
      <c r="D58" s="8">
        <v>1.36</v>
      </c>
      <c r="E58" s="12">
        <v>2</v>
      </c>
      <c r="F58" s="8">
        <v>0.2</v>
      </c>
      <c r="G58" s="12">
        <v>26</v>
      </c>
      <c r="H58" s="8">
        <v>2.4700000000000002</v>
      </c>
      <c r="I58" s="12">
        <v>0</v>
      </c>
    </row>
    <row r="59" spans="2:9" ht="15" customHeight="1" x14ac:dyDescent="0.2">
      <c r="B59" t="s">
        <v>290</v>
      </c>
      <c r="C59" s="12">
        <v>28</v>
      </c>
      <c r="D59" s="8">
        <v>1.36</v>
      </c>
      <c r="E59" s="12">
        <v>4</v>
      </c>
      <c r="F59" s="8">
        <v>0.4</v>
      </c>
      <c r="G59" s="12">
        <v>24</v>
      </c>
      <c r="H59" s="8">
        <v>2.2799999999999998</v>
      </c>
      <c r="I59" s="12">
        <v>0</v>
      </c>
    </row>
    <row r="60" spans="2:9" ht="15" customHeight="1" x14ac:dyDescent="0.2">
      <c r="B60" t="s">
        <v>322</v>
      </c>
      <c r="C60" s="12">
        <v>26</v>
      </c>
      <c r="D60" s="8">
        <v>1.26</v>
      </c>
      <c r="E60" s="12">
        <v>5</v>
      </c>
      <c r="F60" s="8">
        <v>0.5</v>
      </c>
      <c r="G60" s="12">
        <v>21</v>
      </c>
      <c r="H60" s="8">
        <v>2</v>
      </c>
      <c r="I60" s="12">
        <v>0</v>
      </c>
    </row>
    <row r="61" spans="2:9" ht="15" customHeight="1" x14ac:dyDescent="0.2">
      <c r="B61" t="s">
        <v>296</v>
      </c>
      <c r="C61" s="12">
        <v>26</v>
      </c>
      <c r="D61" s="8">
        <v>1.26</v>
      </c>
      <c r="E61" s="12">
        <v>4</v>
      </c>
      <c r="F61" s="8">
        <v>0.4</v>
      </c>
      <c r="G61" s="12">
        <v>22</v>
      </c>
      <c r="H61" s="8">
        <v>2.09</v>
      </c>
      <c r="I61" s="12">
        <v>0</v>
      </c>
    </row>
    <row r="62" spans="2:9" ht="15" customHeight="1" x14ac:dyDescent="0.2">
      <c r="B62" t="s">
        <v>319</v>
      </c>
      <c r="C62" s="12">
        <v>25</v>
      </c>
      <c r="D62" s="8">
        <v>1.21</v>
      </c>
      <c r="E62" s="12">
        <v>2</v>
      </c>
      <c r="F62" s="8">
        <v>0.2</v>
      </c>
      <c r="G62" s="12">
        <v>23</v>
      </c>
      <c r="H62" s="8">
        <v>2.19</v>
      </c>
      <c r="I62" s="12">
        <v>0</v>
      </c>
    </row>
    <row r="63" spans="2:9" ht="15" customHeight="1" x14ac:dyDescent="0.2">
      <c r="B63" t="s">
        <v>307</v>
      </c>
      <c r="C63" s="12">
        <v>25</v>
      </c>
      <c r="D63" s="8">
        <v>1.21</v>
      </c>
      <c r="E63" s="12">
        <v>13</v>
      </c>
      <c r="F63" s="8">
        <v>1.31</v>
      </c>
      <c r="G63" s="12">
        <v>12</v>
      </c>
      <c r="H63" s="8">
        <v>1.1399999999999999</v>
      </c>
      <c r="I63" s="12">
        <v>0</v>
      </c>
    </row>
    <row r="64" spans="2:9" ht="15" customHeight="1" x14ac:dyDescent="0.2">
      <c r="B64" t="s">
        <v>292</v>
      </c>
      <c r="C64" s="12">
        <v>24</v>
      </c>
      <c r="D64" s="8">
        <v>1.1599999999999999</v>
      </c>
      <c r="E64" s="12">
        <v>12</v>
      </c>
      <c r="F64" s="8">
        <v>1.21</v>
      </c>
      <c r="G64" s="12">
        <v>12</v>
      </c>
      <c r="H64" s="8">
        <v>1.1399999999999999</v>
      </c>
      <c r="I64" s="12">
        <v>0</v>
      </c>
    </row>
    <row r="65" spans="2:9" ht="15" customHeight="1" x14ac:dyDescent="0.2">
      <c r="B65" t="s">
        <v>293</v>
      </c>
      <c r="C65" s="12">
        <v>24</v>
      </c>
      <c r="D65" s="8">
        <v>1.1599999999999999</v>
      </c>
      <c r="E65" s="12">
        <v>12</v>
      </c>
      <c r="F65" s="8">
        <v>1.21</v>
      </c>
      <c r="G65" s="12">
        <v>12</v>
      </c>
      <c r="H65" s="8">
        <v>1.1399999999999999</v>
      </c>
      <c r="I65" s="12">
        <v>0</v>
      </c>
    </row>
    <row r="66" spans="2:9" ht="15" customHeight="1" x14ac:dyDescent="0.2">
      <c r="B66" t="s">
        <v>332</v>
      </c>
      <c r="C66" s="12">
        <v>23</v>
      </c>
      <c r="D66" s="8">
        <v>1.1100000000000001</v>
      </c>
      <c r="E66" s="12">
        <v>11</v>
      </c>
      <c r="F66" s="8">
        <v>1.1100000000000001</v>
      </c>
      <c r="G66" s="12">
        <v>12</v>
      </c>
      <c r="H66" s="8">
        <v>1.1399999999999999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802EA-44A3-45E4-BCAB-86C6F161ED9C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5</v>
      </c>
      <c r="D5" s="8">
        <v>0.11</v>
      </c>
      <c r="E5" s="12">
        <v>0</v>
      </c>
      <c r="F5" s="8">
        <v>0</v>
      </c>
      <c r="G5" s="12">
        <v>5</v>
      </c>
      <c r="H5" s="8">
        <v>0.23</v>
      </c>
      <c r="I5" s="12">
        <v>0</v>
      </c>
    </row>
    <row r="6" spans="2:9" ht="15" customHeight="1" x14ac:dyDescent="0.2">
      <c r="B6" t="s">
        <v>191</v>
      </c>
      <c r="C6" s="12">
        <v>481</v>
      </c>
      <c r="D6" s="8">
        <v>10.5</v>
      </c>
      <c r="E6" s="12">
        <v>87</v>
      </c>
      <c r="F6" s="8">
        <v>3.68</v>
      </c>
      <c r="G6" s="12">
        <v>394</v>
      </c>
      <c r="H6" s="8">
        <v>18.07</v>
      </c>
      <c r="I6" s="12">
        <v>0</v>
      </c>
    </row>
    <row r="7" spans="2:9" ht="15" customHeight="1" x14ac:dyDescent="0.2">
      <c r="B7" t="s">
        <v>192</v>
      </c>
      <c r="C7" s="12">
        <v>202</v>
      </c>
      <c r="D7" s="8">
        <v>4.41</v>
      </c>
      <c r="E7" s="12">
        <v>44</v>
      </c>
      <c r="F7" s="8">
        <v>1.86</v>
      </c>
      <c r="G7" s="12">
        <v>157</v>
      </c>
      <c r="H7" s="8">
        <v>7.2</v>
      </c>
      <c r="I7" s="12">
        <v>1</v>
      </c>
    </row>
    <row r="8" spans="2:9" ht="15" customHeight="1" x14ac:dyDescent="0.2">
      <c r="B8" t="s">
        <v>193</v>
      </c>
      <c r="C8" s="12">
        <v>8</v>
      </c>
      <c r="D8" s="8">
        <v>0.17</v>
      </c>
      <c r="E8" s="12">
        <v>0</v>
      </c>
      <c r="F8" s="8">
        <v>0</v>
      </c>
      <c r="G8" s="12">
        <v>8</v>
      </c>
      <c r="H8" s="8">
        <v>0.37</v>
      </c>
      <c r="I8" s="12">
        <v>0</v>
      </c>
    </row>
    <row r="9" spans="2:9" ht="15" customHeight="1" x14ac:dyDescent="0.2">
      <c r="B9" t="s">
        <v>194</v>
      </c>
      <c r="C9" s="12">
        <v>30</v>
      </c>
      <c r="D9" s="8">
        <v>0.66</v>
      </c>
      <c r="E9" s="12">
        <v>1</v>
      </c>
      <c r="F9" s="8">
        <v>0.04</v>
      </c>
      <c r="G9" s="12">
        <v>29</v>
      </c>
      <c r="H9" s="8">
        <v>1.33</v>
      </c>
      <c r="I9" s="12">
        <v>0</v>
      </c>
    </row>
    <row r="10" spans="2:9" ht="15" customHeight="1" x14ac:dyDescent="0.2">
      <c r="B10" t="s">
        <v>195</v>
      </c>
      <c r="C10" s="12">
        <v>74</v>
      </c>
      <c r="D10" s="8">
        <v>1.62</v>
      </c>
      <c r="E10" s="12">
        <v>22</v>
      </c>
      <c r="F10" s="8">
        <v>0.93</v>
      </c>
      <c r="G10" s="12">
        <v>51</v>
      </c>
      <c r="H10" s="8">
        <v>2.34</v>
      </c>
      <c r="I10" s="12">
        <v>1</v>
      </c>
    </row>
    <row r="11" spans="2:9" ht="15" customHeight="1" x14ac:dyDescent="0.2">
      <c r="B11" t="s">
        <v>196</v>
      </c>
      <c r="C11" s="12">
        <v>951</v>
      </c>
      <c r="D11" s="8">
        <v>20.76</v>
      </c>
      <c r="E11" s="12">
        <v>292</v>
      </c>
      <c r="F11" s="8">
        <v>12.35</v>
      </c>
      <c r="G11" s="12">
        <v>659</v>
      </c>
      <c r="H11" s="8">
        <v>30.22</v>
      </c>
      <c r="I11" s="12">
        <v>0</v>
      </c>
    </row>
    <row r="12" spans="2:9" ht="15" customHeight="1" x14ac:dyDescent="0.2">
      <c r="B12" t="s">
        <v>197</v>
      </c>
      <c r="C12" s="12">
        <v>56</v>
      </c>
      <c r="D12" s="8">
        <v>1.22</v>
      </c>
      <c r="E12" s="12">
        <v>5</v>
      </c>
      <c r="F12" s="8">
        <v>0.21</v>
      </c>
      <c r="G12" s="12">
        <v>51</v>
      </c>
      <c r="H12" s="8">
        <v>2.34</v>
      </c>
      <c r="I12" s="12">
        <v>0</v>
      </c>
    </row>
    <row r="13" spans="2:9" ht="15" customHeight="1" x14ac:dyDescent="0.2">
      <c r="B13" t="s">
        <v>198</v>
      </c>
      <c r="C13" s="12">
        <v>583</v>
      </c>
      <c r="D13" s="8">
        <v>12.73</v>
      </c>
      <c r="E13" s="12">
        <v>383</v>
      </c>
      <c r="F13" s="8">
        <v>16.2</v>
      </c>
      <c r="G13" s="12">
        <v>199</v>
      </c>
      <c r="H13" s="8">
        <v>9.1199999999999992</v>
      </c>
      <c r="I13" s="12">
        <v>0</v>
      </c>
    </row>
    <row r="14" spans="2:9" ht="15" customHeight="1" x14ac:dyDescent="0.2">
      <c r="B14" t="s">
        <v>199</v>
      </c>
      <c r="C14" s="12">
        <v>187</v>
      </c>
      <c r="D14" s="8">
        <v>4.08</v>
      </c>
      <c r="E14" s="12">
        <v>76</v>
      </c>
      <c r="F14" s="8">
        <v>3.21</v>
      </c>
      <c r="G14" s="12">
        <v>109</v>
      </c>
      <c r="H14" s="8">
        <v>5</v>
      </c>
      <c r="I14" s="12">
        <v>0</v>
      </c>
    </row>
    <row r="15" spans="2:9" ht="15" customHeight="1" x14ac:dyDescent="0.2">
      <c r="B15" t="s">
        <v>200</v>
      </c>
      <c r="C15" s="12">
        <v>863</v>
      </c>
      <c r="D15" s="8">
        <v>18.84</v>
      </c>
      <c r="E15" s="12">
        <v>720</v>
      </c>
      <c r="F15" s="8">
        <v>30.46</v>
      </c>
      <c r="G15" s="12">
        <v>142</v>
      </c>
      <c r="H15" s="8">
        <v>6.51</v>
      </c>
      <c r="I15" s="12">
        <v>1</v>
      </c>
    </row>
    <row r="16" spans="2:9" ht="15" customHeight="1" x14ac:dyDescent="0.2">
      <c r="B16" t="s">
        <v>201</v>
      </c>
      <c r="C16" s="12">
        <v>593</v>
      </c>
      <c r="D16" s="8">
        <v>12.95</v>
      </c>
      <c r="E16" s="12">
        <v>461</v>
      </c>
      <c r="F16" s="8">
        <v>19.5</v>
      </c>
      <c r="G16" s="12">
        <v>126</v>
      </c>
      <c r="H16" s="8">
        <v>5.78</v>
      </c>
      <c r="I16" s="12">
        <v>0</v>
      </c>
    </row>
    <row r="17" spans="2:9" ht="15" customHeight="1" x14ac:dyDescent="0.2">
      <c r="B17" t="s">
        <v>202</v>
      </c>
      <c r="C17" s="12">
        <v>140</v>
      </c>
      <c r="D17" s="8">
        <v>3.06</v>
      </c>
      <c r="E17" s="12">
        <v>105</v>
      </c>
      <c r="F17" s="8">
        <v>4.4400000000000004</v>
      </c>
      <c r="G17" s="12">
        <v>28</v>
      </c>
      <c r="H17" s="8">
        <v>1.28</v>
      </c>
      <c r="I17" s="12">
        <v>1</v>
      </c>
    </row>
    <row r="18" spans="2:9" ht="15" customHeight="1" x14ac:dyDescent="0.2">
      <c r="B18" t="s">
        <v>203</v>
      </c>
      <c r="C18" s="12">
        <v>202</v>
      </c>
      <c r="D18" s="8">
        <v>4.41</v>
      </c>
      <c r="E18" s="12">
        <v>105</v>
      </c>
      <c r="F18" s="8">
        <v>4.4400000000000004</v>
      </c>
      <c r="G18" s="12">
        <v>91</v>
      </c>
      <c r="H18" s="8">
        <v>4.17</v>
      </c>
      <c r="I18" s="12">
        <v>2</v>
      </c>
    </row>
    <row r="19" spans="2:9" ht="15" customHeight="1" x14ac:dyDescent="0.2">
      <c r="B19" t="s">
        <v>204</v>
      </c>
      <c r="C19" s="12">
        <v>205</v>
      </c>
      <c r="D19" s="8">
        <v>4.4800000000000004</v>
      </c>
      <c r="E19" s="12">
        <v>63</v>
      </c>
      <c r="F19" s="8">
        <v>2.66</v>
      </c>
      <c r="G19" s="12">
        <v>132</v>
      </c>
      <c r="H19" s="8">
        <v>6.05</v>
      </c>
      <c r="I19" s="12">
        <v>6</v>
      </c>
    </row>
    <row r="20" spans="2:9" ht="15" customHeight="1" x14ac:dyDescent="0.2">
      <c r="B20" s="9" t="s">
        <v>529</v>
      </c>
      <c r="C20" s="12">
        <f>SUM(LTBL_01206[総数／事業所数])</f>
        <v>4580</v>
      </c>
      <c r="E20" s="12">
        <f>SUBTOTAL(109,LTBL_01206[個人／事業所数])</f>
        <v>2364</v>
      </c>
      <c r="G20" s="12">
        <f>SUBTOTAL(109,LTBL_01206[法人／事業所数])</f>
        <v>2181</v>
      </c>
      <c r="I20" s="12">
        <f>SUBTOTAL(109,LTBL_01206[法人以外の団体／事業所数])</f>
        <v>12</v>
      </c>
    </row>
    <row r="21" spans="2:9" ht="15" customHeight="1" x14ac:dyDescent="0.2">
      <c r="E21" s="11">
        <f>LTBL_01206[[#Totals],[個人／事業所数]]/LTBL_01206[[#Totals],[総数／事業所数]]</f>
        <v>0.51615720524017472</v>
      </c>
      <c r="G21" s="11">
        <f>LTBL_01206[[#Totals],[法人／事業所数]]/LTBL_01206[[#Totals],[総数／事業所数]]</f>
        <v>0.47620087336244543</v>
      </c>
      <c r="I21" s="11">
        <f>LTBL_01206[[#Totals],[法人以外の団体／事業所数]]/LTBL_01206[[#Totals],[総数／事業所数]]</f>
        <v>2.6200873362445414E-3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773</v>
      </c>
      <c r="D24" s="8">
        <v>16.88</v>
      </c>
      <c r="E24" s="12">
        <v>674</v>
      </c>
      <c r="F24" s="8">
        <v>28.51</v>
      </c>
      <c r="G24" s="12">
        <v>98</v>
      </c>
      <c r="H24" s="8">
        <v>4.49</v>
      </c>
      <c r="I24" s="12">
        <v>1</v>
      </c>
    </row>
    <row r="25" spans="2:9" ht="15" customHeight="1" x14ac:dyDescent="0.2">
      <c r="B25" t="s">
        <v>228</v>
      </c>
      <c r="C25" s="12">
        <v>517</v>
      </c>
      <c r="D25" s="8">
        <v>11.29</v>
      </c>
      <c r="E25" s="12">
        <v>434</v>
      </c>
      <c r="F25" s="8">
        <v>18.36</v>
      </c>
      <c r="G25" s="12">
        <v>83</v>
      </c>
      <c r="H25" s="8">
        <v>3.81</v>
      </c>
      <c r="I25" s="12">
        <v>0</v>
      </c>
    </row>
    <row r="26" spans="2:9" ht="15" customHeight="1" x14ac:dyDescent="0.2">
      <c r="B26" t="s">
        <v>224</v>
      </c>
      <c r="C26" s="12">
        <v>514</v>
      </c>
      <c r="D26" s="8">
        <v>11.22</v>
      </c>
      <c r="E26" s="12">
        <v>379</v>
      </c>
      <c r="F26" s="8">
        <v>16.03</v>
      </c>
      <c r="G26" s="12">
        <v>134</v>
      </c>
      <c r="H26" s="8">
        <v>6.14</v>
      </c>
      <c r="I26" s="12">
        <v>0</v>
      </c>
    </row>
    <row r="27" spans="2:9" ht="15" customHeight="1" x14ac:dyDescent="0.2">
      <c r="B27" t="s">
        <v>223</v>
      </c>
      <c r="C27" s="12">
        <v>259</v>
      </c>
      <c r="D27" s="8">
        <v>5.66</v>
      </c>
      <c r="E27" s="12">
        <v>106</v>
      </c>
      <c r="F27" s="8">
        <v>4.4800000000000004</v>
      </c>
      <c r="G27" s="12">
        <v>153</v>
      </c>
      <c r="H27" s="8">
        <v>7.02</v>
      </c>
      <c r="I27" s="12">
        <v>0</v>
      </c>
    </row>
    <row r="28" spans="2:9" ht="15" customHeight="1" x14ac:dyDescent="0.2">
      <c r="B28" t="s">
        <v>213</v>
      </c>
      <c r="C28" s="12">
        <v>171</v>
      </c>
      <c r="D28" s="8">
        <v>3.73</v>
      </c>
      <c r="E28" s="12">
        <v>18</v>
      </c>
      <c r="F28" s="8">
        <v>0.76</v>
      </c>
      <c r="G28" s="12">
        <v>153</v>
      </c>
      <c r="H28" s="8">
        <v>7.02</v>
      </c>
      <c r="I28" s="12">
        <v>0</v>
      </c>
    </row>
    <row r="29" spans="2:9" ht="15" customHeight="1" x14ac:dyDescent="0.2">
      <c r="B29" t="s">
        <v>214</v>
      </c>
      <c r="C29" s="12">
        <v>165</v>
      </c>
      <c r="D29" s="8">
        <v>3.6</v>
      </c>
      <c r="E29" s="12">
        <v>47</v>
      </c>
      <c r="F29" s="8">
        <v>1.99</v>
      </c>
      <c r="G29" s="12">
        <v>118</v>
      </c>
      <c r="H29" s="8">
        <v>5.41</v>
      </c>
      <c r="I29" s="12">
        <v>0</v>
      </c>
    </row>
    <row r="30" spans="2:9" ht="15" customHeight="1" x14ac:dyDescent="0.2">
      <c r="B30" t="s">
        <v>221</v>
      </c>
      <c r="C30" s="12">
        <v>162</v>
      </c>
      <c r="D30" s="8">
        <v>3.54</v>
      </c>
      <c r="E30" s="12">
        <v>64</v>
      </c>
      <c r="F30" s="8">
        <v>2.71</v>
      </c>
      <c r="G30" s="12">
        <v>98</v>
      </c>
      <c r="H30" s="8">
        <v>4.49</v>
      </c>
      <c r="I30" s="12">
        <v>0</v>
      </c>
    </row>
    <row r="31" spans="2:9" ht="15" customHeight="1" x14ac:dyDescent="0.2">
      <c r="B31" t="s">
        <v>215</v>
      </c>
      <c r="C31" s="12">
        <v>145</v>
      </c>
      <c r="D31" s="8">
        <v>3.17</v>
      </c>
      <c r="E31" s="12">
        <v>22</v>
      </c>
      <c r="F31" s="8">
        <v>0.93</v>
      </c>
      <c r="G31" s="12">
        <v>123</v>
      </c>
      <c r="H31" s="8">
        <v>5.64</v>
      </c>
      <c r="I31" s="12">
        <v>0</v>
      </c>
    </row>
    <row r="32" spans="2:9" ht="15" customHeight="1" x14ac:dyDescent="0.2">
      <c r="B32" t="s">
        <v>222</v>
      </c>
      <c r="C32" s="12">
        <v>141</v>
      </c>
      <c r="D32" s="8">
        <v>3.08</v>
      </c>
      <c r="E32" s="12">
        <v>51</v>
      </c>
      <c r="F32" s="8">
        <v>2.16</v>
      </c>
      <c r="G32" s="12">
        <v>90</v>
      </c>
      <c r="H32" s="8">
        <v>4.13</v>
      </c>
      <c r="I32" s="12">
        <v>0</v>
      </c>
    </row>
    <row r="33" spans="2:9" ht="15" customHeight="1" x14ac:dyDescent="0.2">
      <c r="B33" t="s">
        <v>230</v>
      </c>
      <c r="C33" s="12">
        <v>140</v>
      </c>
      <c r="D33" s="8">
        <v>3.06</v>
      </c>
      <c r="E33" s="12">
        <v>105</v>
      </c>
      <c r="F33" s="8">
        <v>4.4400000000000004</v>
      </c>
      <c r="G33" s="12">
        <v>28</v>
      </c>
      <c r="H33" s="8">
        <v>1.28</v>
      </c>
      <c r="I33" s="12">
        <v>1</v>
      </c>
    </row>
    <row r="34" spans="2:9" ht="15" customHeight="1" x14ac:dyDescent="0.2">
      <c r="B34" t="s">
        <v>231</v>
      </c>
      <c r="C34" s="12">
        <v>113</v>
      </c>
      <c r="D34" s="8">
        <v>2.4700000000000002</v>
      </c>
      <c r="E34" s="12">
        <v>104</v>
      </c>
      <c r="F34" s="8">
        <v>4.4000000000000004</v>
      </c>
      <c r="G34" s="12">
        <v>9</v>
      </c>
      <c r="H34" s="8">
        <v>0.41</v>
      </c>
      <c r="I34" s="12">
        <v>0</v>
      </c>
    </row>
    <row r="35" spans="2:9" ht="15" customHeight="1" x14ac:dyDescent="0.2">
      <c r="B35" t="s">
        <v>226</v>
      </c>
      <c r="C35" s="12">
        <v>102</v>
      </c>
      <c r="D35" s="8">
        <v>2.23</v>
      </c>
      <c r="E35" s="12">
        <v>28</v>
      </c>
      <c r="F35" s="8">
        <v>1.18</v>
      </c>
      <c r="G35" s="12">
        <v>72</v>
      </c>
      <c r="H35" s="8">
        <v>3.3</v>
      </c>
      <c r="I35" s="12">
        <v>0</v>
      </c>
    </row>
    <row r="36" spans="2:9" ht="15" customHeight="1" x14ac:dyDescent="0.2">
      <c r="B36" t="s">
        <v>232</v>
      </c>
      <c r="C36" s="12">
        <v>89</v>
      </c>
      <c r="D36" s="8">
        <v>1.94</v>
      </c>
      <c r="E36" s="12">
        <v>1</v>
      </c>
      <c r="F36" s="8">
        <v>0.04</v>
      </c>
      <c r="G36" s="12">
        <v>82</v>
      </c>
      <c r="H36" s="8">
        <v>3.76</v>
      </c>
      <c r="I36" s="12">
        <v>2</v>
      </c>
    </row>
    <row r="37" spans="2:9" ht="15" customHeight="1" x14ac:dyDescent="0.2">
      <c r="B37" t="s">
        <v>218</v>
      </c>
      <c r="C37" s="12">
        <v>87</v>
      </c>
      <c r="D37" s="8">
        <v>1.9</v>
      </c>
      <c r="E37" s="12">
        <v>7</v>
      </c>
      <c r="F37" s="8">
        <v>0.3</v>
      </c>
      <c r="G37" s="12">
        <v>80</v>
      </c>
      <c r="H37" s="8">
        <v>3.67</v>
      </c>
      <c r="I37" s="12">
        <v>0</v>
      </c>
    </row>
    <row r="38" spans="2:9" ht="15" customHeight="1" x14ac:dyDescent="0.2">
      <c r="B38" t="s">
        <v>220</v>
      </c>
      <c r="C38" s="12">
        <v>87</v>
      </c>
      <c r="D38" s="8">
        <v>1.9</v>
      </c>
      <c r="E38" s="12">
        <v>40</v>
      </c>
      <c r="F38" s="8">
        <v>1.69</v>
      </c>
      <c r="G38" s="12">
        <v>47</v>
      </c>
      <c r="H38" s="8">
        <v>2.15</v>
      </c>
      <c r="I38" s="12">
        <v>0</v>
      </c>
    </row>
    <row r="39" spans="2:9" ht="15" customHeight="1" x14ac:dyDescent="0.2">
      <c r="B39" t="s">
        <v>225</v>
      </c>
      <c r="C39" s="12">
        <v>76</v>
      </c>
      <c r="D39" s="8">
        <v>1.66</v>
      </c>
      <c r="E39" s="12">
        <v>46</v>
      </c>
      <c r="F39" s="8">
        <v>1.95</v>
      </c>
      <c r="G39" s="12">
        <v>30</v>
      </c>
      <c r="H39" s="8">
        <v>1.38</v>
      </c>
      <c r="I39" s="12">
        <v>0</v>
      </c>
    </row>
    <row r="40" spans="2:9" ht="15" customHeight="1" x14ac:dyDescent="0.2">
      <c r="B40" t="s">
        <v>240</v>
      </c>
      <c r="C40" s="12">
        <v>76</v>
      </c>
      <c r="D40" s="8">
        <v>1.66</v>
      </c>
      <c r="E40" s="12">
        <v>38</v>
      </c>
      <c r="F40" s="8">
        <v>1.61</v>
      </c>
      <c r="G40" s="12">
        <v>38</v>
      </c>
      <c r="H40" s="8">
        <v>1.74</v>
      </c>
      <c r="I40" s="12">
        <v>0</v>
      </c>
    </row>
    <row r="41" spans="2:9" ht="15" customHeight="1" x14ac:dyDescent="0.2">
      <c r="B41" t="s">
        <v>217</v>
      </c>
      <c r="C41" s="12">
        <v>70</v>
      </c>
      <c r="D41" s="8">
        <v>1.53</v>
      </c>
      <c r="E41" s="12">
        <v>4</v>
      </c>
      <c r="F41" s="8">
        <v>0.17</v>
      </c>
      <c r="G41" s="12">
        <v>66</v>
      </c>
      <c r="H41" s="8">
        <v>3.03</v>
      </c>
      <c r="I41" s="12">
        <v>0</v>
      </c>
    </row>
    <row r="42" spans="2:9" ht="15" customHeight="1" x14ac:dyDescent="0.2">
      <c r="B42" t="s">
        <v>219</v>
      </c>
      <c r="C42" s="12">
        <v>63</v>
      </c>
      <c r="D42" s="8">
        <v>1.38</v>
      </c>
      <c r="E42" s="12">
        <v>6</v>
      </c>
      <c r="F42" s="8">
        <v>0.25</v>
      </c>
      <c r="G42" s="12">
        <v>57</v>
      </c>
      <c r="H42" s="8">
        <v>2.61</v>
      </c>
      <c r="I42" s="12">
        <v>0</v>
      </c>
    </row>
    <row r="43" spans="2:9" ht="15" customHeight="1" x14ac:dyDescent="0.2">
      <c r="B43" t="s">
        <v>243</v>
      </c>
      <c r="C43" s="12">
        <v>62</v>
      </c>
      <c r="D43" s="8">
        <v>1.35</v>
      </c>
      <c r="E43" s="12">
        <v>37</v>
      </c>
      <c r="F43" s="8">
        <v>1.57</v>
      </c>
      <c r="G43" s="12">
        <v>25</v>
      </c>
      <c r="H43" s="8">
        <v>1.1499999999999999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435</v>
      </c>
      <c r="D47" s="8">
        <v>9.5</v>
      </c>
      <c r="E47" s="12">
        <v>363</v>
      </c>
      <c r="F47" s="8">
        <v>15.36</v>
      </c>
      <c r="G47" s="12">
        <v>71</v>
      </c>
      <c r="H47" s="8">
        <v>3.26</v>
      </c>
      <c r="I47" s="12">
        <v>0</v>
      </c>
    </row>
    <row r="48" spans="2:9" ht="15" customHeight="1" x14ac:dyDescent="0.2">
      <c r="B48" t="s">
        <v>304</v>
      </c>
      <c r="C48" s="12">
        <v>267</v>
      </c>
      <c r="D48" s="8">
        <v>5.83</v>
      </c>
      <c r="E48" s="12">
        <v>239</v>
      </c>
      <c r="F48" s="8">
        <v>10.11</v>
      </c>
      <c r="G48" s="12">
        <v>28</v>
      </c>
      <c r="H48" s="8">
        <v>1.28</v>
      </c>
      <c r="I48" s="12">
        <v>0</v>
      </c>
    </row>
    <row r="49" spans="2:9" ht="15" customHeight="1" x14ac:dyDescent="0.2">
      <c r="B49" t="s">
        <v>301</v>
      </c>
      <c r="C49" s="12">
        <v>231</v>
      </c>
      <c r="D49" s="8">
        <v>5.04</v>
      </c>
      <c r="E49" s="12">
        <v>221</v>
      </c>
      <c r="F49" s="8">
        <v>9.35</v>
      </c>
      <c r="G49" s="12">
        <v>10</v>
      </c>
      <c r="H49" s="8">
        <v>0.46</v>
      </c>
      <c r="I49" s="12">
        <v>0</v>
      </c>
    </row>
    <row r="50" spans="2:9" ht="15" customHeight="1" x14ac:dyDescent="0.2">
      <c r="B50" t="s">
        <v>300</v>
      </c>
      <c r="C50" s="12">
        <v>191</v>
      </c>
      <c r="D50" s="8">
        <v>4.17</v>
      </c>
      <c r="E50" s="12">
        <v>173</v>
      </c>
      <c r="F50" s="8">
        <v>7.32</v>
      </c>
      <c r="G50" s="12">
        <v>18</v>
      </c>
      <c r="H50" s="8">
        <v>0.83</v>
      </c>
      <c r="I50" s="12">
        <v>0</v>
      </c>
    </row>
    <row r="51" spans="2:9" ht="15" customHeight="1" x14ac:dyDescent="0.2">
      <c r="B51" t="s">
        <v>303</v>
      </c>
      <c r="C51" s="12">
        <v>185</v>
      </c>
      <c r="D51" s="8">
        <v>4.04</v>
      </c>
      <c r="E51" s="12">
        <v>173</v>
      </c>
      <c r="F51" s="8">
        <v>7.32</v>
      </c>
      <c r="G51" s="12">
        <v>12</v>
      </c>
      <c r="H51" s="8">
        <v>0.55000000000000004</v>
      </c>
      <c r="I51" s="12">
        <v>0</v>
      </c>
    </row>
    <row r="52" spans="2:9" ht="15" customHeight="1" x14ac:dyDescent="0.2">
      <c r="B52" t="s">
        <v>299</v>
      </c>
      <c r="C52" s="12">
        <v>144</v>
      </c>
      <c r="D52" s="8">
        <v>3.14</v>
      </c>
      <c r="E52" s="12">
        <v>120</v>
      </c>
      <c r="F52" s="8">
        <v>5.08</v>
      </c>
      <c r="G52" s="12">
        <v>24</v>
      </c>
      <c r="H52" s="8">
        <v>1.1000000000000001</v>
      </c>
      <c r="I52" s="12">
        <v>0</v>
      </c>
    </row>
    <row r="53" spans="2:9" ht="15" customHeight="1" x14ac:dyDescent="0.2">
      <c r="B53" t="s">
        <v>295</v>
      </c>
      <c r="C53" s="12">
        <v>106</v>
      </c>
      <c r="D53" s="8">
        <v>2.31</v>
      </c>
      <c r="E53" s="12">
        <v>56</v>
      </c>
      <c r="F53" s="8">
        <v>2.37</v>
      </c>
      <c r="G53" s="12">
        <v>50</v>
      </c>
      <c r="H53" s="8">
        <v>2.29</v>
      </c>
      <c r="I53" s="12">
        <v>0</v>
      </c>
    </row>
    <row r="54" spans="2:9" ht="15" customHeight="1" x14ac:dyDescent="0.2">
      <c r="B54" t="s">
        <v>293</v>
      </c>
      <c r="C54" s="12">
        <v>94</v>
      </c>
      <c r="D54" s="8">
        <v>2.0499999999999998</v>
      </c>
      <c r="E54" s="12">
        <v>25</v>
      </c>
      <c r="F54" s="8">
        <v>1.06</v>
      </c>
      <c r="G54" s="12">
        <v>69</v>
      </c>
      <c r="H54" s="8">
        <v>3.16</v>
      </c>
      <c r="I54" s="12">
        <v>0</v>
      </c>
    </row>
    <row r="55" spans="2:9" ht="15" customHeight="1" x14ac:dyDescent="0.2">
      <c r="B55" t="s">
        <v>305</v>
      </c>
      <c r="C55" s="12">
        <v>86</v>
      </c>
      <c r="D55" s="8">
        <v>1.88</v>
      </c>
      <c r="E55" s="12">
        <v>78</v>
      </c>
      <c r="F55" s="8">
        <v>3.3</v>
      </c>
      <c r="G55" s="12">
        <v>8</v>
      </c>
      <c r="H55" s="8">
        <v>0.37</v>
      </c>
      <c r="I55" s="12">
        <v>0</v>
      </c>
    </row>
    <row r="56" spans="2:9" ht="15" customHeight="1" x14ac:dyDescent="0.2">
      <c r="B56" t="s">
        <v>302</v>
      </c>
      <c r="C56" s="12">
        <v>79</v>
      </c>
      <c r="D56" s="8">
        <v>1.72</v>
      </c>
      <c r="E56" s="12">
        <v>72</v>
      </c>
      <c r="F56" s="8">
        <v>3.05</v>
      </c>
      <c r="G56" s="12">
        <v>6</v>
      </c>
      <c r="H56" s="8">
        <v>0.28000000000000003</v>
      </c>
      <c r="I56" s="12">
        <v>1</v>
      </c>
    </row>
    <row r="57" spans="2:9" ht="15" customHeight="1" x14ac:dyDescent="0.2">
      <c r="B57" t="s">
        <v>307</v>
      </c>
      <c r="C57" s="12">
        <v>76</v>
      </c>
      <c r="D57" s="8">
        <v>1.66</v>
      </c>
      <c r="E57" s="12">
        <v>38</v>
      </c>
      <c r="F57" s="8">
        <v>1.61</v>
      </c>
      <c r="G57" s="12">
        <v>38</v>
      </c>
      <c r="H57" s="8">
        <v>1.74</v>
      </c>
      <c r="I57" s="12">
        <v>0</v>
      </c>
    </row>
    <row r="58" spans="2:9" ht="15" customHeight="1" x14ac:dyDescent="0.2">
      <c r="B58" t="s">
        <v>306</v>
      </c>
      <c r="C58" s="12">
        <v>72</v>
      </c>
      <c r="D58" s="8">
        <v>1.57</v>
      </c>
      <c r="E58" s="12">
        <v>69</v>
      </c>
      <c r="F58" s="8">
        <v>2.92</v>
      </c>
      <c r="G58" s="12">
        <v>3</v>
      </c>
      <c r="H58" s="8">
        <v>0.14000000000000001</v>
      </c>
      <c r="I58" s="12">
        <v>0</v>
      </c>
    </row>
    <row r="59" spans="2:9" ht="15" customHeight="1" x14ac:dyDescent="0.2">
      <c r="B59" t="s">
        <v>291</v>
      </c>
      <c r="C59" s="12">
        <v>68</v>
      </c>
      <c r="D59" s="8">
        <v>1.48</v>
      </c>
      <c r="E59" s="12">
        <v>15</v>
      </c>
      <c r="F59" s="8">
        <v>0.63</v>
      </c>
      <c r="G59" s="12">
        <v>53</v>
      </c>
      <c r="H59" s="8">
        <v>2.4300000000000002</v>
      </c>
      <c r="I59" s="12">
        <v>0</v>
      </c>
    </row>
    <row r="60" spans="2:9" ht="15" customHeight="1" x14ac:dyDescent="0.2">
      <c r="B60" t="s">
        <v>292</v>
      </c>
      <c r="C60" s="12">
        <v>64</v>
      </c>
      <c r="D60" s="8">
        <v>1.4</v>
      </c>
      <c r="E60" s="12">
        <v>22</v>
      </c>
      <c r="F60" s="8">
        <v>0.93</v>
      </c>
      <c r="G60" s="12">
        <v>42</v>
      </c>
      <c r="H60" s="8">
        <v>1.93</v>
      </c>
      <c r="I60" s="12">
        <v>0</v>
      </c>
    </row>
    <row r="61" spans="2:9" ht="15" customHeight="1" x14ac:dyDescent="0.2">
      <c r="B61" t="s">
        <v>298</v>
      </c>
      <c r="C61" s="12">
        <v>61</v>
      </c>
      <c r="D61" s="8">
        <v>1.33</v>
      </c>
      <c r="E61" s="12">
        <v>12</v>
      </c>
      <c r="F61" s="8">
        <v>0.51</v>
      </c>
      <c r="G61" s="12">
        <v>49</v>
      </c>
      <c r="H61" s="8">
        <v>2.25</v>
      </c>
      <c r="I61" s="12">
        <v>0</v>
      </c>
    </row>
    <row r="62" spans="2:9" ht="15" customHeight="1" x14ac:dyDescent="0.2">
      <c r="B62" t="s">
        <v>334</v>
      </c>
      <c r="C62" s="12">
        <v>61</v>
      </c>
      <c r="D62" s="8">
        <v>1.33</v>
      </c>
      <c r="E62" s="12">
        <v>45</v>
      </c>
      <c r="F62" s="8">
        <v>1.9</v>
      </c>
      <c r="G62" s="12">
        <v>16</v>
      </c>
      <c r="H62" s="8">
        <v>0.73</v>
      </c>
      <c r="I62" s="12">
        <v>0</v>
      </c>
    </row>
    <row r="63" spans="2:9" ht="15" customHeight="1" x14ac:dyDescent="0.2">
      <c r="B63" t="s">
        <v>296</v>
      </c>
      <c r="C63" s="12">
        <v>54</v>
      </c>
      <c r="D63" s="8">
        <v>1.18</v>
      </c>
      <c r="E63" s="12">
        <v>8</v>
      </c>
      <c r="F63" s="8">
        <v>0.34</v>
      </c>
      <c r="G63" s="12">
        <v>46</v>
      </c>
      <c r="H63" s="8">
        <v>2.11</v>
      </c>
      <c r="I63" s="12">
        <v>0</v>
      </c>
    </row>
    <row r="64" spans="2:9" ht="15" customHeight="1" x14ac:dyDescent="0.2">
      <c r="B64" t="s">
        <v>330</v>
      </c>
      <c r="C64" s="12">
        <v>49</v>
      </c>
      <c r="D64" s="8">
        <v>1.07</v>
      </c>
      <c r="E64" s="12">
        <v>9</v>
      </c>
      <c r="F64" s="8">
        <v>0.38</v>
      </c>
      <c r="G64" s="12">
        <v>40</v>
      </c>
      <c r="H64" s="8">
        <v>1.83</v>
      </c>
      <c r="I64" s="12">
        <v>0</v>
      </c>
    </row>
    <row r="65" spans="2:9" ht="15" customHeight="1" x14ac:dyDescent="0.2">
      <c r="B65" t="s">
        <v>329</v>
      </c>
      <c r="C65" s="12">
        <v>44</v>
      </c>
      <c r="D65" s="8">
        <v>0.96</v>
      </c>
      <c r="E65" s="12">
        <v>21</v>
      </c>
      <c r="F65" s="8">
        <v>0.89</v>
      </c>
      <c r="G65" s="12">
        <v>23</v>
      </c>
      <c r="H65" s="8">
        <v>1.05</v>
      </c>
      <c r="I65" s="12">
        <v>0</v>
      </c>
    </row>
    <row r="66" spans="2:9" ht="15" customHeight="1" x14ac:dyDescent="0.2">
      <c r="B66" t="s">
        <v>333</v>
      </c>
      <c r="C66" s="12">
        <v>43</v>
      </c>
      <c r="D66" s="8">
        <v>0.94</v>
      </c>
      <c r="E66" s="12">
        <v>17</v>
      </c>
      <c r="F66" s="8">
        <v>0.72</v>
      </c>
      <c r="G66" s="12">
        <v>26</v>
      </c>
      <c r="H66" s="8">
        <v>1.19</v>
      </c>
      <c r="I66" s="12">
        <v>0</v>
      </c>
    </row>
    <row r="67" spans="2:9" ht="15" customHeight="1" x14ac:dyDescent="0.2">
      <c r="B67" t="s">
        <v>290</v>
      </c>
      <c r="C67" s="12">
        <v>43</v>
      </c>
      <c r="D67" s="8">
        <v>0.94</v>
      </c>
      <c r="E67" s="12">
        <v>4</v>
      </c>
      <c r="F67" s="8">
        <v>0.17</v>
      </c>
      <c r="G67" s="12">
        <v>39</v>
      </c>
      <c r="H67" s="8">
        <v>1.79</v>
      </c>
      <c r="I67" s="12">
        <v>0</v>
      </c>
    </row>
    <row r="68" spans="2:9" ht="15" customHeight="1" x14ac:dyDescent="0.2">
      <c r="B68" t="s">
        <v>321</v>
      </c>
      <c r="C68" s="12">
        <v>43</v>
      </c>
      <c r="D68" s="8">
        <v>0.94</v>
      </c>
      <c r="E68" s="12">
        <v>4</v>
      </c>
      <c r="F68" s="8">
        <v>0.17</v>
      </c>
      <c r="G68" s="12">
        <v>39</v>
      </c>
      <c r="H68" s="8">
        <v>1.79</v>
      </c>
      <c r="I68" s="12">
        <v>0</v>
      </c>
    </row>
    <row r="69" spans="2:9" ht="15" customHeight="1" x14ac:dyDescent="0.2">
      <c r="B69" t="s">
        <v>322</v>
      </c>
      <c r="C69" s="12">
        <v>43</v>
      </c>
      <c r="D69" s="8">
        <v>0.94</v>
      </c>
      <c r="E69" s="12">
        <v>4</v>
      </c>
      <c r="F69" s="8">
        <v>0.17</v>
      </c>
      <c r="G69" s="12">
        <v>39</v>
      </c>
      <c r="H69" s="8">
        <v>1.79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9E35A-9C7B-4A61-873C-611BBA055F42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549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4</v>
      </c>
      <c r="D5" s="8">
        <v>0.08</v>
      </c>
      <c r="E5" s="12">
        <v>0</v>
      </c>
      <c r="F5" s="8">
        <v>0</v>
      </c>
      <c r="G5" s="12">
        <v>4</v>
      </c>
      <c r="H5" s="8">
        <v>0.16</v>
      </c>
      <c r="I5" s="12">
        <v>0</v>
      </c>
    </row>
    <row r="6" spans="2:9" ht="15" customHeight="1" x14ac:dyDescent="0.2">
      <c r="B6" t="s">
        <v>191</v>
      </c>
      <c r="C6" s="12">
        <v>646</v>
      </c>
      <c r="D6" s="8">
        <v>12.98</v>
      </c>
      <c r="E6" s="12">
        <v>166</v>
      </c>
      <c r="F6" s="8">
        <v>6.91</v>
      </c>
      <c r="G6" s="12">
        <v>480</v>
      </c>
      <c r="H6" s="8">
        <v>19.05</v>
      </c>
      <c r="I6" s="12">
        <v>0</v>
      </c>
    </row>
    <row r="7" spans="2:9" ht="15" customHeight="1" x14ac:dyDescent="0.2">
      <c r="B7" t="s">
        <v>192</v>
      </c>
      <c r="C7" s="12">
        <v>218</v>
      </c>
      <c r="D7" s="8">
        <v>4.38</v>
      </c>
      <c r="E7" s="12">
        <v>56</v>
      </c>
      <c r="F7" s="8">
        <v>2.33</v>
      </c>
      <c r="G7" s="12">
        <v>162</v>
      </c>
      <c r="H7" s="8">
        <v>6.43</v>
      </c>
      <c r="I7" s="12">
        <v>0</v>
      </c>
    </row>
    <row r="8" spans="2:9" ht="15" customHeight="1" x14ac:dyDescent="0.2">
      <c r="B8" t="s">
        <v>193</v>
      </c>
      <c r="C8" s="12">
        <v>17</v>
      </c>
      <c r="D8" s="8">
        <v>0.34</v>
      </c>
      <c r="E8" s="12">
        <v>0</v>
      </c>
      <c r="F8" s="8">
        <v>0</v>
      </c>
      <c r="G8" s="12">
        <v>17</v>
      </c>
      <c r="H8" s="8">
        <v>0.67</v>
      </c>
      <c r="I8" s="12">
        <v>0</v>
      </c>
    </row>
    <row r="9" spans="2:9" ht="15" customHeight="1" x14ac:dyDescent="0.2">
      <c r="B9" t="s">
        <v>194</v>
      </c>
      <c r="C9" s="12">
        <v>38</v>
      </c>
      <c r="D9" s="8">
        <v>0.76</v>
      </c>
      <c r="E9" s="12">
        <v>1</v>
      </c>
      <c r="F9" s="8">
        <v>0.04</v>
      </c>
      <c r="G9" s="12">
        <v>37</v>
      </c>
      <c r="H9" s="8">
        <v>1.47</v>
      </c>
      <c r="I9" s="12">
        <v>0</v>
      </c>
    </row>
    <row r="10" spans="2:9" ht="15" customHeight="1" x14ac:dyDescent="0.2">
      <c r="B10" t="s">
        <v>195</v>
      </c>
      <c r="C10" s="12">
        <v>68</v>
      </c>
      <c r="D10" s="8">
        <v>1.37</v>
      </c>
      <c r="E10" s="12">
        <v>32</v>
      </c>
      <c r="F10" s="8">
        <v>1.33</v>
      </c>
      <c r="G10" s="12">
        <v>35</v>
      </c>
      <c r="H10" s="8">
        <v>1.39</v>
      </c>
      <c r="I10" s="12">
        <v>1</v>
      </c>
    </row>
    <row r="11" spans="2:9" ht="15" customHeight="1" x14ac:dyDescent="0.2">
      <c r="B11" t="s">
        <v>196</v>
      </c>
      <c r="C11" s="12">
        <v>1085</v>
      </c>
      <c r="D11" s="8">
        <v>21.8</v>
      </c>
      <c r="E11" s="12">
        <v>287</v>
      </c>
      <c r="F11" s="8">
        <v>11.94</v>
      </c>
      <c r="G11" s="12">
        <v>797</v>
      </c>
      <c r="H11" s="8">
        <v>31.63</v>
      </c>
      <c r="I11" s="12">
        <v>1</v>
      </c>
    </row>
    <row r="12" spans="2:9" ht="15" customHeight="1" x14ac:dyDescent="0.2">
      <c r="B12" t="s">
        <v>197</v>
      </c>
      <c r="C12" s="12">
        <v>66</v>
      </c>
      <c r="D12" s="8">
        <v>1.33</v>
      </c>
      <c r="E12" s="12">
        <v>11</v>
      </c>
      <c r="F12" s="8">
        <v>0.46</v>
      </c>
      <c r="G12" s="12">
        <v>55</v>
      </c>
      <c r="H12" s="8">
        <v>2.1800000000000002</v>
      </c>
      <c r="I12" s="12">
        <v>0</v>
      </c>
    </row>
    <row r="13" spans="2:9" ht="15" customHeight="1" x14ac:dyDescent="0.2">
      <c r="B13" t="s">
        <v>198</v>
      </c>
      <c r="C13" s="12">
        <v>421</v>
      </c>
      <c r="D13" s="8">
        <v>8.4600000000000009</v>
      </c>
      <c r="E13" s="12">
        <v>145</v>
      </c>
      <c r="F13" s="8">
        <v>6.03</v>
      </c>
      <c r="G13" s="12">
        <v>275</v>
      </c>
      <c r="H13" s="8">
        <v>10.91</v>
      </c>
      <c r="I13" s="12">
        <v>0</v>
      </c>
    </row>
    <row r="14" spans="2:9" ht="15" customHeight="1" x14ac:dyDescent="0.2">
      <c r="B14" t="s">
        <v>199</v>
      </c>
      <c r="C14" s="12">
        <v>248</v>
      </c>
      <c r="D14" s="8">
        <v>4.9800000000000004</v>
      </c>
      <c r="E14" s="12">
        <v>122</v>
      </c>
      <c r="F14" s="8">
        <v>5.08</v>
      </c>
      <c r="G14" s="12">
        <v>125</v>
      </c>
      <c r="H14" s="8">
        <v>4.96</v>
      </c>
      <c r="I14" s="12">
        <v>1</v>
      </c>
    </row>
    <row r="15" spans="2:9" ht="15" customHeight="1" x14ac:dyDescent="0.2">
      <c r="B15" t="s">
        <v>200</v>
      </c>
      <c r="C15" s="12">
        <v>834</v>
      </c>
      <c r="D15" s="8">
        <v>16.75</v>
      </c>
      <c r="E15" s="12">
        <v>699</v>
      </c>
      <c r="F15" s="8">
        <v>29.09</v>
      </c>
      <c r="G15" s="12">
        <v>133</v>
      </c>
      <c r="H15" s="8">
        <v>5.28</v>
      </c>
      <c r="I15" s="12">
        <v>2</v>
      </c>
    </row>
    <row r="16" spans="2:9" ht="15" customHeight="1" x14ac:dyDescent="0.2">
      <c r="B16" t="s">
        <v>201</v>
      </c>
      <c r="C16" s="12">
        <v>645</v>
      </c>
      <c r="D16" s="8">
        <v>12.96</v>
      </c>
      <c r="E16" s="12">
        <v>504</v>
      </c>
      <c r="F16" s="8">
        <v>20.97</v>
      </c>
      <c r="G16" s="12">
        <v>138</v>
      </c>
      <c r="H16" s="8">
        <v>5.48</v>
      </c>
      <c r="I16" s="12">
        <v>0</v>
      </c>
    </row>
    <row r="17" spans="2:9" ht="15" customHeight="1" x14ac:dyDescent="0.2">
      <c r="B17" t="s">
        <v>202</v>
      </c>
      <c r="C17" s="12">
        <v>179</v>
      </c>
      <c r="D17" s="8">
        <v>3.6</v>
      </c>
      <c r="E17" s="12">
        <v>134</v>
      </c>
      <c r="F17" s="8">
        <v>5.58</v>
      </c>
      <c r="G17" s="12">
        <v>42</v>
      </c>
      <c r="H17" s="8">
        <v>1.67</v>
      </c>
      <c r="I17" s="12">
        <v>0</v>
      </c>
    </row>
    <row r="18" spans="2:9" ht="15" customHeight="1" x14ac:dyDescent="0.2">
      <c r="B18" t="s">
        <v>203</v>
      </c>
      <c r="C18" s="12">
        <v>251</v>
      </c>
      <c r="D18" s="8">
        <v>5.04</v>
      </c>
      <c r="E18" s="12">
        <v>166</v>
      </c>
      <c r="F18" s="8">
        <v>6.91</v>
      </c>
      <c r="G18" s="12">
        <v>84</v>
      </c>
      <c r="H18" s="8">
        <v>3.33</v>
      </c>
      <c r="I18" s="12">
        <v>1</v>
      </c>
    </row>
    <row r="19" spans="2:9" ht="15" customHeight="1" x14ac:dyDescent="0.2">
      <c r="B19" t="s">
        <v>204</v>
      </c>
      <c r="C19" s="12">
        <v>258</v>
      </c>
      <c r="D19" s="8">
        <v>5.18</v>
      </c>
      <c r="E19" s="12">
        <v>80</v>
      </c>
      <c r="F19" s="8">
        <v>3.33</v>
      </c>
      <c r="G19" s="12">
        <v>136</v>
      </c>
      <c r="H19" s="8">
        <v>5.4</v>
      </c>
      <c r="I19" s="12">
        <v>0</v>
      </c>
    </row>
    <row r="20" spans="2:9" ht="15" customHeight="1" x14ac:dyDescent="0.2">
      <c r="B20" s="9" t="s">
        <v>529</v>
      </c>
      <c r="C20" s="12">
        <f>SUM(LTBL_01207[総数／事業所数])</f>
        <v>4978</v>
      </c>
      <c r="E20" s="12">
        <f>SUBTOTAL(109,LTBL_01207[個人／事業所数])</f>
        <v>2403</v>
      </c>
      <c r="G20" s="12">
        <f>SUBTOTAL(109,LTBL_01207[法人／事業所数])</f>
        <v>2520</v>
      </c>
      <c r="I20" s="12">
        <f>SUBTOTAL(109,LTBL_01207[法人以外の団体／事業所数])</f>
        <v>6</v>
      </c>
    </row>
    <row r="21" spans="2:9" ht="15" customHeight="1" x14ac:dyDescent="0.2">
      <c r="E21" s="11">
        <f>LTBL_01207[[#Totals],[個人／事業所数]]/LTBL_01207[[#Totals],[総数／事業所数]]</f>
        <v>0.48272398553635998</v>
      </c>
      <c r="G21" s="11">
        <f>LTBL_01207[[#Totals],[法人／事業所数]]/LTBL_01207[[#Totals],[総数／事業所数]]</f>
        <v>0.50622740056247484</v>
      </c>
      <c r="I21" s="11">
        <f>LTBL_01207[[#Totals],[法人以外の団体／事業所数]]/LTBL_01207[[#Totals],[総数／事業所数]]</f>
        <v>1.2053033346725592E-3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769</v>
      </c>
      <c r="D24" s="8">
        <v>15.45</v>
      </c>
      <c r="E24" s="12">
        <v>674</v>
      </c>
      <c r="F24" s="8">
        <v>28.05</v>
      </c>
      <c r="G24" s="12">
        <v>93</v>
      </c>
      <c r="H24" s="8">
        <v>3.69</v>
      </c>
      <c r="I24" s="12">
        <v>2</v>
      </c>
    </row>
    <row r="25" spans="2:9" ht="15" customHeight="1" x14ac:dyDescent="0.2">
      <c r="B25" t="s">
        <v>228</v>
      </c>
      <c r="C25" s="12">
        <v>555</v>
      </c>
      <c r="D25" s="8">
        <v>11.15</v>
      </c>
      <c r="E25" s="12">
        <v>466</v>
      </c>
      <c r="F25" s="8">
        <v>19.39</v>
      </c>
      <c r="G25" s="12">
        <v>89</v>
      </c>
      <c r="H25" s="8">
        <v>3.53</v>
      </c>
      <c r="I25" s="12">
        <v>0</v>
      </c>
    </row>
    <row r="26" spans="2:9" ht="15" customHeight="1" x14ac:dyDescent="0.2">
      <c r="B26" t="s">
        <v>224</v>
      </c>
      <c r="C26" s="12">
        <v>325</v>
      </c>
      <c r="D26" s="8">
        <v>6.53</v>
      </c>
      <c r="E26" s="12">
        <v>134</v>
      </c>
      <c r="F26" s="8">
        <v>5.58</v>
      </c>
      <c r="G26" s="12">
        <v>190</v>
      </c>
      <c r="H26" s="8">
        <v>7.54</v>
      </c>
      <c r="I26" s="12">
        <v>0</v>
      </c>
    </row>
    <row r="27" spans="2:9" ht="15" customHeight="1" x14ac:dyDescent="0.2">
      <c r="B27" t="s">
        <v>223</v>
      </c>
      <c r="C27" s="12">
        <v>294</v>
      </c>
      <c r="D27" s="8">
        <v>5.91</v>
      </c>
      <c r="E27" s="12">
        <v>103</v>
      </c>
      <c r="F27" s="8">
        <v>4.29</v>
      </c>
      <c r="G27" s="12">
        <v>191</v>
      </c>
      <c r="H27" s="8">
        <v>7.58</v>
      </c>
      <c r="I27" s="12">
        <v>0</v>
      </c>
    </row>
    <row r="28" spans="2:9" ht="15" customHeight="1" x14ac:dyDescent="0.2">
      <c r="B28" t="s">
        <v>213</v>
      </c>
      <c r="C28" s="12">
        <v>243</v>
      </c>
      <c r="D28" s="8">
        <v>4.88</v>
      </c>
      <c r="E28" s="12">
        <v>34</v>
      </c>
      <c r="F28" s="8">
        <v>1.41</v>
      </c>
      <c r="G28" s="12">
        <v>209</v>
      </c>
      <c r="H28" s="8">
        <v>8.2899999999999991</v>
      </c>
      <c r="I28" s="12">
        <v>0</v>
      </c>
    </row>
    <row r="29" spans="2:9" ht="15" customHeight="1" x14ac:dyDescent="0.2">
      <c r="B29" t="s">
        <v>214</v>
      </c>
      <c r="C29" s="12">
        <v>221</v>
      </c>
      <c r="D29" s="8">
        <v>4.4400000000000004</v>
      </c>
      <c r="E29" s="12">
        <v>92</v>
      </c>
      <c r="F29" s="8">
        <v>3.83</v>
      </c>
      <c r="G29" s="12">
        <v>129</v>
      </c>
      <c r="H29" s="8">
        <v>5.12</v>
      </c>
      <c r="I29" s="12">
        <v>0</v>
      </c>
    </row>
    <row r="30" spans="2:9" ht="15" customHeight="1" x14ac:dyDescent="0.2">
      <c r="B30" t="s">
        <v>231</v>
      </c>
      <c r="C30" s="12">
        <v>184</v>
      </c>
      <c r="D30" s="8">
        <v>3.7</v>
      </c>
      <c r="E30" s="12">
        <v>164</v>
      </c>
      <c r="F30" s="8">
        <v>6.82</v>
      </c>
      <c r="G30" s="12">
        <v>20</v>
      </c>
      <c r="H30" s="8">
        <v>0.79</v>
      </c>
      <c r="I30" s="12">
        <v>0</v>
      </c>
    </row>
    <row r="31" spans="2:9" ht="15" customHeight="1" x14ac:dyDescent="0.2">
      <c r="B31" t="s">
        <v>215</v>
      </c>
      <c r="C31" s="12">
        <v>182</v>
      </c>
      <c r="D31" s="8">
        <v>3.66</v>
      </c>
      <c r="E31" s="12">
        <v>40</v>
      </c>
      <c r="F31" s="8">
        <v>1.66</v>
      </c>
      <c r="G31" s="12">
        <v>142</v>
      </c>
      <c r="H31" s="8">
        <v>5.63</v>
      </c>
      <c r="I31" s="12">
        <v>0</v>
      </c>
    </row>
    <row r="32" spans="2:9" ht="15" customHeight="1" x14ac:dyDescent="0.2">
      <c r="B32" t="s">
        <v>230</v>
      </c>
      <c r="C32" s="12">
        <v>179</v>
      </c>
      <c r="D32" s="8">
        <v>3.6</v>
      </c>
      <c r="E32" s="12">
        <v>134</v>
      </c>
      <c r="F32" s="8">
        <v>5.58</v>
      </c>
      <c r="G32" s="12">
        <v>42</v>
      </c>
      <c r="H32" s="8">
        <v>1.67</v>
      </c>
      <c r="I32" s="12">
        <v>0</v>
      </c>
    </row>
    <row r="33" spans="2:9" ht="15" customHeight="1" x14ac:dyDescent="0.2">
      <c r="B33" t="s">
        <v>221</v>
      </c>
      <c r="C33" s="12">
        <v>140</v>
      </c>
      <c r="D33" s="8">
        <v>2.81</v>
      </c>
      <c r="E33" s="12">
        <v>53</v>
      </c>
      <c r="F33" s="8">
        <v>2.21</v>
      </c>
      <c r="G33" s="12">
        <v>87</v>
      </c>
      <c r="H33" s="8">
        <v>3.45</v>
      </c>
      <c r="I33" s="12">
        <v>0</v>
      </c>
    </row>
    <row r="34" spans="2:9" ht="15" customHeight="1" x14ac:dyDescent="0.2">
      <c r="B34" t="s">
        <v>220</v>
      </c>
      <c r="C34" s="12">
        <v>135</v>
      </c>
      <c r="D34" s="8">
        <v>2.71</v>
      </c>
      <c r="E34" s="12">
        <v>38</v>
      </c>
      <c r="F34" s="8">
        <v>1.58</v>
      </c>
      <c r="G34" s="12">
        <v>97</v>
      </c>
      <c r="H34" s="8">
        <v>3.85</v>
      </c>
      <c r="I34" s="12">
        <v>0</v>
      </c>
    </row>
    <row r="35" spans="2:9" ht="15" customHeight="1" x14ac:dyDescent="0.2">
      <c r="B35" t="s">
        <v>222</v>
      </c>
      <c r="C35" s="12">
        <v>131</v>
      </c>
      <c r="D35" s="8">
        <v>2.63</v>
      </c>
      <c r="E35" s="12">
        <v>52</v>
      </c>
      <c r="F35" s="8">
        <v>2.16</v>
      </c>
      <c r="G35" s="12">
        <v>79</v>
      </c>
      <c r="H35" s="8">
        <v>3.13</v>
      </c>
      <c r="I35" s="12">
        <v>0</v>
      </c>
    </row>
    <row r="36" spans="2:9" ht="15" customHeight="1" x14ac:dyDescent="0.2">
      <c r="B36" t="s">
        <v>226</v>
      </c>
      <c r="C36" s="12">
        <v>129</v>
      </c>
      <c r="D36" s="8">
        <v>2.59</v>
      </c>
      <c r="E36" s="12">
        <v>50</v>
      </c>
      <c r="F36" s="8">
        <v>2.08</v>
      </c>
      <c r="G36" s="12">
        <v>79</v>
      </c>
      <c r="H36" s="8">
        <v>3.13</v>
      </c>
      <c r="I36" s="12">
        <v>0</v>
      </c>
    </row>
    <row r="37" spans="2:9" ht="15" customHeight="1" x14ac:dyDescent="0.2">
      <c r="B37" t="s">
        <v>225</v>
      </c>
      <c r="C37" s="12">
        <v>113</v>
      </c>
      <c r="D37" s="8">
        <v>2.27</v>
      </c>
      <c r="E37" s="12">
        <v>72</v>
      </c>
      <c r="F37" s="8">
        <v>3</v>
      </c>
      <c r="G37" s="12">
        <v>40</v>
      </c>
      <c r="H37" s="8">
        <v>1.59</v>
      </c>
      <c r="I37" s="12">
        <v>1</v>
      </c>
    </row>
    <row r="38" spans="2:9" ht="15" customHeight="1" x14ac:dyDescent="0.2">
      <c r="B38" t="s">
        <v>218</v>
      </c>
      <c r="C38" s="12">
        <v>101</v>
      </c>
      <c r="D38" s="8">
        <v>2.0299999999999998</v>
      </c>
      <c r="E38" s="12">
        <v>6</v>
      </c>
      <c r="F38" s="8">
        <v>0.25</v>
      </c>
      <c r="G38" s="12">
        <v>95</v>
      </c>
      <c r="H38" s="8">
        <v>3.77</v>
      </c>
      <c r="I38" s="12">
        <v>0</v>
      </c>
    </row>
    <row r="39" spans="2:9" ht="15" customHeight="1" x14ac:dyDescent="0.2">
      <c r="B39" t="s">
        <v>219</v>
      </c>
      <c r="C39" s="12">
        <v>89</v>
      </c>
      <c r="D39" s="8">
        <v>1.79</v>
      </c>
      <c r="E39" s="12">
        <v>13</v>
      </c>
      <c r="F39" s="8">
        <v>0.54</v>
      </c>
      <c r="G39" s="12">
        <v>76</v>
      </c>
      <c r="H39" s="8">
        <v>3.02</v>
      </c>
      <c r="I39" s="12">
        <v>0</v>
      </c>
    </row>
    <row r="40" spans="2:9" ht="15" customHeight="1" x14ac:dyDescent="0.2">
      <c r="B40" t="s">
        <v>240</v>
      </c>
      <c r="C40" s="12">
        <v>82</v>
      </c>
      <c r="D40" s="8">
        <v>1.65</v>
      </c>
      <c r="E40" s="12">
        <v>52</v>
      </c>
      <c r="F40" s="8">
        <v>2.16</v>
      </c>
      <c r="G40" s="12">
        <v>30</v>
      </c>
      <c r="H40" s="8">
        <v>1.19</v>
      </c>
      <c r="I40" s="12">
        <v>0</v>
      </c>
    </row>
    <row r="41" spans="2:9" ht="15" customHeight="1" x14ac:dyDescent="0.2">
      <c r="B41" t="s">
        <v>217</v>
      </c>
      <c r="C41" s="12">
        <v>68</v>
      </c>
      <c r="D41" s="8">
        <v>1.37</v>
      </c>
      <c r="E41" s="12">
        <v>6</v>
      </c>
      <c r="F41" s="8">
        <v>0.25</v>
      </c>
      <c r="G41" s="12">
        <v>62</v>
      </c>
      <c r="H41" s="8">
        <v>2.46</v>
      </c>
      <c r="I41" s="12">
        <v>0</v>
      </c>
    </row>
    <row r="42" spans="2:9" ht="15" customHeight="1" x14ac:dyDescent="0.2">
      <c r="B42" t="s">
        <v>232</v>
      </c>
      <c r="C42" s="12">
        <v>67</v>
      </c>
      <c r="D42" s="8">
        <v>1.35</v>
      </c>
      <c r="E42" s="12">
        <v>2</v>
      </c>
      <c r="F42" s="8">
        <v>0.08</v>
      </c>
      <c r="G42" s="12">
        <v>64</v>
      </c>
      <c r="H42" s="8">
        <v>2.54</v>
      </c>
      <c r="I42" s="12">
        <v>1</v>
      </c>
    </row>
    <row r="43" spans="2:9" ht="15" customHeight="1" x14ac:dyDescent="0.2">
      <c r="B43" t="s">
        <v>237</v>
      </c>
      <c r="C43" s="12">
        <v>66</v>
      </c>
      <c r="D43" s="8">
        <v>1.33</v>
      </c>
      <c r="E43" s="12">
        <v>11</v>
      </c>
      <c r="F43" s="8">
        <v>0.46</v>
      </c>
      <c r="G43" s="12">
        <v>55</v>
      </c>
      <c r="H43" s="8">
        <v>2.1800000000000002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297</v>
      </c>
      <c r="D47" s="8">
        <v>5.97</v>
      </c>
      <c r="E47" s="12">
        <v>267</v>
      </c>
      <c r="F47" s="8">
        <v>11.11</v>
      </c>
      <c r="G47" s="12">
        <v>30</v>
      </c>
      <c r="H47" s="8">
        <v>1.19</v>
      </c>
      <c r="I47" s="12">
        <v>0</v>
      </c>
    </row>
    <row r="48" spans="2:9" ht="15" customHeight="1" x14ac:dyDescent="0.2">
      <c r="B48" t="s">
        <v>301</v>
      </c>
      <c r="C48" s="12">
        <v>281</v>
      </c>
      <c r="D48" s="8">
        <v>5.64</v>
      </c>
      <c r="E48" s="12">
        <v>270</v>
      </c>
      <c r="F48" s="8">
        <v>11.24</v>
      </c>
      <c r="G48" s="12">
        <v>11</v>
      </c>
      <c r="H48" s="8">
        <v>0.44</v>
      </c>
      <c r="I48" s="12">
        <v>0</v>
      </c>
    </row>
    <row r="49" spans="2:9" ht="15" customHeight="1" x14ac:dyDescent="0.2">
      <c r="B49" t="s">
        <v>297</v>
      </c>
      <c r="C49" s="12">
        <v>225</v>
      </c>
      <c r="D49" s="8">
        <v>4.5199999999999996</v>
      </c>
      <c r="E49" s="12">
        <v>122</v>
      </c>
      <c r="F49" s="8">
        <v>5.08</v>
      </c>
      <c r="G49" s="12">
        <v>103</v>
      </c>
      <c r="H49" s="8">
        <v>4.09</v>
      </c>
      <c r="I49" s="12">
        <v>0</v>
      </c>
    </row>
    <row r="50" spans="2:9" ht="15" customHeight="1" x14ac:dyDescent="0.2">
      <c r="B50" t="s">
        <v>303</v>
      </c>
      <c r="C50" s="12">
        <v>161</v>
      </c>
      <c r="D50" s="8">
        <v>3.23</v>
      </c>
      <c r="E50" s="12">
        <v>151</v>
      </c>
      <c r="F50" s="8">
        <v>6.28</v>
      </c>
      <c r="G50" s="12">
        <v>10</v>
      </c>
      <c r="H50" s="8">
        <v>0.4</v>
      </c>
      <c r="I50" s="12">
        <v>0</v>
      </c>
    </row>
    <row r="51" spans="2:9" ht="15" customHeight="1" x14ac:dyDescent="0.2">
      <c r="B51" t="s">
        <v>299</v>
      </c>
      <c r="C51" s="12">
        <v>158</v>
      </c>
      <c r="D51" s="8">
        <v>3.17</v>
      </c>
      <c r="E51" s="12">
        <v>127</v>
      </c>
      <c r="F51" s="8">
        <v>5.29</v>
      </c>
      <c r="G51" s="12">
        <v>31</v>
      </c>
      <c r="H51" s="8">
        <v>1.23</v>
      </c>
      <c r="I51" s="12">
        <v>0</v>
      </c>
    </row>
    <row r="52" spans="2:9" ht="15" customHeight="1" x14ac:dyDescent="0.2">
      <c r="B52" t="s">
        <v>300</v>
      </c>
      <c r="C52" s="12">
        <v>138</v>
      </c>
      <c r="D52" s="8">
        <v>2.77</v>
      </c>
      <c r="E52" s="12">
        <v>124</v>
      </c>
      <c r="F52" s="8">
        <v>5.16</v>
      </c>
      <c r="G52" s="12">
        <v>14</v>
      </c>
      <c r="H52" s="8">
        <v>0.56000000000000005</v>
      </c>
      <c r="I52" s="12">
        <v>0</v>
      </c>
    </row>
    <row r="53" spans="2:9" ht="15" customHeight="1" x14ac:dyDescent="0.2">
      <c r="B53" t="s">
        <v>306</v>
      </c>
      <c r="C53" s="12">
        <v>135</v>
      </c>
      <c r="D53" s="8">
        <v>2.71</v>
      </c>
      <c r="E53" s="12">
        <v>129</v>
      </c>
      <c r="F53" s="8">
        <v>5.37</v>
      </c>
      <c r="G53" s="12">
        <v>6</v>
      </c>
      <c r="H53" s="8">
        <v>0.24</v>
      </c>
      <c r="I53" s="12">
        <v>0</v>
      </c>
    </row>
    <row r="54" spans="2:9" ht="15" customHeight="1" x14ac:dyDescent="0.2">
      <c r="B54" t="s">
        <v>305</v>
      </c>
      <c r="C54" s="12">
        <v>125</v>
      </c>
      <c r="D54" s="8">
        <v>2.5099999999999998</v>
      </c>
      <c r="E54" s="12">
        <v>108</v>
      </c>
      <c r="F54" s="8">
        <v>4.49</v>
      </c>
      <c r="G54" s="12">
        <v>17</v>
      </c>
      <c r="H54" s="8">
        <v>0.67</v>
      </c>
      <c r="I54" s="12">
        <v>0</v>
      </c>
    </row>
    <row r="55" spans="2:9" ht="15" customHeight="1" x14ac:dyDescent="0.2">
      <c r="B55" t="s">
        <v>295</v>
      </c>
      <c r="C55" s="12">
        <v>98</v>
      </c>
      <c r="D55" s="8">
        <v>1.97</v>
      </c>
      <c r="E55" s="12">
        <v>43</v>
      </c>
      <c r="F55" s="8">
        <v>1.79</v>
      </c>
      <c r="G55" s="12">
        <v>55</v>
      </c>
      <c r="H55" s="8">
        <v>2.1800000000000002</v>
      </c>
      <c r="I55" s="12">
        <v>0</v>
      </c>
    </row>
    <row r="56" spans="2:9" ht="15" customHeight="1" x14ac:dyDescent="0.2">
      <c r="B56" t="s">
        <v>302</v>
      </c>
      <c r="C56" s="12">
        <v>97</v>
      </c>
      <c r="D56" s="8">
        <v>1.95</v>
      </c>
      <c r="E56" s="12">
        <v>82</v>
      </c>
      <c r="F56" s="8">
        <v>3.41</v>
      </c>
      <c r="G56" s="12">
        <v>14</v>
      </c>
      <c r="H56" s="8">
        <v>0.56000000000000005</v>
      </c>
      <c r="I56" s="12">
        <v>1</v>
      </c>
    </row>
    <row r="57" spans="2:9" ht="15" customHeight="1" x14ac:dyDescent="0.2">
      <c r="B57" t="s">
        <v>290</v>
      </c>
      <c r="C57" s="12">
        <v>90</v>
      </c>
      <c r="D57" s="8">
        <v>1.81</v>
      </c>
      <c r="E57" s="12">
        <v>25</v>
      </c>
      <c r="F57" s="8">
        <v>1.04</v>
      </c>
      <c r="G57" s="12">
        <v>65</v>
      </c>
      <c r="H57" s="8">
        <v>2.58</v>
      </c>
      <c r="I57" s="12">
        <v>0</v>
      </c>
    </row>
    <row r="58" spans="2:9" ht="15" customHeight="1" x14ac:dyDescent="0.2">
      <c r="B58" t="s">
        <v>298</v>
      </c>
      <c r="C58" s="12">
        <v>86</v>
      </c>
      <c r="D58" s="8">
        <v>1.73</v>
      </c>
      <c r="E58" s="12">
        <v>35</v>
      </c>
      <c r="F58" s="8">
        <v>1.46</v>
      </c>
      <c r="G58" s="12">
        <v>51</v>
      </c>
      <c r="H58" s="8">
        <v>2.02</v>
      </c>
      <c r="I58" s="12">
        <v>0</v>
      </c>
    </row>
    <row r="59" spans="2:9" ht="15" customHeight="1" x14ac:dyDescent="0.2">
      <c r="B59" t="s">
        <v>307</v>
      </c>
      <c r="C59" s="12">
        <v>82</v>
      </c>
      <c r="D59" s="8">
        <v>1.65</v>
      </c>
      <c r="E59" s="12">
        <v>52</v>
      </c>
      <c r="F59" s="8">
        <v>2.16</v>
      </c>
      <c r="G59" s="12">
        <v>30</v>
      </c>
      <c r="H59" s="8">
        <v>1.19</v>
      </c>
      <c r="I59" s="12">
        <v>0</v>
      </c>
    </row>
    <row r="60" spans="2:9" ht="15" customHeight="1" x14ac:dyDescent="0.2">
      <c r="B60" t="s">
        <v>293</v>
      </c>
      <c r="C60" s="12">
        <v>80</v>
      </c>
      <c r="D60" s="8">
        <v>1.61</v>
      </c>
      <c r="E60" s="12">
        <v>29</v>
      </c>
      <c r="F60" s="8">
        <v>1.21</v>
      </c>
      <c r="G60" s="12">
        <v>51</v>
      </c>
      <c r="H60" s="8">
        <v>2.02</v>
      </c>
      <c r="I60" s="12">
        <v>0</v>
      </c>
    </row>
    <row r="61" spans="2:9" ht="15" customHeight="1" x14ac:dyDescent="0.2">
      <c r="B61" t="s">
        <v>296</v>
      </c>
      <c r="C61" s="12">
        <v>65</v>
      </c>
      <c r="D61" s="8">
        <v>1.31</v>
      </c>
      <c r="E61" s="12">
        <v>8</v>
      </c>
      <c r="F61" s="8">
        <v>0.33</v>
      </c>
      <c r="G61" s="12">
        <v>57</v>
      </c>
      <c r="H61" s="8">
        <v>2.2599999999999998</v>
      </c>
      <c r="I61" s="12">
        <v>0</v>
      </c>
    </row>
    <row r="62" spans="2:9" ht="15" customHeight="1" x14ac:dyDescent="0.2">
      <c r="B62" t="s">
        <v>288</v>
      </c>
      <c r="C62" s="12">
        <v>64</v>
      </c>
      <c r="D62" s="8">
        <v>1.29</v>
      </c>
      <c r="E62" s="12">
        <v>5</v>
      </c>
      <c r="F62" s="8">
        <v>0.21</v>
      </c>
      <c r="G62" s="12">
        <v>59</v>
      </c>
      <c r="H62" s="8">
        <v>2.34</v>
      </c>
      <c r="I62" s="12">
        <v>0</v>
      </c>
    </row>
    <row r="63" spans="2:9" ht="15" customHeight="1" x14ac:dyDescent="0.2">
      <c r="B63" t="s">
        <v>328</v>
      </c>
      <c r="C63" s="12">
        <v>62</v>
      </c>
      <c r="D63" s="8">
        <v>1.25</v>
      </c>
      <c r="E63" s="12">
        <v>14</v>
      </c>
      <c r="F63" s="8">
        <v>0.57999999999999996</v>
      </c>
      <c r="G63" s="12">
        <v>48</v>
      </c>
      <c r="H63" s="8">
        <v>1.9</v>
      </c>
      <c r="I63" s="12">
        <v>0</v>
      </c>
    </row>
    <row r="64" spans="2:9" ht="15" customHeight="1" x14ac:dyDescent="0.2">
      <c r="B64" t="s">
        <v>289</v>
      </c>
      <c r="C64" s="12">
        <v>61</v>
      </c>
      <c r="D64" s="8">
        <v>1.23</v>
      </c>
      <c r="E64" s="12">
        <v>6</v>
      </c>
      <c r="F64" s="8">
        <v>0.25</v>
      </c>
      <c r="G64" s="12">
        <v>55</v>
      </c>
      <c r="H64" s="8">
        <v>2.1800000000000002</v>
      </c>
      <c r="I64" s="12">
        <v>0</v>
      </c>
    </row>
    <row r="65" spans="2:9" ht="15" customHeight="1" x14ac:dyDescent="0.2">
      <c r="B65" t="s">
        <v>314</v>
      </c>
      <c r="C65" s="12">
        <v>61</v>
      </c>
      <c r="D65" s="8">
        <v>1.23</v>
      </c>
      <c r="E65" s="12">
        <v>15</v>
      </c>
      <c r="F65" s="8">
        <v>0.62</v>
      </c>
      <c r="G65" s="12">
        <v>46</v>
      </c>
      <c r="H65" s="8">
        <v>1.83</v>
      </c>
      <c r="I65" s="12">
        <v>0</v>
      </c>
    </row>
    <row r="66" spans="2:9" ht="15" customHeight="1" x14ac:dyDescent="0.2">
      <c r="B66" t="s">
        <v>291</v>
      </c>
      <c r="C66" s="12">
        <v>58</v>
      </c>
      <c r="D66" s="8">
        <v>1.17</v>
      </c>
      <c r="E66" s="12">
        <v>11</v>
      </c>
      <c r="F66" s="8">
        <v>0.46</v>
      </c>
      <c r="G66" s="12">
        <v>47</v>
      </c>
      <c r="H66" s="8">
        <v>1.87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733AE-67D5-47DE-9959-194C5B3E5532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7.0000000000000007E-2</v>
      </c>
      <c r="E5" s="12">
        <v>0</v>
      </c>
      <c r="F5" s="8">
        <v>0</v>
      </c>
      <c r="G5" s="12">
        <v>2</v>
      </c>
      <c r="H5" s="8">
        <v>0.14000000000000001</v>
      </c>
      <c r="I5" s="12">
        <v>0</v>
      </c>
    </row>
    <row r="6" spans="2:9" ht="15" customHeight="1" x14ac:dyDescent="0.2">
      <c r="B6" t="s">
        <v>191</v>
      </c>
      <c r="C6" s="12">
        <v>334</v>
      </c>
      <c r="D6" s="8">
        <v>11.91</v>
      </c>
      <c r="E6" s="12">
        <v>74</v>
      </c>
      <c r="F6" s="8">
        <v>5.67</v>
      </c>
      <c r="G6" s="12">
        <v>260</v>
      </c>
      <c r="H6" s="8">
        <v>17.75</v>
      </c>
      <c r="I6" s="12">
        <v>0</v>
      </c>
    </row>
    <row r="7" spans="2:9" ht="15" customHeight="1" x14ac:dyDescent="0.2">
      <c r="B7" t="s">
        <v>192</v>
      </c>
      <c r="C7" s="12">
        <v>157</v>
      </c>
      <c r="D7" s="8">
        <v>5.6</v>
      </c>
      <c r="E7" s="12">
        <v>40</v>
      </c>
      <c r="F7" s="8">
        <v>3.06</v>
      </c>
      <c r="G7" s="12">
        <v>117</v>
      </c>
      <c r="H7" s="8">
        <v>7.99</v>
      </c>
      <c r="I7" s="12">
        <v>0</v>
      </c>
    </row>
    <row r="8" spans="2:9" ht="15" customHeight="1" x14ac:dyDescent="0.2">
      <c r="B8" t="s">
        <v>193</v>
      </c>
      <c r="C8" s="12">
        <v>8</v>
      </c>
      <c r="D8" s="8">
        <v>0.28999999999999998</v>
      </c>
      <c r="E8" s="12">
        <v>0</v>
      </c>
      <c r="F8" s="8">
        <v>0</v>
      </c>
      <c r="G8" s="12">
        <v>8</v>
      </c>
      <c r="H8" s="8">
        <v>0.55000000000000004</v>
      </c>
      <c r="I8" s="12">
        <v>0</v>
      </c>
    </row>
    <row r="9" spans="2:9" ht="15" customHeight="1" x14ac:dyDescent="0.2">
      <c r="B9" t="s">
        <v>194</v>
      </c>
      <c r="C9" s="12">
        <v>28</v>
      </c>
      <c r="D9" s="8">
        <v>1</v>
      </c>
      <c r="E9" s="12">
        <v>2</v>
      </c>
      <c r="F9" s="8">
        <v>0.15</v>
      </c>
      <c r="G9" s="12">
        <v>25</v>
      </c>
      <c r="H9" s="8">
        <v>1.71</v>
      </c>
      <c r="I9" s="12">
        <v>1</v>
      </c>
    </row>
    <row r="10" spans="2:9" ht="15" customHeight="1" x14ac:dyDescent="0.2">
      <c r="B10" t="s">
        <v>195</v>
      </c>
      <c r="C10" s="12">
        <v>38</v>
      </c>
      <c r="D10" s="8">
        <v>1.35</v>
      </c>
      <c r="E10" s="12">
        <v>13</v>
      </c>
      <c r="F10" s="8">
        <v>1</v>
      </c>
      <c r="G10" s="12">
        <v>25</v>
      </c>
      <c r="H10" s="8">
        <v>1.71</v>
      </c>
      <c r="I10" s="12">
        <v>0</v>
      </c>
    </row>
    <row r="11" spans="2:9" ht="15" customHeight="1" x14ac:dyDescent="0.2">
      <c r="B11" t="s">
        <v>196</v>
      </c>
      <c r="C11" s="12">
        <v>689</v>
      </c>
      <c r="D11" s="8">
        <v>24.56</v>
      </c>
      <c r="E11" s="12">
        <v>224</v>
      </c>
      <c r="F11" s="8">
        <v>17.149999999999999</v>
      </c>
      <c r="G11" s="12">
        <v>465</v>
      </c>
      <c r="H11" s="8">
        <v>31.74</v>
      </c>
      <c r="I11" s="12">
        <v>0</v>
      </c>
    </row>
    <row r="12" spans="2:9" ht="15" customHeight="1" x14ac:dyDescent="0.2">
      <c r="B12" t="s">
        <v>197</v>
      </c>
      <c r="C12" s="12">
        <v>31</v>
      </c>
      <c r="D12" s="8">
        <v>1.1100000000000001</v>
      </c>
      <c r="E12" s="12">
        <v>3</v>
      </c>
      <c r="F12" s="8">
        <v>0.23</v>
      </c>
      <c r="G12" s="12">
        <v>28</v>
      </c>
      <c r="H12" s="8">
        <v>1.91</v>
      </c>
      <c r="I12" s="12">
        <v>0</v>
      </c>
    </row>
    <row r="13" spans="2:9" ht="15" customHeight="1" x14ac:dyDescent="0.2">
      <c r="B13" t="s">
        <v>198</v>
      </c>
      <c r="C13" s="12">
        <v>277</v>
      </c>
      <c r="D13" s="8">
        <v>9.8800000000000008</v>
      </c>
      <c r="E13" s="12">
        <v>123</v>
      </c>
      <c r="F13" s="8">
        <v>9.42</v>
      </c>
      <c r="G13" s="12">
        <v>154</v>
      </c>
      <c r="H13" s="8">
        <v>10.51</v>
      </c>
      <c r="I13" s="12">
        <v>0</v>
      </c>
    </row>
    <row r="14" spans="2:9" ht="15" customHeight="1" x14ac:dyDescent="0.2">
      <c r="B14" t="s">
        <v>199</v>
      </c>
      <c r="C14" s="12">
        <v>99</v>
      </c>
      <c r="D14" s="8">
        <v>3.53</v>
      </c>
      <c r="E14" s="12">
        <v>45</v>
      </c>
      <c r="F14" s="8">
        <v>3.45</v>
      </c>
      <c r="G14" s="12">
        <v>52</v>
      </c>
      <c r="H14" s="8">
        <v>3.55</v>
      </c>
      <c r="I14" s="12">
        <v>0</v>
      </c>
    </row>
    <row r="15" spans="2:9" ht="15" customHeight="1" x14ac:dyDescent="0.2">
      <c r="B15" t="s">
        <v>200</v>
      </c>
      <c r="C15" s="12">
        <v>428</v>
      </c>
      <c r="D15" s="8">
        <v>15.26</v>
      </c>
      <c r="E15" s="12">
        <v>346</v>
      </c>
      <c r="F15" s="8">
        <v>26.49</v>
      </c>
      <c r="G15" s="12">
        <v>80</v>
      </c>
      <c r="H15" s="8">
        <v>5.46</v>
      </c>
      <c r="I15" s="12">
        <v>1</v>
      </c>
    </row>
    <row r="16" spans="2:9" ht="15" customHeight="1" x14ac:dyDescent="0.2">
      <c r="B16" t="s">
        <v>201</v>
      </c>
      <c r="C16" s="12">
        <v>349</v>
      </c>
      <c r="D16" s="8">
        <v>12.44</v>
      </c>
      <c r="E16" s="12">
        <v>285</v>
      </c>
      <c r="F16" s="8">
        <v>21.82</v>
      </c>
      <c r="G16" s="12">
        <v>64</v>
      </c>
      <c r="H16" s="8">
        <v>4.37</v>
      </c>
      <c r="I16" s="12">
        <v>0</v>
      </c>
    </row>
    <row r="17" spans="2:9" ht="15" customHeight="1" x14ac:dyDescent="0.2">
      <c r="B17" t="s">
        <v>202</v>
      </c>
      <c r="C17" s="12">
        <v>55</v>
      </c>
      <c r="D17" s="8">
        <v>1.96</v>
      </c>
      <c r="E17" s="12">
        <v>30</v>
      </c>
      <c r="F17" s="8">
        <v>2.2999999999999998</v>
      </c>
      <c r="G17" s="12">
        <v>18</v>
      </c>
      <c r="H17" s="8">
        <v>1.23</v>
      </c>
      <c r="I17" s="12">
        <v>0</v>
      </c>
    </row>
    <row r="18" spans="2:9" ht="15" customHeight="1" x14ac:dyDescent="0.2">
      <c r="B18" t="s">
        <v>203</v>
      </c>
      <c r="C18" s="12">
        <v>183</v>
      </c>
      <c r="D18" s="8">
        <v>6.52</v>
      </c>
      <c r="E18" s="12">
        <v>85</v>
      </c>
      <c r="F18" s="8">
        <v>6.51</v>
      </c>
      <c r="G18" s="12">
        <v>79</v>
      </c>
      <c r="H18" s="8">
        <v>5.39</v>
      </c>
      <c r="I18" s="12">
        <v>2</v>
      </c>
    </row>
    <row r="19" spans="2:9" ht="15" customHeight="1" x14ac:dyDescent="0.2">
      <c r="B19" t="s">
        <v>204</v>
      </c>
      <c r="C19" s="12">
        <v>127</v>
      </c>
      <c r="D19" s="8">
        <v>4.53</v>
      </c>
      <c r="E19" s="12">
        <v>36</v>
      </c>
      <c r="F19" s="8">
        <v>2.76</v>
      </c>
      <c r="G19" s="12">
        <v>88</v>
      </c>
      <c r="H19" s="8">
        <v>6.01</v>
      </c>
      <c r="I19" s="12">
        <v>3</v>
      </c>
    </row>
    <row r="20" spans="2:9" ht="15" customHeight="1" x14ac:dyDescent="0.2">
      <c r="B20" s="9" t="s">
        <v>529</v>
      </c>
      <c r="C20" s="12">
        <f>SUM(LTBL_01208[総数／事業所数])</f>
        <v>2805</v>
      </c>
      <c r="E20" s="12">
        <f>SUBTOTAL(109,LTBL_01208[個人／事業所数])</f>
        <v>1306</v>
      </c>
      <c r="G20" s="12">
        <f>SUBTOTAL(109,LTBL_01208[法人／事業所数])</f>
        <v>1465</v>
      </c>
      <c r="I20" s="12">
        <f>SUBTOTAL(109,LTBL_01208[法人以外の団体／事業所数])</f>
        <v>7</v>
      </c>
    </row>
    <row r="21" spans="2:9" ht="15" customHeight="1" x14ac:dyDescent="0.2">
      <c r="E21" s="11">
        <f>LTBL_01208[[#Totals],[個人／事業所数]]/LTBL_01208[[#Totals],[総数／事業所数]]</f>
        <v>0.46559714795008911</v>
      </c>
      <c r="G21" s="11">
        <f>LTBL_01208[[#Totals],[法人／事業所数]]/LTBL_01208[[#Totals],[総数／事業所数]]</f>
        <v>0.5222816399286988</v>
      </c>
      <c r="I21" s="11">
        <f>LTBL_01208[[#Totals],[法人以外の団体／事業所数]]/LTBL_01208[[#Totals],[総数／事業所数]]</f>
        <v>2.4955436720142605E-3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368</v>
      </c>
      <c r="D24" s="8">
        <v>13.12</v>
      </c>
      <c r="E24" s="12">
        <v>321</v>
      </c>
      <c r="F24" s="8">
        <v>24.58</v>
      </c>
      <c r="G24" s="12">
        <v>46</v>
      </c>
      <c r="H24" s="8">
        <v>3.14</v>
      </c>
      <c r="I24" s="12">
        <v>1</v>
      </c>
    </row>
    <row r="25" spans="2:9" ht="15" customHeight="1" x14ac:dyDescent="0.2">
      <c r="B25" t="s">
        <v>228</v>
      </c>
      <c r="C25" s="12">
        <v>317</v>
      </c>
      <c r="D25" s="8">
        <v>11.3</v>
      </c>
      <c r="E25" s="12">
        <v>273</v>
      </c>
      <c r="F25" s="8">
        <v>20.9</v>
      </c>
      <c r="G25" s="12">
        <v>44</v>
      </c>
      <c r="H25" s="8">
        <v>3</v>
      </c>
      <c r="I25" s="12">
        <v>0</v>
      </c>
    </row>
    <row r="26" spans="2:9" ht="15" customHeight="1" x14ac:dyDescent="0.2">
      <c r="B26" t="s">
        <v>224</v>
      </c>
      <c r="C26" s="12">
        <v>233</v>
      </c>
      <c r="D26" s="8">
        <v>8.31</v>
      </c>
      <c r="E26" s="12">
        <v>122</v>
      </c>
      <c r="F26" s="8">
        <v>9.34</v>
      </c>
      <c r="G26" s="12">
        <v>111</v>
      </c>
      <c r="H26" s="8">
        <v>7.58</v>
      </c>
      <c r="I26" s="12">
        <v>0</v>
      </c>
    </row>
    <row r="27" spans="2:9" ht="15" customHeight="1" x14ac:dyDescent="0.2">
      <c r="B27" t="s">
        <v>223</v>
      </c>
      <c r="C27" s="12">
        <v>178</v>
      </c>
      <c r="D27" s="8">
        <v>6.35</v>
      </c>
      <c r="E27" s="12">
        <v>72</v>
      </c>
      <c r="F27" s="8">
        <v>5.51</v>
      </c>
      <c r="G27" s="12">
        <v>106</v>
      </c>
      <c r="H27" s="8">
        <v>7.24</v>
      </c>
      <c r="I27" s="12">
        <v>0</v>
      </c>
    </row>
    <row r="28" spans="2:9" ht="15" customHeight="1" x14ac:dyDescent="0.2">
      <c r="B28" t="s">
        <v>213</v>
      </c>
      <c r="C28" s="12">
        <v>131</v>
      </c>
      <c r="D28" s="8">
        <v>4.67</v>
      </c>
      <c r="E28" s="12">
        <v>17</v>
      </c>
      <c r="F28" s="8">
        <v>1.3</v>
      </c>
      <c r="G28" s="12">
        <v>114</v>
      </c>
      <c r="H28" s="8">
        <v>7.78</v>
      </c>
      <c r="I28" s="12">
        <v>0</v>
      </c>
    </row>
    <row r="29" spans="2:9" ht="15" customHeight="1" x14ac:dyDescent="0.2">
      <c r="B29" t="s">
        <v>214</v>
      </c>
      <c r="C29" s="12">
        <v>119</v>
      </c>
      <c r="D29" s="8">
        <v>4.24</v>
      </c>
      <c r="E29" s="12">
        <v>39</v>
      </c>
      <c r="F29" s="8">
        <v>2.99</v>
      </c>
      <c r="G29" s="12">
        <v>80</v>
      </c>
      <c r="H29" s="8">
        <v>5.46</v>
      </c>
      <c r="I29" s="12">
        <v>0</v>
      </c>
    </row>
    <row r="30" spans="2:9" ht="15" customHeight="1" x14ac:dyDescent="0.2">
      <c r="B30" t="s">
        <v>221</v>
      </c>
      <c r="C30" s="12">
        <v>95</v>
      </c>
      <c r="D30" s="8">
        <v>3.39</v>
      </c>
      <c r="E30" s="12">
        <v>46</v>
      </c>
      <c r="F30" s="8">
        <v>3.52</v>
      </c>
      <c r="G30" s="12">
        <v>49</v>
      </c>
      <c r="H30" s="8">
        <v>3.34</v>
      </c>
      <c r="I30" s="12">
        <v>0</v>
      </c>
    </row>
    <row r="31" spans="2:9" ht="15" customHeight="1" x14ac:dyDescent="0.2">
      <c r="B31" t="s">
        <v>220</v>
      </c>
      <c r="C31" s="12">
        <v>94</v>
      </c>
      <c r="D31" s="8">
        <v>3.35</v>
      </c>
      <c r="E31" s="12">
        <v>34</v>
      </c>
      <c r="F31" s="8">
        <v>2.6</v>
      </c>
      <c r="G31" s="12">
        <v>60</v>
      </c>
      <c r="H31" s="8">
        <v>4.0999999999999996</v>
      </c>
      <c r="I31" s="12">
        <v>0</v>
      </c>
    </row>
    <row r="32" spans="2:9" ht="15" customHeight="1" x14ac:dyDescent="0.2">
      <c r="B32" t="s">
        <v>231</v>
      </c>
      <c r="C32" s="12">
        <v>93</v>
      </c>
      <c r="D32" s="8">
        <v>3.32</v>
      </c>
      <c r="E32" s="12">
        <v>85</v>
      </c>
      <c r="F32" s="8">
        <v>6.51</v>
      </c>
      <c r="G32" s="12">
        <v>8</v>
      </c>
      <c r="H32" s="8">
        <v>0.55000000000000004</v>
      </c>
      <c r="I32" s="12">
        <v>0</v>
      </c>
    </row>
    <row r="33" spans="2:9" ht="15" customHeight="1" x14ac:dyDescent="0.2">
      <c r="B33" t="s">
        <v>232</v>
      </c>
      <c r="C33" s="12">
        <v>90</v>
      </c>
      <c r="D33" s="8">
        <v>3.21</v>
      </c>
      <c r="E33" s="12">
        <v>0</v>
      </c>
      <c r="F33" s="8">
        <v>0</v>
      </c>
      <c r="G33" s="12">
        <v>71</v>
      </c>
      <c r="H33" s="8">
        <v>4.8499999999999996</v>
      </c>
      <c r="I33" s="12">
        <v>2</v>
      </c>
    </row>
    <row r="34" spans="2:9" ht="15" customHeight="1" x14ac:dyDescent="0.2">
      <c r="B34" t="s">
        <v>215</v>
      </c>
      <c r="C34" s="12">
        <v>84</v>
      </c>
      <c r="D34" s="8">
        <v>2.99</v>
      </c>
      <c r="E34" s="12">
        <v>18</v>
      </c>
      <c r="F34" s="8">
        <v>1.38</v>
      </c>
      <c r="G34" s="12">
        <v>66</v>
      </c>
      <c r="H34" s="8">
        <v>4.51</v>
      </c>
      <c r="I34" s="12">
        <v>0</v>
      </c>
    </row>
    <row r="35" spans="2:9" ht="15" customHeight="1" x14ac:dyDescent="0.2">
      <c r="B35" t="s">
        <v>222</v>
      </c>
      <c r="C35" s="12">
        <v>84</v>
      </c>
      <c r="D35" s="8">
        <v>2.99</v>
      </c>
      <c r="E35" s="12">
        <v>35</v>
      </c>
      <c r="F35" s="8">
        <v>2.68</v>
      </c>
      <c r="G35" s="12">
        <v>49</v>
      </c>
      <c r="H35" s="8">
        <v>3.34</v>
      </c>
      <c r="I35" s="12">
        <v>0</v>
      </c>
    </row>
    <row r="36" spans="2:9" ht="15" customHeight="1" x14ac:dyDescent="0.2">
      <c r="B36" t="s">
        <v>218</v>
      </c>
      <c r="C36" s="12">
        <v>67</v>
      </c>
      <c r="D36" s="8">
        <v>2.39</v>
      </c>
      <c r="E36" s="12">
        <v>6</v>
      </c>
      <c r="F36" s="8">
        <v>0.46</v>
      </c>
      <c r="G36" s="12">
        <v>61</v>
      </c>
      <c r="H36" s="8">
        <v>4.16</v>
      </c>
      <c r="I36" s="12">
        <v>0</v>
      </c>
    </row>
    <row r="37" spans="2:9" ht="15" customHeight="1" x14ac:dyDescent="0.2">
      <c r="B37" t="s">
        <v>219</v>
      </c>
      <c r="C37" s="12">
        <v>55</v>
      </c>
      <c r="D37" s="8">
        <v>1.96</v>
      </c>
      <c r="E37" s="12">
        <v>10</v>
      </c>
      <c r="F37" s="8">
        <v>0.77</v>
      </c>
      <c r="G37" s="12">
        <v>45</v>
      </c>
      <c r="H37" s="8">
        <v>3.07</v>
      </c>
      <c r="I37" s="12">
        <v>0</v>
      </c>
    </row>
    <row r="38" spans="2:9" ht="15" customHeight="1" x14ac:dyDescent="0.2">
      <c r="B38" t="s">
        <v>230</v>
      </c>
      <c r="C38" s="12">
        <v>55</v>
      </c>
      <c r="D38" s="8">
        <v>1.96</v>
      </c>
      <c r="E38" s="12">
        <v>30</v>
      </c>
      <c r="F38" s="8">
        <v>2.2999999999999998</v>
      </c>
      <c r="G38" s="12">
        <v>18</v>
      </c>
      <c r="H38" s="8">
        <v>1.23</v>
      </c>
      <c r="I38" s="12">
        <v>0</v>
      </c>
    </row>
    <row r="39" spans="2:9" ht="15" customHeight="1" x14ac:dyDescent="0.2">
      <c r="B39" t="s">
        <v>226</v>
      </c>
      <c r="C39" s="12">
        <v>49</v>
      </c>
      <c r="D39" s="8">
        <v>1.75</v>
      </c>
      <c r="E39" s="12">
        <v>16</v>
      </c>
      <c r="F39" s="8">
        <v>1.23</v>
      </c>
      <c r="G39" s="12">
        <v>32</v>
      </c>
      <c r="H39" s="8">
        <v>2.1800000000000002</v>
      </c>
      <c r="I39" s="12">
        <v>0</v>
      </c>
    </row>
    <row r="40" spans="2:9" ht="15" customHeight="1" x14ac:dyDescent="0.2">
      <c r="B40" t="s">
        <v>217</v>
      </c>
      <c r="C40" s="12">
        <v>47</v>
      </c>
      <c r="D40" s="8">
        <v>1.68</v>
      </c>
      <c r="E40" s="12">
        <v>9</v>
      </c>
      <c r="F40" s="8">
        <v>0.69</v>
      </c>
      <c r="G40" s="12">
        <v>38</v>
      </c>
      <c r="H40" s="8">
        <v>2.59</v>
      </c>
      <c r="I40" s="12">
        <v>0</v>
      </c>
    </row>
    <row r="41" spans="2:9" ht="15" customHeight="1" x14ac:dyDescent="0.2">
      <c r="B41" t="s">
        <v>225</v>
      </c>
      <c r="C41" s="12">
        <v>45</v>
      </c>
      <c r="D41" s="8">
        <v>1.6</v>
      </c>
      <c r="E41" s="12">
        <v>29</v>
      </c>
      <c r="F41" s="8">
        <v>2.2200000000000002</v>
      </c>
      <c r="G41" s="12">
        <v>16</v>
      </c>
      <c r="H41" s="8">
        <v>1.0900000000000001</v>
      </c>
      <c r="I41" s="12">
        <v>0</v>
      </c>
    </row>
    <row r="42" spans="2:9" ht="15" customHeight="1" x14ac:dyDescent="0.2">
      <c r="B42" t="s">
        <v>242</v>
      </c>
      <c r="C42" s="12">
        <v>39</v>
      </c>
      <c r="D42" s="8">
        <v>1.39</v>
      </c>
      <c r="E42" s="12">
        <v>16</v>
      </c>
      <c r="F42" s="8">
        <v>1.23</v>
      </c>
      <c r="G42" s="12">
        <v>23</v>
      </c>
      <c r="H42" s="8">
        <v>1.57</v>
      </c>
      <c r="I42" s="12">
        <v>0</v>
      </c>
    </row>
    <row r="43" spans="2:9" ht="15" customHeight="1" x14ac:dyDescent="0.2">
      <c r="B43" t="s">
        <v>243</v>
      </c>
      <c r="C43" s="12">
        <v>38</v>
      </c>
      <c r="D43" s="8">
        <v>1.35</v>
      </c>
      <c r="E43" s="12">
        <v>23</v>
      </c>
      <c r="F43" s="8">
        <v>1.76</v>
      </c>
      <c r="G43" s="12">
        <v>15</v>
      </c>
      <c r="H43" s="8">
        <v>1.02</v>
      </c>
      <c r="I43" s="12">
        <v>0</v>
      </c>
    </row>
    <row r="44" spans="2:9" ht="15" customHeight="1" x14ac:dyDescent="0.2">
      <c r="B44" t="s">
        <v>240</v>
      </c>
      <c r="C44" s="12">
        <v>38</v>
      </c>
      <c r="D44" s="8">
        <v>1.35</v>
      </c>
      <c r="E44" s="12">
        <v>16</v>
      </c>
      <c r="F44" s="8">
        <v>1.23</v>
      </c>
      <c r="G44" s="12">
        <v>22</v>
      </c>
      <c r="H44" s="8">
        <v>1.5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297</v>
      </c>
      <c r="C48" s="12">
        <v>168</v>
      </c>
      <c r="D48" s="8">
        <v>5.99</v>
      </c>
      <c r="E48" s="12">
        <v>106</v>
      </c>
      <c r="F48" s="8">
        <v>8.1199999999999992</v>
      </c>
      <c r="G48" s="12">
        <v>62</v>
      </c>
      <c r="H48" s="8">
        <v>4.2300000000000004</v>
      </c>
      <c r="I48" s="12">
        <v>0</v>
      </c>
    </row>
    <row r="49" spans="2:9" ht="15" customHeight="1" x14ac:dyDescent="0.2">
      <c r="B49" t="s">
        <v>304</v>
      </c>
      <c r="C49" s="12">
        <v>164</v>
      </c>
      <c r="D49" s="8">
        <v>5.85</v>
      </c>
      <c r="E49" s="12">
        <v>153</v>
      </c>
      <c r="F49" s="8">
        <v>11.72</v>
      </c>
      <c r="G49" s="12">
        <v>11</v>
      </c>
      <c r="H49" s="8">
        <v>0.75</v>
      </c>
      <c r="I49" s="12">
        <v>0</v>
      </c>
    </row>
    <row r="50" spans="2:9" ht="15" customHeight="1" x14ac:dyDescent="0.2">
      <c r="B50" t="s">
        <v>301</v>
      </c>
      <c r="C50" s="12">
        <v>136</v>
      </c>
      <c r="D50" s="8">
        <v>4.8499999999999996</v>
      </c>
      <c r="E50" s="12">
        <v>131</v>
      </c>
      <c r="F50" s="8">
        <v>10.029999999999999</v>
      </c>
      <c r="G50" s="12">
        <v>5</v>
      </c>
      <c r="H50" s="8">
        <v>0.34</v>
      </c>
      <c r="I50" s="12">
        <v>0</v>
      </c>
    </row>
    <row r="51" spans="2:9" ht="15" customHeight="1" x14ac:dyDescent="0.2">
      <c r="B51" t="s">
        <v>303</v>
      </c>
      <c r="C51" s="12">
        <v>110</v>
      </c>
      <c r="D51" s="8">
        <v>3.92</v>
      </c>
      <c r="E51" s="12">
        <v>108</v>
      </c>
      <c r="F51" s="8">
        <v>8.27</v>
      </c>
      <c r="G51" s="12">
        <v>2</v>
      </c>
      <c r="H51" s="8">
        <v>0.14000000000000001</v>
      </c>
      <c r="I51" s="12">
        <v>0</v>
      </c>
    </row>
    <row r="52" spans="2:9" ht="15" customHeight="1" x14ac:dyDescent="0.2">
      <c r="B52" t="s">
        <v>299</v>
      </c>
      <c r="C52" s="12">
        <v>84</v>
      </c>
      <c r="D52" s="8">
        <v>2.99</v>
      </c>
      <c r="E52" s="12">
        <v>67</v>
      </c>
      <c r="F52" s="8">
        <v>5.13</v>
      </c>
      <c r="G52" s="12">
        <v>17</v>
      </c>
      <c r="H52" s="8">
        <v>1.1599999999999999</v>
      </c>
      <c r="I52" s="12">
        <v>0</v>
      </c>
    </row>
    <row r="53" spans="2:9" ht="15" customHeight="1" x14ac:dyDescent="0.2">
      <c r="B53" t="s">
        <v>306</v>
      </c>
      <c r="C53" s="12">
        <v>64</v>
      </c>
      <c r="D53" s="8">
        <v>2.2799999999999998</v>
      </c>
      <c r="E53" s="12">
        <v>62</v>
      </c>
      <c r="F53" s="8">
        <v>4.75</v>
      </c>
      <c r="G53" s="12">
        <v>2</v>
      </c>
      <c r="H53" s="8">
        <v>0.14000000000000001</v>
      </c>
      <c r="I53" s="12">
        <v>0</v>
      </c>
    </row>
    <row r="54" spans="2:9" ht="15" customHeight="1" x14ac:dyDescent="0.2">
      <c r="B54" t="s">
        <v>295</v>
      </c>
      <c r="C54" s="12">
        <v>53</v>
      </c>
      <c r="D54" s="8">
        <v>1.89</v>
      </c>
      <c r="E54" s="12">
        <v>22</v>
      </c>
      <c r="F54" s="8">
        <v>1.68</v>
      </c>
      <c r="G54" s="12">
        <v>31</v>
      </c>
      <c r="H54" s="8">
        <v>2.12</v>
      </c>
      <c r="I54" s="12">
        <v>0</v>
      </c>
    </row>
    <row r="55" spans="2:9" ht="15" customHeight="1" x14ac:dyDescent="0.2">
      <c r="B55" t="s">
        <v>314</v>
      </c>
      <c r="C55" s="12">
        <v>49</v>
      </c>
      <c r="D55" s="8">
        <v>1.75</v>
      </c>
      <c r="E55" s="12">
        <v>14</v>
      </c>
      <c r="F55" s="8">
        <v>1.07</v>
      </c>
      <c r="G55" s="12">
        <v>35</v>
      </c>
      <c r="H55" s="8">
        <v>2.39</v>
      </c>
      <c r="I55" s="12">
        <v>0</v>
      </c>
    </row>
    <row r="56" spans="2:9" ht="15" customHeight="1" x14ac:dyDescent="0.2">
      <c r="B56" t="s">
        <v>300</v>
      </c>
      <c r="C56" s="12">
        <v>48</v>
      </c>
      <c r="D56" s="8">
        <v>1.71</v>
      </c>
      <c r="E56" s="12">
        <v>42</v>
      </c>
      <c r="F56" s="8">
        <v>3.22</v>
      </c>
      <c r="G56" s="12">
        <v>6</v>
      </c>
      <c r="H56" s="8">
        <v>0.41</v>
      </c>
      <c r="I56" s="12">
        <v>0</v>
      </c>
    </row>
    <row r="57" spans="2:9" ht="15" customHeight="1" x14ac:dyDescent="0.2">
      <c r="B57" t="s">
        <v>302</v>
      </c>
      <c r="C57" s="12">
        <v>47</v>
      </c>
      <c r="D57" s="8">
        <v>1.68</v>
      </c>
      <c r="E57" s="12">
        <v>42</v>
      </c>
      <c r="F57" s="8">
        <v>3.22</v>
      </c>
      <c r="G57" s="12">
        <v>4</v>
      </c>
      <c r="H57" s="8">
        <v>0.27</v>
      </c>
      <c r="I57" s="12">
        <v>1</v>
      </c>
    </row>
    <row r="58" spans="2:9" ht="15" customHeight="1" x14ac:dyDescent="0.2">
      <c r="B58" t="s">
        <v>293</v>
      </c>
      <c r="C58" s="12">
        <v>45</v>
      </c>
      <c r="D58" s="8">
        <v>1.6</v>
      </c>
      <c r="E58" s="12">
        <v>11</v>
      </c>
      <c r="F58" s="8">
        <v>0.84</v>
      </c>
      <c r="G58" s="12">
        <v>34</v>
      </c>
      <c r="H58" s="8">
        <v>2.3199999999999998</v>
      </c>
      <c r="I58" s="12">
        <v>0</v>
      </c>
    </row>
    <row r="59" spans="2:9" ht="15" customHeight="1" x14ac:dyDescent="0.2">
      <c r="B59" t="s">
        <v>309</v>
      </c>
      <c r="C59" s="12">
        <v>41</v>
      </c>
      <c r="D59" s="8">
        <v>1.46</v>
      </c>
      <c r="E59" s="12">
        <v>8</v>
      </c>
      <c r="F59" s="8">
        <v>0.61</v>
      </c>
      <c r="G59" s="12">
        <v>33</v>
      </c>
      <c r="H59" s="8">
        <v>2.25</v>
      </c>
      <c r="I59" s="12">
        <v>0</v>
      </c>
    </row>
    <row r="60" spans="2:9" ht="15" customHeight="1" x14ac:dyDescent="0.2">
      <c r="B60" t="s">
        <v>328</v>
      </c>
      <c r="C60" s="12">
        <v>38</v>
      </c>
      <c r="D60" s="8">
        <v>1.35</v>
      </c>
      <c r="E60" s="12">
        <v>9</v>
      </c>
      <c r="F60" s="8">
        <v>0.69</v>
      </c>
      <c r="G60" s="12">
        <v>29</v>
      </c>
      <c r="H60" s="8">
        <v>1.98</v>
      </c>
      <c r="I60" s="12">
        <v>0</v>
      </c>
    </row>
    <row r="61" spans="2:9" ht="15" customHeight="1" x14ac:dyDescent="0.2">
      <c r="B61" t="s">
        <v>307</v>
      </c>
      <c r="C61" s="12">
        <v>38</v>
      </c>
      <c r="D61" s="8">
        <v>1.35</v>
      </c>
      <c r="E61" s="12">
        <v>16</v>
      </c>
      <c r="F61" s="8">
        <v>1.23</v>
      </c>
      <c r="G61" s="12">
        <v>22</v>
      </c>
      <c r="H61" s="8">
        <v>1.5</v>
      </c>
      <c r="I61" s="12">
        <v>0</v>
      </c>
    </row>
    <row r="62" spans="2:9" ht="15" customHeight="1" x14ac:dyDescent="0.2">
      <c r="B62" t="s">
        <v>290</v>
      </c>
      <c r="C62" s="12">
        <v>36</v>
      </c>
      <c r="D62" s="8">
        <v>1.28</v>
      </c>
      <c r="E62" s="12">
        <v>11</v>
      </c>
      <c r="F62" s="8">
        <v>0.84</v>
      </c>
      <c r="G62" s="12">
        <v>25</v>
      </c>
      <c r="H62" s="8">
        <v>1.71</v>
      </c>
      <c r="I62" s="12">
        <v>0</v>
      </c>
    </row>
    <row r="63" spans="2:9" ht="15" customHeight="1" x14ac:dyDescent="0.2">
      <c r="B63" t="s">
        <v>321</v>
      </c>
      <c r="C63" s="12">
        <v>36</v>
      </c>
      <c r="D63" s="8">
        <v>1.28</v>
      </c>
      <c r="E63" s="12">
        <v>4</v>
      </c>
      <c r="F63" s="8">
        <v>0.31</v>
      </c>
      <c r="G63" s="12">
        <v>32</v>
      </c>
      <c r="H63" s="8">
        <v>2.1800000000000002</v>
      </c>
      <c r="I63" s="12">
        <v>0</v>
      </c>
    </row>
    <row r="64" spans="2:9" ht="15" customHeight="1" x14ac:dyDescent="0.2">
      <c r="B64" t="s">
        <v>292</v>
      </c>
      <c r="C64" s="12">
        <v>35</v>
      </c>
      <c r="D64" s="8">
        <v>1.25</v>
      </c>
      <c r="E64" s="12">
        <v>21</v>
      </c>
      <c r="F64" s="8">
        <v>1.61</v>
      </c>
      <c r="G64" s="12">
        <v>14</v>
      </c>
      <c r="H64" s="8">
        <v>0.96</v>
      </c>
      <c r="I64" s="12">
        <v>0</v>
      </c>
    </row>
    <row r="65" spans="2:9" ht="15" customHeight="1" x14ac:dyDescent="0.2">
      <c r="B65" t="s">
        <v>331</v>
      </c>
      <c r="C65" s="12">
        <v>35</v>
      </c>
      <c r="D65" s="8">
        <v>1.25</v>
      </c>
      <c r="E65" s="12">
        <v>0</v>
      </c>
      <c r="F65" s="8">
        <v>0</v>
      </c>
      <c r="G65" s="12">
        <v>35</v>
      </c>
      <c r="H65" s="8">
        <v>2.39</v>
      </c>
      <c r="I65" s="12">
        <v>0</v>
      </c>
    </row>
    <row r="66" spans="2:9" ht="15" customHeight="1" x14ac:dyDescent="0.2">
      <c r="B66" t="s">
        <v>289</v>
      </c>
      <c r="C66" s="12">
        <v>34</v>
      </c>
      <c r="D66" s="8">
        <v>1.21</v>
      </c>
      <c r="E66" s="12">
        <v>3</v>
      </c>
      <c r="F66" s="8">
        <v>0.23</v>
      </c>
      <c r="G66" s="12">
        <v>31</v>
      </c>
      <c r="H66" s="8">
        <v>2.12</v>
      </c>
      <c r="I66" s="12">
        <v>0</v>
      </c>
    </row>
    <row r="67" spans="2:9" ht="15" customHeight="1" x14ac:dyDescent="0.2">
      <c r="B67" t="s">
        <v>335</v>
      </c>
      <c r="C67" s="12">
        <v>34</v>
      </c>
      <c r="D67" s="8">
        <v>1.21</v>
      </c>
      <c r="E67" s="12">
        <v>21</v>
      </c>
      <c r="F67" s="8">
        <v>1.61</v>
      </c>
      <c r="G67" s="12">
        <v>13</v>
      </c>
      <c r="H67" s="8">
        <v>0.89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E194-B885-4C54-8418-87EC4E72A738}">
  <sheetPr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14</v>
      </c>
      <c r="D6" s="8">
        <v>7.33</v>
      </c>
      <c r="E6" s="12">
        <v>1</v>
      </c>
      <c r="F6" s="8">
        <v>0.94</v>
      </c>
      <c r="G6" s="12">
        <v>13</v>
      </c>
      <c r="H6" s="8">
        <v>16.670000000000002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4.1900000000000004</v>
      </c>
      <c r="E7" s="12">
        <v>0</v>
      </c>
      <c r="F7" s="8">
        <v>0</v>
      </c>
      <c r="G7" s="12">
        <v>8</v>
      </c>
      <c r="H7" s="8">
        <v>10.26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0.52</v>
      </c>
      <c r="E8" s="12">
        <v>0</v>
      </c>
      <c r="F8" s="8">
        <v>0</v>
      </c>
      <c r="G8" s="12">
        <v>1</v>
      </c>
      <c r="H8" s="8">
        <v>1.28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0.52</v>
      </c>
      <c r="E9" s="12">
        <v>0</v>
      </c>
      <c r="F9" s="8">
        <v>0</v>
      </c>
      <c r="G9" s="12">
        <v>1</v>
      </c>
      <c r="H9" s="8">
        <v>1.28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60</v>
      </c>
      <c r="D11" s="8">
        <v>31.41</v>
      </c>
      <c r="E11" s="12">
        <v>33</v>
      </c>
      <c r="F11" s="8">
        <v>31.13</v>
      </c>
      <c r="G11" s="12">
        <v>27</v>
      </c>
      <c r="H11" s="8">
        <v>34.619999999999997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7</v>
      </c>
      <c r="D13" s="8">
        <v>3.66</v>
      </c>
      <c r="E13" s="12">
        <v>2</v>
      </c>
      <c r="F13" s="8">
        <v>1.89</v>
      </c>
      <c r="G13" s="12">
        <v>5</v>
      </c>
      <c r="H13" s="8">
        <v>6.41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1.57</v>
      </c>
      <c r="E14" s="12">
        <v>1</v>
      </c>
      <c r="F14" s="8">
        <v>0.94</v>
      </c>
      <c r="G14" s="12">
        <v>2</v>
      </c>
      <c r="H14" s="8">
        <v>2.56</v>
      </c>
      <c r="I14" s="12">
        <v>0</v>
      </c>
    </row>
    <row r="15" spans="2:9" ht="15" customHeight="1" x14ac:dyDescent="0.2">
      <c r="B15" t="s">
        <v>200</v>
      </c>
      <c r="C15" s="12">
        <v>31</v>
      </c>
      <c r="D15" s="8">
        <v>16.23</v>
      </c>
      <c r="E15" s="12">
        <v>27</v>
      </c>
      <c r="F15" s="8">
        <v>25.47</v>
      </c>
      <c r="G15" s="12">
        <v>4</v>
      </c>
      <c r="H15" s="8">
        <v>5.13</v>
      </c>
      <c r="I15" s="12">
        <v>0</v>
      </c>
    </row>
    <row r="16" spans="2:9" ht="15" customHeight="1" x14ac:dyDescent="0.2">
      <c r="B16" t="s">
        <v>201</v>
      </c>
      <c r="C16" s="12">
        <v>36</v>
      </c>
      <c r="D16" s="8">
        <v>18.850000000000001</v>
      </c>
      <c r="E16" s="12">
        <v>31</v>
      </c>
      <c r="F16" s="8">
        <v>29.25</v>
      </c>
      <c r="G16" s="12">
        <v>3</v>
      </c>
      <c r="H16" s="8">
        <v>3.85</v>
      </c>
      <c r="I16" s="12">
        <v>2</v>
      </c>
    </row>
    <row r="17" spans="2:9" ht="15" customHeight="1" x14ac:dyDescent="0.2">
      <c r="B17" t="s">
        <v>202</v>
      </c>
      <c r="C17" s="12">
        <v>3</v>
      </c>
      <c r="D17" s="8">
        <v>1.57</v>
      </c>
      <c r="E17" s="12">
        <v>0</v>
      </c>
      <c r="F17" s="8">
        <v>0</v>
      </c>
      <c r="G17" s="12">
        <v>2</v>
      </c>
      <c r="H17" s="8">
        <v>2.56</v>
      </c>
      <c r="I17" s="12">
        <v>0</v>
      </c>
    </row>
    <row r="18" spans="2:9" ht="15" customHeight="1" x14ac:dyDescent="0.2">
      <c r="B18" t="s">
        <v>203</v>
      </c>
      <c r="C18" s="12">
        <v>18</v>
      </c>
      <c r="D18" s="8">
        <v>9.42</v>
      </c>
      <c r="E18" s="12">
        <v>5</v>
      </c>
      <c r="F18" s="8">
        <v>4.72</v>
      </c>
      <c r="G18" s="12">
        <v>9</v>
      </c>
      <c r="H18" s="8">
        <v>11.54</v>
      </c>
      <c r="I18" s="12">
        <v>0</v>
      </c>
    </row>
    <row r="19" spans="2:9" ht="15" customHeight="1" x14ac:dyDescent="0.2">
      <c r="B19" t="s">
        <v>204</v>
      </c>
      <c r="C19" s="12">
        <v>9</v>
      </c>
      <c r="D19" s="8">
        <v>4.71</v>
      </c>
      <c r="E19" s="12">
        <v>6</v>
      </c>
      <c r="F19" s="8">
        <v>5.66</v>
      </c>
      <c r="G19" s="12">
        <v>3</v>
      </c>
      <c r="H19" s="8">
        <v>3.85</v>
      </c>
      <c r="I19" s="12">
        <v>0</v>
      </c>
    </row>
    <row r="20" spans="2:9" ht="15" customHeight="1" x14ac:dyDescent="0.2">
      <c r="B20" s="9" t="s">
        <v>529</v>
      </c>
      <c r="C20" s="12">
        <f>SUM(LTBL_01209[総数／事業所数])</f>
        <v>191</v>
      </c>
      <c r="E20" s="12">
        <f>SUBTOTAL(109,LTBL_01209[個人／事業所数])</f>
        <v>106</v>
      </c>
      <c r="G20" s="12">
        <f>SUBTOTAL(109,LTBL_01209[法人／事業所数])</f>
        <v>78</v>
      </c>
      <c r="I20" s="12">
        <f>SUBTOTAL(109,LTBL_01209[法人以外の団体／事業所数])</f>
        <v>2</v>
      </c>
    </row>
    <row r="21" spans="2:9" ht="15" customHeight="1" x14ac:dyDescent="0.2">
      <c r="E21" s="11">
        <f>LTBL_01209[[#Totals],[個人／事業所数]]/LTBL_01209[[#Totals],[総数／事業所数]]</f>
        <v>0.55497382198952883</v>
      </c>
      <c r="G21" s="11">
        <f>LTBL_01209[[#Totals],[法人／事業所数]]/LTBL_01209[[#Totals],[総数／事業所数]]</f>
        <v>0.40837696335078533</v>
      </c>
      <c r="I21" s="11">
        <f>LTBL_01209[[#Totals],[法人以外の団体／事業所数]]/LTBL_01209[[#Totals],[総数／事業所数]]</f>
        <v>1.0471204188481676E-2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34</v>
      </c>
      <c r="D24" s="8">
        <v>17.8</v>
      </c>
      <c r="E24" s="12">
        <v>30</v>
      </c>
      <c r="F24" s="8">
        <v>28.3</v>
      </c>
      <c r="G24" s="12">
        <v>2</v>
      </c>
      <c r="H24" s="8">
        <v>2.56</v>
      </c>
      <c r="I24" s="12">
        <v>2</v>
      </c>
    </row>
    <row r="25" spans="2:9" ht="15" customHeight="1" x14ac:dyDescent="0.2">
      <c r="B25" t="s">
        <v>223</v>
      </c>
      <c r="C25" s="12">
        <v>28</v>
      </c>
      <c r="D25" s="8">
        <v>14.66</v>
      </c>
      <c r="E25" s="12">
        <v>14</v>
      </c>
      <c r="F25" s="8">
        <v>13.21</v>
      </c>
      <c r="G25" s="12">
        <v>14</v>
      </c>
      <c r="H25" s="8">
        <v>17.95</v>
      </c>
      <c r="I25" s="12">
        <v>0</v>
      </c>
    </row>
    <row r="26" spans="2:9" ht="15" customHeight="1" x14ac:dyDescent="0.2">
      <c r="B26" t="s">
        <v>227</v>
      </c>
      <c r="C26" s="12">
        <v>27</v>
      </c>
      <c r="D26" s="8">
        <v>14.14</v>
      </c>
      <c r="E26" s="12">
        <v>24</v>
      </c>
      <c r="F26" s="8">
        <v>22.64</v>
      </c>
      <c r="G26" s="12">
        <v>3</v>
      </c>
      <c r="H26" s="8">
        <v>3.85</v>
      </c>
      <c r="I26" s="12">
        <v>0</v>
      </c>
    </row>
    <row r="27" spans="2:9" ht="15" customHeight="1" x14ac:dyDescent="0.2">
      <c r="B27" t="s">
        <v>221</v>
      </c>
      <c r="C27" s="12">
        <v>20</v>
      </c>
      <c r="D27" s="8">
        <v>10.47</v>
      </c>
      <c r="E27" s="12">
        <v>11</v>
      </c>
      <c r="F27" s="8">
        <v>10.38</v>
      </c>
      <c r="G27" s="12">
        <v>9</v>
      </c>
      <c r="H27" s="8">
        <v>11.54</v>
      </c>
      <c r="I27" s="12">
        <v>0</v>
      </c>
    </row>
    <row r="28" spans="2:9" ht="15" customHeight="1" x14ac:dyDescent="0.2">
      <c r="B28" t="s">
        <v>232</v>
      </c>
      <c r="C28" s="12">
        <v>13</v>
      </c>
      <c r="D28" s="8">
        <v>6.81</v>
      </c>
      <c r="E28" s="12">
        <v>0</v>
      </c>
      <c r="F28" s="8">
        <v>0</v>
      </c>
      <c r="G28" s="12">
        <v>9</v>
      </c>
      <c r="H28" s="8">
        <v>11.54</v>
      </c>
      <c r="I28" s="12">
        <v>0</v>
      </c>
    </row>
    <row r="29" spans="2:9" ht="15" customHeight="1" x14ac:dyDescent="0.2">
      <c r="B29" t="s">
        <v>213</v>
      </c>
      <c r="C29" s="12">
        <v>7</v>
      </c>
      <c r="D29" s="8">
        <v>3.66</v>
      </c>
      <c r="E29" s="12">
        <v>1</v>
      </c>
      <c r="F29" s="8">
        <v>0.94</v>
      </c>
      <c r="G29" s="12">
        <v>6</v>
      </c>
      <c r="H29" s="8">
        <v>7.69</v>
      </c>
      <c r="I29" s="12">
        <v>0</v>
      </c>
    </row>
    <row r="30" spans="2:9" ht="15" customHeight="1" x14ac:dyDescent="0.2">
      <c r="B30" t="s">
        <v>240</v>
      </c>
      <c r="C30" s="12">
        <v>6</v>
      </c>
      <c r="D30" s="8">
        <v>3.14</v>
      </c>
      <c r="E30" s="12">
        <v>5</v>
      </c>
      <c r="F30" s="8">
        <v>4.72</v>
      </c>
      <c r="G30" s="12">
        <v>1</v>
      </c>
      <c r="H30" s="8">
        <v>1.28</v>
      </c>
      <c r="I30" s="12">
        <v>0</v>
      </c>
    </row>
    <row r="31" spans="2:9" ht="15" customHeight="1" x14ac:dyDescent="0.2">
      <c r="B31" t="s">
        <v>215</v>
      </c>
      <c r="C31" s="12">
        <v>5</v>
      </c>
      <c r="D31" s="8">
        <v>2.62</v>
      </c>
      <c r="E31" s="12">
        <v>0</v>
      </c>
      <c r="F31" s="8">
        <v>0</v>
      </c>
      <c r="G31" s="12">
        <v>5</v>
      </c>
      <c r="H31" s="8">
        <v>6.41</v>
      </c>
      <c r="I31" s="12">
        <v>0</v>
      </c>
    </row>
    <row r="32" spans="2:9" ht="15" customHeight="1" x14ac:dyDescent="0.2">
      <c r="B32" t="s">
        <v>222</v>
      </c>
      <c r="C32" s="12">
        <v>5</v>
      </c>
      <c r="D32" s="8">
        <v>2.62</v>
      </c>
      <c r="E32" s="12">
        <v>2</v>
      </c>
      <c r="F32" s="8">
        <v>1.89</v>
      </c>
      <c r="G32" s="12">
        <v>3</v>
      </c>
      <c r="H32" s="8">
        <v>3.85</v>
      </c>
      <c r="I32" s="12">
        <v>0</v>
      </c>
    </row>
    <row r="33" spans="2:9" ht="15" customHeight="1" x14ac:dyDescent="0.2">
      <c r="B33" t="s">
        <v>231</v>
      </c>
      <c r="C33" s="12">
        <v>5</v>
      </c>
      <c r="D33" s="8">
        <v>2.62</v>
      </c>
      <c r="E33" s="12">
        <v>5</v>
      </c>
      <c r="F33" s="8">
        <v>4.72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220</v>
      </c>
      <c r="C34" s="12">
        <v>4</v>
      </c>
      <c r="D34" s="8">
        <v>2.09</v>
      </c>
      <c r="E34" s="12">
        <v>4</v>
      </c>
      <c r="F34" s="8">
        <v>3.77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241</v>
      </c>
      <c r="C35" s="12">
        <v>3</v>
      </c>
      <c r="D35" s="8">
        <v>1.57</v>
      </c>
      <c r="E35" s="12">
        <v>0</v>
      </c>
      <c r="F35" s="8">
        <v>0</v>
      </c>
      <c r="G35" s="12">
        <v>3</v>
      </c>
      <c r="H35" s="8">
        <v>3.85</v>
      </c>
      <c r="I35" s="12">
        <v>0</v>
      </c>
    </row>
    <row r="36" spans="2:9" ht="15" customHeight="1" x14ac:dyDescent="0.2">
      <c r="B36" t="s">
        <v>224</v>
      </c>
      <c r="C36" s="12">
        <v>3</v>
      </c>
      <c r="D36" s="8">
        <v>1.57</v>
      </c>
      <c r="E36" s="12">
        <v>1</v>
      </c>
      <c r="F36" s="8">
        <v>0.94</v>
      </c>
      <c r="G36" s="12">
        <v>2</v>
      </c>
      <c r="H36" s="8">
        <v>2.56</v>
      </c>
      <c r="I36" s="12">
        <v>0</v>
      </c>
    </row>
    <row r="37" spans="2:9" ht="15" customHeight="1" x14ac:dyDescent="0.2">
      <c r="B37" t="s">
        <v>246</v>
      </c>
      <c r="C37" s="12">
        <v>3</v>
      </c>
      <c r="D37" s="8">
        <v>1.57</v>
      </c>
      <c r="E37" s="12">
        <v>1</v>
      </c>
      <c r="F37" s="8">
        <v>0.94</v>
      </c>
      <c r="G37" s="12">
        <v>2</v>
      </c>
      <c r="H37" s="8">
        <v>2.56</v>
      </c>
      <c r="I37" s="12">
        <v>0</v>
      </c>
    </row>
    <row r="38" spans="2:9" ht="15" customHeight="1" x14ac:dyDescent="0.2">
      <c r="B38" t="s">
        <v>243</v>
      </c>
      <c r="C38" s="12">
        <v>3</v>
      </c>
      <c r="D38" s="8">
        <v>1.57</v>
      </c>
      <c r="E38" s="12">
        <v>3</v>
      </c>
      <c r="F38" s="8">
        <v>2.83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230</v>
      </c>
      <c r="C39" s="12">
        <v>3</v>
      </c>
      <c r="D39" s="8">
        <v>1.57</v>
      </c>
      <c r="E39" s="12">
        <v>0</v>
      </c>
      <c r="F39" s="8">
        <v>0</v>
      </c>
      <c r="G39" s="12">
        <v>2</v>
      </c>
      <c r="H39" s="8">
        <v>2.56</v>
      </c>
      <c r="I39" s="12">
        <v>0</v>
      </c>
    </row>
    <row r="40" spans="2:9" ht="15" customHeight="1" x14ac:dyDescent="0.2">
      <c r="B40" t="s">
        <v>214</v>
      </c>
      <c r="C40" s="12">
        <v>2</v>
      </c>
      <c r="D40" s="8">
        <v>1.05</v>
      </c>
      <c r="E40" s="12">
        <v>0</v>
      </c>
      <c r="F40" s="8">
        <v>0</v>
      </c>
      <c r="G40" s="12">
        <v>2</v>
      </c>
      <c r="H40" s="8">
        <v>2.56</v>
      </c>
      <c r="I40" s="12">
        <v>0</v>
      </c>
    </row>
    <row r="41" spans="2:9" ht="15" customHeight="1" x14ac:dyDescent="0.2">
      <c r="B41" t="s">
        <v>244</v>
      </c>
      <c r="C41" s="12">
        <v>2</v>
      </c>
      <c r="D41" s="8">
        <v>1.05</v>
      </c>
      <c r="E41" s="12">
        <v>0</v>
      </c>
      <c r="F41" s="8">
        <v>0</v>
      </c>
      <c r="G41" s="12">
        <v>2</v>
      </c>
      <c r="H41" s="8">
        <v>2.56</v>
      </c>
      <c r="I41" s="12">
        <v>0</v>
      </c>
    </row>
    <row r="42" spans="2:9" ht="15" customHeight="1" x14ac:dyDescent="0.2">
      <c r="B42" t="s">
        <v>245</v>
      </c>
      <c r="C42" s="12">
        <v>2</v>
      </c>
      <c r="D42" s="8">
        <v>1.05</v>
      </c>
      <c r="E42" s="12">
        <v>0</v>
      </c>
      <c r="F42" s="8">
        <v>0</v>
      </c>
      <c r="G42" s="12">
        <v>2</v>
      </c>
      <c r="H42" s="8">
        <v>2.56</v>
      </c>
      <c r="I42" s="12">
        <v>0</v>
      </c>
    </row>
    <row r="43" spans="2:9" ht="15" customHeight="1" x14ac:dyDescent="0.2">
      <c r="B43" t="s">
        <v>217</v>
      </c>
      <c r="C43" s="12">
        <v>2</v>
      </c>
      <c r="D43" s="8">
        <v>1.05</v>
      </c>
      <c r="E43" s="12">
        <v>2</v>
      </c>
      <c r="F43" s="8">
        <v>1.89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225</v>
      </c>
      <c r="C44" s="12">
        <v>2</v>
      </c>
      <c r="D44" s="8">
        <v>1.05</v>
      </c>
      <c r="E44" s="12">
        <v>1</v>
      </c>
      <c r="F44" s="8">
        <v>0.94</v>
      </c>
      <c r="G44" s="12">
        <v>1</v>
      </c>
      <c r="H44" s="8">
        <v>1.28</v>
      </c>
      <c r="I44" s="12">
        <v>0</v>
      </c>
    </row>
    <row r="45" spans="2:9" ht="15" customHeight="1" x14ac:dyDescent="0.2">
      <c r="B45" t="s">
        <v>229</v>
      </c>
      <c r="C45" s="12">
        <v>2</v>
      </c>
      <c r="D45" s="8">
        <v>1.05</v>
      </c>
      <c r="E45" s="12">
        <v>1</v>
      </c>
      <c r="F45" s="8">
        <v>0.94</v>
      </c>
      <c r="G45" s="12">
        <v>1</v>
      </c>
      <c r="H45" s="8">
        <v>1.28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304</v>
      </c>
      <c r="C49" s="12">
        <v>16</v>
      </c>
      <c r="D49" s="8">
        <v>8.3800000000000008</v>
      </c>
      <c r="E49" s="12">
        <v>15</v>
      </c>
      <c r="F49" s="8">
        <v>14.15</v>
      </c>
      <c r="G49" s="12">
        <v>1</v>
      </c>
      <c r="H49" s="8">
        <v>1.28</v>
      </c>
      <c r="I49" s="12">
        <v>0</v>
      </c>
    </row>
    <row r="50" spans="2:9" ht="15" customHeight="1" x14ac:dyDescent="0.2">
      <c r="B50" t="s">
        <v>303</v>
      </c>
      <c r="C50" s="12">
        <v>13</v>
      </c>
      <c r="D50" s="8">
        <v>6.81</v>
      </c>
      <c r="E50" s="12">
        <v>13</v>
      </c>
      <c r="F50" s="8">
        <v>12.26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330</v>
      </c>
      <c r="C51" s="12">
        <v>12</v>
      </c>
      <c r="D51" s="8">
        <v>6.28</v>
      </c>
      <c r="E51" s="12">
        <v>3</v>
      </c>
      <c r="F51" s="8">
        <v>2.83</v>
      </c>
      <c r="G51" s="12">
        <v>9</v>
      </c>
      <c r="H51" s="8">
        <v>11.54</v>
      </c>
      <c r="I51" s="12">
        <v>0</v>
      </c>
    </row>
    <row r="52" spans="2:9" ht="15" customHeight="1" x14ac:dyDescent="0.2">
      <c r="B52" t="s">
        <v>336</v>
      </c>
      <c r="C52" s="12">
        <v>9</v>
      </c>
      <c r="D52" s="8">
        <v>4.71</v>
      </c>
      <c r="E52" s="12">
        <v>2</v>
      </c>
      <c r="F52" s="8">
        <v>1.89</v>
      </c>
      <c r="G52" s="12">
        <v>7</v>
      </c>
      <c r="H52" s="8">
        <v>8.9700000000000006</v>
      </c>
      <c r="I52" s="12">
        <v>0</v>
      </c>
    </row>
    <row r="53" spans="2:9" ht="15" customHeight="1" x14ac:dyDescent="0.2">
      <c r="B53" t="s">
        <v>300</v>
      </c>
      <c r="C53" s="12">
        <v>9</v>
      </c>
      <c r="D53" s="8">
        <v>4.71</v>
      </c>
      <c r="E53" s="12">
        <v>9</v>
      </c>
      <c r="F53" s="8">
        <v>8.49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301</v>
      </c>
      <c r="C54" s="12">
        <v>7</v>
      </c>
      <c r="D54" s="8">
        <v>3.66</v>
      </c>
      <c r="E54" s="12">
        <v>7</v>
      </c>
      <c r="F54" s="8">
        <v>6.6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331</v>
      </c>
      <c r="C55" s="12">
        <v>7</v>
      </c>
      <c r="D55" s="8">
        <v>3.66</v>
      </c>
      <c r="E55" s="12">
        <v>0</v>
      </c>
      <c r="F55" s="8">
        <v>0</v>
      </c>
      <c r="G55" s="12">
        <v>6</v>
      </c>
      <c r="H55" s="8">
        <v>7.69</v>
      </c>
      <c r="I55" s="12">
        <v>0</v>
      </c>
    </row>
    <row r="56" spans="2:9" ht="15" customHeight="1" x14ac:dyDescent="0.2">
      <c r="B56" t="s">
        <v>307</v>
      </c>
      <c r="C56" s="12">
        <v>6</v>
      </c>
      <c r="D56" s="8">
        <v>3.14</v>
      </c>
      <c r="E56" s="12">
        <v>5</v>
      </c>
      <c r="F56" s="8">
        <v>4.72</v>
      </c>
      <c r="G56" s="12">
        <v>1</v>
      </c>
      <c r="H56" s="8">
        <v>1.28</v>
      </c>
      <c r="I56" s="12">
        <v>0</v>
      </c>
    </row>
    <row r="57" spans="2:9" ht="15" customHeight="1" x14ac:dyDescent="0.2">
      <c r="B57" t="s">
        <v>329</v>
      </c>
      <c r="C57" s="12">
        <v>5</v>
      </c>
      <c r="D57" s="8">
        <v>2.62</v>
      </c>
      <c r="E57" s="12">
        <v>4</v>
      </c>
      <c r="F57" s="8">
        <v>3.77</v>
      </c>
      <c r="G57" s="12">
        <v>1</v>
      </c>
      <c r="H57" s="8">
        <v>1.28</v>
      </c>
      <c r="I57" s="12">
        <v>0</v>
      </c>
    </row>
    <row r="58" spans="2:9" ht="15" customHeight="1" x14ac:dyDescent="0.2">
      <c r="B58" t="s">
        <v>295</v>
      </c>
      <c r="C58" s="12">
        <v>5</v>
      </c>
      <c r="D58" s="8">
        <v>2.62</v>
      </c>
      <c r="E58" s="12">
        <v>3</v>
      </c>
      <c r="F58" s="8">
        <v>2.83</v>
      </c>
      <c r="G58" s="12">
        <v>2</v>
      </c>
      <c r="H58" s="8">
        <v>2.56</v>
      </c>
      <c r="I58" s="12">
        <v>0</v>
      </c>
    </row>
    <row r="59" spans="2:9" ht="15" customHeight="1" x14ac:dyDescent="0.2">
      <c r="B59" t="s">
        <v>288</v>
      </c>
      <c r="C59" s="12">
        <v>4</v>
      </c>
      <c r="D59" s="8">
        <v>2.09</v>
      </c>
      <c r="E59" s="12">
        <v>1</v>
      </c>
      <c r="F59" s="8">
        <v>0.94</v>
      </c>
      <c r="G59" s="12">
        <v>3</v>
      </c>
      <c r="H59" s="8">
        <v>3.85</v>
      </c>
      <c r="I59" s="12">
        <v>0</v>
      </c>
    </row>
    <row r="60" spans="2:9" ht="15" customHeight="1" x14ac:dyDescent="0.2">
      <c r="B60" t="s">
        <v>292</v>
      </c>
      <c r="C60" s="12">
        <v>4</v>
      </c>
      <c r="D60" s="8">
        <v>2.09</v>
      </c>
      <c r="E60" s="12">
        <v>4</v>
      </c>
      <c r="F60" s="8">
        <v>3.77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302</v>
      </c>
      <c r="C61" s="12">
        <v>4</v>
      </c>
      <c r="D61" s="8">
        <v>2.09</v>
      </c>
      <c r="E61" s="12">
        <v>4</v>
      </c>
      <c r="F61" s="8">
        <v>3.77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291</v>
      </c>
      <c r="C62" s="12">
        <v>3</v>
      </c>
      <c r="D62" s="8">
        <v>1.57</v>
      </c>
      <c r="E62" s="12">
        <v>0</v>
      </c>
      <c r="F62" s="8">
        <v>0</v>
      </c>
      <c r="G62" s="12">
        <v>3</v>
      </c>
      <c r="H62" s="8">
        <v>3.85</v>
      </c>
      <c r="I62" s="12">
        <v>0</v>
      </c>
    </row>
    <row r="63" spans="2:9" ht="15" customHeight="1" x14ac:dyDescent="0.2">
      <c r="B63" t="s">
        <v>335</v>
      </c>
      <c r="C63" s="12">
        <v>3</v>
      </c>
      <c r="D63" s="8">
        <v>1.57</v>
      </c>
      <c r="E63" s="12">
        <v>2</v>
      </c>
      <c r="F63" s="8">
        <v>1.89</v>
      </c>
      <c r="G63" s="12">
        <v>1</v>
      </c>
      <c r="H63" s="8">
        <v>1.28</v>
      </c>
      <c r="I63" s="12">
        <v>0</v>
      </c>
    </row>
    <row r="64" spans="2:9" ht="15" customHeight="1" x14ac:dyDescent="0.2">
      <c r="B64" t="s">
        <v>337</v>
      </c>
      <c r="C64" s="12">
        <v>3</v>
      </c>
      <c r="D64" s="8">
        <v>1.57</v>
      </c>
      <c r="E64" s="12">
        <v>1</v>
      </c>
      <c r="F64" s="8">
        <v>0.94</v>
      </c>
      <c r="G64" s="12">
        <v>2</v>
      </c>
      <c r="H64" s="8">
        <v>2.56</v>
      </c>
      <c r="I64" s="12">
        <v>0</v>
      </c>
    </row>
    <row r="65" spans="2:9" ht="15" customHeight="1" x14ac:dyDescent="0.2">
      <c r="B65" t="s">
        <v>338</v>
      </c>
      <c r="C65" s="12">
        <v>3</v>
      </c>
      <c r="D65" s="8">
        <v>1.57</v>
      </c>
      <c r="E65" s="12">
        <v>3</v>
      </c>
      <c r="F65" s="8">
        <v>2.83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297</v>
      </c>
      <c r="C66" s="12">
        <v>3</v>
      </c>
      <c r="D66" s="8">
        <v>1.57</v>
      </c>
      <c r="E66" s="12">
        <v>1</v>
      </c>
      <c r="F66" s="8">
        <v>0.94</v>
      </c>
      <c r="G66" s="12">
        <v>2</v>
      </c>
      <c r="H66" s="8">
        <v>2.56</v>
      </c>
      <c r="I66" s="12">
        <v>0</v>
      </c>
    </row>
    <row r="67" spans="2:9" ht="15" customHeight="1" x14ac:dyDescent="0.2">
      <c r="B67" t="s">
        <v>339</v>
      </c>
      <c r="C67" s="12">
        <v>3</v>
      </c>
      <c r="D67" s="8">
        <v>1.57</v>
      </c>
      <c r="E67" s="12">
        <v>3</v>
      </c>
      <c r="F67" s="8">
        <v>2.83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334</v>
      </c>
      <c r="C68" s="12">
        <v>3</v>
      </c>
      <c r="D68" s="8">
        <v>1.57</v>
      </c>
      <c r="E68" s="12">
        <v>2</v>
      </c>
      <c r="F68" s="8">
        <v>1.89</v>
      </c>
      <c r="G68" s="12">
        <v>1</v>
      </c>
      <c r="H68" s="8">
        <v>1.28</v>
      </c>
      <c r="I68" s="12">
        <v>0</v>
      </c>
    </row>
    <row r="69" spans="2:9" ht="15" customHeight="1" x14ac:dyDescent="0.2">
      <c r="B69" t="s">
        <v>323</v>
      </c>
      <c r="C69" s="12">
        <v>3</v>
      </c>
      <c r="D69" s="8">
        <v>1.57</v>
      </c>
      <c r="E69" s="12">
        <v>2</v>
      </c>
      <c r="F69" s="8">
        <v>1.89</v>
      </c>
      <c r="G69" s="12">
        <v>1</v>
      </c>
      <c r="H69" s="8">
        <v>1.28</v>
      </c>
      <c r="I69" s="12">
        <v>0</v>
      </c>
    </row>
    <row r="70" spans="2:9" ht="15" customHeight="1" x14ac:dyDescent="0.2">
      <c r="B70" t="s">
        <v>340</v>
      </c>
      <c r="C70" s="12">
        <v>3</v>
      </c>
      <c r="D70" s="8">
        <v>1.57</v>
      </c>
      <c r="E70" s="12">
        <v>0</v>
      </c>
      <c r="F70" s="8">
        <v>0</v>
      </c>
      <c r="G70" s="12">
        <v>2</v>
      </c>
      <c r="H70" s="8">
        <v>2.56</v>
      </c>
      <c r="I70" s="12">
        <v>0</v>
      </c>
    </row>
    <row r="71" spans="2:9" ht="15" customHeight="1" x14ac:dyDescent="0.2">
      <c r="B71" t="s">
        <v>312</v>
      </c>
      <c r="C71" s="12">
        <v>3</v>
      </c>
      <c r="D71" s="8">
        <v>1.57</v>
      </c>
      <c r="E71" s="12">
        <v>3</v>
      </c>
      <c r="F71" s="8">
        <v>2.83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341</v>
      </c>
      <c r="C72" s="12">
        <v>3</v>
      </c>
      <c r="D72" s="8">
        <v>1.57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4" spans="2:9" ht="15" customHeight="1" x14ac:dyDescent="0.2">
      <c r="B7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D8711-DD69-4CFA-B031-2277703E1A2C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216</v>
      </c>
      <c r="D6" s="8">
        <v>13.02</v>
      </c>
      <c r="E6" s="12">
        <v>51</v>
      </c>
      <c r="F6" s="8">
        <v>6.38</v>
      </c>
      <c r="G6" s="12">
        <v>165</v>
      </c>
      <c r="H6" s="8">
        <v>20.350000000000001</v>
      </c>
      <c r="I6" s="12">
        <v>0</v>
      </c>
    </row>
    <row r="7" spans="2:9" ht="15" customHeight="1" x14ac:dyDescent="0.2">
      <c r="B7" t="s">
        <v>192</v>
      </c>
      <c r="C7" s="12">
        <v>73</v>
      </c>
      <c r="D7" s="8">
        <v>4.4000000000000004</v>
      </c>
      <c r="E7" s="12">
        <v>20</v>
      </c>
      <c r="F7" s="8">
        <v>2.5</v>
      </c>
      <c r="G7" s="12">
        <v>52</v>
      </c>
      <c r="H7" s="8">
        <v>6.41</v>
      </c>
      <c r="I7" s="12">
        <v>1</v>
      </c>
    </row>
    <row r="8" spans="2:9" ht="15" customHeight="1" x14ac:dyDescent="0.2">
      <c r="B8" t="s">
        <v>193</v>
      </c>
      <c r="C8" s="12">
        <v>3</v>
      </c>
      <c r="D8" s="8">
        <v>0.18</v>
      </c>
      <c r="E8" s="12">
        <v>0</v>
      </c>
      <c r="F8" s="8">
        <v>0</v>
      </c>
      <c r="G8" s="12">
        <v>2</v>
      </c>
      <c r="H8" s="8">
        <v>0.25</v>
      </c>
      <c r="I8" s="12">
        <v>0</v>
      </c>
    </row>
    <row r="9" spans="2:9" ht="15" customHeight="1" x14ac:dyDescent="0.2">
      <c r="B9" t="s">
        <v>194</v>
      </c>
      <c r="C9" s="12">
        <v>22</v>
      </c>
      <c r="D9" s="8">
        <v>1.33</v>
      </c>
      <c r="E9" s="12">
        <v>2</v>
      </c>
      <c r="F9" s="8">
        <v>0.25</v>
      </c>
      <c r="G9" s="12">
        <v>20</v>
      </c>
      <c r="H9" s="8">
        <v>2.4700000000000002</v>
      </c>
      <c r="I9" s="12">
        <v>0</v>
      </c>
    </row>
    <row r="10" spans="2:9" ht="15" customHeight="1" x14ac:dyDescent="0.2">
      <c r="B10" t="s">
        <v>195</v>
      </c>
      <c r="C10" s="12">
        <v>17</v>
      </c>
      <c r="D10" s="8">
        <v>1.02</v>
      </c>
      <c r="E10" s="12">
        <v>1</v>
      </c>
      <c r="F10" s="8">
        <v>0.13</v>
      </c>
      <c r="G10" s="12">
        <v>16</v>
      </c>
      <c r="H10" s="8">
        <v>1.97</v>
      </c>
      <c r="I10" s="12">
        <v>0</v>
      </c>
    </row>
    <row r="11" spans="2:9" ht="15" customHeight="1" x14ac:dyDescent="0.2">
      <c r="B11" t="s">
        <v>196</v>
      </c>
      <c r="C11" s="12">
        <v>349</v>
      </c>
      <c r="D11" s="8">
        <v>21.04</v>
      </c>
      <c r="E11" s="12">
        <v>109</v>
      </c>
      <c r="F11" s="8">
        <v>13.64</v>
      </c>
      <c r="G11" s="12">
        <v>239</v>
      </c>
      <c r="H11" s="8">
        <v>29.47</v>
      </c>
      <c r="I11" s="12">
        <v>1</v>
      </c>
    </row>
    <row r="12" spans="2:9" ht="15" customHeight="1" x14ac:dyDescent="0.2">
      <c r="B12" t="s">
        <v>197</v>
      </c>
      <c r="C12" s="12">
        <v>13</v>
      </c>
      <c r="D12" s="8">
        <v>0.78</v>
      </c>
      <c r="E12" s="12">
        <v>3</v>
      </c>
      <c r="F12" s="8">
        <v>0.38</v>
      </c>
      <c r="G12" s="12">
        <v>10</v>
      </c>
      <c r="H12" s="8">
        <v>1.23</v>
      </c>
      <c r="I12" s="12">
        <v>0</v>
      </c>
    </row>
    <row r="13" spans="2:9" ht="15" customHeight="1" x14ac:dyDescent="0.2">
      <c r="B13" t="s">
        <v>198</v>
      </c>
      <c r="C13" s="12">
        <v>219</v>
      </c>
      <c r="D13" s="8">
        <v>13.2</v>
      </c>
      <c r="E13" s="12">
        <v>124</v>
      </c>
      <c r="F13" s="8">
        <v>15.52</v>
      </c>
      <c r="G13" s="12">
        <v>94</v>
      </c>
      <c r="H13" s="8">
        <v>11.59</v>
      </c>
      <c r="I13" s="12">
        <v>0</v>
      </c>
    </row>
    <row r="14" spans="2:9" ht="15" customHeight="1" x14ac:dyDescent="0.2">
      <c r="B14" t="s">
        <v>199</v>
      </c>
      <c r="C14" s="12">
        <v>86</v>
      </c>
      <c r="D14" s="8">
        <v>5.18</v>
      </c>
      <c r="E14" s="12">
        <v>40</v>
      </c>
      <c r="F14" s="8">
        <v>5.01</v>
      </c>
      <c r="G14" s="12">
        <v>40</v>
      </c>
      <c r="H14" s="8">
        <v>4.93</v>
      </c>
      <c r="I14" s="12">
        <v>2</v>
      </c>
    </row>
    <row r="15" spans="2:9" ht="15" customHeight="1" x14ac:dyDescent="0.2">
      <c r="B15" t="s">
        <v>200</v>
      </c>
      <c r="C15" s="12">
        <v>209</v>
      </c>
      <c r="D15" s="8">
        <v>12.6</v>
      </c>
      <c r="E15" s="12">
        <v>168</v>
      </c>
      <c r="F15" s="8">
        <v>21.03</v>
      </c>
      <c r="G15" s="12">
        <v>41</v>
      </c>
      <c r="H15" s="8">
        <v>5.0599999999999996</v>
      </c>
      <c r="I15" s="12">
        <v>0</v>
      </c>
    </row>
    <row r="16" spans="2:9" ht="15" customHeight="1" x14ac:dyDescent="0.2">
      <c r="B16" t="s">
        <v>201</v>
      </c>
      <c r="C16" s="12">
        <v>228</v>
      </c>
      <c r="D16" s="8">
        <v>13.74</v>
      </c>
      <c r="E16" s="12">
        <v>184</v>
      </c>
      <c r="F16" s="8">
        <v>23.03</v>
      </c>
      <c r="G16" s="12">
        <v>43</v>
      </c>
      <c r="H16" s="8">
        <v>5.3</v>
      </c>
      <c r="I16" s="12">
        <v>0</v>
      </c>
    </row>
    <row r="17" spans="2:9" ht="15" customHeight="1" x14ac:dyDescent="0.2">
      <c r="B17" t="s">
        <v>202</v>
      </c>
      <c r="C17" s="12">
        <v>47</v>
      </c>
      <c r="D17" s="8">
        <v>2.83</v>
      </c>
      <c r="E17" s="12">
        <v>33</v>
      </c>
      <c r="F17" s="8">
        <v>4.13</v>
      </c>
      <c r="G17" s="12">
        <v>7</v>
      </c>
      <c r="H17" s="8">
        <v>0.86</v>
      </c>
      <c r="I17" s="12">
        <v>1</v>
      </c>
    </row>
    <row r="18" spans="2:9" ht="15" customHeight="1" x14ac:dyDescent="0.2">
      <c r="B18" t="s">
        <v>203</v>
      </c>
      <c r="C18" s="12">
        <v>121</v>
      </c>
      <c r="D18" s="8">
        <v>7.29</v>
      </c>
      <c r="E18" s="12">
        <v>49</v>
      </c>
      <c r="F18" s="8">
        <v>6.13</v>
      </c>
      <c r="G18" s="12">
        <v>48</v>
      </c>
      <c r="H18" s="8">
        <v>5.92</v>
      </c>
      <c r="I18" s="12">
        <v>6</v>
      </c>
    </row>
    <row r="19" spans="2:9" ht="15" customHeight="1" x14ac:dyDescent="0.2">
      <c r="B19" t="s">
        <v>204</v>
      </c>
      <c r="C19" s="12">
        <v>56</v>
      </c>
      <c r="D19" s="8">
        <v>3.38</v>
      </c>
      <c r="E19" s="12">
        <v>15</v>
      </c>
      <c r="F19" s="8">
        <v>1.88</v>
      </c>
      <c r="G19" s="12">
        <v>34</v>
      </c>
      <c r="H19" s="8">
        <v>4.1900000000000004</v>
      </c>
      <c r="I19" s="12">
        <v>3</v>
      </c>
    </row>
    <row r="20" spans="2:9" ht="15" customHeight="1" x14ac:dyDescent="0.2">
      <c r="B20" s="9" t="s">
        <v>529</v>
      </c>
      <c r="C20" s="12">
        <f>SUM(LTBL_01210[総数／事業所数])</f>
        <v>1659</v>
      </c>
      <c r="E20" s="12">
        <f>SUBTOTAL(109,LTBL_01210[個人／事業所数])</f>
        <v>799</v>
      </c>
      <c r="G20" s="12">
        <f>SUBTOTAL(109,LTBL_01210[法人／事業所数])</f>
        <v>811</v>
      </c>
      <c r="I20" s="12">
        <f>SUBTOTAL(109,LTBL_01210[法人以外の団体／事業所数])</f>
        <v>14</v>
      </c>
    </row>
    <row r="21" spans="2:9" ht="15" customHeight="1" x14ac:dyDescent="0.2">
      <c r="E21" s="11">
        <f>LTBL_01210[[#Totals],[個人／事業所数]]/LTBL_01210[[#Totals],[総数／事業所数]]</f>
        <v>0.48161543098251958</v>
      </c>
      <c r="G21" s="11">
        <f>LTBL_01210[[#Totals],[法人／事業所数]]/LTBL_01210[[#Totals],[総数／事業所数]]</f>
        <v>0.48884870403857744</v>
      </c>
      <c r="I21" s="11">
        <f>LTBL_01210[[#Totals],[法人以外の団体／事業所数]]/LTBL_01210[[#Totals],[総数／事業所数]]</f>
        <v>8.4388185654008432E-3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198</v>
      </c>
      <c r="D24" s="8">
        <v>11.93</v>
      </c>
      <c r="E24" s="12">
        <v>171</v>
      </c>
      <c r="F24" s="8">
        <v>21.4</v>
      </c>
      <c r="G24" s="12">
        <v>27</v>
      </c>
      <c r="H24" s="8">
        <v>3.33</v>
      </c>
      <c r="I24" s="12">
        <v>0</v>
      </c>
    </row>
    <row r="25" spans="2:9" ht="15" customHeight="1" x14ac:dyDescent="0.2">
      <c r="B25" t="s">
        <v>224</v>
      </c>
      <c r="C25" s="12">
        <v>195</v>
      </c>
      <c r="D25" s="8">
        <v>11.75</v>
      </c>
      <c r="E25" s="12">
        <v>123</v>
      </c>
      <c r="F25" s="8">
        <v>15.39</v>
      </c>
      <c r="G25" s="12">
        <v>71</v>
      </c>
      <c r="H25" s="8">
        <v>8.75</v>
      </c>
      <c r="I25" s="12">
        <v>0</v>
      </c>
    </row>
    <row r="26" spans="2:9" ht="15" customHeight="1" x14ac:dyDescent="0.2">
      <c r="B26" t="s">
        <v>227</v>
      </c>
      <c r="C26" s="12">
        <v>187</v>
      </c>
      <c r="D26" s="8">
        <v>11.27</v>
      </c>
      <c r="E26" s="12">
        <v>162</v>
      </c>
      <c r="F26" s="8">
        <v>20.28</v>
      </c>
      <c r="G26" s="12">
        <v>25</v>
      </c>
      <c r="H26" s="8">
        <v>3.08</v>
      </c>
      <c r="I26" s="12">
        <v>0</v>
      </c>
    </row>
    <row r="27" spans="2:9" ht="15" customHeight="1" x14ac:dyDescent="0.2">
      <c r="B27" t="s">
        <v>223</v>
      </c>
      <c r="C27" s="12">
        <v>93</v>
      </c>
      <c r="D27" s="8">
        <v>5.61</v>
      </c>
      <c r="E27" s="12">
        <v>32</v>
      </c>
      <c r="F27" s="8">
        <v>4.01</v>
      </c>
      <c r="G27" s="12">
        <v>61</v>
      </c>
      <c r="H27" s="8">
        <v>7.52</v>
      </c>
      <c r="I27" s="12">
        <v>0</v>
      </c>
    </row>
    <row r="28" spans="2:9" ht="15" customHeight="1" x14ac:dyDescent="0.2">
      <c r="B28" t="s">
        <v>213</v>
      </c>
      <c r="C28" s="12">
        <v>86</v>
      </c>
      <c r="D28" s="8">
        <v>5.18</v>
      </c>
      <c r="E28" s="12">
        <v>5</v>
      </c>
      <c r="F28" s="8">
        <v>0.63</v>
      </c>
      <c r="G28" s="12">
        <v>81</v>
      </c>
      <c r="H28" s="8">
        <v>9.99</v>
      </c>
      <c r="I28" s="12">
        <v>0</v>
      </c>
    </row>
    <row r="29" spans="2:9" ht="15" customHeight="1" x14ac:dyDescent="0.2">
      <c r="B29" t="s">
        <v>214</v>
      </c>
      <c r="C29" s="12">
        <v>82</v>
      </c>
      <c r="D29" s="8">
        <v>4.9400000000000004</v>
      </c>
      <c r="E29" s="12">
        <v>39</v>
      </c>
      <c r="F29" s="8">
        <v>4.88</v>
      </c>
      <c r="G29" s="12">
        <v>43</v>
      </c>
      <c r="H29" s="8">
        <v>5.3</v>
      </c>
      <c r="I29" s="12">
        <v>0</v>
      </c>
    </row>
    <row r="30" spans="2:9" ht="15" customHeight="1" x14ac:dyDescent="0.2">
      <c r="B30" t="s">
        <v>221</v>
      </c>
      <c r="C30" s="12">
        <v>80</v>
      </c>
      <c r="D30" s="8">
        <v>4.82</v>
      </c>
      <c r="E30" s="12">
        <v>37</v>
      </c>
      <c r="F30" s="8">
        <v>4.63</v>
      </c>
      <c r="G30" s="12">
        <v>42</v>
      </c>
      <c r="H30" s="8">
        <v>5.18</v>
      </c>
      <c r="I30" s="12">
        <v>1</v>
      </c>
    </row>
    <row r="31" spans="2:9" ht="15" customHeight="1" x14ac:dyDescent="0.2">
      <c r="B31" t="s">
        <v>231</v>
      </c>
      <c r="C31" s="12">
        <v>65</v>
      </c>
      <c r="D31" s="8">
        <v>3.92</v>
      </c>
      <c r="E31" s="12">
        <v>49</v>
      </c>
      <c r="F31" s="8">
        <v>6.13</v>
      </c>
      <c r="G31" s="12">
        <v>16</v>
      </c>
      <c r="H31" s="8">
        <v>1.97</v>
      </c>
      <c r="I31" s="12">
        <v>0</v>
      </c>
    </row>
    <row r="32" spans="2:9" ht="15" customHeight="1" x14ac:dyDescent="0.2">
      <c r="B32" t="s">
        <v>232</v>
      </c>
      <c r="C32" s="12">
        <v>56</v>
      </c>
      <c r="D32" s="8">
        <v>3.38</v>
      </c>
      <c r="E32" s="12">
        <v>0</v>
      </c>
      <c r="F32" s="8">
        <v>0</v>
      </c>
      <c r="G32" s="12">
        <v>32</v>
      </c>
      <c r="H32" s="8">
        <v>3.95</v>
      </c>
      <c r="I32" s="12">
        <v>6</v>
      </c>
    </row>
    <row r="33" spans="2:9" ht="15" customHeight="1" x14ac:dyDescent="0.2">
      <c r="B33" t="s">
        <v>222</v>
      </c>
      <c r="C33" s="12">
        <v>51</v>
      </c>
      <c r="D33" s="8">
        <v>3.07</v>
      </c>
      <c r="E33" s="12">
        <v>17</v>
      </c>
      <c r="F33" s="8">
        <v>2.13</v>
      </c>
      <c r="G33" s="12">
        <v>34</v>
      </c>
      <c r="H33" s="8">
        <v>4.1900000000000004</v>
      </c>
      <c r="I33" s="12">
        <v>0</v>
      </c>
    </row>
    <row r="34" spans="2:9" ht="15" customHeight="1" x14ac:dyDescent="0.2">
      <c r="B34" t="s">
        <v>225</v>
      </c>
      <c r="C34" s="12">
        <v>49</v>
      </c>
      <c r="D34" s="8">
        <v>2.95</v>
      </c>
      <c r="E34" s="12">
        <v>35</v>
      </c>
      <c r="F34" s="8">
        <v>4.38</v>
      </c>
      <c r="G34" s="12">
        <v>12</v>
      </c>
      <c r="H34" s="8">
        <v>1.48</v>
      </c>
      <c r="I34" s="12">
        <v>2</v>
      </c>
    </row>
    <row r="35" spans="2:9" ht="15" customHeight="1" x14ac:dyDescent="0.2">
      <c r="B35" t="s">
        <v>215</v>
      </c>
      <c r="C35" s="12">
        <v>48</v>
      </c>
      <c r="D35" s="8">
        <v>2.89</v>
      </c>
      <c r="E35" s="12">
        <v>7</v>
      </c>
      <c r="F35" s="8">
        <v>0.88</v>
      </c>
      <c r="G35" s="12">
        <v>41</v>
      </c>
      <c r="H35" s="8">
        <v>5.0599999999999996</v>
      </c>
      <c r="I35" s="12">
        <v>0</v>
      </c>
    </row>
    <row r="36" spans="2:9" ht="15" customHeight="1" x14ac:dyDescent="0.2">
      <c r="B36" t="s">
        <v>230</v>
      </c>
      <c r="C36" s="12">
        <v>47</v>
      </c>
      <c r="D36" s="8">
        <v>2.83</v>
      </c>
      <c r="E36" s="12">
        <v>33</v>
      </c>
      <c r="F36" s="8">
        <v>4.13</v>
      </c>
      <c r="G36" s="12">
        <v>7</v>
      </c>
      <c r="H36" s="8">
        <v>0.86</v>
      </c>
      <c r="I36" s="12">
        <v>1</v>
      </c>
    </row>
    <row r="37" spans="2:9" ht="15" customHeight="1" x14ac:dyDescent="0.2">
      <c r="B37" t="s">
        <v>220</v>
      </c>
      <c r="C37" s="12">
        <v>35</v>
      </c>
      <c r="D37" s="8">
        <v>2.11</v>
      </c>
      <c r="E37" s="12">
        <v>13</v>
      </c>
      <c r="F37" s="8">
        <v>1.63</v>
      </c>
      <c r="G37" s="12">
        <v>22</v>
      </c>
      <c r="H37" s="8">
        <v>2.71</v>
      </c>
      <c r="I37" s="12">
        <v>0</v>
      </c>
    </row>
    <row r="38" spans="2:9" ht="15" customHeight="1" x14ac:dyDescent="0.2">
      <c r="B38" t="s">
        <v>226</v>
      </c>
      <c r="C38" s="12">
        <v>33</v>
      </c>
      <c r="D38" s="8">
        <v>1.99</v>
      </c>
      <c r="E38" s="12">
        <v>5</v>
      </c>
      <c r="F38" s="8">
        <v>0.63</v>
      </c>
      <c r="G38" s="12">
        <v>26</v>
      </c>
      <c r="H38" s="8">
        <v>3.21</v>
      </c>
      <c r="I38" s="12">
        <v>0</v>
      </c>
    </row>
    <row r="39" spans="2:9" ht="15" customHeight="1" x14ac:dyDescent="0.2">
      <c r="B39" t="s">
        <v>217</v>
      </c>
      <c r="C39" s="12">
        <v>27</v>
      </c>
      <c r="D39" s="8">
        <v>1.63</v>
      </c>
      <c r="E39" s="12">
        <v>2</v>
      </c>
      <c r="F39" s="8">
        <v>0.25</v>
      </c>
      <c r="G39" s="12">
        <v>25</v>
      </c>
      <c r="H39" s="8">
        <v>3.08</v>
      </c>
      <c r="I39" s="12">
        <v>0</v>
      </c>
    </row>
    <row r="40" spans="2:9" ht="15" customHeight="1" x14ac:dyDescent="0.2">
      <c r="B40" t="s">
        <v>229</v>
      </c>
      <c r="C40" s="12">
        <v>23</v>
      </c>
      <c r="D40" s="8">
        <v>1.39</v>
      </c>
      <c r="E40" s="12">
        <v>11</v>
      </c>
      <c r="F40" s="8">
        <v>1.38</v>
      </c>
      <c r="G40" s="12">
        <v>12</v>
      </c>
      <c r="H40" s="8">
        <v>1.48</v>
      </c>
      <c r="I40" s="12">
        <v>0</v>
      </c>
    </row>
    <row r="41" spans="2:9" ht="15" customHeight="1" x14ac:dyDescent="0.2">
      <c r="B41" t="s">
        <v>218</v>
      </c>
      <c r="C41" s="12">
        <v>19</v>
      </c>
      <c r="D41" s="8">
        <v>1.1499999999999999</v>
      </c>
      <c r="E41" s="12">
        <v>3</v>
      </c>
      <c r="F41" s="8">
        <v>0.38</v>
      </c>
      <c r="G41" s="12">
        <v>16</v>
      </c>
      <c r="H41" s="8">
        <v>1.97</v>
      </c>
      <c r="I41" s="12">
        <v>0</v>
      </c>
    </row>
    <row r="42" spans="2:9" ht="15" customHeight="1" x14ac:dyDescent="0.2">
      <c r="B42" t="s">
        <v>236</v>
      </c>
      <c r="C42" s="12">
        <v>18</v>
      </c>
      <c r="D42" s="8">
        <v>1.08</v>
      </c>
      <c r="E42" s="12">
        <v>2</v>
      </c>
      <c r="F42" s="8">
        <v>0.25</v>
      </c>
      <c r="G42" s="12">
        <v>16</v>
      </c>
      <c r="H42" s="8">
        <v>1.97</v>
      </c>
      <c r="I42" s="12">
        <v>0</v>
      </c>
    </row>
    <row r="43" spans="2:9" ht="15" customHeight="1" x14ac:dyDescent="0.2">
      <c r="B43" t="s">
        <v>240</v>
      </c>
      <c r="C43" s="12">
        <v>18</v>
      </c>
      <c r="D43" s="8">
        <v>1.08</v>
      </c>
      <c r="E43" s="12">
        <v>6</v>
      </c>
      <c r="F43" s="8">
        <v>0.75</v>
      </c>
      <c r="G43" s="12">
        <v>11</v>
      </c>
      <c r="H43" s="8">
        <v>1.36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154</v>
      </c>
      <c r="D47" s="8">
        <v>9.2799999999999994</v>
      </c>
      <c r="E47" s="12">
        <v>117</v>
      </c>
      <c r="F47" s="8">
        <v>14.64</v>
      </c>
      <c r="G47" s="12">
        <v>36</v>
      </c>
      <c r="H47" s="8">
        <v>4.4400000000000004</v>
      </c>
      <c r="I47" s="12">
        <v>0</v>
      </c>
    </row>
    <row r="48" spans="2:9" ht="15" customHeight="1" x14ac:dyDescent="0.2">
      <c r="B48" t="s">
        <v>304</v>
      </c>
      <c r="C48" s="12">
        <v>101</v>
      </c>
      <c r="D48" s="8">
        <v>6.09</v>
      </c>
      <c r="E48" s="12">
        <v>90</v>
      </c>
      <c r="F48" s="8">
        <v>11.26</v>
      </c>
      <c r="G48" s="12">
        <v>11</v>
      </c>
      <c r="H48" s="8">
        <v>1.36</v>
      </c>
      <c r="I48" s="12">
        <v>0</v>
      </c>
    </row>
    <row r="49" spans="2:9" ht="15" customHeight="1" x14ac:dyDescent="0.2">
      <c r="B49" t="s">
        <v>303</v>
      </c>
      <c r="C49" s="12">
        <v>74</v>
      </c>
      <c r="D49" s="8">
        <v>4.46</v>
      </c>
      <c r="E49" s="12">
        <v>69</v>
      </c>
      <c r="F49" s="8">
        <v>8.64</v>
      </c>
      <c r="G49" s="12">
        <v>5</v>
      </c>
      <c r="H49" s="8">
        <v>0.62</v>
      </c>
      <c r="I49" s="12">
        <v>0</v>
      </c>
    </row>
    <row r="50" spans="2:9" ht="15" customHeight="1" x14ac:dyDescent="0.2">
      <c r="B50" t="s">
        <v>301</v>
      </c>
      <c r="C50" s="12">
        <v>55</v>
      </c>
      <c r="D50" s="8">
        <v>3.32</v>
      </c>
      <c r="E50" s="12">
        <v>52</v>
      </c>
      <c r="F50" s="8">
        <v>6.51</v>
      </c>
      <c r="G50" s="12">
        <v>3</v>
      </c>
      <c r="H50" s="8">
        <v>0.37</v>
      </c>
      <c r="I50" s="12">
        <v>0</v>
      </c>
    </row>
    <row r="51" spans="2:9" ht="15" customHeight="1" x14ac:dyDescent="0.2">
      <c r="B51" t="s">
        <v>288</v>
      </c>
      <c r="C51" s="12">
        <v>39</v>
      </c>
      <c r="D51" s="8">
        <v>2.35</v>
      </c>
      <c r="E51" s="12">
        <v>0</v>
      </c>
      <c r="F51" s="8">
        <v>0</v>
      </c>
      <c r="G51" s="12">
        <v>39</v>
      </c>
      <c r="H51" s="8">
        <v>4.8099999999999996</v>
      </c>
      <c r="I51" s="12">
        <v>0</v>
      </c>
    </row>
    <row r="52" spans="2:9" ht="15" customHeight="1" x14ac:dyDescent="0.2">
      <c r="B52" t="s">
        <v>300</v>
      </c>
      <c r="C52" s="12">
        <v>38</v>
      </c>
      <c r="D52" s="8">
        <v>2.29</v>
      </c>
      <c r="E52" s="12">
        <v>34</v>
      </c>
      <c r="F52" s="8">
        <v>4.26</v>
      </c>
      <c r="G52" s="12">
        <v>4</v>
      </c>
      <c r="H52" s="8">
        <v>0.49</v>
      </c>
      <c r="I52" s="12">
        <v>0</v>
      </c>
    </row>
    <row r="53" spans="2:9" ht="15" customHeight="1" x14ac:dyDescent="0.2">
      <c r="B53" t="s">
        <v>306</v>
      </c>
      <c r="C53" s="12">
        <v>37</v>
      </c>
      <c r="D53" s="8">
        <v>2.23</v>
      </c>
      <c r="E53" s="12">
        <v>30</v>
      </c>
      <c r="F53" s="8">
        <v>3.75</v>
      </c>
      <c r="G53" s="12">
        <v>7</v>
      </c>
      <c r="H53" s="8">
        <v>0.86</v>
      </c>
      <c r="I53" s="12">
        <v>0</v>
      </c>
    </row>
    <row r="54" spans="2:9" ht="15" customHeight="1" x14ac:dyDescent="0.2">
      <c r="B54" t="s">
        <v>295</v>
      </c>
      <c r="C54" s="12">
        <v>36</v>
      </c>
      <c r="D54" s="8">
        <v>2.17</v>
      </c>
      <c r="E54" s="12">
        <v>15</v>
      </c>
      <c r="F54" s="8">
        <v>1.88</v>
      </c>
      <c r="G54" s="12">
        <v>21</v>
      </c>
      <c r="H54" s="8">
        <v>2.59</v>
      </c>
      <c r="I54" s="12">
        <v>0</v>
      </c>
    </row>
    <row r="55" spans="2:9" ht="15" customHeight="1" x14ac:dyDescent="0.2">
      <c r="B55" t="s">
        <v>305</v>
      </c>
      <c r="C55" s="12">
        <v>30</v>
      </c>
      <c r="D55" s="8">
        <v>1.81</v>
      </c>
      <c r="E55" s="12">
        <v>25</v>
      </c>
      <c r="F55" s="8">
        <v>3.13</v>
      </c>
      <c r="G55" s="12">
        <v>5</v>
      </c>
      <c r="H55" s="8">
        <v>0.62</v>
      </c>
      <c r="I55" s="12">
        <v>0</v>
      </c>
    </row>
    <row r="56" spans="2:9" ht="15" customHeight="1" x14ac:dyDescent="0.2">
      <c r="B56" t="s">
        <v>299</v>
      </c>
      <c r="C56" s="12">
        <v>29</v>
      </c>
      <c r="D56" s="8">
        <v>1.75</v>
      </c>
      <c r="E56" s="12">
        <v>24</v>
      </c>
      <c r="F56" s="8">
        <v>3</v>
      </c>
      <c r="G56" s="12">
        <v>5</v>
      </c>
      <c r="H56" s="8">
        <v>0.62</v>
      </c>
      <c r="I56" s="12">
        <v>0</v>
      </c>
    </row>
    <row r="57" spans="2:9" ht="15" customHeight="1" x14ac:dyDescent="0.2">
      <c r="B57" t="s">
        <v>302</v>
      </c>
      <c r="C57" s="12">
        <v>27</v>
      </c>
      <c r="D57" s="8">
        <v>1.63</v>
      </c>
      <c r="E57" s="12">
        <v>26</v>
      </c>
      <c r="F57" s="8">
        <v>3.25</v>
      </c>
      <c r="G57" s="12">
        <v>1</v>
      </c>
      <c r="H57" s="8">
        <v>0.12</v>
      </c>
      <c r="I57" s="12">
        <v>0</v>
      </c>
    </row>
    <row r="58" spans="2:9" ht="15" customHeight="1" x14ac:dyDescent="0.2">
      <c r="B58" t="s">
        <v>292</v>
      </c>
      <c r="C58" s="12">
        <v>26</v>
      </c>
      <c r="D58" s="8">
        <v>1.57</v>
      </c>
      <c r="E58" s="12">
        <v>10</v>
      </c>
      <c r="F58" s="8">
        <v>1.25</v>
      </c>
      <c r="G58" s="12">
        <v>15</v>
      </c>
      <c r="H58" s="8">
        <v>1.85</v>
      </c>
      <c r="I58" s="12">
        <v>1</v>
      </c>
    </row>
    <row r="59" spans="2:9" ht="15" customHeight="1" x14ac:dyDescent="0.2">
      <c r="B59" t="s">
        <v>341</v>
      </c>
      <c r="C59" s="12">
        <v>26</v>
      </c>
      <c r="D59" s="8">
        <v>1.57</v>
      </c>
      <c r="E59" s="12">
        <v>0</v>
      </c>
      <c r="F59" s="8">
        <v>0</v>
      </c>
      <c r="G59" s="12">
        <v>2</v>
      </c>
      <c r="H59" s="8">
        <v>0.25</v>
      </c>
      <c r="I59" s="12">
        <v>6</v>
      </c>
    </row>
    <row r="60" spans="2:9" ht="15" customHeight="1" x14ac:dyDescent="0.2">
      <c r="B60" t="s">
        <v>293</v>
      </c>
      <c r="C60" s="12">
        <v>24</v>
      </c>
      <c r="D60" s="8">
        <v>1.45</v>
      </c>
      <c r="E60" s="12">
        <v>6</v>
      </c>
      <c r="F60" s="8">
        <v>0.75</v>
      </c>
      <c r="G60" s="12">
        <v>18</v>
      </c>
      <c r="H60" s="8">
        <v>2.2200000000000002</v>
      </c>
      <c r="I60" s="12">
        <v>0</v>
      </c>
    </row>
    <row r="61" spans="2:9" ht="15" customHeight="1" x14ac:dyDescent="0.2">
      <c r="B61" t="s">
        <v>335</v>
      </c>
      <c r="C61" s="12">
        <v>24</v>
      </c>
      <c r="D61" s="8">
        <v>1.45</v>
      </c>
      <c r="E61" s="12">
        <v>8</v>
      </c>
      <c r="F61" s="8">
        <v>1</v>
      </c>
      <c r="G61" s="12">
        <v>16</v>
      </c>
      <c r="H61" s="8">
        <v>1.97</v>
      </c>
      <c r="I61" s="12">
        <v>0</v>
      </c>
    </row>
    <row r="62" spans="2:9" ht="15" customHeight="1" x14ac:dyDescent="0.2">
      <c r="B62" t="s">
        <v>314</v>
      </c>
      <c r="C62" s="12">
        <v>23</v>
      </c>
      <c r="D62" s="8">
        <v>1.39</v>
      </c>
      <c r="E62" s="12">
        <v>7</v>
      </c>
      <c r="F62" s="8">
        <v>0.88</v>
      </c>
      <c r="G62" s="12">
        <v>16</v>
      </c>
      <c r="H62" s="8">
        <v>1.97</v>
      </c>
      <c r="I62" s="12">
        <v>0</v>
      </c>
    </row>
    <row r="63" spans="2:9" ht="15" customHeight="1" x14ac:dyDescent="0.2">
      <c r="B63" t="s">
        <v>296</v>
      </c>
      <c r="C63" s="12">
        <v>23</v>
      </c>
      <c r="D63" s="8">
        <v>1.39</v>
      </c>
      <c r="E63" s="12">
        <v>3</v>
      </c>
      <c r="F63" s="8">
        <v>0.38</v>
      </c>
      <c r="G63" s="12">
        <v>20</v>
      </c>
      <c r="H63" s="8">
        <v>2.4700000000000002</v>
      </c>
      <c r="I63" s="12">
        <v>0</v>
      </c>
    </row>
    <row r="64" spans="2:9" ht="15" customHeight="1" x14ac:dyDescent="0.2">
      <c r="B64" t="s">
        <v>291</v>
      </c>
      <c r="C64" s="12">
        <v>21</v>
      </c>
      <c r="D64" s="8">
        <v>1.27</v>
      </c>
      <c r="E64" s="12">
        <v>2</v>
      </c>
      <c r="F64" s="8">
        <v>0.25</v>
      </c>
      <c r="G64" s="12">
        <v>19</v>
      </c>
      <c r="H64" s="8">
        <v>2.34</v>
      </c>
      <c r="I64" s="12">
        <v>0</v>
      </c>
    </row>
    <row r="65" spans="2:9" ht="15" customHeight="1" x14ac:dyDescent="0.2">
      <c r="B65" t="s">
        <v>290</v>
      </c>
      <c r="C65" s="12">
        <v>20</v>
      </c>
      <c r="D65" s="8">
        <v>1.21</v>
      </c>
      <c r="E65" s="12">
        <v>5</v>
      </c>
      <c r="F65" s="8">
        <v>0.63</v>
      </c>
      <c r="G65" s="12">
        <v>15</v>
      </c>
      <c r="H65" s="8">
        <v>1.85</v>
      </c>
      <c r="I65" s="12">
        <v>0</v>
      </c>
    </row>
    <row r="66" spans="2:9" ht="15" customHeight="1" x14ac:dyDescent="0.2">
      <c r="B66" t="s">
        <v>329</v>
      </c>
      <c r="C66" s="12">
        <v>20</v>
      </c>
      <c r="D66" s="8">
        <v>1.21</v>
      </c>
      <c r="E66" s="12">
        <v>11</v>
      </c>
      <c r="F66" s="8">
        <v>1.38</v>
      </c>
      <c r="G66" s="12">
        <v>9</v>
      </c>
      <c r="H66" s="8">
        <v>1.1100000000000001</v>
      </c>
      <c r="I66" s="12">
        <v>0</v>
      </c>
    </row>
    <row r="67" spans="2:9" ht="15" customHeight="1" x14ac:dyDescent="0.2">
      <c r="B67" t="s">
        <v>298</v>
      </c>
      <c r="C67" s="12">
        <v>20</v>
      </c>
      <c r="D67" s="8">
        <v>1.21</v>
      </c>
      <c r="E67" s="12">
        <v>2</v>
      </c>
      <c r="F67" s="8">
        <v>0.25</v>
      </c>
      <c r="G67" s="12">
        <v>17</v>
      </c>
      <c r="H67" s="8">
        <v>2.1</v>
      </c>
      <c r="I67" s="12">
        <v>0</v>
      </c>
    </row>
    <row r="68" spans="2:9" ht="15" customHeight="1" x14ac:dyDescent="0.2">
      <c r="B68" t="s">
        <v>312</v>
      </c>
      <c r="C68" s="12">
        <v>20</v>
      </c>
      <c r="D68" s="8">
        <v>1.21</v>
      </c>
      <c r="E68" s="12">
        <v>18</v>
      </c>
      <c r="F68" s="8">
        <v>2.25</v>
      </c>
      <c r="G68" s="12">
        <v>2</v>
      </c>
      <c r="H68" s="8">
        <v>0.25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82EA-15A8-4885-9978-120E45B29AAB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0.23</v>
      </c>
      <c r="E5" s="12">
        <v>0</v>
      </c>
      <c r="F5" s="8">
        <v>0</v>
      </c>
      <c r="G5" s="12">
        <v>2</v>
      </c>
      <c r="H5" s="8">
        <v>0.48</v>
      </c>
      <c r="I5" s="12">
        <v>0</v>
      </c>
    </row>
    <row r="6" spans="2:9" ht="15" customHeight="1" x14ac:dyDescent="0.2">
      <c r="B6" t="s">
        <v>191</v>
      </c>
      <c r="C6" s="12">
        <v>115</v>
      </c>
      <c r="D6" s="8">
        <v>12.99</v>
      </c>
      <c r="E6" s="12">
        <v>33</v>
      </c>
      <c r="F6" s="8">
        <v>7.3</v>
      </c>
      <c r="G6" s="12">
        <v>82</v>
      </c>
      <c r="H6" s="8">
        <v>19.760000000000002</v>
      </c>
      <c r="I6" s="12">
        <v>0</v>
      </c>
    </row>
    <row r="7" spans="2:9" ht="15" customHeight="1" x14ac:dyDescent="0.2">
      <c r="B7" t="s">
        <v>192</v>
      </c>
      <c r="C7" s="12">
        <v>56</v>
      </c>
      <c r="D7" s="8">
        <v>6.33</v>
      </c>
      <c r="E7" s="12">
        <v>9</v>
      </c>
      <c r="F7" s="8">
        <v>1.99</v>
      </c>
      <c r="G7" s="12">
        <v>47</v>
      </c>
      <c r="H7" s="8">
        <v>11.33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8</v>
      </c>
      <c r="D9" s="8">
        <v>0.9</v>
      </c>
      <c r="E9" s="12">
        <v>1</v>
      </c>
      <c r="F9" s="8">
        <v>0.22</v>
      </c>
      <c r="G9" s="12">
        <v>7</v>
      </c>
      <c r="H9" s="8">
        <v>1.69</v>
      </c>
      <c r="I9" s="12">
        <v>0</v>
      </c>
    </row>
    <row r="10" spans="2:9" ht="15" customHeight="1" x14ac:dyDescent="0.2">
      <c r="B10" t="s">
        <v>195</v>
      </c>
      <c r="C10" s="12">
        <v>10</v>
      </c>
      <c r="D10" s="8">
        <v>1.1299999999999999</v>
      </c>
      <c r="E10" s="12">
        <v>1</v>
      </c>
      <c r="F10" s="8">
        <v>0.22</v>
      </c>
      <c r="G10" s="12">
        <v>8</v>
      </c>
      <c r="H10" s="8">
        <v>1.93</v>
      </c>
      <c r="I10" s="12">
        <v>1</v>
      </c>
    </row>
    <row r="11" spans="2:9" ht="15" customHeight="1" x14ac:dyDescent="0.2">
      <c r="B11" t="s">
        <v>196</v>
      </c>
      <c r="C11" s="12">
        <v>199</v>
      </c>
      <c r="D11" s="8">
        <v>22.49</v>
      </c>
      <c r="E11" s="12">
        <v>83</v>
      </c>
      <c r="F11" s="8">
        <v>18.36</v>
      </c>
      <c r="G11" s="12">
        <v>114</v>
      </c>
      <c r="H11" s="8">
        <v>27.47</v>
      </c>
      <c r="I11" s="12">
        <v>2</v>
      </c>
    </row>
    <row r="12" spans="2:9" ht="15" customHeight="1" x14ac:dyDescent="0.2">
      <c r="B12" t="s">
        <v>197</v>
      </c>
      <c r="C12" s="12">
        <v>6</v>
      </c>
      <c r="D12" s="8">
        <v>0.68</v>
      </c>
      <c r="E12" s="12">
        <v>0</v>
      </c>
      <c r="F12" s="8">
        <v>0</v>
      </c>
      <c r="G12" s="12">
        <v>6</v>
      </c>
      <c r="H12" s="8">
        <v>1.45</v>
      </c>
      <c r="I12" s="12">
        <v>0</v>
      </c>
    </row>
    <row r="13" spans="2:9" ht="15" customHeight="1" x14ac:dyDescent="0.2">
      <c r="B13" t="s">
        <v>198</v>
      </c>
      <c r="C13" s="12">
        <v>127</v>
      </c>
      <c r="D13" s="8">
        <v>14.35</v>
      </c>
      <c r="E13" s="12">
        <v>81</v>
      </c>
      <c r="F13" s="8">
        <v>17.920000000000002</v>
      </c>
      <c r="G13" s="12">
        <v>44</v>
      </c>
      <c r="H13" s="8">
        <v>10.6</v>
      </c>
      <c r="I13" s="12">
        <v>0</v>
      </c>
    </row>
    <row r="14" spans="2:9" ht="15" customHeight="1" x14ac:dyDescent="0.2">
      <c r="B14" t="s">
        <v>199</v>
      </c>
      <c r="C14" s="12">
        <v>41</v>
      </c>
      <c r="D14" s="8">
        <v>4.63</v>
      </c>
      <c r="E14" s="12">
        <v>21</v>
      </c>
      <c r="F14" s="8">
        <v>4.6500000000000004</v>
      </c>
      <c r="G14" s="12">
        <v>18</v>
      </c>
      <c r="H14" s="8">
        <v>4.34</v>
      </c>
      <c r="I14" s="12">
        <v>0</v>
      </c>
    </row>
    <row r="15" spans="2:9" ht="15" customHeight="1" x14ac:dyDescent="0.2">
      <c r="B15" t="s">
        <v>200</v>
      </c>
      <c r="C15" s="12">
        <v>113</v>
      </c>
      <c r="D15" s="8">
        <v>12.77</v>
      </c>
      <c r="E15" s="12">
        <v>88</v>
      </c>
      <c r="F15" s="8">
        <v>19.47</v>
      </c>
      <c r="G15" s="12">
        <v>25</v>
      </c>
      <c r="H15" s="8">
        <v>6.02</v>
      </c>
      <c r="I15" s="12">
        <v>0</v>
      </c>
    </row>
    <row r="16" spans="2:9" ht="15" customHeight="1" x14ac:dyDescent="0.2">
      <c r="B16" t="s">
        <v>201</v>
      </c>
      <c r="C16" s="12">
        <v>123</v>
      </c>
      <c r="D16" s="8">
        <v>13.9</v>
      </c>
      <c r="E16" s="12">
        <v>96</v>
      </c>
      <c r="F16" s="8">
        <v>21.24</v>
      </c>
      <c r="G16" s="12">
        <v>27</v>
      </c>
      <c r="H16" s="8">
        <v>6.51</v>
      </c>
      <c r="I16" s="12">
        <v>0</v>
      </c>
    </row>
    <row r="17" spans="2:9" ht="15" customHeight="1" x14ac:dyDescent="0.2">
      <c r="B17" t="s">
        <v>202</v>
      </c>
      <c r="C17" s="12">
        <v>16</v>
      </c>
      <c r="D17" s="8">
        <v>1.81</v>
      </c>
      <c r="E17" s="12">
        <v>8</v>
      </c>
      <c r="F17" s="8">
        <v>1.77</v>
      </c>
      <c r="G17" s="12">
        <v>4</v>
      </c>
      <c r="H17" s="8">
        <v>0.96</v>
      </c>
      <c r="I17" s="12">
        <v>1</v>
      </c>
    </row>
    <row r="18" spans="2:9" ht="15" customHeight="1" x14ac:dyDescent="0.2">
      <c r="B18" t="s">
        <v>203</v>
      </c>
      <c r="C18" s="12">
        <v>43</v>
      </c>
      <c r="D18" s="8">
        <v>4.8600000000000003</v>
      </c>
      <c r="E18" s="12">
        <v>21</v>
      </c>
      <c r="F18" s="8">
        <v>4.6500000000000004</v>
      </c>
      <c r="G18" s="12">
        <v>18</v>
      </c>
      <c r="H18" s="8">
        <v>4.34</v>
      </c>
      <c r="I18" s="12">
        <v>0</v>
      </c>
    </row>
    <row r="19" spans="2:9" ht="15" customHeight="1" x14ac:dyDescent="0.2">
      <c r="B19" t="s">
        <v>204</v>
      </c>
      <c r="C19" s="12">
        <v>26</v>
      </c>
      <c r="D19" s="8">
        <v>2.94</v>
      </c>
      <c r="E19" s="12">
        <v>10</v>
      </c>
      <c r="F19" s="8">
        <v>2.21</v>
      </c>
      <c r="G19" s="12">
        <v>13</v>
      </c>
      <c r="H19" s="8">
        <v>3.13</v>
      </c>
      <c r="I19" s="12">
        <v>3</v>
      </c>
    </row>
    <row r="20" spans="2:9" ht="15" customHeight="1" x14ac:dyDescent="0.2">
      <c r="B20" s="9" t="s">
        <v>529</v>
      </c>
      <c r="C20" s="12">
        <f>SUM(LTBL_01211[総数／事業所数])</f>
        <v>885</v>
      </c>
      <c r="E20" s="12">
        <f>SUBTOTAL(109,LTBL_01211[個人／事業所数])</f>
        <v>452</v>
      </c>
      <c r="G20" s="12">
        <f>SUBTOTAL(109,LTBL_01211[法人／事業所数])</f>
        <v>415</v>
      </c>
      <c r="I20" s="12">
        <f>SUBTOTAL(109,LTBL_01211[法人以外の団体／事業所数])</f>
        <v>7</v>
      </c>
    </row>
    <row r="21" spans="2:9" ht="15" customHeight="1" x14ac:dyDescent="0.2">
      <c r="E21" s="11">
        <f>LTBL_01211[[#Totals],[個人／事業所数]]/LTBL_01211[[#Totals],[総数／事業所数]]</f>
        <v>0.51073446327683614</v>
      </c>
      <c r="G21" s="11">
        <f>LTBL_01211[[#Totals],[法人／事業所数]]/LTBL_01211[[#Totals],[総数／事業所数]]</f>
        <v>0.46892655367231639</v>
      </c>
      <c r="I21" s="11">
        <f>LTBL_01211[[#Totals],[法人以外の団体／事業所数]]/LTBL_01211[[#Totals],[総数／事業所数]]</f>
        <v>7.9096045197740109E-3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113</v>
      </c>
      <c r="D24" s="8">
        <v>12.77</v>
      </c>
      <c r="E24" s="12">
        <v>80</v>
      </c>
      <c r="F24" s="8">
        <v>17.7</v>
      </c>
      <c r="G24" s="12">
        <v>31</v>
      </c>
      <c r="H24" s="8">
        <v>7.47</v>
      </c>
      <c r="I24" s="12">
        <v>0</v>
      </c>
    </row>
    <row r="25" spans="2:9" ht="15" customHeight="1" x14ac:dyDescent="0.2">
      <c r="B25" t="s">
        <v>228</v>
      </c>
      <c r="C25" s="12">
        <v>102</v>
      </c>
      <c r="D25" s="8">
        <v>11.53</v>
      </c>
      <c r="E25" s="12">
        <v>87</v>
      </c>
      <c r="F25" s="8">
        <v>19.25</v>
      </c>
      <c r="G25" s="12">
        <v>15</v>
      </c>
      <c r="H25" s="8">
        <v>3.61</v>
      </c>
      <c r="I25" s="12">
        <v>0</v>
      </c>
    </row>
    <row r="26" spans="2:9" ht="15" customHeight="1" x14ac:dyDescent="0.2">
      <c r="B26" t="s">
        <v>227</v>
      </c>
      <c r="C26" s="12">
        <v>86</v>
      </c>
      <c r="D26" s="8">
        <v>9.7200000000000006</v>
      </c>
      <c r="E26" s="12">
        <v>72</v>
      </c>
      <c r="F26" s="8">
        <v>15.93</v>
      </c>
      <c r="G26" s="12">
        <v>14</v>
      </c>
      <c r="H26" s="8">
        <v>3.37</v>
      </c>
      <c r="I26" s="12">
        <v>0</v>
      </c>
    </row>
    <row r="27" spans="2:9" ht="15" customHeight="1" x14ac:dyDescent="0.2">
      <c r="B27" t="s">
        <v>223</v>
      </c>
      <c r="C27" s="12">
        <v>71</v>
      </c>
      <c r="D27" s="8">
        <v>8.02</v>
      </c>
      <c r="E27" s="12">
        <v>27</v>
      </c>
      <c r="F27" s="8">
        <v>5.97</v>
      </c>
      <c r="G27" s="12">
        <v>43</v>
      </c>
      <c r="H27" s="8">
        <v>10.36</v>
      </c>
      <c r="I27" s="12">
        <v>1</v>
      </c>
    </row>
    <row r="28" spans="2:9" ht="15" customHeight="1" x14ac:dyDescent="0.2">
      <c r="B28" t="s">
        <v>213</v>
      </c>
      <c r="C28" s="12">
        <v>51</v>
      </c>
      <c r="D28" s="8">
        <v>5.76</v>
      </c>
      <c r="E28" s="12">
        <v>10</v>
      </c>
      <c r="F28" s="8">
        <v>2.21</v>
      </c>
      <c r="G28" s="12">
        <v>41</v>
      </c>
      <c r="H28" s="8">
        <v>9.8800000000000008</v>
      </c>
      <c r="I28" s="12">
        <v>0</v>
      </c>
    </row>
    <row r="29" spans="2:9" ht="15" customHeight="1" x14ac:dyDescent="0.2">
      <c r="B29" t="s">
        <v>214</v>
      </c>
      <c r="C29" s="12">
        <v>39</v>
      </c>
      <c r="D29" s="8">
        <v>4.41</v>
      </c>
      <c r="E29" s="12">
        <v>16</v>
      </c>
      <c r="F29" s="8">
        <v>3.54</v>
      </c>
      <c r="G29" s="12">
        <v>23</v>
      </c>
      <c r="H29" s="8">
        <v>5.54</v>
      </c>
      <c r="I29" s="12">
        <v>0</v>
      </c>
    </row>
    <row r="30" spans="2:9" ht="15" customHeight="1" x14ac:dyDescent="0.2">
      <c r="B30" t="s">
        <v>221</v>
      </c>
      <c r="C30" s="12">
        <v>39</v>
      </c>
      <c r="D30" s="8">
        <v>4.41</v>
      </c>
      <c r="E30" s="12">
        <v>24</v>
      </c>
      <c r="F30" s="8">
        <v>5.31</v>
      </c>
      <c r="G30" s="12">
        <v>14</v>
      </c>
      <c r="H30" s="8">
        <v>3.37</v>
      </c>
      <c r="I30" s="12">
        <v>1</v>
      </c>
    </row>
    <row r="31" spans="2:9" ht="15" customHeight="1" x14ac:dyDescent="0.2">
      <c r="B31" t="s">
        <v>241</v>
      </c>
      <c r="C31" s="12">
        <v>30</v>
      </c>
      <c r="D31" s="8">
        <v>3.39</v>
      </c>
      <c r="E31" s="12">
        <v>7</v>
      </c>
      <c r="F31" s="8">
        <v>1.55</v>
      </c>
      <c r="G31" s="12">
        <v>23</v>
      </c>
      <c r="H31" s="8">
        <v>5.54</v>
      </c>
      <c r="I31" s="12">
        <v>0</v>
      </c>
    </row>
    <row r="32" spans="2:9" ht="15" customHeight="1" x14ac:dyDescent="0.2">
      <c r="B32" t="s">
        <v>215</v>
      </c>
      <c r="C32" s="12">
        <v>25</v>
      </c>
      <c r="D32" s="8">
        <v>2.82</v>
      </c>
      <c r="E32" s="12">
        <v>7</v>
      </c>
      <c r="F32" s="8">
        <v>1.55</v>
      </c>
      <c r="G32" s="12">
        <v>18</v>
      </c>
      <c r="H32" s="8">
        <v>4.34</v>
      </c>
      <c r="I32" s="12">
        <v>0</v>
      </c>
    </row>
    <row r="33" spans="2:9" ht="15" customHeight="1" x14ac:dyDescent="0.2">
      <c r="B33" t="s">
        <v>222</v>
      </c>
      <c r="C33" s="12">
        <v>23</v>
      </c>
      <c r="D33" s="8">
        <v>2.6</v>
      </c>
      <c r="E33" s="12">
        <v>17</v>
      </c>
      <c r="F33" s="8">
        <v>3.76</v>
      </c>
      <c r="G33" s="12">
        <v>6</v>
      </c>
      <c r="H33" s="8">
        <v>1.45</v>
      </c>
      <c r="I33" s="12">
        <v>0</v>
      </c>
    </row>
    <row r="34" spans="2:9" ht="15" customHeight="1" x14ac:dyDescent="0.2">
      <c r="B34" t="s">
        <v>231</v>
      </c>
      <c r="C34" s="12">
        <v>22</v>
      </c>
      <c r="D34" s="8">
        <v>2.4900000000000002</v>
      </c>
      <c r="E34" s="12">
        <v>20</v>
      </c>
      <c r="F34" s="8">
        <v>4.42</v>
      </c>
      <c r="G34" s="12">
        <v>2</v>
      </c>
      <c r="H34" s="8">
        <v>0.48</v>
      </c>
      <c r="I34" s="12">
        <v>0</v>
      </c>
    </row>
    <row r="35" spans="2:9" ht="15" customHeight="1" x14ac:dyDescent="0.2">
      <c r="B35" t="s">
        <v>225</v>
      </c>
      <c r="C35" s="12">
        <v>21</v>
      </c>
      <c r="D35" s="8">
        <v>2.37</v>
      </c>
      <c r="E35" s="12">
        <v>16</v>
      </c>
      <c r="F35" s="8">
        <v>3.54</v>
      </c>
      <c r="G35" s="12">
        <v>5</v>
      </c>
      <c r="H35" s="8">
        <v>1.2</v>
      </c>
      <c r="I35" s="12">
        <v>0</v>
      </c>
    </row>
    <row r="36" spans="2:9" ht="15" customHeight="1" x14ac:dyDescent="0.2">
      <c r="B36" t="s">
        <v>232</v>
      </c>
      <c r="C36" s="12">
        <v>21</v>
      </c>
      <c r="D36" s="8">
        <v>2.37</v>
      </c>
      <c r="E36" s="12">
        <v>1</v>
      </c>
      <c r="F36" s="8">
        <v>0.22</v>
      </c>
      <c r="G36" s="12">
        <v>16</v>
      </c>
      <c r="H36" s="8">
        <v>3.86</v>
      </c>
      <c r="I36" s="12">
        <v>0</v>
      </c>
    </row>
    <row r="37" spans="2:9" ht="15" customHeight="1" x14ac:dyDescent="0.2">
      <c r="B37" t="s">
        <v>226</v>
      </c>
      <c r="C37" s="12">
        <v>17</v>
      </c>
      <c r="D37" s="8">
        <v>1.92</v>
      </c>
      <c r="E37" s="12">
        <v>5</v>
      </c>
      <c r="F37" s="8">
        <v>1.1100000000000001</v>
      </c>
      <c r="G37" s="12">
        <v>11</v>
      </c>
      <c r="H37" s="8">
        <v>2.65</v>
      </c>
      <c r="I37" s="12">
        <v>0</v>
      </c>
    </row>
    <row r="38" spans="2:9" ht="15" customHeight="1" x14ac:dyDescent="0.2">
      <c r="B38" t="s">
        <v>243</v>
      </c>
      <c r="C38" s="12">
        <v>16</v>
      </c>
      <c r="D38" s="8">
        <v>1.81</v>
      </c>
      <c r="E38" s="12">
        <v>14</v>
      </c>
      <c r="F38" s="8">
        <v>3.1</v>
      </c>
      <c r="G38" s="12">
        <v>2</v>
      </c>
      <c r="H38" s="8">
        <v>0.48</v>
      </c>
      <c r="I38" s="12">
        <v>0</v>
      </c>
    </row>
    <row r="39" spans="2:9" ht="15" customHeight="1" x14ac:dyDescent="0.2">
      <c r="B39" t="s">
        <v>230</v>
      </c>
      <c r="C39" s="12">
        <v>16</v>
      </c>
      <c r="D39" s="8">
        <v>1.81</v>
      </c>
      <c r="E39" s="12">
        <v>8</v>
      </c>
      <c r="F39" s="8">
        <v>1.77</v>
      </c>
      <c r="G39" s="12">
        <v>4</v>
      </c>
      <c r="H39" s="8">
        <v>0.96</v>
      </c>
      <c r="I39" s="12">
        <v>1</v>
      </c>
    </row>
    <row r="40" spans="2:9" ht="15" customHeight="1" x14ac:dyDescent="0.2">
      <c r="B40" t="s">
        <v>218</v>
      </c>
      <c r="C40" s="12">
        <v>13</v>
      </c>
      <c r="D40" s="8">
        <v>1.47</v>
      </c>
      <c r="E40" s="12">
        <v>0</v>
      </c>
      <c r="F40" s="8">
        <v>0</v>
      </c>
      <c r="G40" s="12">
        <v>13</v>
      </c>
      <c r="H40" s="8">
        <v>3.13</v>
      </c>
      <c r="I40" s="12">
        <v>0</v>
      </c>
    </row>
    <row r="41" spans="2:9" ht="15" customHeight="1" x14ac:dyDescent="0.2">
      <c r="B41" t="s">
        <v>220</v>
      </c>
      <c r="C41" s="12">
        <v>13</v>
      </c>
      <c r="D41" s="8">
        <v>1.47</v>
      </c>
      <c r="E41" s="12">
        <v>7</v>
      </c>
      <c r="F41" s="8">
        <v>1.55</v>
      </c>
      <c r="G41" s="12">
        <v>6</v>
      </c>
      <c r="H41" s="8">
        <v>1.45</v>
      </c>
      <c r="I41" s="12">
        <v>0</v>
      </c>
    </row>
    <row r="42" spans="2:9" ht="15" customHeight="1" x14ac:dyDescent="0.2">
      <c r="B42" t="s">
        <v>236</v>
      </c>
      <c r="C42" s="12">
        <v>12</v>
      </c>
      <c r="D42" s="8">
        <v>1.36</v>
      </c>
      <c r="E42" s="12">
        <v>4</v>
      </c>
      <c r="F42" s="8">
        <v>0.88</v>
      </c>
      <c r="G42" s="12">
        <v>8</v>
      </c>
      <c r="H42" s="8">
        <v>1.93</v>
      </c>
      <c r="I42" s="12">
        <v>0</v>
      </c>
    </row>
    <row r="43" spans="2:9" ht="15" customHeight="1" x14ac:dyDescent="0.2">
      <c r="B43" t="s">
        <v>216</v>
      </c>
      <c r="C43" s="12">
        <v>11</v>
      </c>
      <c r="D43" s="8">
        <v>1.24</v>
      </c>
      <c r="E43" s="12">
        <v>3</v>
      </c>
      <c r="F43" s="8">
        <v>0.66</v>
      </c>
      <c r="G43" s="12">
        <v>8</v>
      </c>
      <c r="H43" s="8">
        <v>1.93</v>
      </c>
      <c r="I43" s="12">
        <v>0</v>
      </c>
    </row>
    <row r="44" spans="2:9" ht="15" customHeight="1" x14ac:dyDescent="0.2">
      <c r="B44" t="s">
        <v>239</v>
      </c>
      <c r="C44" s="12">
        <v>11</v>
      </c>
      <c r="D44" s="8">
        <v>1.24</v>
      </c>
      <c r="E44" s="12">
        <v>2</v>
      </c>
      <c r="F44" s="8">
        <v>0.44</v>
      </c>
      <c r="G44" s="12">
        <v>9</v>
      </c>
      <c r="H44" s="8">
        <v>2.17</v>
      </c>
      <c r="I44" s="12">
        <v>0</v>
      </c>
    </row>
    <row r="45" spans="2:9" ht="15" customHeight="1" x14ac:dyDescent="0.2">
      <c r="B45" t="s">
        <v>247</v>
      </c>
      <c r="C45" s="12">
        <v>11</v>
      </c>
      <c r="D45" s="8">
        <v>1.24</v>
      </c>
      <c r="E45" s="12">
        <v>3</v>
      </c>
      <c r="F45" s="8">
        <v>0.66</v>
      </c>
      <c r="G45" s="12">
        <v>8</v>
      </c>
      <c r="H45" s="8">
        <v>1.93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297</v>
      </c>
      <c r="C49" s="12">
        <v>89</v>
      </c>
      <c r="D49" s="8">
        <v>10.06</v>
      </c>
      <c r="E49" s="12">
        <v>78</v>
      </c>
      <c r="F49" s="8">
        <v>17.260000000000002</v>
      </c>
      <c r="G49" s="12">
        <v>10</v>
      </c>
      <c r="H49" s="8">
        <v>2.41</v>
      </c>
      <c r="I49" s="12">
        <v>0</v>
      </c>
    </row>
    <row r="50" spans="2:9" ht="15" customHeight="1" x14ac:dyDescent="0.2">
      <c r="B50" t="s">
        <v>304</v>
      </c>
      <c r="C50" s="12">
        <v>46</v>
      </c>
      <c r="D50" s="8">
        <v>5.2</v>
      </c>
      <c r="E50" s="12">
        <v>41</v>
      </c>
      <c r="F50" s="8">
        <v>9.07</v>
      </c>
      <c r="G50" s="12">
        <v>5</v>
      </c>
      <c r="H50" s="8">
        <v>1.2</v>
      </c>
      <c r="I50" s="12">
        <v>0</v>
      </c>
    </row>
    <row r="51" spans="2:9" ht="15" customHeight="1" x14ac:dyDescent="0.2">
      <c r="B51" t="s">
        <v>303</v>
      </c>
      <c r="C51" s="12">
        <v>43</v>
      </c>
      <c r="D51" s="8">
        <v>4.8600000000000003</v>
      </c>
      <c r="E51" s="12">
        <v>42</v>
      </c>
      <c r="F51" s="8">
        <v>9.2899999999999991</v>
      </c>
      <c r="G51" s="12">
        <v>1</v>
      </c>
      <c r="H51" s="8">
        <v>0.24</v>
      </c>
      <c r="I51" s="12">
        <v>0</v>
      </c>
    </row>
    <row r="52" spans="2:9" ht="15" customHeight="1" x14ac:dyDescent="0.2">
      <c r="B52" t="s">
        <v>295</v>
      </c>
      <c r="C52" s="12">
        <v>25</v>
      </c>
      <c r="D52" s="8">
        <v>2.82</v>
      </c>
      <c r="E52" s="12">
        <v>11</v>
      </c>
      <c r="F52" s="8">
        <v>2.4300000000000002</v>
      </c>
      <c r="G52" s="12">
        <v>13</v>
      </c>
      <c r="H52" s="8">
        <v>3.13</v>
      </c>
      <c r="I52" s="12">
        <v>1</v>
      </c>
    </row>
    <row r="53" spans="2:9" ht="15" customHeight="1" x14ac:dyDescent="0.2">
      <c r="B53" t="s">
        <v>301</v>
      </c>
      <c r="C53" s="12">
        <v>21</v>
      </c>
      <c r="D53" s="8">
        <v>2.37</v>
      </c>
      <c r="E53" s="12">
        <v>20</v>
      </c>
      <c r="F53" s="8">
        <v>4.42</v>
      </c>
      <c r="G53" s="12">
        <v>1</v>
      </c>
      <c r="H53" s="8">
        <v>0.24</v>
      </c>
      <c r="I53" s="12">
        <v>0</v>
      </c>
    </row>
    <row r="54" spans="2:9" ht="15" customHeight="1" x14ac:dyDescent="0.2">
      <c r="B54" t="s">
        <v>299</v>
      </c>
      <c r="C54" s="12">
        <v>19</v>
      </c>
      <c r="D54" s="8">
        <v>2.15</v>
      </c>
      <c r="E54" s="12">
        <v>15</v>
      </c>
      <c r="F54" s="8">
        <v>3.32</v>
      </c>
      <c r="G54" s="12">
        <v>4</v>
      </c>
      <c r="H54" s="8">
        <v>0.96</v>
      </c>
      <c r="I54" s="12">
        <v>0</v>
      </c>
    </row>
    <row r="55" spans="2:9" ht="15" customHeight="1" x14ac:dyDescent="0.2">
      <c r="B55" t="s">
        <v>306</v>
      </c>
      <c r="C55" s="12">
        <v>19</v>
      </c>
      <c r="D55" s="8">
        <v>2.15</v>
      </c>
      <c r="E55" s="12">
        <v>17</v>
      </c>
      <c r="F55" s="8">
        <v>3.76</v>
      </c>
      <c r="G55" s="12">
        <v>2</v>
      </c>
      <c r="H55" s="8">
        <v>0.48</v>
      </c>
      <c r="I55" s="12">
        <v>0</v>
      </c>
    </row>
    <row r="56" spans="2:9" ht="15" customHeight="1" x14ac:dyDescent="0.2">
      <c r="B56" t="s">
        <v>289</v>
      </c>
      <c r="C56" s="12">
        <v>17</v>
      </c>
      <c r="D56" s="8">
        <v>1.92</v>
      </c>
      <c r="E56" s="12">
        <v>4</v>
      </c>
      <c r="F56" s="8">
        <v>0.88</v>
      </c>
      <c r="G56" s="12">
        <v>13</v>
      </c>
      <c r="H56" s="8">
        <v>3.13</v>
      </c>
      <c r="I56" s="12">
        <v>0</v>
      </c>
    </row>
    <row r="57" spans="2:9" ht="15" customHeight="1" x14ac:dyDescent="0.2">
      <c r="B57" t="s">
        <v>342</v>
      </c>
      <c r="C57" s="12">
        <v>17</v>
      </c>
      <c r="D57" s="8">
        <v>1.92</v>
      </c>
      <c r="E57" s="12">
        <v>3</v>
      </c>
      <c r="F57" s="8">
        <v>0.66</v>
      </c>
      <c r="G57" s="12">
        <v>14</v>
      </c>
      <c r="H57" s="8">
        <v>3.37</v>
      </c>
      <c r="I57" s="12">
        <v>0</v>
      </c>
    </row>
    <row r="58" spans="2:9" ht="15" customHeight="1" x14ac:dyDescent="0.2">
      <c r="B58" t="s">
        <v>300</v>
      </c>
      <c r="C58" s="12">
        <v>16</v>
      </c>
      <c r="D58" s="8">
        <v>1.81</v>
      </c>
      <c r="E58" s="12">
        <v>14</v>
      </c>
      <c r="F58" s="8">
        <v>3.1</v>
      </c>
      <c r="G58" s="12">
        <v>2</v>
      </c>
      <c r="H58" s="8">
        <v>0.48</v>
      </c>
      <c r="I58" s="12">
        <v>0</v>
      </c>
    </row>
    <row r="59" spans="2:9" ht="15" customHeight="1" x14ac:dyDescent="0.2">
      <c r="B59" t="s">
        <v>296</v>
      </c>
      <c r="C59" s="12">
        <v>15</v>
      </c>
      <c r="D59" s="8">
        <v>1.69</v>
      </c>
      <c r="E59" s="12">
        <v>1</v>
      </c>
      <c r="F59" s="8">
        <v>0.22</v>
      </c>
      <c r="G59" s="12">
        <v>14</v>
      </c>
      <c r="H59" s="8">
        <v>3.37</v>
      </c>
      <c r="I59" s="12">
        <v>0</v>
      </c>
    </row>
    <row r="60" spans="2:9" ht="15" customHeight="1" x14ac:dyDescent="0.2">
      <c r="B60" t="s">
        <v>302</v>
      </c>
      <c r="C60" s="12">
        <v>15</v>
      </c>
      <c r="D60" s="8">
        <v>1.69</v>
      </c>
      <c r="E60" s="12">
        <v>13</v>
      </c>
      <c r="F60" s="8">
        <v>2.88</v>
      </c>
      <c r="G60" s="12">
        <v>2</v>
      </c>
      <c r="H60" s="8">
        <v>0.48</v>
      </c>
      <c r="I60" s="12">
        <v>0</v>
      </c>
    </row>
    <row r="61" spans="2:9" ht="15" customHeight="1" x14ac:dyDescent="0.2">
      <c r="B61" t="s">
        <v>290</v>
      </c>
      <c r="C61" s="12">
        <v>14</v>
      </c>
      <c r="D61" s="8">
        <v>1.58</v>
      </c>
      <c r="E61" s="12">
        <v>5</v>
      </c>
      <c r="F61" s="8">
        <v>1.1100000000000001</v>
      </c>
      <c r="G61" s="12">
        <v>9</v>
      </c>
      <c r="H61" s="8">
        <v>2.17</v>
      </c>
      <c r="I61" s="12">
        <v>0</v>
      </c>
    </row>
    <row r="62" spans="2:9" ht="15" customHeight="1" x14ac:dyDescent="0.2">
      <c r="B62" t="s">
        <v>294</v>
      </c>
      <c r="C62" s="12">
        <v>14</v>
      </c>
      <c r="D62" s="8">
        <v>1.58</v>
      </c>
      <c r="E62" s="12">
        <v>4</v>
      </c>
      <c r="F62" s="8">
        <v>0.88</v>
      </c>
      <c r="G62" s="12">
        <v>10</v>
      </c>
      <c r="H62" s="8">
        <v>2.41</v>
      </c>
      <c r="I62" s="12">
        <v>0</v>
      </c>
    </row>
    <row r="63" spans="2:9" ht="15" customHeight="1" x14ac:dyDescent="0.2">
      <c r="B63" t="s">
        <v>292</v>
      </c>
      <c r="C63" s="12">
        <v>13</v>
      </c>
      <c r="D63" s="8">
        <v>1.47</v>
      </c>
      <c r="E63" s="12">
        <v>8</v>
      </c>
      <c r="F63" s="8">
        <v>1.77</v>
      </c>
      <c r="G63" s="12">
        <v>5</v>
      </c>
      <c r="H63" s="8">
        <v>1.2</v>
      </c>
      <c r="I63" s="12">
        <v>0</v>
      </c>
    </row>
    <row r="64" spans="2:9" ht="15" customHeight="1" x14ac:dyDescent="0.2">
      <c r="B64" t="s">
        <v>288</v>
      </c>
      <c r="C64" s="12">
        <v>12</v>
      </c>
      <c r="D64" s="8">
        <v>1.36</v>
      </c>
      <c r="E64" s="12">
        <v>1</v>
      </c>
      <c r="F64" s="8">
        <v>0.22</v>
      </c>
      <c r="G64" s="12">
        <v>11</v>
      </c>
      <c r="H64" s="8">
        <v>2.65</v>
      </c>
      <c r="I64" s="12">
        <v>0</v>
      </c>
    </row>
    <row r="65" spans="2:9" ht="15" customHeight="1" x14ac:dyDescent="0.2">
      <c r="B65" t="s">
        <v>329</v>
      </c>
      <c r="C65" s="12">
        <v>12</v>
      </c>
      <c r="D65" s="8">
        <v>1.36</v>
      </c>
      <c r="E65" s="12">
        <v>9</v>
      </c>
      <c r="F65" s="8">
        <v>1.99</v>
      </c>
      <c r="G65" s="12">
        <v>3</v>
      </c>
      <c r="H65" s="8">
        <v>0.72</v>
      </c>
      <c r="I65" s="12">
        <v>0</v>
      </c>
    </row>
    <row r="66" spans="2:9" ht="15" customHeight="1" x14ac:dyDescent="0.2">
      <c r="B66" t="s">
        <v>339</v>
      </c>
      <c r="C66" s="12">
        <v>11</v>
      </c>
      <c r="D66" s="8">
        <v>1.24</v>
      </c>
      <c r="E66" s="12">
        <v>9</v>
      </c>
      <c r="F66" s="8">
        <v>1.99</v>
      </c>
      <c r="G66" s="12">
        <v>2</v>
      </c>
      <c r="H66" s="8">
        <v>0.48</v>
      </c>
      <c r="I66" s="12">
        <v>0</v>
      </c>
    </row>
    <row r="67" spans="2:9" ht="15" customHeight="1" x14ac:dyDescent="0.2">
      <c r="B67" t="s">
        <v>319</v>
      </c>
      <c r="C67" s="12">
        <v>10</v>
      </c>
      <c r="D67" s="8">
        <v>1.1299999999999999</v>
      </c>
      <c r="E67" s="12">
        <v>4</v>
      </c>
      <c r="F67" s="8">
        <v>0.88</v>
      </c>
      <c r="G67" s="12">
        <v>6</v>
      </c>
      <c r="H67" s="8">
        <v>1.45</v>
      </c>
      <c r="I67" s="12">
        <v>0</v>
      </c>
    </row>
    <row r="68" spans="2:9" ht="15" customHeight="1" x14ac:dyDescent="0.2">
      <c r="B68" t="s">
        <v>293</v>
      </c>
      <c r="C68" s="12">
        <v>10</v>
      </c>
      <c r="D68" s="8">
        <v>1.1299999999999999</v>
      </c>
      <c r="E68" s="12">
        <v>6</v>
      </c>
      <c r="F68" s="8">
        <v>1.33</v>
      </c>
      <c r="G68" s="12">
        <v>4</v>
      </c>
      <c r="H68" s="8">
        <v>0.96</v>
      </c>
      <c r="I68" s="12">
        <v>0</v>
      </c>
    </row>
    <row r="69" spans="2:9" ht="15" customHeight="1" x14ac:dyDescent="0.2">
      <c r="B69" t="s">
        <v>335</v>
      </c>
      <c r="C69" s="12">
        <v>10</v>
      </c>
      <c r="D69" s="8">
        <v>1.1299999999999999</v>
      </c>
      <c r="E69" s="12">
        <v>9</v>
      </c>
      <c r="F69" s="8">
        <v>1.99</v>
      </c>
      <c r="G69" s="12">
        <v>1</v>
      </c>
      <c r="H69" s="8">
        <v>0.24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1AC9C-82B1-4DD4-A5C6-704F655C1E35}">
  <sheetPr>
    <pageSetUpPr fitToPage="1"/>
  </sheetPr>
  <dimension ref="B2:I7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0.16</v>
      </c>
      <c r="E5" s="12">
        <v>0</v>
      </c>
      <c r="F5" s="8">
        <v>0</v>
      </c>
      <c r="G5" s="12">
        <v>1</v>
      </c>
      <c r="H5" s="8">
        <v>0.38</v>
      </c>
      <c r="I5" s="12">
        <v>0</v>
      </c>
    </row>
    <row r="6" spans="2:9" ht="15" customHeight="1" x14ac:dyDescent="0.2">
      <c r="B6" t="s">
        <v>191</v>
      </c>
      <c r="C6" s="12">
        <v>73</v>
      </c>
      <c r="D6" s="8">
        <v>11.97</v>
      </c>
      <c r="E6" s="12">
        <v>29</v>
      </c>
      <c r="F6" s="8">
        <v>8.76</v>
      </c>
      <c r="G6" s="12">
        <v>44</v>
      </c>
      <c r="H6" s="8">
        <v>16.54</v>
      </c>
      <c r="I6" s="12">
        <v>0</v>
      </c>
    </row>
    <row r="7" spans="2:9" ht="15" customHeight="1" x14ac:dyDescent="0.2">
      <c r="B7" t="s">
        <v>192</v>
      </c>
      <c r="C7" s="12">
        <v>22</v>
      </c>
      <c r="D7" s="8">
        <v>3.61</v>
      </c>
      <c r="E7" s="12">
        <v>4</v>
      </c>
      <c r="F7" s="8">
        <v>1.21</v>
      </c>
      <c r="G7" s="12">
        <v>18</v>
      </c>
      <c r="H7" s="8">
        <v>6.77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0.16</v>
      </c>
      <c r="E8" s="12">
        <v>0</v>
      </c>
      <c r="F8" s="8">
        <v>0</v>
      </c>
      <c r="G8" s="12">
        <v>1</v>
      </c>
      <c r="H8" s="8">
        <v>0.38</v>
      </c>
      <c r="I8" s="12">
        <v>0</v>
      </c>
    </row>
    <row r="9" spans="2:9" ht="15" customHeight="1" x14ac:dyDescent="0.2">
      <c r="B9" t="s">
        <v>194</v>
      </c>
      <c r="C9" s="12">
        <v>4</v>
      </c>
      <c r="D9" s="8">
        <v>0.66</v>
      </c>
      <c r="E9" s="12">
        <v>0</v>
      </c>
      <c r="F9" s="8">
        <v>0</v>
      </c>
      <c r="G9" s="12">
        <v>4</v>
      </c>
      <c r="H9" s="8">
        <v>1.5</v>
      </c>
      <c r="I9" s="12">
        <v>0</v>
      </c>
    </row>
    <row r="10" spans="2:9" ht="15" customHeight="1" x14ac:dyDescent="0.2">
      <c r="B10" t="s">
        <v>195</v>
      </c>
      <c r="C10" s="12">
        <v>12</v>
      </c>
      <c r="D10" s="8">
        <v>1.97</v>
      </c>
      <c r="E10" s="12">
        <v>3</v>
      </c>
      <c r="F10" s="8">
        <v>0.91</v>
      </c>
      <c r="G10" s="12">
        <v>9</v>
      </c>
      <c r="H10" s="8">
        <v>3.38</v>
      </c>
      <c r="I10" s="12">
        <v>0</v>
      </c>
    </row>
    <row r="11" spans="2:9" ht="15" customHeight="1" x14ac:dyDescent="0.2">
      <c r="B11" t="s">
        <v>196</v>
      </c>
      <c r="C11" s="12">
        <v>159</v>
      </c>
      <c r="D11" s="8">
        <v>26.07</v>
      </c>
      <c r="E11" s="12">
        <v>71</v>
      </c>
      <c r="F11" s="8">
        <v>21.45</v>
      </c>
      <c r="G11" s="12">
        <v>88</v>
      </c>
      <c r="H11" s="8">
        <v>33.08</v>
      </c>
      <c r="I11" s="12">
        <v>0</v>
      </c>
    </row>
    <row r="12" spans="2:9" ht="15" customHeight="1" x14ac:dyDescent="0.2">
      <c r="B12" t="s">
        <v>197</v>
      </c>
      <c r="C12" s="12">
        <v>8</v>
      </c>
      <c r="D12" s="8">
        <v>1.31</v>
      </c>
      <c r="E12" s="12">
        <v>0</v>
      </c>
      <c r="F12" s="8">
        <v>0</v>
      </c>
      <c r="G12" s="12">
        <v>8</v>
      </c>
      <c r="H12" s="8">
        <v>3.01</v>
      </c>
      <c r="I12" s="12">
        <v>0</v>
      </c>
    </row>
    <row r="13" spans="2:9" ht="15" customHeight="1" x14ac:dyDescent="0.2">
      <c r="B13" t="s">
        <v>198</v>
      </c>
      <c r="C13" s="12">
        <v>44</v>
      </c>
      <c r="D13" s="8">
        <v>7.21</v>
      </c>
      <c r="E13" s="12">
        <v>16</v>
      </c>
      <c r="F13" s="8">
        <v>4.83</v>
      </c>
      <c r="G13" s="12">
        <v>27</v>
      </c>
      <c r="H13" s="8">
        <v>10.15</v>
      </c>
      <c r="I13" s="12">
        <v>0</v>
      </c>
    </row>
    <row r="14" spans="2:9" ht="15" customHeight="1" x14ac:dyDescent="0.2">
      <c r="B14" t="s">
        <v>199</v>
      </c>
      <c r="C14" s="12">
        <v>26</v>
      </c>
      <c r="D14" s="8">
        <v>4.26</v>
      </c>
      <c r="E14" s="12">
        <v>16</v>
      </c>
      <c r="F14" s="8">
        <v>4.83</v>
      </c>
      <c r="G14" s="12">
        <v>9</v>
      </c>
      <c r="H14" s="8">
        <v>3.38</v>
      </c>
      <c r="I14" s="12">
        <v>0</v>
      </c>
    </row>
    <row r="15" spans="2:9" ht="15" customHeight="1" x14ac:dyDescent="0.2">
      <c r="B15" t="s">
        <v>200</v>
      </c>
      <c r="C15" s="12">
        <v>100</v>
      </c>
      <c r="D15" s="8">
        <v>16.39</v>
      </c>
      <c r="E15" s="12">
        <v>89</v>
      </c>
      <c r="F15" s="8">
        <v>26.89</v>
      </c>
      <c r="G15" s="12">
        <v>11</v>
      </c>
      <c r="H15" s="8">
        <v>4.1399999999999997</v>
      </c>
      <c r="I15" s="12">
        <v>0</v>
      </c>
    </row>
    <row r="16" spans="2:9" ht="15" customHeight="1" x14ac:dyDescent="0.2">
      <c r="B16" t="s">
        <v>201</v>
      </c>
      <c r="C16" s="12">
        <v>83</v>
      </c>
      <c r="D16" s="8">
        <v>13.61</v>
      </c>
      <c r="E16" s="12">
        <v>73</v>
      </c>
      <c r="F16" s="8">
        <v>22.05</v>
      </c>
      <c r="G16" s="12">
        <v>10</v>
      </c>
      <c r="H16" s="8">
        <v>3.76</v>
      </c>
      <c r="I16" s="12">
        <v>0</v>
      </c>
    </row>
    <row r="17" spans="2:9" ht="15" customHeight="1" x14ac:dyDescent="0.2">
      <c r="B17" t="s">
        <v>202</v>
      </c>
      <c r="C17" s="12">
        <v>9</v>
      </c>
      <c r="D17" s="8">
        <v>1.48</v>
      </c>
      <c r="E17" s="12">
        <v>7</v>
      </c>
      <c r="F17" s="8">
        <v>2.11</v>
      </c>
      <c r="G17" s="12">
        <v>1</v>
      </c>
      <c r="H17" s="8">
        <v>0.38</v>
      </c>
      <c r="I17" s="12">
        <v>0</v>
      </c>
    </row>
    <row r="18" spans="2:9" ht="15" customHeight="1" x14ac:dyDescent="0.2">
      <c r="B18" t="s">
        <v>203</v>
      </c>
      <c r="C18" s="12">
        <v>30</v>
      </c>
      <c r="D18" s="8">
        <v>4.92</v>
      </c>
      <c r="E18" s="12">
        <v>17</v>
      </c>
      <c r="F18" s="8">
        <v>5.14</v>
      </c>
      <c r="G18" s="12">
        <v>11</v>
      </c>
      <c r="H18" s="8">
        <v>4.1399999999999997</v>
      </c>
      <c r="I18" s="12">
        <v>0</v>
      </c>
    </row>
    <row r="19" spans="2:9" ht="15" customHeight="1" x14ac:dyDescent="0.2">
      <c r="B19" t="s">
        <v>204</v>
      </c>
      <c r="C19" s="12">
        <v>38</v>
      </c>
      <c r="D19" s="8">
        <v>6.23</v>
      </c>
      <c r="E19" s="12">
        <v>6</v>
      </c>
      <c r="F19" s="8">
        <v>1.81</v>
      </c>
      <c r="G19" s="12">
        <v>24</v>
      </c>
      <c r="H19" s="8">
        <v>9.02</v>
      </c>
      <c r="I19" s="12">
        <v>7</v>
      </c>
    </row>
    <row r="20" spans="2:9" ht="15" customHeight="1" x14ac:dyDescent="0.2">
      <c r="B20" s="9" t="s">
        <v>529</v>
      </c>
      <c r="C20" s="12">
        <f>SUM(LTBL_01212[総数／事業所数])</f>
        <v>610</v>
      </c>
      <c r="E20" s="12">
        <f>SUBTOTAL(109,LTBL_01212[個人／事業所数])</f>
        <v>331</v>
      </c>
      <c r="G20" s="12">
        <f>SUBTOTAL(109,LTBL_01212[法人／事業所数])</f>
        <v>266</v>
      </c>
      <c r="I20" s="12">
        <f>SUBTOTAL(109,LTBL_01212[法人以外の団体／事業所数])</f>
        <v>7</v>
      </c>
    </row>
    <row r="21" spans="2:9" ht="15" customHeight="1" x14ac:dyDescent="0.2">
      <c r="E21" s="11">
        <f>LTBL_01212[[#Totals],[個人／事業所数]]/LTBL_01212[[#Totals],[総数／事業所数]]</f>
        <v>0.54262295081967216</v>
      </c>
      <c r="G21" s="11">
        <f>LTBL_01212[[#Totals],[法人／事業所数]]/LTBL_01212[[#Totals],[総数／事業所数]]</f>
        <v>0.43606557377049182</v>
      </c>
      <c r="I21" s="11">
        <f>LTBL_01212[[#Totals],[法人以外の団体／事業所数]]/LTBL_01212[[#Totals],[総数／事業所数]]</f>
        <v>1.1475409836065573E-2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88</v>
      </c>
      <c r="D24" s="8">
        <v>14.43</v>
      </c>
      <c r="E24" s="12">
        <v>81</v>
      </c>
      <c r="F24" s="8">
        <v>24.47</v>
      </c>
      <c r="G24" s="12">
        <v>7</v>
      </c>
      <c r="H24" s="8">
        <v>2.63</v>
      </c>
      <c r="I24" s="12">
        <v>0</v>
      </c>
    </row>
    <row r="25" spans="2:9" ht="15" customHeight="1" x14ac:dyDescent="0.2">
      <c r="B25" t="s">
        <v>228</v>
      </c>
      <c r="C25" s="12">
        <v>74</v>
      </c>
      <c r="D25" s="8">
        <v>12.13</v>
      </c>
      <c r="E25" s="12">
        <v>66</v>
      </c>
      <c r="F25" s="8">
        <v>19.940000000000001</v>
      </c>
      <c r="G25" s="12">
        <v>8</v>
      </c>
      <c r="H25" s="8">
        <v>3.01</v>
      </c>
      <c r="I25" s="12">
        <v>0</v>
      </c>
    </row>
    <row r="26" spans="2:9" ht="15" customHeight="1" x14ac:dyDescent="0.2">
      <c r="B26" t="s">
        <v>223</v>
      </c>
      <c r="C26" s="12">
        <v>49</v>
      </c>
      <c r="D26" s="8">
        <v>8.0299999999999994</v>
      </c>
      <c r="E26" s="12">
        <v>23</v>
      </c>
      <c r="F26" s="8">
        <v>6.95</v>
      </c>
      <c r="G26" s="12">
        <v>26</v>
      </c>
      <c r="H26" s="8">
        <v>9.77</v>
      </c>
      <c r="I26" s="12">
        <v>0</v>
      </c>
    </row>
    <row r="27" spans="2:9" ht="15" customHeight="1" x14ac:dyDescent="0.2">
      <c r="B27" t="s">
        <v>224</v>
      </c>
      <c r="C27" s="12">
        <v>37</v>
      </c>
      <c r="D27" s="8">
        <v>6.07</v>
      </c>
      <c r="E27" s="12">
        <v>16</v>
      </c>
      <c r="F27" s="8">
        <v>4.83</v>
      </c>
      <c r="G27" s="12">
        <v>20</v>
      </c>
      <c r="H27" s="8">
        <v>7.52</v>
      </c>
      <c r="I27" s="12">
        <v>0</v>
      </c>
    </row>
    <row r="28" spans="2:9" ht="15" customHeight="1" x14ac:dyDescent="0.2">
      <c r="B28" t="s">
        <v>214</v>
      </c>
      <c r="C28" s="12">
        <v>33</v>
      </c>
      <c r="D28" s="8">
        <v>5.41</v>
      </c>
      <c r="E28" s="12">
        <v>16</v>
      </c>
      <c r="F28" s="8">
        <v>4.83</v>
      </c>
      <c r="G28" s="12">
        <v>17</v>
      </c>
      <c r="H28" s="8">
        <v>6.39</v>
      </c>
      <c r="I28" s="12">
        <v>0</v>
      </c>
    </row>
    <row r="29" spans="2:9" ht="15" customHeight="1" x14ac:dyDescent="0.2">
      <c r="B29" t="s">
        <v>221</v>
      </c>
      <c r="C29" s="12">
        <v>33</v>
      </c>
      <c r="D29" s="8">
        <v>5.41</v>
      </c>
      <c r="E29" s="12">
        <v>23</v>
      </c>
      <c r="F29" s="8">
        <v>6.95</v>
      </c>
      <c r="G29" s="12">
        <v>10</v>
      </c>
      <c r="H29" s="8">
        <v>3.76</v>
      </c>
      <c r="I29" s="12">
        <v>0</v>
      </c>
    </row>
    <row r="30" spans="2:9" ht="15" customHeight="1" x14ac:dyDescent="0.2">
      <c r="B30" t="s">
        <v>222</v>
      </c>
      <c r="C30" s="12">
        <v>26</v>
      </c>
      <c r="D30" s="8">
        <v>4.26</v>
      </c>
      <c r="E30" s="12">
        <v>14</v>
      </c>
      <c r="F30" s="8">
        <v>4.2300000000000004</v>
      </c>
      <c r="G30" s="12">
        <v>12</v>
      </c>
      <c r="H30" s="8">
        <v>4.51</v>
      </c>
      <c r="I30" s="12">
        <v>0</v>
      </c>
    </row>
    <row r="31" spans="2:9" ht="15" customHeight="1" x14ac:dyDescent="0.2">
      <c r="B31" t="s">
        <v>213</v>
      </c>
      <c r="C31" s="12">
        <v>22</v>
      </c>
      <c r="D31" s="8">
        <v>3.61</v>
      </c>
      <c r="E31" s="12">
        <v>6</v>
      </c>
      <c r="F31" s="8">
        <v>1.81</v>
      </c>
      <c r="G31" s="12">
        <v>16</v>
      </c>
      <c r="H31" s="8">
        <v>6.02</v>
      </c>
      <c r="I31" s="12">
        <v>0</v>
      </c>
    </row>
    <row r="32" spans="2:9" ht="15" customHeight="1" x14ac:dyDescent="0.2">
      <c r="B32" t="s">
        <v>215</v>
      </c>
      <c r="C32" s="12">
        <v>18</v>
      </c>
      <c r="D32" s="8">
        <v>2.95</v>
      </c>
      <c r="E32" s="12">
        <v>7</v>
      </c>
      <c r="F32" s="8">
        <v>2.11</v>
      </c>
      <c r="G32" s="12">
        <v>11</v>
      </c>
      <c r="H32" s="8">
        <v>4.1399999999999997</v>
      </c>
      <c r="I32" s="12">
        <v>0</v>
      </c>
    </row>
    <row r="33" spans="2:9" ht="15" customHeight="1" x14ac:dyDescent="0.2">
      <c r="B33" t="s">
        <v>231</v>
      </c>
      <c r="C33" s="12">
        <v>18</v>
      </c>
      <c r="D33" s="8">
        <v>2.95</v>
      </c>
      <c r="E33" s="12">
        <v>17</v>
      </c>
      <c r="F33" s="8">
        <v>5.14</v>
      </c>
      <c r="G33" s="12">
        <v>1</v>
      </c>
      <c r="H33" s="8">
        <v>0.38</v>
      </c>
      <c r="I33" s="12">
        <v>0</v>
      </c>
    </row>
    <row r="34" spans="2:9" ht="15" customHeight="1" x14ac:dyDescent="0.2">
      <c r="B34" t="s">
        <v>226</v>
      </c>
      <c r="C34" s="12">
        <v>15</v>
      </c>
      <c r="D34" s="8">
        <v>2.46</v>
      </c>
      <c r="E34" s="12">
        <v>5</v>
      </c>
      <c r="F34" s="8">
        <v>1.51</v>
      </c>
      <c r="G34" s="12">
        <v>9</v>
      </c>
      <c r="H34" s="8">
        <v>3.38</v>
      </c>
      <c r="I34" s="12">
        <v>0</v>
      </c>
    </row>
    <row r="35" spans="2:9" ht="15" customHeight="1" x14ac:dyDescent="0.2">
      <c r="B35" t="s">
        <v>220</v>
      </c>
      <c r="C35" s="12">
        <v>12</v>
      </c>
      <c r="D35" s="8">
        <v>1.97</v>
      </c>
      <c r="E35" s="12">
        <v>7</v>
      </c>
      <c r="F35" s="8">
        <v>2.11</v>
      </c>
      <c r="G35" s="12">
        <v>5</v>
      </c>
      <c r="H35" s="8">
        <v>1.88</v>
      </c>
      <c r="I35" s="12">
        <v>0</v>
      </c>
    </row>
    <row r="36" spans="2:9" ht="15" customHeight="1" x14ac:dyDescent="0.2">
      <c r="B36" t="s">
        <v>236</v>
      </c>
      <c r="C36" s="12">
        <v>12</v>
      </c>
      <c r="D36" s="8">
        <v>1.97</v>
      </c>
      <c r="E36" s="12">
        <v>3</v>
      </c>
      <c r="F36" s="8">
        <v>0.91</v>
      </c>
      <c r="G36" s="12">
        <v>9</v>
      </c>
      <c r="H36" s="8">
        <v>3.38</v>
      </c>
      <c r="I36" s="12">
        <v>0</v>
      </c>
    </row>
    <row r="37" spans="2:9" ht="15" customHeight="1" x14ac:dyDescent="0.2">
      <c r="B37" t="s">
        <v>232</v>
      </c>
      <c r="C37" s="12">
        <v>12</v>
      </c>
      <c r="D37" s="8">
        <v>1.97</v>
      </c>
      <c r="E37" s="12">
        <v>0</v>
      </c>
      <c r="F37" s="8">
        <v>0</v>
      </c>
      <c r="G37" s="12">
        <v>10</v>
      </c>
      <c r="H37" s="8">
        <v>3.76</v>
      </c>
      <c r="I37" s="12">
        <v>0</v>
      </c>
    </row>
    <row r="38" spans="2:9" ht="15" customHeight="1" x14ac:dyDescent="0.2">
      <c r="B38" t="s">
        <v>225</v>
      </c>
      <c r="C38" s="12">
        <v>11</v>
      </c>
      <c r="D38" s="8">
        <v>1.8</v>
      </c>
      <c r="E38" s="12">
        <v>11</v>
      </c>
      <c r="F38" s="8">
        <v>3.32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240</v>
      </c>
      <c r="C39" s="12">
        <v>11</v>
      </c>
      <c r="D39" s="8">
        <v>1.8</v>
      </c>
      <c r="E39" s="12">
        <v>3</v>
      </c>
      <c r="F39" s="8">
        <v>0.91</v>
      </c>
      <c r="G39" s="12">
        <v>8</v>
      </c>
      <c r="H39" s="8">
        <v>3.01</v>
      </c>
      <c r="I39" s="12">
        <v>0</v>
      </c>
    </row>
    <row r="40" spans="2:9" ht="15" customHeight="1" x14ac:dyDescent="0.2">
      <c r="B40" t="s">
        <v>230</v>
      </c>
      <c r="C40" s="12">
        <v>9</v>
      </c>
      <c r="D40" s="8">
        <v>1.48</v>
      </c>
      <c r="E40" s="12">
        <v>7</v>
      </c>
      <c r="F40" s="8">
        <v>2.11</v>
      </c>
      <c r="G40" s="12">
        <v>1</v>
      </c>
      <c r="H40" s="8">
        <v>0.38</v>
      </c>
      <c r="I40" s="12">
        <v>0</v>
      </c>
    </row>
    <row r="41" spans="2:9" ht="15" customHeight="1" x14ac:dyDescent="0.2">
      <c r="B41" t="s">
        <v>248</v>
      </c>
      <c r="C41" s="12">
        <v>8</v>
      </c>
      <c r="D41" s="8">
        <v>1.31</v>
      </c>
      <c r="E41" s="12">
        <v>2</v>
      </c>
      <c r="F41" s="8">
        <v>0.6</v>
      </c>
      <c r="G41" s="12">
        <v>6</v>
      </c>
      <c r="H41" s="8">
        <v>2.2599999999999998</v>
      </c>
      <c r="I41" s="12">
        <v>0</v>
      </c>
    </row>
    <row r="42" spans="2:9" ht="15" customHeight="1" x14ac:dyDescent="0.2">
      <c r="B42" t="s">
        <v>217</v>
      </c>
      <c r="C42" s="12">
        <v>8</v>
      </c>
      <c r="D42" s="8">
        <v>1.31</v>
      </c>
      <c r="E42" s="12">
        <v>0</v>
      </c>
      <c r="F42" s="8">
        <v>0</v>
      </c>
      <c r="G42" s="12">
        <v>8</v>
      </c>
      <c r="H42" s="8">
        <v>3.01</v>
      </c>
      <c r="I42" s="12">
        <v>0</v>
      </c>
    </row>
    <row r="43" spans="2:9" ht="15" customHeight="1" x14ac:dyDescent="0.2">
      <c r="B43" t="s">
        <v>237</v>
      </c>
      <c r="C43" s="12">
        <v>8</v>
      </c>
      <c r="D43" s="8">
        <v>1.31</v>
      </c>
      <c r="E43" s="12">
        <v>0</v>
      </c>
      <c r="F43" s="8">
        <v>0</v>
      </c>
      <c r="G43" s="12">
        <v>8</v>
      </c>
      <c r="H43" s="8">
        <v>3.01</v>
      </c>
      <c r="I43" s="12">
        <v>0</v>
      </c>
    </row>
    <row r="44" spans="2:9" ht="15" customHeight="1" x14ac:dyDescent="0.2">
      <c r="B44" t="s">
        <v>243</v>
      </c>
      <c r="C44" s="12">
        <v>8</v>
      </c>
      <c r="D44" s="8">
        <v>1.31</v>
      </c>
      <c r="E44" s="12">
        <v>7</v>
      </c>
      <c r="F44" s="8">
        <v>2.11</v>
      </c>
      <c r="G44" s="12">
        <v>1</v>
      </c>
      <c r="H44" s="8">
        <v>0.38</v>
      </c>
      <c r="I44" s="12">
        <v>0</v>
      </c>
    </row>
    <row r="45" spans="2:9" ht="15" customHeight="1" x14ac:dyDescent="0.2">
      <c r="B45" t="s">
        <v>229</v>
      </c>
      <c r="C45" s="12">
        <v>8</v>
      </c>
      <c r="D45" s="8">
        <v>1.31</v>
      </c>
      <c r="E45" s="12">
        <v>6</v>
      </c>
      <c r="F45" s="8">
        <v>1.81</v>
      </c>
      <c r="G45" s="12">
        <v>2</v>
      </c>
      <c r="H45" s="8">
        <v>0.75</v>
      </c>
      <c r="I45" s="12">
        <v>0</v>
      </c>
    </row>
    <row r="46" spans="2:9" ht="15" customHeight="1" x14ac:dyDescent="0.2">
      <c r="B46" t="s">
        <v>249</v>
      </c>
      <c r="C46" s="12">
        <v>8</v>
      </c>
      <c r="D46" s="8">
        <v>1.31</v>
      </c>
      <c r="E46" s="12">
        <v>0</v>
      </c>
      <c r="F46" s="8">
        <v>0</v>
      </c>
      <c r="G46" s="12">
        <v>7</v>
      </c>
      <c r="H46" s="8">
        <v>2.63</v>
      </c>
      <c r="I46" s="12">
        <v>0</v>
      </c>
    </row>
    <row r="47" spans="2:9" ht="15" customHeight="1" x14ac:dyDescent="0.2">
      <c r="B47" t="s">
        <v>250</v>
      </c>
      <c r="C47" s="12">
        <v>8</v>
      </c>
      <c r="D47" s="8">
        <v>1.31</v>
      </c>
      <c r="E47" s="12">
        <v>0</v>
      </c>
      <c r="F47" s="8">
        <v>0</v>
      </c>
      <c r="G47" s="12">
        <v>2</v>
      </c>
      <c r="H47" s="8">
        <v>0.75</v>
      </c>
      <c r="I47" s="12">
        <v>6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301</v>
      </c>
      <c r="C51" s="12">
        <v>35</v>
      </c>
      <c r="D51" s="8">
        <v>5.74</v>
      </c>
      <c r="E51" s="12">
        <v>34</v>
      </c>
      <c r="F51" s="8">
        <v>10.27</v>
      </c>
      <c r="G51" s="12">
        <v>1</v>
      </c>
      <c r="H51" s="8">
        <v>0.38</v>
      </c>
      <c r="I51" s="12">
        <v>0</v>
      </c>
    </row>
    <row r="52" spans="2:9" ht="15" customHeight="1" x14ac:dyDescent="0.2">
      <c r="B52" t="s">
        <v>304</v>
      </c>
      <c r="C52" s="12">
        <v>33</v>
      </c>
      <c r="D52" s="8">
        <v>5.41</v>
      </c>
      <c r="E52" s="12">
        <v>31</v>
      </c>
      <c r="F52" s="8">
        <v>9.3699999999999992</v>
      </c>
      <c r="G52" s="12">
        <v>2</v>
      </c>
      <c r="H52" s="8">
        <v>0.75</v>
      </c>
      <c r="I52" s="12">
        <v>0</v>
      </c>
    </row>
    <row r="53" spans="2:9" ht="15" customHeight="1" x14ac:dyDescent="0.2">
      <c r="B53" t="s">
        <v>297</v>
      </c>
      <c r="C53" s="12">
        <v>32</v>
      </c>
      <c r="D53" s="8">
        <v>5.25</v>
      </c>
      <c r="E53" s="12">
        <v>16</v>
      </c>
      <c r="F53" s="8">
        <v>4.83</v>
      </c>
      <c r="G53" s="12">
        <v>15</v>
      </c>
      <c r="H53" s="8">
        <v>5.64</v>
      </c>
      <c r="I53" s="12">
        <v>0</v>
      </c>
    </row>
    <row r="54" spans="2:9" ht="15" customHeight="1" x14ac:dyDescent="0.2">
      <c r="B54" t="s">
        <v>303</v>
      </c>
      <c r="C54" s="12">
        <v>32</v>
      </c>
      <c r="D54" s="8">
        <v>5.25</v>
      </c>
      <c r="E54" s="12">
        <v>31</v>
      </c>
      <c r="F54" s="8">
        <v>9.3699999999999992</v>
      </c>
      <c r="G54" s="12">
        <v>1</v>
      </c>
      <c r="H54" s="8">
        <v>0.38</v>
      </c>
      <c r="I54" s="12">
        <v>0</v>
      </c>
    </row>
    <row r="55" spans="2:9" ht="15" customHeight="1" x14ac:dyDescent="0.2">
      <c r="B55" t="s">
        <v>300</v>
      </c>
      <c r="C55" s="12">
        <v>18</v>
      </c>
      <c r="D55" s="8">
        <v>2.95</v>
      </c>
      <c r="E55" s="12">
        <v>17</v>
      </c>
      <c r="F55" s="8">
        <v>5.14</v>
      </c>
      <c r="G55" s="12">
        <v>1</v>
      </c>
      <c r="H55" s="8">
        <v>0.38</v>
      </c>
      <c r="I55" s="12">
        <v>0</v>
      </c>
    </row>
    <row r="56" spans="2:9" ht="15" customHeight="1" x14ac:dyDescent="0.2">
      <c r="B56" t="s">
        <v>335</v>
      </c>
      <c r="C56" s="12">
        <v>15</v>
      </c>
      <c r="D56" s="8">
        <v>2.46</v>
      </c>
      <c r="E56" s="12">
        <v>9</v>
      </c>
      <c r="F56" s="8">
        <v>2.72</v>
      </c>
      <c r="G56" s="12">
        <v>6</v>
      </c>
      <c r="H56" s="8">
        <v>2.2599999999999998</v>
      </c>
      <c r="I56" s="12">
        <v>0</v>
      </c>
    </row>
    <row r="57" spans="2:9" ht="15" customHeight="1" x14ac:dyDescent="0.2">
      <c r="B57" t="s">
        <v>292</v>
      </c>
      <c r="C57" s="12">
        <v>14</v>
      </c>
      <c r="D57" s="8">
        <v>2.2999999999999998</v>
      </c>
      <c r="E57" s="12">
        <v>10</v>
      </c>
      <c r="F57" s="8">
        <v>3.02</v>
      </c>
      <c r="G57" s="12">
        <v>4</v>
      </c>
      <c r="H57" s="8">
        <v>1.5</v>
      </c>
      <c r="I57" s="12">
        <v>0</v>
      </c>
    </row>
    <row r="58" spans="2:9" ht="15" customHeight="1" x14ac:dyDescent="0.2">
      <c r="B58" t="s">
        <v>299</v>
      </c>
      <c r="C58" s="12">
        <v>13</v>
      </c>
      <c r="D58" s="8">
        <v>2.13</v>
      </c>
      <c r="E58" s="12">
        <v>12</v>
      </c>
      <c r="F58" s="8">
        <v>3.63</v>
      </c>
      <c r="G58" s="12">
        <v>1</v>
      </c>
      <c r="H58" s="8">
        <v>0.38</v>
      </c>
      <c r="I58" s="12">
        <v>0</v>
      </c>
    </row>
    <row r="59" spans="2:9" ht="15" customHeight="1" x14ac:dyDescent="0.2">
      <c r="B59" t="s">
        <v>306</v>
      </c>
      <c r="C59" s="12">
        <v>13</v>
      </c>
      <c r="D59" s="8">
        <v>2.13</v>
      </c>
      <c r="E59" s="12">
        <v>13</v>
      </c>
      <c r="F59" s="8">
        <v>3.93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295</v>
      </c>
      <c r="C60" s="12">
        <v>11</v>
      </c>
      <c r="D60" s="8">
        <v>1.8</v>
      </c>
      <c r="E60" s="12">
        <v>5</v>
      </c>
      <c r="F60" s="8">
        <v>1.51</v>
      </c>
      <c r="G60" s="12">
        <v>6</v>
      </c>
      <c r="H60" s="8">
        <v>2.2599999999999998</v>
      </c>
      <c r="I60" s="12">
        <v>0</v>
      </c>
    </row>
    <row r="61" spans="2:9" ht="15" customHeight="1" x14ac:dyDescent="0.2">
      <c r="B61" t="s">
        <v>344</v>
      </c>
      <c r="C61" s="12">
        <v>11</v>
      </c>
      <c r="D61" s="8">
        <v>1.8</v>
      </c>
      <c r="E61" s="12">
        <v>3</v>
      </c>
      <c r="F61" s="8">
        <v>0.91</v>
      </c>
      <c r="G61" s="12">
        <v>8</v>
      </c>
      <c r="H61" s="8">
        <v>3.01</v>
      </c>
      <c r="I61" s="12">
        <v>0</v>
      </c>
    </row>
    <row r="62" spans="2:9" ht="15" customHeight="1" x14ac:dyDescent="0.2">
      <c r="B62" t="s">
        <v>307</v>
      </c>
      <c r="C62" s="12">
        <v>11</v>
      </c>
      <c r="D62" s="8">
        <v>1.8</v>
      </c>
      <c r="E62" s="12">
        <v>3</v>
      </c>
      <c r="F62" s="8">
        <v>0.91</v>
      </c>
      <c r="G62" s="12">
        <v>8</v>
      </c>
      <c r="H62" s="8">
        <v>3.01</v>
      </c>
      <c r="I62" s="12">
        <v>0</v>
      </c>
    </row>
    <row r="63" spans="2:9" ht="15" customHeight="1" x14ac:dyDescent="0.2">
      <c r="B63" t="s">
        <v>294</v>
      </c>
      <c r="C63" s="12">
        <v>10</v>
      </c>
      <c r="D63" s="8">
        <v>1.64</v>
      </c>
      <c r="E63" s="12">
        <v>4</v>
      </c>
      <c r="F63" s="8">
        <v>1.21</v>
      </c>
      <c r="G63" s="12">
        <v>6</v>
      </c>
      <c r="H63" s="8">
        <v>2.2599999999999998</v>
      </c>
      <c r="I63" s="12">
        <v>0</v>
      </c>
    </row>
    <row r="64" spans="2:9" ht="15" customHeight="1" x14ac:dyDescent="0.2">
      <c r="B64" t="s">
        <v>343</v>
      </c>
      <c r="C64" s="12">
        <v>9</v>
      </c>
      <c r="D64" s="8">
        <v>1.48</v>
      </c>
      <c r="E64" s="12">
        <v>6</v>
      </c>
      <c r="F64" s="8">
        <v>1.81</v>
      </c>
      <c r="G64" s="12">
        <v>3</v>
      </c>
      <c r="H64" s="8">
        <v>1.1299999999999999</v>
      </c>
      <c r="I64" s="12">
        <v>0</v>
      </c>
    </row>
    <row r="65" spans="2:9" ht="15" customHeight="1" x14ac:dyDescent="0.2">
      <c r="B65" t="s">
        <v>333</v>
      </c>
      <c r="C65" s="12">
        <v>9</v>
      </c>
      <c r="D65" s="8">
        <v>1.48</v>
      </c>
      <c r="E65" s="12">
        <v>6</v>
      </c>
      <c r="F65" s="8">
        <v>1.81</v>
      </c>
      <c r="G65" s="12">
        <v>3</v>
      </c>
      <c r="H65" s="8">
        <v>1.1299999999999999</v>
      </c>
      <c r="I65" s="12">
        <v>0</v>
      </c>
    </row>
    <row r="66" spans="2:9" ht="15" customHeight="1" x14ac:dyDescent="0.2">
      <c r="B66" t="s">
        <v>338</v>
      </c>
      <c r="C66" s="12">
        <v>9</v>
      </c>
      <c r="D66" s="8">
        <v>1.48</v>
      </c>
      <c r="E66" s="12">
        <v>5</v>
      </c>
      <c r="F66" s="8">
        <v>1.51</v>
      </c>
      <c r="G66" s="12">
        <v>4</v>
      </c>
      <c r="H66" s="8">
        <v>1.5</v>
      </c>
      <c r="I66" s="12">
        <v>0</v>
      </c>
    </row>
    <row r="67" spans="2:9" ht="15" customHeight="1" x14ac:dyDescent="0.2">
      <c r="B67" t="s">
        <v>334</v>
      </c>
      <c r="C67" s="12">
        <v>9</v>
      </c>
      <c r="D67" s="8">
        <v>1.48</v>
      </c>
      <c r="E67" s="12">
        <v>6</v>
      </c>
      <c r="F67" s="8">
        <v>1.81</v>
      </c>
      <c r="G67" s="12">
        <v>3</v>
      </c>
      <c r="H67" s="8">
        <v>1.1299999999999999</v>
      </c>
      <c r="I67" s="12">
        <v>0</v>
      </c>
    </row>
    <row r="68" spans="2:9" ht="15" customHeight="1" x14ac:dyDescent="0.2">
      <c r="B68" t="s">
        <v>328</v>
      </c>
      <c r="C68" s="12">
        <v>8</v>
      </c>
      <c r="D68" s="8">
        <v>1.31</v>
      </c>
      <c r="E68" s="12">
        <v>5</v>
      </c>
      <c r="F68" s="8">
        <v>1.51</v>
      </c>
      <c r="G68" s="12">
        <v>3</v>
      </c>
      <c r="H68" s="8">
        <v>1.1299999999999999</v>
      </c>
      <c r="I68" s="12">
        <v>0</v>
      </c>
    </row>
    <row r="69" spans="2:9" ht="15" customHeight="1" x14ac:dyDescent="0.2">
      <c r="B69" t="s">
        <v>291</v>
      </c>
      <c r="C69" s="12">
        <v>8</v>
      </c>
      <c r="D69" s="8">
        <v>1.31</v>
      </c>
      <c r="E69" s="12">
        <v>5</v>
      </c>
      <c r="F69" s="8">
        <v>1.51</v>
      </c>
      <c r="G69" s="12">
        <v>3</v>
      </c>
      <c r="H69" s="8">
        <v>1.1299999999999999</v>
      </c>
      <c r="I69" s="12">
        <v>0</v>
      </c>
    </row>
    <row r="70" spans="2:9" ht="15" customHeight="1" x14ac:dyDescent="0.2">
      <c r="B70" t="s">
        <v>314</v>
      </c>
      <c r="C70" s="12">
        <v>8</v>
      </c>
      <c r="D70" s="8">
        <v>1.31</v>
      </c>
      <c r="E70" s="12">
        <v>5</v>
      </c>
      <c r="F70" s="8">
        <v>1.51</v>
      </c>
      <c r="G70" s="12">
        <v>3</v>
      </c>
      <c r="H70" s="8">
        <v>1.1299999999999999</v>
      </c>
      <c r="I70" s="12">
        <v>0</v>
      </c>
    </row>
    <row r="71" spans="2:9" ht="15" customHeight="1" x14ac:dyDescent="0.2">
      <c r="B71" t="s">
        <v>293</v>
      </c>
      <c r="C71" s="12">
        <v>8</v>
      </c>
      <c r="D71" s="8">
        <v>1.31</v>
      </c>
      <c r="E71" s="12">
        <v>4</v>
      </c>
      <c r="F71" s="8">
        <v>1.21</v>
      </c>
      <c r="G71" s="12">
        <v>4</v>
      </c>
      <c r="H71" s="8">
        <v>1.5</v>
      </c>
      <c r="I71" s="12">
        <v>0</v>
      </c>
    </row>
    <row r="72" spans="2:9" ht="15" customHeight="1" x14ac:dyDescent="0.2">
      <c r="B72" t="s">
        <v>302</v>
      </c>
      <c r="C72" s="12">
        <v>8</v>
      </c>
      <c r="D72" s="8">
        <v>1.31</v>
      </c>
      <c r="E72" s="12">
        <v>8</v>
      </c>
      <c r="F72" s="8">
        <v>2.42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345</v>
      </c>
      <c r="C73" s="12">
        <v>8</v>
      </c>
      <c r="D73" s="8">
        <v>1.31</v>
      </c>
      <c r="E73" s="12">
        <v>0</v>
      </c>
      <c r="F73" s="8">
        <v>0</v>
      </c>
      <c r="G73" s="12">
        <v>2</v>
      </c>
      <c r="H73" s="8">
        <v>0.75</v>
      </c>
      <c r="I73" s="12">
        <v>6</v>
      </c>
    </row>
    <row r="75" spans="2:9" ht="15" customHeight="1" x14ac:dyDescent="0.2">
      <c r="B7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F3A92-FB51-4467-B58C-FE364FFDB041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0.03</v>
      </c>
      <c r="E5" s="12">
        <v>0</v>
      </c>
      <c r="F5" s="8">
        <v>0</v>
      </c>
      <c r="G5" s="12">
        <v>1</v>
      </c>
      <c r="H5" s="8">
        <v>0.05</v>
      </c>
      <c r="I5" s="12">
        <v>0</v>
      </c>
    </row>
    <row r="6" spans="2:9" ht="15" customHeight="1" x14ac:dyDescent="0.2">
      <c r="B6" t="s">
        <v>191</v>
      </c>
      <c r="C6" s="12">
        <v>612</v>
      </c>
      <c r="D6" s="8">
        <v>16.8</v>
      </c>
      <c r="E6" s="12">
        <v>76</v>
      </c>
      <c r="F6" s="8">
        <v>4.91</v>
      </c>
      <c r="G6" s="12">
        <v>536</v>
      </c>
      <c r="H6" s="8">
        <v>26.35</v>
      </c>
      <c r="I6" s="12">
        <v>0</v>
      </c>
    </row>
    <row r="7" spans="2:9" ht="15" customHeight="1" x14ac:dyDescent="0.2">
      <c r="B7" t="s">
        <v>192</v>
      </c>
      <c r="C7" s="12">
        <v>182</v>
      </c>
      <c r="D7" s="8">
        <v>5</v>
      </c>
      <c r="E7" s="12">
        <v>19</v>
      </c>
      <c r="F7" s="8">
        <v>1.23</v>
      </c>
      <c r="G7" s="12">
        <v>162</v>
      </c>
      <c r="H7" s="8">
        <v>7.96</v>
      </c>
      <c r="I7" s="12">
        <v>1</v>
      </c>
    </row>
    <row r="8" spans="2:9" ht="15" customHeight="1" x14ac:dyDescent="0.2">
      <c r="B8" t="s">
        <v>193</v>
      </c>
      <c r="C8" s="12">
        <v>14</v>
      </c>
      <c r="D8" s="8">
        <v>0.38</v>
      </c>
      <c r="E8" s="12">
        <v>0</v>
      </c>
      <c r="F8" s="8">
        <v>0</v>
      </c>
      <c r="G8" s="12">
        <v>12</v>
      </c>
      <c r="H8" s="8">
        <v>0.59</v>
      </c>
      <c r="I8" s="12">
        <v>0</v>
      </c>
    </row>
    <row r="9" spans="2:9" ht="15" customHeight="1" x14ac:dyDescent="0.2">
      <c r="B9" t="s">
        <v>194</v>
      </c>
      <c r="C9" s="12">
        <v>19</v>
      </c>
      <c r="D9" s="8">
        <v>0.52</v>
      </c>
      <c r="E9" s="12">
        <v>2</v>
      </c>
      <c r="F9" s="8">
        <v>0.13</v>
      </c>
      <c r="G9" s="12">
        <v>17</v>
      </c>
      <c r="H9" s="8">
        <v>0.84</v>
      </c>
      <c r="I9" s="12">
        <v>0</v>
      </c>
    </row>
    <row r="10" spans="2:9" ht="15" customHeight="1" x14ac:dyDescent="0.2">
      <c r="B10" t="s">
        <v>195</v>
      </c>
      <c r="C10" s="12">
        <v>127</v>
      </c>
      <c r="D10" s="8">
        <v>3.49</v>
      </c>
      <c r="E10" s="12">
        <v>18</v>
      </c>
      <c r="F10" s="8">
        <v>1.1599999999999999</v>
      </c>
      <c r="G10" s="12">
        <v>109</v>
      </c>
      <c r="H10" s="8">
        <v>5.36</v>
      </c>
      <c r="I10" s="12">
        <v>0</v>
      </c>
    </row>
    <row r="11" spans="2:9" ht="15" customHeight="1" x14ac:dyDescent="0.2">
      <c r="B11" t="s">
        <v>196</v>
      </c>
      <c r="C11" s="12">
        <v>744</v>
      </c>
      <c r="D11" s="8">
        <v>20.420000000000002</v>
      </c>
      <c r="E11" s="12">
        <v>221</v>
      </c>
      <c r="F11" s="8">
        <v>14.27</v>
      </c>
      <c r="G11" s="12">
        <v>522</v>
      </c>
      <c r="H11" s="8">
        <v>25.66</v>
      </c>
      <c r="I11" s="12">
        <v>1</v>
      </c>
    </row>
    <row r="12" spans="2:9" ht="15" customHeight="1" x14ac:dyDescent="0.2">
      <c r="B12" t="s">
        <v>197</v>
      </c>
      <c r="C12" s="12">
        <v>40</v>
      </c>
      <c r="D12" s="8">
        <v>1.1000000000000001</v>
      </c>
      <c r="E12" s="12">
        <v>6</v>
      </c>
      <c r="F12" s="8">
        <v>0.39</v>
      </c>
      <c r="G12" s="12">
        <v>34</v>
      </c>
      <c r="H12" s="8">
        <v>1.67</v>
      </c>
      <c r="I12" s="12">
        <v>0</v>
      </c>
    </row>
    <row r="13" spans="2:9" ht="15" customHeight="1" x14ac:dyDescent="0.2">
      <c r="B13" t="s">
        <v>198</v>
      </c>
      <c r="C13" s="12">
        <v>233</v>
      </c>
      <c r="D13" s="8">
        <v>6.4</v>
      </c>
      <c r="E13" s="12">
        <v>97</v>
      </c>
      <c r="F13" s="8">
        <v>6.26</v>
      </c>
      <c r="G13" s="12">
        <v>129</v>
      </c>
      <c r="H13" s="8">
        <v>6.34</v>
      </c>
      <c r="I13" s="12">
        <v>0</v>
      </c>
    </row>
    <row r="14" spans="2:9" ht="15" customHeight="1" x14ac:dyDescent="0.2">
      <c r="B14" t="s">
        <v>199</v>
      </c>
      <c r="C14" s="12">
        <v>143</v>
      </c>
      <c r="D14" s="8">
        <v>3.93</v>
      </c>
      <c r="E14" s="12">
        <v>69</v>
      </c>
      <c r="F14" s="8">
        <v>4.45</v>
      </c>
      <c r="G14" s="12">
        <v>73</v>
      </c>
      <c r="H14" s="8">
        <v>3.59</v>
      </c>
      <c r="I14" s="12">
        <v>0</v>
      </c>
    </row>
    <row r="15" spans="2:9" ht="15" customHeight="1" x14ac:dyDescent="0.2">
      <c r="B15" t="s">
        <v>200</v>
      </c>
      <c r="C15" s="12">
        <v>527</v>
      </c>
      <c r="D15" s="8">
        <v>14.47</v>
      </c>
      <c r="E15" s="12">
        <v>400</v>
      </c>
      <c r="F15" s="8">
        <v>25.82</v>
      </c>
      <c r="G15" s="12">
        <v>126</v>
      </c>
      <c r="H15" s="8">
        <v>6.19</v>
      </c>
      <c r="I15" s="12">
        <v>0</v>
      </c>
    </row>
    <row r="16" spans="2:9" ht="15" customHeight="1" x14ac:dyDescent="0.2">
      <c r="B16" t="s">
        <v>201</v>
      </c>
      <c r="C16" s="12">
        <v>519</v>
      </c>
      <c r="D16" s="8">
        <v>14.25</v>
      </c>
      <c r="E16" s="12">
        <v>402</v>
      </c>
      <c r="F16" s="8">
        <v>25.95</v>
      </c>
      <c r="G16" s="12">
        <v>117</v>
      </c>
      <c r="H16" s="8">
        <v>5.75</v>
      </c>
      <c r="I16" s="12">
        <v>0</v>
      </c>
    </row>
    <row r="17" spans="2:9" ht="15" customHeight="1" x14ac:dyDescent="0.2">
      <c r="B17" t="s">
        <v>202</v>
      </c>
      <c r="C17" s="12">
        <v>132</v>
      </c>
      <c r="D17" s="8">
        <v>3.62</v>
      </c>
      <c r="E17" s="12">
        <v>101</v>
      </c>
      <c r="F17" s="8">
        <v>6.52</v>
      </c>
      <c r="G17" s="12">
        <v>27</v>
      </c>
      <c r="H17" s="8">
        <v>1.33</v>
      </c>
      <c r="I17" s="12">
        <v>0</v>
      </c>
    </row>
    <row r="18" spans="2:9" ht="15" customHeight="1" x14ac:dyDescent="0.2">
      <c r="B18" t="s">
        <v>203</v>
      </c>
      <c r="C18" s="12">
        <v>178</v>
      </c>
      <c r="D18" s="8">
        <v>4.8899999999999997</v>
      </c>
      <c r="E18" s="12">
        <v>97</v>
      </c>
      <c r="F18" s="8">
        <v>6.26</v>
      </c>
      <c r="G18" s="12">
        <v>67</v>
      </c>
      <c r="H18" s="8">
        <v>3.29</v>
      </c>
      <c r="I18" s="12">
        <v>1</v>
      </c>
    </row>
    <row r="19" spans="2:9" ht="15" customHeight="1" x14ac:dyDescent="0.2">
      <c r="B19" t="s">
        <v>204</v>
      </c>
      <c r="C19" s="12">
        <v>172</v>
      </c>
      <c r="D19" s="8">
        <v>4.72</v>
      </c>
      <c r="E19" s="12">
        <v>41</v>
      </c>
      <c r="F19" s="8">
        <v>2.65</v>
      </c>
      <c r="G19" s="12">
        <v>102</v>
      </c>
      <c r="H19" s="8">
        <v>5.01</v>
      </c>
      <c r="I19" s="12">
        <v>29</v>
      </c>
    </row>
    <row r="20" spans="2:9" ht="15" customHeight="1" x14ac:dyDescent="0.2">
      <c r="B20" s="9" t="s">
        <v>529</v>
      </c>
      <c r="C20" s="12">
        <f>SUM(LTBL_01213[総数／事業所数])</f>
        <v>3643</v>
      </c>
      <c r="E20" s="12">
        <f>SUBTOTAL(109,LTBL_01213[個人／事業所数])</f>
        <v>1549</v>
      </c>
      <c r="G20" s="12">
        <f>SUBTOTAL(109,LTBL_01213[法人／事業所数])</f>
        <v>2034</v>
      </c>
      <c r="I20" s="12">
        <f>SUBTOTAL(109,LTBL_01213[法人以外の団体／事業所数])</f>
        <v>32</v>
      </c>
    </row>
    <row r="21" spans="2:9" ht="15" customHeight="1" x14ac:dyDescent="0.2">
      <c r="E21" s="11">
        <f>LTBL_01213[[#Totals],[個人／事業所数]]/LTBL_01213[[#Totals],[総数／事業所数]]</f>
        <v>0.4251990118034587</v>
      </c>
      <c r="G21" s="11">
        <f>LTBL_01213[[#Totals],[法人／事業所数]]/LTBL_01213[[#Totals],[総数／事業所数]]</f>
        <v>0.55833104584133952</v>
      </c>
      <c r="I21" s="11">
        <f>LTBL_01213[[#Totals],[法人以外の団体／事業所数]]/LTBL_01213[[#Totals],[総数／事業所数]]</f>
        <v>8.783969256107603E-3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437</v>
      </c>
      <c r="D24" s="8">
        <v>12</v>
      </c>
      <c r="E24" s="12">
        <v>378</v>
      </c>
      <c r="F24" s="8">
        <v>24.4</v>
      </c>
      <c r="G24" s="12">
        <v>59</v>
      </c>
      <c r="H24" s="8">
        <v>2.9</v>
      </c>
      <c r="I24" s="12">
        <v>0</v>
      </c>
    </row>
    <row r="25" spans="2:9" ht="15" customHeight="1" x14ac:dyDescent="0.2">
      <c r="B25" t="s">
        <v>228</v>
      </c>
      <c r="C25" s="12">
        <v>433</v>
      </c>
      <c r="D25" s="8">
        <v>11.89</v>
      </c>
      <c r="E25" s="12">
        <v>367</v>
      </c>
      <c r="F25" s="8">
        <v>23.69</v>
      </c>
      <c r="G25" s="12">
        <v>66</v>
      </c>
      <c r="H25" s="8">
        <v>3.24</v>
      </c>
      <c r="I25" s="12">
        <v>0</v>
      </c>
    </row>
    <row r="26" spans="2:9" ht="15" customHeight="1" x14ac:dyDescent="0.2">
      <c r="B26" t="s">
        <v>213</v>
      </c>
      <c r="C26" s="12">
        <v>226</v>
      </c>
      <c r="D26" s="8">
        <v>6.2</v>
      </c>
      <c r="E26" s="12">
        <v>18</v>
      </c>
      <c r="F26" s="8">
        <v>1.1599999999999999</v>
      </c>
      <c r="G26" s="12">
        <v>208</v>
      </c>
      <c r="H26" s="8">
        <v>10.23</v>
      </c>
      <c r="I26" s="12">
        <v>0</v>
      </c>
    </row>
    <row r="27" spans="2:9" ht="15" customHeight="1" x14ac:dyDescent="0.2">
      <c r="B27" t="s">
        <v>214</v>
      </c>
      <c r="C27" s="12">
        <v>201</v>
      </c>
      <c r="D27" s="8">
        <v>5.52</v>
      </c>
      <c r="E27" s="12">
        <v>43</v>
      </c>
      <c r="F27" s="8">
        <v>2.78</v>
      </c>
      <c r="G27" s="12">
        <v>158</v>
      </c>
      <c r="H27" s="8">
        <v>7.77</v>
      </c>
      <c r="I27" s="12">
        <v>0</v>
      </c>
    </row>
    <row r="28" spans="2:9" ht="15" customHeight="1" x14ac:dyDescent="0.2">
      <c r="B28" t="s">
        <v>223</v>
      </c>
      <c r="C28" s="12">
        <v>191</v>
      </c>
      <c r="D28" s="8">
        <v>5.24</v>
      </c>
      <c r="E28" s="12">
        <v>65</v>
      </c>
      <c r="F28" s="8">
        <v>4.2</v>
      </c>
      <c r="G28" s="12">
        <v>126</v>
      </c>
      <c r="H28" s="8">
        <v>6.19</v>
      </c>
      <c r="I28" s="12">
        <v>0</v>
      </c>
    </row>
    <row r="29" spans="2:9" ht="15" customHeight="1" x14ac:dyDescent="0.2">
      <c r="B29" t="s">
        <v>215</v>
      </c>
      <c r="C29" s="12">
        <v>185</v>
      </c>
      <c r="D29" s="8">
        <v>5.08</v>
      </c>
      <c r="E29" s="12">
        <v>15</v>
      </c>
      <c r="F29" s="8">
        <v>0.97</v>
      </c>
      <c r="G29" s="12">
        <v>170</v>
      </c>
      <c r="H29" s="8">
        <v>8.36</v>
      </c>
      <c r="I29" s="12">
        <v>0</v>
      </c>
    </row>
    <row r="30" spans="2:9" ht="15" customHeight="1" x14ac:dyDescent="0.2">
      <c r="B30" t="s">
        <v>224</v>
      </c>
      <c r="C30" s="12">
        <v>173</v>
      </c>
      <c r="D30" s="8">
        <v>4.75</v>
      </c>
      <c r="E30" s="12">
        <v>95</v>
      </c>
      <c r="F30" s="8">
        <v>6.13</v>
      </c>
      <c r="G30" s="12">
        <v>71</v>
      </c>
      <c r="H30" s="8">
        <v>3.49</v>
      </c>
      <c r="I30" s="12">
        <v>0</v>
      </c>
    </row>
    <row r="31" spans="2:9" ht="15" customHeight="1" x14ac:dyDescent="0.2">
      <c r="B31" t="s">
        <v>230</v>
      </c>
      <c r="C31" s="12">
        <v>132</v>
      </c>
      <c r="D31" s="8">
        <v>3.62</v>
      </c>
      <c r="E31" s="12">
        <v>101</v>
      </c>
      <c r="F31" s="8">
        <v>6.52</v>
      </c>
      <c r="G31" s="12">
        <v>27</v>
      </c>
      <c r="H31" s="8">
        <v>1.33</v>
      </c>
      <c r="I31" s="12">
        <v>0</v>
      </c>
    </row>
    <row r="32" spans="2:9" ht="15" customHeight="1" x14ac:dyDescent="0.2">
      <c r="B32" t="s">
        <v>231</v>
      </c>
      <c r="C32" s="12">
        <v>111</v>
      </c>
      <c r="D32" s="8">
        <v>3.05</v>
      </c>
      <c r="E32" s="12">
        <v>94</v>
      </c>
      <c r="F32" s="8">
        <v>6.07</v>
      </c>
      <c r="G32" s="12">
        <v>17</v>
      </c>
      <c r="H32" s="8">
        <v>0.84</v>
      </c>
      <c r="I32" s="12">
        <v>0</v>
      </c>
    </row>
    <row r="33" spans="2:9" ht="15" customHeight="1" x14ac:dyDescent="0.2">
      <c r="B33" t="s">
        <v>217</v>
      </c>
      <c r="C33" s="12">
        <v>95</v>
      </c>
      <c r="D33" s="8">
        <v>2.61</v>
      </c>
      <c r="E33" s="12">
        <v>5</v>
      </c>
      <c r="F33" s="8">
        <v>0.32</v>
      </c>
      <c r="G33" s="12">
        <v>89</v>
      </c>
      <c r="H33" s="8">
        <v>4.38</v>
      </c>
      <c r="I33" s="12">
        <v>1</v>
      </c>
    </row>
    <row r="34" spans="2:9" ht="15" customHeight="1" x14ac:dyDescent="0.2">
      <c r="B34" t="s">
        <v>222</v>
      </c>
      <c r="C34" s="12">
        <v>92</v>
      </c>
      <c r="D34" s="8">
        <v>2.5299999999999998</v>
      </c>
      <c r="E34" s="12">
        <v>32</v>
      </c>
      <c r="F34" s="8">
        <v>2.0699999999999998</v>
      </c>
      <c r="G34" s="12">
        <v>60</v>
      </c>
      <c r="H34" s="8">
        <v>2.95</v>
      </c>
      <c r="I34" s="12">
        <v>0</v>
      </c>
    </row>
    <row r="35" spans="2:9" ht="15" customHeight="1" x14ac:dyDescent="0.2">
      <c r="B35" t="s">
        <v>220</v>
      </c>
      <c r="C35" s="12">
        <v>81</v>
      </c>
      <c r="D35" s="8">
        <v>2.2200000000000002</v>
      </c>
      <c r="E35" s="12">
        <v>22</v>
      </c>
      <c r="F35" s="8">
        <v>1.42</v>
      </c>
      <c r="G35" s="12">
        <v>59</v>
      </c>
      <c r="H35" s="8">
        <v>2.9</v>
      </c>
      <c r="I35" s="12">
        <v>0</v>
      </c>
    </row>
    <row r="36" spans="2:9" ht="15" customHeight="1" x14ac:dyDescent="0.2">
      <c r="B36" t="s">
        <v>221</v>
      </c>
      <c r="C36" s="12">
        <v>81</v>
      </c>
      <c r="D36" s="8">
        <v>2.2200000000000002</v>
      </c>
      <c r="E36" s="12">
        <v>37</v>
      </c>
      <c r="F36" s="8">
        <v>2.39</v>
      </c>
      <c r="G36" s="12">
        <v>44</v>
      </c>
      <c r="H36" s="8">
        <v>2.16</v>
      </c>
      <c r="I36" s="12">
        <v>0</v>
      </c>
    </row>
    <row r="37" spans="2:9" ht="15" customHeight="1" x14ac:dyDescent="0.2">
      <c r="B37" t="s">
        <v>225</v>
      </c>
      <c r="C37" s="12">
        <v>77</v>
      </c>
      <c r="D37" s="8">
        <v>2.11</v>
      </c>
      <c r="E37" s="12">
        <v>53</v>
      </c>
      <c r="F37" s="8">
        <v>3.42</v>
      </c>
      <c r="G37" s="12">
        <v>24</v>
      </c>
      <c r="H37" s="8">
        <v>1.18</v>
      </c>
      <c r="I37" s="12">
        <v>0</v>
      </c>
    </row>
    <row r="38" spans="2:9" ht="15" customHeight="1" x14ac:dyDescent="0.2">
      <c r="B38" t="s">
        <v>218</v>
      </c>
      <c r="C38" s="12">
        <v>70</v>
      </c>
      <c r="D38" s="8">
        <v>1.92</v>
      </c>
      <c r="E38" s="12">
        <v>5</v>
      </c>
      <c r="F38" s="8">
        <v>0.32</v>
      </c>
      <c r="G38" s="12">
        <v>65</v>
      </c>
      <c r="H38" s="8">
        <v>3.2</v>
      </c>
      <c r="I38" s="12">
        <v>0</v>
      </c>
    </row>
    <row r="39" spans="2:9" ht="15" customHeight="1" x14ac:dyDescent="0.2">
      <c r="B39" t="s">
        <v>236</v>
      </c>
      <c r="C39" s="12">
        <v>67</v>
      </c>
      <c r="D39" s="8">
        <v>1.84</v>
      </c>
      <c r="E39" s="12">
        <v>41</v>
      </c>
      <c r="F39" s="8">
        <v>2.65</v>
      </c>
      <c r="G39" s="12">
        <v>26</v>
      </c>
      <c r="H39" s="8">
        <v>1.28</v>
      </c>
      <c r="I39" s="12">
        <v>0</v>
      </c>
    </row>
    <row r="40" spans="2:9" ht="15" customHeight="1" x14ac:dyDescent="0.2">
      <c r="B40" t="s">
        <v>232</v>
      </c>
      <c r="C40" s="12">
        <v>67</v>
      </c>
      <c r="D40" s="8">
        <v>1.84</v>
      </c>
      <c r="E40" s="12">
        <v>3</v>
      </c>
      <c r="F40" s="8">
        <v>0.19</v>
      </c>
      <c r="G40" s="12">
        <v>50</v>
      </c>
      <c r="H40" s="8">
        <v>2.46</v>
      </c>
      <c r="I40" s="12">
        <v>1</v>
      </c>
    </row>
    <row r="41" spans="2:9" ht="15" customHeight="1" x14ac:dyDescent="0.2">
      <c r="B41" t="s">
        <v>226</v>
      </c>
      <c r="C41" s="12">
        <v>58</v>
      </c>
      <c r="D41" s="8">
        <v>1.59</v>
      </c>
      <c r="E41" s="12">
        <v>15</v>
      </c>
      <c r="F41" s="8">
        <v>0.97</v>
      </c>
      <c r="G41" s="12">
        <v>43</v>
      </c>
      <c r="H41" s="8">
        <v>2.11</v>
      </c>
      <c r="I41" s="12">
        <v>0</v>
      </c>
    </row>
    <row r="42" spans="2:9" ht="15" customHeight="1" x14ac:dyDescent="0.2">
      <c r="B42" t="s">
        <v>239</v>
      </c>
      <c r="C42" s="12">
        <v>55</v>
      </c>
      <c r="D42" s="8">
        <v>1.51</v>
      </c>
      <c r="E42" s="12">
        <v>5</v>
      </c>
      <c r="F42" s="8">
        <v>0.32</v>
      </c>
      <c r="G42" s="12">
        <v>50</v>
      </c>
      <c r="H42" s="8">
        <v>2.46</v>
      </c>
      <c r="I42" s="12">
        <v>0</v>
      </c>
    </row>
    <row r="43" spans="2:9" ht="15" customHeight="1" x14ac:dyDescent="0.2">
      <c r="B43" t="s">
        <v>229</v>
      </c>
      <c r="C43" s="12">
        <v>54</v>
      </c>
      <c r="D43" s="8">
        <v>1.48</v>
      </c>
      <c r="E43" s="12">
        <v>23</v>
      </c>
      <c r="F43" s="8">
        <v>1.48</v>
      </c>
      <c r="G43" s="12">
        <v>31</v>
      </c>
      <c r="H43" s="8">
        <v>1.52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215</v>
      </c>
      <c r="D47" s="8">
        <v>5.9</v>
      </c>
      <c r="E47" s="12">
        <v>192</v>
      </c>
      <c r="F47" s="8">
        <v>12.4</v>
      </c>
      <c r="G47" s="12">
        <v>23</v>
      </c>
      <c r="H47" s="8">
        <v>1.1299999999999999</v>
      </c>
      <c r="I47" s="12">
        <v>0</v>
      </c>
    </row>
    <row r="48" spans="2:9" ht="15" customHeight="1" x14ac:dyDescent="0.2">
      <c r="B48" t="s">
        <v>301</v>
      </c>
      <c r="C48" s="12">
        <v>152</v>
      </c>
      <c r="D48" s="8">
        <v>4.17</v>
      </c>
      <c r="E48" s="12">
        <v>142</v>
      </c>
      <c r="F48" s="8">
        <v>9.17</v>
      </c>
      <c r="G48" s="12">
        <v>10</v>
      </c>
      <c r="H48" s="8">
        <v>0.49</v>
      </c>
      <c r="I48" s="12">
        <v>0</v>
      </c>
    </row>
    <row r="49" spans="2:9" ht="15" customHeight="1" x14ac:dyDescent="0.2">
      <c r="B49" t="s">
        <v>303</v>
      </c>
      <c r="C49" s="12">
        <v>146</v>
      </c>
      <c r="D49" s="8">
        <v>4.01</v>
      </c>
      <c r="E49" s="12">
        <v>139</v>
      </c>
      <c r="F49" s="8">
        <v>8.9700000000000006</v>
      </c>
      <c r="G49" s="12">
        <v>7</v>
      </c>
      <c r="H49" s="8">
        <v>0.34</v>
      </c>
      <c r="I49" s="12">
        <v>0</v>
      </c>
    </row>
    <row r="50" spans="2:9" ht="15" customHeight="1" x14ac:dyDescent="0.2">
      <c r="B50" t="s">
        <v>297</v>
      </c>
      <c r="C50" s="12">
        <v>131</v>
      </c>
      <c r="D50" s="8">
        <v>3.6</v>
      </c>
      <c r="E50" s="12">
        <v>90</v>
      </c>
      <c r="F50" s="8">
        <v>5.81</v>
      </c>
      <c r="G50" s="12">
        <v>41</v>
      </c>
      <c r="H50" s="8">
        <v>2.02</v>
      </c>
      <c r="I50" s="12">
        <v>0</v>
      </c>
    </row>
    <row r="51" spans="2:9" ht="15" customHeight="1" x14ac:dyDescent="0.2">
      <c r="B51" t="s">
        <v>300</v>
      </c>
      <c r="C51" s="12">
        <v>99</v>
      </c>
      <c r="D51" s="8">
        <v>2.72</v>
      </c>
      <c r="E51" s="12">
        <v>82</v>
      </c>
      <c r="F51" s="8">
        <v>5.29</v>
      </c>
      <c r="G51" s="12">
        <v>17</v>
      </c>
      <c r="H51" s="8">
        <v>0.84</v>
      </c>
      <c r="I51" s="12">
        <v>0</v>
      </c>
    </row>
    <row r="52" spans="2:9" ht="15" customHeight="1" x14ac:dyDescent="0.2">
      <c r="B52" t="s">
        <v>305</v>
      </c>
      <c r="C52" s="12">
        <v>84</v>
      </c>
      <c r="D52" s="8">
        <v>2.31</v>
      </c>
      <c r="E52" s="12">
        <v>77</v>
      </c>
      <c r="F52" s="8">
        <v>4.97</v>
      </c>
      <c r="G52" s="12">
        <v>7</v>
      </c>
      <c r="H52" s="8">
        <v>0.34</v>
      </c>
      <c r="I52" s="12">
        <v>0</v>
      </c>
    </row>
    <row r="53" spans="2:9" ht="15" customHeight="1" x14ac:dyDescent="0.2">
      <c r="B53" t="s">
        <v>299</v>
      </c>
      <c r="C53" s="12">
        <v>83</v>
      </c>
      <c r="D53" s="8">
        <v>2.2799999999999998</v>
      </c>
      <c r="E53" s="12">
        <v>65</v>
      </c>
      <c r="F53" s="8">
        <v>4.2</v>
      </c>
      <c r="G53" s="12">
        <v>18</v>
      </c>
      <c r="H53" s="8">
        <v>0.88</v>
      </c>
      <c r="I53" s="12">
        <v>0</v>
      </c>
    </row>
    <row r="54" spans="2:9" ht="15" customHeight="1" x14ac:dyDescent="0.2">
      <c r="B54" t="s">
        <v>288</v>
      </c>
      <c r="C54" s="12">
        <v>82</v>
      </c>
      <c r="D54" s="8">
        <v>2.25</v>
      </c>
      <c r="E54" s="12">
        <v>5</v>
      </c>
      <c r="F54" s="8">
        <v>0.32</v>
      </c>
      <c r="G54" s="12">
        <v>77</v>
      </c>
      <c r="H54" s="8">
        <v>3.79</v>
      </c>
      <c r="I54" s="12">
        <v>0</v>
      </c>
    </row>
    <row r="55" spans="2:9" ht="15" customHeight="1" x14ac:dyDescent="0.2">
      <c r="B55" t="s">
        <v>306</v>
      </c>
      <c r="C55" s="12">
        <v>77</v>
      </c>
      <c r="D55" s="8">
        <v>2.11</v>
      </c>
      <c r="E55" s="12">
        <v>68</v>
      </c>
      <c r="F55" s="8">
        <v>4.3899999999999997</v>
      </c>
      <c r="G55" s="12">
        <v>9</v>
      </c>
      <c r="H55" s="8">
        <v>0.44</v>
      </c>
      <c r="I55" s="12">
        <v>0</v>
      </c>
    </row>
    <row r="56" spans="2:9" ht="15" customHeight="1" x14ac:dyDescent="0.2">
      <c r="B56" t="s">
        <v>290</v>
      </c>
      <c r="C56" s="12">
        <v>66</v>
      </c>
      <c r="D56" s="8">
        <v>1.81</v>
      </c>
      <c r="E56" s="12">
        <v>11</v>
      </c>
      <c r="F56" s="8">
        <v>0.71</v>
      </c>
      <c r="G56" s="12">
        <v>55</v>
      </c>
      <c r="H56" s="8">
        <v>2.7</v>
      </c>
      <c r="I56" s="12">
        <v>0</v>
      </c>
    </row>
    <row r="57" spans="2:9" ht="15" customHeight="1" x14ac:dyDescent="0.2">
      <c r="B57" t="s">
        <v>295</v>
      </c>
      <c r="C57" s="12">
        <v>62</v>
      </c>
      <c r="D57" s="8">
        <v>1.7</v>
      </c>
      <c r="E57" s="12">
        <v>25</v>
      </c>
      <c r="F57" s="8">
        <v>1.61</v>
      </c>
      <c r="G57" s="12">
        <v>37</v>
      </c>
      <c r="H57" s="8">
        <v>1.82</v>
      </c>
      <c r="I57" s="12">
        <v>0</v>
      </c>
    </row>
    <row r="58" spans="2:9" ht="15" customHeight="1" x14ac:dyDescent="0.2">
      <c r="B58" t="s">
        <v>344</v>
      </c>
      <c r="C58" s="12">
        <v>60</v>
      </c>
      <c r="D58" s="8">
        <v>1.65</v>
      </c>
      <c r="E58" s="12">
        <v>41</v>
      </c>
      <c r="F58" s="8">
        <v>2.65</v>
      </c>
      <c r="G58" s="12">
        <v>19</v>
      </c>
      <c r="H58" s="8">
        <v>0.93</v>
      </c>
      <c r="I58" s="12">
        <v>0</v>
      </c>
    </row>
    <row r="59" spans="2:9" ht="15" customHeight="1" x14ac:dyDescent="0.2">
      <c r="B59" t="s">
        <v>333</v>
      </c>
      <c r="C59" s="12">
        <v>56</v>
      </c>
      <c r="D59" s="8">
        <v>1.54</v>
      </c>
      <c r="E59" s="12">
        <v>18</v>
      </c>
      <c r="F59" s="8">
        <v>1.1599999999999999</v>
      </c>
      <c r="G59" s="12">
        <v>38</v>
      </c>
      <c r="H59" s="8">
        <v>1.87</v>
      </c>
      <c r="I59" s="12">
        <v>0</v>
      </c>
    </row>
    <row r="60" spans="2:9" ht="15" customHeight="1" x14ac:dyDescent="0.2">
      <c r="B60" t="s">
        <v>293</v>
      </c>
      <c r="C60" s="12">
        <v>52</v>
      </c>
      <c r="D60" s="8">
        <v>1.43</v>
      </c>
      <c r="E60" s="12">
        <v>15</v>
      </c>
      <c r="F60" s="8">
        <v>0.97</v>
      </c>
      <c r="G60" s="12">
        <v>37</v>
      </c>
      <c r="H60" s="8">
        <v>1.82</v>
      </c>
      <c r="I60" s="12">
        <v>0</v>
      </c>
    </row>
    <row r="61" spans="2:9" ht="15" customHeight="1" x14ac:dyDescent="0.2">
      <c r="B61" t="s">
        <v>289</v>
      </c>
      <c r="C61" s="12">
        <v>50</v>
      </c>
      <c r="D61" s="8">
        <v>1.37</v>
      </c>
      <c r="E61" s="12">
        <v>2</v>
      </c>
      <c r="F61" s="8">
        <v>0.13</v>
      </c>
      <c r="G61" s="12">
        <v>48</v>
      </c>
      <c r="H61" s="8">
        <v>2.36</v>
      </c>
      <c r="I61" s="12">
        <v>0</v>
      </c>
    </row>
    <row r="62" spans="2:9" ht="15" customHeight="1" x14ac:dyDescent="0.2">
      <c r="B62" t="s">
        <v>291</v>
      </c>
      <c r="C62" s="12">
        <v>49</v>
      </c>
      <c r="D62" s="8">
        <v>1.35</v>
      </c>
      <c r="E62" s="12">
        <v>3</v>
      </c>
      <c r="F62" s="8">
        <v>0.19</v>
      </c>
      <c r="G62" s="12">
        <v>46</v>
      </c>
      <c r="H62" s="8">
        <v>2.2599999999999998</v>
      </c>
      <c r="I62" s="12">
        <v>0</v>
      </c>
    </row>
    <row r="63" spans="2:9" ht="15" customHeight="1" x14ac:dyDescent="0.2">
      <c r="B63" t="s">
        <v>302</v>
      </c>
      <c r="C63" s="12">
        <v>47</v>
      </c>
      <c r="D63" s="8">
        <v>1.29</v>
      </c>
      <c r="E63" s="12">
        <v>44</v>
      </c>
      <c r="F63" s="8">
        <v>2.84</v>
      </c>
      <c r="G63" s="12">
        <v>3</v>
      </c>
      <c r="H63" s="8">
        <v>0.15</v>
      </c>
      <c r="I63" s="12">
        <v>0</v>
      </c>
    </row>
    <row r="64" spans="2:9" ht="15" customHeight="1" x14ac:dyDescent="0.2">
      <c r="B64" t="s">
        <v>314</v>
      </c>
      <c r="C64" s="12">
        <v>44</v>
      </c>
      <c r="D64" s="8">
        <v>1.21</v>
      </c>
      <c r="E64" s="12">
        <v>9</v>
      </c>
      <c r="F64" s="8">
        <v>0.57999999999999996</v>
      </c>
      <c r="G64" s="12">
        <v>35</v>
      </c>
      <c r="H64" s="8">
        <v>1.72</v>
      </c>
      <c r="I64" s="12">
        <v>0</v>
      </c>
    </row>
    <row r="65" spans="2:9" ht="15" customHeight="1" x14ac:dyDescent="0.2">
      <c r="B65" t="s">
        <v>294</v>
      </c>
      <c r="C65" s="12">
        <v>44</v>
      </c>
      <c r="D65" s="8">
        <v>1.21</v>
      </c>
      <c r="E65" s="12">
        <v>15</v>
      </c>
      <c r="F65" s="8">
        <v>0.97</v>
      </c>
      <c r="G65" s="12">
        <v>29</v>
      </c>
      <c r="H65" s="8">
        <v>1.43</v>
      </c>
      <c r="I65" s="12">
        <v>0</v>
      </c>
    </row>
    <row r="66" spans="2:9" ht="15" customHeight="1" x14ac:dyDescent="0.2">
      <c r="B66" t="s">
        <v>307</v>
      </c>
      <c r="C66" s="12">
        <v>44</v>
      </c>
      <c r="D66" s="8">
        <v>1.21</v>
      </c>
      <c r="E66" s="12">
        <v>24</v>
      </c>
      <c r="F66" s="8">
        <v>1.55</v>
      </c>
      <c r="G66" s="12">
        <v>20</v>
      </c>
      <c r="H66" s="8">
        <v>0.98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00615-6101-4EA5-B61E-05E344632DB7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0.21</v>
      </c>
      <c r="E5" s="12">
        <v>0</v>
      </c>
      <c r="F5" s="8">
        <v>0</v>
      </c>
      <c r="G5" s="12">
        <v>2</v>
      </c>
      <c r="H5" s="8">
        <v>0.43</v>
      </c>
      <c r="I5" s="12">
        <v>0</v>
      </c>
    </row>
    <row r="6" spans="2:9" ht="15" customHeight="1" x14ac:dyDescent="0.2">
      <c r="B6" t="s">
        <v>191</v>
      </c>
      <c r="C6" s="12">
        <v>121</v>
      </c>
      <c r="D6" s="8">
        <v>12.55</v>
      </c>
      <c r="E6" s="12">
        <v>30</v>
      </c>
      <c r="F6" s="8">
        <v>6.24</v>
      </c>
      <c r="G6" s="12">
        <v>91</v>
      </c>
      <c r="H6" s="8">
        <v>19.57</v>
      </c>
      <c r="I6" s="12">
        <v>0</v>
      </c>
    </row>
    <row r="7" spans="2:9" ht="15" customHeight="1" x14ac:dyDescent="0.2">
      <c r="B7" t="s">
        <v>192</v>
      </c>
      <c r="C7" s="12">
        <v>60</v>
      </c>
      <c r="D7" s="8">
        <v>6.22</v>
      </c>
      <c r="E7" s="12">
        <v>11</v>
      </c>
      <c r="F7" s="8">
        <v>2.29</v>
      </c>
      <c r="G7" s="12">
        <v>48</v>
      </c>
      <c r="H7" s="8">
        <v>10.32</v>
      </c>
      <c r="I7" s="12">
        <v>1</v>
      </c>
    </row>
    <row r="8" spans="2:9" ht="15" customHeight="1" x14ac:dyDescent="0.2">
      <c r="B8" t="s">
        <v>193</v>
      </c>
      <c r="C8" s="12">
        <v>1</v>
      </c>
      <c r="D8" s="8">
        <v>0.1</v>
      </c>
      <c r="E8" s="12">
        <v>0</v>
      </c>
      <c r="F8" s="8">
        <v>0</v>
      </c>
      <c r="G8" s="12">
        <v>1</v>
      </c>
      <c r="H8" s="8">
        <v>0.22</v>
      </c>
      <c r="I8" s="12">
        <v>0</v>
      </c>
    </row>
    <row r="9" spans="2:9" ht="15" customHeight="1" x14ac:dyDescent="0.2">
      <c r="B9" t="s">
        <v>194</v>
      </c>
      <c r="C9" s="12">
        <v>8</v>
      </c>
      <c r="D9" s="8">
        <v>0.83</v>
      </c>
      <c r="E9" s="12">
        <v>0</v>
      </c>
      <c r="F9" s="8">
        <v>0</v>
      </c>
      <c r="G9" s="12">
        <v>8</v>
      </c>
      <c r="H9" s="8">
        <v>1.72</v>
      </c>
      <c r="I9" s="12">
        <v>0</v>
      </c>
    </row>
    <row r="10" spans="2:9" ht="15" customHeight="1" x14ac:dyDescent="0.2">
      <c r="B10" t="s">
        <v>195</v>
      </c>
      <c r="C10" s="12">
        <v>10</v>
      </c>
      <c r="D10" s="8">
        <v>1.04</v>
      </c>
      <c r="E10" s="12">
        <v>1</v>
      </c>
      <c r="F10" s="8">
        <v>0.21</v>
      </c>
      <c r="G10" s="12">
        <v>9</v>
      </c>
      <c r="H10" s="8">
        <v>1.94</v>
      </c>
      <c r="I10" s="12">
        <v>0</v>
      </c>
    </row>
    <row r="11" spans="2:9" ht="15" customHeight="1" x14ac:dyDescent="0.2">
      <c r="B11" t="s">
        <v>196</v>
      </c>
      <c r="C11" s="12">
        <v>219</v>
      </c>
      <c r="D11" s="8">
        <v>22.72</v>
      </c>
      <c r="E11" s="12">
        <v>72</v>
      </c>
      <c r="F11" s="8">
        <v>14.97</v>
      </c>
      <c r="G11" s="12">
        <v>147</v>
      </c>
      <c r="H11" s="8">
        <v>31.61</v>
      </c>
      <c r="I11" s="12">
        <v>0</v>
      </c>
    </row>
    <row r="12" spans="2:9" ht="15" customHeight="1" x14ac:dyDescent="0.2">
      <c r="B12" t="s">
        <v>197</v>
      </c>
      <c r="C12" s="12">
        <v>15</v>
      </c>
      <c r="D12" s="8">
        <v>1.56</v>
      </c>
      <c r="E12" s="12">
        <v>2</v>
      </c>
      <c r="F12" s="8">
        <v>0.42</v>
      </c>
      <c r="G12" s="12">
        <v>13</v>
      </c>
      <c r="H12" s="8">
        <v>2.8</v>
      </c>
      <c r="I12" s="12">
        <v>0</v>
      </c>
    </row>
    <row r="13" spans="2:9" ht="15" customHeight="1" x14ac:dyDescent="0.2">
      <c r="B13" t="s">
        <v>198</v>
      </c>
      <c r="C13" s="12">
        <v>85</v>
      </c>
      <c r="D13" s="8">
        <v>8.82</v>
      </c>
      <c r="E13" s="12">
        <v>48</v>
      </c>
      <c r="F13" s="8">
        <v>9.98</v>
      </c>
      <c r="G13" s="12">
        <v>35</v>
      </c>
      <c r="H13" s="8">
        <v>7.53</v>
      </c>
      <c r="I13" s="12">
        <v>0</v>
      </c>
    </row>
    <row r="14" spans="2:9" ht="15" customHeight="1" x14ac:dyDescent="0.2">
      <c r="B14" t="s">
        <v>199</v>
      </c>
      <c r="C14" s="12">
        <v>29</v>
      </c>
      <c r="D14" s="8">
        <v>3.01</v>
      </c>
      <c r="E14" s="12">
        <v>14</v>
      </c>
      <c r="F14" s="8">
        <v>2.91</v>
      </c>
      <c r="G14" s="12">
        <v>13</v>
      </c>
      <c r="H14" s="8">
        <v>2.8</v>
      </c>
      <c r="I14" s="12">
        <v>1</v>
      </c>
    </row>
    <row r="15" spans="2:9" ht="15" customHeight="1" x14ac:dyDescent="0.2">
      <c r="B15" t="s">
        <v>200</v>
      </c>
      <c r="C15" s="12">
        <v>176</v>
      </c>
      <c r="D15" s="8">
        <v>18.260000000000002</v>
      </c>
      <c r="E15" s="12">
        <v>153</v>
      </c>
      <c r="F15" s="8">
        <v>31.81</v>
      </c>
      <c r="G15" s="12">
        <v>23</v>
      </c>
      <c r="H15" s="8">
        <v>4.95</v>
      </c>
      <c r="I15" s="12">
        <v>0</v>
      </c>
    </row>
    <row r="16" spans="2:9" ht="15" customHeight="1" x14ac:dyDescent="0.2">
      <c r="B16" t="s">
        <v>201</v>
      </c>
      <c r="C16" s="12">
        <v>132</v>
      </c>
      <c r="D16" s="8">
        <v>13.69</v>
      </c>
      <c r="E16" s="12">
        <v>114</v>
      </c>
      <c r="F16" s="8">
        <v>23.7</v>
      </c>
      <c r="G16" s="12">
        <v>18</v>
      </c>
      <c r="H16" s="8">
        <v>3.87</v>
      </c>
      <c r="I16" s="12">
        <v>0</v>
      </c>
    </row>
    <row r="17" spans="2:9" ht="15" customHeight="1" x14ac:dyDescent="0.2">
      <c r="B17" t="s">
        <v>202</v>
      </c>
      <c r="C17" s="12">
        <v>19</v>
      </c>
      <c r="D17" s="8">
        <v>1.97</v>
      </c>
      <c r="E17" s="12">
        <v>9</v>
      </c>
      <c r="F17" s="8">
        <v>1.87</v>
      </c>
      <c r="G17" s="12">
        <v>5</v>
      </c>
      <c r="H17" s="8">
        <v>1.08</v>
      </c>
      <c r="I17" s="12">
        <v>0</v>
      </c>
    </row>
    <row r="18" spans="2:9" ht="15" customHeight="1" x14ac:dyDescent="0.2">
      <c r="B18" t="s">
        <v>203</v>
      </c>
      <c r="C18" s="12">
        <v>40</v>
      </c>
      <c r="D18" s="8">
        <v>4.1500000000000004</v>
      </c>
      <c r="E18" s="12">
        <v>18</v>
      </c>
      <c r="F18" s="8">
        <v>3.74</v>
      </c>
      <c r="G18" s="12">
        <v>18</v>
      </c>
      <c r="H18" s="8">
        <v>3.87</v>
      </c>
      <c r="I18" s="12">
        <v>0</v>
      </c>
    </row>
    <row r="19" spans="2:9" ht="15" customHeight="1" x14ac:dyDescent="0.2">
      <c r="B19" t="s">
        <v>204</v>
      </c>
      <c r="C19" s="12">
        <v>47</v>
      </c>
      <c r="D19" s="8">
        <v>4.88</v>
      </c>
      <c r="E19" s="12">
        <v>9</v>
      </c>
      <c r="F19" s="8">
        <v>1.87</v>
      </c>
      <c r="G19" s="12">
        <v>34</v>
      </c>
      <c r="H19" s="8">
        <v>7.31</v>
      </c>
      <c r="I19" s="12">
        <v>2</v>
      </c>
    </row>
    <row r="20" spans="2:9" ht="15" customHeight="1" x14ac:dyDescent="0.2">
      <c r="B20" s="9" t="s">
        <v>529</v>
      </c>
      <c r="C20" s="12">
        <f>SUM(LTBL_01214[総数／事業所数])</f>
        <v>964</v>
      </c>
      <c r="E20" s="12">
        <f>SUBTOTAL(109,LTBL_01214[個人／事業所数])</f>
        <v>481</v>
      </c>
      <c r="G20" s="12">
        <f>SUBTOTAL(109,LTBL_01214[法人／事業所数])</f>
        <v>465</v>
      </c>
      <c r="I20" s="12">
        <f>SUBTOTAL(109,LTBL_01214[法人以外の団体／事業所数])</f>
        <v>4</v>
      </c>
    </row>
    <row r="21" spans="2:9" ht="15" customHeight="1" x14ac:dyDescent="0.2">
      <c r="E21" s="11">
        <f>LTBL_01214[[#Totals],[個人／事業所数]]/LTBL_01214[[#Totals],[総数／事業所数]]</f>
        <v>0.49896265560165975</v>
      </c>
      <c r="G21" s="11">
        <f>LTBL_01214[[#Totals],[法人／事業所数]]/LTBL_01214[[#Totals],[総数／事業所数]]</f>
        <v>0.48236514522821577</v>
      </c>
      <c r="I21" s="11">
        <f>LTBL_01214[[#Totals],[法人以外の団体／事業所数]]/LTBL_01214[[#Totals],[総数／事業所数]]</f>
        <v>4.1493775933609959E-3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157</v>
      </c>
      <c r="D24" s="8">
        <v>16.29</v>
      </c>
      <c r="E24" s="12">
        <v>139</v>
      </c>
      <c r="F24" s="8">
        <v>28.9</v>
      </c>
      <c r="G24" s="12">
        <v>18</v>
      </c>
      <c r="H24" s="8">
        <v>3.87</v>
      </c>
      <c r="I24" s="12">
        <v>0</v>
      </c>
    </row>
    <row r="25" spans="2:9" ht="15" customHeight="1" x14ac:dyDescent="0.2">
      <c r="B25" t="s">
        <v>228</v>
      </c>
      <c r="C25" s="12">
        <v>114</v>
      </c>
      <c r="D25" s="8">
        <v>11.83</v>
      </c>
      <c r="E25" s="12">
        <v>105</v>
      </c>
      <c r="F25" s="8">
        <v>21.83</v>
      </c>
      <c r="G25" s="12">
        <v>9</v>
      </c>
      <c r="H25" s="8">
        <v>1.94</v>
      </c>
      <c r="I25" s="12">
        <v>0</v>
      </c>
    </row>
    <row r="26" spans="2:9" ht="15" customHeight="1" x14ac:dyDescent="0.2">
      <c r="B26" t="s">
        <v>224</v>
      </c>
      <c r="C26" s="12">
        <v>71</v>
      </c>
      <c r="D26" s="8">
        <v>7.37</v>
      </c>
      <c r="E26" s="12">
        <v>46</v>
      </c>
      <c r="F26" s="8">
        <v>9.56</v>
      </c>
      <c r="G26" s="12">
        <v>23</v>
      </c>
      <c r="H26" s="8">
        <v>4.95</v>
      </c>
      <c r="I26" s="12">
        <v>0</v>
      </c>
    </row>
    <row r="27" spans="2:9" ht="15" customHeight="1" x14ac:dyDescent="0.2">
      <c r="B27" t="s">
        <v>223</v>
      </c>
      <c r="C27" s="12">
        <v>62</v>
      </c>
      <c r="D27" s="8">
        <v>6.43</v>
      </c>
      <c r="E27" s="12">
        <v>23</v>
      </c>
      <c r="F27" s="8">
        <v>4.78</v>
      </c>
      <c r="G27" s="12">
        <v>39</v>
      </c>
      <c r="H27" s="8">
        <v>8.39</v>
      </c>
      <c r="I27" s="12">
        <v>0</v>
      </c>
    </row>
    <row r="28" spans="2:9" ht="15" customHeight="1" x14ac:dyDescent="0.2">
      <c r="B28" t="s">
        <v>214</v>
      </c>
      <c r="C28" s="12">
        <v>53</v>
      </c>
      <c r="D28" s="8">
        <v>5.5</v>
      </c>
      <c r="E28" s="12">
        <v>23</v>
      </c>
      <c r="F28" s="8">
        <v>4.78</v>
      </c>
      <c r="G28" s="12">
        <v>30</v>
      </c>
      <c r="H28" s="8">
        <v>6.45</v>
      </c>
      <c r="I28" s="12">
        <v>0</v>
      </c>
    </row>
    <row r="29" spans="2:9" ht="15" customHeight="1" x14ac:dyDescent="0.2">
      <c r="B29" t="s">
        <v>213</v>
      </c>
      <c r="C29" s="12">
        <v>46</v>
      </c>
      <c r="D29" s="8">
        <v>4.7699999999999996</v>
      </c>
      <c r="E29" s="12">
        <v>6</v>
      </c>
      <c r="F29" s="8">
        <v>1.25</v>
      </c>
      <c r="G29" s="12">
        <v>40</v>
      </c>
      <c r="H29" s="8">
        <v>8.6</v>
      </c>
      <c r="I29" s="12">
        <v>0</v>
      </c>
    </row>
    <row r="30" spans="2:9" ht="15" customHeight="1" x14ac:dyDescent="0.2">
      <c r="B30" t="s">
        <v>221</v>
      </c>
      <c r="C30" s="12">
        <v>35</v>
      </c>
      <c r="D30" s="8">
        <v>3.63</v>
      </c>
      <c r="E30" s="12">
        <v>21</v>
      </c>
      <c r="F30" s="8">
        <v>4.37</v>
      </c>
      <c r="G30" s="12">
        <v>14</v>
      </c>
      <c r="H30" s="8">
        <v>3.01</v>
      </c>
      <c r="I30" s="12">
        <v>0</v>
      </c>
    </row>
    <row r="31" spans="2:9" ht="15" customHeight="1" x14ac:dyDescent="0.2">
      <c r="B31" t="s">
        <v>217</v>
      </c>
      <c r="C31" s="12">
        <v>23</v>
      </c>
      <c r="D31" s="8">
        <v>2.39</v>
      </c>
      <c r="E31" s="12">
        <v>2</v>
      </c>
      <c r="F31" s="8">
        <v>0.42</v>
      </c>
      <c r="G31" s="12">
        <v>21</v>
      </c>
      <c r="H31" s="8">
        <v>4.5199999999999996</v>
      </c>
      <c r="I31" s="12">
        <v>0</v>
      </c>
    </row>
    <row r="32" spans="2:9" ht="15" customHeight="1" x14ac:dyDescent="0.2">
      <c r="B32" t="s">
        <v>215</v>
      </c>
      <c r="C32" s="12">
        <v>22</v>
      </c>
      <c r="D32" s="8">
        <v>2.2799999999999998</v>
      </c>
      <c r="E32" s="12">
        <v>1</v>
      </c>
      <c r="F32" s="8">
        <v>0.21</v>
      </c>
      <c r="G32" s="12">
        <v>21</v>
      </c>
      <c r="H32" s="8">
        <v>4.5199999999999996</v>
      </c>
      <c r="I32" s="12">
        <v>0</v>
      </c>
    </row>
    <row r="33" spans="2:9" ht="15" customHeight="1" x14ac:dyDescent="0.2">
      <c r="B33" t="s">
        <v>231</v>
      </c>
      <c r="C33" s="12">
        <v>21</v>
      </c>
      <c r="D33" s="8">
        <v>2.1800000000000002</v>
      </c>
      <c r="E33" s="12">
        <v>17</v>
      </c>
      <c r="F33" s="8">
        <v>3.53</v>
      </c>
      <c r="G33" s="12">
        <v>4</v>
      </c>
      <c r="H33" s="8">
        <v>0.86</v>
      </c>
      <c r="I33" s="12">
        <v>0</v>
      </c>
    </row>
    <row r="34" spans="2:9" ht="15" customHeight="1" x14ac:dyDescent="0.2">
      <c r="B34" t="s">
        <v>241</v>
      </c>
      <c r="C34" s="12">
        <v>20</v>
      </c>
      <c r="D34" s="8">
        <v>2.0699999999999998</v>
      </c>
      <c r="E34" s="12">
        <v>3</v>
      </c>
      <c r="F34" s="8">
        <v>0.62</v>
      </c>
      <c r="G34" s="12">
        <v>16</v>
      </c>
      <c r="H34" s="8">
        <v>3.44</v>
      </c>
      <c r="I34" s="12">
        <v>1</v>
      </c>
    </row>
    <row r="35" spans="2:9" ht="15" customHeight="1" x14ac:dyDescent="0.2">
      <c r="B35" t="s">
        <v>218</v>
      </c>
      <c r="C35" s="12">
        <v>20</v>
      </c>
      <c r="D35" s="8">
        <v>2.0699999999999998</v>
      </c>
      <c r="E35" s="12">
        <v>0</v>
      </c>
      <c r="F35" s="8">
        <v>0</v>
      </c>
      <c r="G35" s="12">
        <v>20</v>
      </c>
      <c r="H35" s="8">
        <v>4.3</v>
      </c>
      <c r="I35" s="12">
        <v>0</v>
      </c>
    </row>
    <row r="36" spans="2:9" ht="15" customHeight="1" x14ac:dyDescent="0.2">
      <c r="B36" t="s">
        <v>222</v>
      </c>
      <c r="C36" s="12">
        <v>19</v>
      </c>
      <c r="D36" s="8">
        <v>1.97</v>
      </c>
      <c r="E36" s="12">
        <v>9</v>
      </c>
      <c r="F36" s="8">
        <v>1.87</v>
      </c>
      <c r="G36" s="12">
        <v>10</v>
      </c>
      <c r="H36" s="8">
        <v>2.15</v>
      </c>
      <c r="I36" s="12">
        <v>0</v>
      </c>
    </row>
    <row r="37" spans="2:9" ht="15" customHeight="1" x14ac:dyDescent="0.2">
      <c r="B37" t="s">
        <v>230</v>
      </c>
      <c r="C37" s="12">
        <v>19</v>
      </c>
      <c r="D37" s="8">
        <v>1.97</v>
      </c>
      <c r="E37" s="12">
        <v>9</v>
      </c>
      <c r="F37" s="8">
        <v>1.87</v>
      </c>
      <c r="G37" s="12">
        <v>5</v>
      </c>
      <c r="H37" s="8">
        <v>1.08</v>
      </c>
      <c r="I37" s="12">
        <v>0</v>
      </c>
    </row>
    <row r="38" spans="2:9" ht="15" customHeight="1" x14ac:dyDescent="0.2">
      <c r="B38" t="s">
        <v>232</v>
      </c>
      <c r="C38" s="12">
        <v>19</v>
      </c>
      <c r="D38" s="8">
        <v>1.97</v>
      </c>
      <c r="E38" s="12">
        <v>1</v>
      </c>
      <c r="F38" s="8">
        <v>0.21</v>
      </c>
      <c r="G38" s="12">
        <v>14</v>
      </c>
      <c r="H38" s="8">
        <v>3.01</v>
      </c>
      <c r="I38" s="12">
        <v>0</v>
      </c>
    </row>
    <row r="39" spans="2:9" ht="15" customHeight="1" x14ac:dyDescent="0.2">
      <c r="B39" t="s">
        <v>220</v>
      </c>
      <c r="C39" s="12">
        <v>18</v>
      </c>
      <c r="D39" s="8">
        <v>1.87</v>
      </c>
      <c r="E39" s="12">
        <v>10</v>
      </c>
      <c r="F39" s="8">
        <v>2.08</v>
      </c>
      <c r="G39" s="12">
        <v>8</v>
      </c>
      <c r="H39" s="8">
        <v>1.72</v>
      </c>
      <c r="I39" s="12">
        <v>0</v>
      </c>
    </row>
    <row r="40" spans="2:9" ht="15" customHeight="1" x14ac:dyDescent="0.2">
      <c r="B40" t="s">
        <v>226</v>
      </c>
      <c r="C40" s="12">
        <v>17</v>
      </c>
      <c r="D40" s="8">
        <v>1.76</v>
      </c>
      <c r="E40" s="12">
        <v>6</v>
      </c>
      <c r="F40" s="8">
        <v>1.25</v>
      </c>
      <c r="G40" s="12">
        <v>10</v>
      </c>
      <c r="H40" s="8">
        <v>2.15</v>
      </c>
      <c r="I40" s="12">
        <v>0</v>
      </c>
    </row>
    <row r="41" spans="2:9" ht="15" customHeight="1" x14ac:dyDescent="0.2">
      <c r="B41" t="s">
        <v>243</v>
      </c>
      <c r="C41" s="12">
        <v>17</v>
      </c>
      <c r="D41" s="8">
        <v>1.76</v>
      </c>
      <c r="E41" s="12">
        <v>12</v>
      </c>
      <c r="F41" s="8">
        <v>2.4900000000000002</v>
      </c>
      <c r="G41" s="12">
        <v>5</v>
      </c>
      <c r="H41" s="8">
        <v>1.08</v>
      </c>
      <c r="I41" s="12">
        <v>0</v>
      </c>
    </row>
    <row r="42" spans="2:9" ht="15" customHeight="1" x14ac:dyDescent="0.2">
      <c r="B42" t="s">
        <v>240</v>
      </c>
      <c r="C42" s="12">
        <v>17</v>
      </c>
      <c r="D42" s="8">
        <v>1.76</v>
      </c>
      <c r="E42" s="12">
        <v>7</v>
      </c>
      <c r="F42" s="8">
        <v>1.46</v>
      </c>
      <c r="G42" s="12">
        <v>10</v>
      </c>
      <c r="H42" s="8">
        <v>2.15</v>
      </c>
      <c r="I42" s="12">
        <v>0</v>
      </c>
    </row>
    <row r="43" spans="2:9" ht="15" customHeight="1" x14ac:dyDescent="0.2">
      <c r="B43" t="s">
        <v>219</v>
      </c>
      <c r="C43" s="12">
        <v>15</v>
      </c>
      <c r="D43" s="8">
        <v>1.56</v>
      </c>
      <c r="E43" s="12">
        <v>2</v>
      </c>
      <c r="F43" s="8">
        <v>0.42</v>
      </c>
      <c r="G43" s="12">
        <v>13</v>
      </c>
      <c r="H43" s="8">
        <v>2.8</v>
      </c>
      <c r="I43" s="12">
        <v>0</v>
      </c>
    </row>
    <row r="44" spans="2:9" ht="15" customHeight="1" x14ac:dyDescent="0.2">
      <c r="B44" t="s">
        <v>237</v>
      </c>
      <c r="C44" s="12">
        <v>15</v>
      </c>
      <c r="D44" s="8">
        <v>1.56</v>
      </c>
      <c r="E44" s="12">
        <v>2</v>
      </c>
      <c r="F44" s="8">
        <v>0.42</v>
      </c>
      <c r="G44" s="12">
        <v>13</v>
      </c>
      <c r="H44" s="8">
        <v>2.8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297</v>
      </c>
      <c r="C48" s="12">
        <v>59</v>
      </c>
      <c r="D48" s="8">
        <v>6.12</v>
      </c>
      <c r="E48" s="12">
        <v>44</v>
      </c>
      <c r="F48" s="8">
        <v>9.15</v>
      </c>
      <c r="G48" s="12">
        <v>13</v>
      </c>
      <c r="H48" s="8">
        <v>2.8</v>
      </c>
      <c r="I48" s="12">
        <v>0</v>
      </c>
    </row>
    <row r="49" spans="2:9" ht="15" customHeight="1" x14ac:dyDescent="0.2">
      <c r="B49" t="s">
        <v>303</v>
      </c>
      <c r="C49" s="12">
        <v>53</v>
      </c>
      <c r="D49" s="8">
        <v>5.5</v>
      </c>
      <c r="E49" s="12">
        <v>49</v>
      </c>
      <c r="F49" s="8">
        <v>10.19</v>
      </c>
      <c r="G49" s="12">
        <v>4</v>
      </c>
      <c r="H49" s="8">
        <v>0.86</v>
      </c>
      <c r="I49" s="12">
        <v>0</v>
      </c>
    </row>
    <row r="50" spans="2:9" ht="15" customHeight="1" x14ac:dyDescent="0.2">
      <c r="B50" t="s">
        <v>301</v>
      </c>
      <c r="C50" s="12">
        <v>52</v>
      </c>
      <c r="D50" s="8">
        <v>5.39</v>
      </c>
      <c r="E50" s="12">
        <v>51</v>
      </c>
      <c r="F50" s="8">
        <v>10.6</v>
      </c>
      <c r="G50" s="12">
        <v>1</v>
      </c>
      <c r="H50" s="8">
        <v>0.22</v>
      </c>
      <c r="I50" s="12">
        <v>0</v>
      </c>
    </row>
    <row r="51" spans="2:9" ht="15" customHeight="1" x14ac:dyDescent="0.2">
      <c r="B51" t="s">
        <v>304</v>
      </c>
      <c r="C51" s="12">
        <v>52</v>
      </c>
      <c r="D51" s="8">
        <v>5.39</v>
      </c>
      <c r="E51" s="12">
        <v>50</v>
      </c>
      <c r="F51" s="8">
        <v>10.4</v>
      </c>
      <c r="G51" s="12">
        <v>2</v>
      </c>
      <c r="H51" s="8">
        <v>0.43</v>
      </c>
      <c r="I51" s="12">
        <v>0</v>
      </c>
    </row>
    <row r="52" spans="2:9" ht="15" customHeight="1" x14ac:dyDescent="0.2">
      <c r="B52" t="s">
        <v>300</v>
      </c>
      <c r="C52" s="12">
        <v>32</v>
      </c>
      <c r="D52" s="8">
        <v>3.32</v>
      </c>
      <c r="E52" s="12">
        <v>29</v>
      </c>
      <c r="F52" s="8">
        <v>6.03</v>
      </c>
      <c r="G52" s="12">
        <v>3</v>
      </c>
      <c r="H52" s="8">
        <v>0.65</v>
      </c>
      <c r="I52" s="12">
        <v>0</v>
      </c>
    </row>
    <row r="53" spans="2:9" ht="15" customHeight="1" x14ac:dyDescent="0.2">
      <c r="B53" t="s">
        <v>299</v>
      </c>
      <c r="C53" s="12">
        <v>27</v>
      </c>
      <c r="D53" s="8">
        <v>2.8</v>
      </c>
      <c r="E53" s="12">
        <v>19</v>
      </c>
      <c r="F53" s="8">
        <v>3.95</v>
      </c>
      <c r="G53" s="12">
        <v>8</v>
      </c>
      <c r="H53" s="8">
        <v>1.72</v>
      </c>
      <c r="I53" s="12">
        <v>0</v>
      </c>
    </row>
    <row r="54" spans="2:9" ht="15" customHeight="1" x14ac:dyDescent="0.2">
      <c r="B54" t="s">
        <v>302</v>
      </c>
      <c r="C54" s="12">
        <v>24</v>
      </c>
      <c r="D54" s="8">
        <v>2.4900000000000002</v>
      </c>
      <c r="E54" s="12">
        <v>23</v>
      </c>
      <c r="F54" s="8">
        <v>4.78</v>
      </c>
      <c r="G54" s="12">
        <v>1</v>
      </c>
      <c r="H54" s="8">
        <v>0.22</v>
      </c>
      <c r="I54" s="12">
        <v>0</v>
      </c>
    </row>
    <row r="55" spans="2:9" ht="15" customHeight="1" x14ac:dyDescent="0.2">
      <c r="B55" t="s">
        <v>295</v>
      </c>
      <c r="C55" s="12">
        <v>17</v>
      </c>
      <c r="D55" s="8">
        <v>1.76</v>
      </c>
      <c r="E55" s="12">
        <v>11</v>
      </c>
      <c r="F55" s="8">
        <v>2.29</v>
      </c>
      <c r="G55" s="12">
        <v>6</v>
      </c>
      <c r="H55" s="8">
        <v>1.29</v>
      </c>
      <c r="I55" s="12">
        <v>0</v>
      </c>
    </row>
    <row r="56" spans="2:9" ht="15" customHeight="1" x14ac:dyDescent="0.2">
      <c r="B56" t="s">
        <v>307</v>
      </c>
      <c r="C56" s="12">
        <v>17</v>
      </c>
      <c r="D56" s="8">
        <v>1.76</v>
      </c>
      <c r="E56" s="12">
        <v>7</v>
      </c>
      <c r="F56" s="8">
        <v>1.46</v>
      </c>
      <c r="G56" s="12">
        <v>10</v>
      </c>
      <c r="H56" s="8">
        <v>2.15</v>
      </c>
      <c r="I56" s="12">
        <v>0</v>
      </c>
    </row>
    <row r="57" spans="2:9" ht="15" customHeight="1" x14ac:dyDescent="0.2">
      <c r="B57" t="s">
        <v>288</v>
      </c>
      <c r="C57" s="12">
        <v>16</v>
      </c>
      <c r="D57" s="8">
        <v>1.66</v>
      </c>
      <c r="E57" s="12">
        <v>2</v>
      </c>
      <c r="F57" s="8">
        <v>0.42</v>
      </c>
      <c r="G57" s="12">
        <v>14</v>
      </c>
      <c r="H57" s="8">
        <v>3.01</v>
      </c>
      <c r="I57" s="12">
        <v>0</v>
      </c>
    </row>
    <row r="58" spans="2:9" ht="15" customHeight="1" x14ac:dyDescent="0.2">
      <c r="B58" t="s">
        <v>333</v>
      </c>
      <c r="C58" s="12">
        <v>15</v>
      </c>
      <c r="D58" s="8">
        <v>1.56</v>
      </c>
      <c r="E58" s="12">
        <v>7</v>
      </c>
      <c r="F58" s="8">
        <v>1.46</v>
      </c>
      <c r="G58" s="12">
        <v>8</v>
      </c>
      <c r="H58" s="8">
        <v>1.72</v>
      </c>
      <c r="I58" s="12">
        <v>0</v>
      </c>
    </row>
    <row r="59" spans="2:9" ht="15" customHeight="1" x14ac:dyDescent="0.2">
      <c r="B59" t="s">
        <v>342</v>
      </c>
      <c r="C59" s="12">
        <v>15</v>
      </c>
      <c r="D59" s="8">
        <v>1.56</v>
      </c>
      <c r="E59" s="12">
        <v>2</v>
      </c>
      <c r="F59" s="8">
        <v>0.42</v>
      </c>
      <c r="G59" s="12">
        <v>12</v>
      </c>
      <c r="H59" s="8">
        <v>2.58</v>
      </c>
      <c r="I59" s="12">
        <v>1</v>
      </c>
    </row>
    <row r="60" spans="2:9" ht="15" customHeight="1" x14ac:dyDescent="0.2">
      <c r="B60" t="s">
        <v>330</v>
      </c>
      <c r="C60" s="12">
        <v>14</v>
      </c>
      <c r="D60" s="8">
        <v>1.45</v>
      </c>
      <c r="E60" s="12">
        <v>0</v>
      </c>
      <c r="F60" s="8">
        <v>0</v>
      </c>
      <c r="G60" s="12">
        <v>14</v>
      </c>
      <c r="H60" s="8">
        <v>3.01</v>
      </c>
      <c r="I60" s="12">
        <v>0</v>
      </c>
    </row>
    <row r="61" spans="2:9" ht="15" customHeight="1" x14ac:dyDescent="0.2">
      <c r="B61" t="s">
        <v>289</v>
      </c>
      <c r="C61" s="12">
        <v>13</v>
      </c>
      <c r="D61" s="8">
        <v>1.35</v>
      </c>
      <c r="E61" s="12">
        <v>1</v>
      </c>
      <c r="F61" s="8">
        <v>0.21</v>
      </c>
      <c r="G61" s="12">
        <v>12</v>
      </c>
      <c r="H61" s="8">
        <v>2.58</v>
      </c>
      <c r="I61" s="12">
        <v>0</v>
      </c>
    </row>
    <row r="62" spans="2:9" ht="15" customHeight="1" x14ac:dyDescent="0.2">
      <c r="B62" t="s">
        <v>328</v>
      </c>
      <c r="C62" s="12">
        <v>13</v>
      </c>
      <c r="D62" s="8">
        <v>1.35</v>
      </c>
      <c r="E62" s="12">
        <v>3</v>
      </c>
      <c r="F62" s="8">
        <v>0.62</v>
      </c>
      <c r="G62" s="12">
        <v>10</v>
      </c>
      <c r="H62" s="8">
        <v>2.15</v>
      </c>
      <c r="I62" s="12">
        <v>0</v>
      </c>
    </row>
    <row r="63" spans="2:9" ht="15" customHeight="1" x14ac:dyDescent="0.2">
      <c r="B63" t="s">
        <v>292</v>
      </c>
      <c r="C63" s="12">
        <v>12</v>
      </c>
      <c r="D63" s="8">
        <v>1.24</v>
      </c>
      <c r="E63" s="12">
        <v>10</v>
      </c>
      <c r="F63" s="8">
        <v>2.08</v>
      </c>
      <c r="G63" s="12">
        <v>2</v>
      </c>
      <c r="H63" s="8">
        <v>0.43</v>
      </c>
      <c r="I63" s="12">
        <v>0</v>
      </c>
    </row>
    <row r="64" spans="2:9" ht="15" customHeight="1" x14ac:dyDescent="0.2">
      <c r="B64" t="s">
        <v>339</v>
      </c>
      <c r="C64" s="12">
        <v>12</v>
      </c>
      <c r="D64" s="8">
        <v>1.24</v>
      </c>
      <c r="E64" s="12">
        <v>8</v>
      </c>
      <c r="F64" s="8">
        <v>1.66</v>
      </c>
      <c r="G64" s="12">
        <v>4</v>
      </c>
      <c r="H64" s="8">
        <v>0.86</v>
      </c>
      <c r="I64" s="12">
        <v>0</v>
      </c>
    </row>
    <row r="65" spans="2:9" ht="15" customHeight="1" x14ac:dyDescent="0.2">
      <c r="B65" t="s">
        <v>334</v>
      </c>
      <c r="C65" s="12">
        <v>12</v>
      </c>
      <c r="D65" s="8">
        <v>1.24</v>
      </c>
      <c r="E65" s="12">
        <v>11</v>
      </c>
      <c r="F65" s="8">
        <v>2.29</v>
      </c>
      <c r="G65" s="12">
        <v>1</v>
      </c>
      <c r="H65" s="8">
        <v>0.22</v>
      </c>
      <c r="I65" s="12">
        <v>0</v>
      </c>
    </row>
    <row r="66" spans="2:9" ht="15" customHeight="1" x14ac:dyDescent="0.2">
      <c r="B66" t="s">
        <v>346</v>
      </c>
      <c r="C66" s="12">
        <v>11</v>
      </c>
      <c r="D66" s="8">
        <v>1.1399999999999999</v>
      </c>
      <c r="E66" s="12">
        <v>0</v>
      </c>
      <c r="F66" s="8">
        <v>0</v>
      </c>
      <c r="G66" s="12">
        <v>11</v>
      </c>
      <c r="H66" s="8">
        <v>2.37</v>
      </c>
      <c r="I66" s="12">
        <v>0</v>
      </c>
    </row>
    <row r="67" spans="2:9" ht="15" customHeight="1" x14ac:dyDescent="0.2">
      <c r="B67" t="s">
        <v>335</v>
      </c>
      <c r="C67" s="12">
        <v>11</v>
      </c>
      <c r="D67" s="8">
        <v>1.1399999999999999</v>
      </c>
      <c r="E67" s="12">
        <v>6</v>
      </c>
      <c r="F67" s="8">
        <v>1.25</v>
      </c>
      <c r="G67" s="12">
        <v>5</v>
      </c>
      <c r="H67" s="8">
        <v>1.08</v>
      </c>
      <c r="I67" s="12">
        <v>0</v>
      </c>
    </row>
    <row r="68" spans="2:9" ht="15" customHeight="1" x14ac:dyDescent="0.2">
      <c r="B68" t="s">
        <v>294</v>
      </c>
      <c r="C68" s="12">
        <v>11</v>
      </c>
      <c r="D68" s="8">
        <v>1.1399999999999999</v>
      </c>
      <c r="E68" s="12">
        <v>3</v>
      </c>
      <c r="F68" s="8">
        <v>0.62</v>
      </c>
      <c r="G68" s="12">
        <v>8</v>
      </c>
      <c r="H68" s="8">
        <v>1.72</v>
      </c>
      <c r="I68" s="12">
        <v>0</v>
      </c>
    </row>
    <row r="69" spans="2:9" ht="15" customHeight="1" x14ac:dyDescent="0.2">
      <c r="B69" t="s">
        <v>306</v>
      </c>
      <c r="C69" s="12">
        <v>11</v>
      </c>
      <c r="D69" s="8">
        <v>1.1399999999999999</v>
      </c>
      <c r="E69" s="12">
        <v>11</v>
      </c>
      <c r="F69" s="8">
        <v>2.29</v>
      </c>
      <c r="G69" s="12">
        <v>0</v>
      </c>
      <c r="H69" s="8">
        <v>0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39DD0-D776-46E4-8E9D-F7FD4E1F3A89}">
  <sheetPr>
    <pageSetUpPr fitToPage="1"/>
  </sheetPr>
  <dimension ref="A1:I4851"/>
  <sheetViews>
    <sheetView workbookViewId="0"/>
  </sheetViews>
  <sheetFormatPr defaultRowHeight="13.2" x14ac:dyDescent="0.2"/>
  <cols>
    <col min="1" max="1" width="13" customWidth="1"/>
    <col min="2" max="2" width="45.77734375" customWidth="1"/>
    <col min="3" max="9" width="10.44140625" customWidth="1"/>
    <col min="10" max="10" width="27.109375" bestFit="1" customWidth="1"/>
  </cols>
  <sheetData>
    <row r="1" spans="1:9" ht="37.5" customHeight="1" x14ac:dyDescent="0.2">
      <c r="A1" s="6" t="s">
        <v>286</v>
      </c>
      <c r="B1" s="3" t="s">
        <v>287</v>
      </c>
      <c r="C1" s="7" t="s">
        <v>206</v>
      </c>
      <c r="D1" s="7" t="s">
        <v>207</v>
      </c>
      <c r="E1" s="7" t="s">
        <v>208</v>
      </c>
      <c r="F1" s="7" t="s">
        <v>209</v>
      </c>
      <c r="G1" s="7" t="s">
        <v>210</v>
      </c>
      <c r="H1" s="7" t="s">
        <v>211</v>
      </c>
      <c r="I1" s="7" t="s">
        <v>212</v>
      </c>
    </row>
    <row r="2" spans="1:9" x14ac:dyDescent="0.2">
      <c r="A2" s="1" t="s">
        <v>0</v>
      </c>
      <c r="C2" s="4"/>
      <c r="D2" s="8"/>
      <c r="E2" s="4"/>
      <c r="F2" s="8"/>
      <c r="G2" s="4"/>
      <c r="H2" s="8"/>
      <c r="I2" s="4"/>
    </row>
    <row r="3" spans="1:9" x14ac:dyDescent="0.2">
      <c r="A3" s="2">
        <v>1</v>
      </c>
      <c r="B3" s="1" t="s">
        <v>227</v>
      </c>
      <c r="C3" s="4">
        <v>15292</v>
      </c>
      <c r="D3" s="8">
        <v>12.71</v>
      </c>
      <c r="E3" s="4">
        <v>12632</v>
      </c>
      <c r="F3" s="8">
        <v>23.39</v>
      </c>
      <c r="G3" s="4">
        <v>2649</v>
      </c>
      <c r="H3" s="8">
        <v>4.1100000000000003</v>
      </c>
      <c r="I3" s="4">
        <v>10</v>
      </c>
    </row>
    <row r="4" spans="1:9" x14ac:dyDescent="0.2">
      <c r="A4" s="2">
        <v>2</v>
      </c>
      <c r="B4" s="1" t="s">
        <v>228</v>
      </c>
      <c r="C4" s="4">
        <v>12610</v>
      </c>
      <c r="D4" s="8">
        <v>10.48</v>
      </c>
      <c r="E4" s="4">
        <v>10507</v>
      </c>
      <c r="F4" s="8">
        <v>19.46</v>
      </c>
      <c r="G4" s="4">
        <v>2088</v>
      </c>
      <c r="H4" s="8">
        <v>3.24</v>
      </c>
      <c r="I4" s="4">
        <v>8</v>
      </c>
    </row>
    <row r="5" spans="1:9" x14ac:dyDescent="0.2">
      <c r="A5" s="2">
        <v>3</v>
      </c>
      <c r="B5" s="1" t="s">
        <v>224</v>
      </c>
      <c r="C5" s="4">
        <v>10462</v>
      </c>
      <c r="D5" s="8">
        <v>8.69</v>
      </c>
      <c r="E5" s="4">
        <v>5465</v>
      </c>
      <c r="F5" s="8">
        <v>10.119999999999999</v>
      </c>
      <c r="G5" s="4">
        <v>4915</v>
      </c>
      <c r="H5" s="8">
        <v>7.63</v>
      </c>
      <c r="I5" s="4">
        <v>9</v>
      </c>
    </row>
    <row r="6" spans="1:9" x14ac:dyDescent="0.2">
      <c r="A6" s="2">
        <v>4</v>
      </c>
      <c r="B6" s="1" t="s">
        <v>223</v>
      </c>
      <c r="C6" s="4">
        <v>7641</v>
      </c>
      <c r="D6" s="8">
        <v>6.35</v>
      </c>
      <c r="E6" s="4">
        <v>2756</v>
      </c>
      <c r="F6" s="8">
        <v>5.0999999999999996</v>
      </c>
      <c r="G6" s="4">
        <v>4879</v>
      </c>
      <c r="H6" s="8">
        <v>7.58</v>
      </c>
      <c r="I6" s="4">
        <v>6</v>
      </c>
    </row>
    <row r="7" spans="1:9" x14ac:dyDescent="0.2">
      <c r="A7" s="2">
        <v>5</v>
      </c>
      <c r="B7" s="1" t="s">
        <v>213</v>
      </c>
      <c r="C7" s="4">
        <v>6113</v>
      </c>
      <c r="D7" s="8">
        <v>5.08</v>
      </c>
      <c r="E7" s="4">
        <v>793</v>
      </c>
      <c r="F7" s="8">
        <v>1.47</v>
      </c>
      <c r="G7" s="4">
        <v>5319</v>
      </c>
      <c r="H7" s="8">
        <v>8.26</v>
      </c>
      <c r="I7" s="4">
        <v>1</v>
      </c>
    </row>
    <row r="8" spans="1:9" x14ac:dyDescent="0.2">
      <c r="A8" s="2">
        <v>6</v>
      </c>
      <c r="B8" s="1" t="s">
        <v>214</v>
      </c>
      <c r="C8" s="4">
        <v>5685</v>
      </c>
      <c r="D8" s="8">
        <v>4.72</v>
      </c>
      <c r="E8" s="4">
        <v>1625</v>
      </c>
      <c r="F8" s="8">
        <v>3.01</v>
      </c>
      <c r="G8" s="4">
        <v>4060</v>
      </c>
      <c r="H8" s="8">
        <v>6.3</v>
      </c>
      <c r="I8" s="4">
        <v>0</v>
      </c>
    </row>
    <row r="9" spans="1:9" x14ac:dyDescent="0.2">
      <c r="A9" s="2">
        <v>7</v>
      </c>
      <c r="B9" s="1" t="s">
        <v>221</v>
      </c>
      <c r="C9" s="4">
        <v>4745</v>
      </c>
      <c r="D9" s="8">
        <v>3.94</v>
      </c>
      <c r="E9" s="4">
        <v>2435</v>
      </c>
      <c r="F9" s="8">
        <v>4.51</v>
      </c>
      <c r="G9" s="4">
        <v>2281</v>
      </c>
      <c r="H9" s="8">
        <v>3.54</v>
      </c>
      <c r="I9" s="4">
        <v>27</v>
      </c>
    </row>
    <row r="10" spans="1:9" x14ac:dyDescent="0.2">
      <c r="A10" s="2">
        <v>8</v>
      </c>
      <c r="B10" s="1" t="s">
        <v>231</v>
      </c>
      <c r="C10" s="4">
        <v>4216</v>
      </c>
      <c r="D10" s="8">
        <v>3.5</v>
      </c>
      <c r="E10" s="4">
        <v>3516</v>
      </c>
      <c r="F10" s="8">
        <v>6.51</v>
      </c>
      <c r="G10" s="4">
        <v>690</v>
      </c>
      <c r="H10" s="8">
        <v>1.07</v>
      </c>
      <c r="I10" s="4">
        <v>1</v>
      </c>
    </row>
    <row r="11" spans="1:9" x14ac:dyDescent="0.2">
      <c r="A11" s="2">
        <v>9</v>
      </c>
      <c r="B11" s="1" t="s">
        <v>215</v>
      </c>
      <c r="C11" s="4">
        <v>4086</v>
      </c>
      <c r="D11" s="8">
        <v>3.4</v>
      </c>
      <c r="E11" s="4">
        <v>580</v>
      </c>
      <c r="F11" s="8">
        <v>1.07</v>
      </c>
      <c r="G11" s="4">
        <v>3506</v>
      </c>
      <c r="H11" s="8">
        <v>5.44</v>
      </c>
      <c r="I11" s="4">
        <v>0</v>
      </c>
    </row>
    <row r="12" spans="1:9" x14ac:dyDescent="0.2">
      <c r="A12" s="2">
        <v>10</v>
      </c>
      <c r="B12" s="1" t="s">
        <v>230</v>
      </c>
      <c r="C12" s="4">
        <v>3594</v>
      </c>
      <c r="D12" s="8">
        <v>2.99</v>
      </c>
      <c r="E12" s="4">
        <v>2361</v>
      </c>
      <c r="F12" s="8">
        <v>4.37</v>
      </c>
      <c r="G12" s="4">
        <v>889</v>
      </c>
      <c r="H12" s="8">
        <v>1.38</v>
      </c>
      <c r="I12" s="4">
        <v>21</v>
      </c>
    </row>
    <row r="13" spans="1:9" x14ac:dyDescent="0.2">
      <c r="A13" s="2">
        <v>11</v>
      </c>
      <c r="B13" s="1" t="s">
        <v>225</v>
      </c>
      <c r="C13" s="4">
        <v>3032</v>
      </c>
      <c r="D13" s="8">
        <v>2.52</v>
      </c>
      <c r="E13" s="4">
        <v>1909</v>
      </c>
      <c r="F13" s="8">
        <v>3.54</v>
      </c>
      <c r="G13" s="4">
        <v>1111</v>
      </c>
      <c r="H13" s="8">
        <v>1.73</v>
      </c>
      <c r="I13" s="4">
        <v>12</v>
      </c>
    </row>
    <row r="14" spans="1:9" x14ac:dyDescent="0.2">
      <c r="A14" s="2">
        <v>12</v>
      </c>
      <c r="B14" s="1" t="s">
        <v>222</v>
      </c>
      <c r="C14" s="4">
        <v>3030</v>
      </c>
      <c r="D14" s="8">
        <v>2.52</v>
      </c>
      <c r="E14" s="4">
        <v>1181</v>
      </c>
      <c r="F14" s="8">
        <v>2.19</v>
      </c>
      <c r="G14" s="4">
        <v>1849</v>
      </c>
      <c r="H14" s="8">
        <v>2.87</v>
      </c>
      <c r="I14" s="4">
        <v>0</v>
      </c>
    </row>
    <row r="15" spans="1:9" x14ac:dyDescent="0.2">
      <c r="A15" s="2">
        <v>13</v>
      </c>
      <c r="B15" s="1" t="s">
        <v>226</v>
      </c>
      <c r="C15" s="4">
        <v>2635</v>
      </c>
      <c r="D15" s="8">
        <v>2.19</v>
      </c>
      <c r="E15" s="4">
        <v>710</v>
      </c>
      <c r="F15" s="8">
        <v>1.31</v>
      </c>
      <c r="G15" s="4">
        <v>1860</v>
      </c>
      <c r="H15" s="8">
        <v>2.89</v>
      </c>
      <c r="I15" s="4">
        <v>8</v>
      </c>
    </row>
    <row r="16" spans="1:9" x14ac:dyDescent="0.2">
      <c r="A16" s="2">
        <v>14</v>
      </c>
      <c r="B16" s="1" t="s">
        <v>220</v>
      </c>
      <c r="C16" s="4">
        <v>2586</v>
      </c>
      <c r="D16" s="8">
        <v>2.15</v>
      </c>
      <c r="E16" s="4">
        <v>905</v>
      </c>
      <c r="F16" s="8">
        <v>1.68</v>
      </c>
      <c r="G16" s="4">
        <v>1681</v>
      </c>
      <c r="H16" s="8">
        <v>2.61</v>
      </c>
      <c r="I16" s="4">
        <v>0</v>
      </c>
    </row>
    <row r="17" spans="1:9" x14ac:dyDescent="0.2">
      <c r="A17" s="2">
        <v>15</v>
      </c>
      <c r="B17" s="1" t="s">
        <v>232</v>
      </c>
      <c r="C17" s="4">
        <v>2530</v>
      </c>
      <c r="D17" s="8">
        <v>2.1</v>
      </c>
      <c r="E17" s="4">
        <v>39</v>
      </c>
      <c r="F17" s="8">
        <v>7.0000000000000007E-2</v>
      </c>
      <c r="G17" s="4">
        <v>2015</v>
      </c>
      <c r="H17" s="8">
        <v>3.13</v>
      </c>
      <c r="I17" s="4">
        <v>32</v>
      </c>
    </row>
    <row r="18" spans="1:9" x14ac:dyDescent="0.2">
      <c r="A18" s="2">
        <v>16</v>
      </c>
      <c r="B18" s="1" t="s">
        <v>218</v>
      </c>
      <c r="C18" s="4">
        <v>2079</v>
      </c>
      <c r="D18" s="8">
        <v>1.73</v>
      </c>
      <c r="E18" s="4">
        <v>127</v>
      </c>
      <c r="F18" s="8">
        <v>0.24</v>
      </c>
      <c r="G18" s="4">
        <v>1951</v>
      </c>
      <c r="H18" s="8">
        <v>3.03</v>
      </c>
      <c r="I18" s="4">
        <v>1</v>
      </c>
    </row>
    <row r="19" spans="1:9" x14ac:dyDescent="0.2">
      <c r="A19" s="2">
        <v>17</v>
      </c>
      <c r="B19" s="1" t="s">
        <v>219</v>
      </c>
      <c r="C19" s="4">
        <v>1836</v>
      </c>
      <c r="D19" s="8">
        <v>1.53</v>
      </c>
      <c r="E19" s="4">
        <v>193</v>
      </c>
      <c r="F19" s="8">
        <v>0.36</v>
      </c>
      <c r="G19" s="4">
        <v>1641</v>
      </c>
      <c r="H19" s="8">
        <v>2.5499999999999998</v>
      </c>
      <c r="I19" s="4">
        <v>2</v>
      </c>
    </row>
    <row r="20" spans="1:9" x14ac:dyDescent="0.2">
      <c r="A20" s="2">
        <v>18</v>
      </c>
      <c r="B20" s="1" t="s">
        <v>217</v>
      </c>
      <c r="C20" s="4">
        <v>1785</v>
      </c>
      <c r="D20" s="8">
        <v>1.48</v>
      </c>
      <c r="E20" s="4">
        <v>171</v>
      </c>
      <c r="F20" s="8">
        <v>0.32</v>
      </c>
      <c r="G20" s="4">
        <v>1611</v>
      </c>
      <c r="H20" s="8">
        <v>2.5</v>
      </c>
      <c r="I20" s="4">
        <v>3</v>
      </c>
    </row>
    <row r="21" spans="1:9" x14ac:dyDescent="0.2">
      <c r="A21" s="2">
        <v>19</v>
      </c>
      <c r="B21" s="1" t="s">
        <v>216</v>
      </c>
      <c r="C21" s="4">
        <v>1567</v>
      </c>
      <c r="D21" s="8">
        <v>1.3</v>
      </c>
      <c r="E21" s="4">
        <v>184</v>
      </c>
      <c r="F21" s="8">
        <v>0.34</v>
      </c>
      <c r="G21" s="4">
        <v>1381</v>
      </c>
      <c r="H21" s="8">
        <v>2.14</v>
      </c>
      <c r="I21" s="4">
        <v>2</v>
      </c>
    </row>
    <row r="22" spans="1:9" x14ac:dyDescent="0.2">
      <c r="A22" s="2">
        <v>20</v>
      </c>
      <c r="B22" s="1" t="s">
        <v>229</v>
      </c>
      <c r="C22" s="4">
        <v>1471</v>
      </c>
      <c r="D22" s="8">
        <v>1.22</v>
      </c>
      <c r="E22" s="4">
        <v>611</v>
      </c>
      <c r="F22" s="8">
        <v>1.1299999999999999</v>
      </c>
      <c r="G22" s="4">
        <v>824</v>
      </c>
      <c r="H22" s="8">
        <v>1.28</v>
      </c>
      <c r="I22" s="4">
        <v>1</v>
      </c>
    </row>
    <row r="23" spans="1:9" x14ac:dyDescent="0.2">
      <c r="A23" s="1"/>
      <c r="C23" s="4"/>
      <c r="D23" s="8"/>
      <c r="E23" s="4"/>
      <c r="F23" s="8"/>
      <c r="G23" s="4"/>
      <c r="H23" s="8"/>
      <c r="I23" s="4"/>
    </row>
    <row r="24" spans="1:9" x14ac:dyDescent="0.2">
      <c r="A24" s="1" t="s">
        <v>1</v>
      </c>
      <c r="C24" s="4"/>
      <c r="D24" s="8"/>
      <c r="E24" s="4"/>
      <c r="F24" s="8"/>
      <c r="G24" s="4"/>
      <c r="H24" s="8"/>
      <c r="I24" s="4"/>
    </row>
    <row r="25" spans="1:9" x14ac:dyDescent="0.2">
      <c r="A25" s="2">
        <v>1</v>
      </c>
      <c r="B25" s="1" t="s">
        <v>224</v>
      </c>
      <c r="C25" s="4">
        <v>4796</v>
      </c>
      <c r="D25" s="8">
        <v>12.29</v>
      </c>
      <c r="E25" s="4">
        <v>2106</v>
      </c>
      <c r="F25" s="8">
        <v>15.32</v>
      </c>
      <c r="G25" s="4">
        <v>2679</v>
      </c>
      <c r="H25" s="8">
        <v>10.66</v>
      </c>
      <c r="I25" s="4">
        <v>7</v>
      </c>
    </row>
    <row r="26" spans="1:9" x14ac:dyDescent="0.2">
      <c r="A26" s="2">
        <v>2</v>
      </c>
      <c r="B26" s="1" t="s">
        <v>227</v>
      </c>
      <c r="C26" s="4">
        <v>4486</v>
      </c>
      <c r="D26" s="8">
        <v>11.5</v>
      </c>
      <c r="E26" s="4">
        <v>3371</v>
      </c>
      <c r="F26" s="8">
        <v>24.52</v>
      </c>
      <c r="G26" s="4">
        <v>1115</v>
      </c>
      <c r="H26" s="8">
        <v>4.4400000000000004</v>
      </c>
      <c r="I26" s="4">
        <v>0</v>
      </c>
    </row>
    <row r="27" spans="1:9" x14ac:dyDescent="0.2">
      <c r="A27" s="2">
        <v>3</v>
      </c>
      <c r="B27" s="1" t="s">
        <v>228</v>
      </c>
      <c r="C27" s="4">
        <v>3537</v>
      </c>
      <c r="D27" s="8">
        <v>9.07</v>
      </c>
      <c r="E27" s="4">
        <v>2593</v>
      </c>
      <c r="F27" s="8">
        <v>18.86</v>
      </c>
      <c r="G27" s="4">
        <v>944</v>
      </c>
      <c r="H27" s="8">
        <v>3.76</v>
      </c>
      <c r="I27" s="4">
        <v>0</v>
      </c>
    </row>
    <row r="28" spans="1:9" x14ac:dyDescent="0.2">
      <c r="A28" s="2">
        <v>4</v>
      </c>
      <c r="B28" s="1" t="s">
        <v>214</v>
      </c>
      <c r="C28" s="4">
        <v>1926</v>
      </c>
      <c r="D28" s="8">
        <v>4.9400000000000004</v>
      </c>
      <c r="E28" s="4">
        <v>150</v>
      </c>
      <c r="F28" s="8">
        <v>1.0900000000000001</v>
      </c>
      <c r="G28" s="4">
        <v>1776</v>
      </c>
      <c r="H28" s="8">
        <v>7.06</v>
      </c>
      <c r="I28" s="4">
        <v>0</v>
      </c>
    </row>
    <row r="29" spans="1:9" x14ac:dyDescent="0.2">
      <c r="A29" s="2">
        <v>5</v>
      </c>
      <c r="B29" s="1" t="s">
        <v>223</v>
      </c>
      <c r="C29" s="4">
        <v>1824</v>
      </c>
      <c r="D29" s="8">
        <v>4.67</v>
      </c>
      <c r="E29" s="4">
        <v>465</v>
      </c>
      <c r="F29" s="8">
        <v>3.38</v>
      </c>
      <c r="G29" s="4">
        <v>1357</v>
      </c>
      <c r="H29" s="8">
        <v>5.4</v>
      </c>
      <c r="I29" s="4">
        <v>2</v>
      </c>
    </row>
    <row r="30" spans="1:9" x14ac:dyDescent="0.2">
      <c r="A30" s="2">
        <v>6</v>
      </c>
      <c r="B30" s="1" t="s">
        <v>213</v>
      </c>
      <c r="C30" s="4">
        <v>1716</v>
      </c>
      <c r="D30" s="8">
        <v>4.4000000000000004</v>
      </c>
      <c r="E30" s="4">
        <v>60</v>
      </c>
      <c r="F30" s="8">
        <v>0.44</v>
      </c>
      <c r="G30" s="4">
        <v>1655</v>
      </c>
      <c r="H30" s="8">
        <v>6.58</v>
      </c>
      <c r="I30" s="4">
        <v>1</v>
      </c>
    </row>
    <row r="31" spans="1:9" x14ac:dyDescent="0.2">
      <c r="A31" s="2">
        <v>7</v>
      </c>
      <c r="B31" s="1" t="s">
        <v>225</v>
      </c>
      <c r="C31" s="4">
        <v>1685</v>
      </c>
      <c r="D31" s="8">
        <v>4.32</v>
      </c>
      <c r="E31" s="4">
        <v>964</v>
      </c>
      <c r="F31" s="8">
        <v>7.01</v>
      </c>
      <c r="G31" s="4">
        <v>716</v>
      </c>
      <c r="H31" s="8">
        <v>2.85</v>
      </c>
      <c r="I31" s="4">
        <v>5</v>
      </c>
    </row>
    <row r="32" spans="1:9" x14ac:dyDescent="0.2">
      <c r="A32" s="2">
        <v>8</v>
      </c>
      <c r="B32" s="1" t="s">
        <v>231</v>
      </c>
      <c r="C32" s="4">
        <v>1608</v>
      </c>
      <c r="D32" s="8">
        <v>4.12</v>
      </c>
      <c r="E32" s="4">
        <v>1255</v>
      </c>
      <c r="F32" s="8">
        <v>9.1300000000000008</v>
      </c>
      <c r="G32" s="4">
        <v>353</v>
      </c>
      <c r="H32" s="8">
        <v>1.4</v>
      </c>
      <c r="I32" s="4">
        <v>0</v>
      </c>
    </row>
    <row r="33" spans="1:9" x14ac:dyDescent="0.2">
      <c r="A33" s="2">
        <v>9</v>
      </c>
      <c r="B33" s="1" t="s">
        <v>215</v>
      </c>
      <c r="C33" s="4">
        <v>1500</v>
      </c>
      <c r="D33" s="8">
        <v>3.84</v>
      </c>
      <c r="E33" s="4">
        <v>67</v>
      </c>
      <c r="F33" s="8">
        <v>0.49</v>
      </c>
      <c r="G33" s="4">
        <v>1433</v>
      </c>
      <c r="H33" s="8">
        <v>5.7</v>
      </c>
      <c r="I33" s="4">
        <v>0</v>
      </c>
    </row>
    <row r="34" spans="1:9" x14ac:dyDescent="0.2">
      <c r="A34" s="2">
        <v>10</v>
      </c>
      <c r="B34" s="1" t="s">
        <v>230</v>
      </c>
      <c r="C34" s="4">
        <v>1143</v>
      </c>
      <c r="D34" s="8">
        <v>2.93</v>
      </c>
      <c r="E34" s="4">
        <v>703</v>
      </c>
      <c r="F34" s="8">
        <v>5.1100000000000003</v>
      </c>
      <c r="G34" s="4">
        <v>429</v>
      </c>
      <c r="H34" s="8">
        <v>1.71</v>
      </c>
      <c r="I34" s="4">
        <v>6</v>
      </c>
    </row>
    <row r="35" spans="1:9" x14ac:dyDescent="0.2">
      <c r="A35" s="2">
        <v>11</v>
      </c>
      <c r="B35" s="1" t="s">
        <v>226</v>
      </c>
      <c r="C35" s="4">
        <v>1088</v>
      </c>
      <c r="D35" s="8">
        <v>2.79</v>
      </c>
      <c r="E35" s="4">
        <v>189</v>
      </c>
      <c r="F35" s="8">
        <v>1.37</v>
      </c>
      <c r="G35" s="4">
        <v>896</v>
      </c>
      <c r="H35" s="8">
        <v>3.56</v>
      </c>
      <c r="I35" s="4">
        <v>1</v>
      </c>
    </row>
    <row r="36" spans="1:9" x14ac:dyDescent="0.2">
      <c r="A36" s="2">
        <v>12</v>
      </c>
      <c r="B36" s="1" t="s">
        <v>218</v>
      </c>
      <c r="C36" s="4">
        <v>953</v>
      </c>
      <c r="D36" s="8">
        <v>2.44</v>
      </c>
      <c r="E36" s="4">
        <v>16</v>
      </c>
      <c r="F36" s="8">
        <v>0.12</v>
      </c>
      <c r="G36" s="4">
        <v>937</v>
      </c>
      <c r="H36" s="8">
        <v>3.73</v>
      </c>
      <c r="I36" s="4">
        <v>0</v>
      </c>
    </row>
    <row r="37" spans="1:9" x14ac:dyDescent="0.2">
      <c r="A37" s="2">
        <v>13</v>
      </c>
      <c r="B37" s="1" t="s">
        <v>221</v>
      </c>
      <c r="C37" s="4">
        <v>901</v>
      </c>
      <c r="D37" s="8">
        <v>2.31</v>
      </c>
      <c r="E37" s="4">
        <v>337</v>
      </c>
      <c r="F37" s="8">
        <v>2.4500000000000002</v>
      </c>
      <c r="G37" s="4">
        <v>562</v>
      </c>
      <c r="H37" s="8">
        <v>2.2400000000000002</v>
      </c>
      <c r="I37" s="4">
        <v>2</v>
      </c>
    </row>
    <row r="38" spans="1:9" x14ac:dyDescent="0.2">
      <c r="A38" s="2">
        <v>14</v>
      </c>
      <c r="B38" s="1" t="s">
        <v>219</v>
      </c>
      <c r="C38" s="4">
        <v>875</v>
      </c>
      <c r="D38" s="8">
        <v>2.2400000000000002</v>
      </c>
      <c r="E38" s="4">
        <v>36</v>
      </c>
      <c r="F38" s="8">
        <v>0.26</v>
      </c>
      <c r="G38" s="4">
        <v>838</v>
      </c>
      <c r="H38" s="8">
        <v>3.33</v>
      </c>
      <c r="I38" s="4">
        <v>1</v>
      </c>
    </row>
    <row r="39" spans="1:9" x14ac:dyDescent="0.2">
      <c r="A39" s="2">
        <v>15</v>
      </c>
      <c r="B39" s="1" t="s">
        <v>233</v>
      </c>
      <c r="C39" s="4">
        <v>803</v>
      </c>
      <c r="D39" s="8">
        <v>2.06</v>
      </c>
      <c r="E39" s="4">
        <v>17</v>
      </c>
      <c r="F39" s="8">
        <v>0.12</v>
      </c>
      <c r="G39" s="4">
        <v>786</v>
      </c>
      <c r="H39" s="8">
        <v>3.13</v>
      </c>
      <c r="I39" s="4">
        <v>0</v>
      </c>
    </row>
    <row r="40" spans="1:9" x14ac:dyDescent="0.2">
      <c r="A40" s="2">
        <v>16</v>
      </c>
      <c r="B40" s="1" t="s">
        <v>220</v>
      </c>
      <c r="C40" s="4">
        <v>757</v>
      </c>
      <c r="D40" s="8">
        <v>1.94</v>
      </c>
      <c r="E40" s="4">
        <v>134</v>
      </c>
      <c r="F40" s="8">
        <v>0.97</v>
      </c>
      <c r="G40" s="4">
        <v>623</v>
      </c>
      <c r="H40" s="8">
        <v>2.48</v>
      </c>
      <c r="I40" s="4">
        <v>0</v>
      </c>
    </row>
    <row r="41" spans="1:9" x14ac:dyDescent="0.2">
      <c r="A41" s="2">
        <v>17</v>
      </c>
      <c r="B41" s="1" t="s">
        <v>222</v>
      </c>
      <c r="C41" s="4">
        <v>710</v>
      </c>
      <c r="D41" s="8">
        <v>1.82</v>
      </c>
      <c r="E41" s="4">
        <v>182</v>
      </c>
      <c r="F41" s="8">
        <v>1.32</v>
      </c>
      <c r="G41" s="4">
        <v>528</v>
      </c>
      <c r="H41" s="8">
        <v>2.1</v>
      </c>
      <c r="I41" s="4">
        <v>0</v>
      </c>
    </row>
    <row r="42" spans="1:9" x14ac:dyDescent="0.2">
      <c r="A42" s="2">
        <v>18</v>
      </c>
      <c r="B42" s="1" t="s">
        <v>234</v>
      </c>
      <c r="C42" s="4">
        <v>661</v>
      </c>
      <c r="D42" s="8">
        <v>1.69</v>
      </c>
      <c r="E42" s="4">
        <v>35</v>
      </c>
      <c r="F42" s="8">
        <v>0.25</v>
      </c>
      <c r="G42" s="4">
        <v>605</v>
      </c>
      <c r="H42" s="8">
        <v>2.41</v>
      </c>
      <c r="I42" s="4">
        <v>21</v>
      </c>
    </row>
    <row r="43" spans="1:9" x14ac:dyDescent="0.2">
      <c r="A43" s="2">
        <v>19</v>
      </c>
      <c r="B43" s="1" t="s">
        <v>232</v>
      </c>
      <c r="C43" s="4">
        <v>644</v>
      </c>
      <c r="D43" s="8">
        <v>1.65</v>
      </c>
      <c r="E43" s="4">
        <v>13</v>
      </c>
      <c r="F43" s="8">
        <v>0.09</v>
      </c>
      <c r="G43" s="4">
        <v>624</v>
      </c>
      <c r="H43" s="8">
        <v>2.48</v>
      </c>
      <c r="I43" s="4">
        <v>7</v>
      </c>
    </row>
    <row r="44" spans="1:9" x14ac:dyDescent="0.2">
      <c r="A44" s="2">
        <v>20</v>
      </c>
      <c r="B44" s="1" t="s">
        <v>217</v>
      </c>
      <c r="C44" s="4">
        <v>602</v>
      </c>
      <c r="D44" s="8">
        <v>1.54</v>
      </c>
      <c r="E44" s="4">
        <v>29</v>
      </c>
      <c r="F44" s="8">
        <v>0.21</v>
      </c>
      <c r="G44" s="4">
        <v>572</v>
      </c>
      <c r="H44" s="8">
        <v>2.2799999999999998</v>
      </c>
      <c r="I44" s="4">
        <v>1</v>
      </c>
    </row>
    <row r="45" spans="1:9" x14ac:dyDescent="0.2">
      <c r="A45" s="1"/>
      <c r="C45" s="4"/>
      <c r="D45" s="8"/>
      <c r="E45" s="4"/>
      <c r="F45" s="8"/>
      <c r="G45" s="4"/>
      <c r="H45" s="8"/>
      <c r="I45" s="4"/>
    </row>
    <row r="46" spans="1:9" x14ac:dyDescent="0.2">
      <c r="A46" s="1" t="s">
        <v>2</v>
      </c>
      <c r="C46" s="4"/>
      <c r="D46" s="8"/>
      <c r="E46" s="4"/>
      <c r="F46" s="8"/>
      <c r="G46" s="4"/>
      <c r="H46" s="8"/>
      <c r="I46" s="4"/>
    </row>
    <row r="47" spans="1:9" x14ac:dyDescent="0.2">
      <c r="A47" s="2">
        <v>1</v>
      </c>
      <c r="B47" s="1" t="s">
        <v>227</v>
      </c>
      <c r="C47" s="4">
        <v>2267</v>
      </c>
      <c r="D47" s="8">
        <v>20.8</v>
      </c>
      <c r="E47" s="4">
        <v>1628</v>
      </c>
      <c r="F47" s="8">
        <v>40.14</v>
      </c>
      <c r="G47" s="4">
        <v>639</v>
      </c>
      <c r="H47" s="8">
        <v>9.3800000000000008</v>
      </c>
      <c r="I47" s="4">
        <v>0</v>
      </c>
    </row>
    <row r="48" spans="1:9" x14ac:dyDescent="0.2">
      <c r="A48" s="2">
        <v>2</v>
      </c>
      <c r="B48" s="1" t="s">
        <v>224</v>
      </c>
      <c r="C48" s="4">
        <v>994</v>
      </c>
      <c r="D48" s="8">
        <v>9.1199999999999992</v>
      </c>
      <c r="E48" s="4">
        <v>314</v>
      </c>
      <c r="F48" s="8">
        <v>7.74</v>
      </c>
      <c r="G48" s="4">
        <v>678</v>
      </c>
      <c r="H48" s="8">
        <v>9.9499999999999993</v>
      </c>
      <c r="I48" s="4">
        <v>0</v>
      </c>
    </row>
    <row r="49" spans="1:9" x14ac:dyDescent="0.2">
      <c r="A49" s="2">
        <v>3</v>
      </c>
      <c r="B49" s="1" t="s">
        <v>225</v>
      </c>
      <c r="C49" s="4">
        <v>920</v>
      </c>
      <c r="D49" s="8">
        <v>8.44</v>
      </c>
      <c r="E49" s="4">
        <v>576</v>
      </c>
      <c r="F49" s="8">
        <v>14.2</v>
      </c>
      <c r="G49" s="4">
        <v>339</v>
      </c>
      <c r="H49" s="8">
        <v>4.9800000000000004</v>
      </c>
      <c r="I49" s="4">
        <v>5</v>
      </c>
    </row>
    <row r="50" spans="1:9" x14ac:dyDescent="0.2">
      <c r="A50" s="2">
        <v>4</v>
      </c>
      <c r="B50" s="1" t="s">
        <v>228</v>
      </c>
      <c r="C50" s="4">
        <v>822</v>
      </c>
      <c r="D50" s="8">
        <v>7.54</v>
      </c>
      <c r="E50" s="4">
        <v>541</v>
      </c>
      <c r="F50" s="8">
        <v>13.34</v>
      </c>
      <c r="G50" s="4">
        <v>281</v>
      </c>
      <c r="H50" s="8">
        <v>4.13</v>
      </c>
      <c r="I50" s="4">
        <v>0</v>
      </c>
    </row>
    <row r="51" spans="1:9" x14ac:dyDescent="0.2">
      <c r="A51" s="2">
        <v>5</v>
      </c>
      <c r="B51" s="1" t="s">
        <v>223</v>
      </c>
      <c r="C51" s="4">
        <v>567</v>
      </c>
      <c r="D51" s="8">
        <v>5.2</v>
      </c>
      <c r="E51" s="4">
        <v>135</v>
      </c>
      <c r="F51" s="8">
        <v>3.33</v>
      </c>
      <c r="G51" s="4">
        <v>430</v>
      </c>
      <c r="H51" s="8">
        <v>6.31</v>
      </c>
      <c r="I51" s="4">
        <v>2</v>
      </c>
    </row>
    <row r="52" spans="1:9" x14ac:dyDescent="0.2">
      <c r="A52" s="2">
        <v>6</v>
      </c>
      <c r="B52" s="1" t="s">
        <v>231</v>
      </c>
      <c r="C52" s="4">
        <v>388</v>
      </c>
      <c r="D52" s="8">
        <v>3.56</v>
      </c>
      <c r="E52" s="4">
        <v>306</v>
      </c>
      <c r="F52" s="8">
        <v>7.54</v>
      </c>
      <c r="G52" s="4">
        <v>82</v>
      </c>
      <c r="H52" s="8">
        <v>1.2</v>
      </c>
      <c r="I52" s="4">
        <v>0</v>
      </c>
    </row>
    <row r="53" spans="1:9" x14ac:dyDescent="0.2">
      <c r="A53" s="2">
        <v>7</v>
      </c>
      <c r="B53" s="1" t="s">
        <v>220</v>
      </c>
      <c r="C53" s="4">
        <v>369</v>
      </c>
      <c r="D53" s="8">
        <v>3.39</v>
      </c>
      <c r="E53" s="4">
        <v>50</v>
      </c>
      <c r="F53" s="8">
        <v>1.23</v>
      </c>
      <c r="G53" s="4">
        <v>319</v>
      </c>
      <c r="H53" s="8">
        <v>4.68</v>
      </c>
      <c r="I53" s="4">
        <v>0</v>
      </c>
    </row>
    <row r="54" spans="1:9" x14ac:dyDescent="0.2">
      <c r="A54" s="2">
        <v>8</v>
      </c>
      <c r="B54" s="1" t="s">
        <v>230</v>
      </c>
      <c r="C54" s="4">
        <v>336</v>
      </c>
      <c r="D54" s="8">
        <v>3.08</v>
      </c>
      <c r="E54" s="4">
        <v>178</v>
      </c>
      <c r="F54" s="8">
        <v>4.3899999999999997</v>
      </c>
      <c r="G54" s="4">
        <v>155</v>
      </c>
      <c r="H54" s="8">
        <v>2.2799999999999998</v>
      </c>
      <c r="I54" s="4">
        <v>2</v>
      </c>
    </row>
    <row r="55" spans="1:9" x14ac:dyDescent="0.2">
      <c r="A55" s="2">
        <v>9</v>
      </c>
      <c r="B55" s="1" t="s">
        <v>233</v>
      </c>
      <c r="C55" s="4">
        <v>292</v>
      </c>
      <c r="D55" s="8">
        <v>2.68</v>
      </c>
      <c r="E55" s="4">
        <v>1</v>
      </c>
      <c r="F55" s="8">
        <v>0.02</v>
      </c>
      <c r="G55" s="4">
        <v>291</v>
      </c>
      <c r="H55" s="8">
        <v>4.2699999999999996</v>
      </c>
      <c r="I55" s="4">
        <v>0</v>
      </c>
    </row>
    <row r="56" spans="1:9" x14ac:dyDescent="0.2">
      <c r="A56" s="2">
        <v>10</v>
      </c>
      <c r="B56" s="1" t="s">
        <v>226</v>
      </c>
      <c r="C56" s="4">
        <v>286</v>
      </c>
      <c r="D56" s="8">
        <v>2.62</v>
      </c>
      <c r="E56" s="4">
        <v>60</v>
      </c>
      <c r="F56" s="8">
        <v>1.48</v>
      </c>
      <c r="G56" s="4">
        <v>225</v>
      </c>
      <c r="H56" s="8">
        <v>3.3</v>
      </c>
      <c r="I56" s="4">
        <v>1</v>
      </c>
    </row>
    <row r="57" spans="1:9" x14ac:dyDescent="0.2">
      <c r="A57" s="2">
        <v>11</v>
      </c>
      <c r="B57" s="1" t="s">
        <v>221</v>
      </c>
      <c r="C57" s="4">
        <v>263</v>
      </c>
      <c r="D57" s="8">
        <v>2.41</v>
      </c>
      <c r="E57" s="4">
        <v>72</v>
      </c>
      <c r="F57" s="8">
        <v>1.78</v>
      </c>
      <c r="G57" s="4">
        <v>191</v>
      </c>
      <c r="H57" s="8">
        <v>2.8</v>
      </c>
      <c r="I57" s="4">
        <v>0</v>
      </c>
    </row>
    <row r="58" spans="1:9" x14ac:dyDescent="0.2">
      <c r="A58" s="2">
        <v>11</v>
      </c>
      <c r="B58" s="1" t="s">
        <v>234</v>
      </c>
      <c r="C58" s="4">
        <v>263</v>
      </c>
      <c r="D58" s="8">
        <v>2.41</v>
      </c>
      <c r="E58" s="4">
        <v>8</v>
      </c>
      <c r="F58" s="8">
        <v>0.2</v>
      </c>
      <c r="G58" s="4">
        <v>245</v>
      </c>
      <c r="H58" s="8">
        <v>3.6</v>
      </c>
      <c r="I58" s="4">
        <v>10</v>
      </c>
    </row>
    <row r="59" spans="1:9" x14ac:dyDescent="0.2">
      <c r="A59" s="2">
        <v>13</v>
      </c>
      <c r="B59" s="1" t="s">
        <v>218</v>
      </c>
      <c r="C59" s="4">
        <v>255</v>
      </c>
      <c r="D59" s="8">
        <v>2.34</v>
      </c>
      <c r="E59" s="4">
        <v>1</v>
      </c>
      <c r="F59" s="8">
        <v>0.02</v>
      </c>
      <c r="G59" s="4">
        <v>254</v>
      </c>
      <c r="H59" s="8">
        <v>3.73</v>
      </c>
      <c r="I59" s="4">
        <v>0</v>
      </c>
    </row>
    <row r="60" spans="1:9" x14ac:dyDescent="0.2">
      <c r="A60" s="2">
        <v>14</v>
      </c>
      <c r="B60" s="1" t="s">
        <v>219</v>
      </c>
      <c r="C60" s="4">
        <v>244</v>
      </c>
      <c r="D60" s="8">
        <v>2.2400000000000002</v>
      </c>
      <c r="E60" s="4">
        <v>4</v>
      </c>
      <c r="F60" s="8">
        <v>0.1</v>
      </c>
      <c r="G60" s="4">
        <v>240</v>
      </c>
      <c r="H60" s="8">
        <v>3.52</v>
      </c>
      <c r="I60" s="4">
        <v>0</v>
      </c>
    </row>
    <row r="61" spans="1:9" x14ac:dyDescent="0.2">
      <c r="A61" s="2">
        <v>15</v>
      </c>
      <c r="B61" s="1" t="s">
        <v>213</v>
      </c>
      <c r="C61" s="4">
        <v>211</v>
      </c>
      <c r="D61" s="8">
        <v>1.94</v>
      </c>
      <c r="E61" s="4">
        <v>4</v>
      </c>
      <c r="F61" s="8">
        <v>0.1</v>
      </c>
      <c r="G61" s="4">
        <v>207</v>
      </c>
      <c r="H61" s="8">
        <v>3.04</v>
      </c>
      <c r="I61" s="4">
        <v>0</v>
      </c>
    </row>
    <row r="62" spans="1:9" x14ac:dyDescent="0.2">
      <c r="A62" s="2">
        <v>16</v>
      </c>
      <c r="B62" s="1" t="s">
        <v>216</v>
      </c>
      <c r="C62" s="4">
        <v>193</v>
      </c>
      <c r="D62" s="8">
        <v>1.77</v>
      </c>
      <c r="E62" s="4">
        <v>8</v>
      </c>
      <c r="F62" s="8">
        <v>0.2</v>
      </c>
      <c r="G62" s="4">
        <v>185</v>
      </c>
      <c r="H62" s="8">
        <v>2.72</v>
      </c>
      <c r="I62" s="4">
        <v>0</v>
      </c>
    </row>
    <row r="63" spans="1:9" x14ac:dyDescent="0.2">
      <c r="A63" s="2">
        <v>17</v>
      </c>
      <c r="B63" s="1" t="s">
        <v>235</v>
      </c>
      <c r="C63" s="4">
        <v>176</v>
      </c>
      <c r="D63" s="8">
        <v>1.61</v>
      </c>
      <c r="E63" s="4">
        <v>3</v>
      </c>
      <c r="F63" s="8">
        <v>7.0000000000000007E-2</v>
      </c>
      <c r="G63" s="4">
        <v>173</v>
      </c>
      <c r="H63" s="8">
        <v>2.54</v>
      </c>
      <c r="I63" s="4">
        <v>0</v>
      </c>
    </row>
    <row r="64" spans="1:9" x14ac:dyDescent="0.2">
      <c r="A64" s="2">
        <v>18</v>
      </c>
      <c r="B64" s="1" t="s">
        <v>217</v>
      </c>
      <c r="C64" s="4">
        <v>166</v>
      </c>
      <c r="D64" s="8">
        <v>1.52</v>
      </c>
      <c r="E64" s="4">
        <v>4</v>
      </c>
      <c r="F64" s="8">
        <v>0.1</v>
      </c>
      <c r="G64" s="4">
        <v>161</v>
      </c>
      <c r="H64" s="8">
        <v>2.36</v>
      </c>
      <c r="I64" s="4">
        <v>1</v>
      </c>
    </row>
    <row r="65" spans="1:9" x14ac:dyDescent="0.2">
      <c r="A65" s="2">
        <v>19</v>
      </c>
      <c r="B65" s="1" t="s">
        <v>215</v>
      </c>
      <c r="C65" s="4">
        <v>147</v>
      </c>
      <c r="D65" s="8">
        <v>1.35</v>
      </c>
      <c r="E65" s="4">
        <v>1</v>
      </c>
      <c r="F65" s="8">
        <v>0.02</v>
      </c>
      <c r="G65" s="4">
        <v>146</v>
      </c>
      <c r="H65" s="8">
        <v>2.14</v>
      </c>
      <c r="I65" s="4">
        <v>0</v>
      </c>
    </row>
    <row r="66" spans="1:9" x14ac:dyDescent="0.2">
      <c r="A66" s="2">
        <v>20</v>
      </c>
      <c r="B66" s="1" t="s">
        <v>214</v>
      </c>
      <c r="C66" s="4">
        <v>144</v>
      </c>
      <c r="D66" s="8">
        <v>1.32</v>
      </c>
      <c r="E66" s="4">
        <v>7</v>
      </c>
      <c r="F66" s="8">
        <v>0.17</v>
      </c>
      <c r="G66" s="4">
        <v>137</v>
      </c>
      <c r="H66" s="8">
        <v>2.0099999999999998</v>
      </c>
      <c r="I66" s="4">
        <v>0</v>
      </c>
    </row>
    <row r="67" spans="1:9" x14ac:dyDescent="0.2">
      <c r="A67" s="1"/>
      <c r="C67" s="4"/>
      <c r="D67" s="8"/>
      <c r="E67" s="4"/>
      <c r="F67" s="8"/>
      <c r="G67" s="4"/>
      <c r="H67" s="8"/>
      <c r="I67" s="4"/>
    </row>
    <row r="68" spans="1:9" x14ac:dyDescent="0.2">
      <c r="A68" s="1" t="s">
        <v>3</v>
      </c>
      <c r="C68" s="4"/>
      <c r="D68" s="8"/>
      <c r="E68" s="4"/>
      <c r="F68" s="8"/>
      <c r="G68" s="4"/>
      <c r="H68" s="8"/>
      <c r="I68" s="4"/>
    </row>
    <row r="69" spans="1:9" x14ac:dyDescent="0.2">
      <c r="A69" s="2">
        <v>1</v>
      </c>
      <c r="B69" s="1" t="s">
        <v>224</v>
      </c>
      <c r="C69" s="4">
        <v>508</v>
      </c>
      <c r="D69" s="8">
        <v>10.23</v>
      </c>
      <c r="E69" s="4">
        <v>192</v>
      </c>
      <c r="F69" s="8">
        <v>12.2</v>
      </c>
      <c r="G69" s="4">
        <v>314</v>
      </c>
      <c r="H69" s="8">
        <v>9.3000000000000007</v>
      </c>
      <c r="I69" s="4">
        <v>2</v>
      </c>
    </row>
    <row r="70" spans="1:9" x14ac:dyDescent="0.2">
      <c r="A70" s="2">
        <v>2</v>
      </c>
      <c r="B70" s="1" t="s">
        <v>228</v>
      </c>
      <c r="C70" s="4">
        <v>499</v>
      </c>
      <c r="D70" s="8">
        <v>10.039999999999999</v>
      </c>
      <c r="E70" s="4">
        <v>389</v>
      </c>
      <c r="F70" s="8">
        <v>24.71</v>
      </c>
      <c r="G70" s="4">
        <v>110</v>
      </c>
      <c r="H70" s="8">
        <v>3.26</v>
      </c>
      <c r="I70" s="4">
        <v>0</v>
      </c>
    </row>
    <row r="71" spans="1:9" x14ac:dyDescent="0.2">
      <c r="A71" s="2">
        <v>3</v>
      </c>
      <c r="B71" s="1" t="s">
        <v>227</v>
      </c>
      <c r="C71" s="4">
        <v>384</v>
      </c>
      <c r="D71" s="8">
        <v>7.73</v>
      </c>
      <c r="E71" s="4">
        <v>299</v>
      </c>
      <c r="F71" s="8">
        <v>19</v>
      </c>
      <c r="G71" s="4">
        <v>85</v>
      </c>
      <c r="H71" s="8">
        <v>2.52</v>
      </c>
      <c r="I71" s="4">
        <v>0</v>
      </c>
    </row>
    <row r="72" spans="1:9" x14ac:dyDescent="0.2">
      <c r="A72" s="2">
        <v>4</v>
      </c>
      <c r="B72" s="1" t="s">
        <v>214</v>
      </c>
      <c r="C72" s="4">
        <v>365</v>
      </c>
      <c r="D72" s="8">
        <v>7.35</v>
      </c>
      <c r="E72" s="4">
        <v>25</v>
      </c>
      <c r="F72" s="8">
        <v>1.59</v>
      </c>
      <c r="G72" s="4">
        <v>340</v>
      </c>
      <c r="H72" s="8">
        <v>10.07</v>
      </c>
      <c r="I72" s="4">
        <v>0</v>
      </c>
    </row>
    <row r="73" spans="1:9" x14ac:dyDescent="0.2">
      <c r="A73" s="2">
        <v>5</v>
      </c>
      <c r="B73" s="1" t="s">
        <v>215</v>
      </c>
      <c r="C73" s="4">
        <v>306</v>
      </c>
      <c r="D73" s="8">
        <v>6.16</v>
      </c>
      <c r="E73" s="4">
        <v>12</v>
      </c>
      <c r="F73" s="8">
        <v>0.76</v>
      </c>
      <c r="G73" s="4">
        <v>294</v>
      </c>
      <c r="H73" s="8">
        <v>8.6999999999999993</v>
      </c>
      <c r="I73" s="4">
        <v>0</v>
      </c>
    </row>
    <row r="74" spans="1:9" x14ac:dyDescent="0.2">
      <c r="A74" s="2">
        <v>6</v>
      </c>
      <c r="B74" s="1" t="s">
        <v>213</v>
      </c>
      <c r="C74" s="4">
        <v>300</v>
      </c>
      <c r="D74" s="8">
        <v>6.04</v>
      </c>
      <c r="E74" s="4">
        <v>8</v>
      </c>
      <c r="F74" s="8">
        <v>0.51</v>
      </c>
      <c r="G74" s="4">
        <v>292</v>
      </c>
      <c r="H74" s="8">
        <v>8.64</v>
      </c>
      <c r="I74" s="4">
        <v>0</v>
      </c>
    </row>
    <row r="75" spans="1:9" x14ac:dyDescent="0.2">
      <c r="A75" s="2">
        <v>7</v>
      </c>
      <c r="B75" s="1" t="s">
        <v>223</v>
      </c>
      <c r="C75" s="4">
        <v>220</v>
      </c>
      <c r="D75" s="8">
        <v>4.43</v>
      </c>
      <c r="E75" s="4">
        <v>60</v>
      </c>
      <c r="F75" s="8">
        <v>3.81</v>
      </c>
      <c r="G75" s="4">
        <v>160</v>
      </c>
      <c r="H75" s="8">
        <v>4.74</v>
      </c>
      <c r="I75" s="4">
        <v>0</v>
      </c>
    </row>
    <row r="76" spans="1:9" x14ac:dyDescent="0.2">
      <c r="A76" s="2">
        <v>8</v>
      </c>
      <c r="B76" s="1" t="s">
        <v>231</v>
      </c>
      <c r="C76" s="4">
        <v>211</v>
      </c>
      <c r="D76" s="8">
        <v>4.25</v>
      </c>
      <c r="E76" s="4">
        <v>159</v>
      </c>
      <c r="F76" s="8">
        <v>10.1</v>
      </c>
      <c r="G76" s="4">
        <v>52</v>
      </c>
      <c r="H76" s="8">
        <v>1.54</v>
      </c>
      <c r="I76" s="4">
        <v>0</v>
      </c>
    </row>
    <row r="77" spans="1:9" x14ac:dyDescent="0.2">
      <c r="A77" s="2">
        <v>9</v>
      </c>
      <c r="B77" s="1" t="s">
        <v>225</v>
      </c>
      <c r="C77" s="4">
        <v>185</v>
      </c>
      <c r="D77" s="8">
        <v>3.72</v>
      </c>
      <c r="E77" s="4">
        <v>92</v>
      </c>
      <c r="F77" s="8">
        <v>5.84</v>
      </c>
      <c r="G77" s="4">
        <v>93</v>
      </c>
      <c r="H77" s="8">
        <v>2.75</v>
      </c>
      <c r="I77" s="4">
        <v>0</v>
      </c>
    </row>
    <row r="78" spans="1:9" x14ac:dyDescent="0.2">
      <c r="A78" s="2">
        <v>10</v>
      </c>
      <c r="B78" s="1" t="s">
        <v>226</v>
      </c>
      <c r="C78" s="4">
        <v>149</v>
      </c>
      <c r="D78" s="8">
        <v>3</v>
      </c>
      <c r="E78" s="4">
        <v>20</v>
      </c>
      <c r="F78" s="8">
        <v>1.27</v>
      </c>
      <c r="G78" s="4">
        <v>128</v>
      </c>
      <c r="H78" s="8">
        <v>3.79</v>
      </c>
      <c r="I78" s="4">
        <v>0</v>
      </c>
    </row>
    <row r="79" spans="1:9" x14ac:dyDescent="0.2">
      <c r="A79" s="2">
        <v>11</v>
      </c>
      <c r="B79" s="1" t="s">
        <v>230</v>
      </c>
      <c r="C79" s="4">
        <v>128</v>
      </c>
      <c r="D79" s="8">
        <v>2.58</v>
      </c>
      <c r="E79" s="4">
        <v>71</v>
      </c>
      <c r="F79" s="8">
        <v>4.51</v>
      </c>
      <c r="G79" s="4">
        <v>56</v>
      </c>
      <c r="H79" s="8">
        <v>1.66</v>
      </c>
      <c r="I79" s="4">
        <v>0</v>
      </c>
    </row>
    <row r="80" spans="1:9" x14ac:dyDescent="0.2">
      <c r="A80" s="2">
        <v>12</v>
      </c>
      <c r="B80" s="1" t="s">
        <v>218</v>
      </c>
      <c r="C80" s="4">
        <v>127</v>
      </c>
      <c r="D80" s="8">
        <v>2.56</v>
      </c>
      <c r="E80" s="4">
        <v>1</v>
      </c>
      <c r="F80" s="8">
        <v>0.06</v>
      </c>
      <c r="G80" s="4">
        <v>126</v>
      </c>
      <c r="H80" s="8">
        <v>3.73</v>
      </c>
      <c r="I80" s="4">
        <v>0</v>
      </c>
    </row>
    <row r="81" spans="1:9" x14ac:dyDescent="0.2">
      <c r="A81" s="2">
        <v>13</v>
      </c>
      <c r="B81" s="1" t="s">
        <v>222</v>
      </c>
      <c r="C81" s="4">
        <v>116</v>
      </c>
      <c r="D81" s="8">
        <v>2.33</v>
      </c>
      <c r="E81" s="4">
        <v>37</v>
      </c>
      <c r="F81" s="8">
        <v>2.35</v>
      </c>
      <c r="G81" s="4">
        <v>79</v>
      </c>
      <c r="H81" s="8">
        <v>2.34</v>
      </c>
      <c r="I81" s="4">
        <v>0</v>
      </c>
    </row>
    <row r="82" spans="1:9" x14ac:dyDescent="0.2">
      <c r="A82" s="2">
        <v>14</v>
      </c>
      <c r="B82" s="1" t="s">
        <v>221</v>
      </c>
      <c r="C82" s="4">
        <v>109</v>
      </c>
      <c r="D82" s="8">
        <v>2.19</v>
      </c>
      <c r="E82" s="4">
        <v>39</v>
      </c>
      <c r="F82" s="8">
        <v>2.48</v>
      </c>
      <c r="G82" s="4">
        <v>70</v>
      </c>
      <c r="H82" s="8">
        <v>2.0699999999999998</v>
      </c>
      <c r="I82" s="4">
        <v>0</v>
      </c>
    </row>
    <row r="83" spans="1:9" x14ac:dyDescent="0.2">
      <c r="A83" s="2">
        <v>15</v>
      </c>
      <c r="B83" s="1" t="s">
        <v>219</v>
      </c>
      <c r="C83" s="4">
        <v>103</v>
      </c>
      <c r="D83" s="8">
        <v>2.0699999999999998</v>
      </c>
      <c r="E83" s="4">
        <v>8</v>
      </c>
      <c r="F83" s="8">
        <v>0.51</v>
      </c>
      <c r="G83" s="4">
        <v>95</v>
      </c>
      <c r="H83" s="8">
        <v>2.81</v>
      </c>
      <c r="I83" s="4">
        <v>0</v>
      </c>
    </row>
    <row r="84" spans="1:9" x14ac:dyDescent="0.2">
      <c r="A84" s="2">
        <v>16</v>
      </c>
      <c r="B84" s="1" t="s">
        <v>233</v>
      </c>
      <c r="C84" s="4">
        <v>97</v>
      </c>
      <c r="D84" s="8">
        <v>1.95</v>
      </c>
      <c r="E84" s="4">
        <v>2</v>
      </c>
      <c r="F84" s="8">
        <v>0.13</v>
      </c>
      <c r="G84" s="4">
        <v>95</v>
      </c>
      <c r="H84" s="8">
        <v>2.81</v>
      </c>
      <c r="I84" s="4">
        <v>0</v>
      </c>
    </row>
    <row r="85" spans="1:9" x14ac:dyDescent="0.2">
      <c r="A85" s="2">
        <v>17</v>
      </c>
      <c r="B85" s="1" t="s">
        <v>234</v>
      </c>
      <c r="C85" s="4">
        <v>88</v>
      </c>
      <c r="D85" s="8">
        <v>1.77</v>
      </c>
      <c r="E85" s="4">
        <v>5</v>
      </c>
      <c r="F85" s="8">
        <v>0.32</v>
      </c>
      <c r="G85" s="4">
        <v>81</v>
      </c>
      <c r="H85" s="8">
        <v>2.4</v>
      </c>
      <c r="I85" s="4">
        <v>2</v>
      </c>
    </row>
    <row r="86" spans="1:9" x14ac:dyDescent="0.2">
      <c r="A86" s="2">
        <v>18</v>
      </c>
      <c r="B86" s="1" t="s">
        <v>220</v>
      </c>
      <c r="C86" s="4">
        <v>84</v>
      </c>
      <c r="D86" s="8">
        <v>1.69</v>
      </c>
      <c r="E86" s="4">
        <v>17</v>
      </c>
      <c r="F86" s="8">
        <v>1.08</v>
      </c>
      <c r="G86" s="4">
        <v>67</v>
      </c>
      <c r="H86" s="8">
        <v>1.98</v>
      </c>
      <c r="I86" s="4">
        <v>0</v>
      </c>
    </row>
    <row r="87" spans="1:9" x14ac:dyDescent="0.2">
      <c r="A87" s="2">
        <v>19</v>
      </c>
      <c r="B87" s="1" t="s">
        <v>232</v>
      </c>
      <c r="C87" s="4">
        <v>82</v>
      </c>
      <c r="D87" s="8">
        <v>1.65</v>
      </c>
      <c r="E87" s="4">
        <v>2</v>
      </c>
      <c r="F87" s="8">
        <v>0.13</v>
      </c>
      <c r="G87" s="4">
        <v>79</v>
      </c>
      <c r="H87" s="8">
        <v>2.34</v>
      </c>
      <c r="I87" s="4">
        <v>1</v>
      </c>
    </row>
    <row r="88" spans="1:9" x14ac:dyDescent="0.2">
      <c r="A88" s="2">
        <v>20</v>
      </c>
      <c r="B88" s="1" t="s">
        <v>229</v>
      </c>
      <c r="C88" s="4">
        <v>73</v>
      </c>
      <c r="D88" s="8">
        <v>1.47</v>
      </c>
      <c r="E88" s="4">
        <v>23</v>
      </c>
      <c r="F88" s="8">
        <v>1.46</v>
      </c>
      <c r="G88" s="4">
        <v>50</v>
      </c>
      <c r="H88" s="8">
        <v>1.48</v>
      </c>
      <c r="I88" s="4">
        <v>0</v>
      </c>
    </row>
    <row r="89" spans="1:9" x14ac:dyDescent="0.2">
      <c r="A89" s="1"/>
      <c r="C89" s="4"/>
      <c r="D89" s="8"/>
      <c r="E89" s="4"/>
      <c r="F89" s="8"/>
      <c r="G89" s="4"/>
      <c r="H89" s="8"/>
      <c r="I89" s="4"/>
    </row>
    <row r="90" spans="1:9" x14ac:dyDescent="0.2">
      <c r="A90" s="1" t="s">
        <v>4</v>
      </c>
      <c r="C90" s="4"/>
      <c r="D90" s="8"/>
      <c r="E90" s="4"/>
      <c r="F90" s="8"/>
      <c r="G90" s="4"/>
      <c r="H90" s="8"/>
      <c r="I90" s="4"/>
    </row>
    <row r="91" spans="1:9" x14ac:dyDescent="0.2">
      <c r="A91" s="2">
        <v>1</v>
      </c>
      <c r="B91" s="1" t="s">
        <v>224</v>
      </c>
      <c r="C91" s="4">
        <v>629</v>
      </c>
      <c r="D91" s="8">
        <v>13.52</v>
      </c>
      <c r="E91" s="4">
        <v>279</v>
      </c>
      <c r="F91" s="8">
        <v>20.54</v>
      </c>
      <c r="G91" s="4">
        <v>349</v>
      </c>
      <c r="H91" s="8">
        <v>10.64</v>
      </c>
      <c r="I91" s="4">
        <v>1</v>
      </c>
    </row>
    <row r="92" spans="1:9" x14ac:dyDescent="0.2">
      <c r="A92" s="2">
        <v>2</v>
      </c>
      <c r="B92" s="1" t="s">
        <v>228</v>
      </c>
      <c r="C92" s="4">
        <v>392</v>
      </c>
      <c r="D92" s="8">
        <v>8.43</v>
      </c>
      <c r="E92" s="4">
        <v>305</v>
      </c>
      <c r="F92" s="8">
        <v>22.46</v>
      </c>
      <c r="G92" s="4">
        <v>87</v>
      </c>
      <c r="H92" s="8">
        <v>2.65</v>
      </c>
      <c r="I92" s="4">
        <v>0</v>
      </c>
    </row>
    <row r="93" spans="1:9" x14ac:dyDescent="0.2">
      <c r="A93" s="2">
        <v>3</v>
      </c>
      <c r="B93" s="1" t="s">
        <v>214</v>
      </c>
      <c r="C93" s="4">
        <v>351</v>
      </c>
      <c r="D93" s="8">
        <v>7.55</v>
      </c>
      <c r="E93" s="4">
        <v>24</v>
      </c>
      <c r="F93" s="8">
        <v>1.77</v>
      </c>
      <c r="G93" s="4">
        <v>327</v>
      </c>
      <c r="H93" s="8">
        <v>9.9700000000000006</v>
      </c>
      <c r="I93" s="4">
        <v>0</v>
      </c>
    </row>
    <row r="94" spans="1:9" x14ac:dyDescent="0.2">
      <c r="A94" s="2">
        <v>4</v>
      </c>
      <c r="B94" s="1" t="s">
        <v>215</v>
      </c>
      <c r="C94" s="4">
        <v>276</v>
      </c>
      <c r="D94" s="8">
        <v>5.93</v>
      </c>
      <c r="E94" s="4">
        <v>11</v>
      </c>
      <c r="F94" s="8">
        <v>0.81</v>
      </c>
      <c r="G94" s="4">
        <v>265</v>
      </c>
      <c r="H94" s="8">
        <v>8.08</v>
      </c>
      <c r="I94" s="4">
        <v>0</v>
      </c>
    </row>
    <row r="95" spans="1:9" x14ac:dyDescent="0.2">
      <c r="A95" s="2">
        <v>5</v>
      </c>
      <c r="B95" s="1" t="s">
        <v>227</v>
      </c>
      <c r="C95" s="4">
        <v>261</v>
      </c>
      <c r="D95" s="8">
        <v>5.61</v>
      </c>
      <c r="E95" s="4">
        <v>218</v>
      </c>
      <c r="F95" s="8">
        <v>16.05</v>
      </c>
      <c r="G95" s="4">
        <v>43</v>
      </c>
      <c r="H95" s="8">
        <v>1.31</v>
      </c>
      <c r="I95" s="4">
        <v>0</v>
      </c>
    </row>
    <row r="96" spans="1:9" x14ac:dyDescent="0.2">
      <c r="A96" s="2">
        <v>6</v>
      </c>
      <c r="B96" s="1" t="s">
        <v>213</v>
      </c>
      <c r="C96" s="4">
        <v>259</v>
      </c>
      <c r="D96" s="8">
        <v>5.57</v>
      </c>
      <c r="E96" s="4">
        <v>11</v>
      </c>
      <c r="F96" s="8">
        <v>0.81</v>
      </c>
      <c r="G96" s="4">
        <v>248</v>
      </c>
      <c r="H96" s="8">
        <v>7.56</v>
      </c>
      <c r="I96" s="4">
        <v>0</v>
      </c>
    </row>
    <row r="97" spans="1:9" x14ac:dyDescent="0.2">
      <c r="A97" s="2">
        <v>7</v>
      </c>
      <c r="B97" s="1" t="s">
        <v>223</v>
      </c>
      <c r="C97" s="4">
        <v>192</v>
      </c>
      <c r="D97" s="8">
        <v>4.13</v>
      </c>
      <c r="E97" s="4">
        <v>43</v>
      </c>
      <c r="F97" s="8">
        <v>3.17</v>
      </c>
      <c r="G97" s="4">
        <v>149</v>
      </c>
      <c r="H97" s="8">
        <v>4.54</v>
      </c>
      <c r="I97" s="4">
        <v>0</v>
      </c>
    </row>
    <row r="98" spans="1:9" x14ac:dyDescent="0.2">
      <c r="A98" s="2">
        <v>8</v>
      </c>
      <c r="B98" s="1" t="s">
        <v>218</v>
      </c>
      <c r="C98" s="4">
        <v>172</v>
      </c>
      <c r="D98" s="8">
        <v>3.7</v>
      </c>
      <c r="E98" s="4">
        <v>2</v>
      </c>
      <c r="F98" s="8">
        <v>0.15</v>
      </c>
      <c r="G98" s="4">
        <v>170</v>
      </c>
      <c r="H98" s="8">
        <v>5.18</v>
      </c>
      <c r="I98" s="4">
        <v>0</v>
      </c>
    </row>
    <row r="99" spans="1:9" x14ac:dyDescent="0.2">
      <c r="A99" s="2">
        <v>9</v>
      </c>
      <c r="B99" s="1" t="s">
        <v>231</v>
      </c>
      <c r="C99" s="4">
        <v>160</v>
      </c>
      <c r="D99" s="8">
        <v>3.44</v>
      </c>
      <c r="E99" s="4">
        <v>122</v>
      </c>
      <c r="F99" s="8">
        <v>8.98</v>
      </c>
      <c r="G99" s="4">
        <v>38</v>
      </c>
      <c r="H99" s="8">
        <v>1.1599999999999999</v>
      </c>
      <c r="I99" s="4">
        <v>0</v>
      </c>
    </row>
    <row r="100" spans="1:9" x14ac:dyDescent="0.2">
      <c r="A100" s="2">
        <v>10</v>
      </c>
      <c r="B100" s="1" t="s">
        <v>219</v>
      </c>
      <c r="C100" s="4">
        <v>120</v>
      </c>
      <c r="D100" s="8">
        <v>2.58</v>
      </c>
      <c r="E100" s="4">
        <v>3</v>
      </c>
      <c r="F100" s="8">
        <v>0.22</v>
      </c>
      <c r="G100" s="4">
        <v>116</v>
      </c>
      <c r="H100" s="8">
        <v>3.54</v>
      </c>
      <c r="I100" s="4">
        <v>1</v>
      </c>
    </row>
    <row r="101" spans="1:9" x14ac:dyDescent="0.2">
      <c r="A101" s="2">
        <v>11</v>
      </c>
      <c r="B101" s="1" t="s">
        <v>222</v>
      </c>
      <c r="C101" s="4">
        <v>117</v>
      </c>
      <c r="D101" s="8">
        <v>2.52</v>
      </c>
      <c r="E101" s="4">
        <v>21</v>
      </c>
      <c r="F101" s="8">
        <v>1.55</v>
      </c>
      <c r="G101" s="4">
        <v>96</v>
      </c>
      <c r="H101" s="8">
        <v>2.93</v>
      </c>
      <c r="I101" s="4">
        <v>0</v>
      </c>
    </row>
    <row r="102" spans="1:9" x14ac:dyDescent="0.2">
      <c r="A102" s="2">
        <v>12</v>
      </c>
      <c r="B102" s="1" t="s">
        <v>225</v>
      </c>
      <c r="C102" s="4">
        <v>114</v>
      </c>
      <c r="D102" s="8">
        <v>2.4500000000000002</v>
      </c>
      <c r="E102" s="4">
        <v>54</v>
      </c>
      <c r="F102" s="8">
        <v>3.98</v>
      </c>
      <c r="G102" s="4">
        <v>60</v>
      </c>
      <c r="H102" s="8">
        <v>1.83</v>
      </c>
      <c r="I102" s="4">
        <v>0</v>
      </c>
    </row>
    <row r="103" spans="1:9" x14ac:dyDescent="0.2">
      <c r="A103" s="2">
        <v>13</v>
      </c>
      <c r="B103" s="1" t="s">
        <v>226</v>
      </c>
      <c r="C103" s="4">
        <v>109</v>
      </c>
      <c r="D103" s="8">
        <v>2.34</v>
      </c>
      <c r="E103" s="4">
        <v>18</v>
      </c>
      <c r="F103" s="8">
        <v>1.33</v>
      </c>
      <c r="G103" s="4">
        <v>91</v>
      </c>
      <c r="H103" s="8">
        <v>2.77</v>
      </c>
      <c r="I103" s="4">
        <v>0</v>
      </c>
    </row>
    <row r="104" spans="1:9" x14ac:dyDescent="0.2">
      <c r="A104" s="2">
        <v>14</v>
      </c>
      <c r="B104" s="1" t="s">
        <v>230</v>
      </c>
      <c r="C104" s="4">
        <v>101</v>
      </c>
      <c r="D104" s="8">
        <v>2.17</v>
      </c>
      <c r="E104" s="4">
        <v>60</v>
      </c>
      <c r="F104" s="8">
        <v>4.42</v>
      </c>
      <c r="G104" s="4">
        <v>40</v>
      </c>
      <c r="H104" s="8">
        <v>1.22</v>
      </c>
      <c r="I104" s="4">
        <v>0</v>
      </c>
    </row>
    <row r="105" spans="1:9" x14ac:dyDescent="0.2">
      <c r="A105" s="2">
        <v>15</v>
      </c>
      <c r="B105" s="1" t="s">
        <v>217</v>
      </c>
      <c r="C105" s="4">
        <v>100</v>
      </c>
      <c r="D105" s="8">
        <v>2.15</v>
      </c>
      <c r="E105" s="4">
        <v>8</v>
      </c>
      <c r="F105" s="8">
        <v>0.59</v>
      </c>
      <c r="G105" s="4">
        <v>92</v>
      </c>
      <c r="H105" s="8">
        <v>2.8</v>
      </c>
      <c r="I105" s="4">
        <v>0</v>
      </c>
    </row>
    <row r="106" spans="1:9" x14ac:dyDescent="0.2">
      <c r="A106" s="2">
        <v>16</v>
      </c>
      <c r="B106" s="1" t="s">
        <v>232</v>
      </c>
      <c r="C106" s="4">
        <v>96</v>
      </c>
      <c r="D106" s="8">
        <v>2.06</v>
      </c>
      <c r="E106" s="4">
        <v>0</v>
      </c>
      <c r="F106" s="8">
        <v>0</v>
      </c>
      <c r="G106" s="4">
        <v>96</v>
      </c>
      <c r="H106" s="8">
        <v>2.93</v>
      </c>
      <c r="I106" s="4">
        <v>0</v>
      </c>
    </row>
    <row r="107" spans="1:9" x14ac:dyDescent="0.2">
      <c r="A107" s="2">
        <v>17</v>
      </c>
      <c r="B107" s="1" t="s">
        <v>233</v>
      </c>
      <c r="C107" s="4">
        <v>91</v>
      </c>
      <c r="D107" s="8">
        <v>1.96</v>
      </c>
      <c r="E107" s="4">
        <v>3</v>
      </c>
      <c r="F107" s="8">
        <v>0.22</v>
      </c>
      <c r="G107" s="4">
        <v>88</v>
      </c>
      <c r="H107" s="8">
        <v>2.68</v>
      </c>
      <c r="I107" s="4">
        <v>0</v>
      </c>
    </row>
    <row r="108" spans="1:9" x14ac:dyDescent="0.2">
      <c r="A108" s="2">
        <v>18</v>
      </c>
      <c r="B108" s="1" t="s">
        <v>221</v>
      </c>
      <c r="C108" s="4">
        <v>88</v>
      </c>
      <c r="D108" s="8">
        <v>1.89</v>
      </c>
      <c r="E108" s="4">
        <v>35</v>
      </c>
      <c r="F108" s="8">
        <v>2.58</v>
      </c>
      <c r="G108" s="4">
        <v>52</v>
      </c>
      <c r="H108" s="8">
        <v>1.59</v>
      </c>
      <c r="I108" s="4">
        <v>1</v>
      </c>
    </row>
    <row r="109" spans="1:9" x14ac:dyDescent="0.2">
      <c r="A109" s="2">
        <v>19</v>
      </c>
      <c r="B109" s="1" t="s">
        <v>234</v>
      </c>
      <c r="C109" s="4">
        <v>71</v>
      </c>
      <c r="D109" s="8">
        <v>1.53</v>
      </c>
      <c r="E109" s="4">
        <v>5</v>
      </c>
      <c r="F109" s="8">
        <v>0.37</v>
      </c>
      <c r="G109" s="4">
        <v>66</v>
      </c>
      <c r="H109" s="8">
        <v>2.0099999999999998</v>
      </c>
      <c r="I109" s="4">
        <v>0</v>
      </c>
    </row>
    <row r="110" spans="1:9" x14ac:dyDescent="0.2">
      <c r="A110" s="2">
        <v>20</v>
      </c>
      <c r="B110" s="1" t="s">
        <v>220</v>
      </c>
      <c r="C110" s="4">
        <v>64</v>
      </c>
      <c r="D110" s="8">
        <v>1.38</v>
      </c>
      <c r="E110" s="4">
        <v>10</v>
      </c>
      <c r="F110" s="8">
        <v>0.74</v>
      </c>
      <c r="G110" s="4">
        <v>54</v>
      </c>
      <c r="H110" s="8">
        <v>1.65</v>
      </c>
      <c r="I110" s="4">
        <v>0</v>
      </c>
    </row>
    <row r="111" spans="1:9" x14ac:dyDescent="0.2">
      <c r="A111" s="1"/>
      <c r="C111" s="4"/>
      <c r="D111" s="8"/>
      <c r="E111" s="4"/>
      <c r="F111" s="8"/>
      <c r="G111" s="4"/>
      <c r="H111" s="8"/>
      <c r="I111" s="4"/>
    </row>
    <row r="112" spans="1:9" x14ac:dyDescent="0.2">
      <c r="A112" s="1" t="s">
        <v>5</v>
      </c>
      <c r="C112" s="4"/>
      <c r="D112" s="8"/>
      <c r="E112" s="4"/>
      <c r="F112" s="8"/>
      <c r="G112" s="4"/>
      <c r="H112" s="8"/>
      <c r="I112" s="4"/>
    </row>
    <row r="113" spans="1:9" x14ac:dyDescent="0.2">
      <c r="A113" s="2">
        <v>1</v>
      </c>
      <c r="B113" s="1" t="s">
        <v>224</v>
      </c>
      <c r="C113" s="4">
        <v>683</v>
      </c>
      <c r="D113" s="8">
        <v>15.3</v>
      </c>
      <c r="E113" s="4">
        <v>414</v>
      </c>
      <c r="F113" s="8">
        <v>27.88</v>
      </c>
      <c r="G113" s="4">
        <v>269</v>
      </c>
      <c r="H113" s="8">
        <v>9.07</v>
      </c>
      <c r="I113" s="4">
        <v>0</v>
      </c>
    </row>
    <row r="114" spans="1:9" x14ac:dyDescent="0.2">
      <c r="A114" s="2">
        <v>2</v>
      </c>
      <c r="B114" s="1" t="s">
        <v>228</v>
      </c>
      <c r="C114" s="4">
        <v>356</v>
      </c>
      <c r="D114" s="8">
        <v>7.97</v>
      </c>
      <c r="E114" s="4">
        <v>276</v>
      </c>
      <c r="F114" s="8">
        <v>18.59</v>
      </c>
      <c r="G114" s="4">
        <v>80</v>
      </c>
      <c r="H114" s="8">
        <v>2.7</v>
      </c>
      <c r="I114" s="4">
        <v>0</v>
      </c>
    </row>
    <row r="115" spans="1:9" x14ac:dyDescent="0.2">
      <c r="A115" s="2">
        <v>3</v>
      </c>
      <c r="B115" s="1" t="s">
        <v>214</v>
      </c>
      <c r="C115" s="4">
        <v>333</v>
      </c>
      <c r="D115" s="8">
        <v>7.46</v>
      </c>
      <c r="E115" s="4">
        <v>24</v>
      </c>
      <c r="F115" s="8">
        <v>1.62</v>
      </c>
      <c r="G115" s="4">
        <v>309</v>
      </c>
      <c r="H115" s="8">
        <v>10.41</v>
      </c>
      <c r="I115" s="4">
        <v>0</v>
      </c>
    </row>
    <row r="116" spans="1:9" x14ac:dyDescent="0.2">
      <c r="A116" s="2">
        <v>4</v>
      </c>
      <c r="B116" s="1" t="s">
        <v>227</v>
      </c>
      <c r="C116" s="4">
        <v>320</v>
      </c>
      <c r="D116" s="8">
        <v>7.17</v>
      </c>
      <c r="E116" s="4">
        <v>269</v>
      </c>
      <c r="F116" s="8">
        <v>18.11</v>
      </c>
      <c r="G116" s="4">
        <v>51</v>
      </c>
      <c r="H116" s="8">
        <v>1.72</v>
      </c>
      <c r="I116" s="4">
        <v>0</v>
      </c>
    </row>
    <row r="117" spans="1:9" x14ac:dyDescent="0.2">
      <c r="A117" s="2">
        <v>5</v>
      </c>
      <c r="B117" s="1" t="s">
        <v>213</v>
      </c>
      <c r="C117" s="4">
        <v>226</v>
      </c>
      <c r="D117" s="8">
        <v>5.0599999999999996</v>
      </c>
      <c r="E117" s="4">
        <v>5</v>
      </c>
      <c r="F117" s="8">
        <v>0.34</v>
      </c>
      <c r="G117" s="4">
        <v>221</v>
      </c>
      <c r="H117" s="8">
        <v>7.45</v>
      </c>
      <c r="I117" s="4">
        <v>0</v>
      </c>
    </row>
    <row r="118" spans="1:9" x14ac:dyDescent="0.2">
      <c r="A118" s="2">
        <v>5</v>
      </c>
      <c r="B118" s="1" t="s">
        <v>215</v>
      </c>
      <c r="C118" s="4">
        <v>226</v>
      </c>
      <c r="D118" s="8">
        <v>5.0599999999999996</v>
      </c>
      <c r="E118" s="4">
        <v>6</v>
      </c>
      <c r="F118" s="8">
        <v>0.4</v>
      </c>
      <c r="G118" s="4">
        <v>220</v>
      </c>
      <c r="H118" s="8">
        <v>7.41</v>
      </c>
      <c r="I118" s="4">
        <v>0</v>
      </c>
    </row>
    <row r="119" spans="1:9" x14ac:dyDescent="0.2">
      <c r="A119" s="2">
        <v>7</v>
      </c>
      <c r="B119" s="1" t="s">
        <v>223</v>
      </c>
      <c r="C119" s="4">
        <v>186</v>
      </c>
      <c r="D119" s="8">
        <v>4.17</v>
      </c>
      <c r="E119" s="4">
        <v>60</v>
      </c>
      <c r="F119" s="8">
        <v>4.04</v>
      </c>
      <c r="G119" s="4">
        <v>126</v>
      </c>
      <c r="H119" s="8">
        <v>4.25</v>
      </c>
      <c r="I119" s="4">
        <v>0</v>
      </c>
    </row>
    <row r="120" spans="1:9" x14ac:dyDescent="0.2">
      <c r="A120" s="2">
        <v>8</v>
      </c>
      <c r="B120" s="1" t="s">
        <v>218</v>
      </c>
      <c r="C120" s="4">
        <v>175</v>
      </c>
      <c r="D120" s="8">
        <v>3.92</v>
      </c>
      <c r="E120" s="4">
        <v>4</v>
      </c>
      <c r="F120" s="8">
        <v>0.27</v>
      </c>
      <c r="G120" s="4">
        <v>171</v>
      </c>
      <c r="H120" s="8">
        <v>5.76</v>
      </c>
      <c r="I120" s="4">
        <v>0</v>
      </c>
    </row>
    <row r="121" spans="1:9" x14ac:dyDescent="0.2">
      <c r="A121" s="2">
        <v>9</v>
      </c>
      <c r="B121" s="1" t="s">
        <v>231</v>
      </c>
      <c r="C121" s="4">
        <v>166</v>
      </c>
      <c r="D121" s="8">
        <v>3.72</v>
      </c>
      <c r="E121" s="4">
        <v>131</v>
      </c>
      <c r="F121" s="8">
        <v>8.82</v>
      </c>
      <c r="G121" s="4">
        <v>35</v>
      </c>
      <c r="H121" s="8">
        <v>1.18</v>
      </c>
      <c r="I121" s="4">
        <v>0</v>
      </c>
    </row>
    <row r="122" spans="1:9" x14ac:dyDescent="0.2">
      <c r="A122" s="2">
        <v>10</v>
      </c>
      <c r="B122" s="1" t="s">
        <v>219</v>
      </c>
      <c r="C122" s="4">
        <v>148</v>
      </c>
      <c r="D122" s="8">
        <v>3.31</v>
      </c>
      <c r="E122" s="4">
        <v>4</v>
      </c>
      <c r="F122" s="8">
        <v>0.27</v>
      </c>
      <c r="G122" s="4">
        <v>144</v>
      </c>
      <c r="H122" s="8">
        <v>4.8499999999999996</v>
      </c>
      <c r="I122" s="4">
        <v>0</v>
      </c>
    </row>
    <row r="123" spans="1:9" x14ac:dyDescent="0.2">
      <c r="A123" s="2">
        <v>11</v>
      </c>
      <c r="B123" s="1" t="s">
        <v>222</v>
      </c>
      <c r="C123" s="4">
        <v>124</v>
      </c>
      <c r="D123" s="8">
        <v>2.78</v>
      </c>
      <c r="E123" s="4">
        <v>25</v>
      </c>
      <c r="F123" s="8">
        <v>1.68</v>
      </c>
      <c r="G123" s="4">
        <v>99</v>
      </c>
      <c r="H123" s="8">
        <v>3.34</v>
      </c>
      <c r="I123" s="4">
        <v>0</v>
      </c>
    </row>
    <row r="124" spans="1:9" x14ac:dyDescent="0.2">
      <c r="A124" s="2">
        <v>12</v>
      </c>
      <c r="B124" s="1" t="s">
        <v>226</v>
      </c>
      <c r="C124" s="4">
        <v>113</v>
      </c>
      <c r="D124" s="8">
        <v>2.5299999999999998</v>
      </c>
      <c r="E124" s="4">
        <v>11</v>
      </c>
      <c r="F124" s="8">
        <v>0.74</v>
      </c>
      <c r="G124" s="4">
        <v>101</v>
      </c>
      <c r="H124" s="8">
        <v>3.4</v>
      </c>
      <c r="I124" s="4">
        <v>0</v>
      </c>
    </row>
    <row r="125" spans="1:9" x14ac:dyDescent="0.2">
      <c r="A125" s="2">
        <v>13</v>
      </c>
      <c r="B125" s="1" t="s">
        <v>217</v>
      </c>
      <c r="C125" s="4">
        <v>112</v>
      </c>
      <c r="D125" s="8">
        <v>2.5099999999999998</v>
      </c>
      <c r="E125" s="4">
        <v>4</v>
      </c>
      <c r="F125" s="8">
        <v>0.27</v>
      </c>
      <c r="G125" s="4">
        <v>108</v>
      </c>
      <c r="H125" s="8">
        <v>3.64</v>
      </c>
      <c r="I125" s="4">
        <v>0</v>
      </c>
    </row>
    <row r="126" spans="1:9" x14ac:dyDescent="0.2">
      <c r="A126" s="2">
        <v>14</v>
      </c>
      <c r="B126" s="1" t="s">
        <v>221</v>
      </c>
      <c r="C126" s="4">
        <v>84</v>
      </c>
      <c r="D126" s="8">
        <v>1.88</v>
      </c>
      <c r="E126" s="4">
        <v>29</v>
      </c>
      <c r="F126" s="8">
        <v>1.95</v>
      </c>
      <c r="G126" s="4">
        <v>55</v>
      </c>
      <c r="H126" s="8">
        <v>1.85</v>
      </c>
      <c r="I126" s="4">
        <v>0</v>
      </c>
    </row>
    <row r="127" spans="1:9" x14ac:dyDescent="0.2">
      <c r="A127" s="2">
        <v>15</v>
      </c>
      <c r="B127" s="1" t="s">
        <v>225</v>
      </c>
      <c r="C127" s="4">
        <v>79</v>
      </c>
      <c r="D127" s="8">
        <v>1.77</v>
      </c>
      <c r="E127" s="4">
        <v>41</v>
      </c>
      <c r="F127" s="8">
        <v>2.76</v>
      </c>
      <c r="G127" s="4">
        <v>38</v>
      </c>
      <c r="H127" s="8">
        <v>1.28</v>
      </c>
      <c r="I127" s="4">
        <v>0</v>
      </c>
    </row>
    <row r="128" spans="1:9" x14ac:dyDescent="0.2">
      <c r="A128" s="2">
        <v>16</v>
      </c>
      <c r="B128" s="1" t="s">
        <v>233</v>
      </c>
      <c r="C128" s="4">
        <v>73</v>
      </c>
      <c r="D128" s="8">
        <v>1.63</v>
      </c>
      <c r="E128" s="4">
        <v>3</v>
      </c>
      <c r="F128" s="8">
        <v>0.2</v>
      </c>
      <c r="G128" s="4">
        <v>70</v>
      </c>
      <c r="H128" s="8">
        <v>2.36</v>
      </c>
      <c r="I128" s="4">
        <v>0</v>
      </c>
    </row>
    <row r="129" spans="1:9" x14ac:dyDescent="0.2">
      <c r="A129" s="2">
        <v>17</v>
      </c>
      <c r="B129" s="1" t="s">
        <v>230</v>
      </c>
      <c r="C129" s="4">
        <v>72</v>
      </c>
      <c r="D129" s="8">
        <v>1.61</v>
      </c>
      <c r="E129" s="4">
        <v>47</v>
      </c>
      <c r="F129" s="8">
        <v>3.16</v>
      </c>
      <c r="G129" s="4">
        <v>23</v>
      </c>
      <c r="H129" s="8">
        <v>0.78</v>
      </c>
      <c r="I129" s="4">
        <v>2</v>
      </c>
    </row>
    <row r="130" spans="1:9" x14ac:dyDescent="0.2">
      <c r="A130" s="2">
        <v>18</v>
      </c>
      <c r="B130" s="1" t="s">
        <v>236</v>
      </c>
      <c r="C130" s="4">
        <v>68</v>
      </c>
      <c r="D130" s="8">
        <v>1.52</v>
      </c>
      <c r="E130" s="4">
        <v>4</v>
      </c>
      <c r="F130" s="8">
        <v>0.27</v>
      </c>
      <c r="G130" s="4">
        <v>64</v>
      </c>
      <c r="H130" s="8">
        <v>2.16</v>
      </c>
      <c r="I130" s="4">
        <v>0</v>
      </c>
    </row>
    <row r="131" spans="1:9" x14ac:dyDescent="0.2">
      <c r="A131" s="2">
        <v>19</v>
      </c>
      <c r="B131" s="1" t="s">
        <v>232</v>
      </c>
      <c r="C131" s="4">
        <v>66</v>
      </c>
      <c r="D131" s="8">
        <v>1.48</v>
      </c>
      <c r="E131" s="4">
        <v>1</v>
      </c>
      <c r="F131" s="8">
        <v>7.0000000000000007E-2</v>
      </c>
      <c r="G131" s="4">
        <v>65</v>
      </c>
      <c r="H131" s="8">
        <v>2.19</v>
      </c>
      <c r="I131" s="4">
        <v>0</v>
      </c>
    </row>
    <row r="132" spans="1:9" x14ac:dyDescent="0.2">
      <c r="A132" s="2">
        <v>20</v>
      </c>
      <c r="B132" s="1" t="s">
        <v>216</v>
      </c>
      <c r="C132" s="4">
        <v>64</v>
      </c>
      <c r="D132" s="8">
        <v>1.43</v>
      </c>
      <c r="E132" s="4">
        <v>0</v>
      </c>
      <c r="F132" s="8">
        <v>0</v>
      </c>
      <c r="G132" s="4">
        <v>64</v>
      </c>
      <c r="H132" s="8">
        <v>2.16</v>
      </c>
      <c r="I132" s="4">
        <v>0</v>
      </c>
    </row>
    <row r="133" spans="1:9" x14ac:dyDescent="0.2">
      <c r="A133" s="1"/>
      <c r="C133" s="4"/>
      <c r="D133" s="8"/>
      <c r="E133" s="4"/>
      <c r="F133" s="8"/>
      <c r="G133" s="4"/>
      <c r="H133" s="8"/>
      <c r="I133" s="4"/>
    </row>
    <row r="134" spans="1:9" x14ac:dyDescent="0.2">
      <c r="A134" s="1" t="s">
        <v>6</v>
      </c>
      <c r="C134" s="4"/>
      <c r="D134" s="8"/>
      <c r="E134" s="4"/>
      <c r="F134" s="8"/>
      <c r="G134" s="4"/>
      <c r="H134" s="8"/>
      <c r="I134" s="4"/>
    </row>
    <row r="135" spans="1:9" x14ac:dyDescent="0.2">
      <c r="A135" s="2">
        <v>1</v>
      </c>
      <c r="B135" s="1" t="s">
        <v>224</v>
      </c>
      <c r="C135" s="4">
        <v>685</v>
      </c>
      <c r="D135" s="8">
        <v>19.989999999999998</v>
      </c>
      <c r="E135" s="4">
        <v>379</v>
      </c>
      <c r="F135" s="8">
        <v>28.03</v>
      </c>
      <c r="G135" s="4">
        <v>304</v>
      </c>
      <c r="H135" s="8">
        <v>14.71</v>
      </c>
      <c r="I135" s="4">
        <v>2</v>
      </c>
    </row>
    <row r="136" spans="1:9" x14ac:dyDescent="0.2">
      <c r="A136" s="2">
        <v>2</v>
      </c>
      <c r="B136" s="1" t="s">
        <v>228</v>
      </c>
      <c r="C136" s="4">
        <v>379</v>
      </c>
      <c r="D136" s="8">
        <v>11.06</v>
      </c>
      <c r="E136" s="4">
        <v>278</v>
      </c>
      <c r="F136" s="8">
        <v>20.56</v>
      </c>
      <c r="G136" s="4">
        <v>101</v>
      </c>
      <c r="H136" s="8">
        <v>4.8899999999999997</v>
      </c>
      <c r="I136" s="4">
        <v>0</v>
      </c>
    </row>
    <row r="137" spans="1:9" x14ac:dyDescent="0.2">
      <c r="A137" s="2">
        <v>3</v>
      </c>
      <c r="B137" s="1" t="s">
        <v>227</v>
      </c>
      <c r="C137" s="4">
        <v>274</v>
      </c>
      <c r="D137" s="8">
        <v>8</v>
      </c>
      <c r="E137" s="4">
        <v>212</v>
      </c>
      <c r="F137" s="8">
        <v>15.68</v>
      </c>
      <c r="G137" s="4">
        <v>62</v>
      </c>
      <c r="H137" s="8">
        <v>3</v>
      </c>
      <c r="I137" s="4">
        <v>0</v>
      </c>
    </row>
    <row r="138" spans="1:9" x14ac:dyDescent="0.2">
      <c r="A138" s="2">
        <v>4</v>
      </c>
      <c r="B138" s="1" t="s">
        <v>231</v>
      </c>
      <c r="C138" s="4">
        <v>167</v>
      </c>
      <c r="D138" s="8">
        <v>4.87</v>
      </c>
      <c r="E138" s="4">
        <v>130</v>
      </c>
      <c r="F138" s="8">
        <v>9.6199999999999992</v>
      </c>
      <c r="G138" s="4">
        <v>37</v>
      </c>
      <c r="H138" s="8">
        <v>1.79</v>
      </c>
      <c r="I138" s="4">
        <v>0</v>
      </c>
    </row>
    <row r="139" spans="1:9" x14ac:dyDescent="0.2">
      <c r="A139" s="2">
        <v>5</v>
      </c>
      <c r="B139" s="1" t="s">
        <v>213</v>
      </c>
      <c r="C139" s="4">
        <v>154</v>
      </c>
      <c r="D139" s="8">
        <v>4.49</v>
      </c>
      <c r="E139" s="4">
        <v>5</v>
      </c>
      <c r="F139" s="8">
        <v>0.37</v>
      </c>
      <c r="G139" s="4">
        <v>149</v>
      </c>
      <c r="H139" s="8">
        <v>7.21</v>
      </c>
      <c r="I139" s="4">
        <v>0</v>
      </c>
    </row>
    <row r="140" spans="1:9" x14ac:dyDescent="0.2">
      <c r="A140" s="2">
        <v>6</v>
      </c>
      <c r="B140" s="1" t="s">
        <v>214</v>
      </c>
      <c r="C140" s="4">
        <v>152</v>
      </c>
      <c r="D140" s="8">
        <v>4.4400000000000004</v>
      </c>
      <c r="E140" s="4">
        <v>10</v>
      </c>
      <c r="F140" s="8">
        <v>0.74</v>
      </c>
      <c r="G140" s="4">
        <v>142</v>
      </c>
      <c r="H140" s="8">
        <v>6.87</v>
      </c>
      <c r="I140" s="4">
        <v>0</v>
      </c>
    </row>
    <row r="141" spans="1:9" x14ac:dyDescent="0.2">
      <c r="A141" s="2">
        <v>7</v>
      </c>
      <c r="B141" s="1" t="s">
        <v>223</v>
      </c>
      <c r="C141" s="4">
        <v>146</v>
      </c>
      <c r="D141" s="8">
        <v>4.26</v>
      </c>
      <c r="E141" s="4">
        <v>37</v>
      </c>
      <c r="F141" s="8">
        <v>2.74</v>
      </c>
      <c r="G141" s="4">
        <v>109</v>
      </c>
      <c r="H141" s="8">
        <v>5.28</v>
      </c>
      <c r="I141" s="4">
        <v>0</v>
      </c>
    </row>
    <row r="142" spans="1:9" x14ac:dyDescent="0.2">
      <c r="A142" s="2">
        <v>8</v>
      </c>
      <c r="B142" s="1" t="s">
        <v>215</v>
      </c>
      <c r="C142" s="4">
        <v>105</v>
      </c>
      <c r="D142" s="8">
        <v>3.06</v>
      </c>
      <c r="E142" s="4">
        <v>5</v>
      </c>
      <c r="F142" s="8">
        <v>0.37</v>
      </c>
      <c r="G142" s="4">
        <v>100</v>
      </c>
      <c r="H142" s="8">
        <v>4.84</v>
      </c>
      <c r="I142" s="4">
        <v>0</v>
      </c>
    </row>
    <row r="143" spans="1:9" x14ac:dyDescent="0.2">
      <c r="A143" s="2">
        <v>9</v>
      </c>
      <c r="B143" s="1" t="s">
        <v>233</v>
      </c>
      <c r="C143" s="4">
        <v>103</v>
      </c>
      <c r="D143" s="8">
        <v>3.01</v>
      </c>
      <c r="E143" s="4">
        <v>2</v>
      </c>
      <c r="F143" s="8">
        <v>0.15</v>
      </c>
      <c r="G143" s="4">
        <v>101</v>
      </c>
      <c r="H143" s="8">
        <v>4.8899999999999997</v>
      </c>
      <c r="I143" s="4">
        <v>0</v>
      </c>
    </row>
    <row r="144" spans="1:9" x14ac:dyDescent="0.2">
      <c r="A144" s="2">
        <v>10</v>
      </c>
      <c r="B144" s="1" t="s">
        <v>230</v>
      </c>
      <c r="C144" s="4">
        <v>101</v>
      </c>
      <c r="D144" s="8">
        <v>2.95</v>
      </c>
      <c r="E144" s="4">
        <v>69</v>
      </c>
      <c r="F144" s="8">
        <v>5.0999999999999996</v>
      </c>
      <c r="G144" s="4">
        <v>31</v>
      </c>
      <c r="H144" s="8">
        <v>1.5</v>
      </c>
      <c r="I144" s="4">
        <v>0</v>
      </c>
    </row>
    <row r="145" spans="1:9" x14ac:dyDescent="0.2">
      <c r="A145" s="2">
        <v>11</v>
      </c>
      <c r="B145" s="1" t="s">
        <v>226</v>
      </c>
      <c r="C145" s="4">
        <v>97</v>
      </c>
      <c r="D145" s="8">
        <v>2.83</v>
      </c>
      <c r="E145" s="4">
        <v>17</v>
      </c>
      <c r="F145" s="8">
        <v>1.26</v>
      </c>
      <c r="G145" s="4">
        <v>80</v>
      </c>
      <c r="H145" s="8">
        <v>3.87</v>
      </c>
      <c r="I145" s="4">
        <v>0</v>
      </c>
    </row>
    <row r="146" spans="1:9" x14ac:dyDescent="0.2">
      <c r="A146" s="2">
        <v>12</v>
      </c>
      <c r="B146" s="1" t="s">
        <v>225</v>
      </c>
      <c r="C146" s="4">
        <v>95</v>
      </c>
      <c r="D146" s="8">
        <v>2.77</v>
      </c>
      <c r="E146" s="4">
        <v>45</v>
      </c>
      <c r="F146" s="8">
        <v>3.33</v>
      </c>
      <c r="G146" s="4">
        <v>50</v>
      </c>
      <c r="H146" s="8">
        <v>2.42</v>
      </c>
      <c r="I146" s="4">
        <v>0</v>
      </c>
    </row>
    <row r="147" spans="1:9" x14ac:dyDescent="0.2">
      <c r="A147" s="2">
        <v>13</v>
      </c>
      <c r="B147" s="1" t="s">
        <v>221</v>
      </c>
      <c r="C147" s="4">
        <v>85</v>
      </c>
      <c r="D147" s="8">
        <v>2.48</v>
      </c>
      <c r="E147" s="4">
        <v>39</v>
      </c>
      <c r="F147" s="8">
        <v>2.88</v>
      </c>
      <c r="G147" s="4">
        <v>46</v>
      </c>
      <c r="H147" s="8">
        <v>2.23</v>
      </c>
      <c r="I147" s="4">
        <v>0</v>
      </c>
    </row>
    <row r="148" spans="1:9" x14ac:dyDescent="0.2">
      <c r="A148" s="2">
        <v>14</v>
      </c>
      <c r="B148" s="1" t="s">
        <v>219</v>
      </c>
      <c r="C148" s="4">
        <v>84</v>
      </c>
      <c r="D148" s="8">
        <v>2.4500000000000002</v>
      </c>
      <c r="E148" s="4">
        <v>3</v>
      </c>
      <c r="F148" s="8">
        <v>0.22</v>
      </c>
      <c r="G148" s="4">
        <v>81</v>
      </c>
      <c r="H148" s="8">
        <v>3.92</v>
      </c>
      <c r="I148" s="4">
        <v>0</v>
      </c>
    </row>
    <row r="149" spans="1:9" x14ac:dyDescent="0.2">
      <c r="A149" s="2">
        <v>15</v>
      </c>
      <c r="B149" s="1" t="s">
        <v>232</v>
      </c>
      <c r="C149" s="4">
        <v>81</v>
      </c>
      <c r="D149" s="8">
        <v>2.36</v>
      </c>
      <c r="E149" s="4">
        <v>1</v>
      </c>
      <c r="F149" s="8">
        <v>7.0000000000000007E-2</v>
      </c>
      <c r="G149" s="4">
        <v>79</v>
      </c>
      <c r="H149" s="8">
        <v>3.82</v>
      </c>
      <c r="I149" s="4">
        <v>1</v>
      </c>
    </row>
    <row r="150" spans="1:9" x14ac:dyDescent="0.2">
      <c r="A150" s="2">
        <v>16</v>
      </c>
      <c r="B150" s="1" t="s">
        <v>218</v>
      </c>
      <c r="C150" s="4">
        <v>62</v>
      </c>
      <c r="D150" s="8">
        <v>1.81</v>
      </c>
      <c r="E150" s="4">
        <v>1</v>
      </c>
      <c r="F150" s="8">
        <v>7.0000000000000007E-2</v>
      </c>
      <c r="G150" s="4">
        <v>61</v>
      </c>
      <c r="H150" s="8">
        <v>2.95</v>
      </c>
      <c r="I150" s="4">
        <v>0</v>
      </c>
    </row>
    <row r="151" spans="1:9" x14ac:dyDescent="0.2">
      <c r="A151" s="2">
        <v>17</v>
      </c>
      <c r="B151" s="1" t="s">
        <v>234</v>
      </c>
      <c r="C151" s="4">
        <v>58</v>
      </c>
      <c r="D151" s="8">
        <v>1.69</v>
      </c>
      <c r="E151" s="4">
        <v>5</v>
      </c>
      <c r="F151" s="8">
        <v>0.37</v>
      </c>
      <c r="G151" s="4">
        <v>52</v>
      </c>
      <c r="H151" s="8">
        <v>2.52</v>
      </c>
      <c r="I151" s="4">
        <v>1</v>
      </c>
    </row>
    <row r="152" spans="1:9" x14ac:dyDescent="0.2">
      <c r="A152" s="2">
        <v>18</v>
      </c>
      <c r="B152" s="1" t="s">
        <v>222</v>
      </c>
      <c r="C152" s="4">
        <v>47</v>
      </c>
      <c r="D152" s="8">
        <v>1.37</v>
      </c>
      <c r="E152" s="4">
        <v>10</v>
      </c>
      <c r="F152" s="8">
        <v>0.74</v>
      </c>
      <c r="G152" s="4">
        <v>37</v>
      </c>
      <c r="H152" s="8">
        <v>1.79</v>
      </c>
      <c r="I152" s="4">
        <v>0</v>
      </c>
    </row>
    <row r="153" spans="1:9" x14ac:dyDescent="0.2">
      <c r="A153" s="2">
        <v>18</v>
      </c>
      <c r="B153" s="1" t="s">
        <v>237</v>
      </c>
      <c r="C153" s="4">
        <v>47</v>
      </c>
      <c r="D153" s="8">
        <v>1.37</v>
      </c>
      <c r="E153" s="4">
        <v>2</v>
      </c>
      <c r="F153" s="8">
        <v>0.15</v>
      </c>
      <c r="G153" s="4">
        <v>45</v>
      </c>
      <c r="H153" s="8">
        <v>2.1800000000000002</v>
      </c>
      <c r="I153" s="4">
        <v>0</v>
      </c>
    </row>
    <row r="154" spans="1:9" x14ac:dyDescent="0.2">
      <c r="A154" s="2">
        <v>18</v>
      </c>
      <c r="B154" s="1" t="s">
        <v>229</v>
      </c>
      <c r="C154" s="4">
        <v>47</v>
      </c>
      <c r="D154" s="8">
        <v>1.37</v>
      </c>
      <c r="E154" s="4">
        <v>15</v>
      </c>
      <c r="F154" s="8">
        <v>1.1100000000000001</v>
      </c>
      <c r="G154" s="4">
        <v>32</v>
      </c>
      <c r="H154" s="8">
        <v>1.55</v>
      </c>
      <c r="I154" s="4">
        <v>0</v>
      </c>
    </row>
    <row r="155" spans="1:9" x14ac:dyDescent="0.2">
      <c r="A155" s="1"/>
      <c r="C155" s="4"/>
      <c r="D155" s="8"/>
      <c r="E155" s="4"/>
      <c r="F155" s="8"/>
      <c r="G155" s="4"/>
      <c r="H155" s="8"/>
      <c r="I155" s="4"/>
    </row>
    <row r="156" spans="1:9" x14ac:dyDescent="0.2">
      <c r="A156" s="1" t="s">
        <v>7</v>
      </c>
      <c r="C156" s="4"/>
      <c r="D156" s="8"/>
      <c r="E156" s="4"/>
      <c r="F156" s="8"/>
      <c r="G156" s="4"/>
      <c r="H156" s="8"/>
      <c r="I156" s="4"/>
    </row>
    <row r="157" spans="1:9" x14ac:dyDescent="0.2">
      <c r="A157" s="2">
        <v>1</v>
      </c>
      <c r="B157" s="1" t="s">
        <v>224</v>
      </c>
      <c r="C157" s="4">
        <v>284</v>
      </c>
      <c r="D157" s="8">
        <v>13.94</v>
      </c>
      <c r="E157" s="4">
        <v>137</v>
      </c>
      <c r="F157" s="8">
        <v>16.77</v>
      </c>
      <c r="G157" s="4">
        <v>143</v>
      </c>
      <c r="H157" s="8">
        <v>11.9</v>
      </c>
      <c r="I157" s="4">
        <v>2</v>
      </c>
    </row>
    <row r="158" spans="1:9" x14ac:dyDescent="0.2">
      <c r="A158" s="2">
        <v>2</v>
      </c>
      <c r="B158" s="1" t="s">
        <v>228</v>
      </c>
      <c r="C158" s="4">
        <v>227</v>
      </c>
      <c r="D158" s="8">
        <v>11.14</v>
      </c>
      <c r="E158" s="4">
        <v>168</v>
      </c>
      <c r="F158" s="8">
        <v>20.56</v>
      </c>
      <c r="G158" s="4">
        <v>59</v>
      </c>
      <c r="H158" s="8">
        <v>4.91</v>
      </c>
      <c r="I158" s="4">
        <v>0</v>
      </c>
    </row>
    <row r="159" spans="1:9" x14ac:dyDescent="0.2">
      <c r="A159" s="2">
        <v>3</v>
      </c>
      <c r="B159" s="1" t="s">
        <v>227</v>
      </c>
      <c r="C159" s="4">
        <v>219</v>
      </c>
      <c r="D159" s="8">
        <v>10.75</v>
      </c>
      <c r="E159" s="4">
        <v>161</v>
      </c>
      <c r="F159" s="8">
        <v>19.71</v>
      </c>
      <c r="G159" s="4">
        <v>58</v>
      </c>
      <c r="H159" s="8">
        <v>4.83</v>
      </c>
      <c r="I159" s="4">
        <v>0</v>
      </c>
    </row>
    <row r="160" spans="1:9" x14ac:dyDescent="0.2">
      <c r="A160" s="2">
        <v>4</v>
      </c>
      <c r="B160" s="1" t="s">
        <v>213</v>
      </c>
      <c r="C160" s="4">
        <v>123</v>
      </c>
      <c r="D160" s="8">
        <v>6.04</v>
      </c>
      <c r="E160" s="4">
        <v>6</v>
      </c>
      <c r="F160" s="8">
        <v>0.73</v>
      </c>
      <c r="G160" s="4">
        <v>116</v>
      </c>
      <c r="H160" s="8">
        <v>9.65</v>
      </c>
      <c r="I160" s="4">
        <v>1</v>
      </c>
    </row>
    <row r="161" spans="1:9" x14ac:dyDescent="0.2">
      <c r="A161" s="2">
        <v>5</v>
      </c>
      <c r="B161" s="1" t="s">
        <v>223</v>
      </c>
      <c r="C161" s="4">
        <v>111</v>
      </c>
      <c r="D161" s="8">
        <v>5.45</v>
      </c>
      <c r="E161" s="4">
        <v>29</v>
      </c>
      <c r="F161" s="8">
        <v>3.55</v>
      </c>
      <c r="G161" s="4">
        <v>82</v>
      </c>
      <c r="H161" s="8">
        <v>6.82</v>
      </c>
      <c r="I161" s="4">
        <v>0</v>
      </c>
    </row>
    <row r="162" spans="1:9" x14ac:dyDescent="0.2">
      <c r="A162" s="2">
        <v>6</v>
      </c>
      <c r="B162" s="1" t="s">
        <v>214</v>
      </c>
      <c r="C162" s="4">
        <v>103</v>
      </c>
      <c r="D162" s="8">
        <v>5.0599999999999996</v>
      </c>
      <c r="E162" s="4">
        <v>9</v>
      </c>
      <c r="F162" s="8">
        <v>1.1000000000000001</v>
      </c>
      <c r="G162" s="4">
        <v>94</v>
      </c>
      <c r="H162" s="8">
        <v>7.82</v>
      </c>
      <c r="I162" s="4">
        <v>0</v>
      </c>
    </row>
    <row r="163" spans="1:9" x14ac:dyDescent="0.2">
      <c r="A163" s="2">
        <v>7</v>
      </c>
      <c r="B163" s="1" t="s">
        <v>231</v>
      </c>
      <c r="C163" s="4">
        <v>88</v>
      </c>
      <c r="D163" s="8">
        <v>4.32</v>
      </c>
      <c r="E163" s="4">
        <v>69</v>
      </c>
      <c r="F163" s="8">
        <v>8.4499999999999993</v>
      </c>
      <c r="G163" s="4">
        <v>19</v>
      </c>
      <c r="H163" s="8">
        <v>1.58</v>
      </c>
      <c r="I163" s="4">
        <v>0</v>
      </c>
    </row>
    <row r="164" spans="1:9" x14ac:dyDescent="0.2">
      <c r="A164" s="2">
        <v>8</v>
      </c>
      <c r="B164" s="1" t="s">
        <v>226</v>
      </c>
      <c r="C164" s="4">
        <v>70</v>
      </c>
      <c r="D164" s="8">
        <v>3.44</v>
      </c>
      <c r="E164" s="4">
        <v>15</v>
      </c>
      <c r="F164" s="8">
        <v>1.84</v>
      </c>
      <c r="G164" s="4">
        <v>55</v>
      </c>
      <c r="H164" s="8">
        <v>4.58</v>
      </c>
      <c r="I164" s="4">
        <v>0</v>
      </c>
    </row>
    <row r="165" spans="1:9" x14ac:dyDescent="0.2">
      <c r="A165" s="2">
        <v>9</v>
      </c>
      <c r="B165" s="1" t="s">
        <v>215</v>
      </c>
      <c r="C165" s="4">
        <v>65</v>
      </c>
      <c r="D165" s="8">
        <v>3.19</v>
      </c>
      <c r="E165" s="4">
        <v>5</v>
      </c>
      <c r="F165" s="8">
        <v>0.61</v>
      </c>
      <c r="G165" s="4">
        <v>60</v>
      </c>
      <c r="H165" s="8">
        <v>4.99</v>
      </c>
      <c r="I165" s="4">
        <v>0</v>
      </c>
    </row>
    <row r="166" spans="1:9" x14ac:dyDescent="0.2">
      <c r="A166" s="2">
        <v>9</v>
      </c>
      <c r="B166" s="1" t="s">
        <v>230</v>
      </c>
      <c r="C166" s="4">
        <v>65</v>
      </c>
      <c r="D166" s="8">
        <v>3.19</v>
      </c>
      <c r="E166" s="4">
        <v>43</v>
      </c>
      <c r="F166" s="8">
        <v>5.26</v>
      </c>
      <c r="G166" s="4">
        <v>21</v>
      </c>
      <c r="H166" s="8">
        <v>1.75</v>
      </c>
      <c r="I166" s="4">
        <v>0</v>
      </c>
    </row>
    <row r="167" spans="1:9" x14ac:dyDescent="0.2">
      <c r="A167" s="2">
        <v>11</v>
      </c>
      <c r="B167" s="1" t="s">
        <v>221</v>
      </c>
      <c r="C167" s="4">
        <v>63</v>
      </c>
      <c r="D167" s="8">
        <v>3.09</v>
      </c>
      <c r="E167" s="4">
        <v>30</v>
      </c>
      <c r="F167" s="8">
        <v>3.67</v>
      </c>
      <c r="G167" s="4">
        <v>33</v>
      </c>
      <c r="H167" s="8">
        <v>2.75</v>
      </c>
      <c r="I167" s="4">
        <v>0</v>
      </c>
    </row>
    <row r="168" spans="1:9" x14ac:dyDescent="0.2">
      <c r="A168" s="2">
        <v>12</v>
      </c>
      <c r="B168" s="1" t="s">
        <v>225</v>
      </c>
      <c r="C168" s="4">
        <v>44</v>
      </c>
      <c r="D168" s="8">
        <v>2.16</v>
      </c>
      <c r="E168" s="4">
        <v>25</v>
      </c>
      <c r="F168" s="8">
        <v>3.06</v>
      </c>
      <c r="G168" s="4">
        <v>19</v>
      </c>
      <c r="H168" s="8">
        <v>1.58</v>
      </c>
      <c r="I168" s="4">
        <v>0</v>
      </c>
    </row>
    <row r="169" spans="1:9" x14ac:dyDescent="0.2">
      <c r="A169" s="2">
        <v>13</v>
      </c>
      <c r="B169" s="1" t="s">
        <v>232</v>
      </c>
      <c r="C169" s="4">
        <v>42</v>
      </c>
      <c r="D169" s="8">
        <v>2.06</v>
      </c>
      <c r="E169" s="4">
        <v>1</v>
      </c>
      <c r="F169" s="8">
        <v>0.12</v>
      </c>
      <c r="G169" s="4">
        <v>41</v>
      </c>
      <c r="H169" s="8">
        <v>3.41</v>
      </c>
      <c r="I169" s="4">
        <v>0</v>
      </c>
    </row>
    <row r="170" spans="1:9" x14ac:dyDescent="0.2">
      <c r="A170" s="2">
        <v>14</v>
      </c>
      <c r="B170" s="1" t="s">
        <v>222</v>
      </c>
      <c r="C170" s="4">
        <v>35</v>
      </c>
      <c r="D170" s="8">
        <v>1.72</v>
      </c>
      <c r="E170" s="4">
        <v>13</v>
      </c>
      <c r="F170" s="8">
        <v>1.59</v>
      </c>
      <c r="G170" s="4">
        <v>22</v>
      </c>
      <c r="H170" s="8">
        <v>1.83</v>
      </c>
      <c r="I170" s="4">
        <v>0</v>
      </c>
    </row>
    <row r="171" spans="1:9" x14ac:dyDescent="0.2">
      <c r="A171" s="2">
        <v>15</v>
      </c>
      <c r="B171" s="1" t="s">
        <v>238</v>
      </c>
      <c r="C171" s="4">
        <v>32</v>
      </c>
      <c r="D171" s="8">
        <v>1.57</v>
      </c>
      <c r="E171" s="4">
        <v>28</v>
      </c>
      <c r="F171" s="8">
        <v>3.43</v>
      </c>
      <c r="G171" s="4">
        <v>4</v>
      </c>
      <c r="H171" s="8">
        <v>0.33</v>
      </c>
      <c r="I171" s="4">
        <v>0</v>
      </c>
    </row>
    <row r="172" spans="1:9" x14ac:dyDescent="0.2">
      <c r="A172" s="2">
        <v>16</v>
      </c>
      <c r="B172" s="1" t="s">
        <v>219</v>
      </c>
      <c r="C172" s="4">
        <v>30</v>
      </c>
      <c r="D172" s="8">
        <v>1.47</v>
      </c>
      <c r="E172" s="4">
        <v>3</v>
      </c>
      <c r="F172" s="8">
        <v>0.37</v>
      </c>
      <c r="G172" s="4">
        <v>27</v>
      </c>
      <c r="H172" s="8">
        <v>2.25</v>
      </c>
      <c r="I172" s="4">
        <v>0</v>
      </c>
    </row>
    <row r="173" spans="1:9" x14ac:dyDescent="0.2">
      <c r="A173" s="2">
        <v>16</v>
      </c>
      <c r="B173" s="1" t="s">
        <v>234</v>
      </c>
      <c r="C173" s="4">
        <v>30</v>
      </c>
      <c r="D173" s="8">
        <v>1.47</v>
      </c>
      <c r="E173" s="4">
        <v>0</v>
      </c>
      <c r="F173" s="8">
        <v>0</v>
      </c>
      <c r="G173" s="4">
        <v>27</v>
      </c>
      <c r="H173" s="8">
        <v>2.25</v>
      </c>
      <c r="I173" s="4">
        <v>3</v>
      </c>
    </row>
    <row r="174" spans="1:9" x14ac:dyDescent="0.2">
      <c r="A174" s="2">
        <v>18</v>
      </c>
      <c r="B174" s="1" t="s">
        <v>229</v>
      </c>
      <c r="C174" s="4">
        <v>28</v>
      </c>
      <c r="D174" s="8">
        <v>1.37</v>
      </c>
      <c r="E174" s="4">
        <v>13</v>
      </c>
      <c r="F174" s="8">
        <v>1.59</v>
      </c>
      <c r="G174" s="4">
        <v>15</v>
      </c>
      <c r="H174" s="8">
        <v>1.25</v>
      </c>
      <c r="I174" s="4">
        <v>0</v>
      </c>
    </row>
    <row r="175" spans="1:9" x14ac:dyDescent="0.2">
      <c r="A175" s="2">
        <v>19</v>
      </c>
      <c r="B175" s="1" t="s">
        <v>220</v>
      </c>
      <c r="C175" s="4">
        <v>27</v>
      </c>
      <c r="D175" s="8">
        <v>1.33</v>
      </c>
      <c r="E175" s="4">
        <v>10</v>
      </c>
      <c r="F175" s="8">
        <v>1.22</v>
      </c>
      <c r="G175" s="4">
        <v>17</v>
      </c>
      <c r="H175" s="8">
        <v>1.41</v>
      </c>
      <c r="I175" s="4">
        <v>0</v>
      </c>
    </row>
    <row r="176" spans="1:9" x14ac:dyDescent="0.2">
      <c r="A176" s="2">
        <v>20</v>
      </c>
      <c r="B176" s="1" t="s">
        <v>233</v>
      </c>
      <c r="C176" s="4">
        <v>26</v>
      </c>
      <c r="D176" s="8">
        <v>1.28</v>
      </c>
      <c r="E176" s="4">
        <v>0</v>
      </c>
      <c r="F176" s="8">
        <v>0</v>
      </c>
      <c r="G176" s="4">
        <v>26</v>
      </c>
      <c r="H176" s="8">
        <v>2.16</v>
      </c>
      <c r="I176" s="4">
        <v>0</v>
      </c>
    </row>
    <row r="177" spans="1:9" x14ac:dyDescent="0.2">
      <c r="A177" s="1"/>
      <c r="C177" s="4"/>
      <c r="D177" s="8"/>
      <c r="E177" s="4"/>
      <c r="F177" s="8"/>
      <c r="G177" s="4"/>
      <c r="H177" s="8"/>
      <c r="I177" s="4"/>
    </row>
    <row r="178" spans="1:9" x14ac:dyDescent="0.2">
      <c r="A178" s="1" t="s">
        <v>8</v>
      </c>
      <c r="C178" s="4"/>
      <c r="D178" s="8"/>
      <c r="E178" s="4"/>
      <c r="F178" s="8"/>
      <c r="G178" s="4"/>
      <c r="H178" s="8"/>
      <c r="I178" s="4"/>
    </row>
    <row r="179" spans="1:9" x14ac:dyDescent="0.2">
      <c r="A179" s="2">
        <v>1</v>
      </c>
      <c r="B179" s="1" t="s">
        <v>224</v>
      </c>
      <c r="C179" s="4">
        <v>510</v>
      </c>
      <c r="D179" s="8">
        <v>13.93</v>
      </c>
      <c r="E179" s="4">
        <v>251</v>
      </c>
      <c r="F179" s="8">
        <v>18.28</v>
      </c>
      <c r="G179" s="4">
        <v>259</v>
      </c>
      <c r="H179" s="8">
        <v>11.39</v>
      </c>
      <c r="I179" s="4">
        <v>0</v>
      </c>
    </row>
    <row r="180" spans="1:9" x14ac:dyDescent="0.2">
      <c r="A180" s="2">
        <v>2</v>
      </c>
      <c r="B180" s="1" t="s">
        <v>227</v>
      </c>
      <c r="C180" s="4">
        <v>380</v>
      </c>
      <c r="D180" s="8">
        <v>10.38</v>
      </c>
      <c r="E180" s="4">
        <v>295</v>
      </c>
      <c r="F180" s="8">
        <v>21.49</v>
      </c>
      <c r="G180" s="4">
        <v>85</v>
      </c>
      <c r="H180" s="8">
        <v>3.74</v>
      </c>
      <c r="I180" s="4">
        <v>0</v>
      </c>
    </row>
    <row r="181" spans="1:9" x14ac:dyDescent="0.2">
      <c r="A181" s="2">
        <v>3</v>
      </c>
      <c r="B181" s="1" t="s">
        <v>228</v>
      </c>
      <c r="C181" s="4">
        <v>323</v>
      </c>
      <c r="D181" s="8">
        <v>8.82</v>
      </c>
      <c r="E181" s="4">
        <v>232</v>
      </c>
      <c r="F181" s="8">
        <v>16.899999999999999</v>
      </c>
      <c r="G181" s="4">
        <v>91</v>
      </c>
      <c r="H181" s="8">
        <v>4</v>
      </c>
      <c r="I181" s="4">
        <v>0</v>
      </c>
    </row>
    <row r="182" spans="1:9" x14ac:dyDescent="0.2">
      <c r="A182" s="2">
        <v>4</v>
      </c>
      <c r="B182" s="1" t="s">
        <v>214</v>
      </c>
      <c r="C182" s="4">
        <v>186</v>
      </c>
      <c r="D182" s="8">
        <v>5.08</v>
      </c>
      <c r="E182" s="4">
        <v>18</v>
      </c>
      <c r="F182" s="8">
        <v>1.31</v>
      </c>
      <c r="G182" s="4">
        <v>168</v>
      </c>
      <c r="H182" s="8">
        <v>7.39</v>
      </c>
      <c r="I182" s="4">
        <v>0</v>
      </c>
    </row>
    <row r="183" spans="1:9" x14ac:dyDescent="0.2">
      <c r="A183" s="2">
        <v>5</v>
      </c>
      <c r="B183" s="1" t="s">
        <v>231</v>
      </c>
      <c r="C183" s="4">
        <v>179</v>
      </c>
      <c r="D183" s="8">
        <v>4.8899999999999997</v>
      </c>
      <c r="E183" s="4">
        <v>140</v>
      </c>
      <c r="F183" s="8">
        <v>10.199999999999999</v>
      </c>
      <c r="G183" s="4">
        <v>39</v>
      </c>
      <c r="H183" s="8">
        <v>1.72</v>
      </c>
      <c r="I183" s="4">
        <v>0</v>
      </c>
    </row>
    <row r="184" spans="1:9" x14ac:dyDescent="0.2">
      <c r="A184" s="2">
        <v>6</v>
      </c>
      <c r="B184" s="1" t="s">
        <v>213</v>
      </c>
      <c r="C184" s="4">
        <v>159</v>
      </c>
      <c r="D184" s="8">
        <v>4.34</v>
      </c>
      <c r="E184" s="4">
        <v>5</v>
      </c>
      <c r="F184" s="8">
        <v>0.36</v>
      </c>
      <c r="G184" s="4">
        <v>154</v>
      </c>
      <c r="H184" s="8">
        <v>6.78</v>
      </c>
      <c r="I184" s="4">
        <v>0</v>
      </c>
    </row>
    <row r="185" spans="1:9" x14ac:dyDescent="0.2">
      <c r="A185" s="2">
        <v>7</v>
      </c>
      <c r="B185" s="1" t="s">
        <v>223</v>
      </c>
      <c r="C185" s="4">
        <v>156</v>
      </c>
      <c r="D185" s="8">
        <v>4.26</v>
      </c>
      <c r="E185" s="4">
        <v>49</v>
      </c>
      <c r="F185" s="8">
        <v>3.57</v>
      </c>
      <c r="G185" s="4">
        <v>107</v>
      </c>
      <c r="H185" s="8">
        <v>4.71</v>
      </c>
      <c r="I185" s="4">
        <v>0</v>
      </c>
    </row>
    <row r="186" spans="1:9" x14ac:dyDescent="0.2">
      <c r="A186" s="2">
        <v>8</v>
      </c>
      <c r="B186" s="1" t="s">
        <v>215</v>
      </c>
      <c r="C186" s="4">
        <v>140</v>
      </c>
      <c r="D186" s="8">
        <v>3.82</v>
      </c>
      <c r="E186" s="4">
        <v>6</v>
      </c>
      <c r="F186" s="8">
        <v>0.44</v>
      </c>
      <c r="G186" s="4">
        <v>134</v>
      </c>
      <c r="H186" s="8">
        <v>5.9</v>
      </c>
      <c r="I186" s="4">
        <v>0</v>
      </c>
    </row>
    <row r="187" spans="1:9" x14ac:dyDescent="0.2">
      <c r="A187" s="2">
        <v>9</v>
      </c>
      <c r="B187" s="1" t="s">
        <v>230</v>
      </c>
      <c r="C187" s="4">
        <v>130</v>
      </c>
      <c r="D187" s="8">
        <v>3.55</v>
      </c>
      <c r="E187" s="4">
        <v>87</v>
      </c>
      <c r="F187" s="8">
        <v>6.34</v>
      </c>
      <c r="G187" s="4">
        <v>41</v>
      </c>
      <c r="H187" s="8">
        <v>1.8</v>
      </c>
      <c r="I187" s="4">
        <v>2</v>
      </c>
    </row>
    <row r="188" spans="1:9" x14ac:dyDescent="0.2">
      <c r="A188" s="2">
        <v>10</v>
      </c>
      <c r="B188" s="1" t="s">
        <v>225</v>
      </c>
      <c r="C188" s="4">
        <v>124</v>
      </c>
      <c r="D188" s="8">
        <v>3.39</v>
      </c>
      <c r="E188" s="4">
        <v>63</v>
      </c>
      <c r="F188" s="8">
        <v>4.59</v>
      </c>
      <c r="G188" s="4">
        <v>61</v>
      </c>
      <c r="H188" s="8">
        <v>2.68</v>
      </c>
      <c r="I188" s="4">
        <v>0</v>
      </c>
    </row>
    <row r="189" spans="1:9" x14ac:dyDescent="0.2">
      <c r="A189" s="2">
        <v>11</v>
      </c>
      <c r="B189" s="1" t="s">
        <v>226</v>
      </c>
      <c r="C189" s="4">
        <v>123</v>
      </c>
      <c r="D189" s="8">
        <v>3.36</v>
      </c>
      <c r="E189" s="4">
        <v>21</v>
      </c>
      <c r="F189" s="8">
        <v>1.53</v>
      </c>
      <c r="G189" s="4">
        <v>102</v>
      </c>
      <c r="H189" s="8">
        <v>4.49</v>
      </c>
      <c r="I189" s="4">
        <v>0</v>
      </c>
    </row>
    <row r="190" spans="1:9" x14ac:dyDescent="0.2">
      <c r="A190" s="2">
        <v>12</v>
      </c>
      <c r="B190" s="1" t="s">
        <v>221</v>
      </c>
      <c r="C190" s="4">
        <v>98</v>
      </c>
      <c r="D190" s="8">
        <v>2.68</v>
      </c>
      <c r="E190" s="4">
        <v>52</v>
      </c>
      <c r="F190" s="8">
        <v>3.79</v>
      </c>
      <c r="G190" s="4">
        <v>46</v>
      </c>
      <c r="H190" s="8">
        <v>2.02</v>
      </c>
      <c r="I190" s="4">
        <v>0</v>
      </c>
    </row>
    <row r="191" spans="1:9" x14ac:dyDescent="0.2">
      <c r="A191" s="2">
        <v>13</v>
      </c>
      <c r="B191" s="1" t="s">
        <v>216</v>
      </c>
      <c r="C191" s="4">
        <v>89</v>
      </c>
      <c r="D191" s="8">
        <v>2.4300000000000002</v>
      </c>
      <c r="E191" s="4">
        <v>2</v>
      </c>
      <c r="F191" s="8">
        <v>0.15</v>
      </c>
      <c r="G191" s="4">
        <v>87</v>
      </c>
      <c r="H191" s="8">
        <v>3.83</v>
      </c>
      <c r="I191" s="4">
        <v>0</v>
      </c>
    </row>
    <row r="192" spans="1:9" x14ac:dyDescent="0.2">
      <c r="A192" s="2">
        <v>14</v>
      </c>
      <c r="B192" s="1" t="s">
        <v>232</v>
      </c>
      <c r="C192" s="4">
        <v>83</v>
      </c>
      <c r="D192" s="8">
        <v>2.27</v>
      </c>
      <c r="E192" s="4">
        <v>2</v>
      </c>
      <c r="F192" s="8">
        <v>0.15</v>
      </c>
      <c r="G192" s="4">
        <v>80</v>
      </c>
      <c r="H192" s="8">
        <v>3.52</v>
      </c>
      <c r="I192" s="4">
        <v>1</v>
      </c>
    </row>
    <row r="193" spans="1:9" x14ac:dyDescent="0.2">
      <c r="A193" s="2">
        <v>15</v>
      </c>
      <c r="B193" s="1" t="s">
        <v>218</v>
      </c>
      <c r="C193" s="4">
        <v>64</v>
      </c>
      <c r="D193" s="8">
        <v>1.75</v>
      </c>
      <c r="E193" s="4">
        <v>1</v>
      </c>
      <c r="F193" s="8">
        <v>7.0000000000000007E-2</v>
      </c>
      <c r="G193" s="4">
        <v>63</v>
      </c>
      <c r="H193" s="8">
        <v>2.77</v>
      </c>
      <c r="I193" s="4">
        <v>0</v>
      </c>
    </row>
    <row r="194" spans="1:9" x14ac:dyDescent="0.2">
      <c r="A194" s="2">
        <v>16</v>
      </c>
      <c r="B194" s="1" t="s">
        <v>222</v>
      </c>
      <c r="C194" s="4">
        <v>63</v>
      </c>
      <c r="D194" s="8">
        <v>1.72</v>
      </c>
      <c r="E194" s="4">
        <v>18</v>
      </c>
      <c r="F194" s="8">
        <v>1.31</v>
      </c>
      <c r="G194" s="4">
        <v>45</v>
      </c>
      <c r="H194" s="8">
        <v>1.98</v>
      </c>
      <c r="I194" s="4">
        <v>0</v>
      </c>
    </row>
    <row r="195" spans="1:9" x14ac:dyDescent="0.2">
      <c r="A195" s="2">
        <v>17</v>
      </c>
      <c r="B195" s="1" t="s">
        <v>219</v>
      </c>
      <c r="C195" s="4">
        <v>62</v>
      </c>
      <c r="D195" s="8">
        <v>1.69</v>
      </c>
      <c r="E195" s="4">
        <v>4</v>
      </c>
      <c r="F195" s="8">
        <v>0.28999999999999998</v>
      </c>
      <c r="G195" s="4">
        <v>58</v>
      </c>
      <c r="H195" s="8">
        <v>2.5499999999999998</v>
      </c>
      <c r="I195" s="4">
        <v>0</v>
      </c>
    </row>
    <row r="196" spans="1:9" x14ac:dyDescent="0.2">
      <c r="A196" s="2">
        <v>18</v>
      </c>
      <c r="B196" s="1" t="s">
        <v>233</v>
      </c>
      <c r="C196" s="4">
        <v>61</v>
      </c>
      <c r="D196" s="8">
        <v>1.67</v>
      </c>
      <c r="E196" s="4">
        <v>5</v>
      </c>
      <c r="F196" s="8">
        <v>0.36</v>
      </c>
      <c r="G196" s="4">
        <v>56</v>
      </c>
      <c r="H196" s="8">
        <v>2.46</v>
      </c>
      <c r="I196" s="4">
        <v>0</v>
      </c>
    </row>
    <row r="197" spans="1:9" x14ac:dyDescent="0.2">
      <c r="A197" s="2">
        <v>19</v>
      </c>
      <c r="B197" s="1" t="s">
        <v>220</v>
      </c>
      <c r="C197" s="4">
        <v>60</v>
      </c>
      <c r="D197" s="8">
        <v>1.64</v>
      </c>
      <c r="E197" s="4">
        <v>15</v>
      </c>
      <c r="F197" s="8">
        <v>1.0900000000000001</v>
      </c>
      <c r="G197" s="4">
        <v>45</v>
      </c>
      <c r="H197" s="8">
        <v>1.98</v>
      </c>
      <c r="I197" s="4">
        <v>0</v>
      </c>
    </row>
    <row r="198" spans="1:9" x14ac:dyDescent="0.2">
      <c r="A198" s="2">
        <v>20</v>
      </c>
      <c r="B198" s="1" t="s">
        <v>229</v>
      </c>
      <c r="C198" s="4">
        <v>45</v>
      </c>
      <c r="D198" s="8">
        <v>1.23</v>
      </c>
      <c r="E198" s="4">
        <v>16</v>
      </c>
      <c r="F198" s="8">
        <v>1.17</v>
      </c>
      <c r="G198" s="4">
        <v>28</v>
      </c>
      <c r="H198" s="8">
        <v>1.23</v>
      </c>
      <c r="I198" s="4">
        <v>0</v>
      </c>
    </row>
    <row r="199" spans="1:9" x14ac:dyDescent="0.2">
      <c r="A199" s="1"/>
      <c r="C199" s="4"/>
      <c r="D199" s="8"/>
      <c r="E199" s="4"/>
      <c r="F199" s="8"/>
      <c r="G199" s="4"/>
      <c r="H199" s="8"/>
      <c r="I199" s="4"/>
    </row>
    <row r="200" spans="1:9" x14ac:dyDescent="0.2">
      <c r="A200" s="1" t="s">
        <v>9</v>
      </c>
      <c r="C200" s="4"/>
      <c r="D200" s="8"/>
      <c r="E200" s="4"/>
      <c r="F200" s="8"/>
      <c r="G200" s="4"/>
      <c r="H200" s="8"/>
      <c r="I200" s="4"/>
    </row>
    <row r="201" spans="1:9" x14ac:dyDescent="0.2">
      <c r="A201" s="2">
        <v>1</v>
      </c>
      <c r="B201" s="1" t="s">
        <v>224</v>
      </c>
      <c r="C201" s="4">
        <v>211</v>
      </c>
      <c r="D201" s="8">
        <v>15.35</v>
      </c>
      <c r="E201" s="4">
        <v>63</v>
      </c>
      <c r="F201" s="8">
        <v>15.63</v>
      </c>
      <c r="G201" s="4">
        <v>148</v>
      </c>
      <c r="H201" s="8">
        <v>15.31</v>
      </c>
      <c r="I201" s="4">
        <v>0</v>
      </c>
    </row>
    <row r="202" spans="1:9" x14ac:dyDescent="0.2">
      <c r="A202" s="2">
        <v>2</v>
      </c>
      <c r="B202" s="1" t="s">
        <v>228</v>
      </c>
      <c r="C202" s="4">
        <v>146</v>
      </c>
      <c r="D202" s="8">
        <v>10.62</v>
      </c>
      <c r="E202" s="4">
        <v>98</v>
      </c>
      <c r="F202" s="8">
        <v>24.32</v>
      </c>
      <c r="G202" s="4">
        <v>48</v>
      </c>
      <c r="H202" s="8">
        <v>4.96</v>
      </c>
      <c r="I202" s="4">
        <v>0</v>
      </c>
    </row>
    <row r="203" spans="1:9" x14ac:dyDescent="0.2">
      <c r="A203" s="2">
        <v>3</v>
      </c>
      <c r="B203" s="1" t="s">
        <v>227</v>
      </c>
      <c r="C203" s="4">
        <v>115</v>
      </c>
      <c r="D203" s="8">
        <v>8.36</v>
      </c>
      <c r="E203" s="4">
        <v>73</v>
      </c>
      <c r="F203" s="8">
        <v>18.11</v>
      </c>
      <c r="G203" s="4">
        <v>42</v>
      </c>
      <c r="H203" s="8">
        <v>4.34</v>
      </c>
      <c r="I203" s="4">
        <v>0</v>
      </c>
    </row>
    <row r="204" spans="1:9" x14ac:dyDescent="0.2">
      <c r="A204" s="2">
        <v>4</v>
      </c>
      <c r="B204" s="1" t="s">
        <v>223</v>
      </c>
      <c r="C204" s="4">
        <v>73</v>
      </c>
      <c r="D204" s="8">
        <v>5.31</v>
      </c>
      <c r="E204" s="4">
        <v>16</v>
      </c>
      <c r="F204" s="8">
        <v>3.97</v>
      </c>
      <c r="G204" s="4">
        <v>57</v>
      </c>
      <c r="H204" s="8">
        <v>5.89</v>
      </c>
      <c r="I204" s="4">
        <v>0</v>
      </c>
    </row>
    <row r="205" spans="1:9" x14ac:dyDescent="0.2">
      <c r="A205" s="2">
        <v>5</v>
      </c>
      <c r="B205" s="1" t="s">
        <v>231</v>
      </c>
      <c r="C205" s="4">
        <v>66</v>
      </c>
      <c r="D205" s="8">
        <v>4.8</v>
      </c>
      <c r="E205" s="4">
        <v>46</v>
      </c>
      <c r="F205" s="8">
        <v>11.41</v>
      </c>
      <c r="G205" s="4">
        <v>20</v>
      </c>
      <c r="H205" s="8">
        <v>2.0699999999999998</v>
      </c>
      <c r="I205" s="4">
        <v>0</v>
      </c>
    </row>
    <row r="206" spans="1:9" x14ac:dyDescent="0.2">
      <c r="A206" s="2">
        <v>6</v>
      </c>
      <c r="B206" s="1" t="s">
        <v>213</v>
      </c>
      <c r="C206" s="4">
        <v>55</v>
      </c>
      <c r="D206" s="8">
        <v>4</v>
      </c>
      <c r="E206" s="4">
        <v>0</v>
      </c>
      <c r="F206" s="8">
        <v>0</v>
      </c>
      <c r="G206" s="4">
        <v>55</v>
      </c>
      <c r="H206" s="8">
        <v>5.69</v>
      </c>
      <c r="I206" s="4">
        <v>0</v>
      </c>
    </row>
    <row r="207" spans="1:9" x14ac:dyDescent="0.2">
      <c r="A207" s="2">
        <v>7</v>
      </c>
      <c r="B207" s="1" t="s">
        <v>214</v>
      </c>
      <c r="C207" s="4">
        <v>52</v>
      </c>
      <c r="D207" s="8">
        <v>3.78</v>
      </c>
      <c r="E207" s="4">
        <v>7</v>
      </c>
      <c r="F207" s="8">
        <v>1.74</v>
      </c>
      <c r="G207" s="4">
        <v>45</v>
      </c>
      <c r="H207" s="8">
        <v>4.6500000000000004</v>
      </c>
      <c r="I207" s="4">
        <v>0</v>
      </c>
    </row>
    <row r="208" spans="1:9" x14ac:dyDescent="0.2">
      <c r="A208" s="2">
        <v>8</v>
      </c>
      <c r="B208" s="1" t="s">
        <v>220</v>
      </c>
      <c r="C208" s="4">
        <v>49</v>
      </c>
      <c r="D208" s="8">
        <v>3.56</v>
      </c>
      <c r="E208" s="4">
        <v>2</v>
      </c>
      <c r="F208" s="8">
        <v>0.5</v>
      </c>
      <c r="G208" s="4">
        <v>47</v>
      </c>
      <c r="H208" s="8">
        <v>4.8600000000000003</v>
      </c>
      <c r="I208" s="4">
        <v>0</v>
      </c>
    </row>
    <row r="209" spans="1:9" x14ac:dyDescent="0.2">
      <c r="A209" s="2">
        <v>9</v>
      </c>
      <c r="B209" s="1" t="s">
        <v>215</v>
      </c>
      <c r="C209" s="4">
        <v>44</v>
      </c>
      <c r="D209" s="8">
        <v>3.2</v>
      </c>
      <c r="E209" s="4">
        <v>4</v>
      </c>
      <c r="F209" s="8">
        <v>0.99</v>
      </c>
      <c r="G209" s="4">
        <v>40</v>
      </c>
      <c r="H209" s="8">
        <v>4.1399999999999997</v>
      </c>
      <c r="I209" s="4">
        <v>0</v>
      </c>
    </row>
    <row r="210" spans="1:9" x14ac:dyDescent="0.2">
      <c r="A210" s="2">
        <v>10</v>
      </c>
      <c r="B210" s="1" t="s">
        <v>230</v>
      </c>
      <c r="C210" s="4">
        <v>43</v>
      </c>
      <c r="D210" s="8">
        <v>3.13</v>
      </c>
      <c r="E210" s="4">
        <v>26</v>
      </c>
      <c r="F210" s="8">
        <v>6.45</v>
      </c>
      <c r="G210" s="4">
        <v>17</v>
      </c>
      <c r="H210" s="8">
        <v>1.76</v>
      </c>
      <c r="I210" s="4">
        <v>0</v>
      </c>
    </row>
    <row r="211" spans="1:9" x14ac:dyDescent="0.2">
      <c r="A211" s="2">
        <v>11</v>
      </c>
      <c r="B211" s="1" t="s">
        <v>225</v>
      </c>
      <c r="C211" s="4">
        <v>35</v>
      </c>
      <c r="D211" s="8">
        <v>2.5499999999999998</v>
      </c>
      <c r="E211" s="4">
        <v>14</v>
      </c>
      <c r="F211" s="8">
        <v>3.47</v>
      </c>
      <c r="G211" s="4">
        <v>21</v>
      </c>
      <c r="H211" s="8">
        <v>2.17</v>
      </c>
      <c r="I211" s="4">
        <v>0</v>
      </c>
    </row>
    <row r="212" spans="1:9" x14ac:dyDescent="0.2">
      <c r="A212" s="2">
        <v>11</v>
      </c>
      <c r="B212" s="1" t="s">
        <v>226</v>
      </c>
      <c r="C212" s="4">
        <v>35</v>
      </c>
      <c r="D212" s="8">
        <v>2.5499999999999998</v>
      </c>
      <c r="E212" s="4">
        <v>3</v>
      </c>
      <c r="F212" s="8">
        <v>0.74</v>
      </c>
      <c r="G212" s="4">
        <v>32</v>
      </c>
      <c r="H212" s="8">
        <v>3.31</v>
      </c>
      <c r="I212" s="4">
        <v>0</v>
      </c>
    </row>
    <row r="213" spans="1:9" x14ac:dyDescent="0.2">
      <c r="A213" s="2">
        <v>13</v>
      </c>
      <c r="B213" s="1" t="s">
        <v>218</v>
      </c>
      <c r="C213" s="4">
        <v>34</v>
      </c>
      <c r="D213" s="8">
        <v>2.4700000000000002</v>
      </c>
      <c r="E213" s="4">
        <v>0</v>
      </c>
      <c r="F213" s="8">
        <v>0</v>
      </c>
      <c r="G213" s="4">
        <v>34</v>
      </c>
      <c r="H213" s="8">
        <v>3.52</v>
      </c>
      <c r="I213" s="4">
        <v>0</v>
      </c>
    </row>
    <row r="214" spans="1:9" x14ac:dyDescent="0.2">
      <c r="A214" s="2">
        <v>13</v>
      </c>
      <c r="B214" s="1" t="s">
        <v>219</v>
      </c>
      <c r="C214" s="4">
        <v>34</v>
      </c>
      <c r="D214" s="8">
        <v>2.4700000000000002</v>
      </c>
      <c r="E214" s="4">
        <v>3</v>
      </c>
      <c r="F214" s="8">
        <v>0.74</v>
      </c>
      <c r="G214" s="4">
        <v>31</v>
      </c>
      <c r="H214" s="8">
        <v>3.21</v>
      </c>
      <c r="I214" s="4">
        <v>0</v>
      </c>
    </row>
    <row r="215" spans="1:9" x14ac:dyDescent="0.2">
      <c r="A215" s="2">
        <v>15</v>
      </c>
      <c r="B215" s="1" t="s">
        <v>221</v>
      </c>
      <c r="C215" s="4">
        <v>31</v>
      </c>
      <c r="D215" s="8">
        <v>2.25</v>
      </c>
      <c r="E215" s="4">
        <v>5</v>
      </c>
      <c r="F215" s="8">
        <v>1.24</v>
      </c>
      <c r="G215" s="4">
        <v>25</v>
      </c>
      <c r="H215" s="8">
        <v>2.59</v>
      </c>
      <c r="I215" s="4">
        <v>1</v>
      </c>
    </row>
    <row r="216" spans="1:9" x14ac:dyDescent="0.2">
      <c r="A216" s="2">
        <v>16</v>
      </c>
      <c r="B216" s="1" t="s">
        <v>235</v>
      </c>
      <c r="C216" s="4">
        <v>28</v>
      </c>
      <c r="D216" s="8">
        <v>2.04</v>
      </c>
      <c r="E216" s="4">
        <v>0</v>
      </c>
      <c r="F216" s="8">
        <v>0</v>
      </c>
      <c r="G216" s="4">
        <v>28</v>
      </c>
      <c r="H216" s="8">
        <v>2.9</v>
      </c>
      <c r="I216" s="4">
        <v>0</v>
      </c>
    </row>
    <row r="217" spans="1:9" x14ac:dyDescent="0.2">
      <c r="A217" s="2">
        <v>16</v>
      </c>
      <c r="B217" s="1" t="s">
        <v>222</v>
      </c>
      <c r="C217" s="4">
        <v>28</v>
      </c>
      <c r="D217" s="8">
        <v>2.04</v>
      </c>
      <c r="E217" s="4">
        <v>7</v>
      </c>
      <c r="F217" s="8">
        <v>1.74</v>
      </c>
      <c r="G217" s="4">
        <v>21</v>
      </c>
      <c r="H217" s="8">
        <v>2.17</v>
      </c>
      <c r="I217" s="4">
        <v>0</v>
      </c>
    </row>
    <row r="218" spans="1:9" x14ac:dyDescent="0.2">
      <c r="A218" s="2">
        <v>18</v>
      </c>
      <c r="B218" s="1" t="s">
        <v>239</v>
      </c>
      <c r="C218" s="4">
        <v>25</v>
      </c>
      <c r="D218" s="8">
        <v>1.82</v>
      </c>
      <c r="E218" s="4">
        <v>3</v>
      </c>
      <c r="F218" s="8">
        <v>0.74</v>
      </c>
      <c r="G218" s="4">
        <v>22</v>
      </c>
      <c r="H218" s="8">
        <v>2.2799999999999998</v>
      </c>
      <c r="I218" s="4">
        <v>0</v>
      </c>
    </row>
    <row r="219" spans="1:9" x14ac:dyDescent="0.2">
      <c r="A219" s="2">
        <v>19</v>
      </c>
      <c r="B219" s="1" t="s">
        <v>234</v>
      </c>
      <c r="C219" s="4">
        <v>24</v>
      </c>
      <c r="D219" s="8">
        <v>1.75</v>
      </c>
      <c r="E219" s="4">
        <v>2</v>
      </c>
      <c r="F219" s="8">
        <v>0.5</v>
      </c>
      <c r="G219" s="4">
        <v>22</v>
      </c>
      <c r="H219" s="8">
        <v>2.2799999999999998</v>
      </c>
      <c r="I219" s="4">
        <v>0</v>
      </c>
    </row>
    <row r="220" spans="1:9" x14ac:dyDescent="0.2">
      <c r="A220" s="2">
        <v>20</v>
      </c>
      <c r="B220" s="1" t="s">
        <v>232</v>
      </c>
      <c r="C220" s="4">
        <v>22</v>
      </c>
      <c r="D220" s="8">
        <v>1.6</v>
      </c>
      <c r="E220" s="4">
        <v>1</v>
      </c>
      <c r="F220" s="8">
        <v>0.25</v>
      </c>
      <c r="G220" s="4">
        <v>21</v>
      </c>
      <c r="H220" s="8">
        <v>2.17</v>
      </c>
      <c r="I220" s="4">
        <v>0</v>
      </c>
    </row>
    <row r="221" spans="1:9" x14ac:dyDescent="0.2">
      <c r="A221" s="1"/>
      <c r="C221" s="4"/>
      <c r="D221" s="8"/>
      <c r="E221" s="4"/>
      <c r="F221" s="8"/>
      <c r="G221" s="4"/>
      <c r="H221" s="8"/>
      <c r="I221" s="4"/>
    </row>
    <row r="222" spans="1:9" x14ac:dyDescent="0.2">
      <c r="A222" s="1" t="s">
        <v>10</v>
      </c>
      <c r="C222" s="4"/>
      <c r="D222" s="8"/>
      <c r="E222" s="4"/>
      <c r="F222" s="8"/>
      <c r="G222" s="4"/>
      <c r="H222" s="8"/>
      <c r="I222" s="4"/>
    </row>
    <row r="223" spans="1:9" x14ac:dyDescent="0.2">
      <c r="A223" s="2">
        <v>1</v>
      </c>
      <c r="B223" s="1" t="s">
        <v>228</v>
      </c>
      <c r="C223" s="4">
        <v>221</v>
      </c>
      <c r="D223" s="8">
        <v>11.64</v>
      </c>
      <c r="E223" s="4">
        <v>177</v>
      </c>
      <c r="F223" s="8">
        <v>23.47</v>
      </c>
      <c r="G223" s="4">
        <v>44</v>
      </c>
      <c r="H223" s="8">
        <v>3.86</v>
      </c>
      <c r="I223" s="4">
        <v>0</v>
      </c>
    </row>
    <row r="224" spans="1:9" x14ac:dyDescent="0.2">
      <c r="A224" s="2">
        <v>2</v>
      </c>
      <c r="B224" s="1" t="s">
        <v>224</v>
      </c>
      <c r="C224" s="4">
        <v>148</v>
      </c>
      <c r="D224" s="8">
        <v>7.8</v>
      </c>
      <c r="E224" s="4">
        <v>46</v>
      </c>
      <c r="F224" s="8">
        <v>6.1</v>
      </c>
      <c r="G224" s="4">
        <v>102</v>
      </c>
      <c r="H224" s="8">
        <v>8.9499999999999993</v>
      </c>
      <c r="I224" s="4">
        <v>0</v>
      </c>
    </row>
    <row r="225" spans="1:9" x14ac:dyDescent="0.2">
      <c r="A225" s="2">
        <v>3</v>
      </c>
      <c r="B225" s="1" t="s">
        <v>227</v>
      </c>
      <c r="C225" s="4">
        <v>145</v>
      </c>
      <c r="D225" s="8">
        <v>7.64</v>
      </c>
      <c r="E225" s="4">
        <v>115</v>
      </c>
      <c r="F225" s="8">
        <v>15.25</v>
      </c>
      <c r="G225" s="4">
        <v>30</v>
      </c>
      <c r="H225" s="8">
        <v>2.63</v>
      </c>
      <c r="I225" s="4">
        <v>0</v>
      </c>
    </row>
    <row r="226" spans="1:9" x14ac:dyDescent="0.2">
      <c r="A226" s="2">
        <v>4</v>
      </c>
      <c r="B226" s="1" t="s">
        <v>214</v>
      </c>
      <c r="C226" s="4">
        <v>124</v>
      </c>
      <c r="D226" s="8">
        <v>6.53</v>
      </c>
      <c r="E226" s="4">
        <v>15</v>
      </c>
      <c r="F226" s="8">
        <v>1.99</v>
      </c>
      <c r="G226" s="4">
        <v>109</v>
      </c>
      <c r="H226" s="8">
        <v>9.56</v>
      </c>
      <c r="I226" s="4">
        <v>0</v>
      </c>
    </row>
    <row r="227" spans="1:9" x14ac:dyDescent="0.2">
      <c r="A227" s="2">
        <v>5</v>
      </c>
      <c r="B227" s="1" t="s">
        <v>213</v>
      </c>
      <c r="C227" s="4">
        <v>117</v>
      </c>
      <c r="D227" s="8">
        <v>6.16</v>
      </c>
      <c r="E227" s="4">
        <v>13</v>
      </c>
      <c r="F227" s="8">
        <v>1.72</v>
      </c>
      <c r="G227" s="4">
        <v>104</v>
      </c>
      <c r="H227" s="8">
        <v>9.1199999999999992</v>
      </c>
      <c r="I227" s="4">
        <v>0</v>
      </c>
    </row>
    <row r="228" spans="1:9" x14ac:dyDescent="0.2">
      <c r="A228" s="2">
        <v>6</v>
      </c>
      <c r="B228" s="1" t="s">
        <v>231</v>
      </c>
      <c r="C228" s="4">
        <v>111</v>
      </c>
      <c r="D228" s="8">
        <v>5.85</v>
      </c>
      <c r="E228" s="4">
        <v>97</v>
      </c>
      <c r="F228" s="8">
        <v>12.86</v>
      </c>
      <c r="G228" s="4">
        <v>14</v>
      </c>
      <c r="H228" s="8">
        <v>1.23</v>
      </c>
      <c r="I228" s="4">
        <v>0</v>
      </c>
    </row>
    <row r="229" spans="1:9" x14ac:dyDescent="0.2">
      <c r="A229" s="2">
        <v>7</v>
      </c>
      <c r="B229" s="1" t="s">
        <v>215</v>
      </c>
      <c r="C229" s="4">
        <v>98</v>
      </c>
      <c r="D229" s="8">
        <v>5.16</v>
      </c>
      <c r="E229" s="4">
        <v>9</v>
      </c>
      <c r="F229" s="8">
        <v>1.19</v>
      </c>
      <c r="G229" s="4">
        <v>89</v>
      </c>
      <c r="H229" s="8">
        <v>7.81</v>
      </c>
      <c r="I229" s="4">
        <v>0</v>
      </c>
    </row>
    <row r="230" spans="1:9" x14ac:dyDescent="0.2">
      <c r="A230" s="2">
        <v>8</v>
      </c>
      <c r="B230" s="1" t="s">
        <v>223</v>
      </c>
      <c r="C230" s="4">
        <v>94</v>
      </c>
      <c r="D230" s="8">
        <v>4.95</v>
      </c>
      <c r="E230" s="4">
        <v>22</v>
      </c>
      <c r="F230" s="8">
        <v>2.92</v>
      </c>
      <c r="G230" s="4">
        <v>72</v>
      </c>
      <c r="H230" s="8">
        <v>6.32</v>
      </c>
      <c r="I230" s="4">
        <v>0</v>
      </c>
    </row>
    <row r="231" spans="1:9" x14ac:dyDescent="0.2">
      <c r="A231" s="2">
        <v>9</v>
      </c>
      <c r="B231" s="1" t="s">
        <v>230</v>
      </c>
      <c r="C231" s="4">
        <v>91</v>
      </c>
      <c r="D231" s="8">
        <v>4.79</v>
      </c>
      <c r="E231" s="4">
        <v>66</v>
      </c>
      <c r="F231" s="8">
        <v>8.75</v>
      </c>
      <c r="G231" s="4">
        <v>25</v>
      </c>
      <c r="H231" s="8">
        <v>2.19</v>
      </c>
      <c r="I231" s="4">
        <v>0</v>
      </c>
    </row>
    <row r="232" spans="1:9" x14ac:dyDescent="0.2">
      <c r="A232" s="2">
        <v>10</v>
      </c>
      <c r="B232" s="1" t="s">
        <v>222</v>
      </c>
      <c r="C232" s="4">
        <v>64</v>
      </c>
      <c r="D232" s="8">
        <v>3.37</v>
      </c>
      <c r="E232" s="4">
        <v>21</v>
      </c>
      <c r="F232" s="8">
        <v>2.79</v>
      </c>
      <c r="G232" s="4">
        <v>43</v>
      </c>
      <c r="H232" s="8">
        <v>3.77</v>
      </c>
      <c r="I232" s="4">
        <v>0</v>
      </c>
    </row>
    <row r="233" spans="1:9" x14ac:dyDescent="0.2">
      <c r="A233" s="2">
        <v>11</v>
      </c>
      <c r="B233" s="1" t="s">
        <v>226</v>
      </c>
      <c r="C233" s="4">
        <v>52</v>
      </c>
      <c r="D233" s="8">
        <v>2.74</v>
      </c>
      <c r="E233" s="4">
        <v>12</v>
      </c>
      <c r="F233" s="8">
        <v>1.59</v>
      </c>
      <c r="G233" s="4">
        <v>40</v>
      </c>
      <c r="H233" s="8">
        <v>3.51</v>
      </c>
      <c r="I233" s="4">
        <v>0</v>
      </c>
    </row>
    <row r="234" spans="1:9" x14ac:dyDescent="0.2">
      <c r="A234" s="2">
        <v>12</v>
      </c>
      <c r="B234" s="1" t="s">
        <v>238</v>
      </c>
      <c r="C234" s="4">
        <v>48</v>
      </c>
      <c r="D234" s="8">
        <v>2.5299999999999998</v>
      </c>
      <c r="E234" s="4">
        <v>47</v>
      </c>
      <c r="F234" s="8">
        <v>6.23</v>
      </c>
      <c r="G234" s="4">
        <v>1</v>
      </c>
      <c r="H234" s="8">
        <v>0.09</v>
      </c>
      <c r="I234" s="4">
        <v>0</v>
      </c>
    </row>
    <row r="235" spans="1:9" x14ac:dyDescent="0.2">
      <c r="A235" s="2">
        <v>13</v>
      </c>
      <c r="B235" s="1" t="s">
        <v>221</v>
      </c>
      <c r="C235" s="4">
        <v>46</v>
      </c>
      <c r="D235" s="8">
        <v>2.42</v>
      </c>
      <c r="E235" s="4">
        <v>26</v>
      </c>
      <c r="F235" s="8">
        <v>3.45</v>
      </c>
      <c r="G235" s="4">
        <v>20</v>
      </c>
      <c r="H235" s="8">
        <v>1.75</v>
      </c>
      <c r="I235" s="4">
        <v>0</v>
      </c>
    </row>
    <row r="236" spans="1:9" x14ac:dyDescent="0.2">
      <c r="A236" s="2">
        <v>14</v>
      </c>
      <c r="B236" s="1" t="s">
        <v>225</v>
      </c>
      <c r="C236" s="4">
        <v>34</v>
      </c>
      <c r="D236" s="8">
        <v>1.79</v>
      </c>
      <c r="E236" s="4">
        <v>19</v>
      </c>
      <c r="F236" s="8">
        <v>2.52</v>
      </c>
      <c r="G236" s="4">
        <v>15</v>
      </c>
      <c r="H236" s="8">
        <v>1.32</v>
      </c>
      <c r="I236" s="4">
        <v>0</v>
      </c>
    </row>
    <row r="237" spans="1:9" x14ac:dyDescent="0.2">
      <c r="A237" s="2">
        <v>14</v>
      </c>
      <c r="B237" s="1" t="s">
        <v>232</v>
      </c>
      <c r="C237" s="4">
        <v>34</v>
      </c>
      <c r="D237" s="8">
        <v>1.79</v>
      </c>
      <c r="E237" s="4">
        <v>1</v>
      </c>
      <c r="F237" s="8">
        <v>0.13</v>
      </c>
      <c r="G237" s="4">
        <v>32</v>
      </c>
      <c r="H237" s="8">
        <v>2.81</v>
      </c>
      <c r="I237" s="4">
        <v>1</v>
      </c>
    </row>
    <row r="238" spans="1:9" x14ac:dyDescent="0.2">
      <c r="A238" s="2">
        <v>16</v>
      </c>
      <c r="B238" s="1" t="s">
        <v>229</v>
      </c>
      <c r="C238" s="4">
        <v>31</v>
      </c>
      <c r="D238" s="8">
        <v>1.63</v>
      </c>
      <c r="E238" s="4">
        <v>8</v>
      </c>
      <c r="F238" s="8">
        <v>1.06</v>
      </c>
      <c r="G238" s="4">
        <v>23</v>
      </c>
      <c r="H238" s="8">
        <v>2.02</v>
      </c>
      <c r="I238" s="4">
        <v>0</v>
      </c>
    </row>
    <row r="239" spans="1:9" x14ac:dyDescent="0.2">
      <c r="A239" s="2">
        <v>17</v>
      </c>
      <c r="B239" s="1" t="s">
        <v>219</v>
      </c>
      <c r="C239" s="4">
        <v>27</v>
      </c>
      <c r="D239" s="8">
        <v>1.42</v>
      </c>
      <c r="E239" s="4">
        <v>1</v>
      </c>
      <c r="F239" s="8">
        <v>0.13</v>
      </c>
      <c r="G239" s="4">
        <v>26</v>
      </c>
      <c r="H239" s="8">
        <v>2.2799999999999998</v>
      </c>
      <c r="I239" s="4">
        <v>0</v>
      </c>
    </row>
    <row r="240" spans="1:9" x14ac:dyDescent="0.2">
      <c r="A240" s="2">
        <v>18</v>
      </c>
      <c r="B240" s="1" t="s">
        <v>220</v>
      </c>
      <c r="C240" s="4">
        <v>26</v>
      </c>
      <c r="D240" s="8">
        <v>1.37</v>
      </c>
      <c r="E240" s="4">
        <v>6</v>
      </c>
      <c r="F240" s="8">
        <v>0.8</v>
      </c>
      <c r="G240" s="4">
        <v>20</v>
      </c>
      <c r="H240" s="8">
        <v>1.75</v>
      </c>
      <c r="I240" s="4">
        <v>0</v>
      </c>
    </row>
    <row r="241" spans="1:9" x14ac:dyDescent="0.2">
      <c r="A241" s="2">
        <v>18</v>
      </c>
      <c r="B241" s="1" t="s">
        <v>239</v>
      </c>
      <c r="C241" s="4">
        <v>26</v>
      </c>
      <c r="D241" s="8">
        <v>1.37</v>
      </c>
      <c r="E241" s="4">
        <v>1</v>
      </c>
      <c r="F241" s="8">
        <v>0.13</v>
      </c>
      <c r="G241" s="4">
        <v>25</v>
      </c>
      <c r="H241" s="8">
        <v>2.19</v>
      </c>
      <c r="I241" s="4">
        <v>0</v>
      </c>
    </row>
    <row r="242" spans="1:9" x14ac:dyDescent="0.2">
      <c r="A242" s="2">
        <v>20</v>
      </c>
      <c r="B242" s="1" t="s">
        <v>234</v>
      </c>
      <c r="C242" s="4">
        <v>25</v>
      </c>
      <c r="D242" s="8">
        <v>1.32</v>
      </c>
      <c r="E242" s="4">
        <v>4</v>
      </c>
      <c r="F242" s="8">
        <v>0.53</v>
      </c>
      <c r="G242" s="4">
        <v>21</v>
      </c>
      <c r="H242" s="8">
        <v>1.84</v>
      </c>
      <c r="I242" s="4">
        <v>0</v>
      </c>
    </row>
    <row r="243" spans="1:9" x14ac:dyDescent="0.2">
      <c r="A243" s="1"/>
      <c r="C243" s="4"/>
      <c r="D243" s="8"/>
      <c r="E243" s="4"/>
      <c r="F243" s="8"/>
      <c r="G243" s="4"/>
      <c r="H243" s="8"/>
      <c r="I243" s="4"/>
    </row>
    <row r="244" spans="1:9" x14ac:dyDescent="0.2">
      <c r="A244" s="1" t="s">
        <v>11</v>
      </c>
      <c r="C244" s="4"/>
      <c r="D244" s="8"/>
      <c r="E244" s="4"/>
      <c r="F244" s="8"/>
      <c r="G244" s="4"/>
      <c r="H244" s="8"/>
      <c r="I244" s="4"/>
    </row>
    <row r="245" spans="1:9" x14ac:dyDescent="0.2">
      <c r="A245" s="2">
        <v>1</v>
      </c>
      <c r="B245" s="1" t="s">
        <v>228</v>
      </c>
      <c r="C245" s="4">
        <v>172</v>
      </c>
      <c r="D245" s="8">
        <v>10.52</v>
      </c>
      <c r="E245" s="4">
        <v>129</v>
      </c>
      <c r="F245" s="8">
        <v>22.36</v>
      </c>
      <c r="G245" s="4">
        <v>43</v>
      </c>
      <c r="H245" s="8">
        <v>4.08</v>
      </c>
      <c r="I245" s="4">
        <v>0</v>
      </c>
    </row>
    <row r="246" spans="1:9" x14ac:dyDescent="0.2">
      <c r="A246" s="2">
        <v>2</v>
      </c>
      <c r="B246" s="1" t="s">
        <v>224</v>
      </c>
      <c r="C246" s="4">
        <v>144</v>
      </c>
      <c r="D246" s="8">
        <v>8.81</v>
      </c>
      <c r="E246" s="4">
        <v>31</v>
      </c>
      <c r="F246" s="8">
        <v>5.37</v>
      </c>
      <c r="G246" s="4">
        <v>113</v>
      </c>
      <c r="H246" s="8">
        <v>10.71</v>
      </c>
      <c r="I246" s="4">
        <v>0</v>
      </c>
    </row>
    <row r="247" spans="1:9" x14ac:dyDescent="0.2">
      <c r="A247" s="2">
        <v>3</v>
      </c>
      <c r="B247" s="1" t="s">
        <v>227</v>
      </c>
      <c r="C247" s="4">
        <v>121</v>
      </c>
      <c r="D247" s="8">
        <v>7.4</v>
      </c>
      <c r="E247" s="4">
        <v>101</v>
      </c>
      <c r="F247" s="8">
        <v>17.5</v>
      </c>
      <c r="G247" s="4">
        <v>20</v>
      </c>
      <c r="H247" s="8">
        <v>1.9</v>
      </c>
      <c r="I247" s="4">
        <v>0</v>
      </c>
    </row>
    <row r="248" spans="1:9" x14ac:dyDescent="0.2">
      <c r="A248" s="2">
        <v>4</v>
      </c>
      <c r="B248" s="1" t="s">
        <v>214</v>
      </c>
      <c r="C248" s="4">
        <v>116</v>
      </c>
      <c r="D248" s="8">
        <v>7.09</v>
      </c>
      <c r="E248" s="4">
        <v>11</v>
      </c>
      <c r="F248" s="8">
        <v>1.91</v>
      </c>
      <c r="G248" s="4">
        <v>105</v>
      </c>
      <c r="H248" s="8">
        <v>9.9499999999999993</v>
      </c>
      <c r="I248" s="4">
        <v>0</v>
      </c>
    </row>
    <row r="249" spans="1:9" x14ac:dyDescent="0.2">
      <c r="A249" s="2">
        <v>5</v>
      </c>
      <c r="B249" s="1" t="s">
        <v>213</v>
      </c>
      <c r="C249" s="4">
        <v>112</v>
      </c>
      <c r="D249" s="8">
        <v>6.85</v>
      </c>
      <c r="E249" s="4">
        <v>3</v>
      </c>
      <c r="F249" s="8">
        <v>0.52</v>
      </c>
      <c r="G249" s="4">
        <v>109</v>
      </c>
      <c r="H249" s="8">
        <v>10.33</v>
      </c>
      <c r="I249" s="4">
        <v>0</v>
      </c>
    </row>
    <row r="250" spans="1:9" x14ac:dyDescent="0.2">
      <c r="A250" s="2">
        <v>6</v>
      </c>
      <c r="B250" s="1" t="s">
        <v>215</v>
      </c>
      <c r="C250" s="4">
        <v>93</v>
      </c>
      <c r="D250" s="8">
        <v>5.69</v>
      </c>
      <c r="E250" s="4">
        <v>8</v>
      </c>
      <c r="F250" s="8">
        <v>1.39</v>
      </c>
      <c r="G250" s="4">
        <v>85</v>
      </c>
      <c r="H250" s="8">
        <v>8.06</v>
      </c>
      <c r="I250" s="4">
        <v>0</v>
      </c>
    </row>
    <row r="251" spans="1:9" x14ac:dyDescent="0.2">
      <c r="A251" s="2">
        <v>7</v>
      </c>
      <c r="B251" s="1" t="s">
        <v>223</v>
      </c>
      <c r="C251" s="4">
        <v>79</v>
      </c>
      <c r="D251" s="8">
        <v>4.83</v>
      </c>
      <c r="E251" s="4">
        <v>14</v>
      </c>
      <c r="F251" s="8">
        <v>2.4300000000000002</v>
      </c>
      <c r="G251" s="4">
        <v>65</v>
      </c>
      <c r="H251" s="8">
        <v>6.16</v>
      </c>
      <c r="I251" s="4">
        <v>0</v>
      </c>
    </row>
    <row r="252" spans="1:9" x14ac:dyDescent="0.2">
      <c r="A252" s="2">
        <v>8</v>
      </c>
      <c r="B252" s="1" t="s">
        <v>230</v>
      </c>
      <c r="C252" s="4">
        <v>76</v>
      </c>
      <c r="D252" s="8">
        <v>4.6500000000000004</v>
      </c>
      <c r="E252" s="4">
        <v>56</v>
      </c>
      <c r="F252" s="8">
        <v>9.7100000000000009</v>
      </c>
      <c r="G252" s="4">
        <v>20</v>
      </c>
      <c r="H252" s="8">
        <v>1.9</v>
      </c>
      <c r="I252" s="4">
        <v>0</v>
      </c>
    </row>
    <row r="253" spans="1:9" x14ac:dyDescent="0.2">
      <c r="A253" s="2">
        <v>9</v>
      </c>
      <c r="B253" s="1" t="s">
        <v>231</v>
      </c>
      <c r="C253" s="4">
        <v>72</v>
      </c>
      <c r="D253" s="8">
        <v>4.4000000000000004</v>
      </c>
      <c r="E253" s="4">
        <v>55</v>
      </c>
      <c r="F253" s="8">
        <v>9.5299999999999994</v>
      </c>
      <c r="G253" s="4">
        <v>17</v>
      </c>
      <c r="H253" s="8">
        <v>1.61</v>
      </c>
      <c r="I253" s="4">
        <v>0</v>
      </c>
    </row>
    <row r="254" spans="1:9" x14ac:dyDescent="0.2">
      <c r="A254" s="2">
        <v>10</v>
      </c>
      <c r="B254" s="1" t="s">
        <v>222</v>
      </c>
      <c r="C254" s="4">
        <v>65</v>
      </c>
      <c r="D254" s="8">
        <v>3.98</v>
      </c>
      <c r="E254" s="4">
        <v>17</v>
      </c>
      <c r="F254" s="8">
        <v>2.95</v>
      </c>
      <c r="G254" s="4">
        <v>48</v>
      </c>
      <c r="H254" s="8">
        <v>4.55</v>
      </c>
      <c r="I254" s="4">
        <v>0</v>
      </c>
    </row>
    <row r="255" spans="1:9" x14ac:dyDescent="0.2">
      <c r="A255" s="2">
        <v>11</v>
      </c>
      <c r="B255" s="1" t="s">
        <v>225</v>
      </c>
      <c r="C255" s="4">
        <v>55</v>
      </c>
      <c r="D255" s="8">
        <v>3.36</v>
      </c>
      <c r="E255" s="4">
        <v>35</v>
      </c>
      <c r="F255" s="8">
        <v>6.07</v>
      </c>
      <c r="G255" s="4">
        <v>20</v>
      </c>
      <c r="H255" s="8">
        <v>1.9</v>
      </c>
      <c r="I255" s="4">
        <v>0</v>
      </c>
    </row>
    <row r="256" spans="1:9" x14ac:dyDescent="0.2">
      <c r="A256" s="2">
        <v>12</v>
      </c>
      <c r="B256" s="1" t="s">
        <v>226</v>
      </c>
      <c r="C256" s="4">
        <v>54</v>
      </c>
      <c r="D256" s="8">
        <v>3.3</v>
      </c>
      <c r="E256" s="4">
        <v>12</v>
      </c>
      <c r="F256" s="8">
        <v>2.08</v>
      </c>
      <c r="G256" s="4">
        <v>42</v>
      </c>
      <c r="H256" s="8">
        <v>3.98</v>
      </c>
      <c r="I256" s="4">
        <v>0</v>
      </c>
    </row>
    <row r="257" spans="1:9" x14ac:dyDescent="0.2">
      <c r="A257" s="2">
        <v>13</v>
      </c>
      <c r="B257" s="1" t="s">
        <v>238</v>
      </c>
      <c r="C257" s="4">
        <v>43</v>
      </c>
      <c r="D257" s="8">
        <v>2.63</v>
      </c>
      <c r="E257" s="4">
        <v>41</v>
      </c>
      <c r="F257" s="8">
        <v>7.11</v>
      </c>
      <c r="G257" s="4">
        <v>2</v>
      </c>
      <c r="H257" s="8">
        <v>0.19</v>
      </c>
      <c r="I257" s="4">
        <v>0</v>
      </c>
    </row>
    <row r="258" spans="1:9" x14ac:dyDescent="0.2">
      <c r="A258" s="2">
        <v>14</v>
      </c>
      <c r="B258" s="1" t="s">
        <v>221</v>
      </c>
      <c r="C258" s="4">
        <v>34</v>
      </c>
      <c r="D258" s="8">
        <v>2.08</v>
      </c>
      <c r="E258" s="4">
        <v>10</v>
      </c>
      <c r="F258" s="8">
        <v>1.73</v>
      </c>
      <c r="G258" s="4">
        <v>24</v>
      </c>
      <c r="H258" s="8">
        <v>2.27</v>
      </c>
      <c r="I258" s="4">
        <v>0</v>
      </c>
    </row>
    <row r="259" spans="1:9" x14ac:dyDescent="0.2">
      <c r="A259" s="2">
        <v>15</v>
      </c>
      <c r="B259" s="1" t="s">
        <v>232</v>
      </c>
      <c r="C259" s="4">
        <v>29</v>
      </c>
      <c r="D259" s="8">
        <v>1.77</v>
      </c>
      <c r="E259" s="4">
        <v>0</v>
      </c>
      <c r="F259" s="8">
        <v>0</v>
      </c>
      <c r="G259" s="4">
        <v>28</v>
      </c>
      <c r="H259" s="8">
        <v>2.65</v>
      </c>
      <c r="I259" s="4">
        <v>1</v>
      </c>
    </row>
    <row r="260" spans="1:9" x14ac:dyDescent="0.2">
      <c r="A260" s="2">
        <v>16</v>
      </c>
      <c r="B260" s="1" t="s">
        <v>236</v>
      </c>
      <c r="C260" s="4">
        <v>26</v>
      </c>
      <c r="D260" s="8">
        <v>1.59</v>
      </c>
      <c r="E260" s="4">
        <v>3</v>
      </c>
      <c r="F260" s="8">
        <v>0.52</v>
      </c>
      <c r="G260" s="4">
        <v>23</v>
      </c>
      <c r="H260" s="8">
        <v>2.1800000000000002</v>
      </c>
      <c r="I260" s="4">
        <v>0</v>
      </c>
    </row>
    <row r="261" spans="1:9" x14ac:dyDescent="0.2">
      <c r="A261" s="2">
        <v>17</v>
      </c>
      <c r="B261" s="1" t="s">
        <v>229</v>
      </c>
      <c r="C261" s="4">
        <v>25</v>
      </c>
      <c r="D261" s="8">
        <v>1.53</v>
      </c>
      <c r="E261" s="4">
        <v>7</v>
      </c>
      <c r="F261" s="8">
        <v>1.21</v>
      </c>
      <c r="G261" s="4">
        <v>17</v>
      </c>
      <c r="H261" s="8">
        <v>1.61</v>
      </c>
      <c r="I261" s="4">
        <v>0</v>
      </c>
    </row>
    <row r="262" spans="1:9" x14ac:dyDescent="0.2">
      <c r="A262" s="2">
        <v>18</v>
      </c>
      <c r="B262" s="1" t="s">
        <v>220</v>
      </c>
      <c r="C262" s="4">
        <v>24</v>
      </c>
      <c r="D262" s="8">
        <v>1.47</v>
      </c>
      <c r="E262" s="4">
        <v>6</v>
      </c>
      <c r="F262" s="8">
        <v>1.04</v>
      </c>
      <c r="G262" s="4">
        <v>18</v>
      </c>
      <c r="H262" s="8">
        <v>1.71</v>
      </c>
      <c r="I262" s="4">
        <v>0</v>
      </c>
    </row>
    <row r="263" spans="1:9" x14ac:dyDescent="0.2">
      <c r="A263" s="2">
        <v>19</v>
      </c>
      <c r="B263" s="1" t="s">
        <v>219</v>
      </c>
      <c r="C263" s="4">
        <v>23</v>
      </c>
      <c r="D263" s="8">
        <v>1.41</v>
      </c>
      <c r="E263" s="4">
        <v>3</v>
      </c>
      <c r="F263" s="8">
        <v>0.52</v>
      </c>
      <c r="G263" s="4">
        <v>20</v>
      </c>
      <c r="H263" s="8">
        <v>1.9</v>
      </c>
      <c r="I263" s="4">
        <v>0</v>
      </c>
    </row>
    <row r="264" spans="1:9" x14ac:dyDescent="0.2">
      <c r="A264" s="2">
        <v>20</v>
      </c>
      <c r="B264" s="1" t="s">
        <v>218</v>
      </c>
      <c r="C264" s="4">
        <v>22</v>
      </c>
      <c r="D264" s="8">
        <v>1.35</v>
      </c>
      <c r="E264" s="4">
        <v>0</v>
      </c>
      <c r="F264" s="8">
        <v>0</v>
      </c>
      <c r="G264" s="4">
        <v>22</v>
      </c>
      <c r="H264" s="8">
        <v>2.09</v>
      </c>
      <c r="I264" s="4">
        <v>0</v>
      </c>
    </row>
    <row r="265" spans="1:9" x14ac:dyDescent="0.2">
      <c r="A265" s="1"/>
      <c r="C265" s="4"/>
      <c r="D265" s="8"/>
      <c r="E265" s="4"/>
      <c r="F265" s="8"/>
      <c r="G265" s="4"/>
      <c r="H265" s="8"/>
      <c r="I265" s="4"/>
    </row>
    <row r="266" spans="1:9" x14ac:dyDescent="0.2">
      <c r="A266" s="1" t="s">
        <v>12</v>
      </c>
      <c r="C266" s="4"/>
      <c r="D266" s="8"/>
      <c r="E266" s="4"/>
      <c r="F266" s="8"/>
      <c r="G266" s="4"/>
      <c r="H266" s="8"/>
      <c r="I266" s="4"/>
    </row>
    <row r="267" spans="1:9" x14ac:dyDescent="0.2">
      <c r="A267" s="2">
        <v>1</v>
      </c>
      <c r="B267" s="1" t="s">
        <v>227</v>
      </c>
      <c r="C267" s="4">
        <v>851</v>
      </c>
      <c r="D267" s="8">
        <v>12.72</v>
      </c>
      <c r="E267" s="4">
        <v>683</v>
      </c>
      <c r="F267" s="8">
        <v>21.44</v>
      </c>
      <c r="G267" s="4">
        <v>168</v>
      </c>
      <c r="H267" s="8">
        <v>4.8499999999999996</v>
      </c>
      <c r="I267" s="4">
        <v>0</v>
      </c>
    </row>
    <row r="268" spans="1:9" x14ac:dyDescent="0.2">
      <c r="A268" s="2">
        <v>2</v>
      </c>
      <c r="B268" s="1" t="s">
        <v>228</v>
      </c>
      <c r="C268" s="4">
        <v>791</v>
      </c>
      <c r="D268" s="8">
        <v>11.83</v>
      </c>
      <c r="E268" s="4">
        <v>674</v>
      </c>
      <c r="F268" s="8">
        <v>21.16</v>
      </c>
      <c r="G268" s="4">
        <v>117</v>
      </c>
      <c r="H268" s="8">
        <v>3.38</v>
      </c>
      <c r="I268" s="4">
        <v>0</v>
      </c>
    </row>
    <row r="269" spans="1:9" x14ac:dyDescent="0.2">
      <c r="A269" s="2">
        <v>3</v>
      </c>
      <c r="B269" s="1" t="s">
        <v>224</v>
      </c>
      <c r="C269" s="4">
        <v>543</v>
      </c>
      <c r="D269" s="8">
        <v>8.1199999999999992</v>
      </c>
      <c r="E269" s="4">
        <v>268</v>
      </c>
      <c r="F269" s="8">
        <v>8.41</v>
      </c>
      <c r="G269" s="4">
        <v>274</v>
      </c>
      <c r="H269" s="8">
        <v>7.91</v>
      </c>
      <c r="I269" s="4">
        <v>0</v>
      </c>
    </row>
    <row r="270" spans="1:9" x14ac:dyDescent="0.2">
      <c r="A270" s="2">
        <v>4</v>
      </c>
      <c r="B270" s="1" t="s">
        <v>223</v>
      </c>
      <c r="C270" s="4">
        <v>464</v>
      </c>
      <c r="D270" s="8">
        <v>6.94</v>
      </c>
      <c r="E270" s="4">
        <v>197</v>
      </c>
      <c r="F270" s="8">
        <v>6.19</v>
      </c>
      <c r="G270" s="4">
        <v>267</v>
      </c>
      <c r="H270" s="8">
        <v>7.7</v>
      </c>
      <c r="I270" s="4">
        <v>0</v>
      </c>
    </row>
    <row r="271" spans="1:9" x14ac:dyDescent="0.2">
      <c r="A271" s="2">
        <v>5</v>
      </c>
      <c r="B271" s="1" t="s">
        <v>221</v>
      </c>
      <c r="C271" s="4">
        <v>427</v>
      </c>
      <c r="D271" s="8">
        <v>6.38</v>
      </c>
      <c r="E271" s="4">
        <v>235</v>
      </c>
      <c r="F271" s="8">
        <v>7.38</v>
      </c>
      <c r="G271" s="4">
        <v>192</v>
      </c>
      <c r="H271" s="8">
        <v>5.54</v>
      </c>
      <c r="I271" s="4">
        <v>0</v>
      </c>
    </row>
    <row r="272" spans="1:9" x14ac:dyDescent="0.2">
      <c r="A272" s="2">
        <v>6</v>
      </c>
      <c r="B272" s="1" t="s">
        <v>213</v>
      </c>
      <c r="C272" s="4">
        <v>376</v>
      </c>
      <c r="D272" s="8">
        <v>5.62</v>
      </c>
      <c r="E272" s="4">
        <v>56</v>
      </c>
      <c r="F272" s="8">
        <v>1.76</v>
      </c>
      <c r="G272" s="4">
        <v>320</v>
      </c>
      <c r="H272" s="8">
        <v>9.23</v>
      </c>
      <c r="I272" s="4">
        <v>0</v>
      </c>
    </row>
    <row r="273" spans="1:9" x14ac:dyDescent="0.2">
      <c r="A273" s="2">
        <v>7</v>
      </c>
      <c r="B273" s="1" t="s">
        <v>214</v>
      </c>
      <c r="C273" s="4">
        <v>251</v>
      </c>
      <c r="D273" s="8">
        <v>3.75</v>
      </c>
      <c r="E273" s="4">
        <v>85</v>
      </c>
      <c r="F273" s="8">
        <v>2.67</v>
      </c>
      <c r="G273" s="4">
        <v>166</v>
      </c>
      <c r="H273" s="8">
        <v>4.79</v>
      </c>
      <c r="I273" s="4">
        <v>0</v>
      </c>
    </row>
    <row r="274" spans="1:9" x14ac:dyDescent="0.2">
      <c r="A274" s="2">
        <v>8</v>
      </c>
      <c r="B274" s="1" t="s">
        <v>215</v>
      </c>
      <c r="C274" s="4">
        <v>225</v>
      </c>
      <c r="D274" s="8">
        <v>3.36</v>
      </c>
      <c r="E274" s="4">
        <v>37</v>
      </c>
      <c r="F274" s="8">
        <v>1.1599999999999999</v>
      </c>
      <c r="G274" s="4">
        <v>188</v>
      </c>
      <c r="H274" s="8">
        <v>5.42</v>
      </c>
      <c r="I274" s="4">
        <v>0</v>
      </c>
    </row>
    <row r="275" spans="1:9" x14ac:dyDescent="0.2">
      <c r="A275" s="2">
        <v>9</v>
      </c>
      <c r="B275" s="1" t="s">
        <v>231</v>
      </c>
      <c r="C275" s="4">
        <v>208</v>
      </c>
      <c r="D275" s="8">
        <v>3.11</v>
      </c>
      <c r="E275" s="4">
        <v>170</v>
      </c>
      <c r="F275" s="8">
        <v>5.34</v>
      </c>
      <c r="G275" s="4">
        <v>38</v>
      </c>
      <c r="H275" s="8">
        <v>1.1000000000000001</v>
      </c>
      <c r="I275" s="4">
        <v>0</v>
      </c>
    </row>
    <row r="276" spans="1:9" x14ac:dyDescent="0.2">
      <c r="A276" s="2">
        <v>10</v>
      </c>
      <c r="B276" s="1" t="s">
        <v>230</v>
      </c>
      <c r="C276" s="4">
        <v>199</v>
      </c>
      <c r="D276" s="8">
        <v>2.98</v>
      </c>
      <c r="E276" s="4">
        <v>148</v>
      </c>
      <c r="F276" s="8">
        <v>4.6500000000000004</v>
      </c>
      <c r="G276" s="4">
        <v>48</v>
      </c>
      <c r="H276" s="8">
        <v>1.38</v>
      </c>
      <c r="I276" s="4">
        <v>1</v>
      </c>
    </row>
    <row r="277" spans="1:9" x14ac:dyDescent="0.2">
      <c r="A277" s="2">
        <v>11</v>
      </c>
      <c r="B277" s="1" t="s">
        <v>222</v>
      </c>
      <c r="C277" s="4">
        <v>172</v>
      </c>
      <c r="D277" s="8">
        <v>2.57</v>
      </c>
      <c r="E277" s="4">
        <v>73</v>
      </c>
      <c r="F277" s="8">
        <v>2.29</v>
      </c>
      <c r="G277" s="4">
        <v>99</v>
      </c>
      <c r="H277" s="8">
        <v>2.86</v>
      </c>
      <c r="I277" s="4">
        <v>0</v>
      </c>
    </row>
    <row r="278" spans="1:9" x14ac:dyDescent="0.2">
      <c r="A278" s="2">
        <v>12</v>
      </c>
      <c r="B278" s="1" t="s">
        <v>225</v>
      </c>
      <c r="C278" s="4">
        <v>155</v>
      </c>
      <c r="D278" s="8">
        <v>2.3199999999999998</v>
      </c>
      <c r="E278" s="4">
        <v>92</v>
      </c>
      <c r="F278" s="8">
        <v>2.89</v>
      </c>
      <c r="G278" s="4">
        <v>63</v>
      </c>
      <c r="H278" s="8">
        <v>1.82</v>
      </c>
      <c r="I278" s="4">
        <v>0</v>
      </c>
    </row>
    <row r="279" spans="1:9" x14ac:dyDescent="0.2">
      <c r="A279" s="2">
        <v>13</v>
      </c>
      <c r="B279" s="1" t="s">
        <v>226</v>
      </c>
      <c r="C279" s="4">
        <v>136</v>
      </c>
      <c r="D279" s="8">
        <v>2.0299999999999998</v>
      </c>
      <c r="E279" s="4">
        <v>34</v>
      </c>
      <c r="F279" s="8">
        <v>1.07</v>
      </c>
      <c r="G279" s="4">
        <v>100</v>
      </c>
      <c r="H279" s="8">
        <v>2.89</v>
      </c>
      <c r="I279" s="4">
        <v>0</v>
      </c>
    </row>
    <row r="280" spans="1:9" x14ac:dyDescent="0.2">
      <c r="A280" s="2">
        <v>14</v>
      </c>
      <c r="B280" s="1" t="s">
        <v>232</v>
      </c>
      <c r="C280" s="4">
        <v>130</v>
      </c>
      <c r="D280" s="8">
        <v>1.94</v>
      </c>
      <c r="E280" s="4">
        <v>2</v>
      </c>
      <c r="F280" s="8">
        <v>0.06</v>
      </c>
      <c r="G280" s="4">
        <v>104</v>
      </c>
      <c r="H280" s="8">
        <v>3</v>
      </c>
      <c r="I280" s="4">
        <v>3</v>
      </c>
    </row>
    <row r="281" spans="1:9" x14ac:dyDescent="0.2">
      <c r="A281" s="2">
        <v>15</v>
      </c>
      <c r="B281" s="1" t="s">
        <v>220</v>
      </c>
      <c r="C281" s="4">
        <v>124</v>
      </c>
      <c r="D281" s="8">
        <v>1.85</v>
      </c>
      <c r="E281" s="4">
        <v>48</v>
      </c>
      <c r="F281" s="8">
        <v>1.51</v>
      </c>
      <c r="G281" s="4">
        <v>76</v>
      </c>
      <c r="H281" s="8">
        <v>2.19</v>
      </c>
      <c r="I281" s="4">
        <v>0</v>
      </c>
    </row>
    <row r="282" spans="1:9" x14ac:dyDescent="0.2">
      <c r="A282" s="2">
        <v>16</v>
      </c>
      <c r="B282" s="1" t="s">
        <v>216</v>
      </c>
      <c r="C282" s="4">
        <v>108</v>
      </c>
      <c r="D282" s="8">
        <v>1.61</v>
      </c>
      <c r="E282" s="4">
        <v>12</v>
      </c>
      <c r="F282" s="8">
        <v>0.38</v>
      </c>
      <c r="G282" s="4">
        <v>96</v>
      </c>
      <c r="H282" s="8">
        <v>2.77</v>
      </c>
      <c r="I282" s="4">
        <v>0</v>
      </c>
    </row>
    <row r="283" spans="1:9" x14ac:dyDescent="0.2">
      <c r="A283" s="2">
        <v>16</v>
      </c>
      <c r="B283" s="1" t="s">
        <v>218</v>
      </c>
      <c r="C283" s="4">
        <v>108</v>
      </c>
      <c r="D283" s="8">
        <v>1.61</v>
      </c>
      <c r="E283" s="4">
        <v>4</v>
      </c>
      <c r="F283" s="8">
        <v>0.13</v>
      </c>
      <c r="G283" s="4">
        <v>104</v>
      </c>
      <c r="H283" s="8">
        <v>3</v>
      </c>
      <c r="I283" s="4">
        <v>0</v>
      </c>
    </row>
    <row r="284" spans="1:9" x14ac:dyDescent="0.2">
      <c r="A284" s="2">
        <v>18</v>
      </c>
      <c r="B284" s="1" t="s">
        <v>229</v>
      </c>
      <c r="C284" s="4">
        <v>103</v>
      </c>
      <c r="D284" s="8">
        <v>1.54</v>
      </c>
      <c r="E284" s="4">
        <v>55</v>
      </c>
      <c r="F284" s="8">
        <v>1.73</v>
      </c>
      <c r="G284" s="4">
        <v>48</v>
      </c>
      <c r="H284" s="8">
        <v>1.38</v>
      </c>
      <c r="I284" s="4">
        <v>0</v>
      </c>
    </row>
    <row r="285" spans="1:9" x14ac:dyDescent="0.2">
      <c r="A285" s="2">
        <v>19</v>
      </c>
      <c r="B285" s="1" t="s">
        <v>240</v>
      </c>
      <c r="C285" s="4">
        <v>99</v>
      </c>
      <c r="D285" s="8">
        <v>1.48</v>
      </c>
      <c r="E285" s="4">
        <v>55</v>
      </c>
      <c r="F285" s="8">
        <v>1.73</v>
      </c>
      <c r="G285" s="4">
        <v>44</v>
      </c>
      <c r="H285" s="8">
        <v>1.27</v>
      </c>
      <c r="I285" s="4">
        <v>0</v>
      </c>
    </row>
    <row r="286" spans="1:9" x14ac:dyDescent="0.2">
      <c r="A286" s="2">
        <v>20</v>
      </c>
      <c r="B286" s="1" t="s">
        <v>219</v>
      </c>
      <c r="C286" s="4">
        <v>92</v>
      </c>
      <c r="D286" s="8">
        <v>1.38</v>
      </c>
      <c r="E286" s="4">
        <v>15</v>
      </c>
      <c r="F286" s="8">
        <v>0.47</v>
      </c>
      <c r="G286" s="4">
        <v>77</v>
      </c>
      <c r="H286" s="8">
        <v>2.2200000000000002</v>
      </c>
      <c r="I286" s="4">
        <v>0</v>
      </c>
    </row>
    <row r="287" spans="1:9" x14ac:dyDescent="0.2">
      <c r="A287" s="1"/>
      <c r="C287" s="4"/>
      <c r="D287" s="8"/>
      <c r="E287" s="4"/>
      <c r="F287" s="8"/>
      <c r="G287" s="4"/>
      <c r="H287" s="8"/>
      <c r="I287" s="4"/>
    </row>
    <row r="288" spans="1:9" x14ac:dyDescent="0.2">
      <c r="A288" s="1" t="s">
        <v>13</v>
      </c>
      <c r="C288" s="4"/>
      <c r="D288" s="8"/>
      <c r="E288" s="4"/>
      <c r="F288" s="8"/>
      <c r="G288" s="4"/>
      <c r="H288" s="8"/>
      <c r="I288" s="4"/>
    </row>
    <row r="289" spans="1:9" x14ac:dyDescent="0.2">
      <c r="A289" s="2">
        <v>1</v>
      </c>
      <c r="B289" s="1" t="s">
        <v>227</v>
      </c>
      <c r="C289" s="4">
        <v>454</v>
      </c>
      <c r="D289" s="8">
        <v>15.36</v>
      </c>
      <c r="E289" s="4">
        <v>365</v>
      </c>
      <c r="F289" s="8">
        <v>27.82</v>
      </c>
      <c r="G289" s="4">
        <v>89</v>
      </c>
      <c r="H289" s="8">
        <v>5.47</v>
      </c>
      <c r="I289" s="4">
        <v>0</v>
      </c>
    </row>
    <row r="290" spans="1:9" x14ac:dyDescent="0.2">
      <c r="A290" s="2">
        <v>2</v>
      </c>
      <c r="B290" s="1" t="s">
        <v>228</v>
      </c>
      <c r="C290" s="4">
        <v>315</v>
      </c>
      <c r="D290" s="8">
        <v>10.66</v>
      </c>
      <c r="E290" s="4">
        <v>267</v>
      </c>
      <c r="F290" s="8">
        <v>20.350000000000001</v>
      </c>
      <c r="G290" s="4">
        <v>48</v>
      </c>
      <c r="H290" s="8">
        <v>2.95</v>
      </c>
      <c r="I290" s="4">
        <v>0</v>
      </c>
    </row>
    <row r="291" spans="1:9" x14ac:dyDescent="0.2">
      <c r="A291" s="2">
        <v>3</v>
      </c>
      <c r="B291" s="1" t="s">
        <v>223</v>
      </c>
      <c r="C291" s="4">
        <v>283</v>
      </c>
      <c r="D291" s="8">
        <v>9.57</v>
      </c>
      <c r="E291" s="4">
        <v>89</v>
      </c>
      <c r="F291" s="8">
        <v>6.78</v>
      </c>
      <c r="G291" s="4">
        <v>194</v>
      </c>
      <c r="H291" s="8">
        <v>11.92</v>
      </c>
      <c r="I291" s="4">
        <v>0</v>
      </c>
    </row>
    <row r="292" spans="1:9" x14ac:dyDescent="0.2">
      <c r="A292" s="2">
        <v>4</v>
      </c>
      <c r="B292" s="1" t="s">
        <v>221</v>
      </c>
      <c r="C292" s="4">
        <v>211</v>
      </c>
      <c r="D292" s="8">
        <v>7.14</v>
      </c>
      <c r="E292" s="4">
        <v>87</v>
      </c>
      <c r="F292" s="8">
        <v>6.63</v>
      </c>
      <c r="G292" s="4">
        <v>123</v>
      </c>
      <c r="H292" s="8">
        <v>7.56</v>
      </c>
      <c r="I292" s="4">
        <v>1</v>
      </c>
    </row>
    <row r="293" spans="1:9" x14ac:dyDescent="0.2">
      <c r="A293" s="2">
        <v>5</v>
      </c>
      <c r="B293" s="1" t="s">
        <v>213</v>
      </c>
      <c r="C293" s="4">
        <v>130</v>
      </c>
      <c r="D293" s="8">
        <v>4.4000000000000004</v>
      </c>
      <c r="E293" s="4">
        <v>23</v>
      </c>
      <c r="F293" s="8">
        <v>1.75</v>
      </c>
      <c r="G293" s="4">
        <v>107</v>
      </c>
      <c r="H293" s="8">
        <v>6.57</v>
      </c>
      <c r="I293" s="4">
        <v>0</v>
      </c>
    </row>
    <row r="294" spans="1:9" x14ac:dyDescent="0.2">
      <c r="A294" s="2">
        <v>6</v>
      </c>
      <c r="B294" s="1" t="s">
        <v>224</v>
      </c>
      <c r="C294" s="4">
        <v>124</v>
      </c>
      <c r="D294" s="8">
        <v>4.1900000000000004</v>
      </c>
      <c r="E294" s="4">
        <v>23</v>
      </c>
      <c r="F294" s="8">
        <v>1.75</v>
      </c>
      <c r="G294" s="4">
        <v>101</v>
      </c>
      <c r="H294" s="8">
        <v>6.2</v>
      </c>
      <c r="I294" s="4">
        <v>0</v>
      </c>
    </row>
    <row r="295" spans="1:9" x14ac:dyDescent="0.2">
      <c r="A295" s="2">
        <v>7</v>
      </c>
      <c r="B295" s="1" t="s">
        <v>231</v>
      </c>
      <c r="C295" s="4">
        <v>120</v>
      </c>
      <c r="D295" s="8">
        <v>4.0599999999999996</v>
      </c>
      <c r="E295" s="4">
        <v>105</v>
      </c>
      <c r="F295" s="8">
        <v>8</v>
      </c>
      <c r="G295" s="4">
        <v>15</v>
      </c>
      <c r="H295" s="8">
        <v>0.92</v>
      </c>
      <c r="I295" s="4">
        <v>0</v>
      </c>
    </row>
    <row r="296" spans="1:9" x14ac:dyDescent="0.2">
      <c r="A296" s="2">
        <v>8</v>
      </c>
      <c r="B296" s="1" t="s">
        <v>214</v>
      </c>
      <c r="C296" s="4">
        <v>115</v>
      </c>
      <c r="D296" s="8">
        <v>3.89</v>
      </c>
      <c r="E296" s="4">
        <v>40</v>
      </c>
      <c r="F296" s="8">
        <v>3.05</v>
      </c>
      <c r="G296" s="4">
        <v>75</v>
      </c>
      <c r="H296" s="8">
        <v>4.6100000000000003</v>
      </c>
      <c r="I296" s="4">
        <v>0</v>
      </c>
    </row>
    <row r="297" spans="1:9" x14ac:dyDescent="0.2">
      <c r="A297" s="2">
        <v>9</v>
      </c>
      <c r="B297" s="1" t="s">
        <v>220</v>
      </c>
      <c r="C297" s="4">
        <v>101</v>
      </c>
      <c r="D297" s="8">
        <v>3.42</v>
      </c>
      <c r="E297" s="4">
        <v>35</v>
      </c>
      <c r="F297" s="8">
        <v>2.67</v>
      </c>
      <c r="G297" s="4">
        <v>66</v>
      </c>
      <c r="H297" s="8">
        <v>4.05</v>
      </c>
      <c r="I297" s="4">
        <v>0</v>
      </c>
    </row>
    <row r="298" spans="1:9" x14ac:dyDescent="0.2">
      <c r="A298" s="2">
        <v>10</v>
      </c>
      <c r="B298" s="1" t="s">
        <v>222</v>
      </c>
      <c r="C298" s="4">
        <v>83</v>
      </c>
      <c r="D298" s="8">
        <v>2.81</v>
      </c>
      <c r="E298" s="4">
        <v>29</v>
      </c>
      <c r="F298" s="8">
        <v>2.21</v>
      </c>
      <c r="G298" s="4">
        <v>54</v>
      </c>
      <c r="H298" s="8">
        <v>3.32</v>
      </c>
      <c r="I298" s="4">
        <v>0</v>
      </c>
    </row>
    <row r="299" spans="1:9" x14ac:dyDescent="0.2">
      <c r="A299" s="2">
        <v>11</v>
      </c>
      <c r="B299" s="1" t="s">
        <v>230</v>
      </c>
      <c r="C299" s="4">
        <v>70</v>
      </c>
      <c r="D299" s="8">
        <v>2.37</v>
      </c>
      <c r="E299" s="4">
        <v>47</v>
      </c>
      <c r="F299" s="8">
        <v>3.58</v>
      </c>
      <c r="G299" s="4">
        <v>18</v>
      </c>
      <c r="H299" s="8">
        <v>1.1100000000000001</v>
      </c>
      <c r="I299" s="4">
        <v>2</v>
      </c>
    </row>
    <row r="300" spans="1:9" x14ac:dyDescent="0.2">
      <c r="A300" s="2">
        <v>12</v>
      </c>
      <c r="B300" s="1" t="s">
        <v>215</v>
      </c>
      <c r="C300" s="4">
        <v>68</v>
      </c>
      <c r="D300" s="8">
        <v>2.2999999999999998</v>
      </c>
      <c r="E300" s="4">
        <v>8</v>
      </c>
      <c r="F300" s="8">
        <v>0.61</v>
      </c>
      <c r="G300" s="4">
        <v>60</v>
      </c>
      <c r="H300" s="8">
        <v>3.69</v>
      </c>
      <c r="I300" s="4">
        <v>0</v>
      </c>
    </row>
    <row r="301" spans="1:9" x14ac:dyDescent="0.2">
      <c r="A301" s="2">
        <v>13</v>
      </c>
      <c r="B301" s="1" t="s">
        <v>216</v>
      </c>
      <c r="C301" s="4">
        <v>59</v>
      </c>
      <c r="D301" s="8">
        <v>2</v>
      </c>
      <c r="E301" s="4">
        <v>9</v>
      </c>
      <c r="F301" s="8">
        <v>0.69</v>
      </c>
      <c r="G301" s="4">
        <v>50</v>
      </c>
      <c r="H301" s="8">
        <v>3.07</v>
      </c>
      <c r="I301" s="4">
        <v>0</v>
      </c>
    </row>
    <row r="302" spans="1:9" x14ac:dyDescent="0.2">
      <c r="A302" s="2">
        <v>14</v>
      </c>
      <c r="B302" s="1" t="s">
        <v>217</v>
      </c>
      <c r="C302" s="4">
        <v>57</v>
      </c>
      <c r="D302" s="8">
        <v>1.93</v>
      </c>
      <c r="E302" s="4">
        <v>5</v>
      </c>
      <c r="F302" s="8">
        <v>0.38</v>
      </c>
      <c r="G302" s="4">
        <v>52</v>
      </c>
      <c r="H302" s="8">
        <v>3.19</v>
      </c>
      <c r="I302" s="4">
        <v>0</v>
      </c>
    </row>
    <row r="303" spans="1:9" x14ac:dyDescent="0.2">
      <c r="A303" s="2">
        <v>15</v>
      </c>
      <c r="B303" s="1" t="s">
        <v>232</v>
      </c>
      <c r="C303" s="4">
        <v>50</v>
      </c>
      <c r="D303" s="8">
        <v>1.69</v>
      </c>
      <c r="E303" s="4">
        <v>0</v>
      </c>
      <c r="F303" s="8">
        <v>0</v>
      </c>
      <c r="G303" s="4">
        <v>48</v>
      </c>
      <c r="H303" s="8">
        <v>2.95</v>
      </c>
      <c r="I303" s="4">
        <v>0</v>
      </c>
    </row>
    <row r="304" spans="1:9" x14ac:dyDescent="0.2">
      <c r="A304" s="2">
        <v>16</v>
      </c>
      <c r="B304" s="1" t="s">
        <v>225</v>
      </c>
      <c r="C304" s="4">
        <v>47</v>
      </c>
      <c r="D304" s="8">
        <v>1.59</v>
      </c>
      <c r="E304" s="4">
        <v>33</v>
      </c>
      <c r="F304" s="8">
        <v>2.52</v>
      </c>
      <c r="G304" s="4">
        <v>14</v>
      </c>
      <c r="H304" s="8">
        <v>0.86</v>
      </c>
      <c r="I304" s="4">
        <v>0</v>
      </c>
    </row>
    <row r="305" spans="1:9" x14ac:dyDescent="0.2">
      <c r="A305" s="2">
        <v>17</v>
      </c>
      <c r="B305" s="1" t="s">
        <v>219</v>
      </c>
      <c r="C305" s="4">
        <v>44</v>
      </c>
      <c r="D305" s="8">
        <v>1.49</v>
      </c>
      <c r="E305" s="4">
        <v>3</v>
      </c>
      <c r="F305" s="8">
        <v>0.23</v>
      </c>
      <c r="G305" s="4">
        <v>41</v>
      </c>
      <c r="H305" s="8">
        <v>2.52</v>
      </c>
      <c r="I305" s="4">
        <v>0</v>
      </c>
    </row>
    <row r="306" spans="1:9" x14ac:dyDescent="0.2">
      <c r="A306" s="2">
        <v>18</v>
      </c>
      <c r="B306" s="1" t="s">
        <v>241</v>
      </c>
      <c r="C306" s="4">
        <v>41</v>
      </c>
      <c r="D306" s="8">
        <v>1.39</v>
      </c>
      <c r="E306" s="4">
        <v>8</v>
      </c>
      <c r="F306" s="8">
        <v>0.61</v>
      </c>
      <c r="G306" s="4">
        <v>32</v>
      </c>
      <c r="H306" s="8">
        <v>1.97</v>
      </c>
      <c r="I306" s="4">
        <v>1</v>
      </c>
    </row>
    <row r="307" spans="1:9" x14ac:dyDescent="0.2">
      <c r="A307" s="2">
        <v>19</v>
      </c>
      <c r="B307" s="1" t="s">
        <v>226</v>
      </c>
      <c r="C307" s="4">
        <v>36</v>
      </c>
      <c r="D307" s="8">
        <v>1.22</v>
      </c>
      <c r="E307" s="4">
        <v>11</v>
      </c>
      <c r="F307" s="8">
        <v>0.84</v>
      </c>
      <c r="G307" s="4">
        <v>25</v>
      </c>
      <c r="H307" s="8">
        <v>1.54</v>
      </c>
      <c r="I307" s="4">
        <v>0</v>
      </c>
    </row>
    <row r="308" spans="1:9" x14ac:dyDescent="0.2">
      <c r="A308" s="2">
        <v>20</v>
      </c>
      <c r="B308" s="1" t="s">
        <v>218</v>
      </c>
      <c r="C308" s="4">
        <v>34</v>
      </c>
      <c r="D308" s="8">
        <v>1.1499999999999999</v>
      </c>
      <c r="E308" s="4">
        <v>2</v>
      </c>
      <c r="F308" s="8">
        <v>0.15</v>
      </c>
      <c r="G308" s="4">
        <v>32</v>
      </c>
      <c r="H308" s="8">
        <v>1.97</v>
      </c>
      <c r="I308" s="4">
        <v>0</v>
      </c>
    </row>
    <row r="309" spans="1:9" x14ac:dyDescent="0.2">
      <c r="A309" s="1"/>
      <c r="C309" s="4"/>
      <c r="D309" s="8"/>
      <c r="E309" s="4"/>
      <c r="F309" s="8"/>
      <c r="G309" s="4"/>
      <c r="H309" s="8"/>
      <c r="I309" s="4"/>
    </row>
    <row r="310" spans="1:9" x14ac:dyDescent="0.2">
      <c r="A310" s="1" t="s">
        <v>14</v>
      </c>
      <c r="C310" s="4"/>
      <c r="D310" s="8"/>
      <c r="E310" s="4"/>
      <c r="F310" s="8"/>
      <c r="G310" s="4"/>
      <c r="H310" s="8"/>
      <c r="I310" s="4"/>
    </row>
    <row r="311" spans="1:9" x14ac:dyDescent="0.2">
      <c r="A311" s="2">
        <v>1</v>
      </c>
      <c r="B311" s="1" t="s">
        <v>227</v>
      </c>
      <c r="C311" s="4">
        <v>1055</v>
      </c>
      <c r="D311" s="8">
        <v>13.39</v>
      </c>
      <c r="E311" s="4">
        <v>895</v>
      </c>
      <c r="F311" s="8">
        <v>24.09</v>
      </c>
      <c r="G311" s="4">
        <v>159</v>
      </c>
      <c r="H311" s="8">
        <v>3.86</v>
      </c>
      <c r="I311" s="4">
        <v>1</v>
      </c>
    </row>
    <row r="312" spans="1:9" x14ac:dyDescent="0.2">
      <c r="A312" s="2">
        <v>2</v>
      </c>
      <c r="B312" s="1" t="s">
        <v>228</v>
      </c>
      <c r="C312" s="4">
        <v>902</v>
      </c>
      <c r="D312" s="8">
        <v>11.45</v>
      </c>
      <c r="E312" s="4">
        <v>757</v>
      </c>
      <c r="F312" s="8">
        <v>20.38</v>
      </c>
      <c r="G312" s="4">
        <v>145</v>
      </c>
      <c r="H312" s="8">
        <v>3.52</v>
      </c>
      <c r="I312" s="4">
        <v>0</v>
      </c>
    </row>
    <row r="313" spans="1:9" x14ac:dyDescent="0.2">
      <c r="A313" s="2">
        <v>3</v>
      </c>
      <c r="B313" s="1" t="s">
        <v>224</v>
      </c>
      <c r="C313" s="4">
        <v>705</v>
      </c>
      <c r="D313" s="8">
        <v>8.9499999999999993</v>
      </c>
      <c r="E313" s="4">
        <v>397</v>
      </c>
      <c r="F313" s="8">
        <v>10.69</v>
      </c>
      <c r="G313" s="4">
        <v>306</v>
      </c>
      <c r="H313" s="8">
        <v>7.42</v>
      </c>
      <c r="I313" s="4">
        <v>0</v>
      </c>
    </row>
    <row r="314" spans="1:9" x14ac:dyDescent="0.2">
      <c r="A314" s="2">
        <v>4</v>
      </c>
      <c r="B314" s="1" t="s">
        <v>223</v>
      </c>
      <c r="C314" s="4">
        <v>457</v>
      </c>
      <c r="D314" s="8">
        <v>5.8</v>
      </c>
      <c r="E314" s="4">
        <v>160</v>
      </c>
      <c r="F314" s="8">
        <v>4.3099999999999996</v>
      </c>
      <c r="G314" s="4">
        <v>297</v>
      </c>
      <c r="H314" s="8">
        <v>7.21</v>
      </c>
      <c r="I314" s="4">
        <v>0</v>
      </c>
    </row>
    <row r="315" spans="1:9" x14ac:dyDescent="0.2">
      <c r="A315" s="2">
        <v>5</v>
      </c>
      <c r="B315" s="1" t="s">
        <v>213</v>
      </c>
      <c r="C315" s="4">
        <v>389</v>
      </c>
      <c r="D315" s="8">
        <v>4.9400000000000004</v>
      </c>
      <c r="E315" s="4">
        <v>47</v>
      </c>
      <c r="F315" s="8">
        <v>1.27</v>
      </c>
      <c r="G315" s="4">
        <v>342</v>
      </c>
      <c r="H315" s="8">
        <v>8.3000000000000007</v>
      </c>
      <c r="I315" s="4">
        <v>0</v>
      </c>
    </row>
    <row r="316" spans="1:9" x14ac:dyDescent="0.2">
      <c r="A316" s="2">
        <v>6</v>
      </c>
      <c r="B316" s="1" t="s">
        <v>214</v>
      </c>
      <c r="C316" s="4">
        <v>386</v>
      </c>
      <c r="D316" s="8">
        <v>4.9000000000000004</v>
      </c>
      <c r="E316" s="4">
        <v>114</v>
      </c>
      <c r="F316" s="8">
        <v>3.07</v>
      </c>
      <c r="G316" s="4">
        <v>272</v>
      </c>
      <c r="H316" s="8">
        <v>6.6</v>
      </c>
      <c r="I316" s="4">
        <v>0</v>
      </c>
    </row>
    <row r="317" spans="1:9" x14ac:dyDescent="0.2">
      <c r="A317" s="2">
        <v>7</v>
      </c>
      <c r="B317" s="1" t="s">
        <v>231</v>
      </c>
      <c r="C317" s="4">
        <v>333</v>
      </c>
      <c r="D317" s="8">
        <v>4.2300000000000004</v>
      </c>
      <c r="E317" s="4">
        <v>276</v>
      </c>
      <c r="F317" s="8">
        <v>7.43</v>
      </c>
      <c r="G317" s="4">
        <v>57</v>
      </c>
      <c r="H317" s="8">
        <v>1.38</v>
      </c>
      <c r="I317" s="4">
        <v>0</v>
      </c>
    </row>
    <row r="318" spans="1:9" x14ac:dyDescent="0.2">
      <c r="A318" s="2">
        <v>8</v>
      </c>
      <c r="B318" s="1" t="s">
        <v>215</v>
      </c>
      <c r="C318" s="4">
        <v>261</v>
      </c>
      <c r="D318" s="8">
        <v>3.31</v>
      </c>
      <c r="E318" s="4">
        <v>45</v>
      </c>
      <c r="F318" s="8">
        <v>1.21</v>
      </c>
      <c r="G318" s="4">
        <v>216</v>
      </c>
      <c r="H318" s="8">
        <v>5.24</v>
      </c>
      <c r="I318" s="4">
        <v>0</v>
      </c>
    </row>
    <row r="319" spans="1:9" x14ac:dyDescent="0.2">
      <c r="A319" s="2">
        <v>9</v>
      </c>
      <c r="B319" s="1" t="s">
        <v>222</v>
      </c>
      <c r="C319" s="4">
        <v>250</v>
      </c>
      <c r="D319" s="8">
        <v>3.17</v>
      </c>
      <c r="E319" s="4">
        <v>95</v>
      </c>
      <c r="F319" s="8">
        <v>2.56</v>
      </c>
      <c r="G319" s="4">
        <v>155</v>
      </c>
      <c r="H319" s="8">
        <v>3.76</v>
      </c>
      <c r="I319" s="4">
        <v>0</v>
      </c>
    </row>
    <row r="320" spans="1:9" x14ac:dyDescent="0.2">
      <c r="A320" s="2">
        <v>10</v>
      </c>
      <c r="B320" s="1" t="s">
        <v>221</v>
      </c>
      <c r="C320" s="4">
        <v>241</v>
      </c>
      <c r="D320" s="8">
        <v>3.06</v>
      </c>
      <c r="E320" s="4">
        <v>115</v>
      </c>
      <c r="F320" s="8">
        <v>3.1</v>
      </c>
      <c r="G320" s="4">
        <v>126</v>
      </c>
      <c r="H320" s="8">
        <v>3.06</v>
      </c>
      <c r="I320" s="4">
        <v>0</v>
      </c>
    </row>
    <row r="321" spans="1:9" x14ac:dyDescent="0.2">
      <c r="A321" s="2">
        <v>11</v>
      </c>
      <c r="B321" s="1" t="s">
        <v>220</v>
      </c>
      <c r="C321" s="4">
        <v>224</v>
      </c>
      <c r="D321" s="8">
        <v>2.84</v>
      </c>
      <c r="E321" s="4">
        <v>80</v>
      </c>
      <c r="F321" s="8">
        <v>2.15</v>
      </c>
      <c r="G321" s="4">
        <v>144</v>
      </c>
      <c r="H321" s="8">
        <v>3.49</v>
      </c>
      <c r="I321" s="4">
        <v>0</v>
      </c>
    </row>
    <row r="322" spans="1:9" x14ac:dyDescent="0.2">
      <c r="A322" s="2">
        <v>12</v>
      </c>
      <c r="B322" s="1" t="s">
        <v>230</v>
      </c>
      <c r="C322" s="4">
        <v>207</v>
      </c>
      <c r="D322" s="8">
        <v>2.63</v>
      </c>
      <c r="E322" s="4">
        <v>138</v>
      </c>
      <c r="F322" s="8">
        <v>3.71</v>
      </c>
      <c r="G322" s="4">
        <v>44</v>
      </c>
      <c r="H322" s="8">
        <v>1.07</v>
      </c>
      <c r="I322" s="4">
        <v>1</v>
      </c>
    </row>
    <row r="323" spans="1:9" x14ac:dyDescent="0.2">
      <c r="A323" s="2">
        <v>13</v>
      </c>
      <c r="B323" s="1" t="s">
        <v>225</v>
      </c>
      <c r="C323" s="4">
        <v>172</v>
      </c>
      <c r="D323" s="8">
        <v>2.1800000000000002</v>
      </c>
      <c r="E323" s="4">
        <v>118</v>
      </c>
      <c r="F323" s="8">
        <v>3.18</v>
      </c>
      <c r="G323" s="4">
        <v>54</v>
      </c>
      <c r="H323" s="8">
        <v>1.31</v>
      </c>
      <c r="I323" s="4">
        <v>0</v>
      </c>
    </row>
    <row r="324" spans="1:9" x14ac:dyDescent="0.2">
      <c r="A324" s="2">
        <v>14</v>
      </c>
      <c r="B324" s="1" t="s">
        <v>232</v>
      </c>
      <c r="C324" s="4">
        <v>168</v>
      </c>
      <c r="D324" s="8">
        <v>2.13</v>
      </c>
      <c r="E324" s="4">
        <v>4</v>
      </c>
      <c r="F324" s="8">
        <v>0.11</v>
      </c>
      <c r="G324" s="4">
        <v>162</v>
      </c>
      <c r="H324" s="8">
        <v>3.93</v>
      </c>
      <c r="I324" s="4">
        <v>0</v>
      </c>
    </row>
    <row r="325" spans="1:9" x14ac:dyDescent="0.2">
      <c r="A325" s="2">
        <v>15</v>
      </c>
      <c r="B325" s="1" t="s">
        <v>226</v>
      </c>
      <c r="C325" s="4">
        <v>149</v>
      </c>
      <c r="D325" s="8">
        <v>1.89</v>
      </c>
      <c r="E325" s="4">
        <v>42</v>
      </c>
      <c r="F325" s="8">
        <v>1.1299999999999999</v>
      </c>
      <c r="G325" s="4">
        <v>107</v>
      </c>
      <c r="H325" s="8">
        <v>2.6</v>
      </c>
      <c r="I325" s="4">
        <v>0</v>
      </c>
    </row>
    <row r="326" spans="1:9" x14ac:dyDescent="0.2">
      <c r="A326" s="2">
        <v>16</v>
      </c>
      <c r="B326" s="1" t="s">
        <v>218</v>
      </c>
      <c r="C326" s="4">
        <v>143</v>
      </c>
      <c r="D326" s="8">
        <v>1.81</v>
      </c>
      <c r="E326" s="4">
        <v>12</v>
      </c>
      <c r="F326" s="8">
        <v>0.32</v>
      </c>
      <c r="G326" s="4">
        <v>131</v>
      </c>
      <c r="H326" s="8">
        <v>3.18</v>
      </c>
      <c r="I326" s="4">
        <v>0</v>
      </c>
    </row>
    <row r="327" spans="1:9" x14ac:dyDescent="0.2">
      <c r="A327" s="2">
        <v>17</v>
      </c>
      <c r="B327" s="1" t="s">
        <v>219</v>
      </c>
      <c r="C327" s="4">
        <v>122</v>
      </c>
      <c r="D327" s="8">
        <v>1.55</v>
      </c>
      <c r="E327" s="4">
        <v>19</v>
      </c>
      <c r="F327" s="8">
        <v>0.51</v>
      </c>
      <c r="G327" s="4">
        <v>103</v>
      </c>
      <c r="H327" s="8">
        <v>2.5</v>
      </c>
      <c r="I327" s="4">
        <v>0</v>
      </c>
    </row>
    <row r="328" spans="1:9" x14ac:dyDescent="0.2">
      <c r="A328" s="2">
        <v>17</v>
      </c>
      <c r="B328" s="1" t="s">
        <v>233</v>
      </c>
      <c r="C328" s="4">
        <v>122</v>
      </c>
      <c r="D328" s="8">
        <v>1.55</v>
      </c>
      <c r="E328" s="4">
        <v>3</v>
      </c>
      <c r="F328" s="8">
        <v>0.08</v>
      </c>
      <c r="G328" s="4">
        <v>119</v>
      </c>
      <c r="H328" s="8">
        <v>2.89</v>
      </c>
      <c r="I328" s="4">
        <v>0</v>
      </c>
    </row>
    <row r="329" spans="1:9" x14ac:dyDescent="0.2">
      <c r="A329" s="2">
        <v>19</v>
      </c>
      <c r="B329" s="1" t="s">
        <v>217</v>
      </c>
      <c r="C329" s="4">
        <v>112</v>
      </c>
      <c r="D329" s="8">
        <v>1.42</v>
      </c>
      <c r="E329" s="4">
        <v>5</v>
      </c>
      <c r="F329" s="8">
        <v>0.13</v>
      </c>
      <c r="G329" s="4">
        <v>107</v>
      </c>
      <c r="H329" s="8">
        <v>2.6</v>
      </c>
      <c r="I329" s="4">
        <v>0</v>
      </c>
    </row>
    <row r="330" spans="1:9" x14ac:dyDescent="0.2">
      <c r="A330" s="2">
        <v>20</v>
      </c>
      <c r="B330" s="1" t="s">
        <v>240</v>
      </c>
      <c r="C330" s="4">
        <v>97</v>
      </c>
      <c r="D330" s="8">
        <v>1.23</v>
      </c>
      <c r="E330" s="4">
        <v>57</v>
      </c>
      <c r="F330" s="8">
        <v>1.53</v>
      </c>
      <c r="G330" s="4">
        <v>40</v>
      </c>
      <c r="H330" s="8">
        <v>0.97</v>
      </c>
      <c r="I330" s="4">
        <v>0</v>
      </c>
    </row>
    <row r="331" spans="1:9" x14ac:dyDescent="0.2">
      <c r="A331" s="1"/>
      <c r="C331" s="4"/>
      <c r="D331" s="8"/>
      <c r="E331" s="4"/>
      <c r="F331" s="8"/>
      <c r="G331" s="4"/>
      <c r="H331" s="8"/>
      <c r="I331" s="4"/>
    </row>
    <row r="332" spans="1:9" x14ac:dyDescent="0.2">
      <c r="A332" s="1" t="s">
        <v>15</v>
      </c>
      <c r="C332" s="4"/>
      <c r="D332" s="8"/>
      <c r="E332" s="4"/>
      <c r="F332" s="8"/>
      <c r="G332" s="4"/>
      <c r="H332" s="8"/>
      <c r="I332" s="4"/>
    </row>
    <row r="333" spans="1:9" x14ac:dyDescent="0.2">
      <c r="A333" s="2">
        <v>1</v>
      </c>
      <c r="B333" s="1" t="s">
        <v>227</v>
      </c>
      <c r="C333" s="4">
        <v>322</v>
      </c>
      <c r="D333" s="8">
        <v>15.59</v>
      </c>
      <c r="E333" s="4">
        <v>287</v>
      </c>
      <c r="F333" s="8">
        <v>28.87</v>
      </c>
      <c r="G333" s="4">
        <v>35</v>
      </c>
      <c r="H333" s="8">
        <v>3.33</v>
      </c>
      <c r="I333" s="4">
        <v>0</v>
      </c>
    </row>
    <row r="334" spans="1:9" x14ac:dyDescent="0.2">
      <c r="A334" s="2">
        <v>2</v>
      </c>
      <c r="B334" s="1" t="s">
        <v>228</v>
      </c>
      <c r="C334" s="4">
        <v>224</v>
      </c>
      <c r="D334" s="8">
        <v>10.84</v>
      </c>
      <c r="E334" s="4">
        <v>189</v>
      </c>
      <c r="F334" s="8">
        <v>19.010000000000002</v>
      </c>
      <c r="G334" s="4">
        <v>35</v>
      </c>
      <c r="H334" s="8">
        <v>3.33</v>
      </c>
      <c r="I334" s="4">
        <v>0</v>
      </c>
    </row>
    <row r="335" spans="1:9" x14ac:dyDescent="0.2">
      <c r="A335" s="2">
        <v>3</v>
      </c>
      <c r="B335" s="1" t="s">
        <v>224</v>
      </c>
      <c r="C335" s="4">
        <v>184</v>
      </c>
      <c r="D335" s="8">
        <v>8.91</v>
      </c>
      <c r="E335" s="4">
        <v>97</v>
      </c>
      <c r="F335" s="8">
        <v>9.76</v>
      </c>
      <c r="G335" s="4">
        <v>85</v>
      </c>
      <c r="H335" s="8">
        <v>8.08</v>
      </c>
      <c r="I335" s="4">
        <v>1</v>
      </c>
    </row>
    <row r="336" spans="1:9" x14ac:dyDescent="0.2">
      <c r="A336" s="2">
        <v>4</v>
      </c>
      <c r="B336" s="1" t="s">
        <v>223</v>
      </c>
      <c r="C336" s="4">
        <v>142</v>
      </c>
      <c r="D336" s="8">
        <v>6.87</v>
      </c>
      <c r="E336" s="4">
        <v>53</v>
      </c>
      <c r="F336" s="8">
        <v>5.33</v>
      </c>
      <c r="G336" s="4">
        <v>89</v>
      </c>
      <c r="H336" s="8">
        <v>8.4600000000000009</v>
      </c>
      <c r="I336" s="4">
        <v>0</v>
      </c>
    </row>
    <row r="337" spans="1:9" x14ac:dyDescent="0.2">
      <c r="A337" s="2">
        <v>5</v>
      </c>
      <c r="B337" s="1" t="s">
        <v>221</v>
      </c>
      <c r="C337" s="4">
        <v>98</v>
      </c>
      <c r="D337" s="8">
        <v>4.74</v>
      </c>
      <c r="E337" s="4">
        <v>53</v>
      </c>
      <c r="F337" s="8">
        <v>5.33</v>
      </c>
      <c r="G337" s="4">
        <v>45</v>
      </c>
      <c r="H337" s="8">
        <v>4.28</v>
      </c>
      <c r="I337" s="4">
        <v>0</v>
      </c>
    </row>
    <row r="338" spans="1:9" x14ac:dyDescent="0.2">
      <c r="A338" s="2">
        <v>6</v>
      </c>
      <c r="B338" s="1" t="s">
        <v>213</v>
      </c>
      <c r="C338" s="4">
        <v>95</v>
      </c>
      <c r="D338" s="8">
        <v>4.5999999999999996</v>
      </c>
      <c r="E338" s="4">
        <v>10</v>
      </c>
      <c r="F338" s="8">
        <v>1.01</v>
      </c>
      <c r="G338" s="4">
        <v>85</v>
      </c>
      <c r="H338" s="8">
        <v>8.08</v>
      </c>
      <c r="I338" s="4">
        <v>0</v>
      </c>
    </row>
    <row r="339" spans="1:9" x14ac:dyDescent="0.2">
      <c r="A339" s="2">
        <v>7</v>
      </c>
      <c r="B339" s="1" t="s">
        <v>214</v>
      </c>
      <c r="C339" s="4">
        <v>86</v>
      </c>
      <c r="D339" s="8">
        <v>4.16</v>
      </c>
      <c r="E339" s="4">
        <v>25</v>
      </c>
      <c r="F339" s="8">
        <v>2.52</v>
      </c>
      <c r="G339" s="4">
        <v>61</v>
      </c>
      <c r="H339" s="8">
        <v>5.8</v>
      </c>
      <c r="I339" s="4">
        <v>0</v>
      </c>
    </row>
    <row r="340" spans="1:9" x14ac:dyDescent="0.2">
      <c r="A340" s="2">
        <v>8</v>
      </c>
      <c r="B340" s="1" t="s">
        <v>215</v>
      </c>
      <c r="C340" s="4">
        <v>84</v>
      </c>
      <c r="D340" s="8">
        <v>4.07</v>
      </c>
      <c r="E340" s="4">
        <v>8</v>
      </c>
      <c r="F340" s="8">
        <v>0.8</v>
      </c>
      <c r="G340" s="4">
        <v>76</v>
      </c>
      <c r="H340" s="8">
        <v>7.22</v>
      </c>
      <c r="I340" s="4">
        <v>0</v>
      </c>
    </row>
    <row r="341" spans="1:9" x14ac:dyDescent="0.2">
      <c r="A341" s="2">
        <v>9</v>
      </c>
      <c r="B341" s="1" t="s">
        <v>231</v>
      </c>
      <c r="C341" s="4">
        <v>51</v>
      </c>
      <c r="D341" s="8">
        <v>2.4700000000000002</v>
      </c>
      <c r="E341" s="4">
        <v>45</v>
      </c>
      <c r="F341" s="8">
        <v>4.53</v>
      </c>
      <c r="G341" s="4">
        <v>6</v>
      </c>
      <c r="H341" s="8">
        <v>0.56999999999999995</v>
      </c>
      <c r="I341" s="4">
        <v>0</v>
      </c>
    </row>
    <row r="342" spans="1:9" x14ac:dyDescent="0.2">
      <c r="A342" s="2">
        <v>10</v>
      </c>
      <c r="B342" s="1" t="s">
        <v>222</v>
      </c>
      <c r="C342" s="4">
        <v>48</v>
      </c>
      <c r="D342" s="8">
        <v>2.3199999999999998</v>
      </c>
      <c r="E342" s="4">
        <v>21</v>
      </c>
      <c r="F342" s="8">
        <v>2.11</v>
      </c>
      <c r="G342" s="4">
        <v>27</v>
      </c>
      <c r="H342" s="8">
        <v>2.57</v>
      </c>
      <c r="I342" s="4">
        <v>0</v>
      </c>
    </row>
    <row r="343" spans="1:9" x14ac:dyDescent="0.2">
      <c r="A343" s="2">
        <v>11</v>
      </c>
      <c r="B343" s="1" t="s">
        <v>217</v>
      </c>
      <c r="C343" s="4">
        <v>46</v>
      </c>
      <c r="D343" s="8">
        <v>2.23</v>
      </c>
      <c r="E343" s="4">
        <v>2</v>
      </c>
      <c r="F343" s="8">
        <v>0.2</v>
      </c>
      <c r="G343" s="4">
        <v>44</v>
      </c>
      <c r="H343" s="8">
        <v>4.18</v>
      </c>
      <c r="I343" s="4">
        <v>0</v>
      </c>
    </row>
    <row r="344" spans="1:9" x14ac:dyDescent="0.2">
      <c r="A344" s="2">
        <v>11</v>
      </c>
      <c r="B344" s="1" t="s">
        <v>218</v>
      </c>
      <c r="C344" s="4">
        <v>46</v>
      </c>
      <c r="D344" s="8">
        <v>2.23</v>
      </c>
      <c r="E344" s="4">
        <v>3</v>
      </c>
      <c r="F344" s="8">
        <v>0.3</v>
      </c>
      <c r="G344" s="4">
        <v>43</v>
      </c>
      <c r="H344" s="8">
        <v>4.09</v>
      </c>
      <c r="I344" s="4">
        <v>0</v>
      </c>
    </row>
    <row r="345" spans="1:9" x14ac:dyDescent="0.2">
      <c r="A345" s="2">
        <v>13</v>
      </c>
      <c r="B345" s="1" t="s">
        <v>220</v>
      </c>
      <c r="C345" s="4">
        <v>45</v>
      </c>
      <c r="D345" s="8">
        <v>2.1800000000000002</v>
      </c>
      <c r="E345" s="4">
        <v>17</v>
      </c>
      <c r="F345" s="8">
        <v>1.71</v>
      </c>
      <c r="G345" s="4">
        <v>28</v>
      </c>
      <c r="H345" s="8">
        <v>2.66</v>
      </c>
      <c r="I345" s="4">
        <v>0</v>
      </c>
    </row>
    <row r="346" spans="1:9" x14ac:dyDescent="0.2">
      <c r="A346" s="2">
        <v>14</v>
      </c>
      <c r="B346" s="1" t="s">
        <v>230</v>
      </c>
      <c r="C346" s="4">
        <v>44</v>
      </c>
      <c r="D346" s="8">
        <v>2.13</v>
      </c>
      <c r="E346" s="4">
        <v>24</v>
      </c>
      <c r="F346" s="8">
        <v>2.41</v>
      </c>
      <c r="G346" s="4">
        <v>14</v>
      </c>
      <c r="H346" s="8">
        <v>1.33</v>
      </c>
      <c r="I346" s="4">
        <v>0</v>
      </c>
    </row>
    <row r="347" spans="1:9" x14ac:dyDescent="0.2">
      <c r="A347" s="2">
        <v>15</v>
      </c>
      <c r="B347" s="1" t="s">
        <v>225</v>
      </c>
      <c r="C347" s="4">
        <v>39</v>
      </c>
      <c r="D347" s="8">
        <v>1.89</v>
      </c>
      <c r="E347" s="4">
        <v>32</v>
      </c>
      <c r="F347" s="8">
        <v>3.22</v>
      </c>
      <c r="G347" s="4">
        <v>7</v>
      </c>
      <c r="H347" s="8">
        <v>0.67</v>
      </c>
      <c r="I347" s="4">
        <v>0</v>
      </c>
    </row>
    <row r="348" spans="1:9" x14ac:dyDescent="0.2">
      <c r="A348" s="2">
        <v>16</v>
      </c>
      <c r="B348" s="1" t="s">
        <v>237</v>
      </c>
      <c r="C348" s="4">
        <v>34</v>
      </c>
      <c r="D348" s="8">
        <v>1.65</v>
      </c>
      <c r="E348" s="4">
        <v>5</v>
      </c>
      <c r="F348" s="8">
        <v>0.5</v>
      </c>
      <c r="G348" s="4">
        <v>29</v>
      </c>
      <c r="H348" s="8">
        <v>2.76</v>
      </c>
      <c r="I348" s="4">
        <v>0</v>
      </c>
    </row>
    <row r="349" spans="1:9" x14ac:dyDescent="0.2">
      <c r="A349" s="2">
        <v>17</v>
      </c>
      <c r="B349" s="1" t="s">
        <v>226</v>
      </c>
      <c r="C349" s="4">
        <v>33</v>
      </c>
      <c r="D349" s="8">
        <v>1.6</v>
      </c>
      <c r="E349" s="4">
        <v>9</v>
      </c>
      <c r="F349" s="8">
        <v>0.91</v>
      </c>
      <c r="G349" s="4">
        <v>21</v>
      </c>
      <c r="H349" s="8">
        <v>2</v>
      </c>
      <c r="I349" s="4">
        <v>0</v>
      </c>
    </row>
    <row r="350" spans="1:9" x14ac:dyDescent="0.2">
      <c r="A350" s="2">
        <v>18</v>
      </c>
      <c r="B350" s="1" t="s">
        <v>232</v>
      </c>
      <c r="C350" s="4">
        <v>30</v>
      </c>
      <c r="D350" s="8">
        <v>1.45</v>
      </c>
      <c r="E350" s="4">
        <v>1</v>
      </c>
      <c r="F350" s="8">
        <v>0.1</v>
      </c>
      <c r="G350" s="4">
        <v>28</v>
      </c>
      <c r="H350" s="8">
        <v>2.66</v>
      </c>
      <c r="I350" s="4">
        <v>0</v>
      </c>
    </row>
    <row r="351" spans="1:9" x14ac:dyDescent="0.2">
      <c r="A351" s="2">
        <v>19</v>
      </c>
      <c r="B351" s="1" t="s">
        <v>242</v>
      </c>
      <c r="C351" s="4">
        <v>29</v>
      </c>
      <c r="D351" s="8">
        <v>1.4</v>
      </c>
      <c r="E351" s="4">
        <v>9</v>
      </c>
      <c r="F351" s="8">
        <v>0.91</v>
      </c>
      <c r="G351" s="4">
        <v>20</v>
      </c>
      <c r="H351" s="8">
        <v>1.9</v>
      </c>
      <c r="I351" s="4">
        <v>0</v>
      </c>
    </row>
    <row r="352" spans="1:9" x14ac:dyDescent="0.2">
      <c r="A352" s="2">
        <v>20</v>
      </c>
      <c r="B352" s="1" t="s">
        <v>219</v>
      </c>
      <c r="C352" s="4">
        <v>27</v>
      </c>
      <c r="D352" s="8">
        <v>1.31</v>
      </c>
      <c r="E352" s="4">
        <v>6</v>
      </c>
      <c r="F352" s="8">
        <v>0.6</v>
      </c>
      <c r="G352" s="4">
        <v>21</v>
      </c>
      <c r="H352" s="8">
        <v>2</v>
      </c>
      <c r="I352" s="4">
        <v>0</v>
      </c>
    </row>
    <row r="353" spans="1:9" x14ac:dyDescent="0.2">
      <c r="A353" s="1"/>
      <c r="C353" s="4"/>
      <c r="D353" s="8"/>
      <c r="E353" s="4"/>
      <c r="F353" s="8"/>
      <c r="G353" s="4"/>
      <c r="H353" s="8"/>
      <c r="I353" s="4"/>
    </row>
    <row r="354" spans="1:9" x14ac:dyDescent="0.2">
      <c r="A354" s="1" t="s">
        <v>16</v>
      </c>
      <c r="C354" s="4"/>
      <c r="D354" s="8"/>
      <c r="E354" s="4"/>
      <c r="F354" s="8"/>
      <c r="G354" s="4"/>
      <c r="H354" s="8"/>
      <c r="I354" s="4"/>
    </row>
    <row r="355" spans="1:9" x14ac:dyDescent="0.2">
      <c r="A355" s="2">
        <v>1</v>
      </c>
      <c r="B355" s="1" t="s">
        <v>227</v>
      </c>
      <c r="C355" s="4">
        <v>773</v>
      </c>
      <c r="D355" s="8">
        <v>16.88</v>
      </c>
      <c r="E355" s="4">
        <v>674</v>
      </c>
      <c r="F355" s="8">
        <v>28.51</v>
      </c>
      <c r="G355" s="4">
        <v>98</v>
      </c>
      <c r="H355" s="8">
        <v>4.49</v>
      </c>
      <c r="I355" s="4">
        <v>1</v>
      </c>
    </row>
    <row r="356" spans="1:9" x14ac:dyDescent="0.2">
      <c r="A356" s="2">
        <v>2</v>
      </c>
      <c r="B356" s="1" t="s">
        <v>228</v>
      </c>
      <c r="C356" s="4">
        <v>517</v>
      </c>
      <c r="D356" s="8">
        <v>11.29</v>
      </c>
      <c r="E356" s="4">
        <v>434</v>
      </c>
      <c r="F356" s="8">
        <v>18.36</v>
      </c>
      <c r="G356" s="4">
        <v>83</v>
      </c>
      <c r="H356" s="8">
        <v>3.81</v>
      </c>
      <c r="I356" s="4">
        <v>0</v>
      </c>
    </row>
    <row r="357" spans="1:9" x14ac:dyDescent="0.2">
      <c r="A357" s="2">
        <v>3</v>
      </c>
      <c r="B357" s="1" t="s">
        <v>224</v>
      </c>
      <c r="C357" s="4">
        <v>514</v>
      </c>
      <c r="D357" s="8">
        <v>11.22</v>
      </c>
      <c r="E357" s="4">
        <v>379</v>
      </c>
      <c r="F357" s="8">
        <v>16.03</v>
      </c>
      <c r="G357" s="4">
        <v>134</v>
      </c>
      <c r="H357" s="8">
        <v>6.14</v>
      </c>
      <c r="I357" s="4">
        <v>0</v>
      </c>
    </row>
    <row r="358" spans="1:9" x14ac:dyDescent="0.2">
      <c r="A358" s="2">
        <v>4</v>
      </c>
      <c r="B358" s="1" t="s">
        <v>223</v>
      </c>
      <c r="C358" s="4">
        <v>259</v>
      </c>
      <c r="D358" s="8">
        <v>5.66</v>
      </c>
      <c r="E358" s="4">
        <v>106</v>
      </c>
      <c r="F358" s="8">
        <v>4.4800000000000004</v>
      </c>
      <c r="G358" s="4">
        <v>153</v>
      </c>
      <c r="H358" s="8">
        <v>7.02</v>
      </c>
      <c r="I358" s="4">
        <v>0</v>
      </c>
    </row>
    <row r="359" spans="1:9" x14ac:dyDescent="0.2">
      <c r="A359" s="2">
        <v>5</v>
      </c>
      <c r="B359" s="1" t="s">
        <v>213</v>
      </c>
      <c r="C359" s="4">
        <v>171</v>
      </c>
      <c r="D359" s="8">
        <v>3.73</v>
      </c>
      <c r="E359" s="4">
        <v>18</v>
      </c>
      <c r="F359" s="8">
        <v>0.76</v>
      </c>
      <c r="G359" s="4">
        <v>153</v>
      </c>
      <c r="H359" s="8">
        <v>7.02</v>
      </c>
      <c r="I359" s="4">
        <v>0</v>
      </c>
    </row>
    <row r="360" spans="1:9" x14ac:dyDescent="0.2">
      <c r="A360" s="2">
        <v>6</v>
      </c>
      <c r="B360" s="1" t="s">
        <v>214</v>
      </c>
      <c r="C360" s="4">
        <v>165</v>
      </c>
      <c r="D360" s="8">
        <v>3.6</v>
      </c>
      <c r="E360" s="4">
        <v>47</v>
      </c>
      <c r="F360" s="8">
        <v>1.99</v>
      </c>
      <c r="G360" s="4">
        <v>118</v>
      </c>
      <c r="H360" s="8">
        <v>5.41</v>
      </c>
      <c r="I360" s="4">
        <v>0</v>
      </c>
    </row>
    <row r="361" spans="1:9" x14ac:dyDescent="0.2">
      <c r="A361" s="2">
        <v>7</v>
      </c>
      <c r="B361" s="1" t="s">
        <v>221</v>
      </c>
      <c r="C361" s="4">
        <v>162</v>
      </c>
      <c r="D361" s="8">
        <v>3.54</v>
      </c>
      <c r="E361" s="4">
        <v>64</v>
      </c>
      <c r="F361" s="8">
        <v>2.71</v>
      </c>
      <c r="G361" s="4">
        <v>98</v>
      </c>
      <c r="H361" s="8">
        <v>4.49</v>
      </c>
      <c r="I361" s="4">
        <v>0</v>
      </c>
    </row>
    <row r="362" spans="1:9" x14ac:dyDescent="0.2">
      <c r="A362" s="2">
        <v>8</v>
      </c>
      <c r="B362" s="1" t="s">
        <v>215</v>
      </c>
      <c r="C362" s="4">
        <v>145</v>
      </c>
      <c r="D362" s="8">
        <v>3.17</v>
      </c>
      <c r="E362" s="4">
        <v>22</v>
      </c>
      <c r="F362" s="8">
        <v>0.93</v>
      </c>
      <c r="G362" s="4">
        <v>123</v>
      </c>
      <c r="H362" s="8">
        <v>5.64</v>
      </c>
      <c r="I362" s="4">
        <v>0</v>
      </c>
    </row>
    <row r="363" spans="1:9" x14ac:dyDescent="0.2">
      <c r="A363" s="2">
        <v>9</v>
      </c>
      <c r="B363" s="1" t="s">
        <v>222</v>
      </c>
      <c r="C363" s="4">
        <v>141</v>
      </c>
      <c r="D363" s="8">
        <v>3.08</v>
      </c>
      <c r="E363" s="4">
        <v>51</v>
      </c>
      <c r="F363" s="8">
        <v>2.16</v>
      </c>
      <c r="G363" s="4">
        <v>90</v>
      </c>
      <c r="H363" s="8">
        <v>4.13</v>
      </c>
      <c r="I363" s="4">
        <v>0</v>
      </c>
    </row>
    <row r="364" spans="1:9" x14ac:dyDescent="0.2">
      <c r="A364" s="2">
        <v>10</v>
      </c>
      <c r="B364" s="1" t="s">
        <v>230</v>
      </c>
      <c r="C364" s="4">
        <v>140</v>
      </c>
      <c r="D364" s="8">
        <v>3.06</v>
      </c>
      <c r="E364" s="4">
        <v>105</v>
      </c>
      <c r="F364" s="8">
        <v>4.4400000000000004</v>
      </c>
      <c r="G364" s="4">
        <v>28</v>
      </c>
      <c r="H364" s="8">
        <v>1.28</v>
      </c>
      <c r="I364" s="4">
        <v>1</v>
      </c>
    </row>
    <row r="365" spans="1:9" x14ac:dyDescent="0.2">
      <c r="A365" s="2">
        <v>11</v>
      </c>
      <c r="B365" s="1" t="s">
        <v>231</v>
      </c>
      <c r="C365" s="4">
        <v>113</v>
      </c>
      <c r="D365" s="8">
        <v>2.4700000000000002</v>
      </c>
      <c r="E365" s="4">
        <v>104</v>
      </c>
      <c r="F365" s="8">
        <v>4.4000000000000004</v>
      </c>
      <c r="G365" s="4">
        <v>9</v>
      </c>
      <c r="H365" s="8">
        <v>0.41</v>
      </c>
      <c r="I365" s="4">
        <v>0</v>
      </c>
    </row>
    <row r="366" spans="1:9" x14ac:dyDescent="0.2">
      <c r="A366" s="2">
        <v>12</v>
      </c>
      <c r="B366" s="1" t="s">
        <v>226</v>
      </c>
      <c r="C366" s="4">
        <v>102</v>
      </c>
      <c r="D366" s="8">
        <v>2.23</v>
      </c>
      <c r="E366" s="4">
        <v>28</v>
      </c>
      <c r="F366" s="8">
        <v>1.18</v>
      </c>
      <c r="G366" s="4">
        <v>72</v>
      </c>
      <c r="H366" s="8">
        <v>3.3</v>
      </c>
      <c r="I366" s="4">
        <v>0</v>
      </c>
    </row>
    <row r="367" spans="1:9" x14ac:dyDescent="0.2">
      <c r="A367" s="2">
        <v>13</v>
      </c>
      <c r="B367" s="1" t="s">
        <v>232</v>
      </c>
      <c r="C367" s="4">
        <v>89</v>
      </c>
      <c r="D367" s="8">
        <v>1.94</v>
      </c>
      <c r="E367" s="4">
        <v>1</v>
      </c>
      <c r="F367" s="8">
        <v>0.04</v>
      </c>
      <c r="G367" s="4">
        <v>82</v>
      </c>
      <c r="H367" s="8">
        <v>3.76</v>
      </c>
      <c r="I367" s="4">
        <v>2</v>
      </c>
    </row>
    <row r="368" spans="1:9" x14ac:dyDescent="0.2">
      <c r="A368" s="2">
        <v>14</v>
      </c>
      <c r="B368" s="1" t="s">
        <v>218</v>
      </c>
      <c r="C368" s="4">
        <v>87</v>
      </c>
      <c r="D368" s="8">
        <v>1.9</v>
      </c>
      <c r="E368" s="4">
        <v>7</v>
      </c>
      <c r="F368" s="8">
        <v>0.3</v>
      </c>
      <c r="G368" s="4">
        <v>80</v>
      </c>
      <c r="H368" s="8">
        <v>3.67</v>
      </c>
      <c r="I368" s="4">
        <v>0</v>
      </c>
    </row>
    <row r="369" spans="1:9" x14ac:dyDescent="0.2">
      <c r="A369" s="2">
        <v>14</v>
      </c>
      <c r="B369" s="1" t="s">
        <v>220</v>
      </c>
      <c r="C369" s="4">
        <v>87</v>
      </c>
      <c r="D369" s="8">
        <v>1.9</v>
      </c>
      <c r="E369" s="4">
        <v>40</v>
      </c>
      <c r="F369" s="8">
        <v>1.69</v>
      </c>
      <c r="G369" s="4">
        <v>47</v>
      </c>
      <c r="H369" s="8">
        <v>2.15</v>
      </c>
      <c r="I369" s="4">
        <v>0</v>
      </c>
    </row>
    <row r="370" spans="1:9" x14ac:dyDescent="0.2">
      <c r="A370" s="2">
        <v>16</v>
      </c>
      <c r="B370" s="1" t="s">
        <v>225</v>
      </c>
      <c r="C370" s="4">
        <v>76</v>
      </c>
      <c r="D370" s="8">
        <v>1.66</v>
      </c>
      <c r="E370" s="4">
        <v>46</v>
      </c>
      <c r="F370" s="8">
        <v>1.95</v>
      </c>
      <c r="G370" s="4">
        <v>30</v>
      </c>
      <c r="H370" s="8">
        <v>1.38</v>
      </c>
      <c r="I370" s="4">
        <v>0</v>
      </c>
    </row>
    <row r="371" spans="1:9" x14ac:dyDescent="0.2">
      <c r="A371" s="2">
        <v>16</v>
      </c>
      <c r="B371" s="1" t="s">
        <v>240</v>
      </c>
      <c r="C371" s="4">
        <v>76</v>
      </c>
      <c r="D371" s="8">
        <v>1.66</v>
      </c>
      <c r="E371" s="4">
        <v>38</v>
      </c>
      <c r="F371" s="8">
        <v>1.61</v>
      </c>
      <c r="G371" s="4">
        <v>38</v>
      </c>
      <c r="H371" s="8">
        <v>1.74</v>
      </c>
      <c r="I371" s="4">
        <v>0</v>
      </c>
    </row>
    <row r="372" spans="1:9" x14ac:dyDescent="0.2">
      <c r="A372" s="2">
        <v>18</v>
      </c>
      <c r="B372" s="1" t="s">
        <v>217</v>
      </c>
      <c r="C372" s="4">
        <v>70</v>
      </c>
      <c r="D372" s="8">
        <v>1.53</v>
      </c>
      <c r="E372" s="4">
        <v>4</v>
      </c>
      <c r="F372" s="8">
        <v>0.17</v>
      </c>
      <c r="G372" s="4">
        <v>66</v>
      </c>
      <c r="H372" s="8">
        <v>3.03</v>
      </c>
      <c r="I372" s="4">
        <v>0</v>
      </c>
    </row>
    <row r="373" spans="1:9" x14ac:dyDescent="0.2">
      <c r="A373" s="2">
        <v>19</v>
      </c>
      <c r="B373" s="1" t="s">
        <v>219</v>
      </c>
      <c r="C373" s="4">
        <v>63</v>
      </c>
      <c r="D373" s="8">
        <v>1.38</v>
      </c>
      <c r="E373" s="4">
        <v>6</v>
      </c>
      <c r="F373" s="8">
        <v>0.25</v>
      </c>
      <c r="G373" s="4">
        <v>57</v>
      </c>
      <c r="H373" s="8">
        <v>2.61</v>
      </c>
      <c r="I373" s="4">
        <v>0</v>
      </c>
    </row>
    <row r="374" spans="1:9" x14ac:dyDescent="0.2">
      <c r="A374" s="2">
        <v>20</v>
      </c>
      <c r="B374" s="1" t="s">
        <v>243</v>
      </c>
      <c r="C374" s="4">
        <v>62</v>
      </c>
      <c r="D374" s="8">
        <v>1.35</v>
      </c>
      <c r="E374" s="4">
        <v>37</v>
      </c>
      <c r="F374" s="8">
        <v>1.57</v>
      </c>
      <c r="G374" s="4">
        <v>25</v>
      </c>
      <c r="H374" s="8">
        <v>1.1499999999999999</v>
      </c>
      <c r="I374" s="4">
        <v>0</v>
      </c>
    </row>
    <row r="375" spans="1:9" x14ac:dyDescent="0.2">
      <c r="A375" s="1"/>
      <c r="C375" s="4"/>
      <c r="D375" s="8"/>
      <c r="E375" s="4"/>
      <c r="F375" s="8"/>
      <c r="G375" s="4"/>
      <c r="H375" s="8"/>
      <c r="I375" s="4"/>
    </row>
    <row r="376" spans="1:9" x14ac:dyDescent="0.2">
      <c r="A376" s="1" t="s">
        <v>17</v>
      </c>
      <c r="C376" s="4"/>
      <c r="D376" s="8"/>
      <c r="E376" s="4"/>
      <c r="F376" s="8"/>
      <c r="G376" s="4"/>
      <c r="H376" s="8"/>
      <c r="I376" s="4"/>
    </row>
    <row r="377" spans="1:9" x14ac:dyDescent="0.2">
      <c r="A377" s="2">
        <v>1</v>
      </c>
      <c r="B377" s="1" t="s">
        <v>227</v>
      </c>
      <c r="C377" s="4">
        <v>769</v>
      </c>
      <c r="D377" s="8">
        <v>15.45</v>
      </c>
      <c r="E377" s="4">
        <v>674</v>
      </c>
      <c r="F377" s="8">
        <v>28.05</v>
      </c>
      <c r="G377" s="4">
        <v>93</v>
      </c>
      <c r="H377" s="8">
        <v>3.69</v>
      </c>
      <c r="I377" s="4">
        <v>2</v>
      </c>
    </row>
    <row r="378" spans="1:9" x14ac:dyDescent="0.2">
      <c r="A378" s="2">
        <v>2</v>
      </c>
      <c r="B378" s="1" t="s">
        <v>228</v>
      </c>
      <c r="C378" s="4">
        <v>555</v>
      </c>
      <c r="D378" s="8">
        <v>11.15</v>
      </c>
      <c r="E378" s="4">
        <v>466</v>
      </c>
      <c r="F378" s="8">
        <v>19.39</v>
      </c>
      <c r="G378" s="4">
        <v>89</v>
      </c>
      <c r="H378" s="8">
        <v>3.53</v>
      </c>
      <c r="I378" s="4">
        <v>0</v>
      </c>
    </row>
    <row r="379" spans="1:9" x14ac:dyDescent="0.2">
      <c r="A379" s="2">
        <v>3</v>
      </c>
      <c r="B379" s="1" t="s">
        <v>224</v>
      </c>
      <c r="C379" s="4">
        <v>325</v>
      </c>
      <c r="D379" s="8">
        <v>6.53</v>
      </c>
      <c r="E379" s="4">
        <v>134</v>
      </c>
      <c r="F379" s="8">
        <v>5.58</v>
      </c>
      <c r="G379" s="4">
        <v>190</v>
      </c>
      <c r="H379" s="8">
        <v>7.54</v>
      </c>
      <c r="I379" s="4">
        <v>0</v>
      </c>
    </row>
    <row r="380" spans="1:9" x14ac:dyDescent="0.2">
      <c r="A380" s="2">
        <v>4</v>
      </c>
      <c r="B380" s="1" t="s">
        <v>223</v>
      </c>
      <c r="C380" s="4">
        <v>294</v>
      </c>
      <c r="D380" s="8">
        <v>5.91</v>
      </c>
      <c r="E380" s="4">
        <v>103</v>
      </c>
      <c r="F380" s="8">
        <v>4.29</v>
      </c>
      <c r="G380" s="4">
        <v>191</v>
      </c>
      <c r="H380" s="8">
        <v>7.58</v>
      </c>
      <c r="I380" s="4">
        <v>0</v>
      </c>
    </row>
    <row r="381" spans="1:9" x14ac:dyDescent="0.2">
      <c r="A381" s="2">
        <v>5</v>
      </c>
      <c r="B381" s="1" t="s">
        <v>213</v>
      </c>
      <c r="C381" s="4">
        <v>243</v>
      </c>
      <c r="D381" s="8">
        <v>4.88</v>
      </c>
      <c r="E381" s="4">
        <v>34</v>
      </c>
      <c r="F381" s="8">
        <v>1.41</v>
      </c>
      <c r="G381" s="4">
        <v>209</v>
      </c>
      <c r="H381" s="8">
        <v>8.2899999999999991</v>
      </c>
      <c r="I381" s="4">
        <v>0</v>
      </c>
    </row>
    <row r="382" spans="1:9" x14ac:dyDescent="0.2">
      <c r="A382" s="2">
        <v>6</v>
      </c>
      <c r="B382" s="1" t="s">
        <v>214</v>
      </c>
      <c r="C382" s="4">
        <v>221</v>
      </c>
      <c r="D382" s="8">
        <v>4.4400000000000004</v>
      </c>
      <c r="E382" s="4">
        <v>92</v>
      </c>
      <c r="F382" s="8">
        <v>3.83</v>
      </c>
      <c r="G382" s="4">
        <v>129</v>
      </c>
      <c r="H382" s="8">
        <v>5.12</v>
      </c>
      <c r="I382" s="4">
        <v>0</v>
      </c>
    </row>
    <row r="383" spans="1:9" x14ac:dyDescent="0.2">
      <c r="A383" s="2">
        <v>7</v>
      </c>
      <c r="B383" s="1" t="s">
        <v>231</v>
      </c>
      <c r="C383" s="4">
        <v>184</v>
      </c>
      <c r="D383" s="8">
        <v>3.7</v>
      </c>
      <c r="E383" s="4">
        <v>164</v>
      </c>
      <c r="F383" s="8">
        <v>6.82</v>
      </c>
      <c r="G383" s="4">
        <v>20</v>
      </c>
      <c r="H383" s="8">
        <v>0.79</v>
      </c>
      <c r="I383" s="4">
        <v>0</v>
      </c>
    </row>
    <row r="384" spans="1:9" x14ac:dyDescent="0.2">
      <c r="A384" s="2">
        <v>8</v>
      </c>
      <c r="B384" s="1" t="s">
        <v>215</v>
      </c>
      <c r="C384" s="4">
        <v>182</v>
      </c>
      <c r="D384" s="8">
        <v>3.66</v>
      </c>
      <c r="E384" s="4">
        <v>40</v>
      </c>
      <c r="F384" s="8">
        <v>1.66</v>
      </c>
      <c r="G384" s="4">
        <v>142</v>
      </c>
      <c r="H384" s="8">
        <v>5.63</v>
      </c>
      <c r="I384" s="4">
        <v>0</v>
      </c>
    </row>
    <row r="385" spans="1:9" x14ac:dyDescent="0.2">
      <c r="A385" s="2">
        <v>9</v>
      </c>
      <c r="B385" s="1" t="s">
        <v>230</v>
      </c>
      <c r="C385" s="4">
        <v>179</v>
      </c>
      <c r="D385" s="8">
        <v>3.6</v>
      </c>
      <c r="E385" s="4">
        <v>134</v>
      </c>
      <c r="F385" s="8">
        <v>5.58</v>
      </c>
      <c r="G385" s="4">
        <v>42</v>
      </c>
      <c r="H385" s="8">
        <v>1.67</v>
      </c>
      <c r="I385" s="4">
        <v>0</v>
      </c>
    </row>
    <row r="386" spans="1:9" x14ac:dyDescent="0.2">
      <c r="A386" s="2">
        <v>10</v>
      </c>
      <c r="B386" s="1" t="s">
        <v>221</v>
      </c>
      <c r="C386" s="4">
        <v>140</v>
      </c>
      <c r="D386" s="8">
        <v>2.81</v>
      </c>
      <c r="E386" s="4">
        <v>53</v>
      </c>
      <c r="F386" s="8">
        <v>2.21</v>
      </c>
      <c r="G386" s="4">
        <v>87</v>
      </c>
      <c r="H386" s="8">
        <v>3.45</v>
      </c>
      <c r="I386" s="4">
        <v>0</v>
      </c>
    </row>
    <row r="387" spans="1:9" x14ac:dyDescent="0.2">
      <c r="A387" s="2">
        <v>11</v>
      </c>
      <c r="B387" s="1" t="s">
        <v>220</v>
      </c>
      <c r="C387" s="4">
        <v>135</v>
      </c>
      <c r="D387" s="8">
        <v>2.71</v>
      </c>
      <c r="E387" s="4">
        <v>38</v>
      </c>
      <c r="F387" s="8">
        <v>1.58</v>
      </c>
      <c r="G387" s="4">
        <v>97</v>
      </c>
      <c r="H387" s="8">
        <v>3.85</v>
      </c>
      <c r="I387" s="4">
        <v>0</v>
      </c>
    </row>
    <row r="388" spans="1:9" x14ac:dyDescent="0.2">
      <c r="A388" s="2">
        <v>12</v>
      </c>
      <c r="B388" s="1" t="s">
        <v>222</v>
      </c>
      <c r="C388" s="4">
        <v>131</v>
      </c>
      <c r="D388" s="8">
        <v>2.63</v>
      </c>
      <c r="E388" s="4">
        <v>52</v>
      </c>
      <c r="F388" s="8">
        <v>2.16</v>
      </c>
      <c r="G388" s="4">
        <v>79</v>
      </c>
      <c r="H388" s="8">
        <v>3.13</v>
      </c>
      <c r="I388" s="4">
        <v>0</v>
      </c>
    </row>
    <row r="389" spans="1:9" x14ac:dyDescent="0.2">
      <c r="A389" s="2">
        <v>13</v>
      </c>
      <c r="B389" s="1" t="s">
        <v>226</v>
      </c>
      <c r="C389" s="4">
        <v>129</v>
      </c>
      <c r="D389" s="8">
        <v>2.59</v>
      </c>
      <c r="E389" s="4">
        <v>50</v>
      </c>
      <c r="F389" s="8">
        <v>2.08</v>
      </c>
      <c r="G389" s="4">
        <v>79</v>
      </c>
      <c r="H389" s="8">
        <v>3.13</v>
      </c>
      <c r="I389" s="4">
        <v>0</v>
      </c>
    </row>
    <row r="390" spans="1:9" x14ac:dyDescent="0.2">
      <c r="A390" s="2">
        <v>14</v>
      </c>
      <c r="B390" s="1" t="s">
        <v>225</v>
      </c>
      <c r="C390" s="4">
        <v>113</v>
      </c>
      <c r="D390" s="8">
        <v>2.27</v>
      </c>
      <c r="E390" s="4">
        <v>72</v>
      </c>
      <c r="F390" s="8">
        <v>3</v>
      </c>
      <c r="G390" s="4">
        <v>40</v>
      </c>
      <c r="H390" s="8">
        <v>1.59</v>
      </c>
      <c r="I390" s="4">
        <v>1</v>
      </c>
    </row>
    <row r="391" spans="1:9" x14ac:dyDescent="0.2">
      <c r="A391" s="2">
        <v>15</v>
      </c>
      <c r="B391" s="1" t="s">
        <v>218</v>
      </c>
      <c r="C391" s="4">
        <v>101</v>
      </c>
      <c r="D391" s="8">
        <v>2.0299999999999998</v>
      </c>
      <c r="E391" s="4">
        <v>6</v>
      </c>
      <c r="F391" s="8">
        <v>0.25</v>
      </c>
      <c r="G391" s="4">
        <v>95</v>
      </c>
      <c r="H391" s="8">
        <v>3.77</v>
      </c>
      <c r="I391" s="4">
        <v>0</v>
      </c>
    </row>
    <row r="392" spans="1:9" x14ac:dyDescent="0.2">
      <c r="A392" s="2">
        <v>16</v>
      </c>
      <c r="B392" s="1" t="s">
        <v>219</v>
      </c>
      <c r="C392" s="4">
        <v>89</v>
      </c>
      <c r="D392" s="8">
        <v>1.79</v>
      </c>
      <c r="E392" s="4">
        <v>13</v>
      </c>
      <c r="F392" s="8">
        <v>0.54</v>
      </c>
      <c r="G392" s="4">
        <v>76</v>
      </c>
      <c r="H392" s="8">
        <v>3.02</v>
      </c>
      <c r="I392" s="4">
        <v>0</v>
      </c>
    </row>
    <row r="393" spans="1:9" x14ac:dyDescent="0.2">
      <c r="A393" s="2">
        <v>17</v>
      </c>
      <c r="B393" s="1" t="s">
        <v>240</v>
      </c>
      <c r="C393" s="4">
        <v>82</v>
      </c>
      <c r="D393" s="8">
        <v>1.65</v>
      </c>
      <c r="E393" s="4">
        <v>52</v>
      </c>
      <c r="F393" s="8">
        <v>2.16</v>
      </c>
      <c r="G393" s="4">
        <v>30</v>
      </c>
      <c r="H393" s="8">
        <v>1.19</v>
      </c>
      <c r="I393" s="4">
        <v>0</v>
      </c>
    </row>
    <row r="394" spans="1:9" x14ac:dyDescent="0.2">
      <c r="A394" s="2">
        <v>18</v>
      </c>
      <c r="B394" s="1" t="s">
        <v>217</v>
      </c>
      <c r="C394" s="4">
        <v>68</v>
      </c>
      <c r="D394" s="8">
        <v>1.37</v>
      </c>
      <c r="E394" s="4">
        <v>6</v>
      </c>
      <c r="F394" s="8">
        <v>0.25</v>
      </c>
      <c r="G394" s="4">
        <v>62</v>
      </c>
      <c r="H394" s="8">
        <v>2.46</v>
      </c>
      <c r="I394" s="4">
        <v>0</v>
      </c>
    </row>
    <row r="395" spans="1:9" x14ac:dyDescent="0.2">
      <c r="A395" s="2">
        <v>19</v>
      </c>
      <c r="B395" s="1" t="s">
        <v>232</v>
      </c>
      <c r="C395" s="4">
        <v>67</v>
      </c>
      <c r="D395" s="8">
        <v>1.35</v>
      </c>
      <c r="E395" s="4">
        <v>2</v>
      </c>
      <c r="F395" s="8">
        <v>0.08</v>
      </c>
      <c r="G395" s="4">
        <v>64</v>
      </c>
      <c r="H395" s="8">
        <v>2.54</v>
      </c>
      <c r="I395" s="4">
        <v>1</v>
      </c>
    </row>
    <row r="396" spans="1:9" x14ac:dyDescent="0.2">
      <c r="A396" s="2">
        <v>20</v>
      </c>
      <c r="B396" s="1" t="s">
        <v>237</v>
      </c>
      <c r="C396" s="4">
        <v>66</v>
      </c>
      <c r="D396" s="8">
        <v>1.33</v>
      </c>
      <c r="E396" s="4">
        <v>11</v>
      </c>
      <c r="F396" s="8">
        <v>0.46</v>
      </c>
      <c r="G396" s="4">
        <v>55</v>
      </c>
      <c r="H396" s="8">
        <v>2.1800000000000002</v>
      </c>
      <c r="I396" s="4">
        <v>0</v>
      </c>
    </row>
    <row r="397" spans="1:9" x14ac:dyDescent="0.2">
      <c r="A397" s="1"/>
      <c r="C397" s="4"/>
      <c r="D397" s="8"/>
      <c r="E397" s="4"/>
      <c r="F397" s="8"/>
      <c r="G397" s="4"/>
      <c r="H397" s="8"/>
      <c r="I397" s="4"/>
    </row>
    <row r="398" spans="1:9" x14ac:dyDescent="0.2">
      <c r="A398" s="1" t="s">
        <v>18</v>
      </c>
      <c r="C398" s="4"/>
      <c r="D398" s="8"/>
      <c r="E398" s="4"/>
      <c r="F398" s="8"/>
      <c r="G398" s="4"/>
      <c r="H398" s="8"/>
      <c r="I398" s="4"/>
    </row>
    <row r="399" spans="1:9" x14ac:dyDescent="0.2">
      <c r="A399" s="2">
        <v>1</v>
      </c>
      <c r="B399" s="1" t="s">
        <v>227</v>
      </c>
      <c r="C399" s="4">
        <v>368</v>
      </c>
      <c r="D399" s="8">
        <v>13.12</v>
      </c>
      <c r="E399" s="4">
        <v>321</v>
      </c>
      <c r="F399" s="8">
        <v>24.58</v>
      </c>
      <c r="G399" s="4">
        <v>46</v>
      </c>
      <c r="H399" s="8">
        <v>3.14</v>
      </c>
      <c r="I399" s="4">
        <v>1</v>
      </c>
    </row>
    <row r="400" spans="1:9" x14ac:dyDescent="0.2">
      <c r="A400" s="2">
        <v>2</v>
      </c>
      <c r="B400" s="1" t="s">
        <v>228</v>
      </c>
      <c r="C400" s="4">
        <v>317</v>
      </c>
      <c r="D400" s="8">
        <v>11.3</v>
      </c>
      <c r="E400" s="4">
        <v>273</v>
      </c>
      <c r="F400" s="8">
        <v>20.9</v>
      </c>
      <c r="G400" s="4">
        <v>44</v>
      </c>
      <c r="H400" s="8">
        <v>3</v>
      </c>
      <c r="I400" s="4">
        <v>0</v>
      </c>
    </row>
    <row r="401" spans="1:9" x14ac:dyDescent="0.2">
      <c r="A401" s="2">
        <v>3</v>
      </c>
      <c r="B401" s="1" t="s">
        <v>224</v>
      </c>
      <c r="C401" s="4">
        <v>233</v>
      </c>
      <c r="D401" s="8">
        <v>8.31</v>
      </c>
      <c r="E401" s="4">
        <v>122</v>
      </c>
      <c r="F401" s="8">
        <v>9.34</v>
      </c>
      <c r="G401" s="4">
        <v>111</v>
      </c>
      <c r="H401" s="8">
        <v>7.58</v>
      </c>
      <c r="I401" s="4">
        <v>0</v>
      </c>
    </row>
    <row r="402" spans="1:9" x14ac:dyDescent="0.2">
      <c r="A402" s="2">
        <v>4</v>
      </c>
      <c r="B402" s="1" t="s">
        <v>223</v>
      </c>
      <c r="C402" s="4">
        <v>178</v>
      </c>
      <c r="D402" s="8">
        <v>6.35</v>
      </c>
      <c r="E402" s="4">
        <v>72</v>
      </c>
      <c r="F402" s="8">
        <v>5.51</v>
      </c>
      <c r="G402" s="4">
        <v>106</v>
      </c>
      <c r="H402" s="8">
        <v>7.24</v>
      </c>
      <c r="I402" s="4">
        <v>0</v>
      </c>
    </row>
    <row r="403" spans="1:9" x14ac:dyDescent="0.2">
      <c r="A403" s="2">
        <v>5</v>
      </c>
      <c r="B403" s="1" t="s">
        <v>213</v>
      </c>
      <c r="C403" s="4">
        <v>131</v>
      </c>
      <c r="D403" s="8">
        <v>4.67</v>
      </c>
      <c r="E403" s="4">
        <v>17</v>
      </c>
      <c r="F403" s="8">
        <v>1.3</v>
      </c>
      <c r="G403" s="4">
        <v>114</v>
      </c>
      <c r="H403" s="8">
        <v>7.78</v>
      </c>
      <c r="I403" s="4">
        <v>0</v>
      </c>
    </row>
    <row r="404" spans="1:9" x14ac:dyDescent="0.2">
      <c r="A404" s="2">
        <v>6</v>
      </c>
      <c r="B404" s="1" t="s">
        <v>214</v>
      </c>
      <c r="C404" s="4">
        <v>119</v>
      </c>
      <c r="D404" s="8">
        <v>4.24</v>
      </c>
      <c r="E404" s="4">
        <v>39</v>
      </c>
      <c r="F404" s="8">
        <v>2.99</v>
      </c>
      <c r="G404" s="4">
        <v>80</v>
      </c>
      <c r="H404" s="8">
        <v>5.46</v>
      </c>
      <c r="I404" s="4">
        <v>0</v>
      </c>
    </row>
    <row r="405" spans="1:9" x14ac:dyDescent="0.2">
      <c r="A405" s="2">
        <v>7</v>
      </c>
      <c r="B405" s="1" t="s">
        <v>221</v>
      </c>
      <c r="C405" s="4">
        <v>95</v>
      </c>
      <c r="D405" s="8">
        <v>3.39</v>
      </c>
      <c r="E405" s="4">
        <v>46</v>
      </c>
      <c r="F405" s="8">
        <v>3.52</v>
      </c>
      <c r="G405" s="4">
        <v>49</v>
      </c>
      <c r="H405" s="8">
        <v>3.34</v>
      </c>
      <c r="I405" s="4">
        <v>0</v>
      </c>
    </row>
    <row r="406" spans="1:9" x14ac:dyDescent="0.2">
      <c r="A406" s="2">
        <v>8</v>
      </c>
      <c r="B406" s="1" t="s">
        <v>220</v>
      </c>
      <c r="C406" s="4">
        <v>94</v>
      </c>
      <c r="D406" s="8">
        <v>3.35</v>
      </c>
      <c r="E406" s="4">
        <v>34</v>
      </c>
      <c r="F406" s="8">
        <v>2.6</v>
      </c>
      <c r="G406" s="4">
        <v>60</v>
      </c>
      <c r="H406" s="8">
        <v>4.0999999999999996</v>
      </c>
      <c r="I406" s="4">
        <v>0</v>
      </c>
    </row>
    <row r="407" spans="1:9" x14ac:dyDescent="0.2">
      <c r="A407" s="2">
        <v>9</v>
      </c>
      <c r="B407" s="1" t="s">
        <v>231</v>
      </c>
      <c r="C407" s="4">
        <v>93</v>
      </c>
      <c r="D407" s="8">
        <v>3.32</v>
      </c>
      <c r="E407" s="4">
        <v>85</v>
      </c>
      <c r="F407" s="8">
        <v>6.51</v>
      </c>
      <c r="G407" s="4">
        <v>8</v>
      </c>
      <c r="H407" s="8">
        <v>0.55000000000000004</v>
      </c>
      <c r="I407" s="4">
        <v>0</v>
      </c>
    </row>
    <row r="408" spans="1:9" x14ac:dyDescent="0.2">
      <c r="A408" s="2">
        <v>10</v>
      </c>
      <c r="B408" s="1" t="s">
        <v>232</v>
      </c>
      <c r="C408" s="4">
        <v>90</v>
      </c>
      <c r="D408" s="8">
        <v>3.21</v>
      </c>
      <c r="E408" s="4">
        <v>0</v>
      </c>
      <c r="F408" s="8">
        <v>0</v>
      </c>
      <c r="G408" s="4">
        <v>71</v>
      </c>
      <c r="H408" s="8">
        <v>4.8499999999999996</v>
      </c>
      <c r="I408" s="4">
        <v>2</v>
      </c>
    </row>
    <row r="409" spans="1:9" x14ac:dyDescent="0.2">
      <c r="A409" s="2">
        <v>11</v>
      </c>
      <c r="B409" s="1" t="s">
        <v>215</v>
      </c>
      <c r="C409" s="4">
        <v>84</v>
      </c>
      <c r="D409" s="8">
        <v>2.99</v>
      </c>
      <c r="E409" s="4">
        <v>18</v>
      </c>
      <c r="F409" s="8">
        <v>1.38</v>
      </c>
      <c r="G409" s="4">
        <v>66</v>
      </c>
      <c r="H409" s="8">
        <v>4.51</v>
      </c>
      <c r="I409" s="4">
        <v>0</v>
      </c>
    </row>
    <row r="410" spans="1:9" x14ac:dyDescent="0.2">
      <c r="A410" s="2">
        <v>11</v>
      </c>
      <c r="B410" s="1" t="s">
        <v>222</v>
      </c>
      <c r="C410" s="4">
        <v>84</v>
      </c>
      <c r="D410" s="8">
        <v>2.99</v>
      </c>
      <c r="E410" s="4">
        <v>35</v>
      </c>
      <c r="F410" s="8">
        <v>2.68</v>
      </c>
      <c r="G410" s="4">
        <v>49</v>
      </c>
      <c r="H410" s="8">
        <v>3.34</v>
      </c>
      <c r="I410" s="4">
        <v>0</v>
      </c>
    </row>
    <row r="411" spans="1:9" x14ac:dyDescent="0.2">
      <c r="A411" s="2">
        <v>13</v>
      </c>
      <c r="B411" s="1" t="s">
        <v>218</v>
      </c>
      <c r="C411" s="4">
        <v>67</v>
      </c>
      <c r="D411" s="8">
        <v>2.39</v>
      </c>
      <c r="E411" s="4">
        <v>6</v>
      </c>
      <c r="F411" s="8">
        <v>0.46</v>
      </c>
      <c r="G411" s="4">
        <v>61</v>
      </c>
      <c r="H411" s="8">
        <v>4.16</v>
      </c>
      <c r="I411" s="4">
        <v>0</v>
      </c>
    </row>
    <row r="412" spans="1:9" x14ac:dyDescent="0.2">
      <c r="A412" s="2">
        <v>14</v>
      </c>
      <c r="B412" s="1" t="s">
        <v>219</v>
      </c>
      <c r="C412" s="4">
        <v>55</v>
      </c>
      <c r="D412" s="8">
        <v>1.96</v>
      </c>
      <c r="E412" s="4">
        <v>10</v>
      </c>
      <c r="F412" s="8">
        <v>0.77</v>
      </c>
      <c r="G412" s="4">
        <v>45</v>
      </c>
      <c r="H412" s="8">
        <v>3.07</v>
      </c>
      <c r="I412" s="4">
        <v>0</v>
      </c>
    </row>
    <row r="413" spans="1:9" x14ac:dyDescent="0.2">
      <c r="A413" s="2">
        <v>14</v>
      </c>
      <c r="B413" s="1" t="s">
        <v>230</v>
      </c>
      <c r="C413" s="4">
        <v>55</v>
      </c>
      <c r="D413" s="8">
        <v>1.96</v>
      </c>
      <c r="E413" s="4">
        <v>30</v>
      </c>
      <c r="F413" s="8">
        <v>2.2999999999999998</v>
      </c>
      <c r="G413" s="4">
        <v>18</v>
      </c>
      <c r="H413" s="8">
        <v>1.23</v>
      </c>
      <c r="I413" s="4">
        <v>0</v>
      </c>
    </row>
    <row r="414" spans="1:9" x14ac:dyDescent="0.2">
      <c r="A414" s="2">
        <v>16</v>
      </c>
      <c r="B414" s="1" t="s">
        <v>226</v>
      </c>
      <c r="C414" s="4">
        <v>49</v>
      </c>
      <c r="D414" s="8">
        <v>1.75</v>
      </c>
      <c r="E414" s="4">
        <v>16</v>
      </c>
      <c r="F414" s="8">
        <v>1.23</v>
      </c>
      <c r="G414" s="4">
        <v>32</v>
      </c>
      <c r="H414" s="8">
        <v>2.1800000000000002</v>
      </c>
      <c r="I414" s="4">
        <v>0</v>
      </c>
    </row>
    <row r="415" spans="1:9" x14ac:dyDescent="0.2">
      <c r="A415" s="2">
        <v>17</v>
      </c>
      <c r="B415" s="1" t="s">
        <v>217</v>
      </c>
      <c r="C415" s="4">
        <v>47</v>
      </c>
      <c r="D415" s="8">
        <v>1.68</v>
      </c>
      <c r="E415" s="4">
        <v>9</v>
      </c>
      <c r="F415" s="8">
        <v>0.69</v>
      </c>
      <c r="G415" s="4">
        <v>38</v>
      </c>
      <c r="H415" s="8">
        <v>2.59</v>
      </c>
      <c r="I415" s="4">
        <v>0</v>
      </c>
    </row>
    <row r="416" spans="1:9" x14ac:dyDescent="0.2">
      <c r="A416" s="2">
        <v>18</v>
      </c>
      <c r="B416" s="1" t="s">
        <v>225</v>
      </c>
      <c r="C416" s="4">
        <v>45</v>
      </c>
      <c r="D416" s="8">
        <v>1.6</v>
      </c>
      <c r="E416" s="4">
        <v>29</v>
      </c>
      <c r="F416" s="8">
        <v>2.2200000000000002</v>
      </c>
      <c r="G416" s="4">
        <v>16</v>
      </c>
      <c r="H416" s="8">
        <v>1.0900000000000001</v>
      </c>
      <c r="I416" s="4">
        <v>0</v>
      </c>
    </row>
    <row r="417" spans="1:9" x14ac:dyDescent="0.2">
      <c r="A417" s="2">
        <v>19</v>
      </c>
      <c r="B417" s="1" t="s">
        <v>242</v>
      </c>
      <c r="C417" s="4">
        <v>39</v>
      </c>
      <c r="D417" s="8">
        <v>1.39</v>
      </c>
      <c r="E417" s="4">
        <v>16</v>
      </c>
      <c r="F417" s="8">
        <v>1.23</v>
      </c>
      <c r="G417" s="4">
        <v>23</v>
      </c>
      <c r="H417" s="8">
        <v>1.57</v>
      </c>
      <c r="I417" s="4">
        <v>0</v>
      </c>
    </row>
    <row r="418" spans="1:9" x14ac:dyDescent="0.2">
      <c r="A418" s="2">
        <v>20</v>
      </c>
      <c r="B418" s="1" t="s">
        <v>243</v>
      </c>
      <c r="C418" s="4">
        <v>38</v>
      </c>
      <c r="D418" s="8">
        <v>1.35</v>
      </c>
      <c r="E418" s="4">
        <v>23</v>
      </c>
      <c r="F418" s="8">
        <v>1.76</v>
      </c>
      <c r="G418" s="4">
        <v>15</v>
      </c>
      <c r="H418" s="8">
        <v>1.02</v>
      </c>
      <c r="I418" s="4">
        <v>0</v>
      </c>
    </row>
    <row r="419" spans="1:9" x14ac:dyDescent="0.2">
      <c r="A419" s="2">
        <v>20</v>
      </c>
      <c r="B419" s="1" t="s">
        <v>240</v>
      </c>
      <c r="C419" s="4">
        <v>38</v>
      </c>
      <c r="D419" s="8">
        <v>1.35</v>
      </c>
      <c r="E419" s="4">
        <v>16</v>
      </c>
      <c r="F419" s="8">
        <v>1.23</v>
      </c>
      <c r="G419" s="4">
        <v>22</v>
      </c>
      <c r="H419" s="8">
        <v>1.5</v>
      </c>
      <c r="I419" s="4">
        <v>0</v>
      </c>
    </row>
    <row r="420" spans="1:9" x14ac:dyDescent="0.2">
      <c r="A420" s="1"/>
      <c r="C420" s="4"/>
      <c r="D420" s="8"/>
      <c r="E420" s="4"/>
      <c r="F420" s="8"/>
      <c r="G420" s="4"/>
      <c r="H420" s="8"/>
      <c r="I420" s="4"/>
    </row>
    <row r="421" spans="1:9" x14ac:dyDescent="0.2">
      <c r="A421" s="1" t="s">
        <v>19</v>
      </c>
      <c r="C421" s="4"/>
      <c r="D421" s="8"/>
      <c r="E421" s="4"/>
      <c r="F421" s="8"/>
      <c r="G421" s="4"/>
      <c r="H421" s="8"/>
      <c r="I421" s="4"/>
    </row>
    <row r="422" spans="1:9" x14ac:dyDescent="0.2">
      <c r="A422" s="2">
        <v>1</v>
      </c>
      <c r="B422" s="1" t="s">
        <v>228</v>
      </c>
      <c r="C422" s="4">
        <v>34</v>
      </c>
      <c r="D422" s="8">
        <v>17.8</v>
      </c>
      <c r="E422" s="4">
        <v>30</v>
      </c>
      <c r="F422" s="8">
        <v>28.3</v>
      </c>
      <c r="G422" s="4">
        <v>2</v>
      </c>
      <c r="H422" s="8">
        <v>2.56</v>
      </c>
      <c r="I422" s="4">
        <v>2</v>
      </c>
    </row>
    <row r="423" spans="1:9" x14ac:dyDescent="0.2">
      <c r="A423" s="2">
        <v>2</v>
      </c>
      <c r="B423" s="1" t="s">
        <v>223</v>
      </c>
      <c r="C423" s="4">
        <v>28</v>
      </c>
      <c r="D423" s="8">
        <v>14.66</v>
      </c>
      <c r="E423" s="4">
        <v>14</v>
      </c>
      <c r="F423" s="8">
        <v>13.21</v>
      </c>
      <c r="G423" s="4">
        <v>14</v>
      </c>
      <c r="H423" s="8">
        <v>17.95</v>
      </c>
      <c r="I423" s="4">
        <v>0</v>
      </c>
    </row>
    <row r="424" spans="1:9" x14ac:dyDescent="0.2">
      <c r="A424" s="2">
        <v>3</v>
      </c>
      <c r="B424" s="1" t="s">
        <v>227</v>
      </c>
      <c r="C424" s="4">
        <v>27</v>
      </c>
      <c r="D424" s="8">
        <v>14.14</v>
      </c>
      <c r="E424" s="4">
        <v>24</v>
      </c>
      <c r="F424" s="8">
        <v>22.64</v>
      </c>
      <c r="G424" s="4">
        <v>3</v>
      </c>
      <c r="H424" s="8">
        <v>3.85</v>
      </c>
      <c r="I424" s="4">
        <v>0</v>
      </c>
    </row>
    <row r="425" spans="1:9" x14ac:dyDescent="0.2">
      <c r="A425" s="2">
        <v>4</v>
      </c>
      <c r="B425" s="1" t="s">
        <v>221</v>
      </c>
      <c r="C425" s="4">
        <v>20</v>
      </c>
      <c r="D425" s="8">
        <v>10.47</v>
      </c>
      <c r="E425" s="4">
        <v>11</v>
      </c>
      <c r="F425" s="8">
        <v>10.38</v>
      </c>
      <c r="G425" s="4">
        <v>9</v>
      </c>
      <c r="H425" s="8">
        <v>11.54</v>
      </c>
      <c r="I425" s="4">
        <v>0</v>
      </c>
    </row>
    <row r="426" spans="1:9" x14ac:dyDescent="0.2">
      <c r="A426" s="2">
        <v>5</v>
      </c>
      <c r="B426" s="1" t="s">
        <v>232</v>
      </c>
      <c r="C426" s="4">
        <v>13</v>
      </c>
      <c r="D426" s="8">
        <v>6.81</v>
      </c>
      <c r="E426" s="4">
        <v>0</v>
      </c>
      <c r="F426" s="8">
        <v>0</v>
      </c>
      <c r="G426" s="4">
        <v>9</v>
      </c>
      <c r="H426" s="8">
        <v>11.54</v>
      </c>
      <c r="I426" s="4">
        <v>0</v>
      </c>
    </row>
    <row r="427" spans="1:9" x14ac:dyDescent="0.2">
      <c r="A427" s="2">
        <v>6</v>
      </c>
      <c r="B427" s="1" t="s">
        <v>213</v>
      </c>
      <c r="C427" s="4">
        <v>7</v>
      </c>
      <c r="D427" s="8">
        <v>3.66</v>
      </c>
      <c r="E427" s="4">
        <v>1</v>
      </c>
      <c r="F427" s="8">
        <v>0.94</v>
      </c>
      <c r="G427" s="4">
        <v>6</v>
      </c>
      <c r="H427" s="8">
        <v>7.69</v>
      </c>
      <c r="I427" s="4">
        <v>0</v>
      </c>
    </row>
    <row r="428" spans="1:9" x14ac:dyDescent="0.2">
      <c r="A428" s="2">
        <v>7</v>
      </c>
      <c r="B428" s="1" t="s">
        <v>240</v>
      </c>
      <c r="C428" s="4">
        <v>6</v>
      </c>
      <c r="D428" s="8">
        <v>3.14</v>
      </c>
      <c r="E428" s="4">
        <v>5</v>
      </c>
      <c r="F428" s="8">
        <v>4.72</v>
      </c>
      <c r="G428" s="4">
        <v>1</v>
      </c>
      <c r="H428" s="8">
        <v>1.28</v>
      </c>
      <c r="I428" s="4">
        <v>0</v>
      </c>
    </row>
    <row r="429" spans="1:9" x14ac:dyDescent="0.2">
      <c r="A429" s="2">
        <v>8</v>
      </c>
      <c r="B429" s="1" t="s">
        <v>215</v>
      </c>
      <c r="C429" s="4">
        <v>5</v>
      </c>
      <c r="D429" s="8">
        <v>2.62</v>
      </c>
      <c r="E429" s="4">
        <v>0</v>
      </c>
      <c r="F429" s="8">
        <v>0</v>
      </c>
      <c r="G429" s="4">
        <v>5</v>
      </c>
      <c r="H429" s="8">
        <v>6.41</v>
      </c>
      <c r="I429" s="4">
        <v>0</v>
      </c>
    </row>
    <row r="430" spans="1:9" x14ac:dyDescent="0.2">
      <c r="A430" s="2">
        <v>8</v>
      </c>
      <c r="B430" s="1" t="s">
        <v>222</v>
      </c>
      <c r="C430" s="4">
        <v>5</v>
      </c>
      <c r="D430" s="8">
        <v>2.62</v>
      </c>
      <c r="E430" s="4">
        <v>2</v>
      </c>
      <c r="F430" s="8">
        <v>1.89</v>
      </c>
      <c r="G430" s="4">
        <v>3</v>
      </c>
      <c r="H430" s="8">
        <v>3.85</v>
      </c>
      <c r="I430" s="4">
        <v>0</v>
      </c>
    </row>
    <row r="431" spans="1:9" x14ac:dyDescent="0.2">
      <c r="A431" s="2">
        <v>8</v>
      </c>
      <c r="B431" s="1" t="s">
        <v>231</v>
      </c>
      <c r="C431" s="4">
        <v>5</v>
      </c>
      <c r="D431" s="8">
        <v>2.62</v>
      </c>
      <c r="E431" s="4">
        <v>5</v>
      </c>
      <c r="F431" s="8">
        <v>4.72</v>
      </c>
      <c r="G431" s="4">
        <v>0</v>
      </c>
      <c r="H431" s="8">
        <v>0</v>
      </c>
      <c r="I431" s="4">
        <v>0</v>
      </c>
    </row>
    <row r="432" spans="1:9" x14ac:dyDescent="0.2">
      <c r="A432" s="2">
        <v>11</v>
      </c>
      <c r="B432" s="1" t="s">
        <v>220</v>
      </c>
      <c r="C432" s="4">
        <v>4</v>
      </c>
      <c r="D432" s="8">
        <v>2.09</v>
      </c>
      <c r="E432" s="4">
        <v>4</v>
      </c>
      <c r="F432" s="8">
        <v>3.77</v>
      </c>
      <c r="G432" s="4">
        <v>0</v>
      </c>
      <c r="H432" s="8">
        <v>0</v>
      </c>
      <c r="I432" s="4">
        <v>0</v>
      </c>
    </row>
    <row r="433" spans="1:9" x14ac:dyDescent="0.2">
      <c r="A433" s="2">
        <v>12</v>
      </c>
      <c r="B433" s="1" t="s">
        <v>241</v>
      </c>
      <c r="C433" s="4">
        <v>3</v>
      </c>
      <c r="D433" s="8">
        <v>1.57</v>
      </c>
      <c r="E433" s="4">
        <v>0</v>
      </c>
      <c r="F433" s="8">
        <v>0</v>
      </c>
      <c r="G433" s="4">
        <v>3</v>
      </c>
      <c r="H433" s="8">
        <v>3.85</v>
      </c>
      <c r="I433" s="4">
        <v>0</v>
      </c>
    </row>
    <row r="434" spans="1:9" x14ac:dyDescent="0.2">
      <c r="A434" s="2">
        <v>12</v>
      </c>
      <c r="B434" s="1" t="s">
        <v>224</v>
      </c>
      <c r="C434" s="4">
        <v>3</v>
      </c>
      <c r="D434" s="8">
        <v>1.57</v>
      </c>
      <c r="E434" s="4">
        <v>1</v>
      </c>
      <c r="F434" s="8">
        <v>0.94</v>
      </c>
      <c r="G434" s="4">
        <v>2</v>
      </c>
      <c r="H434" s="8">
        <v>2.56</v>
      </c>
      <c r="I434" s="4">
        <v>0</v>
      </c>
    </row>
    <row r="435" spans="1:9" x14ac:dyDescent="0.2">
      <c r="A435" s="2">
        <v>12</v>
      </c>
      <c r="B435" s="1" t="s">
        <v>246</v>
      </c>
      <c r="C435" s="4">
        <v>3</v>
      </c>
      <c r="D435" s="8">
        <v>1.57</v>
      </c>
      <c r="E435" s="4">
        <v>1</v>
      </c>
      <c r="F435" s="8">
        <v>0.94</v>
      </c>
      <c r="G435" s="4">
        <v>2</v>
      </c>
      <c r="H435" s="8">
        <v>2.56</v>
      </c>
      <c r="I435" s="4">
        <v>0</v>
      </c>
    </row>
    <row r="436" spans="1:9" x14ac:dyDescent="0.2">
      <c r="A436" s="2">
        <v>12</v>
      </c>
      <c r="B436" s="1" t="s">
        <v>243</v>
      </c>
      <c r="C436" s="4">
        <v>3</v>
      </c>
      <c r="D436" s="8">
        <v>1.57</v>
      </c>
      <c r="E436" s="4">
        <v>3</v>
      </c>
      <c r="F436" s="8">
        <v>2.83</v>
      </c>
      <c r="G436" s="4">
        <v>0</v>
      </c>
      <c r="H436" s="8">
        <v>0</v>
      </c>
      <c r="I436" s="4">
        <v>0</v>
      </c>
    </row>
    <row r="437" spans="1:9" x14ac:dyDescent="0.2">
      <c r="A437" s="2">
        <v>12</v>
      </c>
      <c r="B437" s="1" t="s">
        <v>230</v>
      </c>
      <c r="C437" s="4">
        <v>3</v>
      </c>
      <c r="D437" s="8">
        <v>1.57</v>
      </c>
      <c r="E437" s="4">
        <v>0</v>
      </c>
      <c r="F437" s="8">
        <v>0</v>
      </c>
      <c r="G437" s="4">
        <v>2</v>
      </c>
      <c r="H437" s="8">
        <v>2.56</v>
      </c>
      <c r="I437" s="4">
        <v>0</v>
      </c>
    </row>
    <row r="438" spans="1:9" x14ac:dyDescent="0.2">
      <c r="A438" s="2">
        <v>17</v>
      </c>
      <c r="B438" s="1" t="s">
        <v>214</v>
      </c>
      <c r="C438" s="4">
        <v>2</v>
      </c>
      <c r="D438" s="8">
        <v>1.05</v>
      </c>
      <c r="E438" s="4">
        <v>0</v>
      </c>
      <c r="F438" s="8">
        <v>0</v>
      </c>
      <c r="G438" s="4">
        <v>2</v>
      </c>
      <c r="H438" s="8">
        <v>2.56</v>
      </c>
      <c r="I438" s="4">
        <v>0</v>
      </c>
    </row>
    <row r="439" spans="1:9" x14ac:dyDescent="0.2">
      <c r="A439" s="2">
        <v>17</v>
      </c>
      <c r="B439" s="1" t="s">
        <v>244</v>
      </c>
      <c r="C439" s="4">
        <v>2</v>
      </c>
      <c r="D439" s="8">
        <v>1.05</v>
      </c>
      <c r="E439" s="4">
        <v>0</v>
      </c>
      <c r="F439" s="8">
        <v>0</v>
      </c>
      <c r="G439" s="4">
        <v>2</v>
      </c>
      <c r="H439" s="8">
        <v>2.56</v>
      </c>
      <c r="I439" s="4">
        <v>0</v>
      </c>
    </row>
    <row r="440" spans="1:9" x14ac:dyDescent="0.2">
      <c r="A440" s="2">
        <v>17</v>
      </c>
      <c r="B440" s="1" t="s">
        <v>245</v>
      </c>
      <c r="C440" s="4">
        <v>2</v>
      </c>
      <c r="D440" s="8">
        <v>1.05</v>
      </c>
      <c r="E440" s="4">
        <v>0</v>
      </c>
      <c r="F440" s="8">
        <v>0</v>
      </c>
      <c r="G440" s="4">
        <v>2</v>
      </c>
      <c r="H440" s="8">
        <v>2.56</v>
      </c>
      <c r="I440" s="4">
        <v>0</v>
      </c>
    </row>
    <row r="441" spans="1:9" x14ac:dyDescent="0.2">
      <c r="A441" s="2">
        <v>17</v>
      </c>
      <c r="B441" s="1" t="s">
        <v>217</v>
      </c>
      <c r="C441" s="4">
        <v>2</v>
      </c>
      <c r="D441" s="8">
        <v>1.05</v>
      </c>
      <c r="E441" s="4">
        <v>2</v>
      </c>
      <c r="F441" s="8">
        <v>1.89</v>
      </c>
      <c r="G441" s="4">
        <v>0</v>
      </c>
      <c r="H441" s="8">
        <v>0</v>
      </c>
      <c r="I441" s="4">
        <v>0</v>
      </c>
    </row>
    <row r="442" spans="1:9" x14ac:dyDescent="0.2">
      <c r="A442" s="2">
        <v>17</v>
      </c>
      <c r="B442" s="1" t="s">
        <v>225</v>
      </c>
      <c r="C442" s="4">
        <v>2</v>
      </c>
      <c r="D442" s="8">
        <v>1.05</v>
      </c>
      <c r="E442" s="4">
        <v>1</v>
      </c>
      <c r="F442" s="8">
        <v>0.94</v>
      </c>
      <c r="G442" s="4">
        <v>1</v>
      </c>
      <c r="H442" s="8">
        <v>1.28</v>
      </c>
      <c r="I442" s="4">
        <v>0</v>
      </c>
    </row>
    <row r="443" spans="1:9" x14ac:dyDescent="0.2">
      <c r="A443" s="2">
        <v>17</v>
      </c>
      <c r="B443" s="1" t="s">
        <v>229</v>
      </c>
      <c r="C443" s="4">
        <v>2</v>
      </c>
      <c r="D443" s="8">
        <v>1.05</v>
      </c>
      <c r="E443" s="4">
        <v>1</v>
      </c>
      <c r="F443" s="8">
        <v>0.94</v>
      </c>
      <c r="G443" s="4">
        <v>1</v>
      </c>
      <c r="H443" s="8">
        <v>1.28</v>
      </c>
      <c r="I443" s="4">
        <v>0</v>
      </c>
    </row>
    <row r="444" spans="1:9" x14ac:dyDescent="0.2">
      <c r="A444" s="1"/>
      <c r="C444" s="4"/>
      <c r="D444" s="8"/>
      <c r="E444" s="4"/>
      <c r="F444" s="8"/>
      <c r="G444" s="4"/>
      <c r="H444" s="8"/>
      <c r="I444" s="4"/>
    </row>
    <row r="445" spans="1:9" x14ac:dyDescent="0.2">
      <c r="A445" s="1" t="s">
        <v>20</v>
      </c>
      <c r="C445" s="4"/>
      <c r="D445" s="8"/>
      <c r="E445" s="4"/>
      <c r="F445" s="8"/>
      <c r="G445" s="4"/>
      <c r="H445" s="8"/>
      <c r="I445" s="4"/>
    </row>
    <row r="446" spans="1:9" x14ac:dyDescent="0.2">
      <c r="A446" s="2">
        <v>1</v>
      </c>
      <c r="B446" s="1" t="s">
        <v>228</v>
      </c>
      <c r="C446" s="4">
        <v>198</v>
      </c>
      <c r="D446" s="8">
        <v>11.93</v>
      </c>
      <c r="E446" s="4">
        <v>171</v>
      </c>
      <c r="F446" s="8">
        <v>21.4</v>
      </c>
      <c r="G446" s="4">
        <v>27</v>
      </c>
      <c r="H446" s="8">
        <v>3.33</v>
      </c>
      <c r="I446" s="4">
        <v>0</v>
      </c>
    </row>
    <row r="447" spans="1:9" x14ac:dyDescent="0.2">
      <c r="A447" s="2">
        <v>2</v>
      </c>
      <c r="B447" s="1" t="s">
        <v>224</v>
      </c>
      <c r="C447" s="4">
        <v>195</v>
      </c>
      <c r="D447" s="8">
        <v>11.75</v>
      </c>
      <c r="E447" s="4">
        <v>123</v>
      </c>
      <c r="F447" s="8">
        <v>15.39</v>
      </c>
      <c r="G447" s="4">
        <v>71</v>
      </c>
      <c r="H447" s="8">
        <v>8.75</v>
      </c>
      <c r="I447" s="4">
        <v>0</v>
      </c>
    </row>
    <row r="448" spans="1:9" x14ac:dyDescent="0.2">
      <c r="A448" s="2">
        <v>3</v>
      </c>
      <c r="B448" s="1" t="s">
        <v>227</v>
      </c>
      <c r="C448" s="4">
        <v>187</v>
      </c>
      <c r="D448" s="8">
        <v>11.27</v>
      </c>
      <c r="E448" s="4">
        <v>162</v>
      </c>
      <c r="F448" s="8">
        <v>20.28</v>
      </c>
      <c r="G448" s="4">
        <v>25</v>
      </c>
      <c r="H448" s="8">
        <v>3.08</v>
      </c>
      <c r="I448" s="4">
        <v>0</v>
      </c>
    </row>
    <row r="449" spans="1:9" x14ac:dyDescent="0.2">
      <c r="A449" s="2">
        <v>4</v>
      </c>
      <c r="B449" s="1" t="s">
        <v>223</v>
      </c>
      <c r="C449" s="4">
        <v>93</v>
      </c>
      <c r="D449" s="8">
        <v>5.61</v>
      </c>
      <c r="E449" s="4">
        <v>32</v>
      </c>
      <c r="F449" s="8">
        <v>4.01</v>
      </c>
      <c r="G449" s="4">
        <v>61</v>
      </c>
      <c r="H449" s="8">
        <v>7.52</v>
      </c>
      <c r="I449" s="4">
        <v>0</v>
      </c>
    </row>
    <row r="450" spans="1:9" x14ac:dyDescent="0.2">
      <c r="A450" s="2">
        <v>5</v>
      </c>
      <c r="B450" s="1" t="s">
        <v>213</v>
      </c>
      <c r="C450" s="4">
        <v>86</v>
      </c>
      <c r="D450" s="8">
        <v>5.18</v>
      </c>
      <c r="E450" s="4">
        <v>5</v>
      </c>
      <c r="F450" s="8">
        <v>0.63</v>
      </c>
      <c r="G450" s="4">
        <v>81</v>
      </c>
      <c r="H450" s="8">
        <v>9.99</v>
      </c>
      <c r="I450" s="4">
        <v>0</v>
      </c>
    </row>
    <row r="451" spans="1:9" x14ac:dyDescent="0.2">
      <c r="A451" s="2">
        <v>6</v>
      </c>
      <c r="B451" s="1" t="s">
        <v>214</v>
      </c>
      <c r="C451" s="4">
        <v>82</v>
      </c>
      <c r="D451" s="8">
        <v>4.9400000000000004</v>
      </c>
      <c r="E451" s="4">
        <v>39</v>
      </c>
      <c r="F451" s="8">
        <v>4.88</v>
      </c>
      <c r="G451" s="4">
        <v>43</v>
      </c>
      <c r="H451" s="8">
        <v>5.3</v>
      </c>
      <c r="I451" s="4">
        <v>0</v>
      </c>
    </row>
    <row r="452" spans="1:9" x14ac:dyDescent="0.2">
      <c r="A452" s="2">
        <v>7</v>
      </c>
      <c r="B452" s="1" t="s">
        <v>221</v>
      </c>
      <c r="C452" s="4">
        <v>80</v>
      </c>
      <c r="D452" s="8">
        <v>4.82</v>
      </c>
      <c r="E452" s="4">
        <v>37</v>
      </c>
      <c r="F452" s="8">
        <v>4.63</v>
      </c>
      <c r="G452" s="4">
        <v>42</v>
      </c>
      <c r="H452" s="8">
        <v>5.18</v>
      </c>
      <c r="I452" s="4">
        <v>1</v>
      </c>
    </row>
    <row r="453" spans="1:9" x14ac:dyDescent="0.2">
      <c r="A453" s="2">
        <v>8</v>
      </c>
      <c r="B453" s="1" t="s">
        <v>231</v>
      </c>
      <c r="C453" s="4">
        <v>65</v>
      </c>
      <c r="D453" s="8">
        <v>3.92</v>
      </c>
      <c r="E453" s="4">
        <v>49</v>
      </c>
      <c r="F453" s="8">
        <v>6.13</v>
      </c>
      <c r="G453" s="4">
        <v>16</v>
      </c>
      <c r="H453" s="8">
        <v>1.97</v>
      </c>
      <c r="I453" s="4">
        <v>0</v>
      </c>
    </row>
    <row r="454" spans="1:9" x14ac:dyDescent="0.2">
      <c r="A454" s="2">
        <v>9</v>
      </c>
      <c r="B454" s="1" t="s">
        <v>232</v>
      </c>
      <c r="C454" s="4">
        <v>56</v>
      </c>
      <c r="D454" s="8">
        <v>3.38</v>
      </c>
      <c r="E454" s="4">
        <v>0</v>
      </c>
      <c r="F454" s="8">
        <v>0</v>
      </c>
      <c r="G454" s="4">
        <v>32</v>
      </c>
      <c r="H454" s="8">
        <v>3.95</v>
      </c>
      <c r="I454" s="4">
        <v>6</v>
      </c>
    </row>
    <row r="455" spans="1:9" x14ac:dyDescent="0.2">
      <c r="A455" s="2">
        <v>10</v>
      </c>
      <c r="B455" s="1" t="s">
        <v>222</v>
      </c>
      <c r="C455" s="4">
        <v>51</v>
      </c>
      <c r="D455" s="8">
        <v>3.07</v>
      </c>
      <c r="E455" s="4">
        <v>17</v>
      </c>
      <c r="F455" s="8">
        <v>2.13</v>
      </c>
      <c r="G455" s="4">
        <v>34</v>
      </c>
      <c r="H455" s="8">
        <v>4.1900000000000004</v>
      </c>
      <c r="I455" s="4">
        <v>0</v>
      </c>
    </row>
    <row r="456" spans="1:9" x14ac:dyDescent="0.2">
      <c r="A456" s="2">
        <v>11</v>
      </c>
      <c r="B456" s="1" t="s">
        <v>225</v>
      </c>
      <c r="C456" s="4">
        <v>49</v>
      </c>
      <c r="D456" s="8">
        <v>2.95</v>
      </c>
      <c r="E456" s="4">
        <v>35</v>
      </c>
      <c r="F456" s="8">
        <v>4.38</v>
      </c>
      <c r="G456" s="4">
        <v>12</v>
      </c>
      <c r="H456" s="8">
        <v>1.48</v>
      </c>
      <c r="I456" s="4">
        <v>2</v>
      </c>
    </row>
    <row r="457" spans="1:9" x14ac:dyDescent="0.2">
      <c r="A457" s="2">
        <v>12</v>
      </c>
      <c r="B457" s="1" t="s">
        <v>215</v>
      </c>
      <c r="C457" s="4">
        <v>48</v>
      </c>
      <c r="D457" s="8">
        <v>2.89</v>
      </c>
      <c r="E457" s="4">
        <v>7</v>
      </c>
      <c r="F457" s="8">
        <v>0.88</v>
      </c>
      <c r="G457" s="4">
        <v>41</v>
      </c>
      <c r="H457" s="8">
        <v>5.0599999999999996</v>
      </c>
      <c r="I457" s="4">
        <v>0</v>
      </c>
    </row>
    <row r="458" spans="1:9" x14ac:dyDescent="0.2">
      <c r="A458" s="2">
        <v>13</v>
      </c>
      <c r="B458" s="1" t="s">
        <v>230</v>
      </c>
      <c r="C458" s="4">
        <v>47</v>
      </c>
      <c r="D458" s="8">
        <v>2.83</v>
      </c>
      <c r="E458" s="4">
        <v>33</v>
      </c>
      <c r="F458" s="8">
        <v>4.13</v>
      </c>
      <c r="G458" s="4">
        <v>7</v>
      </c>
      <c r="H458" s="8">
        <v>0.86</v>
      </c>
      <c r="I458" s="4">
        <v>1</v>
      </c>
    </row>
    <row r="459" spans="1:9" x14ac:dyDescent="0.2">
      <c r="A459" s="2">
        <v>14</v>
      </c>
      <c r="B459" s="1" t="s">
        <v>220</v>
      </c>
      <c r="C459" s="4">
        <v>35</v>
      </c>
      <c r="D459" s="8">
        <v>2.11</v>
      </c>
      <c r="E459" s="4">
        <v>13</v>
      </c>
      <c r="F459" s="8">
        <v>1.63</v>
      </c>
      <c r="G459" s="4">
        <v>22</v>
      </c>
      <c r="H459" s="8">
        <v>2.71</v>
      </c>
      <c r="I459" s="4">
        <v>0</v>
      </c>
    </row>
    <row r="460" spans="1:9" x14ac:dyDescent="0.2">
      <c r="A460" s="2">
        <v>15</v>
      </c>
      <c r="B460" s="1" t="s">
        <v>226</v>
      </c>
      <c r="C460" s="4">
        <v>33</v>
      </c>
      <c r="D460" s="8">
        <v>1.99</v>
      </c>
      <c r="E460" s="4">
        <v>5</v>
      </c>
      <c r="F460" s="8">
        <v>0.63</v>
      </c>
      <c r="G460" s="4">
        <v>26</v>
      </c>
      <c r="H460" s="8">
        <v>3.21</v>
      </c>
      <c r="I460" s="4">
        <v>0</v>
      </c>
    </row>
    <row r="461" spans="1:9" x14ac:dyDescent="0.2">
      <c r="A461" s="2">
        <v>16</v>
      </c>
      <c r="B461" s="1" t="s">
        <v>217</v>
      </c>
      <c r="C461" s="4">
        <v>27</v>
      </c>
      <c r="D461" s="8">
        <v>1.63</v>
      </c>
      <c r="E461" s="4">
        <v>2</v>
      </c>
      <c r="F461" s="8">
        <v>0.25</v>
      </c>
      <c r="G461" s="4">
        <v>25</v>
      </c>
      <c r="H461" s="8">
        <v>3.08</v>
      </c>
      <c r="I461" s="4">
        <v>0</v>
      </c>
    </row>
    <row r="462" spans="1:9" x14ac:dyDescent="0.2">
      <c r="A462" s="2">
        <v>17</v>
      </c>
      <c r="B462" s="1" t="s">
        <v>229</v>
      </c>
      <c r="C462" s="4">
        <v>23</v>
      </c>
      <c r="D462" s="8">
        <v>1.39</v>
      </c>
      <c r="E462" s="4">
        <v>11</v>
      </c>
      <c r="F462" s="8">
        <v>1.38</v>
      </c>
      <c r="G462" s="4">
        <v>12</v>
      </c>
      <c r="H462" s="8">
        <v>1.48</v>
      </c>
      <c r="I462" s="4">
        <v>0</v>
      </c>
    </row>
    <row r="463" spans="1:9" x14ac:dyDescent="0.2">
      <c r="A463" s="2">
        <v>18</v>
      </c>
      <c r="B463" s="1" t="s">
        <v>218</v>
      </c>
      <c r="C463" s="4">
        <v>19</v>
      </c>
      <c r="D463" s="8">
        <v>1.1499999999999999</v>
      </c>
      <c r="E463" s="4">
        <v>3</v>
      </c>
      <c r="F463" s="8">
        <v>0.38</v>
      </c>
      <c r="G463" s="4">
        <v>16</v>
      </c>
      <c r="H463" s="8">
        <v>1.97</v>
      </c>
      <c r="I463" s="4">
        <v>0</v>
      </c>
    </row>
    <row r="464" spans="1:9" x14ac:dyDescent="0.2">
      <c r="A464" s="2">
        <v>19</v>
      </c>
      <c r="B464" s="1" t="s">
        <v>236</v>
      </c>
      <c r="C464" s="4">
        <v>18</v>
      </c>
      <c r="D464" s="8">
        <v>1.08</v>
      </c>
      <c r="E464" s="4">
        <v>2</v>
      </c>
      <c r="F464" s="8">
        <v>0.25</v>
      </c>
      <c r="G464" s="4">
        <v>16</v>
      </c>
      <c r="H464" s="8">
        <v>1.97</v>
      </c>
      <c r="I464" s="4">
        <v>0</v>
      </c>
    </row>
    <row r="465" spans="1:9" x14ac:dyDescent="0.2">
      <c r="A465" s="2">
        <v>19</v>
      </c>
      <c r="B465" s="1" t="s">
        <v>240</v>
      </c>
      <c r="C465" s="4">
        <v>18</v>
      </c>
      <c r="D465" s="8">
        <v>1.08</v>
      </c>
      <c r="E465" s="4">
        <v>6</v>
      </c>
      <c r="F465" s="8">
        <v>0.75</v>
      </c>
      <c r="G465" s="4">
        <v>11</v>
      </c>
      <c r="H465" s="8">
        <v>1.36</v>
      </c>
      <c r="I465" s="4">
        <v>0</v>
      </c>
    </row>
    <row r="466" spans="1:9" x14ac:dyDescent="0.2">
      <c r="A466" s="1"/>
      <c r="C466" s="4"/>
      <c r="D466" s="8"/>
      <c r="E466" s="4"/>
      <c r="F466" s="8"/>
      <c r="G466" s="4"/>
      <c r="H466" s="8"/>
      <c r="I466" s="4"/>
    </row>
    <row r="467" spans="1:9" x14ac:dyDescent="0.2">
      <c r="A467" s="1" t="s">
        <v>21</v>
      </c>
      <c r="C467" s="4"/>
      <c r="D467" s="8"/>
      <c r="E467" s="4"/>
      <c r="F467" s="8"/>
      <c r="G467" s="4"/>
      <c r="H467" s="8"/>
      <c r="I467" s="4"/>
    </row>
    <row r="468" spans="1:9" x14ac:dyDescent="0.2">
      <c r="A468" s="2">
        <v>1</v>
      </c>
      <c r="B468" s="1" t="s">
        <v>224</v>
      </c>
      <c r="C468" s="4">
        <v>113</v>
      </c>
      <c r="D468" s="8">
        <v>12.77</v>
      </c>
      <c r="E468" s="4">
        <v>80</v>
      </c>
      <c r="F468" s="8">
        <v>17.7</v>
      </c>
      <c r="G468" s="4">
        <v>31</v>
      </c>
      <c r="H468" s="8">
        <v>7.47</v>
      </c>
      <c r="I468" s="4">
        <v>0</v>
      </c>
    </row>
    <row r="469" spans="1:9" x14ac:dyDescent="0.2">
      <c r="A469" s="2">
        <v>2</v>
      </c>
      <c r="B469" s="1" t="s">
        <v>228</v>
      </c>
      <c r="C469" s="4">
        <v>102</v>
      </c>
      <c r="D469" s="8">
        <v>11.53</v>
      </c>
      <c r="E469" s="4">
        <v>87</v>
      </c>
      <c r="F469" s="8">
        <v>19.25</v>
      </c>
      <c r="G469" s="4">
        <v>15</v>
      </c>
      <c r="H469" s="8">
        <v>3.61</v>
      </c>
      <c r="I469" s="4">
        <v>0</v>
      </c>
    </row>
    <row r="470" spans="1:9" x14ac:dyDescent="0.2">
      <c r="A470" s="2">
        <v>3</v>
      </c>
      <c r="B470" s="1" t="s">
        <v>227</v>
      </c>
      <c r="C470" s="4">
        <v>86</v>
      </c>
      <c r="D470" s="8">
        <v>9.7200000000000006</v>
      </c>
      <c r="E470" s="4">
        <v>72</v>
      </c>
      <c r="F470" s="8">
        <v>15.93</v>
      </c>
      <c r="G470" s="4">
        <v>14</v>
      </c>
      <c r="H470" s="8">
        <v>3.37</v>
      </c>
      <c r="I470" s="4">
        <v>0</v>
      </c>
    </row>
    <row r="471" spans="1:9" x14ac:dyDescent="0.2">
      <c r="A471" s="2">
        <v>4</v>
      </c>
      <c r="B471" s="1" t="s">
        <v>223</v>
      </c>
      <c r="C471" s="4">
        <v>71</v>
      </c>
      <c r="D471" s="8">
        <v>8.02</v>
      </c>
      <c r="E471" s="4">
        <v>27</v>
      </c>
      <c r="F471" s="8">
        <v>5.97</v>
      </c>
      <c r="G471" s="4">
        <v>43</v>
      </c>
      <c r="H471" s="8">
        <v>10.36</v>
      </c>
      <c r="I471" s="4">
        <v>1</v>
      </c>
    </row>
    <row r="472" spans="1:9" x14ac:dyDescent="0.2">
      <c r="A472" s="2">
        <v>5</v>
      </c>
      <c r="B472" s="1" t="s">
        <v>213</v>
      </c>
      <c r="C472" s="4">
        <v>51</v>
      </c>
      <c r="D472" s="8">
        <v>5.76</v>
      </c>
      <c r="E472" s="4">
        <v>10</v>
      </c>
      <c r="F472" s="8">
        <v>2.21</v>
      </c>
      <c r="G472" s="4">
        <v>41</v>
      </c>
      <c r="H472" s="8">
        <v>9.8800000000000008</v>
      </c>
      <c r="I472" s="4">
        <v>0</v>
      </c>
    </row>
    <row r="473" spans="1:9" x14ac:dyDescent="0.2">
      <c r="A473" s="2">
        <v>6</v>
      </c>
      <c r="B473" s="1" t="s">
        <v>214</v>
      </c>
      <c r="C473" s="4">
        <v>39</v>
      </c>
      <c r="D473" s="8">
        <v>4.41</v>
      </c>
      <c r="E473" s="4">
        <v>16</v>
      </c>
      <c r="F473" s="8">
        <v>3.54</v>
      </c>
      <c r="G473" s="4">
        <v>23</v>
      </c>
      <c r="H473" s="8">
        <v>5.54</v>
      </c>
      <c r="I473" s="4">
        <v>0</v>
      </c>
    </row>
    <row r="474" spans="1:9" x14ac:dyDescent="0.2">
      <c r="A474" s="2">
        <v>6</v>
      </c>
      <c r="B474" s="1" t="s">
        <v>221</v>
      </c>
      <c r="C474" s="4">
        <v>39</v>
      </c>
      <c r="D474" s="8">
        <v>4.41</v>
      </c>
      <c r="E474" s="4">
        <v>24</v>
      </c>
      <c r="F474" s="8">
        <v>5.31</v>
      </c>
      <c r="G474" s="4">
        <v>14</v>
      </c>
      <c r="H474" s="8">
        <v>3.37</v>
      </c>
      <c r="I474" s="4">
        <v>1</v>
      </c>
    </row>
    <row r="475" spans="1:9" x14ac:dyDescent="0.2">
      <c r="A475" s="2">
        <v>8</v>
      </c>
      <c r="B475" s="1" t="s">
        <v>241</v>
      </c>
      <c r="C475" s="4">
        <v>30</v>
      </c>
      <c r="D475" s="8">
        <v>3.39</v>
      </c>
      <c r="E475" s="4">
        <v>7</v>
      </c>
      <c r="F475" s="8">
        <v>1.55</v>
      </c>
      <c r="G475" s="4">
        <v>23</v>
      </c>
      <c r="H475" s="8">
        <v>5.54</v>
      </c>
      <c r="I475" s="4">
        <v>0</v>
      </c>
    </row>
    <row r="476" spans="1:9" x14ac:dyDescent="0.2">
      <c r="A476" s="2">
        <v>9</v>
      </c>
      <c r="B476" s="1" t="s">
        <v>215</v>
      </c>
      <c r="C476" s="4">
        <v>25</v>
      </c>
      <c r="D476" s="8">
        <v>2.82</v>
      </c>
      <c r="E476" s="4">
        <v>7</v>
      </c>
      <c r="F476" s="8">
        <v>1.55</v>
      </c>
      <c r="G476" s="4">
        <v>18</v>
      </c>
      <c r="H476" s="8">
        <v>4.34</v>
      </c>
      <c r="I476" s="4">
        <v>0</v>
      </c>
    </row>
    <row r="477" spans="1:9" x14ac:dyDescent="0.2">
      <c r="A477" s="2">
        <v>10</v>
      </c>
      <c r="B477" s="1" t="s">
        <v>222</v>
      </c>
      <c r="C477" s="4">
        <v>23</v>
      </c>
      <c r="D477" s="8">
        <v>2.6</v>
      </c>
      <c r="E477" s="4">
        <v>17</v>
      </c>
      <c r="F477" s="8">
        <v>3.76</v>
      </c>
      <c r="G477" s="4">
        <v>6</v>
      </c>
      <c r="H477" s="8">
        <v>1.45</v>
      </c>
      <c r="I477" s="4">
        <v>0</v>
      </c>
    </row>
    <row r="478" spans="1:9" x14ac:dyDescent="0.2">
      <c r="A478" s="2">
        <v>11</v>
      </c>
      <c r="B478" s="1" t="s">
        <v>231</v>
      </c>
      <c r="C478" s="4">
        <v>22</v>
      </c>
      <c r="D478" s="8">
        <v>2.4900000000000002</v>
      </c>
      <c r="E478" s="4">
        <v>20</v>
      </c>
      <c r="F478" s="8">
        <v>4.42</v>
      </c>
      <c r="G478" s="4">
        <v>2</v>
      </c>
      <c r="H478" s="8">
        <v>0.48</v>
      </c>
      <c r="I478" s="4">
        <v>0</v>
      </c>
    </row>
    <row r="479" spans="1:9" x14ac:dyDescent="0.2">
      <c r="A479" s="2">
        <v>12</v>
      </c>
      <c r="B479" s="1" t="s">
        <v>225</v>
      </c>
      <c r="C479" s="4">
        <v>21</v>
      </c>
      <c r="D479" s="8">
        <v>2.37</v>
      </c>
      <c r="E479" s="4">
        <v>16</v>
      </c>
      <c r="F479" s="8">
        <v>3.54</v>
      </c>
      <c r="G479" s="4">
        <v>5</v>
      </c>
      <c r="H479" s="8">
        <v>1.2</v>
      </c>
      <c r="I479" s="4">
        <v>0</v>
      </c>
    </row>
    <row r="480" spans="1:9" x14ac:dyDescent="0.2">
      <c r="A480" s="2">
        <v>12</v>
      </c>
      <c r="B480" s="1" t="s">
        <v>232</v>
      </c>
      <c r="C480" s="4">
        <v>21</v>
      </c>
      <c r="D480" s="8">
        <v>2.37</v>
      </c>
      <c r="E480" s="4">
        <v>1</v>
      </c>
      <c r="F480" s="8">
        <v>0.22</v>
      </c>
      <c r="G480" s="4">
        <v>16</v>
      </c>
      <c r="H480" s="8">
        <v>3.86</v>
      </c>
      <c r="I480" s="4">
        <v>0</v>
      </c>
    </row>
    <row r="481" spans="1:9" x14ac:dyDescent="0.2">
      <c r="A481" s="2">
        <v>14</v>
      </c>
      <c r="B481" s="1" t="s">
        <v>226</v>
      </c>
      <c r="C481" s="4">
        <v>17</v>
      </c>
      <c r="D481" s="8">
        <v>1.92</v>
      </c>
      <c r="E481" s="4">
        <v>5</v>
      </c>
      <c r="F481" s="8">
        <v>1.1100000000000001</v>
      </c>
      <c r="G481" s="4">
        <v>11</v>
      </c>
      <c r="H481" s="8">
        <v>2.65</v>
      </c>
      <c r="I481" s="4">
        <v>0</v>
      </c>
    </row>
    <row r="482" spans="1:9" x14ac:dyDescent="0.2">
      <c r="A482" s="2">
        <v>15</v>
      </c>
      <c r="B482" s="1" t="s">
        <v>243</v>
      </c>
      <c r="C482" s="4">
        <v>16</v>
      </c>
      <c r="D482" s="8">
        <v>1.81</v>
      </c>
      <c r="E482" s="4">
        <v>14</v>
      </c>
      <c r="F482" s="8">
        <v>3.1</v>
      </c>
      <c r="G482" s="4">
        <v>2</v>
      </c>
      <c r="H482" s="8">
        <v>0.48</v>
      </c>
      <c r="I482" s="4">
        <v>0</v>
      </c>
    </row>
    <row r="483" spans="1:9" x14ac:dyDescent="0.2">
      <c r="A483" s="2">
        <v>15</v>
      </c>
      <c r="B483" s="1" t="s">
        <v>230</v>
      </c>
      <c r="C483" s="4">
        <v>16</v>
      </c>
      <c r="D483" s="8">
        <v>1.81</v>
      </c>
      <c r="E483" s="4">
        <v>8</v>
      </c>
      <c r="F483" s="8">
        <v>1.77</v>
      </c>
      <c r="G483" s="4">
        <v>4</v>
      </c>
      <c r="H483" s="8">
        <v>0.96</v>
      </c>
      <c r="I483" s="4">
        <v>1</v>
      </c>
    </row>
    <row r="484" spans="1:9" x14ac:dyDescent="0.2">
      <c r="A484" s="2">
        <v>17</v>
      </c>
      <c r="B484" s="1" t="s">
        <v>218</v>
      </c>
      <c r="C484" s="4">
        <v>13</v>
      </c>
      <c r="D484" s="8">
        <v>1.47</v>
      </c>
      <c r="E484" s="4">
        <v>0</v>
      </c>
      <c r="F484" s="8">
        <v>0</v>
      </c>
      <c r="G484" s="4">
        <v>13</v>
      </c>
      <c r="H484" s="8">
        <v>3.13</v>
      </c>
      <c r="I484" s="4">
        <v>0</v>
      </c>
    </row>
    <row r="485" spans="1:9" x14ac:dyDescent="0.2">
      <c r="A485" s="2">
        <v>17</v>
      </c>
      <c r="B485" s="1" t="s">
        <v>220</v>
      </c>
      <c r="C485" s="4">
        <v>13</v>
      </c>
      <c r="D485" s="8">
        <v>1.47</v>
      </c>
      <c r="E485" s="4">
        <v>7</v>
      </c>
      <c r="F485" s="8">
        <v>1.55</v>
      </c>
      <c r="G485" s="4">
        <v>6</v>
      </c>
      <c r="H485" s="8">
        <v>1.45</v>
      </c>
      <c r="I485" s="4">
        <v>0</v>
      </c>
    </row>
    <row r="486" spans="1:9" x14ac:dyDescent="0.2">
      <c r="A486" s="2">
        <v>19</v>
      </c>
      <c r="B486" s="1" t="s">
        <v>236</v>
      </c>
      <c r="C486" s="4">
        <v>12</v>
      </c>
      <c r="D486" s="8">
        <v>1.36</v>
      </c>
      <c r="E486" s="4">
        <v>4</v>
      </c>
      <c r="F486" s="8">
        <v>0.88</v>
      </c>
      <c r="G486" s="4">
        <v>8</v>
      </c>
      <c r="H486" s="8">
        <v>1.93</v>
      </c>
      <c r="I486" s="4">
        <v>0</v>
      </c>
    </row>
    <row r="487" spans="1:9" x14ac:dyDescent="0.2">
      <c r="A487" s="2">
        <v>20</v>
      </c>
      <c r="B487" s="1" t="s">
        <v>216</v>
      </c>
      <c r="C487" s="4">
        <v>11</v>
      </c>
      <c r="D487" s="8">
        <v>1.24</v>
      </c>
      <c r="E487" s="4">
        <v>3</v>
      </c>
      <c r="F487" s="8">
        <v>0.66</v>
      </c>
      <c r="G487" s="4">
        <v>8</v>
      </c>
      <c r="H487" s="8">
        <v>1.93</v>
      </c>
      <c r="I487" s="4">
        <v>0</v>
      </c>
    </row>
    <row r="488" spans="1:9" x14ac:dyDescent="0.2">
      <c r="A488" s="2">
        <v>20</v>
      </c>
      <c r="B488" s="1" t="s">
        <v>239</v>
      </c>
      <c r="C488" s="4">
        <v>11</v>
      </c>
      <c r="D488" s="8">
        <v>1.24</v>
      </c>
      <c r="E488" s="4">
        <v>2</v>
      </c>
      <c r="F488" s="8">
        <v>0.44</v>
      </c>
      <c r="G488" s="4">
        <v>9</v>
      </c>
      <c r="H488" s="8">
        <v>2.17</v>
      </c>
      <c r="I488" s="4">
        <v>0</v>
      </c>
    </row>
    <row r="489" spans="1:9" x14ac:dyDescent="0.2">
      <c r="A489" s="2">
        <v>20</v>
      </c>
      <c r="B489" s="1" t="s">
        <v>247</v>
      </c>
      <c r="C489" s="4">
        <v>11</v>
      </c>
      <c r="D489" s="8">
        <v>1.24</v>
      </c>
      <c r="E489" s="4">
        <v>3</v>
      </c>
      <c r="F489" s="8">
        <v>0.66</v>
      </c>
      <c r="G489" s="4">
        <v>8</v>
      </c>
      <c r="H489" s="8">
        <v>1.93</v>
      </c>
      <c r="I489" s="4">
        <v>0</v>
      </c>
    </row>
    <row r="490" spans="1:9" x14ac:dyDescent="0.2">
      <c r="A490" s="1"/>
      <c r="C490" s="4"/>
      <c r="D490" s="8"/>
      <c r="E490" s="4"/>
      <c r="F490" s="8"/>
      <c r="G490" s="4"/>
      <c r="H490" s="8"/>
      <c r="I490" s="4"/>
    </row>
    <row r="491" spans="1:9" x14ac:dyDescent="0.2">
      <c r="A491" s="1" t="s">
        <v>22</v>
      </c>
      <c r="C491" s="4"/>
      <c r="D491" s="8"/>
      <c r="E491" s="4"/>
      <c r="F491" s="8"/>
      <c r="G491" s="4"/>
      <c r="H491" s="8"/>
      <c r="I491" s="4"/>
    </row>
    <row r="492" spans="1:9" x14ac:dyDescent="0.2">
      <c r="A492" s="2">
        <v>1</v>
      </c>
      <c r="B492" s="1" t="s">
        <v>227</v>
      </c>
      <c r="C492" s="4">
        <v>88</v>
      </c>
      <c r="D492" s="8">
        <v>14.43</v>
      </c>
      <c r="E492" s="4">
        <v>81</v>
      </c>
      <c r="F492" s="8">
        <v>24.47</v>
      </c>
      <c r="G492" s="4">
        <v>7</v>
      </c>
      <c r="H492" s="8">
        <v>2.63</v>
      </c>
      <c r="I492" s="4">
        <v>0</v>
      </c>
    </row>
    <row r="493" spans="1:9" x14ac:dyDescent="0.2">
      <c r="A493" s="2">
        <v>2</v>
      </c>
      <c r="B493" s="1" t="s">
        <v>228</v>
      </c>
      <c r="C493" s="4">
        <v>74</v>
      </c>
      <c r="D493" s="8">
        <v>12.13</v>
      </c>
      <c r="E493" s="4">
        <v>66</v>
      </c>
      <c r="F493" s="8">
        <v>19.940000000000001</v>
      </c>
      <c r="G493" s="4">
        <v>8</v>
      </c>
      <c r="H493" s="8">
        <v>3.01</v>
      </c>
      <c r="I493" s="4">
        <v>0</v>
      </c>
    </row>
    <row r="494" spans="1:9" x14ac:dyDescent="0.2">
      <c r="A494" s="2">
        <v>3</v>
      </c>
      <c r="B494" s="1" t="s">
        <v>223</v>
      </c>
      <c r="C494" s="4">
        <v>49</v>
      </c>
      <c r="D494" s="8">
        <v>8.0299999999999994</v>
      </c>
      <c r="E494" s="4">
        <v>23</v>
      </c>
      <c r="F494" s="8">
        <v>6.95</v>
      </c>
      <c r="G494" s="4">
        <v>26</v>
      </c>
      <c r="H494" s="8">
        <v>9.77</v>
      </c>
      <c r="I494" s="4">
        <v>0</v>
      </c>
    </row>
    <row r="495" spans="1:9" x14ac:dyDescent="0.2">
      <c r="A495" s="2">
        <v>4</v>
      </c>
      <c r="B495" s="1" t="s">
        <v>224</v>
      </c>
      <c r="C495" s="4">
        <v>37</v>
      </c>
      <c r="D495" s="8">
        <v>6.07</v>
      </c>
      <c r="E495" s="4">
        <v>16</v>
      </c>
      <c r="F495" s="8">
        <v>4.83</v>
      </c>
      <c r="G495" s="4">
        <v>20</v>
      </c>
      <c r="H495" s="8">
        <v>7.52</v>
      </c>
      <c r="I495" s="4">
        <v>0</v>
      </c>
    </row>
    <row r="496" spans="1:9" x14ac:dyDescent="0.2">
      <c r="A496" s="2">
        <v>5</v>
      </c>
      <c r="B496" s="1" t="s">
        <v>214</v>
      </c>
      <c r="C496" s="4">
        <v>33</v>
      </c>
      <c r="D496" s="8">
        <v>5.41</v>
      </c>
      <c r="E496" s="4">
        <v>16</v>
      </c>
      <c r="F496" s="8">
        <v>4.83</v>
      </c>
      <c r="G496" s="4">
        <v>17</v>
      </c>
      <c r="H496" s="8">
        <v>6.39</v>
      </c>
      <c r="I496" s="4">
        <v>0</v>
      </c>
    </row>
    <row r="497" spans="1:9" x14ac:dyDescent="0.2">
      <c r="A497" s="2">
        <v>5</v>
      </c>
      <c r="B497" s="1" t="s">
        <v>221</v>
      </c>
      <c r="C497" s="4">
        <v>33</v>
      </c>
      <c r="D497" s="8">
        <v>5.41</v>
      </c>
      <c r="E497" s="4">
        <v>23</v>
      </c>
      <c r="F497" s="8">
        <v>6.95</v>
      </c>
      <c r="G497" s="4">
        <v>10</v>
      </c>
      <c r="H497" s="8">
        <v>3.76</v>
      </c>
      <c r="I497" s="4">
        <v>0</v>
      </c>
    </row>
    <row r="498" spans="1:9" x14ac:dyDescent="0.2">
      <c r="A498" s="2">
        <v>7</v>
      </c>
      <c r="B498" s="1" t="s">
        <v>222</v>
      </c>
      <c r="C498" s="4">
        <v>26</v>
      </c>
      <c r="D498" s="8">
        <v>4.26</v>
      </c>
      <c r="E498" s="4">
        <v>14</v>
      </c>
      <c r="F498" s="8">
        <v>4.2300000000000004</v>
      </c>
      <c r="G498" s="4">
        <v>12</v>
      </c>
      <c r="H498" s="8">
        <v>4.51</v>
      </c>
      <c r="I498" s="4">
        <v>0</v>
      </c>
    </row>
    <row r="499" spans="1:9" x14ac:dyDescent="0.2">
      <c r="A499" s="2">
        <v>8</v>
      </c>
      <c r="B499" s="1" t="s">
        <v>213</v>
      </c>
      <c r="C499" s="4">
        <v>22</v>
      </c>
      <c r="D499" s="8">
        <v>3.61</v>
      </c>
      <c r="E499" s="4">
        <v>6</v>
      </c>
      <c r="F499" s="8">
        <v>1.81</v>
      </c>
      <c r="G499" s="4">
        <v>16</v>
      </c>
      <c r="H499" s="8">
        <v>6.02</v>
      </c>
      <c r="I499" s="4">
        <v>0</v>
      </c>
    </row>
    <row r="500" spans="1:9" x14ac:dyDescent="0.2">
      <c r="A500" s="2">
        <v>9</v>
      </c>
      <c r="B500" s="1" t="s">
        <v>215</v>
      </c>
      <c r="C500" s="4">
        <v>18</v>
      </c>
      <c r="D500" s="8">
        <v>2.95</v>
      </c>
      <c r="E500" s="4">
        <v>7</v>
      </c>
      <c r="F500" s="8">
        <v>2.11</v>
      </c>
      <c r="G500" s="4">
        <v>11</v>
      </c>
      <c r="H500" s="8">
        <v>4.1399999999999997</v>
      </c>
      <c r="I500" s="4">
        <v>0</v>
      </c>
    </row>
    <row r="501" spans="1:9" x14ac:dyDescent="0.2">
      <c r="A501" s="2">
        <v>9</v>
      </c>
      <c r="B501" s="1" t="s">
        <v>231</v>
      </c>
      <c r="C501" s="4">
        <v>18</v>
      </c>
      <c r="D501" s="8">
        <v>2.95</v>
      </c>
      <c r="E501" s="4">
        <v>17</v>
      </c>
      <c r="F501" s="8">
        <v>5.14</v>
      </c>
      <c r="G501" s="4">
        <v>1</v>
      </c>
      <c r="H501" s="8">
        <v>0.38</v>
      </c>
      <c r="I501" s="4">
        <v>0</v>
      </c>
    </row>
    <row r="502" spans="1:9" x14ac:dyDescent="0.2">
      <c r="A502" s="2">
        <v>11</v>
      </c>
      <c r="B502" s="1" t="s">
        <v>226</v>
      </c>
      <c r="C502" s="4">
        <v>15</v>
      </c>
      <c r="D502" s="8">
        <v>2.46</v>
      </c>
      <c r="E502" s="4">
        <v>5</v>
      </c>
      <c r="F502" s="8">
        <v>1.51</v>
      </c>
      <c r="G502" s="4">
        <v>9</v>
      </c>
      <c r="H502" s="8">
        <v>3.38</v>
      </c>
      <c r="I502" s="4">
        <v>0</v>
      </c>
    </row>
    <row r="503" spans="1:9" x14ac:dyDescent="0.2">
      <c r="A503" s="2">
        <v>12</v>
      </c>
      <c r="B503" s="1" t="s">
        <v>220</v>
      </c>
      <c r="C503" s="4">
        <v>12</v>
      </c>
      <c r="D503" s="8">
        <v>1.97</v>
      </c>
      <c r="E503" s="4">
        <v>7</v>
      </c>
      <c r="F503" s="8">
        <v>2.11</v>
      </c>
      <c r="G503" s="4">
        <v>5</v>
      </c>
      <c r="H503" s="8">
        <v>1.88</v>
      </c>
      <c r="I503" s="4">
        <v>0</v>
      </c>
    </row>
    <row r="504" spans="1:9" x14ac:dyDescent="0.2">
      <c r="A504" s="2">
        <v>12</v>
      </c>
      <c r="B504" s="1" t="s">
        <v>236</v>
      </c>
      <c r="C504" s="4">
        <v>12</v>
      </c>
      <c r="D504" s="8">
        <v>1.97</v>
      </c>
      <c r="E504" s="4">
        <v>3</v>
      </c>
      <c r="F504" s="8">
        <v>0.91</v>
      </c>
      <c r="G504" s="4">
        <v>9</v>
      </c>
      <c r="H504" s="8">
        <v>3.38</v>
      </c>
      <c r="I504" s="4">
        <v>0</v>
      </c>
    </row>
    <row r="505" spans="1:9" x14ac:dyDescent="0.2">
      <c r="A505" s="2">
        <v>12</v>
      </c>
      <c r="B505" s="1" t="s">
        <v>232</v>
      </c>
      <c r="C505" s="4">
        <v>12</v>
      </c>
      <c r="D505" s="8">
        <v>1.97</v>
      </c>
      <c r="E505" s="4">
        <v>0</v>
      </c>
      <c r="F505" s="8">
        <v>0</v>
      </c>
      <c r="G505" s="4">
        <v>10</v>
      </c>
      <c r="H505" s="8">
        <v>3.76</v>
      </c>
      <c r="I505" s="4">
        <v>0</v>
      </c>
    </row>
    <row r="506" spans="1:9" x14ac:dyDescent="0.2">
      <c r="A506" s="2">
        <v>15</v>
      </c>
      <c r="B506" s="1" t="s">
        <v>225</v>
      </c>
      <c r="C506" s="4">
        <v>11</v>
      </c>
      <c r="D506" s="8">
        <v>1.8</v>
      </c>
      <c r="E506" s="4">
        <v>11</v>
      </c>
      <c r="F506" s="8">
        <v>3.32</v>
      </c>
      <c r="G506" s="4">
        <v>0</v>
      </c>
      <c r="H506" s="8">
        <v>0</v>
      </c>
      <c r="I506" s="4">
        <v>0</v>
      </c>
    </row>
    <row r="507" spans="1:9" x14ac:dyDescent="0.2">
      <c r="A507" s="2">
        <v>15</v>
      </c>
      <c r="B507" s="1" t="s">
        <v>240</v>
      </c>
      <c r="C507" s="4">
        <v>11</v>
      </c>
      <c r="D507" s="8">
        <v>1.8</v>
      </c>
      <c r="E507" s="4">
        <v>3</v>
      </c>
      <c r="F507" s="8">
        <v>0.91</v>
      </c>
      <c r="G507" s="4">
        <v>8</v>
      </c>
      <c r="H507" s="8">
        <v>3.01</v>
      </c>
      <c r="I507" s="4">
        <v>0</v>
      </c>
    </row>
    <row r="508" spans="1:9" x14ac:dyDescent="0.2">
      <c r="A508" s="2">
        <v>17</v>
      </c>
      <c r="B508" s="1" t="s">
        <v>230</v>
      </c>
      <c r="C508" s="4">
        <v>9</v>
      </c>
      <c r="D508" s="8">
        <v>1.48</v>
      </c>
      <c r="E508" s="4">
        <v>7</v>
      </c>
      <c r="F508" s="8">
        <v>2.11</v>
      </c>
      <c r="G508" s="4">
        <v>1</v>
      </c>
      <c r="H508" s="8">
        <v>0.38</v>
      </c>
      <c r="I508" s="4">
        <v>0</v>
      </c>
    </row>
    <row r="509" spans="1:9" x14ac:dyDescent="0.2">
      <c r="A509" s="2">
        <v>18</v>
      </c>
      <c r="B509" s="1" t="s">
        <v>248</v>
      </c>
      <c r="C509" s="4">
        <v>8</v>
      </c>
      <c r="D509" s="8">
        <v>1.31</v>
      </c>
      <c r="E509" s="4">
        <v>2</v>
      </c>
      <c r="F509" s="8">
        <v>0.6</v>
      </c>
      <c r="G509" s="4">
        <v>6</v>
      </c>
      <c r="H509" s="8">
        <v>2.2599999999999998</v>
      </c>
      <c r="I509" s="4">
        <v>0</v>
      </c>
    </row>
    <row r="510" spans="1:9" x14ac:dyDescent="0.2">
      <c r="A510" s="2">
        <v>18</v>
      </c>
      <c r="B510" s="1" t="s">
        <v>217</v>
      </c>
      <c r="C510" s="4">
        <v>8</v>
      </c>
      <c r="D510" s="8">
        <v>1.31</v>
      </c>
      <c r="E510" s="4">
        <v>0</v>
      </c>
      <c r="F510" s="8">
        <v>0</v>
      </c>
      <c r="G510" s="4">
        <v>8</v>
      </c>
      <c r="H510" s="8">
        <v>3.01</v>
      </c>
      <c r="I510" s="4">
        <v>0</v>
      </c>
    </row>
    <row r="511" spans="1:9" x14ac:dyDescent="0.2">
      <c r="A511" s="2">
        <v>18</v>
      </c>
      <c r="B511" s="1" t="s">
        <v>237</v>
      </c>
      <c r="C511" s="4">
        <v>8</v>
      </c>
      <c r="D511" s="8">
        <v>1.31</v>
      </c>
      <c r="E511" s="4">
        <v>0</v>
      </c>
      <c r="F511" s="8">
        <v>0</v>
      </c>
      <c r="G511" s="4">
        <v>8</v>
      </c>
      <c r="H511" s="8">
        <v>3.01</v>
      </c>
      <c r="I511" s="4">
        <v>0</v>
      </c>
    </row>
    <row r="512" spans="1:9" x14ac:dyDescent="0.2">
      <c r="A512" s="2">
        <v>18</v>
      </c>
      <c r="B512" s="1" t="s">
        <v>243</v>
      </c>
      <c r="C512" s="4">
        <v>8</v>
      </c>
      <c r="D512" s="8">
        <v>1.31</v>
      </c>
      <c r="E512" s="4">
        <v>7</v>
      </c>
      <c r="F512" s="8">
        <v>2.11</v>
      </c>
      <c r="G512" s="4">
        <v>1</v>
      </c>
      <c r="H512" s="8">
        <v>0.38</v>
      </c>
      <c r="I512" s="4">
        <v>0</v>
      </c>
    </row>
    <row r="513" spans="1:9" x14ac:dyDescent="0.2">
      <c r="A513" s="2">
        <v>18</v>
      </c>
      <c r="B513" s="1" t="s">
        <v>229</v>
      </c>
      <c r="C513" s="4">
        <v>8</v>
      </c>
      <c r="D513" s="8">
        <v>1.31</v>
      </c>
      <c r="E513" s="4">
        <v>6</v>
      </c>
      <c r="F513" s="8">
        <v>1.81</v>
      </c>
      <c r="G513" s="4">
        <v>2</v>
      </c>
      <c r="H513" s="8">
        <v>0.75</v>
      </c>
      <c r="I513" s="4">
        <v>0</v>
      </c>
    </row>
    <row r="514" spans="1:9" x14ac:dyDescent="0.2">
      <c r="A514" s="2">
        <v>18</v>
      </c>
      <c r="B514" s="1" t="s">
        <v>249</v>
      </c>
      <c r="C514" s="4">
        <v>8</v>
      </c>
      <c r="D514" s="8">
        <v>1.31</v>
      </c>
      <c r="E514" s="4">
        <v>0</v>
      </c>
      <c r="F514" s="8">
        <v>0</v>
      </c>
      <c r="G514" s="4">
        <v>7</v>
      </c>
      <c r="H514" s="8">
        <v>2.63</v>
      </c>
      <c r="I514" s="4">
        <v>0</v>
      </c>
    </row>
    <row r="515" spans="1:9" x14ac:dyDescent="0.2">
      <c r="A515" s="2">
        <v>18</v>
      </c>
      <c r="B515" s="1" t="s">
        <v>250</v>
      </c>
      <c r="C515" s="4">
        <v>8</v>
      </c>
      <c r="D515" s="8">
        <v>1.31</v>
      </c>
      <c r="E515" s="4">
        <v>0</v>
      </c>
      <c r="F515" s="8">
        <v>0</v>
      </c>
      <c r="G515" s="4">
        <v>2</v>
      </c>
      <c r="H515" s="8">
        <v>0.75</v>
      </c>
      <c r="I515" s="4">
        <v>6</v>
      </c>
    </row>
    <row r="516" spans="1:9" x14ac:dyDescent="0.2">
      <c r="A516" s="1"/>
      <c r="C516" s="4"/>
      <c r="D516" s="8"/>
      <c r="E516" s="4"/>
      <c r="F516" s="8"/>
      <c r="G516" s="4"/>
      <c r="H516" s="8"/>
      <c r="I516" s="4"/>
    </row>
    <row r="517" spans="1:9" x14ac:dyDescent="0.2">
      <c r="A517" s="1" t="s">
        <v>23</v>
      </c>
      <c r="C517" s="4"/>
      <c r="D517" s="8"/>
      <c r="E517" s="4"/>
      <c r="F517" s="8"/>
      <c r="G517" s="4"/>
      <c r="H517" s="8"/>
      <c r="I517" s="4"/>
    </row>
    <row r="518" spans="1:9" x14ac:dyDescent="0.2">
      <c r="A518" s="2">
        <v>1</v>
      </c>
      <c r="B518" s="1" t="s">
        <v>227</v>
      </c>
      <c r="C518" s="4">
        <v>437</v>
      </c>
      <c r="D518" s="8">
        <v>12</v>
      </c>
      <c r="E518" s="4">
        <v>378</v>
      </c>
      <c r="F518" s="8">
        <v>24.4</v>
      </c>
      <c r="G518" s="4">
        <v>59</v>
      </c>
      <c r="H518" s="8">
        <v>2.9</v>
      </c>
      <c r="I518" s="4">
        <v>0</v>
      </c>
    </row>
    <row r="519" spans="1:9" x14ac:dyDescent="0.2">
      <c r="A519" s="2">
        <v>2</v>
      </c>
      <c r="B519" s="1" t="s">
        <v>228</v>
      </c>
      <c r="C519" s="4">
        <v>433</v>
      </c>
      <c r="D519" s="8">
        <v>11.89</v>
      </c>
      <c r="E519" s="4">
        <v>367</v>
      </c>
      <c r="F519" s="8">
        <v>23.69</v>
      </c>
      <c r="G519" s="4">
        <v>66</v>
      </c>
      <c r="H519" s="8">
        <v>3.24</v>
      </c>
      <c r="I519" s="4">
        <v>0</v>
      </c>
    </row>
    <row r="520" spans="1:9" x14ac:dyDescent="0.2">
      <c r="A520" s="2">
        <v>3</v>
      </c>
      <c r="B520" s="1" t="s">
        <v>213</v>
      </c>
      <c r="C520" s="4">
        <v>226</v>
      </c>
      <c r="D520" s="8">
        <v>6.2</v>
      </c>
      <c r="E520" s="4">
        <v>18</v>
      </c>
      <c r="F520" s="8">
        <v>1.1599999999999999</v>
      </c>
      <c r="G520" s="4">
        <v>208</v>
      </c>
      <c r="H520" s="8">
        <v>10.23</v>
      </c>
      <c r="I520" s="4">
        <v>0</v>
      </c>
    </row>
    <row r="521" spans="1:9" x14ac:dyDescent="0.2">
      <c r="A521" s="2">
        <v>4</v>
      </c>
      <c r="B521" s="1" t="s">
        <v>214</v>
      </c>
      <c r="C521" s="4">
        <v>201</v>
      </c>
      <c r="D521" s="8">
        <v>5.52</v>
      </c>
      <c r="E521" s="4">
        <v>43</v>
      </c>
      <c r="F521" s="8">
        <v>2.78</v>
      </c>
      <c r="G521" s="4">
        <v>158</v>
      </c>
      <c r="H521" s="8">
        <v>7.77</v>
      </c>
      <c r="I521" s="4">
        <v>0</v>
      </c>
    </row>
    <row r="522" spans="1:9" x14ac:dyDescent="0.2">
      <c r="A522" s="2">
        <v>5</v>
      </c>
      <c r="B522" s="1" t="s">
        <v>223</v>
      </c>
      <c r="C522" s="4">
        <v>191</v>
      </c>
      <c r="D522" s="8">
        <v>5.24</v>
      </c>
      <c r="E522" s="4">
        <v>65</v>
      </c>
      <c r="F522" s="8">
        <v>4.2</v>
      </c>
      <c r="G522" s="4">
        <v>126</v>
      </c>
      <c r="H522" s="8">
        <v>6.19</v>
      </c>
      <c r="I522" s="4">
        <v>0</v>
      </c>
    </row>
    <row r="523" spans="1:9" x14ac:dyDescent="0.2">
      <c r="A523" s="2">
        <v>6</v>
      </c>
      <c r="B523" s="1" t="s">
        <v>215</v>
      </c>
      <c r="C523" s="4">
        <v>185</v>
      </c>
      <c r="D523" s="8">
        <v>5.08</v>
      </c>
      <c r="E523" s="4">
        <v>15</v>
      </c>
      <c r="F523" s="8">
        <v>0.97</v>
      </c>
      <c r="G523" s="4">
        <v>170</v>
      </c>
      <c r="H523" s="8">
        <v>8.36</v>
      </c>
      <c r="I523" s="4">
        <v>0</v>
      </c>
    </row>
    <row r="524" spans="1:9" x14ac:dyDescent="0.2">
      <c r="A524" s="2">
        <v>7</v>
      </c>
      <c r="B524" s="1" t="s">
        <v>224</v>
      </c>
      <c r="C524" s="4">
        <v>173</v>
      </c>
      <c r="D524" s="8">
        <v>4.75</v>
      </c>
      <c r="E524" s="4">
        <v>95</v>
      </c>
      <c r="F524" s="8">
        <v>6.13</v>
      </c>
      <c r="G524" s="4">
        <v>71</v>
      </c>
      <c r="H524" s="8">
        <v>3.49</v>
      </c>
      <c r="I524" s="4">
        <v>0</v>
      </c>
    </row>
    <row r="525" spans="1:9" x14ac:dyDescent="0.2">
      <c r="A525" s="2">
        <v>8</v>
      </c>
      <c r="B525" s="1" t="s">
        <v>230</v>
      </c>
      <c r="C525" s="4">
        <v>132</v>
      </c>
      <c r="D525" s="8">
        <v>3.62</v>
      </c>
      <c r="E525" s="4">
        <v>101</v>
      </c>
      <c r="F525" s="8">
        <v>6.52</v>
      </c>
      <c r="G525" s="4">
        <v>27</v>
      </c>
      <c r="H525" s="8">
        <v>1.33</v>
      </c>
      <c r="I525" s="4">
        <v>0</v>
      </c>
    </row>
    <row r="526" spans="1:9" x14ac:dyDescent="0.2">
      <c r="A526" s="2">
        <v>9</v>
      </c>
      <c r="B526" s="1" t="s">
        <v>231</v>
      </c>
      <c r="C526" s="4">
        <v>111</v>
      </c>
      <c r="D526" s="8">
        <v>3.05</v>
      </c>
      <c r="E526" s="4">
        <v>94</v>
      </c>
      <c r="F526" s="8">
        <v>6.07</v>
      </c>
      <c r="G526" s="4">
        <v>17</v>
      </c>
      <c r="H526" s="8">
        <v>0.84</v>
      </c>
      <c r="I526" s="4">
        <v>0</v>
      </c>
    </row>
    <row r="527" spans="1:9" x14ac:dyDescent="0.2">
      <c r="A527" s="2">
        <v>10</v>
      </c>
      <c r="B527" s="1" t="s">
        <v>217</v>
      </c>
      <c r="C527" s="4">
        <v>95</v>
      </c>
      <c r="D527" s="8">
        <v>2.61</v>
      </c>
      <c r="E527" s="4">
        <v>5</v>
      </c>
      <c r="F527" s="8">
        <v>0.32</v>
      </c>
      <c r="G527" s="4">
        <v>89</v>
      </c>
      <c r="H527" s="8">
        <v>4.38</v>
      </c>
      <c r="I527" s="4">
        <v>1</v>
      </c>
    </row>
    <row r="528" spans="1:9" x14ac:dyDescent="0.2">
      <c r="A528" s="2">
        <v>11</v>
      </c>
      <c r="B528" s="1" t="s">
        <v>222</v>
      </c>
      <c r="C528" s="4">
        <v>92</v>
      </c>
      <c r="D528" s="8">
        <v>2.5299999999999998</v>
      </c>
      <c r="E528" s="4">
        <v>32</v>
      </c>
      <c r="F528" s="8">
        <v>2.0699999999999998</v>
      </c>
      <c r="G528" s="4">
        <v>60</v>
      </c>
      <c r="H528" s="8">
        <v>2.95</v>
      </c>
      <c r="I528" s="4">
        <v>0</v>
      </c>
    </row>
    <row r="529" spans="1:9" x14ac:dyDescent="0.2">
      <c r="A529" s="2">
        <v>12</v>
      </c>
      <c r="B529" s="1" t="s">
        <v>220</v>
      </c>
      <c r="C529" s="4">
        <v>81</v>
      </c>
      <c r="D529" s="8">
        <v>2.2200000000000002</v>
      </c>
      <c r="E529" s="4">
        <v>22</v>
      </c>
      <c r="F529" s="8">
        <v>1.42</v>
      </c>
      <c r="G529" s="4">
        <v>59</v>
      </c>
      <c r="H529" s="8">
        <v>2.9</v>
      </c>
      <c r="I529" s="4">
        <v>0</v>
      </c>
    </row>
    <row r="530" spans="1:9" x14ac:dyDescent="0.2">
      <c r="A530" s="2">
        <v>12</v>
      </c>
      <c r="B530" s="1" t="s">
        <v>221</v>
      </c>
      <c r="C530" s="4">
        <v>81</v>
      </c>
      <c r="D530" s="8">
        <v>2.2200000000000002</v>
      </c>
      <c r="E530" s="4">
        <v>37</v>
      </c>
      <c r="F530" s="8">
        <v>2.39</v>
      </c>
      <c r="G530" s="4">
        <v>44</v>
      </c>
      <c r="H530" s="8">
        <v>2.16</v>
      </c>
      <c r="I530" s="4">
        <v>0</v>
      </c>
    </row>
    <row r="531" spans="1:9" x14ac:dyDescent="0.2">
      <c r="A531" s="2">
        <v>14</v>
      </c>
      <c r="B531" s="1" t="s">
        <v>225</v>
      </c>
      <c r="C531" s="4">
        <v>77</v>
      </c>
      <c r="D531" s="8">
        <v>2.11</v>
      </c>
      <c r="E531" s="4">
        <v>53</v>
      </c>
      <c r="F531" s="8">
        <v>3.42</v>
      </c>
      <c r="G531" s="4">
        <v>24</v>
      </c>
      <c r="H531" s="8">
        <v>1.18</v>
      </c>
      <c r="I531" s="4">
        <v>0</v>
      </c>
    </row>
    <row r="532" spans="1:9" x14ac:dyDescent="0.2">
      <c r="A532" s="2">
        <v>15</v>
      </c>
      <c r="B532" s="1" t="s">
        <v>218</v>
      </c>
      <c r="C532" s="4">
        <v>70</v>
      </c>
      <c r="D532" s="8">
        <v>1.92</v>
      </c>
      <c r="E532" s="4">
        <v>5</v>
      </c>
      <c r="F532" s="8">
        <v>0.32</v>
      </c>
      <c r="G532" s="4">
        <v>65</v>
      </c>
      <c r="H532" s="8">
        <v>3.2</v>
      </c>
      <c r="I532" s="4">
        <v>0</v>
      </c>
    </row>
    <row r="533" spans="1:9" x14ac:dyDescent="0.2">
      <c r="A533" s="2">
        <v>16</v>
      </c>
      <c r="B533" s="1" t="s">
        <v>236</v>
      </c>
      <c r="C533" s="4">
        <v>67</v>
      </c>
      <c r="D533" s="8">
        <v>1.84</v>
      </c>
      <c r="E533" s="4">
        <v>41</v>
      </c>
      <c r="F533" s="8">
        <v>2.65</v>
      </c>
      <c r="G533" s="4">
        <v>26</v>
      </c>
      <c r="H533" s="8">
        <v>1.28</v>
      </c>
      <c r="I533" s="4">
        <v>0</v>
      </c>
    </row>
    <row r="534" spans="1:9" x14ac:dyDescent="0.2">
      <c r="A534" s="2">
        <v>16</v>
      </c>
      <c r="B534" s="1" t="s">
        <v>232</v>
      </c>
      <c r="C534" s="4">
        <v>67</v>
      </c>
      <c r="D534" s="8">
        <v>1.84</v>
      </c>
      <c r="E534" s="4">
        <v>3</v>
      </c>
      <c r="F534" s="8">
        <v>0.19</v>
      </c>
      <c r="G534" s="4">
        <v>50</v>
      </c>
      <c r="H534" s="8">
        <v>2.46</v>
      </c>
      <c r="I534" s="4">
        <v>1</v>
      </c>
    </row>
    <row r="535" spans="1:9" x14ac:dyDescent="0.2">
      <c r="A535" s="2">
        <v>18</v>
      </c>
      <c r="B535" s="1" t="s">
        <v>226</v>
      </c>
      <c r="C535" s="4">
        <v>58</v>
      </c>
      <c r="D535" s="8">
        <v>1.59</v>
      </c>
      <c r="E535" s="4">
        <v>15</v>
      </c>
      <c r="F535" s="8">
        <v>0.97</v>
      </c>
      <c r="G535" s="4">
        <v>43</v>
      </c>
      <c r="H535" s="8">
        <v>2.11</v>
      </c>
      <c r="I535" s="4">
        <v>0</v>
      </c>
    </row>
    <row r="536" spans="1:9" x14ac:dyDescent="0.2">
      <c r="A536" s="2">
        <v>19</v>
      </c>
      <c r="B536" s="1" t="s">
        <v>239</v>
      </c>
      <c r="C536" s="4">
        <v>55</v>
      </c>
      <c r="D536" s="8">
        <v>1.51</v>
      </c>
      <c r="E536" s="4">
        <v>5</v>
      </c>
      <c r="F536" s="8">
        <v>0.32</v>
      </c>
      <c r="G536" s="4">
        <v>50</v>
      </c>
      <c r="H536" s="8">
        <v>2.46</v>
      </c>
      <c r="I536" s="4">
        <v>0</v>
      </c>
    </row>
    <row r="537" spans="1:9" x14ac:dyDescent="0.2">
      <c r="A537" s="2">
        <v>20</v>
      </c>
      <c r="B537" s="1" t="s">
        <v>229</v>
      </c>
      <c r="C537" s="4">
        <v>54</v>
      </c>
      <c r="D537" s="8">
        <v>1.48</v>
      </c>
      <c r="E537" s="4">
        <v>23</v>
      </c>
      <c r="F537" s="8">
        <v>1.48</v>
      </c>
      <c r="G537" s="4">
        <v>31</v>
      </c>
      <c r="H537" s="8">
        <v>1.52</v>
      </c>
      <c r="I537" s="4">
        <v>0</v>
      </c>
    </row>
    <row r="538" spans="1:9" x14ac:dyDescent="0.2">
      <c r="A538" s="1"/>
      <c r="C538" s="4"/>
      <c r="D538" s="8"/>
      <c r="E538" s="4"/>
      <c r="F538" s="8"/>
      <c r="G538" s="4"/>
      <c r="H538" s="8"/>
      <c r="I538" s="4"/>
    </row>
    <row r="539" spans="1:9" x14ac:dyDescent="0.2">
      <c r="A539" s="1" t="s">
        <v>24</v>
      </c>
      <c r="C539" s="4"/>
      <c r="D539" s="8"/>
      <c r="E539" s="4"/>
      <c r="F539" s="8"/>
      <c r="G539" s="4"/>
      <c r="H539" s="8"/>
      <c r="I539" s="4"/>
    </row>
    <row r="540" spans="1:9" x14ac:dyDescent="0.2">
      <c r="A540" s="2">
        <v>1</v>
      </c>
      <c r="B540" s="1" t="s">
        <v>227</v>
      </c>
      <c r="C540" s="4">
        <v>157</v>
      </c>
      <c r="D540" s="8">
        <v>16.29</v>
      </c>
      <c r="E540" s="4">
        <v>139</v>
      </c>
      <c r="F540" s="8">
        <v>28.9</v>
      </c>
      <c r="G540" s="4">
        <v>18</v>
      </c>
      <c r="H540" s="8">
        <v>3.87</v>
      </c>
      <c r="I540" s="4">
        <v>0</v>
      </c>
    </row>
    <row r="541" spans="1:9" x14ac:dyDescent="0.2">
      <c r="A541" s="2">
        <v>2</v>
      </c>
      <c r="B541" s="1" t="s">
        <v>228</v>
      </c>
      <c r="C541" s="4">
        <v>114</v>
      </c>
      <c r="D541" s="8">
        <v>11.83</v>
      </c>
      <c r="E541" s="4">
        <v>105</v>
      </c>
      <c r="F541" s="8">
        <v>21.83</v>
      </c>
      <c r="G541" s="4">
        <v>9</v>
      </c>
      <c r="H541" s="8">
        <v>1.94</v>
      </c>
      <c r="I541" s="4">
        <v>0</v>
      </c>
    </row>
    <row r="542" spans="1:9" x14ac:dyDescent="0.2">
      <c r="A542" s="2">
        <v>3</v>
      </c>
      <c r="B542" s="1" t="s">
        <v>224</v>
      </c>
      <c r="C542" s="4">
        <v>71</v>
      </c>
      <c r="D542" s="8">
        <v>7.37</v>
      </c>
      <c r="E542" s="4">
        <v>46</v>
      </c>
      <c r="F542" s="8">
        <v>9.56</v>
      </c>
      <c r="G542" s="4">
        <v>23</v>
      </c>
      <c r="H542" s="8">
        <v>4.95</v>
      </c>
      <c r="I542" s="4">
        <v>0</v>
      </c>
    </row>
    <row r="543" spans="1:9" x14ac:dyDescent="0.2">
      <c r="A543" s="2">
        <v>4</v>
      </c>
      <c r="B543" s="1" t="s">
        <v>223</v>
      </c>
      <c r="C543" s="4">
        <v>62</v>
      </c>
      <c r="D543" s="8">
        <v>6.43</v>
      </c>
      <c r="E543" s="4">
        <v>23</v>
      </c>
      <c r="F543" s="8">
        <v>4.78</v>
      </c>
      <c r="G543" s="4">
        <v>39</v>
      </c>
      <c r="H543" s="8">
        <v>8.39</v>
      </c>
      <c r="I543" s="4">
        <v>0</v>
      </c>
    </row>
    <row r="544" spans="1:9" x14ac:dyDescent="0.2">
      <c r="A544" s="2">
        <v>5</v>
      </c>
      <c r="B544" s="1" t="s">
        <v>214</v>
      </c>
      <c r="C544" s="4">
        <v>53</v>
      </c>
      <c r="D544" s="8">
        <v>5.5</v>
      </c>
      <c r="E544" s="4">
        <v>23</v>
      </c>
      <c r="F544" s="8">
        <v>4.78</v>
      </c>
      <c r="G544" s="4">
        <v>30</v>
      </c>
      <c r="H544" s="8">
        <v>6.45</v>
      </c>
      <c r="I544" s="4">
        <v>0</v>
      </c>
    </row>
    <row r="545" spans="1:9" x14ac:dyDescent="0.2">
      <c r="A545" s="2">
        <v>6</v>
      </c>
      <c r="B545" s="1" t="s">
        <v>213</v>
      </c>
      <c r="C545" s="4">
        <v>46</v>
      </c>
      <c r="D545" s="8">
        <v>4.7699999999999996</v>
      </c>
      <c r="E545" s="4">
        <v>6</v>
      </c>
      <c r="F545" s="8">
        <v>1.25</v>
      </c>
      <c r="G545" s="4">
        <v>40</v>
      </c>
      <c r="H545" s="8">
        <v>8.6</v>
      </c>
      <c r="I545" s="4">
        <v>0</v>
      </c>
    </row>
    <row r="546" spans="1:9" x14ac:dyDescent="0.2">
      <c r="A546" s="2">
        <v>7</v>
      </c>
      <c r="B546" s="1" t="s">
        <v>221</v>
      </c>
      <c r="C546" s="4">
        <v>35</v>
      </c>
      <c r="D546" s="8">
        <v>3.63</v>
      </c>
      <c r="E546" s="4">
        <v>21</v>
      </c>
      <c r="F546" s="8">
        <v>4.37</v>
      </c>
      <c r="G546" s="4">
        <v>14</v>
      </c>
      <c r="H546" s="8">
        <v>3.01</v>
      </c>
      <c r="I546" s="4">
        <v>0</v>
      </c>
    </row>
    <row r="547" spans="1:9" x14ac:dyDescent="0.2">
      <c r="A547" s="2">
        <v>8</v>
      </c>
      <c r="B547" s="1" t="s">
        <v>217</v>
      </c>
      <c r="C547" s="4">
        <v>23</v>
      </c>
      <c r="D547" s="8">
        <v>2.39</v>
      </c>
      <c r="E547" s="4">
        <v>2</v>
      </c>
      <c r="F547" s="8">
        <v>0.42</v>
      </c>
      <c r="G547" s="4">
        <v>21</v>
      </c>
      <c r="H547" s="8">
        <v>4.5199999999999996</v>
      </c>
      <c r="I547" s="4">
        <v>0</v>
      </c>
    </row>
    <row r="548" spans="1:9" x14ac:dyDescent="0.2">
      <c r="A548" s="2">
        <v>9</v>
      </c>
      <c r="B548" s="1" t="s">
        <v>215</v>
      </c>
      <c r="C548" s="4">
        <v>22</v>
      </c>
      <c r="D548" s="8">
        <v>2.2799999999999998</v>
      </c>
      <c r="E548" s="4">
        <v>1</v>
      </c>
      <c r="F548" s="8">
        <v>0.21</v>
      </c>
      <c r="G548" s="4">
        <v>21</v>
      </c>
      <c r="H548" s="8">
        <v>4.5199999999999996</v>
      </c>
      <c r="I548" s="4">
        <v>0</v>
      </c>
    </row>
    <row r="549" spans="1:9" x14ac:dyDescent="0.2">
      <c r="A549" s="2">
        <v>10</v>
      </c>
      <c r="B549" s="1" t="s">
        <v>231</v>
      </c>
      <c r="C549" s="4">
        <v>21</v>
      </c>
      <c r="D549" s="8">
        <v>2.1800000000000002</v>
      </c>
      <c r="E549" s="4">
        <v>17</v>
      </c>
      <c r="F549" s="8">
        <v>3.53</v>
      </c>
      <c r="G549" s="4">
        <v>4</v>
      </c>
      <c r="H549" s="8">
        <v>0.86</v>
      </c>
      <c r="I549" s="4">
        <v>0</v>
      </c>
    </row>
    <row r="550" spans="1:9" x14ac:dyDescent="0.2">
      <c r="A550" s="2">
        <v>11</v>
      </c>
      <c r="B550" s="1" t="s">
        <v>241</v>
      </c>
      <c r="C550" s="4">
        <v>20</v>
      </c>
      <c r="D550" s="8">
        <v>2.0699999999999998</v>
      </c>
      <c r="E550" s="4">
        <v>3</v>
      </c>
      <c r="F550" s="8">
        <v>0.62</v>
      </c>
      <c r="G550" s="4">
        <v>16</v>
      </c>
      <c r="H550" s="8">
        <v>3.44</v>
      </c>
      <c r="I550" s="4">
        <v>1</v>
      </c>
    </row>
    <row r="551" spans="1:9" x14ac:dyDescent="0.2">
      <c r="A551" s="2">
        <v>11</v>
      </c>
      <c r="B551" s="1" t="s">
        <v>218</v>
      </c>
      <c r="C551" s="4">
        <v>20</v>
      </c>
      <c r="D551" s="8">
        <v>2.0699999999999998</v>
      </c>
      <c r="E551" s="4">
        <v>0</v>
      </c>
      <c r="F551" s="8">
        <v>0</v>
      </c>
      <c r="G551" s="4">
        <v>20</v>
      </c>
      <c r="H551" s="8">
        <v>4.3</v>
      </c>
      <c r="I551" s="4">
        <v>0</v>
      </c>
    </row>
    <row r="552" spans="1:9" x14ac:dyDescent="0.2">
      <c r="A552" s="2">
        <v>13</v>
      </c>
      <c r="B552" s="1" t="s">
        <v>222</v>
      </c>
      <c r="C552" s="4">
        <v>19</v>
      </c>
      <c r="D552" s="8">
        <v>1.97</v>
      </c>
      <c r="E552" s="4">
        <v>9</v>
      </c>
      <c r="F552" s="8">
        <v>1.87</v>
      </c>
      <c r="G552" s="4">
        <v>10</v>
      </c>
      <c r="H552" s="8">
        <v>2.15</v>
      </c>
      <c r="I552" s="4">
        <v>0</v>
      </c>
    </row>
    <row r="553" spans="1:9" x14ac:dyDescent="0.2">
      <c r="A553" s="2">
        <v>13</v>
      </c>
      <c r="B553" s="1" t="s">
        <v>230</v>
      </c>
      <c r="C553" s="4">
        <v>19</v>
      </c>
      <c r="D553" s="8">
        <v>1.97</v>
      </c>
      <c r="E553" s="4">
        <v>9</v>
      </c>
      <c r="F553" s="8">
        <v>1.87</v>
      </c>
      <c r="G553" s="4">
        <v>5</v>
      </c>
      <c r="H553" s="8">
        <v>1.08</v>
      </c>
      <c r="I553" s="4">
        <v>0</v>
      </c>
    </row>
    <row r="554" spans="1:9" x14ac:dyDescent="0.2">
      <c r="A554" s="2">
        <v>13</v>
      </c>
      <c r="B554" s="1" t="s">
        <v>232</v>
      </c>
      <c r="C554" s="4">
        <v>19</v>
      </c>
      <c r="D554" s="8">
        <v>1.97</v>
      </c>
      <c r="E554" s="4">
        <v>1</v>
      </c>
      <c r="F554" s="8">
        <v>0.21</v>
      </c>
      <c r="G554" s="4">
        <v>14</v>
      </c>
      <c r="H554" s="8">
        <v>3.01</v>
      </c>
      <c r="I554" s="4">
        <v>0</v>
      </c>
    </row>
    <row r="555" spans="1:9" x14ac:dyDescent="0.2">
      <c r="A555" s="2">
        <v>16</v>
      </c>
      <c r="B555" s="1" t="s">
        <v>220</v>
      </c>
      <c r="C555" s="4">
        <v>18</v>
      </c>
      <c r="D555" s="8">
        <v>1.87</v>
      </c>
      <c r="E555" s="4">
        <v>10</v>
      </c>
      <c r="F555" s="8">
        <v>2.08</v>
      </c>
      <c r="G555" s="4">
        <v>8</v>
      </c>
      <c r="H555" s="8">
        <v>1.72</v>
      </c>
      <c r="I555" s="4">
        <v>0</v>
      </c>
    </row>
    <row r="556" spans="1:9" x14ac:dyDescent="0.2">
      <c r="A556" s="2">
        <v>17</v>
      </c>
      <c r="B556" s="1" t="s">
        <v>226</v>
      </c>
      <c r="C556" s="4">
        <v>17</v>
      </c>
      <c r="D556" s="8">
        <v>1.76</v>
      </c>
      <c r="E556" s="4">
        <v>6</v>
      </c>
      <c r="F556" s="8">
        <v>1.25</v>
      </c>
      <c r="G556" s="4">
        <v>10</v>
      </c>
      <c r="H556" s="8">
        <v>2.15</v>
      </c>
      <c r="I556" s="4">
        <v>0</v>
      </c>
    </row>
    <row r="557" spans="1:9" x14ac:dyDescent="0.2">
      <c r="A557" s="2">
        <v>17</v>
      </c>
      <c r="B557" s="1" t="s">
        <v>243</v>
      </c>
      <c r="C557" s="4">
        <v>17</v>
      </c>
      <c r="D557" s="8">
        <v>1.76</v>
      </c>
      <c r="E557" s="4">
        <v>12</v>
      </c>
      <c r="F557" s="8">
        <v>2.4900000000000002</v>
      </c>
      <c r="G557" s="4">
        <v>5</v>
      </c>
      <c r="H557" s="8">
        <v>1.08</v>
      </c>
      <c r="I557" s="4">
        <v>0</v>
      </c>
    </row>
    <row r="558" spans="1:9" x14ac:dyDescent="0.2">
      <c r="A558" s="2">
        <v>17</v>
      </c>
      <c r="B558" s="1" t="s">
        <v>240</v>
      </c>
      <c r="C558" s="4">
        <v>17</v>
      </c>
      <c r="D558" s="8">
        <v>1.76</v>
      </c>
      <c r="E558" s="4">
        <v>7</v>
      </c>
      <c r="F558" s="8">
        <v>1.46</v>
      </c>
      <c r="G558" s="4">
        <v>10</v>
      </c>
      <c r="H558" s="8">
        <v>2.15</v>
      </c>
      <c r="I558" s="4">
        <v>0</v>
      </c>
    </row>
    <row r="559" spans="1:9" x14ac:dyDescent="0.2">
      <c r="A559" s="2">
        <v>20</v>
      </c>
      <c r="B559" s="1" t="s">
        <v>219</v>
      </c>
      <c r="C559" s="4">
        <v>15</v>
      </c>
      <c r="D559" s="8">
        <v>1.56</v>
      </c>
      <c r="E559" s="4">
        <v>2</v>
      </c>
      <c r="F559" s="8">
        <v>0.42</v>
      </c>
      <c r="G559" s="4">
        <v>13</v>
      </c>
      <c r="H559" s="8">
        <v>2.8</v>
      </c>
      <c r="I559" s="4">
        <v>0</v>
      </c>
    </row>
    <row r="560" spans="1:9" x14ac:dyDescent="0.2">
      <c r="A560" s="2">
        <v>20</v>
      </c>
      <c r="B560" s="1" t="s">
        <v>237</v>
      </c>
      <c r="C560" s="4">
        <v>15</v>
      </c>
      <c r="D560" s="8">
        <v>1.56</v>
      </c>
      <c r="E560" s="4">
        <v>2</v>
      </c>
      <c r="F560" s="8">
        <v>0.42</v>
      </c>
      <c r="G560" s="4">
        <v>13</v>
      </c>
      <c r="H560" s="8">
        <v>2.8</v>
      </c>
      <c r="I560" s="4">
        <v>0</v>
      </c>
    </row>
    <row r="561" spans="1:9" x14ac:dyDescent="0.2">
      <c r="A561" s="1"/>
      <c r="C561" s="4"/>
      <c r="D561" s="8"/>
      <c r="E561" s="4"/>
      <c r="F561" s="8"/>
      <c r="G561" s="4"/>
      <c r="H561" s="8"/>
      <c r="I561" s="4"/>
    </row>
    <row r="562" spans="1:9" x14ac:dyDescent="0.2">
      <c r="A562" s="1" t="s">
        <v>25</v>
      </c>
      <c r="C562" s="4"/>
      <c r="D562" s="8"/>
      <c r="E562" s="4"/>
      <c r="F562" s="8"/>
      <c r="G562" s="4"/>
      <c r="H562" s="8"/>
      <c r="I562" s="4"/>
    </row>
    <row r="563" spans="1:9" x14ac:dyDescent="0.2">
      <c r="A563" s="2">
        <v>1</v>
      </c>
      <c r="B563" s="1" t="s">
        <v>228</v>
      </c>
      <c r="C563" s="4">
        <v>66</v>
      </c>
      <c r="D563" s="8">
        <v>13.23</v>
      </c>
      <c r="E563" s="4">
        <v>57</v>
      </c>
      <c r="F563" s="8">
        <v>20.65</v>
      </c>
      <c r="G563" s="4">
        <v>8</v>
      </c>
      <c r="H563" s="8">
        <v>3.7</v>
      </c>
      <c r="I563" s="4">
        <v>1</v>
      </c>
    </row>
    <row r="564" spans="1:9" x14ac:dyDescent="0.2">
      <c r="A564" s="2">
        <v>2</v>
      </c>
      <c r="B564" s="1" t="s">
        <v>227</v>
      </c>
      <c r="C564" s="4">
        <v>57</v>
      </c>
      <c r="D564" s="8">
        <v>11.42</v>
      </c>
      <c r="E564" s="4">
        <v>50</v>
      </c>
      <c r="F564" s="8">
        <v>18.12</v>
      </c>
      <c r="G564" s="4">
        <v>7</v>
      </c>
      <c r="H564" s="8">
        <v>3.24</v>
      </c>
      <c r="I564" s="4">
        <v>0</v>
      </c>
    </row>
    <row r="565" spans="1:9" x14ac:dyDescent="0.2">
      <c r="A565" s="2">
        <v>3</v>
      </c>
      <c r="B565" s="1" t="s">
        <v>224</v>
      </c>
      <c r="C565" s="4">
        <v>56</v>
      </c>
      <c r="D565" s="8">
        <v>11.22</v>
      </c>
      <c r="E565" s="4">
        <v>35</v>
      </c>
      <c r="F565" s="8">
        <v>12.68</v>
      </c>
      <c r="G565" s="4">
        <v>21</v>
      </c>
      <c r="H565" s="8">
        <v>9.7200000000000006</v>
      </c>
      <c r="I565" s="4">
        <v>0</v>
      </c>
    </row>
    <row r="566" spans="1:9" x14ac:dyDescent="0.2">
      <c r="A566" s="2">
        <v>4</v>
      </c>
      <c r="B566" s="1" t="s">
        <v>223</v>
      </c>
      <c r="C566" s="4">
        <v>53</v>
      </c>
      <c r="D566" s="8">
        <v>10.62</v>
      </c>
      <c r="E566" s="4">
        <v>24</v>
      </c>
      <c r="F566" s="8">
        <v>8.6999999999999993</v>
      </c>
      <c r="G566" s="4">
        <v>29</v>
      </c>
      <c r="H566" s="8">
        <v>13.43</v>
      </c>
      <c r="I566" s="4">
        <v>0</v>
      </c>
    </row>
    <row r="567" spans="1:9" x14ac:dyDescent="0.2">
      <c r="A567" s="2">
        <v>5</v>
      </c>
      <c r="B567" s="1" t="s">
        <v>214</v>
      </c>
      <c r="C567" s="4">
        <v>41</v>
      </c>
      <c r="D567" s="8">
        <v>8.2200000000000006</v>
      </c>
      <c r="E567" s="4">
        <v>20</v>
      </c>
      <c r="F567" s="8">
        <v>7.25</v>
      </c>
      <c r="G567" s="4">
        <v>21</v>
      </c>
      <c r="H567" s="8">
        <v>9.7200000000000006</v>
      </c>
      <c r="I567" s="4">
        <v>0</v>
      </c>
    </row>
    <row r="568" spans="1:9" x14ac:dyDescent="0.2">
      <c r="A568" s="2">
        <v>6</v>
      </c>
      <c r="B568" s="1" t="s">
        <v>213</v>
      </c>
      <c r="C568" s="4">
        <v>25</v>
      </c>
      <c r="D568" s="8">
        <v>5.01</v>
      </c>
      <c r="E568" s="4">
        <v>7</v>
      </c>
      <c r="F568" s="8">
        <v>2.54</v>
      </c>
      <c r="G568" s="4">
        <v>18</v>
      </c>
      <c r="H568" s="8">
        <v>8.33</v>
      </c>
      <c r="I568" s="4">
        <v>0</v>
      </c>
    </row>
    <row r="569" spans="1:9" x14ac:dyDescent="0.2">
      <c r="A569" s="2">
        <v>7</v>
      </c>
      <c r="B569" s="1" t="s">
        <v>221</v>
      </c>
      <c r="C569" s="4">
        <v>17</v>
      </c>
      <c r="D569" s="8">
        <v>3.41</v>
      </c>
      <c r="E569" s="4">
        <v>8</v>
      </c>
      <c r="F569" s="8">
        <v>2.9</v>
      </c>
      <c r="G569" s="4">
        <v>8</v>
      </c>
      <c r="H569" s="8">
        <v>3.7</v>
      </c>
      <c r="I569" s="4">
        <v>1</v>
      </c>
    </row>
    <row r="570" spans="1:9" x14ac:dyDescent="0.2">
      <c r="A570" s="2">
        <v>8</v>
      </c>
      <c r="B570" s="1" t="s">
        <v>220</v>
      </c>
      <c r="C570" s="4">
        <v>16</v>
      </c>
      <c r="D570" s="8">
        <v>3.21</v>
      </c>
      <c r="E570" s="4">
        <v>10</v>
      </c>
      <c r="F570" s="8">
        <v>3.62</v>
      </c>
      <c r="G570" s="4">
        <v>6</v>
      </c>
      <c r="H570" s="8">
        <v>2.78</v>
      </c>
      <c r="I570" s="4">
        <v>0</v>
      </c>
    </row>
    <row r="571" spans="1:9" x14ac:dyDescent="0.2">
      <c r="A571" s="2">
        <v>9</v>
      </c>
      <c r="B571" s="1" t="s">
        <v>215</v>
      </c>
      <c r="C571" s="4">
        <v>15</v>
      </c>
      <c r="D571" s="8">
        <v>3.01</v>
      </c>
      <c r="E571" s="4">
        <v>5</v>
      </c>
      <c r="F571" s="8">
        <v>1.81</v>
      </c>
      <c r="G571" s="4">
        <v>10</v>
      </c>
      <c r="H571" s="8">
        <v>4.63</v>
      </c>
      <c r="I571" s="4">
        <v>0</v>
      </c>
    </row>
    <row r="572" spans="1:9" x14ac:dyDescent="0.2">
      <c r="A572" s="2">
        <v>10</v>
      </c>
      <c r="B572" s="1" t="s">
        <v>222</v>
      </c>
      <c r="C572" s="4">
        <v>14</v>
      </c>
      <c r="D572" s="8">
        <v>2.81</v>
      </c>
      <c r="E572" s="4">
        <v>6</v>
      </c>
      <c r="F572" s="8">
        <v>2.17</v>
      </c>
      <c r="G572" s="4">
        <v>8</v>
      </c>
      <c r="H572" s="8">
        <v>3.7</v>
      </c>
      <c r="I572" s="4">
        <v>0</v>
      </c>
    </row>
    <row r="573" spans="1:9" x14ac:dyDescent="0.2">
      <c r="A573" s="2">
        <v>10</v>
      </c>
      <c r="B573" s="1" t="s">
        <v>230</v>
      </c>
      <c r="C573" s="4">
        <v>14</v>
      </c>
      <c r="D573" s="8">
        <v>2.81</v>
      </c>
      <c r="E573" s="4">
        <v>11</v>
      </c>
      <c r="F573" s="8">
        <v>3.99</v>
      </c>
      <c r="G573" s="4">
        <v>2</v>
      </c>
      <c r="H573" s="8">
        <v>0.93</v>
      </c>
      <c r="I573" s="4">
        <v>0</v>
      </c>
    </row>
    <row r="574" spans="1:9" x14ac:dyDescent="0.2">
      <c r="A574" s="2">
        <v>10</v>
      </c>
      <c r="B574" s="1" t="s">
        <v>231</v>
      </c>
      <c r="C574" s="4">
        <v>14</v>
      </c>
      <c r="D574" s="8">
        <v>2.81</v>
      </c>
      <c r="E574" s="4">
        <v>14</v>
      </c>
      <c r="F574" s="8">
        <v>5.07</v>
      </c>
      <c r="G574" s="4">
        <v>0</v>
      </c>
      <c r="H574" s="8">
        <v>0</v>
      </c>
      <c r="I574" s="4">
        <v>0</v>
      </c>
    </row>
    <row r="575" spans="1:9" x14ac:dyDescent="0.2">
      <c r="A575" s="2">
        <v>13</v>
      </c>
      <c r="B575" s="1" t="s">
        <v>217</v>
      </c>
      <c r="C575" s="4">
        <v>8</v>
      </c>
      <c r="D575" s="8">
        <v>1.6</v>
      </c>
      <c r="E575" s="4">
        <v>5</v>
      </c>
      <c r="F575" s="8">
        <v>1.81</v>
      </c>
      <c r="G575" s="4">
        <v>3</v>
      </c>
      <c r="H575" s="8">
        <v>1.39</v>
      </c>
      <c r="I575" s="4">
        <v>0</v>
      </c>
    </row>
    <row r="576" spans="1:9" x14ac:dyDescent="0.2">
      <c r="A576" s="2">
        <v>14</v>
      </c>
      <c r="B576" s="1" t="s">
        <v>236</v>
      </c>
      <c r="C576" s="4">
        <v>6</v>
      </c>
      <c r="D576" s="8">
        <v>1.2</v>
      </c>
      <c r="E576" s="4">
        <v>1</v>
      </c>
      <c r="F576" s="8">
        <v>0.36</v>
      </c>
      <c r="G576" s="4">
        <v>5</v>
      </c>
      <c r="H576" s="8">
        <v>2.31</v>
      </c>
      <c r="I576" s="4">
        <v>0</v>
      </c>
    </row>
    <row r="577" spans="1:9" x14ac:dyDescent="0.2">
      <c r="A577" s="2">
        <v>14</v>
      </c>
      <c r="B577" s="1" t="s">
        <v>240</v>
      </c>
      <c r="C577" s="4">
        <v>6</v>
      </c>
      <c r="D577" s="8">
        <v>1.2</v>
      </c>
      <c r="E577" s="4">
        <v>3</v>
      </c>
      <c r="F577" s="8">
        <v>1.0900000000000001</v>
      </c>
      <c r="G577" s="4">
        <v>3</v>
      </c>
      <c r="H577" s="8">
        <v>1.39</v>
      </c>
      <c r="I577" s="4">
        <v>0</v>
      </c>
    </row>
    <row r="578" spans="1:9" x14ac:dyDescent="0.2">
      <c r="A578" s="2">
        <v>16</v>
      </c>
      <c r="B578" s="1" t="s">
        <v>252</v>
      </c>
      <c r="C578" s="4">
        <v>5</v>
      </c>
      <c r="D578" s="8">
        <v>1</v>
      </c>
      <c r="E578" s="4">
        <v>2</v>
      </c>
      <c r="F578" s="8">
        <v>0.72</v>
      </c>
      <c r="G578" s="4">
        <v>3</v>
      </c>
      <c r="H578" s="8">
        <v>1.39</v>
      </c>
      <c r="I578" s="4">
        <v>0</v>
      </c>
    </row>
    <row r="579" spans="1:9" x14ac:dyDescent="0.2">
      <c r="A579" s="2">
        <v>16</v>
      </c>
      <c r="B579" s="1" t="s">
        <v>245</v>
      </c>
      <c r="C579" s="4">
        <v>5</v>
      </c>
      <c r="D579" s="8">
        <v>1</v>
      </c>
      <c r="E579" s="4">
        <v>0</v>
      </c>
      <c r="F579" s="8">
        <v>0</v>
      </c>
      <c r="G579" s="4">
        <v>5</v>
      </c>
      <c r="H579" s="8">
        <v>2.31</v>
      </c>
      <c r="I579" s="4">
        <v>0</v>
      </c>
    </row>
    <row r="580" spans="1:9" x14ac:dyDescent="0.2">
      <c r="A580" s="2">
        <v>16</v>
      </c>
      <c r="B580" s="1" t="s">
        <v>247</v>
      </c>
      <c r="C580" s="4">
        <v>5</v>
      </c>
      <c r="D580" s="8">
        <v>1</v>
      </c>
      <c r="E580" s="4">
        <v>3</v>
      </c>
      <c r="F580" s="8">
        <v>1.0900000000000001</v>
      </c>
      <c r="G580" s="4">
        <v>1</v>
      </c>
      <c r="H580" s="8">
        <v>0.46</v>
      </c>
      <c r="I580" s="4">
        <v>0</v>
      </c>
    </row>
    <row r="581" spans="1:9" x14ac:dyDescent="0.2">
      <c r="A581" s="2">
        <v>19</v>
      </c>
      <c r="B581" s="1" t="s">
        <v>241</v>
      </c>
      <c r="C581" s="4">
        <v>4</v>
      </c>
      <c r="D581" s="8">
        <v>0.8</v>
      </c>
      <c r="E581" s="4">
        <v>0</v>
      </c>
      <c r="F581" s="8">
        <v>0</v>
      </c>
      <c r="G581" s="4">
        <v>4</v>
      </c>
      <c r="H581" s="8">
        <v>1.85</v>
      </c>
      <c r="I581" s="4">
        <v>0</v>
      </c>
    </row>
    <row r="582" spans="1:9" x14ac:dyDescent="0.2">
      <c r="A582" s="2">
        <v>19</v>
      </c>
      <c r="B582" s="1" t="s">
        <v>251</v>
      </c>
      <c r="C582" s="4">
        <v>4</v>
      </c>
      <c r="D582" s="8">
        <v>0.8</v>
      </c>
      <c r="E582" s="4">
        <v>1</v>
      </c>
      <c r="F582" s="8">
        <v>0.36</v>
      </c>
      <c r="G582" s="4">
        <v>3</v>
      </c>
      <c r="H582" s="8">
        <v>1.39</v>
      </c>
      <c r="I582" s="4">
        <v>0</v>
      </c>
    </row>
    <row r="583" spans="1:9" x14ac:dyDescent="0.2">
      <c r="A583" s="2">
        <v>19</v>
      </c>
      <c r="B583" s="1" t="s">
        <v>225</v>
      </c>
      <c r="C583" s="4">
        <v>4</v>
      </c>
      <c r="D583" s="8">
        <v>0.8</v>
      </c>
      <c r="E583" s="4">
        <v>3</v>
      </c>
      <c r="F583" s="8">
        <v>1.0900000000000001</v>
      </c>
      <c r="G583" s="4">
        <v>1</v>
      </c>
      <c r="H583" s="8">
        <v>0.46</v>
      </c>
      <c r="I583" s="4">
        <v>0</v>
      </c>
    </row>
    <row r="584" spans="1:9" x14ac:dyDescent="0.2">
      <c r="A584" s="2">
        <v>19</v>
      </c>
      <c r="B584" s="1" t="s">
        <v>229</v>
      </c>
      <c r="C584" s="4">
        <v>4</v>
      </c>
      <c r="D584" s="8">
        <v>0.8</v>
      </c>
      <c r="E584" s="4">
        <v>2</v>
      </c>
      <c r="F584" s="8">
        <v>0.72</v>
      </c>
      <c r="G584" s="4">
        <v>2</v>
      </c>
      <c r="H584" s="8">
        <v>0.93</v>
      </c>
      <c r="I584" s="4">
        <v>0</v>
      </c>
    </row>
    <row r="585" spans="1:9" x14ac:dyDescent="0.2">
      <c r="A585" s="2">
        <v>19</v>
      </c>
      <c r="B585" s="1" t="s">
        <v>232</v>
      </c>
      <c r="C585" s="4">
        <v>4</v>
      </c>
      <c r="D585" s="8">
        <v>0.8</v>
      </c>
      <c r="E585" s="4">
        <v>1</v>
      </c>
      <c r="F585" s="8">
        <v>0.36</v>
      </c>
      <c r="G585" s="4">
        <v>3</v>
      </c>
      <c r="H585" s="8">
        <v>1.39</v>
      </c>
      <c r="I585" s="4">
        <v>0</v>
      </c>
    </row>
    <row r="586" spans="1:9" x14ac:dyDescent="0.2">
      <c r="A586" s="2">
        <v>19</v>
      </c>
      <c r="B586" s="1" t="s">
        <v>234</v>
      </c>
      <c r="C586" s="4">
        <v>4</v>
      </c>
      <c r="D586" s="8">
        <v>0.8</v>
      </c>
      <c r="E586" s="4">
        <v>0</v>
      </c>
      <c r="F586" s="8">
        <v>0</v>
      </c>
      <c r="G586" s="4">
        <v>3</v>
      </c>
      <c r="H586" s="8">
        <v>1.39</v>
      </c>
      <c r="I586" s="4">
        <v>1</v>
      </c>
    </row>
    <row r="587" spans="1:9" x14ac:dyDescent="0.2">
      <c r="A587" s="1"/>
      <c r="C587" s="4"/>
      <c r="D587" s="8"/>
      <c r="E587" s="4"/>
      <c r="F587" s="8"/>
      <c r="G587" s="4"/>
      <c r="H587" s="8"/>
      <c r="I587" s="4"/>
    </row>
    <row r="588" spans="1:9" x14ac:dyDescent="0.2">
      <c r="A588" s="1" t="s">
        <v>26</v>
      </c>
      <c r="C588" s="4"/>
      <c r="D588" s="8"/>
      <c r="E588" s="4"/>
      <c r="F588" s="8"/>
      <c r="G588" s="4"/>
      <c r="H588" s="8"/>
      <c r="I588" s="4"/>
    </row>
    <row r="589" spans="1:9" x14ac:dyDescent="0.2">
      <c r="A589" s="2">
        <v>1</v>
      </c>
      <c r="B589" s="1" t="s">
        <v>227</v>
      </c>
      <c r="C589" s="4">
        <v>54</v>
      </c>
      <c r="D589" s="8">
        <v>15.74</v>
      </c>
      <c r="E589" s="4">
        <v>52</v>
      </c>
      <c r="F589" s="8">
        <v>29.21</v>
      </c>
      <c r="G589" s="4">
        <v>2</v>
      </c>
      <c r="H589" s="8">
        <v>1.31</v>
      </c>
      <c r="I589" s="4">
        <v>0</v>
      </c>
    </row>
    <row r="590" spans="1:9" x14ac:dyDescent="0.2">
      <c r="A590" s="2">
        <v>2</v>
      </c>
      <c r="B590" s="1" t="s">
        <v>228</v>
      </c>
      <c r="C590" s="4">
        <v>51</v>
      </c>
      <c r="D590" s="8">
        <v>14.87</v>
      </c>
      <c r="E590" s="4">
        <v>45</v>
      </c>
      <c r="F590" s="8">
        <v>25.28</v>
      </c>
      <c r="G590" s="4">
        <v>4</v>
      </c>
      <c r="H590" s="8">
        <v>2.61</v>
      </c>
      <c r="I590" s="4">
        <v>2</v>
      </c>
    </row>
    <row r="591" spans="1:9" x14ac:dyDescent="0.2">
      <c r="A591" s="2">
        <v>3</v>
      </c>
      <c r="B591" s="1" t="s">
        <v>223</v>
      </c>
      <c r="C591" s="4">
        <v>28</v>
      </c>
      <c r="D591" s="8">
        <v>8.16</v>
      </c>
      <c r="E591" s="4">
        <v>11</v>
      </c>
      <c r="F591" s="8">
        <v>6.18</v>
      </c>
      <c r="G591" s="4">
        <v>17</v>
      </c>
      <c r="H591" s="8">
        <v>11.11</v>
      </c>
      <c r="I591" s="4">
        <v>0</v>
      </c>
    </row>
    <row r="592" spans="1:9" x14ac:dyDescent="0.2">
      <c r="A592" s="2">
        <v>4</v>
      </c>
      <c r="B592" s="1" t="s">
        <v>232</v>
      </c>
      <c r="C592" s="4">
        <v>24</v>
      </c>
      <c r="D592" s="8">
        <v>7</v>
      </c>
      <c r="E592" s="4">
        <v>0</v>
      </c>
      <c r="F592" s="8">
        <v>0</v>
      </c>
      <c r="G592" s="4">
        <v>20</v>
      </c>
      <c r="H592" s="8">
        <v>13.07</v>
      </c>
      <c r="I592" s="4">
        <v>0</v>
      </c>
    </row>
    <row r="593" spans="1:9" x14ac:dyDescent="0.2">
      <c r="A593" s="2">
        <v>5</v>
      </c>
      <c r="B593" s="1" t="s">
        <v>221</v>
      </c>
      <c r="C593" s="4">
        <v>18</v>
      </c>
      <c r="D593" s="8">
        <v>5.25</v>
      </c>
      <c r="E593" s="4">
        <v>6</v>
      </c>
      <c r="F593" s="8">
        <v>3.37</v>
      </c>
      <c r="G593" s="4">
        <v>12</v>
      </c>
      <c r="H593" s="8">
        <v>7.84</v>
      </c>
      <c r="I593" s="4">
        <v>0</v>
      </c>
    </row>
    <row r="594" spans="1:9" x14ac:dyDescent="0.2">
      <c r="A594" s="2">
        <v>5</v>
      </c>
      <c r="B594" s="1" t="s">
        <v>224</v>
      </c>
      <c r="C594" s="4">
        <v>18</v>
      </c>
      <c r="D594" s="8">
        <v>5.25</v>
      </c>
      <c r="E594" s="4">
        <v>11</v>
      </c>
      <c r="F594" s="8">
        <v>6.18</v>
      </c>
      <c r="G594" s="4">
        <v>6</v>
      </c>
      <c r="H594" s="8">
        <v>3.92</v>
      </c>
      <c r="I594" s="4">
        <v>0</v>
      </c>
    </row>
    <row r="595" spans="1:9" x14ac:dyDescent="0.2">
      <c r="A595" s="2">
        <v>7</v>
      </c>
      <c r="B595" s="1" t="s">
        <v>214</v>
      </c>
      <c r="C595" s="4">
        <v>16</v>
      </c>
      <c r="D595" s="8">
        <v>4.66</v>
      </c>
      <c r="E595" s="4">
        <v>6</v>
      </c>
      <c r="F595" s="8">
        <v>3.37</v>
      </c>
      <c r="G595" s="4">
        <v>10</v>
      </c>
      <c r="H595" s="8">
        <v>6.54</v>
      </c>
      <c r="I595" s="4">
        <v>0</v>
      </c>
    </row>
    <row r="596" spans="1:9" x14ac:dyDescent="0.2">
      <c r="A596" s="2">
        <v>7</v>
      </c>
      <c r="B596" s="1" t="s">
        <v>222</v>
      </c>
      <c r="C596" s="4">
        <v>16</v>
      </c>
      <c r="D596" s="8">
        <v>4.66</v>
      </c>
      <c r="E596" s="4">
        <v>6</v>
      </c>
      <c r="F596" s="8">
        <v>3.37</v>
      </c>
      <c r="G596" s="4">
        <v>10</v>
      </c>
      <c r="H596" s="8">
        <v>6.54</v>
      </c>
      <c r="I596" s="4">
        <v>0</v>
      </c>
    </row>
    <row r="597" spans="1:9" x14ac:dyDescent="0.2">
      <c r="A597" s="2">
        <v>9</v>
      </c>
      <c r="B597" s="1" t="s">
        <v>213</v>
      </c>
      <c r="C597" s="4">
        <v>10</v>
      </c>
      <c r="D597" s="8">
        <v>2.92</v>
      </c>
      <c r="E597" s="4">
        <v>0</v>
      </c>
      <c r="F597" s="8">
        <v>0</v>
      </c>
      <c r="G597" s="4">
        <v>10</v>
      </c>
      <c r="H597" s="8">
        <v>6.54</v>
      </c>
      <c r="I597" s="4">
        <v>0</v>
      </c>
    </row>
    <row r="598" spans="1:9" x14ac:dyDescent="0.2">
      <c r="A598" s="2">
        <v>9</v>
      </c>
      <c r="B598" s="1" t="s">
        <v>231</v>
      </c>
      <c r="C598" s="4">
        <v>10</v>
      </c>
      <c r="D598" s="8">
        <v>2.92</v>
      </c>
      <c r="E598" s="4">
        <v>5</v>
      </c>
      <c r="F598" s="8">
        <v>2.81</v>
      </c>
      <c r="G598" s="4">
        <v>4</v>
      </c>
      <c r="H598" s="8">
        <v>2.61</v>
      </c>
      <c r="I598" s="4">
        <v>0</v>
      </c>
    </row>
    <row r="599" spans="1:9" x14ac:dyDescent="0.2">
      <c r="A599" s="2">
        <v>11</v>
      </c>
      <c r="B599" s="1" t="s">
        <v>234</v>
      </c>
      <c r="C599" s="4">
        <v>9</v>
      </c>
      <c r="D599" s="8">
        <v>2.62</v>
      </c>
      <c r="E599" s="4">
        <v>0</v>
      </c>
      <c r="F599" s="8">
        <v>0</v>
      </c>
      <c r="G599" s="4">
        <v>9</v>
      </c>
      <c r="H599" s="8">
        <v>5.88</v>
      </c>
      <c r="I599" s="4">
        <v>0</v>
      </c>
    </row>
    <row r="600" spans="1:9" x14ac:dyDescent="0.2">
      <c r="A600" s="2">
        <v>12</v>
      </c>
      <c r="B600" s="1" t="s">
        <v>215</v>
      </c>
      <c r="C600" s="4">
        <v>6</v>
      </c>
      <c r="D600" s="8">
        <v>1.75</v>
      </c>
      <c r="E600" s="4">
        <v>2</v>
      </c>
      <c r="F600" s="8">
        <v>1.1200000000000001</v>
      </c>
      <c r="G600" s="4">
        <v>4</v>
      </c>
      <c r="H600" s="8">
        <v>2.61</v>
      </c>
      <c r="I600" s="4">
        <v>0</v>
      </c>
    </row>
    <row r="601" spans="1:9" x14ac:dyDescent="0.2">
      <c r="A601" s="2">
        <v>12</v>
      </c>
      <c r="B601" s="1" t="s">
        <v>241</v>
      </c>
      <c r="C601" s="4">
        <v>6</v>
      </c>
      <c r="D601" s="8">
        <v>1.75</v>
      </c>
      <c r="E601" s="4">
        <v>1</v>
      </c>
      <c r="F601" s="8">
        <v>0.56000000000000005</v>
      </c>
      <c r="G601" s="4">
        <v>5</v>
      </c>
      <c r="H601" s="8">
        <v>3.27</v>
      </c>
      <c r="I601" s="4">
        <v>0</v>
      </c>
    </row>
    <row r="602" spans="1:9" x14ac:dyDescent="0.2">
      <c r="A602" s="2">
        <v>12</v>
      </c>
      <c r="B602" s="1" t="s">
        <v>220</v>
      </c>
      <c r="C602" s="4">
        <v>6</v>
      </c>
      <c r="D602" s="8">
        <v>1.75</v>
      </c>
      <c r="E602" s="4">
        <v>3</v>
      </c>
      <c r="F602" s="8">
        <v>1.69</v>
      </c>
      <c r="G602" s="4">
        <v>3</v>
      </c>
      <c r="H602" s="8">
        <v>1.96</v>
      </c>
      <c r="I602" s="4">
        <v>0</v>
      </c>
    </row>
    <row r="603" spans="1:9" x14ac:dyDescent="0.2">
      <c r="A603" s="2">
        <v>12</v>
      </c>
      <c r="B603" s="1" t="s">
        <v>237</v>
      </c>
      <c r="C603" s="4">
        <v>6</v>
      </c>
      <c r="D603" s="8">
        <v>1.75</v>
      </c>
      <c r="E603" s="4">
        <v>1</v>
      </c>
      <c r="F603" s="8">
        <v>0.56000000000000005</v>
      </c>
      <c r="G603" s="4">
        <v>5</v>
      </c>
      <c r="H603" s="8">
        <v>3.27</v>
      </c>
      <c r="I603" s="4">
        <v>0</v>
      </c>
    </row>
    <row r="604" spans="1:9" x14ac:dyDescent="0.2">
      <c r="A604" s="2">
        <v>16</v>
      </c>
      <c r="B604" s="1" t="s">
        <v>216</v>
      </c>
      <c r="C604" s="4">
        <v>5</v>
      </c>
      <c r="D604" s="8">
        <v>1.46</v>
      </c>
      <c r="E604" s="4">
        <v>2</v>
      </c>
      <c r="F604" s="8">
        <v>1.1200000000000001</v>
      </c>
      <c r="G604" s="4">
        <v>3</v>
      </c>
      <c r="H604" s="8">
        <v>1.96</v>
      </c>
      <c r="I604" s="4">
        <v>0</v>
      </c>
    </row>
    <row r="605" spans="1:9" x14ac:dyDescent="0.2">
      <c r="A605" s="2">
        <v>16</v>
      </c>
      <c r="B605" s="1" t="s">
        <v>240</v>
      </c>
      <c r="C605" s="4">
        <v>5</v>
      </c>
      <c r="D605" s="8">
        <v>1.46</v>
      </c>
      <c r="E605" s="4">
        <v>2</v>
      </c>
      <c r="F605" s="8">
        <v>1.1200000000000001</v>
      </c>
      <c r="G605" s="4">
        <v>2</v>
      </c>
      <c r="H605" s="8">
        <v>1.31</v>
      </c>
      <c r="I605" s="4">
        <v>0</v>
      </c>
    </row>
    <row r="606" spans="1:9" x14ac:dyDescent="0.2">
      <c r="A606" s="2">
        <v>18</v>
      </c>
      <c r="B606" s="1" t="s">
        <v>230</v>
      </c>
      <c r="C606" s="4">
        <v>4</v>
      </c>
      <c r="D606" s="8">
        <v>1.17</v>
      </c>
      <c r="E606" s="4">
        <v>3</v>
      </c>
      <c r="F606" s="8">
        <v>1.69</v>
      </c>
      <c r="G606" s="4">
        <v>1</v>
      </c>
      <c r="H606" s="8">
        <v>0.65</v>
      </c>
      <c r="I606" s="4">
        <v>0</v>
      </c>
    </row>
    <row r="607" spans="1:9" x14ac:dyDescent="0.2">
      <c r="A607" s="2">
        <v>18</v>
      </c>
      <c r="B607" s="1" t="s">
        <v>242</v>
      </c>
      <c r="C607" s="4">
        <v>4</v>
      </c>
      <c r="D607" s="8">
        <v>1.17</v>
      </c>
      <c r="E607" s="4">
        <v>2</v>
      </c>
      <c r="F607" s="8">
        <v>1.1200000000000001</v>
      </c>
      <c r="G607" s="4">
        <v>2</v>
      </c>
      <c r="H607" s="8">
        <v>1.31</v>
      </c>
      <c r="I607" s="4">
        <v>0</v>
      </c>
    </row>
    <row r="608" spans="1:9" x14ac:dyDescent="0.2">
      <c r="A608" s="2">
        <v>20</v>
      </c>
      <c r="B608" s="1" t="s">
        <v>252</v>
      </c>
      <c r="C608" s="4">
        <v>3</v>
      </c>
      <c r="D608" s="8">
        <v>0.87</v>
      </c>
      <c r="E608" s="4">
        <v>0</v>
      </c>
      <c r="F608" s="8">
        <v>0</v>
      </c>
      <c r="G608" s="4">
        <v>3</v>
      </c>
      <c r="H608" s="8">
        <v>1.96</v>
      </c>
      <c r="I608" s="4">
        <v>0</v>
      </c>
    </row>
    <row r="609" spans="1:9" x14ac:dyDescent="0.2">
      <c r="A609" s="2">
        <v>20</v>
      </c>
      <c r="B609" s="1" t="s">
        <v>253</v>
      </c>
      <c r="C609" s="4">
        <v>3</v>
      </c>
      <c r="D609" s="8">
        <v>0.87</v>
      </c>
      <c r="E609" s="4">
        <v>1</v>
      </c>
      <c r="F609" s="8">
        <v>0.56000000000000005</v>
      </c>
      <c r="G609" s="4">
        <v>2</v>
      </c>
      <c r="H609" s="8">
        <v>1.31</v>
      </c>
      <c r="I609" s="4">
        <v>0</v>
      </c>
    </row>
    <row r="610" spans="1:9" x14ac:dyDescent="0.2">
      <c r="A610" s="2">
        <v>20</v>
      </c>
      <c r="B610" s="1" t="s">
        <v>246</v>
      </c>
      <c r="C610" s="4">
        <v>3</v>
      </c>
      <c r="D610" s="8">
        <v>0.87</v>
      </c>
      <c r="E610" s="4">
        <v>0</v>
      </c>
      <c r="F610" s="8">
        <v>0</v>
      </c>
      <c r="G610" s="4">
        <v>3</v>
      </c>
      <c r="H610" s="8">
        <v>1.96</v>
      </c>
      <c r="I610" s="4">
        <v>0</v>
      </c>
    </row>
    <row r="611" spans="1:9" x14ac:dyDescent="0.2">
      <c r="A611" s="2">
        <v>20</v>
      </c>
      <c r="B611" s="1" t="s">
        <v>225</v>
      </c>
      <c r="C611" s="4">
        <v>3</v>
      </c>
      <c r="D611" s="8">
        <v>0.87</v>
      </c>
      <c r="E611" s="4">
        <v>3</v>
      </c>
      <c r="F611" s="8">
        <v>1.69</v>
      </c>
      <c r="G611" s="4">
        <v>0</v>
      </c>
      <c r="H611" s="8">
        <v>0</v>
      </c>
      <c r="I611" s="4">
        <v>0</v>
      </c>
    </row>
    <row r="612" spans="1:9" x14ac:dyDescent="0.2">
      <c r="A612" s="2">
        <v>20</v>
      </c>
      <c r="B612" s="1" t="s">
        <v>243</v>
      </c>
      <c r="C612" s="4">
        <v>3</v>
      </c>
      <c r="D612" s="8">
        <v>0.87</v>
      </c>
      <c r="E612" s="4">
        <v>2</v>
      </c>
      <c r="F612" s="8">
        <v>1.1200000000000001</v>
      </c>
      <c r="G612" s="4">
        <v>1</v>
      </c>
      <c r="H612" s="8">
        <v>0.65</v>
      </c>
      <c r="I612" s="4">
        <v>0</v>
      </c>
    </row>
    <row r="613" spans="1:9" x14ac:dyDescent="0.2">
      <c r="A613" s="2">
        <v>20</v>
      </c>
      <c r="B613" s="1" t="s">
        <v>239</v>
      </c>
      <c r="C613" s="4">
        <v>3</v>
      </c>
      <c r="D613" s="8">
        <v>0.87</v>
      </c>
      <c r="E613" s="4">
        <v>3</v>
      </c>
      <c r="F613" s="8">
        <v>1.69</v>
      </c>
      <c r="G613" s="4">
        <v>0</v>
      </c>
      <c r="H613" s="8">
        <v>0</v>
      </c>
      <c r="I613" s="4">
        <v>0</v>
      </c>
    </row>
    <row r="614" spans="1:9" x14ac:dyDescent="0.2">
      <c r="A614" s="2">
        <v>20</v>
      </c>
      <c r="B614" s="1" t="s">
        <v>229</v>
      </c>
      <c r="C614" s="4">
        <v>3</v>
      </c>
      <c r="D614" s="8">
        <v>0.87</v>
      </c>
      <c r="E614" s="4">
        <v>2</v>
      </c>
      <c r="F614" s="8">
        <v>1.1200000000000001</v>
      </c>
      <c r="G614" s="4">
        <v>1</v>
      </c>
      <c r="H614" s="8">
        <v>0.65</v>
      </c>
      <c r="I614" s="4">
        <v>0</v>
      </c>
    </row>
    <row r="615" spans="1:9" x14ac:dyDescent="0.2">
      <c r="A615" s="1"/>
      <c r="C615" s="4"/>
      <c r="D615" s="8"/>
      <c r="E615" s="4"/>
      <c r="F615" s="8"/>
      <c r="G615" s="4"/>
      <c r="H615" s="8"/>
      <c r="I615" s="4"/>
    </row>
    <row r="616" spans="1:9" x14ac:dyDescent="0.2">
      <c r="A616" s="1" t="s">
        <v>27</v>
      </c>
      <c r="C616" s="4"/>
      <c r="D616" s="8"/>
      <c r="E616" s="4"/>
      <c r="F616" s="8"/>
      <c r="G616" s="4"/>
      <c r="H616" s="8"/>
      <c r="I616" s="4"/>
    </row>
    <row r="617" spans="1:9" x14ac:dyDescent="0.2">
      <c r="A617" s="2">
        <v>1</v>
      </c>
      <c r="B617" s="1" t="s">
        <v>228</v>
      </c>
      <c r="C617" s="4">
        <v>212</v>
      </c>
      <c r="D617" s="8">
        <v>11.63</v>
      </c>
      <c r="E617" s="4">
        <v>174</v>
      </c>
      <c r="F617" s="8">
        <v>19.57</v>
      </c>
      <c r="G617" s="4">
        <v>38</v>
      </c>
      <c r="H617" s="8">
        <v>4.13</v>
      </c>
      <c r="I617" s="4">
        <v>0</v>
      </c>
    </row>
    <row r="618" spans="1:9" x14ac:dyDescent="0.2">
      <c r="A618" s="2">
        <v>2</v>
      </c>
      <c r="B618" s="1" t="s">
        <v>227</v>
      </c>
      <c r="C618" s="4">
        <v>167</v>
      </c>
      <c r="D618" s="8">
        <v>9.16</v>
      </c>
      <c r="E618" s="4">
        <v>134</v>
      </c>
      <c r="F618" s="8">
        <v>15.07</v>
      </c>
      <c r="G618" s="4">
        <v>33</v>
      </c>
      <c r="H618" s="8">
        <v>3.58</v>
      </c>
      <c r="I618" s="4">
        <v>0</v>
      </c>
    </row>
    <row r="619" spans="1:9" x14ac:dyDescent="0.2">
      <c r="A619" s="2">
        <v>3</v>
      </c>
      <c r="B619" s="1" t="s">
        <v>224</v>
      </c>
      <c r="C619" s="4">
        <v>145</v>
      </c>
      <c r="D619" s="8">
        <v>7.95</v>
      </c>
      <c r="E619" s="4">
        <v>98</v>
      </c>
      <c r="F619" s="8">
        <v>11.02</v>
      </c>
      <c r="G619" s="4">
        <v>47</v>
      </c>
      <c r="H619" s="8">
        <v>5.0999999999999996</v>
      </c>
      <c r="I619" s="4">
        <v>0</v>
      </c>
    </row>
    <row r="620" spans="1:9" x14ac:dyDescent="0.2">
      <c r="A620" s="2">
        <v>4</v>
      </c>
      <c r="B620" s="1" t="s">
        <v>214</v>
      </c>
      <c r="C620" s="4">
        <v>133</v>
      </c>
      <c r="D620" s="8">
        <v>7.3</v>
      </c>
      <c r="E620" s="4">
        <v>32</v>
      </c>
      <c r="F620" s="8">
        <v>3.6</v>
      </c>
      <c r="G620" s="4">
        <v>101</v>
      </c>
      <c r="H620" s="8">
        <v>10.97</v>
      </c>
      <c r="I620" s="4">
        <v>0</v>
      </c>
    </row>
    <row r="621" spans="1:9" x14ac:dyDescent="0.2">
      <c r="A621" s="2">
        <v>5</v>
      </c>
      <c r="B621" s="1" t="s">
        <v>230</v>
      </c>
      <c r="C621" s="4">
        <v>121</v>
      </c>
      <c r="D621" s="8">
        <v>6.64</v>
      </c>
      <c r="E621" s="4">
        <v>98</v>
      </c>
      <c r="F621" s="8">
        <v>11.02</v>
      </c>
      <c r="G621" s="4">
        <v>19</v>
      </c>
      <c r="H621" s="8">
        <v>2.06</v>
      </c>
      <c r="I621" s="4">
        <v>0</v>
      </c>
    </row>
    <row r="622" spans="1:9" x14ac:dyDescent="0.2">
      <c r="A622" s="2">
        <v>6</v>
      </c>
      <c r="B622" s="1" t="s">
        <v>231</v>
      </c>
      <c r="C622" s="4">
        <v>115</v>
      </c>
      <c r="D622" s="8">
        <v>6.31</v>
      </c>
      <c r="E622" s="4">
        <v>104</v>
      </c>
      <c r="F622" s="8">
        <v>11.7</v>
      </c>
      <c r="G622" s="4">
        <v>11</v>
      </c>
      <c r="H622" s="8">
        <v>1.19</v>
      </c>
      <c r="I622" s="4">
        <v>0</v>
      </c>
    </row>
    <row r="623" spans="1:9" x14ac:dyDescent="0.2">
      <c r="A623" s="2">
        <v>7</v>
      </c>
      <c r="B623" s="1" t="s">
        <v>223</v>
      </c>
      <c r="C623" s="4">
        <v>112</v>
      </c>
      <c r="D623" s="8">
        <v>6.14</v>
      </c>
      <c r="E623" s="4">
        <v>40</v>
      </c>
      <c r="F623" s="8">
        <v>4.5</v>
      </c>
      <c r="G623" s="4">
        <v>72</v>
      </c>
      <c r="H623" s="8">
        <v>7.82</v>
      </c>
      <c r="I623" s="4">
        <v>0</v>
      </c>
    </row>
    <row r="624" spans="1:9" x14ac:dyDescent="0.2">
      <c r="A624" s="2">
        <v>8</v>
      </c>
      <c r="B624" s="1" t="s">
        <v>213</v>
      </c>
      <c r="C624" s="4">
        <v>101</v>
      </c>
      <c r="D624" s="8">
        <v>5.54</v>
      </c>
      <c r="E624" s="4">
        <v>12</v>
      </c>
      <c r="F624" s="8">
        <v>1.35</v>
      </c>
      <c r="G624" s="4">
        <v>89</v>
      </c>
      <c r="H624" s="8">
        <v>9.66</v>
      </c>
      <c r="I624" s="4">
        <v>0</v>
      </c>
    </row>
    <row r="625" spans="1:9" x14ac:dyDescent="0.2">
      <c r="A625" s="2">
        <v>9</v>
      </c>
      <c r="B625" s="1" t="s">
        <v>215</v>
      </c>
      <c r="C625" s="4">
        <v>76</v>
      </c>
      <c r="D625" s="8">
        <v>4.17</v>
      </c>
      <c r="E625" s="4">
        <v>8</v>
      </c>
      <c r="F625" s="8">
        <v>0.9</v>
      </c>
      <c r="G625" s="4">
        <v>68</v>
      </c>
      <c r="H625" s="8">
        <v>7.38</v>
      </c>
      <c r="I625" s="4">
        <v>0</v>
      </c>
    </row>
    <row r="626" spans="1:9" x14ac:dyDescent="0.2">
      <c r="A626" s="2">
        <v>10</v>
      </c>
      <c r="B626" s="1" t="s">
        <v>222</v>
      </c>
      <c r="C626" s="4">
        <v>61</v>
      </c>
      <c r="D626" s="8">
        <v>3.35</v>
      </c>
      <c r="E626" s="4">
        <v>18</v>
      </c>
      <c r="F626" s="8">
        <v>2.02</v>
      </c>
      <c r="G626" s="4">
        <v>43</v>
      </c>
      <c r="H626" s="8">
        <v>4.67</v>
      </c>
      <c r="I626" s="4">
        <v>0</v>
      </c>
    </row>
    <row r="627" spans="1:9" x14ac:dyDescent="0.2">
      <c r="A627" s="2">
        <v>11</v>
      </c>
      <c r="B627" s="1" t="s">
        <v>232</v>
      </c>
      <c r="C627" s="4">
        <v>50</v>
      </c>
      <c r="D627" s="8">
        <v>2.74</v>
      </c>
      <c r="E627" s="4">
        <v>3</v>
      </c>
      <c r="F627" s="8">
        <v>0.34</v>
      </c>
      <c r="G627" s="4">
        <v>40</v>
      </c>
      <c r="H627" s="8">
        <v>4.34</v>
      </c>
      <c r="I627" s="4">
        <v>0</v>
      </c>
    </row>
    <row r="628" spans="1:9" x14ac:dyDescent="0.2">
      <c r="A628" s="2">
        <v>12</v>
      </c>
      <c r="B628" s="1" t="s">
        <v>221</v>
      </c>
      <c r="C628" s="4">
        <v>49</v>
      </c>
      <c r="D628" s="8">
        <v>2.69</v>
      </c>
      <c r="E628" s="4">
        <v>28</v>
      </c>
      <c r="F628" s="8">
        <v>3.15</v>
      </c>
      <c r="G628" s="4">
        <v>20</v>
      </c>
      <c r="H628" s="8">
        <v>2.17</v>
      </c>
      <c r="I628" s="4">
        <v>1</v>
      </c>
    </row>
    <row r="629" spans="1:9" x14ac:dyDescent="0.2">
      <c r="A629" s="2">
        <v>13</v>
      </c>
      <c r="B629" s="1" t="s">
        <v>226</v>
      </c>
      <c r="C629" s="4">
        <v>46</v>
      </c>
      <c r="D629" s="8">
        <v>2.52</v>
      </c>
      <c r="E629" s="4">
        <v>15</v>
      </c>
      <c r="F629" s="8">
        <v>1.69</v>
      </c>
      <c r="G629" s="4">
        <v>31</v>
      </c>
      <c r="H629" s="8">
        <v>3.37</v>
      </c>
      <c r="I629" s="4">
        <v>0</v>
      </c>
    </row>
    <row r="630" spans="1:9" x14ac:dyDescent="0.2">
      <c r="A630" s="2">
        <v>14</v>
      </c>
      <c r="B630" s="1" t="s">
        <v>225</v>
      </c>
      <c r="C630" s="4">
        <v>40</v>
      </c>
      <c r="D630" s="8">
        <v>2.19</v>
      </c>
      <c r="E630" s="4">
        <v>30</v>
      </c>
      <c r="F630" s="8">
        <v>3.37</v>
      </c>
      <c r="G630" s="4">
        <v>10</v>
      </c>
      <c r="H630" s="8">
        <v>1.0900000000000001</v>
      </c>
      <c r="I630" s="4">
        <v>0</v>
      </c>
    </row>
    <row r="631" spans="1:9" x14ac:dyDescent="0.2">
      <c r="A631" s="2">
        <v>15</v>
      </c>
      <c r="B631" s="1" t="s">
        <v>218</v>
      </c>
      <c r="C631" s="4">
        <v>26</v>
      </c>
      <c r="D631" s="8">
        <v>1.43</v>
      </c>
      <c r="E631" s="4">
        <v>2</v>
      </c>
      <c r="F631" s="8">
        <v>0.22</v>
      </c>
      <c r="G631" s="4">
        <v>24</v>
      </c>
      <c r="H631" s="8">
        <v>2.61</v>
      </c>
      <c r="I631" s="4">
        <v>0</v>
      </c>
    </row>
    <row r="632" spans="1:9" x14ac:dyDescent="0.2">
      <c r="A632" s="2">
        <v>16</v>
      </c>
      <c r="B632" s="1" t="s">
        <v>217</v>
      </c>
      <c r="C632" s="4">
        <v>24</v>
      </c>
      <c r="D632" s="8">
        <v>1.32</v>
      </c>
      <c r="E632" s="4">
        <v>2</v>
      </c>
      <c r="F632" s="8">
        <v>0.22</v>
      </c>
      <c r="G632" s="4">
        <v>22</v>
      </c>
      <c r="H632" s="8">
        <v>2.39</v>
      </c>
      <c r="I632" s="4">
        <v>0</v>
      </c>
    </row>
    <row r="633" spans="1:9" x14ac:dyDescent="0.2">
      <c r="A633" s="2">
        <v>16</v>
      </c>
      <c r="B633" s="1" t="s">
        <v>229</v>
      </c>
      <c r="C633" s="4">
        <v>24</v>
      </c>
      <c r="D633" s="8">
        <v>1.32</v>
      </c>
      <c r="E633" s="4">
        <v>17</v>
      </c>
      <c r="F633" s="8">
        <v>1.91</v>
      </c>
      <c r="G633" s="4">
        <v>7</v>
      </c>
      <c r="H633" s="8">
        <v>0.76</v>
      </c>
      <c r="I633" s="4">
        <v>0</v>
      </c>
    </row>
    <row r="634" spans="1:9" x14ac:dyDescent="0.2">
      <c r="A634" s="2">
        <v>18</v>
      </c>
      <c r="B634" s="1" t="s">
        <v>220</v>
      </c>
      <c r="C634" s="4">
        <v>22</v>
      </c>
      <c r="D634" s="8">
        <v>1.21</v>
      </c>
      <c r="E634" s="4">
        <v>12</v>
      </c>
      <c r="F634" s="8">
        <v>1.35</v>
      </c>
      <c r="G634" s="4">
        <v>10</v>
      </c>
      <c r="H634" s="8">
        <v>1.0900000000000001</v>
      </c>
      <c r="I634" s="4">
        <v>0</v>
      </c>
    </row>
    <row r="635" spans="1:9" x14ac:dyDescent="0.2">
      <c r="A635" s="2">
        <v>18</v>
      </c>
      <c r="B635" s="1" t="s">
        <v>240</v>
      </c>
      <c r="C635" s="4">
        <v>22</v>
      </c>
      <c r="D635" s="8">
        <v>1.21</v>
      </c>
      <c r="E635" s="4">
        <v>9</v>
      </c>
      <c r="F635" s="8">
        <v>1.01</v>
      </c>
      <c r="G635" s="4">
        <v>13</v>
      </c>
      <c r="H635" s="8">
        <v>1.41</v>
      </c>
      <c r="I635" s="4">
        <v>0</v>
      </c>
    </row>
    <row r="636" spans="1:9" x14ac:dyDescent="0.2">
      <c r="A636" s="2">
        <v>20</v>
      </c>
      <c r="B636" s="1" t="s">
        <v>219</v>
      </c>
      <c r="C636" s="4">
        <v>20</v>
      </c>
      <c r="D636" s="8">
        <v>1.1000000000000001</v>
      </c>
      <c r="E636" s="4">
        <v>3</v>
      </c>
      <c r="F636" s="8">
        <v>0.34</v>
      </c>
      <c r="G636" s="4">
        <v>17</v>
      </c>
      <c r="H636" s="8">
        <v>1.85</v>
      </c>
      <c r="I636" s="4">
        <v>0</v>
      </c>
    </row>
    <row r="637" spans="1:9" x14ac:dyDescent="0.2">
      <c r="A637" s="2">
        <v>20</v>
      </c>
      <c r="B637" s="1" t="s">
        <v>236</v>
      </c>
      <c r="C637" s="4">
        <v>20</v>
      </c>
      <c r="D637" s="8">
        <v>1.1000000000000001</v>
      </c>
      <c r="E637" s="4">
        <v>1</v>
      </c>
      <c r="F637" s="8">
        <v>0.11</v>
      </c>
      <c r="G637" s="4">
        <v>19</v>
      </c>
      <c r="H637" s="8">
        <v>2.06</v>
      </c>
      <c r="I637" s="4">
        <v>0</v>
      </c>
    </row>
    <row r="638" spans="1:9" x14ac:dyDescent="0.2">
      <c r="A638" s="1"/>
      <c r="C638" s="4"/>
      <c r="D638" s="8"/>
      <c r="E638" s="4"/>
      <c r="F638" s="8"/>
      <c r="G638" s="4"/>
      <c r="H638" s="8"/>
      <c r="I638" s="4"/>
    </row>
    <row r="639" spans="1:9" x14ac:dyDescent="0.2">
      <c r="A639" s="1" t="s">
        <v>28</v>
      </c>
      <c r="C639" s="4"/>
      <c r="D639" s="8"/>
      <c r="E639" s="4"/>
      <c r="F639" s="8"/>
      <c r="G639" s="4"/>
      <c r="H639" s="8"/>
      <c r="I639" s="4"/>
    </row>
    <row r="640" spans="1:9" x14ac:dyDescent="0.2">
      <c r="A640" s="2">
        <v>1</v>
      </c>
      <c r="B640" s="1" t="s">
        <v>228</v>
      </c>
      <c r="C640" s="4">
        <v>36</v>
      </c>
      <c r="D640" s="8">
        <v>15</v>
      </c>
      <c r="E640" s="4">
        <v>33</v>
      </c>
      <c r="F640" s="8">
        <v>29.73</v>
      </c>
      <c r="G640" s="4">
        <v>3</v>
      </c>
      <c r="H640" s="8">
        <v>2.7</v>
      </c>
      <c r="I640" s="4">
        <v>0</v>
      </c>
    </row>
    <row r="641" spans="1:9" x14ac:dyDescent="0.2">
      <c r="A641" s="2">
        <v>2</v>
      </c>
      <c r="B641" s="1" t="s">
        <v>227</v>
      </c>
      <c r="C641" s="4">
        <v>32</v>
      </c>
      <c r="D641" s="8">
        <v>13.33</v>
      </c>
      <c r="E641" s="4">
        <v>25</v>
      </c>
      <c r="F641" s="8">
        <v>22.52</v>
      </c>
      <c r="G641" s="4">
        <v>7</v>
      </c>
      <c r="H641" s="8">
        <v>6.31</v>
      </c>
      <c r="I641" s="4">
        <v>0</v>
      </c>
    </row>
    <row r="642" spans="1:9" x14ac:dyDescent="0.2">
      <c r="A642" s="2">
        <v>3</v>
      </c>
      <c r="B642" s="1" t="s">
        <v>223</v>
      </c>
      <c r="C642" s="4">
        <v>31</v>
      </c>
      <c r="D642" s="8">
        <v>12.92</v>
      </c>
      <c r="E642" s="4">
        <v>11</v>
      </c>
      <c r="F642" s="8">
        <v>9.91</v>
      </c>
      <c r="G642" s="4">
        <v>20</v>
      </c>
      <c r="H642" s="8">
        <v>18.02</v>
      </c>
      <c r="I642" s="4">
        <v>0</v>
      </c>
    </row>
    <row r="643" spans="1:9" x14ac:dyDescent="0.2">
      <c r="A643" s="2">
        <v>4</v>
      </c>
      <c r="B643" s="1" t="s">
        <v>221</v>
      </c>
      <c r="C643" s="4">
        <v>20</v>
      </c>
      <c r="D643" s="8">
        <v>8.33</v>
      </c>
      <c r="E643" s="4">
        <v>5</v>
      </c>
      <c r="F643" s="8">
        <v>4.5</v>
      </c>
      <c r="G643" s="4">
        <v>14</v>
      </c>
      <c r="H643" s="8">
        <v>12.61</v>
      </c>
      <c r="I643" s="4">
        <v>1</v>
      </c>
    </row>
    <row r="644" spans="1:9" x14ac:dyDescent="0.2">
      <c r="A644" s="2">
        <v>5</v>
      </c>
      <c r="B644" s="1" t="s">
        <v>214</v>
      </c>
      <c r="C644" s="4">
        <v>14</v>
      </c>
      <c r="D644" s="8">
        <v>5.83</v>
      </c>
      <c r="E644" s="4">
        <v>7</v>
      </c>
      <c r="F644" s="8">
        <v>6.31</v>
      </c>
      <c r="G644" s="4">
        <v>7</v>
      </c>
      <c r="H644" s="8">
        <v>6.31</v>
      </c>
      <c r="I644" s="4">
        <v>0</v>
      </c>
    </row>
    <row r="645" spans="1:9" x14ac:dyDescent="0.2">
      <c r="A645" s="2">
        <v>6</v>
      </c>
      <c r="B645" s="1" t="s">
        <v>232</v>
      </c>
      <c r="C645" s="4">
        <v>13</v>
      </c>
      <c r="D645" s="8">
        <v>5.42</v>
      </c>
      <c r="E645" s="4">
        <v>0</v>
      </c>
      <c r="F645" s="8">
        <v>0</v>
      </c>
      <c r="G645" s="4">
        <v>3</v>
      </c>
      <c r="H645" s="8">
        <v>2.7</v>
      </c>
      <c r="I645" s="4">
        <v>0</v>
      </c>
    </row>
    <row r="646" spans="1:9" x14ac:dyDescent="0.2">
      <c r="A646" s="2">
        <v>7</v>
      </c>
      <c r="B646" s="1" t="s">
        <v>213</v>
      </c>
      <c r="C646" s="4">
        <v>9</v>
      </c>
      <c r="D646" s="8">
        <v>3.75</v>
      </c>
      <c r="E646" s="4">
        <v>1</v>
      </c>
      <c r="F646" s="8">
        <v>0.9</v>
      </c>
      <c r="G646" s="4">
        <v>8</v>
      </c>
      <c r="H646" s="8">
        <v>7.21</v>
      </c>
      <c r="I646" s="4">
        <v>0</v>
      </c>
    </row>
    <row r="647" spans="1:9" x14ac:dyDescent="0.2">
      <c r="A647" s="2">
        <v>7</v>
      </c>
      <c r="B647" s="1" t="s">
        <v>215</v>
      </c>
      <c r="C647" s="4">
        <v>9</v>
      </c>
      <c r="D647" s="8">
        <v>3.75</v>
      </c>
      <c r="E647" s="4">
        <v>3</v>
      </c>
      <c r="F647" s="8">
        <v>2.7</v>
      </c>
      <c r="G647" s="4">
        <v>6</v>
      </c>
      <c r="H647" s="8">
        <v>5.41</v>
      </c>
      <c r="I647" s="4">
        <v>0</v>
      </c>
    </row>
    <row r="648" spans="1:9" x14ac:dyDescent="0.2">
      <c r="A648" s="2">
        <v>7</v>
      </c>
      <c r="B648" s="1" t="s">
        <v>222</v>
      </c>
      <c r="C648" s="4">
        <v>9</v>
      </c>
      <c r="D648" s="8">
        <v>3.75</v>
      </c>
      <c r="E648" s="4">
        <v>6</v>
      </c>
      <c r="F648" s="8">
        <v>5.41</v>
      </c>
      <c r="G648" s="4">
        <v>3</v>
      </c>
      <c r="H648" s="8">
        <v>2.7</v>
      </c>
      <c r="I648" s="4">
        <v>0</v>
      </c>
    </row>
    <row r="649" spans="1:9" x14ac:dyDescent="0.2">
      <c r="A649" s="2">
        <v>10</v>
      </c>
      <c r="B649" s="1" t="s">
        <v>231</v>
      </c>
      <c r="C649" s="4">
        <v>7</v>
      </c>
      <c r="D649" s="8">
        <v>2.92</v>
      </c>
      <c r="E649" s="4">
        <v>6</v>
      </c>
      <c r="F649" s="8">
        <v>5.41</v>
      </c>
      <c r="G649" s="4">
        <v>1</v>
      </c>
      <c r="H649" s="8">
        <v>0.9</v>
      </c>
      <c r="I649" s="4">
        <v>0</v>
      </c>
    </row>
    <row r="650" spans="1:9" x14ac:dyDescent="0.2">
      <c r="A650" s="2">
        <v>11</v>
      </c>
      <c r="B650" s="1" t="s">
        <v>220</v>
      </c>
      <c r="C650" s="4">
        <v>6</v>
      </c>
      <c r="D650" s="8">
        <v>2.5</v>
      </c>
      <c r="E650" s="4">
        <v>2</v>
      </c>
      <c r="F650" s="8">
        <v>1.8</v>
      </c>
      <c r="G650" s="4">
        <v>4</v>
      </c>
      <c r="H650" s="8">
        <v>3.6</v>
      </c>
      <c r="I650" s="4">
        <v>0</v>
      </c>
    </row>
    <row r="651" spans="1:9" x14ac:dyDescent="0.2">
      <c r="A651" s="2">
        <v>12</v>
      </c>
      <c r="B651" s="1" t="s">
        <v>229</v>
      </c>
      <c r="C651" s="4">
        <v>5</v>
      </c>
      <c r="D651" s="8">
        <v>2.08</v>
      </c>
      <c r="E651" s="4">
        <v>2</v>
      </c>
      <c r="F651" s="8">
        <v>1.8</v>
      </c>
      <c r="G651" s="4">
        <v>3</v>
      </c>
      <c r="H651" s="8">
        <v>2.7</v>
      </c>
      <c r="I651" s="4">
        <v>0</v>
      </c>
    </row>
    <row r="652" spans="1:9" x14ac:dyDescent="0.2">
      <c r="A652" s="2">
        <v>12</v>
      </c>
      <c r="B652" s="1" t="s">
        <v>230</v>
      </c>
      <c r="C652" s="4">
        <v>5</v>
      </c>
      <c r="D652" s="8">
        <v>2.08</v>
      </c>
      <c r="E652" s="4">
        <v>2</v>
      </c>
      <c r="F652" s="8">
        <v>1.8</v>
      </c>
      <c r="G652" s="4">
        <v>0</v>
      </c>
      <c r="H652" s="8">
        <v>0</v>
      </c>
      <c r="I652" s="4">
        <v>0</v>
      </c>
    </row>
    <row r="653" spans="1:9" x14ac:dyDescent="0.2">
      <c r="A653" s="2">
        <v>14</v>
      </c>
      <c r="B653" s="1" t="s">
        <v>217</v>
      </c>
      <c r="C653" s="4">
        <v>4</v>
      </c>
      <c r="D653" s="8">
        <v>1.67</v>
      </c>
      <c r="E653" s="4">
        <v>1</v>
      </c>
      <c r="F653" s="8">
        <v>0.9</v>
      </c>
      <c r="G653" s="4">
        <v>2</v>
      </c>
      <c r="H653" s="8">
        <v>1.8</v>
      </c>
      <c r="I653" s="4">
        <v>1</v>
      </c>
    </row>
    <row r="654" spans="1:9" x14ac:dyDescent="0.2">
      <c r="A654" s="2">
        <v>14</v>
      </c>
      <c r="B654" s="1" t="s">
        <v>224</v>
      </c>
      <c r="C654" s="4">
        <v>4</v>
      </c>
      <c r="D654" s="8">
        <v>1.67</v>
      </c>
      <c r="E654" s="4">
        <v>2</v>
      </c>
      <c r="F654" s="8">
        <v>1.8</v>
      </c>
      <c r="G654" s="4">
        <v>2</v>
      </c>
      <c r="H654" s="8">
        <v>1.8</v>
      </c>
      <c r="I654" s="4">
        <v>0</v>
      </c>
    </row>
    <row r="655" spans="1:9" x14ac:dyDescent="0.2">
      <c r="A655" s="2">
        <v>16</v>
      </c>
      <c r="B655" s="1" t="s">
        <v>239</v>
      </c>
      <c r="C655" s="4">
        <v>3</v>
      </c>
      <c r="D655" s="8">
        <v>1.25</v>
      </c>
      <c r="E655" s="4">
        <v>0</v>
      </c>
      <c r="F655" s="8">
        <v>0</v>
      </c>
      <c r="G655" s="4">
        <v>2</v>
      </c>
      <c r="H655" s="8">
        <v>1.8</v>
      </c>
      <c r="I655" s="4">
        <v>0</v>
      </c>
    </row>
    <row r="656" spans="1:9" x14ac:dyDescent="0.2">
      <c r="A656" s="2">
        <v>16</v>
      </c>
      <c r="B656" s="1" t="s">
        <v>249</v>
      </c>
      <c r="C656" s="4">
        <v>3</v>
      </c>
      <c r="D656" s="8">
        <v>1.25</v>
      </c>
      <c r="E656" s="4">
        <v>0</v>
      </c>
      <c r="F656" s="8">
        <v>0</v>
      </c>
      <c r="G656" s="4">
        <v>2</v>
      </c>
      <c r="H656" s="8">
        <v>1.8</v>
      </c>
      <c r="I656" s="4">
        <v>0</v>
      </c>
    </row>
    <row r="657" spans="1:9" x14ac:dyDescent="0.2">
      <c r="A657" s="2">
        <v>18</v>
      </c>
      <c r="B657" s="1" t="s">
        <v>241</v>
      </c>
      <c r="C657" s="4">
        <v>2</v>
      </c>
      <c r="D657" s="8">
        <v>0.83</v>
      </c>
      <c r="E657" s="4">
        <v>1</v>
      </c>
      <c r="F657" s="8">
        <v>0.9</v>
      </c>
      <c r="G657" s="4">
        <v>1</v>
      </c>
      <c r="H657" s="8">
        <v>0.9</v>
      </c>
      <c r="I657" s="4">
        <v>0</v>
      </c>
    </row>
    <row r="658" spans="1:9" x14ac:dyDescent="0.2">
      <c r="A658" s="2">
        <v>18</v>
      </c>
      <c r="B658" s="1" t="s">
        <v>244</v>
      </c>
      <c r="C658" s="4">
        <v>2</v>
      </c>
      <c r="D658" s="8">
        <v>0.83</v>
      </c>
      <c r="E658" s="4">
        <v>0</v>
      </c>
      <c r="F658" s="8">
        <v>0</v>
      </c>
      <c r="G658" s="4">
        <v>2</v>
      </c>
      <c r="H658" s="8">
        <v>1.8</v>
      </c>
      <c r="I658" s="4">
        <v>0</v>
      </c>
    </row>
    <row r="659" spans="1:9" x14ac:dyDescent="0.2">
      <c r="A659" s="2">
        <v>18</v>
      </c>
      <c r="B659" s="1" t="s">
        <v>252</v>
      </c>
      <c r="C659" s="4">
        <v>2</v>
      </c>
      <c r="D659" s="8">
        <v>0.83</v>
      </c>
      <c r="E659" s="4">
        <v>0</v>
      </c>
      <c r="F659" s="8">
        <v>0</v>
      </c>
      <c r="G659" s="4">
        <v>2</v>
      </c>
      <c r="H659" s="8">
        <v>1.8</v>
      </c>
      <c r="I659" s="4">
        <v>0</v>
      </c>
    </row>
    <row r="660" spans="1:9" x14ac:dyDescent="0.2">
      <c r="A660" s="2">
        <v>18</v>
      </c>
      <c r="B660" s="1" t="s">
        <v>253</v>
      </c>
      <c r="C660" s="4">
        <v>2</v>
      </c>
      <c r="D660" s="8">
        <v>0.83</v>
      </c>
      <c r="E660" s="4">
        <v>0</v>
      </c>
      <c r="F660" s="8">
        <v>0</v>
      </c>
      <c r="G660" s="4">
        <v>2</v>
      </c>
      <c r="H660" s="8">
        <v>1.8</v>
      </c>
      <c r="I660" s="4">
        <v>0</v>
      </c>
    </row>
    <row r="661" spans="1:9" x14ac:dyDescent="0.2">
      <c r="A661" s="2">
        <v>18</v>
      </c>
      <c r="B661" s="1" t="s">
        <v>218</v>
      </c>
      <c r="C661" s="4">
        <v>2</v>
      </c>
      <c r="D661" s="8">
        <v>0.83</v>
      </c>
      <c r="E661" s="4">
        <v>1</v>
      </c>
      <c r="F661" s="8">
        <v>0.9</v>
      </c>
      <c r="G661" s="4">
        <v>1</v>
      </c>
      <c r="H661" s="8">
        <v>0.9</v>
      </c>
      <c r="I661" s="4">
        <v>0</v>
      </c>
    </row>
    <row r="662" spans="1:9" x14ac:dyDescent="0.2">
      <c r="A662" s="2">
        <v>18</v>
      </c>
      <c r="B662" s="1" t="s">
        <v>226</v>
      </c>
      <c r="C662" s="4">
        <v>2</v>
      </c>
      <c r="D662" s="8">
        <v>0.83</v>
      </c>
      <c r="E662" s="4">
        <v>0</v>
      </c>
      <c r="F662" s="8">
        <v>0</v>
      </c>
      <c r="G662" s="4">
        <v>2</v>
      </c>
      <c r="H662" s="8">
        <v>1.8</v>
      </c>
      <c r="I662" s="4">
        <v>0</v>
      </c>
    </row>
    <row r="663" spans="1:9" x14ac:dyDescent="0.2">
      <c r="A663" s="2">
        <v>18</v>
      </c>
      <c r="B663" s="1" t="s">
        <v>240</v>
      </c>
      <c r="C663" s="4">
        <v>2</v>
      </c>
      <c r="D663" s="8">
        <v>0.83</v>
      </c>
      <c r="E663" s="4">
        <v>1</v>
      </c>
      <c r="F663" s="8">
        <v>0.9</v>
      </c>
      <c r="G663" s="4">
        <v>1</v>
      </c>
      <c r="H663" s="8">
        <v>0.9</v>
      </c>
      <c r="I663" s="4">
        <v>0</v>
      </c>
    </row>
    <row r="664" spans="1:9" x14ac:dyDescent="0.2">
      <c r="A664" s="1"/>
      <c r="C664" s="4"/>
      <c r="D664" s="8"/>
      <c r="E664" s="4"/>
      <c r="F664" s="8"/>
      <c r="G664" s="4"/>
      <c r="H664" s="8"/>
      <c r="I664" s="4"/>
    </row>
    <row r="665" spans="1:9" x14ac:dyDescent="0.2">
      <c r="A665" s="1" t="s">
        <v>29</v>
      </c>
      <c r="C665" s="4"/>
      <c r="D665" s="8"/>
      <c r="E665" s="4"/>
      <c r="F665" s="8"/>
      <c r="G665" s="4"/>
      <c r="H665" s="8"/>
      <c r="I665" s="4"/>
    </row>
    <row r="666" spans="1:9" x14ac:dyDescent="0.2">
      <c r="A666" s="2">
        <v>1</v>
      </c>
      <c r="B666" s="1" t="s">
        <v>227</v>
      </c>
      <c r="C666" s="4">
        <v>133</v>
      </c>
      <c r="D666" s="8">
        <v>16.920000000000002</v>
      </c>
      <c r="E666" s="4">
        <v>117</v>
      </c>
      <c r="F666" s="8">
        <v>26.17</v>
      </c>
      <c r="G666" s="4">
        <v>16</v>
      </c>
      <c r="H666" s="8">
        <v>5.08</v>
      </c>
      <c r="I666" s="4">
        <v>0</v>
      </c>
    </row>
    <row r="667" spans="1:9" x14ac:dyDescent="0.2">
      <c r="A667" s="2">
        <v>2</v>
      </c>
      <c r="B667" s="1" t="s">
        <v>228</v>
      </c>
      <c r="C667" s="4">
        <v>88</v>
      </c>
      <c r="D667" s="8">
        <v>11.2</v>
      </c>
      <c r="E667" s="4">
        <v>79</v>
      </c>
      <c r="F667" s="8">
        <v>17.670000000000002</v>
      </c>
      <c r="G667" s="4">
        <v>9</v>
      </c>
      <c r="H667" s="8">
        <v>2.86</v>
      </c>
      <c r="I667" s="4">
        <v>0</v>
      </c>
    </row>
    <row r="668" spans="1:9" x14ac:dyDescent="0.2">
      <c r="A668" s="2">
        <v>3</v>
      </c>
      <c r="B668" s="1" t="s">
        <v>224</v>
      </c>
      <c r="C668" s="4">
        <v>63</v>
      </c>
      <c r="D668" s="8">
        <v>8.02</v>
      </c>
      <c r="E668" s="4">
        <v>43</v>
      </c>
      <c r="F668" s="8">
        <v>9.6199999999999992</v>
      </c>
      <c r="G668" s="4">
        <v>20</v>
      </c>
      <c r="H668" s="8">
        <v>6.35</v>
      </c>
      <c r="I668" s="4">
        <v>0</v>
      </c>
    </row>
    <row r="669" spans="1:9" x14ac:dyDescent="0.2">
      <c r="A669" s="2">
        <v>4</v>
      </c>
      <c r="B669" s="1" t="s">
        <v>223</v>
      </c>
      <c r="C669" s="4">
        <v>46</v>
      </c>
      <c r="D669" s="8">
        <v>5.85</v>
      </c>
      <c r="E669" s="4">
        <v>18</v>
      </c>
      <c r="F669" s="8">
        <v>4.03</v>
      </c>
      <c r="G669" s="4">
        <v>28</v>
      </c>
      <c r="H669" s="8">
        <v>8.89</v>
      </c>
      <c r="I669" s="4">
        <v>0</v>
      </c>
    </row>
    <row r="670" spans="1:9" x14ac:dyDescent="0.2">
      <c r="A670" s="2">
        <v>5</v>
      </c>
      <c r="B670" s="1" t="s">
        <v>213</v>
      </c>
      <c r="C670" s="4">
        <v>38</v>
      </c>
      <c r="D670" s="8">
        <v>4.83</v>
      </c>
      <c r="E670" s="4">
        <v>12</v>
      </c>
      <c r="F670" s="8">
        <v>2.68</v>
      </c>
      <c r="G670" s="4">
        <v>26</v>
      </c>
      <c r="H670" s="8">
        <v>8.25</v>
      </c>
      <c r="I670" s="4">
        <v>0</v>
      </c>
    </row>
    <row r="671" spans="1:9" x14ac:dyDescent="0.2">
      <c r="A671" s="2">
        <v>6</v>
      </c>
      <c r="B671" s="1" t="s">
        <v>221</v>
      </c>
      <c r="C671" s="4">
        <v>33</v>
      </c>
      <c r="D671" s="8">
        <v>4.2</v>
      </c>
      <c r="E671" s="4">
        <v>16</v>
      </c>
      <c r="F671" s="8">
        <v>3.58</v>
      </c>
      <c r="G671" s="4">
        <v>17</v>
      </c>
      <c r="H671" s="8">
        <v>5.4</v>
      </c>
      <c r="I671" s="4">
        <v>0</v>
      </c>
    </row>
    <row r="672" spans="1:9" x14ac:dyDescent="0.2">
      <c r="A672" s="2">
        <v>7</v>
      </c>
      <c r="B672" s="1" t="s">
        <v>214</v>
      </c>
      <c r="C672" s="4">
        <v>29</v>
      </c>
      <c r="D672" s="8">
        <v>3.69</v>
      </c>
      <c r="E672" s="4">
        <v>22</v>
      </c>
      <c r="F672" s="8">
        <v>4.92</v>
      </c>
      <c r="G672" s="4">
        <v>7</v>
      </c>
      <c r="H672" s="8">
        <v>2.2200000000000002</v>
      </c>
      <c r="I672" s="4">
        <v>0</v>
      </c>
    </row>
    <row r="673" spans="1:9" x14ac:dyDescent="0.2">
      <c r="A673" s="2">
        <v>8</v>
      </c>
      <c r="B673" s="1" t="s">
        <v>222</v>
      </c>
      <c r="C673" s="4">
        <v>24</v>
      </c>
      <c r="D673" s="8">
        <v>3.05</v>
      </c>
      <c r="E673" s="4">
        <v>15</v>
      </c>
      <c r="F673" s="8">
        <v>3.36</v>
      </c>
      <c r="G673" s="4">
        <v>9</v>
      </c>
      <c r="H673" s="8">
        <v>2.86</v>
      </c>
      <c r="I673" s="4">
        <v>0</v>
      </c>
    </row>
    <row r="674" spans="1:9" x14ac:dyDescent="0.2">
      <c r="A674" s="2">
        <v>9</v>
      </c>
      <c r="B674" s="1" t="s">
        <v>215</v>
      </c>
      <c r="C674" s="4">
        <v>19</v>
      </c>
      <c r="D674" s="8">
        <v>2.42</v>
      </c>
      <c r="E674" s="4">
        <v>6</v>
      </c>
      <c r="F674" s="8">
        <v>1.34</v>
      </c>
      <c r="G674" s="4">
        <v>13</v>
      </c>
      <c r="H674" s="8">
        <v>4.13</v>
      </c>
      <c r="I674" s="4">
        <v>0</v>
      </c>
    </row>
    <row r="675" spans="1:9" x14ac:dyDescent="0.2">
      <c r="A675" s="2">
        <v>10</v>
      </c>
      <c r="B675" s="1" t="s">
        <v>225</v>
      </c>
      <c r="C675" s="4">
        <v>18</v>
      </c>
      <c r="D675" s="8">
        <v>2.29</v>
      </c>
      <c r="E675" s="4">
        <v>14</v>
      </c>
      <c r="F675" s="8">
        <v>3.13</v>
      </c>
      <c r="G675" s="4">
        <v>3</v>
      </c>
      <c r="H675" s="8">
        <v>0.95</v>
      </c>
      <c r="I675" s="4">
        <v>1</v>
      </c>
    </row>
    <row r="676" spans="1:9" x14ac:dyDescent="0.2">
      <c r="A676" s="2">
        <v>11</v>
      </c>
      <c r="B676" s="1" t="s">
        <v>216</v>
      </c>
      <c r="C676" s="4">
        <v>17</v>
      </c>
      <c r="D676" s="8">
        <v>2.16</v>
      </c>
      <c r="E676" s="4">
        <v>2</v>
      </c>
      <c r="F676" s="8">
        <v>0.45</v>
      </c>
      <c r="G676" s="4">
        <v>15</v>
      </c>
      <c r="H676" s="8">
        <v>4.76</v>
      </c>
      <c r="I676" s="4">
        <v>0</v>
      </c>
    </row>
    <row r="677" spans="1:9" x14ac:dyDescent="0.2">
      <c r="A677" s="2">
        <v>11</v>
      </c>
      <c r="B677" s="1" t="s">
        <v>217</v>
      </c>
      <c r="C677" s="4">
        <v>17</v>
      </c>
      <c r="D677" s="8">
        <v>2.16</v>
      </c>
      <c r="E677" s="4">
        <v>3</v>
      </c>
      <c r="F677" s="8">
        <v>0.67</v>
      </c>
      <c r="G677" s="4">
        <v>14</v>
      </c>
      <c r="H677" s="8">
        <v>4.4400000000000004</v>
      </c>
      <c r="I677" s="4">
        <v>0</v>
      </c>
    </row>
    <row r="678" spans="1:9" x14ac:dyDescent="0.2">
      <c r="A678" s="2">
        <v>11</v>
      </c>
      <c r="B678" s="1" t="s">
        <v>231</v>
      </c>
      <c r="C678" s="4">
        <v>17</v>
      </c>
      <c r="D678" s="8">
        <v>2.16</v>
      </c>
      <c r="E678" s="4">
        <v>14</v>
      </c>
      <c r="F678" s="8">
        <v>3.13</v>
      </c>
      <c r="G678" s="4">
        <v>3</v>
      </c>
      <c r="H678" s="8">
        <v>0.95</v>
      </c>
      <c r="I678" s="4">
        <v>0</v>
      </c>
    </row>
    <row r="679" spans="1:9" x14ac:dyDescent="0.2">
      <c r="A679" s="2">
        <v>14</v>
      </c>
      <c r="B679" s="1" t="s">
        <v>219</v>
      </c>
      <c r="C679" s="4">
        <v>16</v>
      </c>
      <c r="D679" s="8">
        <v>2.04</v>
      </c>
      <c r="E679" s="4">
        <v>1</v>
      </c>
      <c r="F679" s="8">
        <v>0.22</v>
      </c>
      <c r="G679" s="4">
        <v>15</v>
      </c>
      <c r="H679" s="8">
        <v>4.76</v>
      </c>
      <c r="I679" s="4">
        <v>0</v>
      </c>
    </row>
    <row r="680" spans="1:9" x14ac:dyDescent="0.2">
      <c r="A680" s="2">
        <v>14</v>
      </c>
      <c r="B680" s="1" t="s">
        <v>232</v>
      </c>
      <c r="C680" s="4">
        <v>16</v>
      </c>
      <c r="D680" s="8">
        <v>2.04</v>
      </c>
      <c r="E680" s="4">
        <v>0</v>
      </c>
      <c r="F680" s="8">
        <v>0</v>
      </c>
      <c r="G680" s="4">
        <v>1</v>
      </c>
      <c r="H680" s="8">
        <v>0.32</v>
      </c>
      <c r="I680" s="4">
        <v>0</v>
      </c>
    </row>
    <row r="681" spans="1:9" x14ac:dyDescent="0.2">
      <c r="A681" s="2">
        <v>16</v>
      </c>
      <c r="B681" s="1" t="s">
        <v>237</v>
      </c>
      <c r="C681" s="4">
        <v>15</v>
      </c>
      <c r="D681" s="8">
        <v>1.91</v>
      </c>
      <c r="E681" s="4">
        <v>1</v>
      </c>
      <c r="F681" s="8">
        <v>0.22</v>
      </c>
      <c r="G681" s="4">
        <v>14</v>
      </c>
      <c r="H681" s="8">
        <v>4.4400000000000004</v>
      </c>
      <c r="I681" s="4">
        <v>0</v>
      </c>
    </row>
    <row r="682" spans="1:9" x14ac:dyDescent="0.2">
      <c r="A682" s="2">
        <v>16</v>
      </c>
      <c r="B682" s="1" t="s">
        <v>230</v>
      </c>
      <c r="C682" s="4">
        <v>15</v>
      </c>
      <c r="D682" s="8">
        <v>1.91</v>
      </c>
      <c r="E682" s="4">
        <v>12</v>
      </c>
      <c r="F682" s="8">
        <v>2.68</v>
      </c>
      <c r="G682" s="4">
        <v>2</v>
      </c>
      <c r="H682" s="8">
        <v>0.63</v>
      </c>
      <c r="I682" s="4">
        <v>0</v>
      </c>
    </row>
    <row r="683" spans="1:9" x14ac:dyDescent="0.2">
      <c r="A683" s="2">
        <v>18</v>
      </c>
      <c r="B683" s="1" t="s">
        <v>240</v>
      </c>
      <c r="C683" s="4">
        <v>13</v>
      </c>
      <c r="D683" s="8">
        <v>1.65</v>
      </c>
      <c r="E683" s="4">
        <v>11</v>
      </c>
      <c r="F683" s="8">
        <v>2.46</v>
      </c>
      <c r="G683" s="4">
        <v>2</v>
      </c>
      <c r="H683" s="8">
        <v>0.63</v>
      </c>
      <c r="I683" s="4">
        <v>0</v>
      </c>
    </row>
    <row r="684" spans="1:9" x14ac:dyDescent="0.2">
      <c r="A684" s="2">
        <v>19</v>
      </c>
      <c r="B684" s="1" t="s">
        <v>241</v>
      </c>
      <c r="C684" s="4">
        <v>12</v>
      </c>
      <c r="D684" s="8">
        <v>1.53</v>
      </c>
      <c r="E684" s="4">
        <v>5</v>
      </c>
      <c r="F684" s="8">
        <v>1.1200000000000001</v>
      </c>
      <c r="G684" s="4">
        <v>7</v>
      </c>
      <c r="H684" s="8">
        <v>2.2200000000000002</v>
      </c>
      <c r="I684" s="4">
        <v>0</v>
      </c>
    </row>
    <row r="685" spans="1:9" x14ac:dyDescent="0.2">
      <c r="A685" s="2">
        <v>20</v>
      </c>
      <c r="B685" s="1" t="s">
        <v>218</v>
      </c>
      <c r="C685" s="4">
        <v>11</v>
      </c>
      <c r="D685" s="8">
        <v>1.4</v>
      </c>
      <c r="E685" s="4">
        <v>2</v>
      </c>
      <c r="F685" s="8">
        <v>0.45</v>
      </c>
      <c r="G685" s="4">
        <v>9</v>
      </c>
      <c r="H685" s="8">
        <v>2.86</v>
      </c>
      <c r="I685" s="4">
        <v>0</v>
      </c>
    </row>
    <row r="686" spans="1:9" x14ac:dyDescent="0.2">
      <c r="A686" s="2">
        <v>20</v>
      </c>
      <c r="B686" s="1" t="s">
        <v>243</v>
      </c>
      <c r="C686" s="4">
        <v>11</v>
      </c>
      <c r="D686" s="8">
        <v>1.4</v>
      </c>
      <c r="E686" s="4">
        <v>5</v>
      </c>
      <c r="F686" s="8">
        <v>1.1200000000000001</v>
      </c>
      <c r="G686" s="4">
        <v>6</v>
      </c>
      <c r="H686" s="8">
        <v>1.9</v>
      </c>
      <c r="I686" s="4">
        <v>0</v>
      </c>
    </row>
    <row r="687" spans="1:9" x14ac:dyDescent="0.2">
      <c r="A687" s="1"/>
      <c r="C687" s="4"/>
      <c r="D687" s="8"/>
      <c r="E687" s="4"/>
      <c r="F687" s="8"/>
      <c r="G687" s="4"/>
      <c r="H687" s="8"/>
      <c r="I687" s="4"/>
    </row>
    <row r="688" spans="1:9" x14ac:dyDescent="0.2">
      <c r="A688" s="1" t="s">
        <v>30</v>
      </c>
      <c r="C688" s="4"/>
      <c r="D688" s="8"/>
      <c r="E688" s="4"/>
      <c r="F688" s="8"/>
      <c r="G688" s="4"/>
      <c r="H688" s="8"/>
      <c r="I688" s="4"/>
    </row>
    <row r="689" spans="1:9" x14ac:dyDescent="0.2">
      <c r="A689" s="2">
        <v>1</v>
      </c>
      <c r="B689" s="1" t="s">
        <v>227</v>
      </c>
      <c r="C689" s="4">
        <v>92</v>
      </c>
      <c r="D689" s="8">
        <v>15.75</v>
      </c>
      <c r="E689" s="4">
        <v>87</v>
      </c>
      <c r="F689" s="8">
        <v>25.29</v>
      </c>
      <c r="G689" s="4">
        <v>5</v>
      </c>
      <c r="H689" s="8">
        <v>2.25</v>
      </c>
      <c r="I689" s="4">
        <v>0</v>
      </c>
    </row>
    <row r="690" spans="1:9" x14ac:dyDescent="0.2">
      <c r="A690" s="2">
        <v>2</v>
      </c>
      <c r="B690" s="1" t="s">
        <v>228</v>
      </c>
      <c r="C690" s="4">
        <v>65</v>
      </c>
      <c r="D690" s="8">
        <v>11.13</v>
      </c>
      <c r="E690" s="4">
        <v>63</v>
      </c>
      <c r="F690" s="8">
        <v>18.309999999999999</v>
      </c>
      <c r="G690" s="4">
        <v>2</v>
      </c>
      <c r="H690" s="8">
        <v>0.9</v>
      </c>
      <c r="I690" s="4">
        <v>0</v>
      </c>
    </row>
    <row r="691" spans="1:9" x14ac:dyDescent="0.2">
      <c r="A691" s="2">
        <v>3</v>
      </c>
      <c r="B691" s="1" t="s">
        <v>223</v>
      </c>
      <c r="C691" s="4">
        <v>49</v>
      </c>
      <c r="D691" s="8">
        <v>8.39</v>
      </c>
      <c r="E691" s="4">
        <v>21</v>
      </c>
      <c r="F691" s="8">
        <v>6.1</v>
      </c>
      <c r="G691" s="4">
        <v>28</v>
      </c>
      <c r="H691" s="8">
        <v>12.61</v>
      </c>
      <c r="I691" s="4">
        <v>0</v>
      </c>
    </row>
    <row r="692" spans="1:9" x14ac:dyDescent="0.2">
      <c r="A692" s="2">
        <v>4</v>
      </c>
      <c r="B692" s="1" t="s">
        <v>224</v>
      </c>
      <c r="C692" s="4">
        <v>38</v>
      </c>
      <c r="D692" s="8">
        <v>6.51</v>
      </c>
      <c r="E692" s="4">
        <v>33</v>
      </c>
      <c r="F692" s="8">
        <v>9.59</v>
      </c>
      <c r="G692" s="4">
        <v>4</v>
      </c>
      <c r="H692" s="8">
        <v>1.8</v>
      </c>
      <c r="I692" s="4">
        <v>0</v>
      </c>
    </row>
    <row r="693" spans="1:9" x14ac:dyDescent="0.2">
      <c r="A693" s="2">
        <v>5</v>
      </c>
      <c r="B693" s="1" t="s">
        <v>214</v>
      </c>
      <c r="C693" s="4">
        <v>31</v>
      </c>
      <c r="D693" s="8">
        <v>5.31</v>
      </c>
      <c r="E693" s="4">
        <v>18</v>
      </c>
      <c r="F693" s="8">
        <v>5.23</v>
      </c>
      <c r="G693" s="4">
        <v>13</v>
      </c>
      <c r="H693" s="8">
        <v>5.86</v>
      </c>
      <c r="I693" s="4">
        <v>0</v>
      </c>
    </row>
    <row r="694" spans="1:9" x14ac:dyDescent="0.2">
      <c r="A694" s="2">
        <v>6</v>
      </c>
      <c r="B694" s="1" t="s">
        <v>221</v>
      </c>
      <c r="C694" s="4">
        <v>27</v>
      </c>
      <c r="D694" s="8">
        <v>4.62</v>
      </c>
      <c r="E694" s="4">
        <v>13</v>
      </c>
      <c r="F694" s="8">
        <v>3.78</v>
      </c>
      <c r="G694" s="4">
        <v>14</v>
      </c>
      <c r="H694" s="8">
        <v>6.31</v>
      </c>
      <c r="I694" s="4">
        <v>0</v>
      </c>
    </row>
    <row r="695" spans="1:9" x14ac:dyDescent="0.2">
      <c r="A695" s="2">
        <v>7</v>
      </c>
      <c r="B695" s="1" t="s">
        <v>213</v>
      </c>
      <c r="C695" s="4">
        <v>25</v>
      </c>
      <c r="D695" s="8">
        <v>4.28</v>
      </c>
      <c r="E695" s="4">
        <v>2</v>
      </c>
      <c r="F695" s="8">
        <v>0.57999999999999996</v>
      </c>
      <c r="G695" s="4">
        <v>23</v>
      </c>
      <c r="H695" s="8">
        <v>10.36</v>
      </c>
      <c r="I695" s="4">
        <v>0</v>
      </c>
    </row>
    <row r="696" spans="1:9" x14ac:dyDescent="0.2">
      <c r="A696" s="2">
        <v>8</v>
      </c>
      <c r="B696" s="1" t="s">
        <v>230</v>
      </c>
      <c r="C696" s="4">
        <v>24</v>
      </c>
      <c r="D696" s="8">
        <v>4.1100000000000003</v>
      </c>
      <c r="E696" s="4">
        <v>14</v>
      </c>
      <c r="F696" s="8">
        <v>4.07</v>
      </c>
      <c r="G696" s="4">
        <v>2</v>
      </c>
      <c r="H696" s="8">
        <v>0.9</v>
      </c>
      <c r="I696" s="4">
        <v>1</v>
      </c>
    </row>
    <row r="697" spans="1:9" x14ac:dyDescent="0.2">
      <c r="A697" s="2">
        <v>9</v>
      </c>
      <c r="B697" s="1" t="s">
        <v>231</v>
      </c>
      <c r="C697" s="4">
        <v>20</v>
      </c>
      <c r="D697" s="8">
        <v>3.42</v>
      </c>
      <c r="E697" s="4">
        <v>15</v>
      </c>
      <c r="F697" s="8">
        <v>4.3600000000000003</v>
      </c>
      <c r="G697" s="4">
        <v>5</v>
      </c>
      <c r="H697" s="8">
        <v>2.25</v>
      </c>
      <c r="I697" s="4">
        <v>0</v>
      </c>
    </row>
    <row r="698" spans="1:9" x14ac:dyDescent="0.2">
      <c r="A698" s="2">
        <v>10</v>
      </c>
      <c r="B698" s="1" t="s">
        <v>222</v>
      </c>
      <c r="C698" s="4">
        <v>19</v>
      </c>
      <c r="D698" s="8">
        <v>3.25</v>
      </c>
      <c r="E698" s="4">
        <v>14</v>
      </c>
      <c r="F698" s="8">
        <v>4.07</v>
      </c>
      <c r="G698" s="4">
        <v>5</v>
      </c>
      <c r="H698" s="8">
        <v>2.25</v>
      </c>
      <c r="I698" s="4">
        <v>0</v>
      </c>
    </row>
    <row r="699" spans="1:9" x14ac:dyDescent="0.2">
      <c r="A699" s="2">
        <v>10</v>
      </c>
      <c r="B699" s="1" t="s">
        <v>232</v>
      </c>
      <c r="C699" s="4">
        <v>19</v>
      </c>
      <c r="D699" s="8">
        <v>3.25</v>
      </c>
      <c r="E699" s="4">
        <v>0</v>
      </c>
      <c r="F699" s="8">
        <v>0</v>
      </c>
      <c r="G699" s="4">
        <v>17</v>
      </c>
      <c r="H699" s="8">
        <v>7.66</v>
      </c>
      <c r="I699" s="4">
        <v>1</v>
      </c>
    </row>
    <row r="700" spans="1:9" x14ac:dyDescent="0.2">
      <c r="A700" s="2">
        <v>12</v>
      </c>
      <c r="B700" s="1" t="s">
        <v>240</v>
      </c>
      <c r="C700" s="4">
        <v>13</v>
      </c>
      <c r="D700" s="8">
        <v>2.23</v>
      </c>
      <c r="E700" s="4">
        <v>11</v>
      </c>
      <c r="F700" s="8">
        <v>3.2</v>
      </c>
      <c r="G700" s="4">
        <v>2</v>
      </c>
      <c r="H700" s="8">
        <v>0.9</v>
      </c>
      <c r="I700" s="4">
        <v>0</v>
      </c>
    </row>
    <row r="701" spans="1:9" x14ac:dyDescent="0.2">
      <c r="A701" s="2">
        <v>13</v>
      </c>
      <c r="B701" s="1" t="s">
        <v>215</v>
      </c>
      <c r="C701" s="4">
        <v>12</v>
      </c>
      <c r="D701" s="8">
        <v>2.0499999999999998</v>
      </c>
      <c r="E701" s="4">
        <v>4</v>
      </c>
      <c r="F701" s="8">
        <v>1.1599999999999999</v>
      </c>
      <c r="G701" s="4">
        <v>8</v>
      </c>
      <c r="H701" s="8">
        <v>3.6</v>
      </c>
      <c r="I701" s="4">
        <v>0</v>
      </c>
    </row>
    <row r="702" spans="1:9" x14ac:dyDescent="0.2">
      <c r="A702" s="2">
        <v>14</v>
      </c>
      <c r="B702" s="1" t="s">
        <v>243</v>
      </c>
      <c r="C702" s="4">
        <v>11</v>
      </c>
      <c r="D702" s="8">
        <v>1.88</v>
      </c>
      <c r="E702" s="4">
        <v>9</v>
      </c>
      <c r="F702" s="8">
        <v>2.62</v>
      </c>
      <c r="G702" s="4">
        <v>2</v>
      </c>
      <c r="H702" s="8">
        <v>0.9</v>
      </c>
      <c r="I702" s="4">
        <v>0</v>
      </c>
    </row>
    <row r="703" spans="1:9" x14ac:dyDescent="0.2">
      <c r="A703" s="2">
        <v>15</v>
      </c>
      <c r="B703" s="1" t="s">
        <v>219</v>
      </c>
      <c r="C703" s="4">
        <v>10</v>
      </c>
      <c r="D703" s="8">
        <v>1.71</v>
      </c>
      <c r="E703" s="4">
        <v>4</v>
      </c>
      <c r="F703" s="8">
        <v>1.1599999999999999</v>
      </c>
      <c r="G703" s="4">
        <v>6</v>
      </c>
      <c r="H703" s="8">
        <v>2.7</v>
      </c>
      <c r="I703" s="4">
        <v>0</v>
      </c>
    </row>
    <row r="704" spans="1:9" x14ac:dyDescent="0.2">
      <c r="A704" s="2">
        <v>15</v>
      </c>
      <c r="B704" s="1" t="s">
        <v>220</v>
      </c>
      <c r="C704" s="4">
        <v>10</v>
      </c>
      <c r="D704" s="8">
        <v>1.71</v>
      </c>
      <c r="E704" s="4">
        <v>4</v>
      </c>
      <c r="F704" s="8">
        <v>1.1599999999999999</v>
      </c>
      <c r="G704" s="4">
        <v>6</v>
      </c>
      <c r="H704" s="8">
        <v>2.7</v>
      </c>
      <c r="I704" s="4">
        <v>0</v>
      </c>
    </row>
    <row r="705" spans="1:9" x14ac:dyDescent="0.2">
      <c r="A705" s="2">
        <v>15</v>
      </c>
      <c r="B705" s="1" t="s">
        <v>229</v>
      </c>
      <c r="C705" s="4">
        <v>10</v>
      </c>
      <c r="D705" s="8">
        <v>1.71</v>
      </c>
      <c r="E705" s="4">
        <v>6</v>
      </c>
      <c r="F705" s="8">
        <v>1.74</v>
      </c>
      <c r="G705" s="4">
        <v>4</v>
      </c>
      <c r="H705" s="8">
        <v>1.8</v>
      </c>
      <c r="I705" s="4">
        <v>0</v>
      </c>
    </row>
    <row r="706" spans="1:9" x14ac:dyDescent="0.2">
      <c r="A706" s="2">
        <v>18</v>
      </c>
      <c r="B706" s="1" t="s">
        <v>217</v>
      </c>
      <c r="C706" s="4">
        <v>9</v>
      </c>
      <c r="D706" s="8">
        <v>1.54</v>
      </c>
      <c r="E706" s="4">
        <v>3</v>
      </c>
      <c r="F706" s="8">
        <v>0.87</v>
      </c>
      <c r="G706" s="4">
        <v>6</v>
      </c>
      <c r="H706" s="8">
        <v>2.7</v>
      </c>
      <c r="I706" s="4">
        <v>0</v>
      </c>
    </row>
    <row r="707" spans="1:9" x14ac:dyDescent="0.2">
      <c r="A707" s="2">
        <v>18</v>
      </c>
      <c r="B707" s="1" t="s">
        <v>225</v>
      </c>
      <c r="C707" s="4">
        <v>9</v>
      </c>
      <c r="D707" s="8">
        <v>1.54</v>
      </c>
      <c r="E707" s="4">
        <v>7</v>
      </c>
      <c r="F707" s="8">
        <v>2.0299999999999998</v>
      </c>
      <c r="G707" s="4">
        <v>2</v>
      </c>
      <c r="H707" s="8">
        <v>0.9</v>
      </c>
      <c r="I707" s="4">
        <v>0</v>
      </c>
    </row>
    <row r="708" spans="1:9" x14ac:dyDescent="0.2">
      <c r="A708" s="2">
        <v>18</v>
      </c>
      <c r="B708" s="1" t="s">
        <v>226</v>
      </c>
      <c r="C708" s="4">
        <v>9</v>
      </c>
      <c r="D708" s="8">
        <v>1.54</v>
      </c>
      <c r="E708" s="4">
        <v>2</v>
      </c>
      <c r="F708" s="8">
        <v>0.57999999999999996</v>
      </c>
      <c r="G708" s="4">
        <v>7</v>
      </c>
      <c r="H708" s="8">
        <v>3.15</v>
      </c>
      <c r="I708" s="4">
        <v>0</v>
      </c>
    </row>
    <row r="709" spans="1:9" x14ac:dyDescent="0.2">
      <c r="A709" s="1"/>
      <c r="C709" s="4"/>
      <c r="D709" s="8"/>
      <c r="E709" s="4"/>
      <c r="F709" s="8"/>
      <c r="G709" s="4"/>
      <c r="H709" s="8"/>
      <c r="I709" s="4"/>
    </row>
    <row r="710" spans="1:9" x14ac:dyDescent="0.2">
      <c r="A710" s="1" t="s">
        <v>31</v>
      </c>
      <c r="C710" s="4"/>
      <c r="D710" s="8"/>
      <c r="E710" s="4"/>
      <c r="F710" s="8"/>
      <c r="G710" s="4"/>
      <c r="H710" s="8"/>
      <c r="I710" s="4"/>
    </row>
    <row r="711" spans="1:9" x14ac:dyDescent="0.2">
      <c r="A711" s="2">
        <v>1</v>
      </c>
      <c r="B711" s="1" t="s">
        <v>224</v>
      </c>
      <c r="C711" s="4">
        <v>115</v>
      </c>
      <c r="D711" s="8">
        <v>14.71</v>
      </c>
      <c r="E711" s="4">
        <v>95</v>
      </c>
      <c r="F711" s="8">
        <v>20</v>
      </c>
      <c r="G711" s="4">
        <v>20</v>
      </c>
      <c r="H711" s="8">
        <v>6.85</v>
      </c>
      <c r="I711" s="4">
        <v>0</v>
      </c>
    </row>
    <row r="712" spans="1:9" x14ac:dyDescent="0.2">
      <c r="A712" s="2">
        <v>2</v>
      </c>
      <c r="B712" s="1" t="s">
        <v>227</v>
      </c>
      <c r="C712" s="4">
        <v>114</v>
      </c>
      <c r="D712" s="8">
        <v>14.58</v>
      </c>
      <c r="E712" s="4">
        <v>106</v>
      </c>
      <c r="F712" s="8">
        <v>22.32</v>
      </c>
      <c r="G712" s="4">
        <v>8</v>
      </c>
      <c r="H712" s="8">
        <v>2.74</v>
      </c>
      <c r="I712" s="4">
        <v>0</v>
      </c>
    </row>
    <row r="713" spans="1:9" x14ac:dyDescent="0.2">
      <c r="A713" s="2">
        <v>3</v>
      </c>
      <c r="B713" s="1" t="s">
        <v>228</v>
      </c>
      <c r="C713" s="4">
        <v>89</v>
      </c>
      <c r="D713" s="8">
        <v>11.38</v>
      </c>
      <c r="E713" s="4">
        <v>76</v>
      </c>
      <c r="F713" s="8">
        <v>16</v>
      </c>
      <c r="G713" s="4">
        <v>13</v>
      </c>
      <c r="H713" s="8">
        <v>4.45</v>
      </c>
      <c r="I713" s="4">
        <v>0</v>
      </c>
    </row>
    <row r="714" spans="1:9" x14ac:dyDescent="0.2">
      <c r="A714" s="2">
        <v>4</v>
      </c>
      <c r="B714" s="1" t="s">
        <v>223</v>
      </c>
      <c r="C714" s="4">
        <v>58</v>
      </c>
      <c r="D714" s="8">
        <v>7.42</v>
      </c>
      <c r="E714" s="4">
        <v>22</v>
      </c>
      <c r="F714" s="8">
        <v>4.63</v>
      </c>
      <c r="G714" s="4">
        <v>36</v>
      </c>
      <c r="H714" s="8">
        <v>12.33</v>
      </c>
      <c r="I714" s="4">
        <v>0</v>
      </c>
    </row>
    <row r="715" spans="1:9" x14ac:dyDescent="0.2">
      <c r="A715" s="2">
        <v>5</v>
      </c>
      <c r="B715" s="1" t="s">
        <v>221</v>
      </c>
      <c r="C715" s="4">
        <v>35</v>
      </c>
      <c r="D715" s="8">
        <v>4.4800000000000004</v>
      </c>
      <c r="E715" s="4">
        <v>20</v>
      </c>
      <c r="F715" s="8">
        <v>4.21</v>
      </c>
      <c r="G715" s="4">
        <v>15</v>
      </c>
      <c r="H715" s="8">
        <v>5.14</v>
      </c>
      <c r="I715" s="4">
        <v>0</v>
      </c>
    </row>
    <row r="716" spans="1:9" x14ac:dyDescent="0.2">
      <c r="A716" s="2">
        <v>6</v>
      </c>
      <c r="B716" s="1" t="s">
        <v>231</v>
      </c>
      <c r="C716" s="4">
        <v>32</v>
      </c>
      <c r="D716" s="8">
        <v>4.09</v>
      </c>
      <c r="E716" s="4">
        <v>24</v>
      </c>
      <c r="F716" s="8">
        <v>5.05</v>
      </c>
      <c r="G716" s="4">
        <v>8</v>
      </c>
      <c r="H716" s="8">
        <v>2.74</v>
      </c>
      <c r="I716" s="4">
        <v>0</v>
      </c>
    </row>
    <row r="717" spans="1:9" x14ac:dyDescent="0.2">
      <c r="A717" s="2">
        <v>7</v>
      </c>
      <c r="B717" s="1" t="s">
        <v>214</v>
      </c>
      <c r="C717" s="4">
        <v>26</v>
      </c>
      <c r="D717" s="8">
        <v>3.32</v>
      </c>
      <c r="E717" s="4">
        <v>14</v>
      </c>
      <c r="F717" s="8">
        <v>2.95</v>
      </c>
      <c r="G717" s="4">
        <v>12</v>
      </c>
      <c r="H717" s="8">
        <v>4.1100000000000003</v>
      </c>
      <c r="I717" s="4">
        <v>0</v>
      </c>
    </row>
    <row r="718" spans="1:9" x14ac:dyDescent="0.2">
      <c r="A718" s="2">
        <v>8</v>
      </c>
      <c r="B718" s="1" t="s">
        <v>213</v>
      </c>
      <c r="C718" s="4">
        <v>24</v>
      </c>
      <c r="D718" s="8">
        <v>3.07</v>
      </c>
      <c r="E718" s="4">
        <v>10</v>
      </c>
      <c r="F718" s="8">
        <v>2.11</v>
      </c>
      <c r="G718" s="4">
        <v>14</v>
      </c>
      <c r="H718" s="8">
        <v>4.79</v>
      </c>
      <c r="I718" s="4">
        <v>0</v>
      </c>
    </row>
    <row r="719" spans="1:9" x14ac:dyDescent="0.2">
      <c r="A719" s="2">
        <v>9</v>
      </c>
      <c r="B719" s="1" t="s">
        <v>222</v>
      </c>
      <c r="C719" s="4">
        <v>21</v>
      </c>
      <c r="D719" s="8">
        <v>2.69</v>
      </c>
      <c r="E719" s="4">
        <v>11</v>
      </c>
      <c r="F719" s="8">
        <v>2.3199999999999998</v>
      </c>
      <c r="G719" s="4">
        <v>10</v>
      </c>
      <c r="H719" s="8">
        <v>3.42</v>
      </c>
      <c r="I719" s="4">
        <v>0</v>
      </c>
    </row>
    <row r="720" spans="1:9" x14ac:dyDescent="0.2">
      <c r="A720" s="2">
        <v>9</v>
      </c>
      <c r="B720" s="1" t="s">
        <v>230</v>
      </c>
      <c r="C720" s="4">
        <v>21</v>
      </c>
      <c r="D720" s="8">
        <v>2.69</v>
      </c>
      <c r="E720" s="4">
        <v>16</v>
      </c>
      <c r="F720" s="8">
        <v>3.37</v>
      </c>
      <c r="G720" s="4">
        <v>2</v>
      </c>
      <c r="H720" s="8">
        <v>0.68</v>
      </c>
      <c r="I720" s="4">
        <v>0</v>
      </c>
    </row>
    <row r="721" spans="1:9" x14ac:dyDescent="0.2">
      <c r="A721" s="2">
        <v>11</v>
      </c>
      <c r="B721" s="1" t="s">
        <v>232</v>
      </c>
      <c r="C721" s="4">
        <v>19</v>
      </c>
      <c r="D721" s="8">
        <v>2.4300000000000002</v>
      </c>
      <c r="E721" s="4">
        <v>0</v>
      </c>
      <c r="F721" s="8">
        <v>0</v>
      </c>
      <c r="G721" s="4">
        <v>15</v>
      </c>
      <c r="H721" s="8">
        <v>5.14</v>
      </c>
      <c r="I721" s="4">
        <v>0</v>
      </c>
    </row>
    <row r="722" spans="1:9" x14ac:dyDescent="0.2">
      <c r="A722" s="2">
        <v>12</v>
      </c>
      <c r="B722" s="1" t="s">
        <v>215</v>
      </c>
      <c r="C722" s="4">
        <v>15</v>
      </c>
      <c r="D722" s="8">
        <v>1.92</v>
      </c>
      <c r="E722" s="4">
        <v>4</v>
      </c>
      <c r="F722" s="8">
        <v>0.84</v>
      </c>
      <c r="G722" s="4">
        <v>11</v>
      </c>
      <c r="H722" s="8">
        <v>3.77</v>
      </c>
      <c r="I722" s="4">
        <v>0</v>
      </c>
    </row>
    <row r="723" spans="1:9" x14ac:dyDescent="0.2">
      <c r="A723" s="2">
        <v>13</v>
      </c>
      <c r="B723" s="1" t="s">
        <v>220</v>
      </c>
      <c r="C723" s="4">
        <v>13</v>
      </c>
      <c r="D723" s="8">
        <v>1.66</v>
      </c>
      <c r="E723" s="4">
        <v>5</v>
      </c>
      <c r="F723" s="8">
        <v>1.05</v>
      </c>
      <c r="G723" s="4">
        <v>8</v>
      </c>
      <c r="H723" s="8">
        <v>2.74</v>
      </c>
      <c r="I723" s="4">
        <v>0</v>
      </c>
    </row>
    <row r="724" spans="1:9" x14ac:dyDescent="0.2">
      <c r="A724" s="2">
        <v>13</v>
      </c>
      <c r="B724" s="1" t="s">
        <v>237</v>
      </c>
      <c r="C724" s="4">
        <v>13</v>
      </c>
      <c r="D724" s="8">
        <v>1.66</v>
      </c>
      <c r="E724" s="4">
        <v>3</v>
      </c>
      <c r="F724" s="8">
        <v>0.63</v>
      </c>
      <c r="G724" s="4">
        <v>10</v>
      </c>
      <c r="H724" s="8">
        <v>3.42</v>
      </c>
      <c r="I724" s="4">
        <v>0</v>
      </c>
    </row>
    <row r="725" spans="1:9" x14ac:dyDescent="0.2">
      <c r="A725" s="2">
        <v>13</v>
      </c>
      <c r="B725" s="1" t="s">
        <v>226</v>
      </c>
      <c r="C725" s="4">
        <v>13</v>
      </c>
      <c r="D725" s="8">
        <v>1.66</v>
      </c>
      <c r="E725" s="4">
        <v>8</v>
      </c>
      <c r="F725" s="8">
        <v>1.68</v>
      </c>
      <c r="G725" s="4">
        <v>4</v>
      </c>
      <c r="H725" s="8">
        <v>1.37</v>
      </c>
      <c r="I725" s="4">
        <v>0</v>
      </c>
    </row>
    <row r="726" spans="1:9" x14ac:dyDescent="0.2">
      <c r="A726" s="2">
        <v>13</v>
      </c>
      <c r="B726" s="1" t="s">
        <v>243</v>
      </c>
      <c r="C726" s="4">
        <v>13</v>
      </c>
      <c r="D726" s="8">
        <v>1.66</v>
      </c>
      <c r="E726" s="4">
        <v>12</v>
      </c>
      <c r="F726" s="8">
        <v>2.5299999999999998</v>
      </c>
      <c r="G726" s="4">
        <v>1</v>
      </c>
      <c r="H726" s="8">
        <v>0.34</v>
      </c>
      <c r="I726" s="4">
        <v>0</v>
      </c>
    </row>
    <row r="727" spans="1:9" x14ac:dyDescent="0.2">
      <c r="A727" s="2">
        <v>13</v>
      </c>
      <c r="B727" s="1" t="s">
        <v>229</v>
      </c>
      <c r="C727" s="4">
        <v>13</v>
      </c>
      <c r="D727" s="8">
        <v>1.66</v>
      </c>
      <c r="E727" s="4">
        <v>7</v>
      </c>
      <c r="F727" s="8">
        <v>1.47</v>
      </c>
      <c r="G727" s="4">
        <v>6</v>
      </c>
      <c r="H727" s="8">
        <v>2.0499999999999998</v>
      </c>
      <c r="I727" s="4">
        <v>0</v>
      </c>
    </row>
    <row r="728" spans="1:9" x14ac:dyDescent="0.2">
      <c r="A728" s="2">
        <v>13</v>
      </c>
      <c r="B728" s="1" t="s">
        <v>234</v>
      </c>
      <c r="C728" s="4">
        <v>13</v>
      </c>
      <c r="D728" s="8">
        <v>1.66</v>
      </c>
      <c r="E728" s="4">
        <v>2</v>
      </c>
      <c r="F728" s="8">
        <v>0.42</v>
      </c>
      <c r="G728" s="4">
        <v>10</v>
      </c>
      <c r="H728" s="8">
        <v>3.42</v>
      </c>
      <c r="I728" s="4">
        <v>1</v>
      </c>
    </row>
    <row r="729" spans="1:9" x14ac:dyDescent="0.2">
      <c r="A729" s="2">
        <v>19</v>
      </c>
      <c r="B729" s="1" t="s">
        <v>225</v>
      </c>
      <c r="C729" s="4">
        <v>11</v>
      </c>
      <c r="D729" s="8">
        <v>1.41</v>
      </c>
      <c r="E729" s="4">
        <v>10</v>
      </c>
      <c r="F729" s="8">
        <v>2.11</v>
      </c>
      <c r="G729" s="4">
        <v>1</v>
      </c>
      <c r="H729" s="8">
        <v>0.34</v>
      </c>
      <c r="I729" s="4">
        <v>0</v>
      </c>
    </row>
    <row r="730" spans="1:9" x14ac:dyDescent="0.2">
      <c r="A730" s="2">
        <v>20</v>
      </c>
      <c r="B730" s="1" t="s">
        <v>241</v>
      </c>
      <c r="C730" s="4">
        <v>10</v>
      </c>
      <c r="D730" s="8">
        <v>1.28</v>
      </c>
      <c r="E730" s="4">
        <v>3</v>
      </c>
      <c r="F730" s="8">
        <v>0.63</v>
      </c>
      <c r="G730" s="4">
        <v>7</v>
      </c>
      <c r="H730" s="8">
        <v>2.4</v>
      </c>
      <c r="I730" s="4">
        <v>0</v>
      </c>
    </row>
    <row r="731" spans="1:9" x14ac:dyDescent="0.2">
      <c r="A731" s="2">
        <v>20</v>
      </c>
      <c r="B731" s="1" t="s">
        <v>217</v>
      </c>
      <c r="C731" s="4">
        <v>10</v>
      </c>
      <c r="D731" s="8">
        <v>1.28</v>
      </c>
      <c r="E731" s="4">
        <v>1</v>
      </c>
      <c r="F731" s="8">
        <v>0.21</v>
      </c>
      <c r="G731" s="4">
        <v>9</v>
      </c>
      <c r="H731" s="8">
        <v>3.08</v>
      </c>
      <c r="I731" s="4">
        <v>0</v>
      </c>
    </row>
    <row r="732" spans="1:9" x14ac:dyDescent="0.2">
      <c r="A732" s="2">
        <v>20</v>
      </c>
      <c r="B732" s="1" t="s">
        <v>247</v>
      </c>
      <c r="C732" s="4">
        <v>10</v>
      </c>
      <c r="D732" s="8">
        <v>1.28</v>
      </c>
      <c r="E732" s="4">
        <v>3</v>
      </c>
      <c r="F732" s="8">
        <v>0.63</v>
      </c>
      <c r="G732" s="4">
        <v>6</v>
      </c>
      <c r="H732" s="8">
        <v>2.0499999999999998</v>
      </c>
      <c r="I732" s="4">
        <v>1</v>
      </c>
    </row>
    <row r="733" spans="1:9" x14ac:dyDescent="0.2">
      <c r="A733" s="1"/>
      <c r="C733" s="4"/>
      <c r="D733" s="8"/>
      <c r="E733" s="4"/>
      <c r="F733" s="8"/>
      <c r="G733" s="4"/>
      <c r="H733" s="8"/>
      <c r="I733" s="4"/>
    </row>
    <row r="734" spans="1:9" x14ac:dyDescent="0.2">
      <c r="A734" s="1" t="s">
        <v>32</v>
      </c>
      <c r="C734" s="4"/>
      <c r="D734" s="8"/>
      <c r="E734" s="4"/>
      <c r="F734" s="8"/>
      <c r="G734" s="4"/>
      <c r="H734" s="8"/>
      <c r="I734" s="4"/>
    </row>
    <row r="735" spans="1:9" x14ac:dyDescent="0.2">
      <c r="A735" s="2">
        <v>1</v>
      </c>
      <c r="B735" s="1" t="s">
        <v>228</v>
      </c>
      <c r="C735" s="4">
        <v>28</v>
      </c>
      <c r="D735" s="8">
        <v>14.97</v>
      </c>
      <c r="E735" s="4">
        <v>23</v>
      </c>
      <c r="F735" s="8">
        <v>30.67</v>
      </c>
      <c r="G735" s="4">
        <v>5</v>
      </c>
      <c r="H735" s="8">
        <v>4.8499999999999996</v>
      </c>
      <c r="I735" s="4">
        <v>0</v>
      </c>
    </row>
    <row r="736" spans="1:9" x14ac:dyDescent="0.2">
      <c r="A736" s="2">
        <v>2</v>
      </c>
      <c r="B736" s="1" t="s">
        <v>227</v>
      </c>
      <c r="C736" s="4">
        <v>19</v>
      </c>
      <c r="D736" s="8">
        <v>10.16</v>
      </c>
      <c r="E736" s="4">
        <v>17</v>
      </c>
      <c r="F736" s="8">
        <v>22.67</v>
      </c>
      <c r="G736" s="4">
        <v>2</v>
      </c>
      <c r="H736" s="8">
        <v>1.94</v>
      </c>
      <c r="I736" s="4">
        <v>0</v>
      </c>
    </row>
    <row r="737" spans="1:9" x14ac:dyDescent="0.2">
      <c r="A737" s="2">
        <v>3</v>
      </c>
      <c r="B737" s="1" t="s">
        <v>221</v>
      </c>
      <c r="C737" s="4">
        <v>17</v>
      </c>
      <c r="D737" s="8">
        <v>9.09</v>
      </c>
      <c r="E737" s="4">
        <v>7</v>
      </c>
      <c r="F737" s="8">
        <v>9.33</v>
      </c>
      <c r="G737" s="4">
        <v>10</v>
      </c>
      <c r="H737" s="8">
        <v>9.7100000000000009</v>
      </c>
      <c r="I737" s="4">
        <v>0</v>
      </c>
    </row>
    <row r="738" spans="1:9" x14ac:dyDescent="0.2">
      <c r="A738" s="2">
        <v>3</v>
      </c>
      <c r="B738" s="1" t="s">
        <v>223</v>
      </c>
      <c r="C738" s="4">
        <v>17</v>
      </c>
      <c r="D738" s="8">
        <v>9.09</v>
      </c>
      <c r="E738" s="4">
        <v>7</v>
      </c>
      <c r="F738" s="8">
        <v>9.33</v>
      </c>
      <c r="G738" s="4">
        <v>10</v>
      </c>
      <c r="H738" s="8">
        <v>9.7100000000000009</v>
      </c>
      <c r="I738" s="4">
        <v>0</v>
      </c>
    </row>
    <row r="739" spans="1:9" x14ac:dyDescent="0.2">
      <c r="A739" s="2">
        <v>5</v>
      </c>
      <c r="B739" s="1" t="s">
        <v>213</v>
      </c>
      <c r="C739" s="4">
        <v>14</v>
      </c>
      <c r="D739" s="8">
        <v>7.49</v>
      </c>
      <c r="E739" s="4">
        <v>2</v>
      </c>
      <c r="F739" s="8">
        <v>2.67</v>
      </c>
      <c r="G739" s="4">
        <v>12</v>
      </c>
      <c r="H739" s="8">
        <v>11.65</v>
      </c>
      <c r="I739" s="4">
        <v>0</v>
      </c>
    </row>
    <row r="740" spans="1:9" x14ac:dyDescent="0.2">
      <c r="A740" s="2">
        <v>6</v>
      </c>
      <c r="B740" s="1" t="s">
        <v>214</v>
      </c>
      <c r="C740" s="4">
        <v>9</v>
      </c>
      <c r="D740" s="8">
        <v>4.8099999999999996</v>
      </c>
      <c r="E740" s="4">
        <v>2</v>
      </c>
      <c r="F740" s="8">
        <v>2.67</v>
      </c>
      <c r="G740" s="4">
        <v>7</v>
      </c>
      <c r="H740" s="8">
        <v>6.8</v>
      </c>
      <c r="I740" s="4">
        <v>0</v>
      </c>
    </row>
    <row r="741" spans="1:9" x14ac:dyDescent="0.2">
      <c r="A741" s="2">
        <v>6</v>
      </c>
      <c r="B741" s="1" t="s">
        <v>220</v>
      </c>
      <c r="C741" s="4">
        <v>9</v>
      </c>
      <c r="D741" s="8">
        <v>4.8099999999999996</v>
      </c>
      <c r="E741" s="4">
        <v>5</v>
      </c>
      <c r="F741" s="8">
        <v>6.67</v>
      </c>
      <c r="G741" s="4">
        <v>4</v>
      </c>
      <c r="H741" s="8">
        <v>3.88</v>
      </c>
      <c r="I741" s="4">
        <v>0</v>
      </c>
    </row>
    <row r="742" spans="1:9" x14ac:dyDescent="0.2">
      <c r="A742" s="2">
        <v>8</v>
      </c>
      <c r="B742" s="1" t="s">
        <v>215</v>
      </c>
      <c r="C742" s="4">
        <v>7</v>
      </c>
      <c r="D742" s="8">
        <v>3.74</v>
      </c>
      <c r="E742" s="4">
        <v>1</v>
      </c>
      <c r="F742" s="8">
        <v>1.33</v>
      </c>
      <c r="G742" s="4">
        <v>6</v>
      </c>
      <c r="H742" s="8">
        <v>5.83</v>
      </c>
      <c r="I742" s="4">
        <v>0</v>
      </c>
    </row>
    <row r="743" spans="1:9" x14ac:dyDescent="0.2">
      <c r="A743" s="2">
        <v>9</v>
      </c>
      <c r="B743" s="1" t="s">
        <v>222</v>
      </c>
      <c r="C743" s="4">
        <v>6</v>
      </c>
      <c r="D743" s="8">
        <v>3.21</v>
      </c>
      <c r="E743" s="4">
        <v>1</v>
      </c>
      <c r="F743" s="8">
        <v>1.33</v>
      </c>
      <c r="G743" s="4">
        <v>5</v>
      </c>
      <c r="H743" s="8">
        <v>4.8499999999999996</v>
      </c>
      <c r="I743" s="4">
        <v>0</v>
      </c>
    </row>
    <row r="744" spans="1:9" x14ac:dyDescent="0.2">
      <c r="A744" s="2">
        <v>10</v>
      </c>
      <c r="B744" s="1" t="s">
        <v>236</v>
      </c>
      <c r="C744" s="4">
        <v>5</v>
      </c>
      <c r="D744" s="8">
        <v>2.67</v>
      </c>
      <c r="E744" s="4">
        <v>0</v>
      </c>
      <c r="F744" s="8">
        <v>0</v>
      </c>
      <c r="G744" s="4">
        <v>5</v>
      </c>
      <c r="H744" s="8">
        <v>4.8499999999999996</v>
      </c>
      <c r="I744" s="4">
        <v>0</v>
      </c>
    </row>
    <row r="745" spans="1:9" x14ac:dyDescent="0.2">
      <c r="A745" s="2">
        <v>10</v>
      </c>
      <c r="B745" s="1" t="s">
        <v>232</v>
      </c>
      <c r="C745" s="4">
        <v>5</v>
      </c>
      <c r="D745" s="8">
        <v>2.67</v>
      </c>
      <c r="E745" s="4">
        <v>0</v>
      </c>
      <c r="F745" s="8">
        <v>0</v>
      </c>
      <c r="G745" s="4">
        <v>4</v>
      </c>
      <c r="H745" s="8">
        <v>3.88</v>
      </c>
      <c r="I745" s="4">
        <v>1</v>
      </c>
    </row>
    <row r="746" spans="1:9" x14ac:dyDescent="0.2">
      <c r="A746" s="2">
        <v>12</v>
      </c>
      <c r="B746" s="1" t="s">
        <v>244</v>
      </c>
      <c r="C746" s="4">
        <v>3</v>
      </c>
      <c r="D746" s="8">
        <v>1.6</v>
      </c>
      <c r="E746" s="4">
        <v>1</v>
      </c>
      <c r="F746" s="8">
        <v>1.33</v>
      </c>
      <c r="G746" s="4">
        <v>2</v>
      </c>
      <c r="H746" s="8">
        <v>1.94</v>
      </c>
      <c r="I746" s="4">
        <v>0</v>
      </c>
    </row>
    <row r="747" spans="1:9" x14ac:dyDescent="0.2">
      <c r="A747" s="2">
        <v>12</v>
      </c>
      <c r="B747" s="1" t="s">
        <v>255</v>
      </c>
      <c r="C747" s="4">
        <v>3</v>
      </c>
      <c r="D747" s="8">
        <v>1.6</v>
      </c>
      <c r="E747" s="4">
        <v>0</v>
      </c>
      <c r="F747" s="8">
        <v>0</v>
      </c>
      <c r="G747" s="4">
        <v>1</v>
      </c>
      <c r="H747" s="8">
        <v>0.97</v>
      </c>
      <c r="I747" s="4">
        <v>0</v>
      </c>
    </row>
    <row r="748" spans="1:9" x14ac:dyDescent="0.2">
      <c r="A748" s="2">
        <v>12</v>
      </c>
      <c r="B748" s="1" t="s">
        <v>217</v>
      </c>
      <c r="C748" s="4">
        <v>3</v>
      </c>
      <c r="D748" s="8">
        <v>1.6</v>
      </c>
      <c r="E748" s="4">
        <v>1</v>
      </c>
      <c r="F748" s="8">
        <v>1.33</v>
      </c>
      <c r="G748" s="4">
        <v>2</v>
      </c>
      <c r="H748" s="8">
        <v>1.94</v>
      </c>
      <c r="I748" s="4">
        <v>0</v>
      </c>
    </row>
    <row r="749" spans="1:9" x14ac:dyDescent="0.2">
      <c r="A749" s="2">
        <v>12</v>
      </c>
      <c r="B749" s="1" t="s">
        <v>224</v>
      </c>
      <c r="C749" s="4">
        <v>3</v>
      </c>
      <c r="D749" s="8">
        <v>1.6</v>
      </c>
      <c r="E749" s="4">
        <v>0</v>
      </c>
      <c r="F749" s="8">
        <v>0</v>
      </c>
      <c r="G749" s="4">
        <v>2</v>
      </c>
      <c r="H749" s="8">
        <v>1.94</v>
      </c>
      <c r="I749" s="4">
        <v>0</v>
      </c>
    </row>
    <row r="750" spans="1:9" x14ac:dyDescent="0.2">
      <c r="A750" s="2">
        <v>12</v>
      </c>
      <c r="B750" s="1" t="s">
        <v>239</v>
      </c>
      <c r="C750" s="4">
        <v>3</v>
      </c>
      <c r="D750" s="8">
        <v>1.6</v>
      </c>
      <c r="E750" s="4">
        <v>0</v>
      </c>
      <c r="F750" s="8">
        <v>0</v>
      </c>
      <c r="G750" s="4">
        <v>3</v>
      </c>
      <c r="H750" s="8">
        <v>2.91</v>
      </c>
      <c r="I750" s="4">
        <v>0</v>
      </c>
    </row>
    <row r="751" spans="1:9" x14ac:dyDescent="0.2">
      <c r="A751" s="2">
        <v>12</v>
      </c>
      <c r="B751" s="1" t="s">
        <v>230</v>
      </c>
      <c r="C751" s="4">
        <v>3</v>
      </c>
      <c r="D751" s="8">
        <v>1.6</v>
      </c>
      <c r="E751" s="4">
        <v>1</v>
      </c>
      <c r="F751" s="8">
        <v>1.33</v>
      </c>
      <c r="G751" s="4">
        <v>0</v>
      </c>
      <c r="H751" s="8">
        <v>0</v>
      </c>
      <c r="I751" s="4">
        <v>0</v>
      </c>
    </row>
    <row r="752" spans="1:9" x14ac:dyDescent="0.2">
      <c r="A752" s="2">
        <v>12</v>
      </c>
      <c r="B752" s="1" t="s">
        <v>234</v>
      </c>
      <c r="C752" s="4">
        <v>3</v>
      </c>
      <c r="D752" s="8">
        <v>1.6</v>
      </c>
      <c r="E752" s="4">
        <v>1</v>
      </c>
      <c r="F752" s="8">
        <v>1.33</v>
      </c>
      <c r="G752" s="4">
        <v>2</v>
      </c>
      <c r="H752" s="8">
        <v>1.94</v>
      </c>
      <c r="I752" s="4">
        <v>0</v>
      </c>
    </row>
    <row r="753" spans="1:9" x14ac:dyDescent="0.2">
      <c r="A753" s="2">
        <v>19</v>
      </c>
      <c r="B753" s="1" t="s">
        <v>241</v>
      </c>
      <c r="C753" s="4">
        <v>2</v>
      </c>
      <c r="D753" s="8">
        <v>1.07</v>
      </c>
      <c r="E753" s="4">
        <v>0</v>
      </c>
      <c r="F753" s="8">
        <v>0</v>
      </c>
      <c r="G753" s="4">
        <v>2</v>
      </c>
      <c r="H753" s="8">
        <v>1.94</v>
      </c>
      <c r="I753" s="4">
        <v>0</v>
      </c>
    </row>
    <row r="754" spans="1:9" x14ac:dyDescent="0.2">
      <c r="A754" s="2">
        <v>19</v>
      </c>
      <c r="B754" s="1" t="s">
        <v>254</v>
      </c>
      <c r="C754" s="4">
        <v>2</v>
      </c>
      <c r="D754" s="8">
        <v>1.07</v>
      </c>
      <c r="E754" s="4">
        <v>0</v>
      </c>
      <c r="F754" s="8">
        <v>0</v>
      </c>
      <c r="G754" s="4">
        <v>2</v>
      </c>
      <c r="H754" s="8">
        <v>1.94</v>
      </c>
      <c r="I754" s="4">
        <v>0</v>
      </c>
    </row>
    <row r="755" spans="1:9" x14ac:dyDescent="0.2">
      <c r="A755" s="2">
        <v>19</v>
      </c>
      <c r="B755" s="1" t="s">
        <v>218</v>
      </c>
      <c r="C755" s="4">
        <v>2</v>
      </c>
      <c r="D755" s="8">
        <v>1.07</v>
      </c>
      <c r="E755" s="4">
        <v>0</v>
      </c>
      <c r="F755" s="8">
        <v>0</v>
      </c>
      <c r="G755" s="4">
        <v>2</v>
      </c>
      <c r="H755" s="8">
        <v>1.94</v>
      </c>
      <c r="I755" s="4">
        <v>0</v>
      </c>
    </row>
    <row r="756" spans="1:9" x14ac:dyDescent="0.2">
      <c r="A756" s="2">
        <v>19</v>
      </c>
      <c r="B756" s="1" t="s">
        <v>256</v>
      </c>
      <c r="C756" s="4">
        <v>2</v>
      </c>
      <c r="D756" s="8">
        <v>1.07</v>
      </c>
      <c r="E756" s="4">
        <v>0</v>
      </c>
      <c r="F756" s="8">
        <v>0</v>
      </c>
      <c r="G756" s="4">
        <v>1</v>
      </c>
      <c r="H756" s="8">
        <v>0.97</v>
      </c>
      <c r="I756" s="4">
        <v>0</v>
      </c>
    </row>
    <row r="757" spans="1:9" x14ac:dyDescent="0.2">
      <c r="A757" s="2">
        <v>19</v>
      </c>
      <c r="B757" s="1" t="s">
        <v>243</v>
      </c>
      <c r="C757" s="4">
        <v>2</v>
      </c>
      <c r="D757" s="8">
        <v>1.07</v>
      </c>
      <c r="E757" s="4">
        <v>0</v>
      </c>
      <c r="F757" s="8">
        <v>0</v>
      </c>
      <c r="G757" s="4">
        <v>1</v>
      </c>
      <c r="H757" s="8">
        <v>0.97</v>
      </c>
      <c r="I757" s="4">
        <v>0</v>
      </c>
    </row>
    <row r="758" spans="1:9" x14ac:dyDescent="0.2">
      <c r="A758" s="2">
        <v>19</v>
      </c>
      <c r="B758" s="1" t="s">
        <v>229</v>
      </c>
      <c r="C758" s="4">
        <v>2</v>
      </c>
      <c r="D758" s="8">
        <v>1.07</v>
      </c>
      <c r="E758" s="4">
        <v>0</v>
      </c>
      <c r="F758" s="8">
        <v>0</v>
      </c>
      <c r="G758" s="4">
        <v>2</v>
      </c>
      <c r="H758" s="8">
        <v>1.94</v>
      </c>
      <c r="I758" s="4">
        <v>0</v>
      </c>
    </row>
    <row r="759" spans="1:9" x14ac:dyDescent="0.2">
      <c r="A759" s="2">
        <v>19</v>
      </c>
      <c r="B759" s="1" t="s">
        <v>247</v>
      </c>
      <c r="C759" s="4">
        <v>2</v>
      </c>
      <c r="D759" s="8">
        <v>1.07</v>
      </c>
      <c r="E759" s="4">
        <v>0</v>
      </c>
      <c r="F759" s="8">
        <v>0</v>
      </c>
      <c r="G759" s="4">
        <v>2</v>
      </c>
      <c r="H759" s="8">
        <v>1.94</v>
      </c>
      <c r="I759" s="4">
        <v>0</v>
      </c>
    </row>
    <row r="760" spans="1:9" x14ac:dyDescent="0.2">
      <c r="A760" s="2">
        <v>19</v>
      </c>
      <c r="B760" s="1" t="s">
        <v>242</v>
      </c>
      <c r="C760" s="4">
        <v>2</v>
      </c>
      <c r="D760" s="8">
        <v>1.07</v>
      </c>
      <c r="E760" s="4">
        <v>2</v>
      </c>
      <c r="F760" s="8">
        <v>2.67</v>
      </c>
      <c r="G760" s="4">
        <v>0</v>
      </c>
      <c r="H760" s="8">
        <v>0</v>
      </c>
      <c r="I760" s="4">
        <v>0</v>
      </c>
    </row>
    <row r="761" spans="1:9" x14ac:dyDescent="0.2">
      <c r="A761" s="1"/>
      <c r="C761" s="4"/>
      <c r="D761" s="8"/>
      <c r="E761" s="4"/>
      <c r="F761" s="8"/>
      <c r="G761" s="4"/>
      <c r="H761" s="8"/>
      <c r="I761" s="4"/>
    </row>
    <row r="762" spans="1:9" x14ac:dyDescent="0.2">
      <c r="A762" s="1" t="s">
        <v>33</v>
      </c>
      <c r="C762" s="4"/>
      <c r="D762" s="8"/>
      <c r="E762" s="4"/>
      <c r="F762" s="8"/>
      <c r="G762" s="4"/>
      <c r="H762" s="8"/>
      <c r="I762" s="4"/>
    </row>
    <row r="763" spans="1:9" x14ac:dyDescent="0.2">
      <c r="A763" s="2">
        <v>1</v>
      </c>
      <c r="B763" s="1" t="s">
        <v>227</v>
      </c>
      <c r="C763" s="4">
        <v>125</v>
      </c>
      <c r="D763" s="8">
        <v>15.55</v>
      </c>
      <c r="E763" s="4">
        <v>118</v>
      </c>
      <c r="F763" s="8">
        <v>27.13</v>
      </c>
      <c r="G763" s="4">
        <v>7</v>
      </c>
      <c r="H763" s="8">
        <v>2.0299999999999998</v>
      </c>
      <c r="I763" s="4">
        <v>0</v>
      </c>
    </row>
    <row r="764" spans="1:9" x14ac:dyDescent="0.2">
      <c r="A764" s="2">
        <v>2</v>
      </c>
      <c r="B764" s="1" t="s">
        <v>228</v>
      </c>
      <c r="C764" s="4">
        <v>109</v>
      </c>
      <c r="D764" s="8">
        <v>13.56</v>
      </c>
      <c r="E764" s="4">
        <v>96</v>
      </c>
      <c r="F764" s="8">
        <v>22.07</v>
      </c>
      <c r="G764" s="4">
        <v>13</v>
      </c>
      <c r="H764" s="8">
        <v>3.77</v>
      </c>
      <c r="I764" s="4">
        <v>0</v>
      </c>
    </row>
    <row r="765" spans="1:9" x14ac:dyDescent="0.2">
      <c r="A765" s="2">
        <v>3</v>
      </c>
      <c r="B765" s="1" t="s">
        <v>223</v>
      </c>
      <c r="C765" s="4">
        <v>55</v>
      </c>
      <c r="D765" s="8">
        <v>6.84</v>
      </c>
      <c r="E765" s="4">
        <v>20</v>
      </c>
      <c r="F765" s="8">
        <v>4.5999999999999996</v>
      </c>
      <c r="G765" s="4">
        <v>35</v>
      </c>
      <c r="H765" s="8">
        <v>10.14</v>
      </c>
      <c r="I765" s="4">
        <v>0</v>
      </c>
    </row>
    <row r="766" spans="1:9" x14ac:dyDescent="0.2">
      <c r="A766" s="2">
        <v>4</v>
      </c>
      <c r="B766" s="1" t="s">
        <v>224</v>
      </c>
      <c r="C766" s="4">
        <v>43</v>
      </c>
      <c r="D766" s="8">
        <v>5.35</v>
      </c>
      <c r="E766" s="4">
        <v>16</v>
      </c>
      <c r="F766" s="8">
        <v>3.68</v>
      </c>
      <c r="G766" s="4">
        <v>25</v>
      </c>
      <c r="H766" s="8">
        <v>7.25</v>
      </c>
      <c r="I766" s="4">
        <v>0</v>
      </c>
    </row>
    <row r="767" spans="1:9" x14ac:dyDescent="0.2">
      <c r="A767" s="2">
        <v>5</v>
      </c>
      <c r="B767" s="1" t="s">
        <v>241</v>
      </c>
      <c r="C767" s="4">
        <v>40</v>
      </c>
      <c r="D767" s="8">
        <v>4.9800000000000004</v>
      </c>
      <c r="E767" s="4">
        <v>11</v>
      </c>
      <c r="F767" s="8">
        <v>2.5299999999999998</v>
      </c>
      <c r="G767" s="4">
        <v>28</v>
      </c>
      <c r="H767" s="8">
        <v>8.1199999999999992</v>
      </c>
      <c r="I767" s="4">
        <v>1</v>
      </c>
    </row>
    <row r="768" spans="1:9" x14ac:dyDescent="0.2">
      <c r="A768" s="2">
        <v>6</v>
      </c>
      <c r="B768" s="1" t="s">
        <v>213</v>
      </c>
      <c r="C768" s="4">
        <v>37</v>
      </c>
      <c r="D768" s="8">
        <v>4.5999999999999996</v>
      </c>
      <c r="E768" s="4">
        <v>9</v>
      </c>
      <c r="F768" s="8">
        <v>2.0699999999999998</v>
      </c>
      <c r="G768" s="4">
        <v>28</v>
      </c>
      <c r="H768" s="8">
        <v>8.1199999999999992</v>
      </c>
      <c r="I768" s="4">
        <v>0</v>
      </c>
    </row>
    <row r="769" spans="1:9" x14ac:dyDescent="0.2">
      <c r="A769" s="2">
        <v>7</v>
      </c>
      <c r="B769" s="1" t="s">
        <v>221</v>
      </c>
      <c r="C769" s="4">
        <v>34</v>
      </c>
      <c r="D769" s="8">
        <v>4.2300000000000004</v>
      </c>
      <c r="E769" s="4">
        <v>22</v>
      </c>
      <c r="F769" s="8">
        <v>5.0599999999999996</v>
      </c>
      <c r="G769" s="4">
        <v>12</v>
      </c>
      <c r="H769" s="8">
        <v>3.48</v>
      </c>
      <c r="I769" s="4">
        <v>0</v>
      </c>
    </row>
    <row r="770" spans="1:9" x14ac:dyDescent="0.2">
      <c r="A770" s="2">
        <v>8</v>
      </c>
      <c r="B770" s="1" t="s">
        <v>214</v>
      </c>
      <c r="C770" s="4">
        <v>32</v>
      </c>
      <c r="D770" s="8">
        <v>3.98</v>
      </c>
      <c r="E770" s="4">
        <v>18</v>
      </c>
      <c r="F770" s="8">
        <v>4.1399999999999997</v>
      </c>
      <c r="G770" s="4">
        <v>14</v>
      </c>
      <c r="H770" s="8">
        <v>4.0599999999999996</v>
      </c>
      <c r="I770" s="4">
        <v>0</v>
      </c>
    </row>
    <row r="771" spans="1:9" x14ac:dyDescent="0.2">
      <c r="A771" s="2">
        <v>9</v>
      </c>
      <c r="B771" s="1" t="s">
        <v>216</v>
      </c>
      <c r="C771" s="4">
        <v>27</v>
      </c>
      <c r="D771" s="8">
        <v>3.36</v>
      </c>
      <c r="E771" s="4">
        <v>4</v>
      </c>
      <c r="F771" s="8">
        <v>0.92</v>
      </c>
      <c r="G771" s="4">
        <v>23</v>
      </c>
      <c r="H771" s="8">
        <v>6.67</v>
      </c>
      <c r="I771" s="4">
        <v>0</v>
      </c>
    </row>
    <row r="772" spans="1:9" x14ac:dyDescent="0.2">
      <c r="A772" s="2">
        <v>10</v>
      </c>
      <c r="B772" s="1" t="s">
        <v>230</v>
      </c>
      <c r="C772" s="4">
        <v>19</v>
      </c>
      <c r="D772" s="8">
        <v>2.36</v>
      </c>
      <c r="E772" s="4">
        <v>16</v>
      </c>
      <c r="F772" s="8">
        <v>3.68</v>
      </c>
      <c r="G772" s="4">
        <v>1</v>
      </c>
      <c r="H772" s="8">
        <v>0.28999999999999998</v>
      </c>
      <c r="I772" s="4">
        <v>0</v>
      </c>
    </row>
    <row r="773" spans="1:9" x14ac:dyDescent="0.2">
      <c r="A773" s="2">
        <v>11</v>
      </c>
      <c r="B773" s="1" t="s">
        <v>243</v>
      </c>
      <c r="C773" s="4">
        <v>17</v>
      </c>
      <c r="D773" s="8">
        <v>2.11</v>
      </c>
      <c r="E773" s="4">
        <v>12</v>
      </c>
      <c r="F773" s="8">
        <v>2.76</v>
      </c>
      <c r="G773" s="4">
        <v>5</v>
      </c>
      <c r="H773" s="8">
        <v>1.45</v>
      </c>
      <c r="I773" s="4">
        <v>0</v>
      </c>
    </row>
    <row r="774" spans="1:9" x14ac:dyDescent="0.2">
      <c r="A774" s="2">
        <v>12</v>
      </c>
      <c r="B774" s="1" t="s">
        <v>220</v>
      </c>
      <c r="C774" s="4">
        <v>16</v>
      </c>
      <c r="D774" s="8">
        <v>1.99</v>
      </c>
      <c r="E774" s="4">
        <v>11</v>
      </c>
      <c r="F774" s="8">
        <v>2.5299999999999998</v>
      </c>
      <c r="G774" s="4">
        <v>5</v>
      </c>
      <c r="H774" s="8">
        <v>1.45</v>
      </c>
      <c r="I774" s="4">
        <v>0</v>
      </c>
    </row>
    <row r="775" spans="1:9" x14ac:dyDescent="0.2">
      <c r="A775" s="2">
        <v>12</v>
      </c>
      <c r="B775" s="1" t="s">
        <v>232</v>
      </c>
      <c r="C775" s="4">
        <v>16</v>
      </c>
      <c r="D775" s="8">
        <v>1.99</v>
      </c>
      <c r="E775" s="4">
        <v>1</v>
      </c>
      <c r="F775" s="8">
        <v>0.23</v>
      </c>
      <c r="G775" s="4">
        <v>9</v>
      </c>
      <c r="H775" s="8">
        <v>2.61</v>
      </c>
      <c r="I775" s="4">
        <v>0</v>
      </c>
    </row>
    <row r="776" spans="1:9" x14ac:dyDescent="0.2">
      <c r="A776" s="2">
        <v>14</v>
      </c>
      <c r="B776" s="1" t="s">
        <v>222</v>
      </c>
      <c r="C776" s="4">
        <v>15</v>
      </c>
      <c r="D776" s="8">
        <v>1.87</v>
      </c>
      <c r="E776" s="4">
        <v>5</v>
      </c>
      <c r="F776" s="8">
        <v>1.1499999999999999</v>
      </c>
      <c r="G776" s="4">
        <v>10</v>
      </c>
      <c r="H776" s="8">
        <v>2.9</v>
      </c>
      <c r="I776" s="4">
        <v>0</v>
      </c>
    </row>
    <row r="777" spans="1:9" x14ac:dyDescent="0.2">
      <c r="A777" s="2">
        <v>15</v>
      </c>
      <c r="B777" s="1" t="s">
        <v>231</v>
      </c>
      <c r="C777" s="4">
        <v>14</v>
      </c>
      <c r="D777" s="8">
        <v>1.74</v>
      </c>
      <c r="E777" s="4">
        <v>13</v>
      </c>
      <c r="F777" s="8">
        <v>2.99</v>
      </c>
      <c r="G777" s="4">
        <v>1</v>
      </c>
      <c r="H777" s="8">
        <v>0.28999999999999998</v>
      </c>
      <c r="I777" s="4">
        <v>0</v>
      </c>
    </row>
    <row r="778" spans="1:9" x14ac:dyDescent="0.2">
      <c r="A778" s="2">
        <v>15</v>
      </c>
      <c r="B778" s="1" t="s">
        <v>240</v>
      </c>
      <c r="C778" s="4">
        <v>14</v>
      </c>
      <c r="D778" s="8">
        <v>1.74</v>
      </c>
      <c r="E778" s="4">
        <v>9</v>
      </c>
      <c r="F778" s="8">
        <v>2.0699999999999998</v>
      </c>
      <c r="G778" s="4">
        <v>5</v>
      </c>
      <c r="H778" s="8">
        <v>1.45</v>
      </c>
      <c r="I778" s="4">
        <v>0</v>
      </c>
    </row>
    <row r="779" spans="1:9" x14ac:dyDescent="0.2">
      <c r="A779" s="2">
        <v>17</v>
      </c>
      <c r="B779" s="1" t="s">
        <v>215</v>
      </c>
      <c r="C779" s="4">
        <v>13</v>
      </c>
      <c r="D779" s="8">
        <v>1.62</v>
      </c>
      <c r="E779" s="4">
        <v>2</v>
      </c>
      <c r="F779" s="8">
        <v>0.46</v>
      </c>
      <c r="G779" s="4">
        <v>11</v>
      </c>
      <c r="H779" s="8">
        <v>3.19</v>
      </c>
      <c r="I779" s="4">
        <v>0</v>
      </c>
    </row>
    <row r="780" spans="1:9" x14ac:dyDescent="0.2">
      <c r="A780" s="2">
        <v>18</v>
      </c>
      <c r="B780" s="1" t="s">
        <v>217</v>
      </c>
      <c r="C780" s="4">
        <v>12</v>
      </c>
      <c r="D780" s="8">
        <v>1.49</v>
      </c>
      <c r="E780" s="4">
        <v>3</v>
      </c>
      <c r="F780" s="8">
        <v>0.69</v>
      </c>
      <c r="G780" s="4">
        <v>9</v>
      </c>
      <c r="H780" s="8">
        <v>2.61</v>
      </c>
      <c r="I780" s="4">
        <v>0</v>
      </c>
    </row>
    <row r="781" spans="1:9" x14ac:dyDescent="0.2">
      <c r="A781" s="2">
        <v>18</v>
      </c>
      <c r="B781" s="1" t="s">
        <v>226</v>
      </c>
      <c r="C781" s="4">
        <v>12</v>
      </c>
      <c r="D781" s="8">
        <v>1.49</v>
      </c>
      <c r="E781" s="4">
        <v>5</v>
      </c>
      <c r="F781" s="8">
        <v>1.1499999999999999</v>
      </c>
      <c r="G781" s="4">
        <v>6</v>
      </c>
      <c r="H781" s="8">
        <v>1.74</v>
      </c>
      <c r="I781" s="4">
        <v>0</v>
      </c>
    </row>
    <row r="782" spans="1:9" x14ac:dyDescent="0.2">
      <c r="A782" s="2">
        <v>20</v>
      </c>
      <c r="B782" s="1" t="s">
        <v>257</v>
      </c>
      <c r="C782" s="4">
        <v>11</v>
      </c>
      <c r="D782" s="8">
        <v>1.37</v>
      </c>
      <c r="E782" s="4">
        <v>4</v>
      </c>
      <c r="F782" s="8">
        <v>0.92</v>
      </c>
      <c r="G782" s="4">
        <v>7</v>
      </c>
      <c r="H782" s="8">
        <v>2.0299999999999998</v>
      </c>
      <c r="I782" s="4">
        <v>0</v>
      </c>
    </row>
    <row r="783" spans="1:9" x14ac:dyDescent="0.2">
      <c r="A783" s="2">
        <v>20</v>
      </c>
      <c r="B783" s="1" t="s">
        <v>229</v>
      </c>
      <c r="C783" s="4">
        <v>11</v>
      </c>
      <c r="D783" s="8">
        <v>1.37</v>
      </c>
      <c r="E783" s="4">
        <v>7</v>
      </c>
      <c r="F783" s="8">
        <v>1.61</v>
      </c>
      <c r="G783" s="4">
        <v>3</v>
      </c>
      <c r="H783" s="8">
        <v>0.87</v>
      </c>
      <c r="I783" s="4">
        <v>0</v>
      </c>
    </row>
    <row r="784" spans="1:9" x14ac:dyDescent="0.2">
      <c r="A784" s="1"/>
      <c r="C784" s="4"/>
      <c r="D784" s="8"/>
      <c r="E784" s="4"/>
      <c r="F784" s="8"/>
      <c r="G784" s="4"/>
      <c r="H784" s="8"/>
      <c r="I784" s="4"/>
    </row>
    <row r="785" spans="1:9" x14ac:dyDescent="0.2">
      <c r="A785" s="1" t="s">
        <v>34</v>
      </c>
      <c r="C785" s="4"/>
      <c r="D785" s="8"/>
      <c r="E785" s="4"/>
      <c r="F785" s="8"/>
      <c r="G785" s="4"/>
      <c r="H785" s="8"/>
      <c r="I785" s="4"/>
    </row>
    <row r="786" spans="1:9" x14ac:dyDescent="0.2">
      <c r="A786" s="2">
        <v>1</v>
      </c>
      <c r="B786" s="1" t="s">
        <v>227</v>
      </c>
      <c r="C786" s="4">
        <v>267</v>
      </c>
      <c r="D786" s="8">
        <v>17.510000000000002</v>
      </c>
      <c r="E786" s="4">
        <v>202</v>
      </c>
      <c r="F786" s="8">
        <v>32.369999999999997</v>
      </c>
      <c r="G786" s="4">
        <v>65</v>
      </c>
      <c r="H786" s="8">
        <v>7.3</v>
      </c>
      <c r="I786" s="4">
        <v>0</v>
      </c>
    </row>
    <row r="787" spans="1:9" x14ac:dyDescent="0.2">
      <c r="A787" s="2">
        <v>2</v>
      </c>
      <c r="B787" s="1" t="s">
        <v>228</v>
      </c>
      <c r="C787" s="4">
        <v>176</v>
      </c>
      <c r="D787" s="8">
        <v>11.54</v>
      </c>
      <c r="E787" s="4">
        <v>139</v>
      </c>
      <c r="F787" s="8">
        <v>22.28</v>
      </c>
      <c r="G787" s="4">
        <v>37</v>
      </c>
      <c r="H787" s="8">
        <v>4.16</v>
      </c>
      <c r="I787" s="4">
        <v>0</v>
      </c>
    </row>
    <row r="788" spans="1:9" x14ac:dyDescent="0.2">
      <c r="A788" s="2">
        <v>3</v>
      </c>
      <c r="B788" s="1" t="s">
        <v>223</v>
      </c>
      <c r="C788" s="4">
        <v>107</v>
      </c>
      <c r="D788" s="8">
        <v>7.02</v>
      </c>
      <c r="E788" s="4">
        <v>30</v>
      </c>
      <c r="F788" s="8">
        <v>4.8099999999999996</v>
      </c>
      <c r="G788" s="4">
        <v>77</v>
      </c>
      <c r="H788" s="8">
        <v>8.65</v>
      </c>
      <c r="I788" s="4">
        <v>0</v>
      </c>
    </row>
    <row r="789" spans="1:9" x14ac:dyDescent="0.2">
      <c r="A789" s="2">
        <v>4</v>
      </c>
      <c r="B789" s="1" t="s">
        <v>213</v>
      </c>
      <c r="C789" s="4">
        <v>66</v>
      </c>
      <c r="D789" s="8">
        <v>4.33</v>
      </c>
      <c r="E789" s="4">
        <v>5</v>
      </c>
      <c r="F789" s="8">
        <v>0.8</v>
      </c>
      <c r="G789" s="4">
        <v>61</v>
      </c>
      <c r="H789" s="8">
        <v>6.85</v>
      </c>
      <c r="I789" s="4">
        <v>0</v>
      </c>
    </row>
    <row r="790" spans="1:9" x14ac:dyDescent="0.2">
      <c r="A790" s="2">
        <v>5</v>
      </c>
      <c r="B790" s="1" t="s">
        <v>230</v>
      </c>
      <c r="C790" s="4">
        <v>65</v>
      </c>
      <c r="D790" s="8">
        <v>4.26</v>
      </c>
      <c r="E790" s="4">
        <v>49</v>
      </c>
      <c r="F790" s="8">
        <v>7.85</v>
      </c>
      <c r="G790" s="4">
        <v>16</v>
      </c>
      <c r="H790" s="8">
        <v>1.8</v>
      </c>
      <c r="I790" s="4">
        <v>0</v>
      </c>
    </row>
    <row r="791" spans="1:9" x14ac:dyDescent="0.2">
      <c r="A791" s="2">
        <v>6</v>
      </c>
      <c r="B791" s="1" t="s">
        <v>221</v>
      </c>
      <c r="C791" s="4">
        <v>63</v>
      </c>
      <c r="D791" s="8">
        <v>4.13</v>
      </c>
      <c r="E791" s="4">
        <v>24</v>
      </c>
      <c r="F791" s="8">
        <v>3.85</v>
      </c>
      <c r="G791" s="4">
        <v>39</v>
      </c>
      <c r="H791" s="8">
        <v>4.38</v>
      </c>
      <c r="I791" s="4">
        <v>0</v>
      </c>
    </row>
    <row r="792" spans="1:9" x14ac:dyDescent="0.2">
      <c r="A792" s="2">
        <v>6</v>
      </c>
      <c r="B792" s="1" t="s">
        <v>231</v>
      </c>
      <c r="C792" s="4">
        <v>63</v>
      </c>
      <c r="D792" s="8">
        <v>4.13</v>
      </c>
      <c r="E792" s="4">
        <v>53</v>
      </c>
      <c r="F792" s="8">
        <v>8.49</v>
      </c>
      <c r="G792" s="4">
        <v>10</v>
      </c>
      <c r="H792" s="8">
        <v>1.1200000000000001</v>
      </c>
      <c r="I792" s="4">
        <v>0</v>
      </c>
    </row>
    <row r="793" spans="1:9" x14ac:dyDescent="0.2">
      <c r="A793" s="2">
        <v>8</v>
      </c>
      <c r="B793" s="1" t="s">
        <v>214</v>
      </c>
      <c r="C793" s="4">
        <v>59</v>
      </c>
      <c r="D793" s="8">
        <v>3.87</v>
      </c>
      <c r="E793" s="4">
        <v>10</v>
      </c>
      <c r="F793" s="8">
        <v>1.6</v>
      </c>
      <c r="G793" s="4">
        <v>49</v>
      </c>
      <c r="H793" s="8">
        <v>5.51</v>
      </c>
      <c r="I793" s="4">
        <v>0</v>
      </c>
    </row>
    <row r="794" spans="1:9" x14ac:dyDescent="0.2">
      <c r="A794" s="2">
        <v>9</v>
      </c>
      <c r="B794" s="1" t="s">
        <v>224</v>
      </c>
      <c r="C794" s="4">
        <v>57</v>
      </c>
      <c r="D794" s="8">
        <v>3.74</v>
      </c>
      <c r="E794" s="4">
        <v>4</v>
      </c>
      <c r="F794" s="8">
        <v>0.64</v>
      </c>
      <c r="G794" s="4">
        <v>51</v>
      </c>
      <c r="H794" s="8">
        <v>5.73</v>
      </c>
      <c r="I794" s="4">
        <v>0</v>
      </c>
    </row>
    <row r="795" spans="1:9" x14ac:dyDescent="0.2">
      <c r="A795" s="2">
        <v>10</v>
      </c>
      <c r="B795" s="1" t="s">
        <v>220</v>
      </c>
      <c r="C795" s="4">
        <v>52</v>
      </c>
      <c r="D795" s="8">
        <v>3.41</v>
      </c>
      <c r="E795" s="4">
        <v>10</v>
      </c>
      <c r="F795" s="8">
        <v>1.6</v>
      </c>
      <c r="G795" s="4">
        <v>42</v>
      </c>
      <c r="H795" s="8">
        <v>4.72</v>
      </c>
      <c r="I795" s="4">
        <v>0</v>
      </c>
    </row>
    <row r="796" spans="1:9" x14ac:dyDescent="0.2">
      <c r="A796" s="2">
        <v>11</v>
      </c>
      <c r="B796" s="1" t="s">
        <v>215</v>
      </c>
      <c r="C796" s="4">
        <v>48</v>
      </c>
      <c r="D796" s="8">
        <v>3.15</v>
      </c>
      <c r="E796" s="4">
        <v>4</v>
      </c>
      <c r="F796" s="8">
        <v>0.64</v>
      </c>
      <c r="G796" s="4">
        <v>44</v>
      </c>
      <c r="H796" s="8">
        <v>4.9400000000000004</v>
      </c>
      <c r="I796" s="4">
        <v>0</v>
      </c>
    </row>
    <row r="797" spans="1:9" x14ac:dyDescent="0.2">
      <c r="A797" s="2">
        <v>12</v>
      </c>
      <c r="B797" s="1" t="s">
        <v>222</v>
      </c>
      <c r="C797" s="4">
        <v>44</v>
      </c>
      <c r="D797" s="8">
        <v>2.89</v>
      </c>
      <c r="E797" s="4">
        <v>13</v>
      </c>
      <c r="F797" s="8">
        <v>2.08</v>
      </c>
      <c r="G797" s="4">
        <v>31</v>
      </c>
      <c r="H797" s="8">
        <v>3.48</v>
      </c>
      <c r="I797" s="4">
        <v>0</v>
      </c>
    </row>
    <row r="798" spans="1:9" x14ac:dyDescent="0.2">
      <c r="A798" s="2">
        <v>13</v>
      </c>
      <c r="B798" s="1" t="s">
        <v>226</v>
      </c>
      <c r="C798" s="4">
        <v>34</v>
      </c>
      <c r="D798" s="8">
        <v>2.23</v>
      </c>
      <c r="E798" s="4">
        <v>14</v>
      </c>
      <c r="F798" s="8">
        <v>2.2400000000000002</v>
      </c>
      <c r="G798" s="4">
        <v>20</v>
      </c>
      <c r="H798" s="8">
        <v>2.25</v>
      </c>
      <c r="I798" s="4">
        <v>0</v>
      </c>
    </row>
    <row r="799" spans="1:9" x14ac:dyDescent="0.2">
      <c r="A799" s="2">
        <v>14</v>
      </c>
      <c r="B799" s="1" t="s">
        <v>225</v>
      </c>
      <c r="C799" s="4">
        <v>29</v>
      </c>
      <c r="D799" s="8">
        <v>1.9</v>
      </c>
      <c r="E799" s="4">
        <v>20</v>
      </c>
      <c r="F799" s="8">
        <v>3.21</v>
      </c>
      <c r="G799" s="4">
        <v>9</v>
      </c>
      <c r="H799" s="8">
        <v>1.01</v>
      </c>
      <c r="I799" s="4">
        <v>0</v>
      </c>
    </row>
    <row r="800" spans="1:9" x14ac:dyDescent="0.2">
      <c r="A800" s="2">
        <v>15</v>
      </c>
      <c r="B800" s="1" t="s">
        <v>232</v>
      </c>
      <c r="C800" s="4">
        <v>23</v>
      </c>
      <c r="D800" s="8">
        <v>1.51</v>
      </c>
      <c r="E800" s="4">
        <v>0</v>
      </c>
      <c r="F800" s="8">
        <v>0</v>
      </c>
      <c r="G800" s="4">
        <v>19</v>
      </c>
      <c r="H800" s="8">
        <v>2.13</v>
      </c>
      <c r="I800" s="4">
        <v>0</v>
      </c>
    </row>
    <row r="801" spans="1:9" x14ac:dyDescent="0.2">
      <c r="A801" s="2">
        <v>16</v>
      </c>
      <c r="B801" s="1" t="s">
        <v>217</v>
      </c>
      <c r="C801" s="4">
        <v>22</v>
      </c>
      <c r="D801" s="8">
        <v>1.44</v>
      </c>
      <c r="E801" s="4">
        <v>0</v>
      </c>
      <c r="F801" s="8">
        <v>0</v>
      </c>
      <c r="G801" s="4">
        <v>22</v>
      </c>
      <c r="H801" s="8">
        <v>2.4700000000000002</v>
      </c>
      <c r="I801" s="4">
        <v>0</v>
      </c>
    </row>
    <row r="802" spans="1:9" x14ac:dyDescent="0.2">
      <c r="A802" s="2">
        <v>17</v>
      </c>
      <c r="B802" s="1" t="s">
        <v>229</v>
      </c>
      <c r="C802" s="4">
        <v>21</v>
      </c>
      <c r="D802" s="8">
        <v>1.38</v>
      </c>
      <c r="E802" s="4">
        <v>9</v>
      </c>
      <c r="F802" s="8">
        <v>1.44</v>
      </c>
      <c r="G802" s="4">
        <v>12</v>
      </c>
      <c r="H802" s="8">
        <v>1.35</v>
      </c>
      <c r="I802" s="4">
        <v>0</v>
      </c>
    </row>
    <row r="803" spans="1:9" x14ac:dyDescent="0.2">
      <c r="A803" s="2">
        <v>18</v>
      </c>
      <c r="B803" s="1" t="s">
        <v>233</v>
      </c>
      <c r="C803" s="4">
        <v>20</v>
      </c>
      <c r="D803" s="8">
        <v>1.31</v>
      </c>
      <c r="E803" s="4">
        <v>0</v>
      </c>
      <c r="F803" s="8">
        <v>0</v>
      </c>
      <c r="G803" s="4">
        <v>20</v>
      </c>
      <c r="H803" s="8">
        <v>2.25</v>
      </c>
      <c r="I803" s="4">
        <v>0</v>
      </c>
    </row>
    <row r="804" spans="1:9" x14ac:dyDescent="0.2">
      <c r="A804" s="2">
        <v>18</v>
      </c>
      <c r="B804" s="1" t="s">
        <v>240</v>
      </c>
      <c r="C804" s="4">
        <v>20</v>
      </c>
      <c r="D804" s="8">
        <v>1.31</v>
      </c>
      <c r="E804" s="4">
        <v>10</v>
      </c>
      <c r="F804" s="8">
        <v>1.6</v>
      </c>
      <c r="G804" s="4">
        <v>10</v>
      </c>
      <c r="H804" s="8">
        <v>1.1200000000000001</v>
      </c>
      <c r="I804" s="4">
        <v>0</v>
      </c>
    </row>
    <row r="805" spans="1:9" x14ac:dyDescent="0.2">
      <c r="A805" s="2">
        <v>20</v>
      </c>
      <c r="B805" s="1" t="s">
        <v>218</v>
      </c>
      <c r="C805" s="4">
        <v>17</v>
      </c>
      <c r="D805" s="8">
        <v>1.1100000000000001</v>
      </c>
      <c r="E805" s="4">
        <v>1</v>
      </c>
      <c r="F805" s="8">
        <v>0.16</v>
      </c>
      <c r="G805" s="4">
        <v>16</v>
      </c>
      <c r="H805" s="8">
        <v>1.8</v>
      </c>
      <c r="I805" s="4">
        <v>0</v>
      </c>
    </row>
    <row r="806" spans="1:9" x14ac:dyDescent="0.2">
      <c r="A806" s="1"/>
      <c r="C806" s="4"/>
      <c r="D806" s="8"/>
      <c r="E806" s="4"/>
      <c r="F806" s="8"/>
      <c r="G806" s="4"/>
      <c r="H806" s="8"/>
      <c r="I806" s="4"/>
    </row>
    <row r="807" spans="1:9" x14ac:dyDescent="0.2">
      <c r="A807" s="1" t="s">
        <v>35</v>
      </c>
      <c r="C807" s="4"/>
      <c r="D807" s="8"/>
      <c r="E807" s="4"/>
      <c r="F807" s="8"/>
      <c r="G807" s="4"/>
      <c r="H807" s="8"/>
      <c r="I807" s="4"/>
    </row>
    <row r="808" spans="1:9" x14ac:dyDescent="0.2">
      <c r="A808" s="2">
        <v>1</v>
      </c>
      <c r="B808" s="1" t="s">
        <v>227</v>
      </c>
      <c r="C808" s="4">
        <v>166</v>
      </c>
      <c r="D808" s="8">
        <v>16.399999999999999</v>
      </c>
      <c r="E808" s="4">
        <v>136</v>
      </c>
      <c r="F808" s="8">
        <v>26.05</v>
      </c>
      <c r="G808" s="4">
        <v>30</v>
      </c>
      <c r="H808" s="8">
        <v>6.51</v>
      </c>
      <c r="I808" s="4">
        <v>0</v>
      </c>
    </row>
    <row r="809" spans="1:9" x14ac:dyDescent="0.2">
      <c r="A809" s="2">
        <v>2</v>
      </c>
      <c r="B809" s="1" t="s">
        <v>228</v>
      </c>
      <c r="C809" s="4">
        <v>132</v>
      </c>
      <c r="D809" s="8">
        <v>13.04</v>
      </c>
      <c r="E809" s="4">
        <v>116</v>
      </c>
      <c r="F809" s="8">
        <v>22.22</v>
      </c>
      <c r="G809" s="4">
        <v>16</v>
      </c>
      <c r="H809" s="8">
        <v>3.47</v>
      </c>
      <c r="I809" s="4">
        <v>0</v>
      </c>
    </row>
    <row r="810" spans="1:9" x14ac:dyDescent="0.2">
      <c r="A810" s="2">
        <v>3</v>
      </c>
      <c r="B810" s="1" t="s">
        <v>224</v>
      </c>
      <c r="C810" s="4">
        <v>67</v>
      </c>
      <c r="D810" s="8">
        <v>6.62</v>
      </c>
      <c r="E810" s="4">
        <v>43</v>
      </c>
      <c r="F810" s="8">
        <v>8.24</v>
      </c>
      <c r="G810" s="4">
        <v>24</v>
      </c>
      <c r="H810" s="8">
        <v>5.21</v>
      </c>
      <c r="I810" s="4">
        <v>0</v>
      </c>
    </row>
    <row r="811" spans="1:9" x14ac:dyDescent="0.2">
      <c r="A811" s="2">
        <v>4</v>
      </c>
      <c r="B811" s="1" t="s">
        <v>223</v>
      </c>
      <c r="C811" s="4">
        <v>63</v>
      </c>
      <c r="D811" s="8">
        <v>6.23</v>
      </c>
      <c r="E811" s="4">
        <v>21</v>
      </c>
      <c r="F811" s="8">
        <v>4.0199999999999996</v>
      </c>
      <c r="G811" s="4">
        <v>42</v>
      </c>
      <c r="H811" s="8">
        <v>9.11</v>
      </c>
      <c r="I811" s="4">
        <v>0</v>
      </c>
    </row>
    <row r="812" spans="1:9" x14ac:dyDescent="0.2">
      <c r="A812" s="2">
        <v>5</v>
      </c>
      <c r="B812" s="1" t="s">
        <v>214</v>
      </c>
      <c r="C812" s="4">
        <v>49</v>
      </c>
      <c r="D812" s="8">
        <v>4.84</v>
      </c>
      <c r="E812" s="4">
        <v>21</v>
      </c>
      <c r="F812" s="8">
        <v>4.0199999999999996</v>
      </c>
      <c r="G812" s="4">
        <v>28</v>
      </c>
      <c r="H812" s="8">
        <v>6.07</v>
      </c>
      <c r="I812" s="4">
        <v>0</v>
      </c>
    </row>
    <row r="813" spans="1:9" x14ac:dyDescent="0.2">
      <c r="A813" s="2">
        <v>6</v>
      </c>
      <c r="B813" s="1" t="s">
        <v>213</v>
      </c>
      <c r="C813" s="4">
        <v>48</v>
      </c>
      <c r="D813" s="8">
        <v>4.74</v>
      </c>
      <c r="E813" s="4">
        <v>5</v>
      </c>
      <c r="F813" s="8">
        <v>0.96</v>
      </c>
      <c r="G813" s="4">
        <v>43</v>
      </c>
      <c r="H813" s="8">
        <v>9.33</v>
      </c>
      <c r="I813" s="4">
        <v>0</v>
      </c>
    </row>
    <row r="814" spans="1:9" x14ac:dyDescent="0.2">
      <c r="A814" s="2">
        <v>7</v>
      </c>
      <c r="B814" s="1" t="s">
        <v>231</v>
      </c>
      <c r="C814" s="4">
        <v>43</v>
      </c>
      <c r="D814" s="8">
        <v>4.25</v>
      </c>
      <c r="E814" s="4">
        <v>35</v>
      </c>
      <c r="F814" s="8">
        <v>6.7</v>
      </c>
      <c r="G814" s="4">
        <v>8</v>
      </c>
      <c r="H814" s="8">
        <v>1.74</v>
      </c>
      <c r="I814" s="4">
        <v>0</v>
      </c>
    </row>
    <row r="815" spans="1:9" x14ac:dyDescent="0.2">
      <c r="A815" s="2">
        <v>8</v>
      </c>
      <c r="B815" s="1" t="s">
        <v>215</v>
      </c>
      <c r="C815" s="4">
        <v>39</v>
      </c>
      <c r="D815" s="8">
        <v>3.85</v>
      </c>
      <c r="E815" s="4">
        <v>5</v>
      </c>
      <c r="F815" s="8">
        <v>0.96</v>
      </c>
      <c r="G815" s="4">
        <v>34</v>
      </c>
      <c r="H815" s="8">
        <v>7.38</v>
      </c>
      <c r="I815" s="4">
        <v>0</v>
      </c>
    </row>
    <row r="816" spans="1:9" x14ac:dyDescent="0.2">
      <c r="A816" s="2">
        <v>9</v>
      </c>
      <c r="B816" s="1" t="s">
        <v>222</v>
      </c>
      <c r="C816" s="4">
        <v>35</v>
      </c>
      <c r="D816" s="8">
        <v>3.46</v>
      </c>
      <c r="E816" s="4">
        <v>17</v>
      </c>
      <c r="F816" s="8">
        <v>3.26</v>
      </c>
      <c r="G816" s="4">
        <v>18</v>
      </c>
      <c r="H816" s="8">
        <v>3.9</v>
      </c>
      <c r="I816" s="4">
        <v>0</v>
      </c>
    </row>
    <row r="817" spans="1:9" x14ac:dyDescent="0.2">
      <c r="A817" s="2">
        <v>10</v>
      </c>
      <c r="B817" s="1" t="s">
        <v>230</v>
      </c>
      <c r="C817" s="4">
        <v>33</v>
      </c>
      <c r="D817" s="8">
        <v>3.26</v>
      </c>
      <c r="E817" s="4">
        <v>21</v>
      </c>
      <c r="F817" s="8">
        <v>4.0199999999999996</v>
      </c>
      <c r="G817" s="4">
        <v>8</v>
      </c>
      <c r="H817" s="8">
        <v>1.74</v>
      </c>
      <c r="I817" s="4">
        <v>0</v>
      </c>
    </row>
    <row r="818" spans="1:9" x14ac:dyDescent="0.2">
      <c r="A818" s="2">
        <v>11</v>
      </c>
      <c r="B818" s="1" t="s">
        <v>220</v>
      </c>
      <c r="C818" s="4">
        <v>31</v>
      </c>
      <c r="D818" s="8">
        <v>3.06</v>
      </c>
      <c r="E818" s="4">
        <v>9</v>
      </c>
      <c r="F818" s="8">
        <v>1.72</v>
      </c>
      <c r="G818" s="4">
        <v>22</v>
      </c>
      <c r="H818" s="8">
        <v>4.7699999999999996</v>
      </c>
      <c r="I818" s="4">
        <v>0</v>
      </c>
    </row>
    <row r="819" spans="1:9" x14ac:dyDescent="0.2">
      <c r="A819" s="2">
        <v>12</v>
      </c>
      <c r="B819" s="1" t="s">
        <v>221</v>
      </c>
      <c r="C819" s="4">
        <v>27</v>
      </c>
      <c r="D819" s="8">
        <v>2.67</v>
      </c>
      <c r="E819" s="4">
        <v>14</v>
      </c>
      <c r="F819" s="8">
        <v>2.68</v>
      </c>
      <c r="G819" s="4">
        <v>13</v>
      </c>
      <c r="H819" s="8">
        <v>2.82</v>
      </c>
      <c r="I819" s="4">
        <v>0</v>
      </c>
    </row>
    <row r="820" spans="1:9" x14ac:dyDescent="0.2">
      <c r="A820" s="2">
        <v>13</v>
      </c>
      <c r="B820" s="1" t="s">
        <v>225</v>
      </c>
      <c r="C820" s="4">
        <v>22</v>
      </c>
      <c r="D820" s="8">
        <v>2.17</v>
      </c>
      <c r="E820" s="4">
        <v>18</v>
      </c>
      <c r="F820" s="8">
        <v>3.45</v>
      </c>
      <c r="G820" s="4">
        <v>4</v>
      </c>
      <c r="H820" s="8">
        <v>0.87</v>
      </c>
      <c r="I820" s="4">
        <v>0</v>
      </c>
    </row>
    <row r="821" spans="1:9" x14ac:dyDescent="0.2">
      <c r="A821" s="2">
        <v>14</v>
      </c>
      <c r="B821" s="1" t="s">
        <v>217</v>
      </c>
      <c r="C821" s="4">
        <v>20</v>
      </c>
      <c r="D821" s="8">
        <v>1.98</v>
      </c>
      <c r="E821" s="4">
        <v>3</v>
      </c>
      <c r="F821" s="8">
        <v>0.56999999999999995</v>
      </c>
      <c r="G821" s="4">
        <v>17</v>
      </c>
      <c r="H821" s="8">
        <v>3.69</v>
      </c>
      <c r="I821" s="4">
        <v>0</v>
      </c>
    </row>
    <row r="822" spans="1:9" x14ac:dyDescent="0.2">
      <c r="A822" s="2">
        <v>15</v>
      </c>
      <c r="B822" s="1" t="s">
        <v>250</v>
      </c>
      <c r="C822" s="4">
        <v>17</v>
      </c>
      <c r="D822" s="8">
        <v>1.68</v>
      </c>
      <c r="E822" s="4">
        <v>0</v>
      </c>
      <c r="F822" s="8">
        <v>0</v>
      </c>
      <c r="G822" s="4">
        <v>5</v>
      </c>
      <c r="H822" s="8">
        <v>1.08</v>
      </c>
      <c r="I822" s="4">
        <v>11</v>
      </c>
    </row>
    <row r="823" spans="1:9" x14ac:dyDescent="0.2">
      <c r="A823" s="2">
        <v>16</v>
      </c>
      <c r="B823" s="1" t="s">
        <v>226</v>
      </c>
      <c r="C823" s="4">
        <v>16</v>
      </c>
      <c r="D823" s="8">
        <v>1.58</v>
      </c>
      <c r="E823" s="4">
        <v>6</v>
      </c>
      <c r="F823" s="8">
        <v>1.1499999999999999</v>
      </c>
      <c r="G823" s="4">
        <v>9</v>
      </c>
      <c r="H823" s="8">
        <v>1.95</v>
      </c>
      <c r="I823" s="4">
        <v>0</v>
      </c>
    </row>
    <row r="824" spans="1:9" x14ac:dyDescent="0.2">
      <c r="A824" s="2">
        <v>16</v>
      </c>
      <c r="B824" s="1" t="s">
        <v>229</v>
      </c>
      <c r="C824" s="4">
        <v>16</v>
      </c>
      <c r="D824" s="8">
        <v>1.58</v>
      </c>
      <c r="E824" s="4">
        <v>6</v>
      </c>
      <c r="F824" s="8">
        <v>1.1499999999999999</v>
      </c>
      <c r="G824" s="4">
        <v>7</v>
      </c>
      <c r="H824" s="8">
        <v>1.52</v>
      </c>
      <c r="I824" s="4">
        <v>0</v>
      </c>
    </row>
    <row r="825" spans="1:9" x14ac:dyDescent="0.2">
      <c r="A825" s="2">
        <v>18</v>
      </c>
      <c r="B825" s="1" t="s">
        <v>232</v>
      </c>
      <c r="C825" s="4">
        <v>14</v>
      </c>
      <c r="D825" s="8">
        <v>1.38</v>
      </c>
      <c r="E825" s="4">
        <v>0</v>
      </c>
      <c r="F825" s="8">
        <v>0</v>
      </c>
      <c r="G825" s="4">
        <v>9</v>
      </c>
      <c r="H825" s="8">
        <v>1.95</v>
      </c>
      <c r="I825" s="4">
        <v>0</v>
      </c>
    </row>
    <row r="826" spans="1:9" x14ac:dyDescent="0.2">
      <c r="A826" s="2">
        <v>19</v>
      </c>
      <c r="B826" s="1" t="s">
        <v>218</v>
      </c>
      <c r="C826" s="4">
        <v>13</v>
      </c>
      <c r="D826" s="8">
        <v>1.28</v>
      </c>
      <c r="E826" s="4">
        <v>0</v>
      </c>
      <c r="F826" s="8">
        <v>0</v>
      </c>
      <c r="G826" s="4">
        <v>13</v>
      </c>
      <c r="H826" s="8">
        <v>2.82</v>
      </c>
      <c r="I826" s="4">
        <v>0</v>
      </c>
    </row>
    <row r="827" spans="1:9" x14ac:dyDescent="0.2">
      <c r="A827" s="2">
        <v>19</v>
      </c>
      <c r="B827" s="1" t="s">
        <v>240</v>
      </c>
      <c r="C827" s="4">
        <v>13</v>
      </c>
      <c r="D827" s="8">
        <v>1.28</v>
      </c>
      <c r="E827" s="4">
        <v>8</v>
      </c>
      <c r="F827" s="8">
        <v>1.53</v>
      </c>
      <c r="G827" s="4">
        <v>5</v>
      </c>
      <c r="H827" s="8">
        <v>1.08</v>
      </c>
      <c r="I827" s="4">
        <v>0</v>
      </c>
    </row>
    <row r="828" spans="1:9" x14ac:dyDescent="0.2">
      <c r="A828" s="1"/>
      <c r="C828" s="4"/>
      <c r="D828" s="8"/>
      <c r="E828" s="4"/>
      <c r="F828" s="8"/>
      <c r="G828" s="4"/>
      <c r="H828" s="8"/>
      <c r="I828" s="4"/>
    </row>
    <row r="829" spans="1:9" x14ac:dyDescent="0.2">
      <c r="A829" s="1" t="s">
        <v>36</v>
      </c>
      <c r="C829" s="4"/>
      <c r="D829" s="8"/>
      <c r="E829" s="4"/>
      <c r="F829" s="8"/>
      <c r="G829" s="4"/>
      <c r="H829" s="8"/>
      <c r="I829" s="4"/>
    </row>
    <row r="830" spans="1:9" x14ac:dyDescent="0.2">
      <c r="A830" s="2">
        <v>1</v>
      </c>
      <c r="B830" s="1" t="s">
        <v>227</v>
      </c>
      <c r="C830" s="4">
        <v>76</v>
      </c>
      <c r="D830" s="8">
        <v>18.27</v>
      </c>
      <c r="E830" s="4">
        <v>67</v>
      </c>
      <c r="F830" s="8">
        <v>29.65</v>
      </c>
      <c r="G830" s="4">
        <v>9</v>
      </c>
      <c r="H830" s="8">
        <v>5.0599999999999996</v>
      </c>
      <c r="I830" s="4">
        <v>0</v>
      </c>
    </row>
    <row r="831" spans="1:9" x14ac:dyDescent="0.2">
      <c r="A831" s="2">
        <v>2</v>
      </c>
      <c r="B831" s="1" t="s">
        <v>228</v>
      </c>
      <c r="C831" s="4">
        <v>48</v>
      </c>
      <c r="D831" s="8">
        <v>11.54</v>
      </c>
      <c r="E831" s="4">
        <v>41</v>
      </c>
      <c r="F831" s="8">
        <v>18.14</v>
      </c>
      <c r="G831" s="4">
        <v>7</v>
      </c>
      <c r="H831" s="8">
        <v>3.93</v>
      </c>
      <c r="I831" s="4">
        <v>0</v>
      </c>
    </row>
    <row r="832" spans="1:9" x14ac:dyDescent="0.2">
      <c r="A832" s="2">
        <v>3</v>
      </c>
      <c r="B832" s="1" t="s">
        <v>223</v>
      </c>
      <c r="C832" s="4">
        <v>31</v>
      </c>
      <c r="D832" s="8">
        <v>7.45</v>
      </c>
      <c r="E832" s="4">
        <v>13</v>
      </c>
      <c r="F832" s="8">
        <v>5.75</v>
      </c>
      <c r="G832" s="4">
        <v>18</v>
      </c>
      <c r="H832" s="8">
        <v>10.11</v>
      </c>
      <c r="I832" s="4">
        <v>0</v>
      </c>
    </row>
    <row r="833" spans="1:9" x14ac:dyDescent="0.2">
      <c r="A833" s="2">
        <v>4</v>
      </c>
      <c r="B833" s="1" t="s">
        <v>214</v>
      </c>
      <c r="C833" s="4">
        <v>25</v>
      </c>
      <c r="D833" s="8">
        <v>6.01</v>
      </c>
      <c r="E833" s="4">
        <v>4</v>
      </c>
      <c r="F833" s="8">
        <v>1.77</v>
      </c>
      <c r="G833" s="4">
        <v>21</v>
      </c>
      <c r="H833" s="8">
        <v>11.8</v>
      </c>
      <c r="I833" s="4">
        <v>0</v>
      </c>
    </row>
    <row r="834" spans="1:9" x14ac:dyDescent="0.2">
      <c r="A834" s="2">
        <v>4</v>
      </c>
      <c r="B834" s="1" t="s">
        <v>224</v>
      </c>
      <c r="C834" s="4">
        <v>25</v>
      </c>
      <c r="D834" s="8">
        <v>6.01</v>
      </c>
      <c r="E834" s="4">
        <v>14</v>
      </c>
      <c r="F834" s="8">
        <v>6.19</v>
      </c>
      <c r="G834" s="4">
        <v>10</v>
      </c>
      <c r="H834" s="8">
        <v>5.62</v>
      </c>
      <c r="I834" s="4">
        <v>0</v>
      </c>
    </row>
    <row r="835" spans="1:9" x14ac:dyDescent="0.2">
      <c r="A835" s="2">
        <v>6</v>
      </c>
      <c r="B835" s="1" t="s">
        <v>213</v>
      </c>
      <c r="C835" s="4">
        <v>20</v>
      </c>
      <c r="D835" s="8">
        <v>4.8099999999999996</v>
      </c>
      <c r="E835" s="4">
        <v>5</v>
      </c>
      <c r="F835" s="8">
        <v>2.21</v>
      </c>
      <c r="G835" s="4">
        <v>15</v>
      </c>
      <c r="H835" s="8">
        <v>8.43</v>
      </c>
      <c r="I835" s="4">
        <v>0</v>
      </c>
    </row>
    <row r="836" spans="1:9" x14ac:dyDescent="0.2">
      <c r="A836" s="2">
        <v>7</v>
      </c>
      <c r="B836" s="1" t="s">
        <v>221</v>
      </c>
      <c r="C836" s="4">
        <v>14</v>
      </c>
      <c r="D836" s="8">
        <v>3.37</v>
      </c>
      <c r="E836" s="4">
        <v>8</v>
      </c>
      <c r="F836" s="8">
        <v>3.54</v>
      </c>
      <c r="G836" s="4">
        <v>6</v>
      </c>
      <c r="H836" s="8">
        <v>3.37</v>
      </c>
      <c r="I836" s="4">
        <v>0</v>
      </c>
    </row>
    <row r="837" spans="1:9" x14ac:dyDescent="0.2">
      <c r="A837" s="2">
        <v>7</v>
      </c>
      <c r="B837" s="1" t="s">
        <v>232</v>
      </c>
      <c r="C837" s="4">
        <v>14</v>
      </c>
      <c r="D837" s="8">
        <v>3.37</v>
      </c>
      <c r="E837" s="4">
        <v>0</v>
      </c>
      <c r="F837" s="8">
        <v>0</v>
      </c>
      <c r="G837" s="4">
        <v>10</v>
      </c>
      <c r="H837" s="8">
        <v>5.62</v>
      </c>
      <c r="I837" s="4">
        <v>0</v>
      </c>
    </row>
    <row r="838" spans="1:9" x14ac:dyDescent="0.2">
      <c r="A838" s="2">
        <v>9</v>
      </c>
      <c r="B838" s="1" t="s">
        <v>231</v>
      </c>
      <c r="C838" s="4">
        <v>13</v>
      </c>
      <c r="D838" s="8">
        <v>3.13</v>
      </c>
      <c r="E838" s="4">
        <v>12</v>
      </c>
      <c r="F838" s="8">
        <v>5.31</v>
      </c>
      <c r="G838" s="4">
        <v>1</v>
      </c>
      <c r="H838" s="8">
        <v>0.56000000000000005</v>
      </c>
      <c r="I838" s="4">
        <v>0</v>
      </c>
    </row>
    <row r="839" spans="1:9" x14ac:dyDescent="0.2">
      <c r="A839" s="2">
        <v>10</v>
      </c>
      <c r="B839" s="1" t="s">
        <v>230</v>
      </c>
      <c r="C839" s="4">
        <v>12</v>
      </c>
      <c r="D839" s="8">
        <v>2.88</v>
      </c>
      <c r="E839" s="4">
        <v>11</v>
      </c>
      <c r="F839" s="8">
        <v>4.87</v>
      </c>
      <c r="G839" s="4">
        <v>0</v>
      </c>
      <c r="H839" s="8">
        <v>0</v>
      </c>
      <c r="I839" s="4">
        <v>0</v>
      </c>
    </row>
    <row r="840" spans="1:9" x14ac:dyDescent="0.2">
      <c r="A840" s="2">
        <v>11</v>
      </c>
      <c r="B840" s="1" t="s">
        <v>215</v>
      </c>
      <c r="C840" s="4">
        <v>11</v>
      </c>
      <c r="D840" s="8">
        <v>2.64</v>
      </c>
      <c r="E840" s="4">
        <v>3</v>
      </c>
      <c r="F840" s="8">
        <v>1.33</v>
      </c>
      <c r="G840" s="4">
        <v>8</v>
      </c>
      <c r="H840" s="8">
        <v>4.49</v>
      </c>
      <c r="I840" s="4">
        <v>0</v>
      </c>
    </row>
    <row r="841" spans="1:9" x14ac:dyDescent="0.2">
      <c r="A841" s="2">
        <v>11</v>
      </c>
      <c r="B841" s="1" t="s">
        <v>222</v>
      </c>
      <c r="C841" s="4">
        <v>11</v>
      </c>
      <c r="D841" s="8">
        <v>2.64</v>
      </c>
      <c r="E841" s="4">
        <v>5</v>
      </c>
      <c r="F841" s="8">
        <v>2.21</v>
      </c>
      <c r="G841" s="4">
        <v>6</v>
      </c>
      <c r="H841" s="8">
        <v>3.37</v>
      </c>
      <c r="I841" s="4">
        <v>0</v>
      </c>
    </row>
    <row r="842" spans="1:9" x14ac:dyDescent="0.2">
      <c r="A842" s="2">
        <v>13</v>
      </c>
      <c r="B842" s="1" t="s">
        <v>225</v>
      </c>
      <c r="C842" s="4">
        <v>10</v>
      </c>
      <c r="D842" s="8">
        <v>2.4</v>
      </c>
      <c r="E842" s="4">
        <v>6</v>
      </c>
      <c r="F842" s="8">
        <v>2.65</v>
      </c>
      <c r="G842" s="4">
        <v>4</v>
      </c>
      <c r="H842" s="8">
        <v>2.25</v>
      </c>
      <c r="I842" s="4">
        <v>0</v>
      </c>
    </row>
    <row r="843" spans="1:9" x14ac:dyDescent="0.2">
      <c r="A843" s="2">
        <v>14</v>
      </c>
      <c r="B843" s="1" t="s">
        <v>243</v>
      </c>
      <c r="C843" s="4">
        <v>9</v>
      </c>
      <c r="D843" s="8">
        <v>2.16</v>
      </c>
      <c r="E843" s="4">
        <v>6</v>
      </c>
      <c r="F843" s="8">
        <v>2.65</v>
      </c>
      <c r="G843" s="4">
        <v>3</v>
      </c>
      <c r="H843" s="8">
        <v>1.69</v>
      </c>
      <c r="I843" s="4">
        <v>0</v>
      </c>
    </row>
    <row r="844" spans="1:9" x14ac:dyDescent="0.2">
      <c r="A844" s="2">
        <v>15</v>
      </c>
      <c r="B844" s="1" t="s">
        <v>240</v>
      </c>
      <c r="C844" s="4">
        <v>8</v>
      </c>
      <c r="D844" s="8">
        <v>1.92</v>
      </c>
      <c r="E844" s="4">
        <v>3</v>
      </c>
      <c r="F844" s="8">
        <v>1.33</v>
      </c>
      <c r="G844" s="4">
        <v>5</v>
      </c>
      <c r="H844" s="8">
        <v>2.81</v>
      </c>
      <c r="I844" s="4">
        <v>0</v>
      </c>
    </row>
    <row r="845" spans="1:9" x14ac:dyDescent="0.2">
      <c r="A845" s="2">
        <v>16</v>
      </c>
      <c r="B845" s="1" t="s">
        <v>229</v>
      </c>
      <c r="C845" s="4">
        <v>7</v>
      </c>
      <c r="D845" s="8">
        <v>1.68</v>
      </c>
      <c r="E845" s="4">
        <v>5</v>
      </c>
      <c r="F845" s="8">
        <v>2.21</v>
      </c>
      <c r="G845" s="4">
        <v>2</v>
      </c>
      <c r="H845" s="8">
        <v>1.1200000000000001</v>
      </c>
      <c r="I845" s="4">
        <v>0</v>
      </c>
    </row>
    <row r="846" spans="1:9" x14ac:dyDescent="0.2">
      <c r="A846" s="2">
        <v>17</v>
      </c>
      <c r="B846" s="1" t="s">
        <v>220</v>
      </c>
      <c r="C846" s="4">
        <v>6</v>
      </c>
      <c r="D846" s="8">
        <v>1.44</v>
      </c>
      <c r="E846" s="4">
        <v>2</v>
      </c>
      <c r="F846" s="8">
        <v>0.88</v>
      </c>
      <c r="G846" s="4">
        <v>4</v>
      </c>
      <c r="H846" s="8">
        <v>2.25</v>
      </c>
      <c r="I846" s="4">
        <v>0</v>
      </c>
    </row>
    <row r="847" spans="1:9" x14ac:dyDescent="0.2">
      <c r="A847" s="2">
        <v>17</v>
      </c>
      <c r="B847" s="1" t="s">
        <v>236</v>
      </c>
      <c r="C847" s="4">
        <v>6</v>
      </c>
      <c r="D847" s="8">
        <v>1.44</v>
      </c>
      <c r="E847" s="4">
        <v>3</v>
      </c>
      <c r="F847" s="8">
        <v>1.33</v>
      </c>
      <c r="G847" s="4">
        <v>3</v>
      </c>
      <c r="H847" s="8">
        <v>1.69</v>
      </c>
      <c r="I847" s="4">
        <v>0</v>
      </c>
    </row>
    <row r="848" spans="1:9" x14ac:dyDescent="0.2">
      <c r="A848" s="2">
        <v>17</v>
      </c>
      <c r="B848" s="1" t="s">
        <v>226</v>
      </c>
      <c r="C848" s="4">
        <v>6</v>
      </c>
      <c r="D848" s="8">
        <v>1.44</v>
      </c>
      <c r="E848" s="4">
        <v>1</v>
      </c>
      <c r="F848" s="8">
        <v>0.44</v>
      </c>
      <c r="G848" s="4">
        <v>5</v>
      </c>
      <c r="H848" s="8">
        <v>2.81</v>
      </c>
      <c r="I848" s="4">
        <v>0</v>
      </c>
    </row>
    <row r="849" spans="1:9" x14ac:dyDescent="0.2">
      <c r="A849" s="2">
        <v>20</v>
      </c>
      <c r="B849" s="1" t="s">
        <v>216</v>
      </c>
      <c r="C849" s="4">
        <v>5</v>
      </c>
      <c r="D849" s="8">
        <v>1.2</v>
      </c>
      <c r="E849" s="4">
        <v>1</v>
      </c>
      <c r="F849" s="8">
        <v>0.44</v>
      </c>
      <c r="G849" s="4">
        <v>4</v>
      </c>
      <c r="H849" s="8">
        <v>2.25</v>
      </c>
      <c r="I849" s="4">
        <v>0</v>
      </c>
    </row>
    <row r="850" spans="1:9" x14ac:dyDescent="0.2">
      <c r="A850" s="2">
        <v>20</v>
      </c>
      <c r="B850" s="1" t="s">
        <v>219</v>
      </c>
      <c r="C850" s="4">
        <v>5</v>
      </c>
      <c r="D850" s="8">
        <v>1.2</v>
      </c>
      <c r="E850" s="4">
        <v>1</v>
      </c>
      <c r="F850" s="8">
        <v>0.44</v>
      </c>
      <c r="G850" s="4">
        <v>4</v>
      </c>
      <c r="H850" s="8">
        <v>2.25</v>
      </c>
      <c r="I850" s="4">
        <v>0</v>
      </c>
    </row>
    <row r="851" spans="1:9" x14ac:dyDescent="0.2">
      <c r="A851" s="2">
        <v>20</v>
      </c>
      <c r="B851" s="1" t="s">
        <v>246</v>
      </c>
      <c r="C851" s="4">
        <v>5</v>
      </c>
      <c r="D851" s="8">
        <v>1.2</v>
      </c>
      <c r="E851" s="4">
        <v>2</v>
      </c>
      <c r="F851" s="8">
        <v>0.88</v>
      </c>
      <c r="G851" s="4">
        <v>3</v>
      </c>
      <c r="H851" s="8">
        <v>1.69</v>
      </c>
      <c r="I851" s="4">
        <v>0</v>
      </c>
    </row>
    <row r="852" spans="1:9" x14ac:dyDescent="0.2">
      <c r="A852" s="1"/>
      <c r="C852" s="4"/>
      <c r="D852" s="8"/>
      <c r="E852" s="4"/>
      <c r="F852" s="8"/>
      <c r="G852" s="4"/>
      <c r="H852" s="8"/>
      <c r="I852" s="4"/>
    </row>
    <row r="853" spans="1:9" x14ac:dyDescent="0.2">
      <c r="A853" s="1" t="s">
        <v>37</v>
      </c>
      <c r="C853" s="4"/>
      <c r="D853" s="8"/>
      <c r="E853" s="4"/>
      <c r="F853" s="8"/>
      <c r="G853" s="4"/>
      <c r="H853" s="8"/>
      <c r="I853" s="4"/>
    </row>
    <row r="854" spans="1:9" x14ac:dyDescent="0.2">
      <c r="A854" s="2">
        <v>1</v>
      </c>
      <c r="B854" s="1" t="s">
        <v>223</v>
      </c>
      <c r="C854" s="4">
        <v>9</v>
      </c>
      <c r="D854" s="8">
        <v>13.43</v>
      </c>
      <c r="E854" s="4">
        <v>6</v>
      </c>
      <c r="F854" s="8">
        <v>18.18</v>
      </c>
      <c r="G854" s="4">
        <v>3</v>
      </c>
      <c r="H854" s="8">
        <v>12.5</v>
      </c>
      <c r="I854" s="4">
        <v>0</v>
      </c>
    </row>
    <row r="855" spans="1:9" x14ac:dyDescent="0.2">
      <c r="A855" s="2">
        <v>2</v>
      </c>
      <c r="B855" s="1" t="s">
        <v>228</v>
      </c>
      <c r="C855" s="4">
        <v>7</v>
      </c>
      <c r="D855" s="8">
        <v>10.45</v>
      </c>
      <c r="E855" s="4">
        <v>7</v>
      </c>
      <c r="F855" s="8">
        <v>21.21</v>
      </c>
      <c r="G855" s="4">
        <v>0</v>
      </c>
      <c r="H855" s="8">
        <v>0</v>
      </c>
      <c r="I855" s="4">
        <v>0</v>
      </c>
    </row>
    <row r="856" spans="1:9" x14ac:dyDescent="0.2">
      <c r="A856" s="2">
        <v>3</v>
      </c>
      <c r="B856" s="1" t="s">
        <v>213</v>
      </c>
      <c r="C856" s="4">
        <v>5</v>
      </c>
      <c r="D856" s="8">
        <v>7.46</v>
      </c>
      <c r="E856" s="4">
        <v>0</v>
      </c>
      <c r="F856" s="8">
        <v>0</v>
      </c>
      <c r="G856" s="4">
        <v>5</v>
      </c>
      <c r="H856" s="8">
        <v>20.83</v>
      </c>
      <c r="I856" s="4">
        <v>0</v>
      </c>
    </row>
    <row r="857" spans="1:9" x14ac:dyDescent="0.2">
      <c r="A857" s="2">
        <v>3</v>
      </c>
      <c r="B857" s="1" t="s">
        <v>232</v>
      </c>
      <c r="C857" s="4">
        <v>5</v>
      </c>
      <c r="D857" s="8">
        <v>7.46</v>
      </c>
      <c r="E857" s="4">
        <v>0</v>
      </c>
      <c r="F857" s="8">
        <v>0</v>
      </c>
      <c r="G857" s="4">
        <v>3</v>
      </c>
      <c r="H857" s="8">
        <v>12.5</v>
      </c>
      <c r="I857" s="4">
        <v>0</v>
      </c>
    </row>
    <row r="858" spans="1:9" x14ac:dyDescent="0.2">
      <c r="A858" s="2">
        <v>5</v>
      </c>
      <c r="B858" s="1" t="s">
        <v>230</v>
      </c>
      <c r="C858" s="4">
        <v>4</v>
      </c>
      <c r="D858" s="8">
        <v>5.97</v>
      </c>
      <c r="E858" s="4">
        <v>2</v>
      </c>
      <c r="F858" s="8">
        <v>6.06</v>
      </c>
      <c r="G858" s="4">
        <v>0</v>
      </c>
      <c r="H858" s="8">
        <v>0</v>
      </c>
      <c r="I858" s="4">
        <v>0</v>
      </c>
    </row>
    <row r="859" spans="1:9" x14ac:dyDescent="0.2">
      <c r="A859" s="2">
        <v>6</v>
      </c>
      <c r="B859" s="1" t="s">
        <v>214</v>
      </c>
      <c r="C859" s="4">
        <v>3</v>
      </c>
      <c r="D859" s="8">
        <v>4.4800000000000004</v>
      </c>
      <c r="E859" s="4">
        <v>2</v>
      </c>
      <c r="F859" s="8">
        <v>6.06</v>
      </c>
      <c r="G859" s="4">
        <v>1</v>
      </c>
      <c r="H859" s="8">
        <v>4.17</v>
      </c>
      <c r="I859" s="4">
        <v>0</v>
      </c>
    </row>
    <row r="860" spans="1:9" x14ac:dyDescent="0.2">
      <c r="A860" s="2">
        <v>6</v>
      </c>
      <c r="B860" s="1" t="s">
        <v>215</v>
      </c>
      <c r="C860" s="4">
        <v>3</v>
      </c>
      <c r="D860" s="8">
        <v>4.4800000000000004</v>
      </c>
      <c r="E860" s="4">
        <v>1</v>
      </c>
      <c r="F860" s="8">
        <v>3.03</v>
      </c>
      <c r="G860" s="4">
        <v>2</v>
      </c>
      <c r="H860" s="8">
        <v>8.33</v>
      </c>
      <c r="I860" s="4">
        <v>0</v>
      </c>
    </row>
    <row r="861" spans="1:9" x14ac:dyDescent="0.2">
      <c r="A861" s="2">
        <v>6</v>
      </c>
      <c r="B861" s="1" t="s">
        <v>227</v>
      </c>
      <c r="C861" s="4">
        <v>3</v>
      </c>
      <c r="D861" s="8">
        <v>4.4800000000000004</v>
      </c>
      <c r="E861" s="4">
        <v>3</v>
      </c>
      <c r="F861" s="8">
        <v>9.09</v>
      </c>
      <c r="G861" s="4">
        <v>0</v>
      </c>
      <c r="H861" s="8">
        <v>0</v>
      </c>
      <c r="I861" s="4">
        <v>0</v>
      </c>
    </row>
    <row r="862" spans="1:9" x14ac:dyDescent="0.2">
      <c r="A862" s="2">
        <v>9</v>
      </c>
      <c r="B862" s="1" t="s">
        <v>255</v>
      </c>
      <c r="C862" s="4">
        <v>2</v>
      </c>
      <c r="D862" s="8">
        <v>2.99</v>
      </c>
      <c r="E862" s="4">
        <v>0</v>
      </c>
      <c r="F862" s="8">
        <v>0</v>
      </c>
      <c r="G862" s="4">
        <v>0</v>
      </c>
      <c r="H862" s="8">
        <v>0</v>
      </c>
      <c r="I862" s="4">
        <v>0</v>
      </c>
    </row>
    <row r="863" spans="1:9" x14ac:dyDescent="0.2">
      <c r="A863" s="2">
        <v>9</v>
      </c>
      <c r="B863" s="1" t="s">
        <v>220</v>
      </c>
      <c r="C863" s="4">
        <v>2</v>
      </c>
      <c r="D863" s="8">
        <v>2.99</v>
      </c>
      <c r="E863" s="4">
        <v>1</v>
      </c>
      <c r="F863" s="8">
        <v>3.03</v>
      </c>
      <c r="G863" s="4">
        <v>1</v>
      </c>
      <c r="H863" s="8">
        <v>4.17</v>
      </c>
      <c r="I863" s="4">
        <v>0</v>
      </c>
    </row>
    <row r="864" spans="1:9" x14ac:dyDescent="0.2">
      <c r="A864" s="2">
        <v>9</v>
      </c>
      <c r="B864" s="1" t="s">
        <v>221</v>
      </c>
      <c r="C864" s="4">
        <v>2</v>
      </c>
      <c r="D864" s="8">
        <v>2.99</v>
      </c>
      <c r="E864" s="4">
        <v>1</v>
      </c>
      <c r="F864" s="8">
        <v>3.03</v>
      </c>
      <c r="G864" s="4">
        <v>1</v>
      </c>
      <c r="H864" s="8">
        <v>4.17</v>
      </c>
      <c r="I864" s="4">
        <v>0</v>
      </c>
    </row>
    <row r="865" spans="1:9" x14ac:dyDescent="0.2">
      <c r="A865" s="2">
        <v>9</v>
      </c>
      <c r="B865" s="1" t="s">
        <v>222</v>
      </c>
      <c r="C865" s="4">
        <v>2</v>
      </c>
      <c r="D865" s="8">
        <v>2.99</v>
      </c>
      <c r="E865" s="4">
        <v>2</v>
      </c>
      <c r="F865" s="8">
        <v>6.06</v>
      </c>
      <c r="G865" s="4">
        <v>0</v>
      </c>
      <c r="H865" s="8">
        <v>0</v>
      </c>
      <c r="I865" s="4">
        <v>0</v>
      </c>
    </row>
    <row r="866" spans="1:9" x14ac:dyDescent="0.2">
      <c r="A866" s="2">
        <v>9</v>
      </c>
      <c r="B866" s="1" t="s">
        <v>224</v>
      </c>
      <c r="C866" s="4">
        <v>2</v>
      </c>
      <c r="D866" s="8">
        <v>2.99</v>
      </c>
      <c r="E866" s="4">
        <v>0</v>
      </c>
      <c r="F866" s="8">
        <v>0</v>
      </c>
      <c r="G866" s="4">
        <v>1</v>
      </c>
      <c r="H866" s="8">
        <v>4.17</v>
      </c>
      <c r="I866" s="4">
        <v>0</v>
      </c>
    </row>
    <row r="867" spans="1:9" x14ac:dyDescent="0.2">
      <c r="A867" s="2">
        <v>9</v>
      </c>
      <c r="B867" s="1" t="s">
        <v>243</v>
      </c>
      <c r="C867" s="4">
        <v>2</v>
      </c>
      <c r="D867" s="8">
        <v>2.99</v>
      </c>
      <c r="E867" s="4">
        <v>1</v>
      </c>
      <c r="F867" s="8">
        <v>3.03</v>
      </c>
      <c r="G867" s="4">
        <v>1</v>
      </c>
      <c r="H867" s="8">
        <v>4.17</v>
      </c>
      <c r="I867" s="4">
        <v>0</v>
      </c>
    </row>
    <row r="868" spans="1:9" x14ac:dyDescent="0.2">
      <c r="A868" s="2">
        <v>9</v>
      </c>
      <c r="B868" s="1" t="s">
        <v>231</v>
      </c>
      <c r="C868" s="4">
        <v>2</v>
      </c>
      <c r="D868" s="8">
        <v>2.99</v>
      </c>
      <c r="E868" s="4">
        <v>2</v>
      </c>
      <c r="F868" s="8">
        <v>6.06</v>
      </c>
      <c r="G868" s="4">
        <v>0</v>
      </c>
      <c r="H868" s="8">
        <v>0</v>
      </c>
      <c r="I868" s="4">
        <v>0</v>
      </c>
    </row>
    <row r="869" spans="1:9" x14ac:dyDescent="0.2">
      <c r="A869" s="2">
        <v>9</v>
      </c>
      <c r="B869" s="1" t="s">
        <v>249</v>
      </c>
      <c r="C869" s="4">
        <v>2</v>
      </c>
      <c r="D869" s="8">
        <v>2.99</v>
      </c>
      <c r="E869" s="4">
        <v>0</v>
      </c>
      <c r="F869" s="8">
        <v>0</v>
      </c>
      <c r="G869" s="4">
        <v>1</v>
      </c>
      <c r="H869" s="8">
        <v>4.17</v>
      </c>
      <c r="I869" s="4">
        <v>0</v>
      </c>
    </row>
    <row r="870" spans="1:9" x14ac:dyDescent="0.2">
      <c r="A870" s="2">
        <v>17</v>
      </c>
      <c r="B870" s="1" t="s">
        <v>258</v>
      </c>
      <c r="C870" s="4">
        <v>1</v>
      </c>
      <c r="D870" s="8">
        <v>1.49</v>
      </c>
      <c r="E870" s="4">
        <v>1</v>
      </c>
      <c r="F870" s="8">
        <v>3.03</v>
      </c>
      <c r="G870" s="4">
        <v>0</v>
      </c>
      <c r="H870" s="8">
        <v>0</v>
      </c>
      <c r="I870" s="4">
        <v>0</v>
      </c>
    </row>
    <row r="871" spans="1:9" x14ac:dyDescent="0.2">
      <c r="A871" s="2">
        <v>17</v>
      </c>
      <c r="B871" s="1" t="s">
        <v>259</v>
      </c>
      <c r="C871" s="4">
        <v>1</v>
      </c>
      <c r="D871" s="8">
        <v>1.49</v>
      </c>
      <c r="E871" s="4">
        <v>0</v>
      </c>
      <c r="F871" s="8">
        <v>0</v>
      </c>
      <c r="G871" s="4">
        <v>1</v>
      </c>
      <c r="H871" s="8">
        <v>4.17</v>
      </c>
      <c r="I871" s="4">
        <v>0</v>
      </c>
    </row>
    <row r="872" spans="1:9" x14ac:dyDescent="0.2">
      <c r="A872" s="2">
        <v>17</v>
      </c>
      <c r="B872" s="1" t="s">
        <v>235</v>
      </c>
      <c r="C872" s="4">
        <v>1</v>
      </c>
      <c r="D872" s="8">
        <v>1.49</v>
      </c>
      <c r="E872" s="4">
        <v>0</v>
      </c>
      <c r="F872" s="8">
        <v>0</v>
      </c>
      <c r="G872" s="4">
        <v>1</v>
      </c>
      <c r="H872" s="8">
        <v>4.17</v>
      </c>
      <c r="I872" s="4">
        <v>0</v>
      </c>
    </row>
    <row r="873" spans="1:9" x14ac:dyDescent="0.2">
      <c r="A873" s="2">
        <v>17</v>
      </c>
      <c r="B873" s="1" t="s">
        <v>260</v>
      </c>
      <c r="C873" s="4">
        <v>1</v>
      </c>
      <c r="D873" s="8">
        <v>1.49</v>
      </c>
      <c r="E873" s="4">
        <v>0</v>
      </c>
      <c r="F873" s="8">
        <v>0</v>
      </c>
      <c r="G873" s="4">
        <v>1</v>
      </c>
      <c r="H873" s="8">
        <v>4.17</v>
      </c>
      <c r="I873" s="4">
        <v>0</v>
      </c>
    </row>
    <row r="874" spans="1:9" x14ac:dyDescent="0.2">
      <c r="A874" s="2">
        <v>17</v>
      </c>
      <c r="B874" s="1" t="s">
        <v>261</v>
      </c>
      <c r="C874" s="4">
        <v>1</v>
      </c>
      <c r="D874" s="8">
        <v>1.49</v>
      </c>
      <c r="E874" s="4">
        <v>0</v>
      </c>
      <c r="F874" s="8">
        <v>0</v>
      </c>
      <c r="G874" s="4">
        <v>0</v>
      </c>
      <c r="H874" s="8">
        <v>0</v>
      </c>
      <c r="I874" s="4">
        <v>0</v>
      </c>
    </row>
    <row r="875" spans="1:9" x14ac:dyDescent="0.2">
      <c r="A875" s="2">
        <v>17</v>
      </c>
      <c r="B875" s="1" t="s">
        <v>236</v>
      </c>
      <c r="C875" s="4">
        <v>1</v>
      </c>
      <c r="D875" s="8">
        <v>1.49</v>
      </c>
      <c r="E875" s="4">
        <v>1</v>
      </c>
      <c r="F875" s="8">
        <v>3.03</v>
      </c>
      <c r="G875" s="4">
        <v>0</v>
      </c>
      <c r="H875" s="8">
        <v>0</v>
      </c>
      <c r="I875" s="4">
        <v>0</v>
      </c>
    </row>
    <row r="876" spans="1:9" x14ac:dyDescent="0.2">
      <c r="A876" s="2">
        <v>17</v>
      </c>
      <c r="B876" s="1" t="s">
        <v>237</v>
      </c>
      <c r="C876" s="4">
        <v>1</v>
      </c>
      <c r="D876" s="8">
        <v>1.49</v>
      </c>
      <c r="E876" s="4">
        <v>0</v>
      </c>
      <c r="F876" s="8">
        <v>0</v>
      </c>
      <c r="G876" s="4">
        <v>1</v>
      </c>
      <c r="H876" s="8">
        <v>4.17</v>
      </c>
      <c r="I876" s="4">
        <v>0</v>
      </c>
    </row>
    <row r="877" spans="1:9" x14ac:dyDescent="0.2">
      <c r="A877" s="2">
        <v>17</v>
      </c>
      <c r="B877" s="1" t="s">
        <v>229</v>
      </c>
      <c r="C877" s="4">
        <v>1</v>
      </c>
      <c r="D877" s="8">
        <v>1.49</v>
      </c>
      <c r="E877" s="4">
        <v>1</v>
      </c>
      <c r="F877" s="8">
        <v>3.03</v>
      </c>
      <c r="G877" s="4">
        <v>0</v>
      </c>
      <c r="H877" s="8">
        <v>0</v>
      </c>
      <c r="I877" s="4">
        <v>0</v>
      </c>
    </row>
    <row r="878" spans="1:9" x14ac:dyDescent="0.2">
      <c r="A878" s="2">
        <v>17</v>
      </c>
      <c r="B878" s="1" t="s">
        <v>247</v>
      </c>
      <c r="C878" s="4">
        <v>1</v>
      </c>
      <c r="D878" s="8">
        <v>1.49</v>
      </c>
      <c r="E878" s="4">
        <v>0</v>
      </c>
      <c r="F878" s="8">
        <v>0</v>
      </c>
      <c r="G878" s="4">
        <v>0</v>
      </c>
      <c r="H878" s="8">
        <v>0</v>
      </c>
      <c r="I878" s="4">
        <v>0</v>
      </c>
    </row>
    <row r="879" spans="1:9" x14ac:dyDescent="0.2">
      <c r="A879" s="2">
        <v>17</v>
      </c>
      <c r="B879" s="1" t="s">
        <v>240</v>
      </c>
      <c r="C879" s="4">
        <v>1</v>
      </c>
      <c r="D879" s="8">
        <v>1.49</v>
      </c>
      <c r="E879" s="4">
        <v>1</v>
      </c>
      <c r="F879" s="8">
        <v>3.03</v>
      </c>
      <c r="G879" s="4">
        <v>0</v>
      </c>
      <c r="H879" s="8">
        <v>0</v>
      </c>
      <c r="I879" s="4">
        <v>0</v>
      </c>
    </row>
    <row r="880" spans="1:9" x14ac:dyDescent="0.2">
      <c r="A880" s="2">
        <v>17</v>
      </c>
      <c r="B880" s="1" t="s">
        <v>242</v>
      </c>
      <c r="C880" s="4">
        <v>1</v>
      </c>
      <c r="D880" s="8">
        <v>1.49</v>
      </c>
      <c r="E880" s="4">
        <v>1</v>
      </c>
      <c r="F880" s="8">
        <v>3.03</v>
      </c>
      <c r="G880" s="4">
        <v>0</v>
      </c>
      <c r="H880" s="8">
        <v>0</v>
      </c>
      <c r="I880" s="4">
        <v>0</v>
      </c>
    </row>
    <row r="881" spans="1:9" x14ac:dyDescent="0.2">
      <c r="A881" s="2">
        <v>17</v>
      </c>
      <c r="B881" s="1" t="s">
        <v>234</v>
      </c>
      <c r="C881" s="4">
        <v>1</v>
      </c>
      <c r="D881" s="8">
        <v>1.49</v>
      </c>
      <c r="E881" s="4">
        <v>0</v>
      </c>
      <c r="F881" s="8">
        <v>0</v>
      </c>
      <c r="G881" s="4">
        <v>1</v>
      </c>
      <c r="H881" s="8">
        <v>4.17</v>
      </c>
      <c r="I881" s="4">
        <v>0</v>
      </c>
    </row>
    <row r="882" spans="1:9" x14ac:dyDescent="0.2">
      <c r="A882" s="1"/>
      <c r="C882" s="4"/>
      <c r="D882" s="8"/>
      <c r="E882" s="4"/>
      <c r="F882" s="8"/>
      <c r="G882" s="4"/>
      <c r="H882" s="8"/>
      <c r="I882" s="4"/>
    </row>
    <row r="883" spans="1:9" x14ac:dyDescent="0.2">
      <c r="A883" s="1" t="s">
        <v>38</v>
      </c>
      <c r="C883" s="4"/>
      <c r="D883" s="8"/>
      <c r="E883" s="4"/>
      <c r="F883" s="8"/>
      <c r="G883" s="4"/>
      <c r="H883" s="8"/>
      <c r="I883" s="4"/>
    </row>
    <row r="884" spans="1:9" x14ac:dyDescent="0.2">
      <c r="A884" s="2">
        <v>1</v>
      </c>
      <c r="B884" s="1" t="s">
        <v>227</v>
      </c>
      <c r="C884" s="4">
        <v>83</v>
      </c>
      <c r="D884" s="8">
        <v>15.4</v>
      </c>
      <c r="E884" s="4">
        <v>70</v>
      </c>
      <c r="F884" s="8">
        <v>23.57</v>
      </c>
      <c r="G884" s="4">
        <v>13</v>
      </c>
      <c r="H884" s="8">
        <v>5.53</v>
      </c>
      <c r="I884" s="4">
        <v>0</v>
      </c>
    </row>
    <row r="885" spans="1:9" x14ac:dyDescent="0.2">
      <c r="A885" s="2">
        <v>2</v>
      </c>
      <c r="B885" s="1" t="s">
        <v>228</v>
      </c>
      <c r="C885" s="4">
        <v>73</v>
      </c>
      <c r="D885" s="8">
        <v>13.54</v>
      </c>
      <c r="E885" s="4">
        <v>66</v>
      </c>
      <c r="F885" s="8">
        <v>22.22</v>
      </c>
      <c r="G885" s="4">
        <v>7</v>
      </c>
      <c r="H885" s="8">
        <v>2.98</v>
      </c>
      <c r="I885" s="4">
        <v>0</v>
      </c>
    </row>
    <row r="886" spans="1:9" x14ac:dyDescent="0.2">
      <c r="A886" s="2">
        <v>3</v>
      </c>
      <c r="B886" s="1" t="s">
        <v>223</v>
      </c>
      <c r="C886" s="4">
        <v>44</v>
      </c>
      <c r="D886" s="8">
        <v>8.16</v>
      </c>
      <c r="E886" s="4">
        <v>16</v>
      </c>
      <c r="F886" s="8">
        <v>5.39</v>
      </c>
      <c r="G886" s="4">
        <v>28</v>
      </c>
      <c r="H886" s="8">
        <v>11.91</v>
      </c>
      <c r="I886" s="4">
        <v>0</v>
      </c>
    </row>
    <row r="887" spans="1:9" x14ac:dyDescent="0.2">
      <c r="A887" s="2">
        <v>4</v>
      </c>
      <c r="B887" s="1" t="s">
        <v>224</v>
      </c>
      <c r="C887" s="4">
        <v>41</v>
      </c>
      <c r="D887" s="8">
        <v>7.61</v>
      </c>
      <c r="E887" s="4">
        <v>28</v>
      </c>
      <c r="F887" s="8">
        <v>9.43</v>
      </c>
      <c r="G887" s="4">
        <v>13</v>
      </c>
      <c r="H887" s="8">
        <v>5.53</v>
      </c>
      <c r="I887" s="4">
        <v>0</v>
      </c>
    </row>
    <row r="888" spans="1:9" x14ac:dyDescent="0.2">
      <c r="A888" s="2">
        <v>5</v>
      </c>
      <c r="B888" s="1" t="s">
        <v>221</v>
      </c>
      <c r="C888" s="4">
        <v>39</v>
      </c>
      <c r="D888" s="8">
        <v>7.24</v>
      </c>
      <c r="E888" s="4">
        <v>24</v>
      </c>
      <c r="F888" s="8">
        <v>8.08</v>
      </c>
      <c r="G888" s="4">
        <v>15</v>
      </c>
      <c r="H888" s="8">
        <v>6.38</v>
      </c>
      <c r="I888" s="4">
        <v>0</v>
      </c>
    </row>
    <row r="889" spans="1:9" x14ac:dyDescent="0.2">
      <c r="A889" s="2">
        <v>6</v>
      </c>
      <c r="B889" s="1" t="s">
        <v>213</v>
      </c>
      <c r="C889" s="4">
        <v>29</v>
      </c>
      <c r="D889" s="8">
        <v>5.38</v>
      </c>
      <c r="E889" s="4">
        <v>9</v>
      </c>
      <c r="F889" s="8">
        <v>3.03</v>
      </c>
      <c r="G889" s="4">
        <v>20</v>
      </c>
      <c r="H889" s="8">
        <v>8.51</v>
      </c>
      <c r="I889" s="4">
        <v>0</v>
      </c>
    </row>
    <row r="890" spans="1:9" x14ac:dyDescent="0.2">
      <c r="A890" s="2">
        <v>7</v>
      </c>
      <c r="B890" s="1" t="s">
        <v>222</v>
      </c>
      <c r="C890" s="4">
        <v>21</v>
      </c>
      <c r="D890" s="8">
        <v>3.9</v>
      </c>
      <c r="E890" s="4">
        <v>9</v>
      </c>
      <c r="F890" s="8">
        <v>3.03</v>
      </c>
      <c r="G890" s="4">
        <v>12</v>
      </c>
      <c r="H890" s="8">
        <v>5.1100000000000003</v>
      </c>
      <c r="I890" s="4">
        <v>0</v>
      </c>
    </row>
    <row r="891" spans="1:9" x14ac:dyDescent="0.2">
      <c r="A891" s="2">
        <v>8</v>
      </c>
      <c r="B891" s="1" t="s">
        <v>214</v>
      </c>
      <c r="C891" s="4">
        <v>16</v>
      </c>
      <c r="D891" s="8">
        <v>2.97</v>
      </c>
      <c r="E891" s="4">
        <v>6</v>
      </c>
      <c r="F891" s="8">
        <v>2.02</v>
      </c>
      <c r="G891" s="4">
        <v>10</v>
      </c>
      <c r="H891" s="8">
        <v>4.26</v>
      </c>
      <c r="I891" s="4">
        <v>0</v>
      </c>
    </row>
    <row r="892" spans="1:9" x14ac:dyDescent="0.2">
      <c r="A892" s="2">
        <v>8</v>
      </c>
      <c r="B892" s="1" t="s">
        <v>231</v>
      </c>
      <c r="C892" s="4">
        <v>16</v>
      </c>
      <c r="D892" s="8">
        <v>2.97</v>
      </c>
      <c r="E892" s="4">
        <v>15</v>
      </c>
      <c r="F892" s="8">
        <v>5.05</v>
      </c>
      <c r="G892" s="4">
        <v>1</v>
      </c>
      <c r="H892" s="8">
        <v>0.43</v>
      </c>
      <c r="I892" s="4">
        <v>0</v>
      </c>
    </row>
    <row r="893" spans="1:9" x14ac:dyDescent="0.2">
      <c r="A893" s="2">
        <v>10</v>
      </c>
      <c r="B893" s="1" t="s">
        <v>220</v>
      </c>
      <c r="C893" s="4">
        <v>13</v>
      </c>
      <c r="D893" s="8">
        <v>2.41</v>
      </c>
      <c r="E893" s="4">
        <v>5</v>
      </c>
      <c r="F893" s="8">
        <v>1.68</v>
      </c>
      <c r="G893" s="4">
        <v>8</v>
      </c>
      <c r="H893" s="8">
        <v>3.4</v>
      </c>
      <c r="I893" s="4">
        <v>0</v>
      </c>
    </row>
    <row r="894" spans="1:9" x14ac:dyDescent="0.2">
      <c r="A894" s="2">
        <v>11</v>
      </c>
      <c r="B894" s="1" t="s">
        <v>215</v>
      </c>
      <c r="C894" s="4">
        <v>11</v>
      </c>
      <c r="D894" s="8">
        <v>2.04</v>
      </c>
      <c r="E894" s="4">
        <v>5</v>
      </c>
      <c r="F894" s="8">
        <v>1.68</v>
      </c>
      <c r="G894" s="4">
        <v>6</v>
      </c>
      <c r="H894" s="8">
        <v>2.5499999999999998</v>
      </c>
      <c r="I894" s="4">
        <v>0</v>
      </c>
    </row>
    <row r="895" spans="1:9" x14ac:dyDescent="0.2">
      <c r="A895" s="2">
        <v>11</v>
      </c>
      <c r="B895" s="1" t="s">
        <v>226</v>
      </c>
      <c r="C895" s="4">
        <v>11</v>
      </c>
      <c r="D895" s="8">
        <v>2.04</v>
      </c>
      <c r="E895" s="4">
        <v>2</v>
      </c>
      <c r="F895" s="8">
        <v>0.67</v>
      </c>
      <c r="G895" s="4">
        <v>9</v>
      </c>
      <c r="H895" s="8">
        <v>3.83</v>
      </c>
      <c r="I895" s="4">
        <v>0</v>
      </c>
    </row>
    <row r="896" spans="1:9" x14ac:dyDescent="0.2">
      <c r="A896" s="2">
        <v>13</v>
      </c>
      <c r="B896" s="1" t="s">
        <v>243</v>
      </c>
      <c r="C896" s="4">
        <v>10</v>
      </c>
      <c r="D896" s="8">
        <v>1.86</v>
      </c>
      <c r="E896" s="4">
        <v>3</v>
      </c>
      <c r="F896" s="8">
        <v>1.01</v>
      </c>
      <c r="G896" s="4">
        <v>7</v>
      </c>
      <c r="H896" s="8">
        <v>2.98</v>
      </c>
      <c r="I896" s="4">
        <v>0</v>
      </c>
    </row>
    <row r="897" spans="1:9" x14ac:dyDescent="0.2">
      <c r="A897" s="2">
        <v>13</v>
      </c>
      <c r="B897" s="1" t="s">
        <v>230</v>
      </c>
      <c r="C897" s="4">
        <v>10</v>
      </c>
      <c r="D897" s="8">
        <v>1.86</v>
      </c>
      <c r="E897" s="4">
        <v>5</v>
      </c>
      <c r="F897" s="8">
        <v>1.68</v>
      </c>
      <c r="G897" s="4">
        <v>4</v>
      </c>
      <c r="H897" s="8">
        <v>1.7</v>
      </c>
      <c r="I897" s="4">
        <v>0</v>
      </c>
    </row>
    <row r="898" spans="1:9" x14ac:dyDescent="0.2">
      <c r="A898" s="2">
        <v>15</v>
      </c>
      <c r="B898" s="1" t="s">
        <v>217</v>
      </c>
      <c r="C898" s="4">
        <v>9</v>
      </c>
      <c r="D898" s="8">
        <v>1.67</v>
      </c>
      <c r="E898" s="4">
        <v>3</v>
      </c>
      <c r="F898" s="8">
        <v>1.01</v>
      </c>
      <c r="G898" s="4">
        <v>6</v>
      </c>
      <c r="H898" s="8">
        <v>2.5499999999999998</v>
      </c>
      <c r="I898" s="4">
        <v>0</v>
      </c>
    </row>
    <row r="899" spans="1:9" x14ac:dyDescent="0.2">
      <c r="A899" s="2">
        <v>15</v>
      </c>
      <c r="B899" s="1" t="s">
        <v>225</v>
      </c>
      <c r="C899" s="4">
        <v>9</v>
      </c>
      <c r="D899" s="8">
        <v>1.67</v>
      </c>
      <c r="E899" s="4">
        <v>8</v>
      </c>
      <c r="F899" s="8">
        <v>2.69</v>
      </c>
      <c r="G899" s="4">
        <v>1</v>
      </c>
      <c r="H899" s="8">
        <v>0.43</v>
      </c>
      <c r="I899" s="4">
        <v>0</v>
      </c>
    </row>
    <row r="900" spans="1:9" x14ac:dyDescent="0.2">
      <c r="A900" s="2">
        <v>17</v>
      </c>
      <c r="B900" s="1" t="s">
        <v>229</v>
      </c>
      <c r="C900" s="4">
        <v>8</v>
      </c>
      <c r="D900" s="8">
        <v>1.48</v>
      </c>
      <c r="E900" s="4">
        <v>4</v>
      </c>
      <c r="F900" s="8">
        <v>1.35</v>
      </c>
      <c r="G900" s="4">
        <v>4</v>
      </c>
      <c r="H900" s="8">
        <v>1.7</v>
      </c>
      <c r="I900" s="4">
        <v>0</v>
      </c>
    </row>
    <row r="901" spans="1:9" x14ac:dyDescent="0.2">
      <c r="A901" s="2">
        <v>17</v>
      </c>
      <c r="B901" s="1" t="s">
        <v>232</v>
      </c>
      <c r="C901" s="4">
        <v>8</v>
      </c>
      <c r="D901" s="8">
        <v>1.48</v>
      </c>
      <c r="E901" s="4">
        <v>0</v>
      </c>
      <c r="F901" s="8">
        <v>0</v>
      </c>
      <c r="G901" s="4">
        <v>6</v>
      </c>
      <c r="H901" s="8">
        <v>2.5499999999999998</v>
      </c>
      <c r="I901" s="4">
        <v>0</v>
      </c>
    </row>
    <row r="902" spans="1:9" x14ac:dyDescent="0.2">
      <c r="A902" s="2">
        <v>19</v>
      </c>
      <c r="B902" s="1" t="s">
        <v>247</v>
      </c>
      <c r="C902" s="4">
        <v>6</v>
      </c>
      <c r="D902" s="8">
        <v>1.1100000000000001</v>
      </c>
      <c r="E902" s="4">
        <v>1</v>
      </c>
      <c r="F902" s="8">
        <v>0.34</v>
      </c>
      <c r="G902" s="4">
        <v>5</v>
      </c>
      <c r="H902" s="8">
        <v>2.13</v>
      </c>
      <c r="I902" s="4">
        <v>0</v>
      </c>
    </row>
    <row r="903" spans="1:9" x14ac:dyDescent="0.2">
      <c r="A903" s="2">
        <v>20</v>
      </c>
      <c r="B903" s="1" t="s">
        <v>254</v>
      </c>
      <c r="C903" s="4">
        <v>5</v>
      </c>
      <c r="D903" s="8">
        <v>0.93</v>
      </c>
      <c r="E903" s="4">
        <v>0</v>
      </c>
      <c r="F903" s="8">
        <v>0</v>
      </c>
      <c r="G903" s="4">
        <v>5</v>
      </c>
      <c r="H903" s="8">
        <v>2.13</v>
      </c>
      <c r="I903" s="4">
        <v>0</v>
      </c>
    </row>
    <row r="904" spans="1:9" x14ac:dyDescent="0.2">
      <c r="A904" s="2">
        <v>20</v>
      </c>
      <c r="B904" s="1" t="s">
        <v>237</v>
      </c>
      <c r="C904" s="4">
        <v>5</v>
      </c>
      <c r="D904" s="8">
        <v>0.93</v>
      </c>
      <c r="E904" s="4">
        <v>1</v>
      </c>
      <c r="F904" s="8">
        <v>0.34</v>
      </c>
      <c r="G904" s="4">
        <v>4</v>
      </c>
      <c r="H904" s="8">
        <v>1.7</v>
      </c>
      <c r="I904" s="4">
        <v>0</v>
      </c>
    </row>
    <row r="905" spans="1:9" x14ac:dyDescent="0.2">
      <c r="A905" s="2">
        <v>20</v>
      </c>
      <c r="B905" s="1" t="s">
        <v>234</v>
      </c>
      <c r="C905" s="4">
        <v>5</v>
      </c>
      <c r="D905" s="8">
        <v>0.93</v>
      </c>
      <c r="E905" s="4">
        <v>1</v>
      </c>
      <c r="F905" s="8">
        <v>0.34</v>
      </c>
      <c r="G905" s="4">
        <v>3</v>
      </c>
      <c r="H905" s="8">
        <v>1.28</v>
      </c>
      <c r="I905" s="4">
        <v>1</v>
      </c>
    </row>
    <row r="906" spans="1:9" x14ac:dyDescent="0.2">
      <c r="A906" s="1"/>
      <c r="C906" s="4"/>
      <c r="D906" s="8"/>
      <c r="E906" s="4"/>
      <c r="F906" s="8"/>
      <c r="G906" s="4"/>
      <c r="H906" s="8"/>
      <c r="I906" s="4"/>
    </row>
    <row r="907" spans="1:9" x14ac:dyDescent="0.2">
      <c r="A907" s="1" t="s">
        <v>39</v>
      </c>
      <c r="C907" s="4"/>
      <c r="D907" s="8"/>
      <c r="E907" s="4"/>
      <c r="F907" s="8"/>
      <c r="G907" s="4"/>
      <c r="H907" s="8"/>
      <c r="I907" s="4"/>
    </row>
    <row r="908" spans="1:9" x14ac:dyDescent="0.2">
      <c r="A908" s="2">
        <v>1</v>
      </c>
      <c r="B908" s="1" t="s">
        <v>227</v>
      </c>
      <c r="C908" s="4">
        <v>112</v>
      </c>
      <c r="D908" s="8">
        <v>17.47</v>
      </c>
      <c r="E908" s="4">
        <v>85</v>
      </c>
      <c r="F908" s="8">
        <v>22.55</v>
      </c>
      <c r="G908" s="4">
        <v>27</v>
      </c>
      <c r="H908" s="8">
        <v>10.67</v>
      </c>
      <c r="I908" s="4">
        <v>0</v>
      </c>
    </row>
    <row r="909" spans="1:9" x14ac:dyDescent="0.2">
      <c r="A909" s="2">
        <v>2</v>
      </c>
      <c r="B909" s="1" t="s">
        <v>228</v>
      </c>
      <c r="C909" s="4">
        <v>68</v>
      </c>
      <c r="D909" s="8">
        <v>10.61</v>
      </c>
      <c r="E909" s="4">
        <v>63</v>
      </c>
      <c r="F909" s="8">
        <v>16.71</v>
      </c>
      <c r="G909" s="4">
        <v>5</v>
      </c>
      <c r="H909" s="8">
        <v>1.98</v>
      </c>
      <c r="I909" s="4">
        <v>0</v>
      </c>
    </row>
    <row r="910" spans="1:9" x14ac:dyDescent="0.2">
      <c r="A910" s="2">
        <v>3</v>
      </c>
      <c r="B910" s="1" t="s">
        <v>224</v>
      </c>
      <c r="C910" s="4">
        <v>66</v>
      </c>
      <c r="D910" s="8">
        <v>10.3</v>
      </c>
      <c r="E910" s="4">
        <v>51</v>
      </c>
      <c r="F910" s="8">
        <v>13.53</v>
      </c>
      <c r="G910" s="4">
        <v>15</v>
      </c>
      <c r="H910" s="8">
        <v>5.93</v>
      </c>
      <c r="I910" s="4">
        <v>0</v>
      </c>
    </row>
    <row r="911" spans="1:9" x14ac:dyDescent="0.2">
      <c r="A911" s="2">
        <v>4</v>
      </c>
      <c r="B911" s="1" t="s">
        <v>223</v>
      </c>
      <c r="C911" s="4">
        <v>56</v>
      </c>
      <c r="D911" s="8">
        <v>8.74</v>
      </c>
      <c r="E911" s="4">
        <v>24</v>
      </c>
      <c r="F911" s="8">
        <v>6.37</v>
      </c>
      <c r="G911" s="4">
        <v>32</v>
      </c>
      <c r="H911" s="8">
        <v>12.65</v>
      </c>
      <c r="I911" s="4">
        <v>0</v>
      </c>
    </row>
    <row r="912" spans="1:9" x14ac:dyDescent="0.2">
      <c r="A912" s="2">
        <v>5</v>
      </c>
      <c r="B912" s="1" t="s">
        <v>221</v>
      </c>
      <c r="C912" s="4">
        <v>35</v>
      </c>
      <c r="D912" s="8">
        <v>5.46</v>
      </c>
      <c r="E912" s="4">
        <v>21</v>
      </c>
      <c r="F912" s="8">
        <v>5.57</v>
      </c>
      <c r="G912" s="4">
        <v>13</v>
      </c>
      <c r="H912" s="8">
        <v>5.14</v>
      </c>
      <c r="I912" s="4">
        <v>1</v>
      </c>
    </row>
    <row r="913" spans="1:9" x14ac:dyDescent="0.2">
      <c r="A913" s="2">
        <v>6</v>
      </c>
      <c r="B913" s="1" t="s">
        <v>243</v>
      </c>
      <c r="C913" s="4">
        <v>32</v>
      </c>
      <c r="D913" s="8">
        <v>4.99</v>
      </c>
      <c r="E913" s="4">
        <v>20</v>
      </c>
      <c r="F913" s="8">
        <v>5.31</v>
      </c>
      <c r="G913" s="4">
        <v>12</v>
      </c>
      <c r="H913" s="8">
        <v>4.74</v>
      </c>
      <c r="I913" s="4">
        <v>0</v>
      </c>
    </row>
    <row r="914" spans="1:9" x14ac:dyDescent="0.2">
      <c r="A914" s="2">
        <v>7</v>
      </c>
      <c r="B914" s="1" t="s">
        <v>231</v>
      </c>
      <c r="C914" s="4">
        <v>26</v>
      </c>
      <c r="D914" s="8">
        <v>4.0599999999999996</v>
      </c>
      <c r="E914" s="4">
        <v>25</v>
      </c>
      <c r="F914" s="8">
        <v>6.63</v>
      </c>
      <c r="G914" s="4">
        <v>1</v>
      </c>
      <c r="H914" s="8">
        <v>0.4</v>
      </c>
      <c r="I914" s="4">
        <v>0</v>
      </c>
    </row>
    <row r="915" spans="1:9" x14ac:dyDescent="0.2">
      <c r="A915" s="2">
        <v>8</v>
      </c>
      <c r="B915" s="1" t="s">
        <v>222</v>
      </c>
      <c r="C915" s="4">
        <v>20</v>
      </c>
      <c r="D915" s="8">
        <v>3.12</v>
      </c>
      <c r="E915" s="4">
        <v>11</v>
      </c>
      <c r="F915" s="8">
        <v>2.92</v>
      </c>
      <c r="G915" s="4">
        <v>9</v>
      </c>
      <c r="H915" s="8">
        <v>3.56</v>
      </c>
      <c r="I915" s="4">
        <v>0</v>
      </c>
    </row>
    <row r="916" spans="1:9" x14ac:dyDescent="0.2">
      <c r="A916" s="2">
        <v>9</v>
      </c>
      <c r="B916" s="1" t="s">
        <v>214</v>
      </c>
      <c r="C916" s="4">
        <v>19</v>
      </c>
      <c r="D916" s="8">
        <v>2.96</v>
      </c>
      <c r="E916" s="4">
        <v>10</v>
      </c>
      <c r="F916" s="8">
        <v>2.65</v>
      </c>
      <c r="G916" s="4">
        <v>9</v>
      </c>
      <c r="H916" s="8">
        <v>3.56</v>
      </c>
      <c r="I916" s="4">
        <v>0</v>
      </c>
    </row>
    <row r="917" spans="1:9" x14ac:dyDescent="0.2">
      <c r="A917" s="2">
        <v>10</v>
      </c>
      <c r="B917" s="1" t="s">
        <v>230</v>
      </c>
      <c r="C917" s="4">
        <v>18</v>
      </c>
      <c r="D917" s="8">
        <v>2.81</v>
      </c>
      <c r="E917" s="4">
        <v>14</v>
      </c>
      <c r="F917" s="8">
        <v>3.71</v>
      </c>
      <c r="G917" s="4">
        <v>2</v>
      </c>
      <c r="H917" s="8">
        <v>0.79</v>
      </c>
      <c r="I917" s="4">
        <v>1</v>
      </c>
    </row>
    <row r="918" spans="1:9" x14ac:dyDescent="0.2">
      <c r="A918" s="2">
        <v>11</v>
      </c>
      <c r="B918" s="1" t="s">
        <v>213</v>
      </c>
      <c r="C918" s="4">
        <v>17</v>
      </c>
      <c r="D918" s="8">
        <v>2.65</v>
      </c>
      <c r="E918" s="4">
        <v>6</v>
      </c>
      <c r="F918" s="8">
        <v>1.59</v>
      </c>
      <c r="G918" s="4">
        <v>11</v>
      </c>
      <c r="H918" s="8">
        <v>4.3499999999999996</v>
      </c>
      <c r="I918" s="4">
        <v>0</v>
      </c>
    </row>
    <row r="919" spans="1:9" x14ac:dyDescent="0.2">
      <c r="A919" s="2">
        <v>12</v>
      </c>
      <c r="B919" s="1" t="s">
        <v>220</v>
      </c>
      <c r="C919" s="4">
        <v>14</v>
      </c>
      <c r="D919" s="8">
        <v>2.1800000000000002</v>
      </c>
      <c r="E919" s="4">
        <v>4</v>
      </c>
      <c r="F919" s="8">
        <v>1.06</v>
      </c>
      <c r="G919" s="4">
        <v>10</v>
      </c>
      <c r="H919" s="8">
        <v>3.95</v>
      </c>
      <c r="I919" s="4">
        <v>0</v>
      </c>
    </row>
    <row r="920" spans="1:9" x14ac:dyDescent="0.2">
      <c r="A920" s="2">
        <v>13</v>
      </c>
      <c r="B920" s="1" t="s">
        <v>225</v>
      </c>
      <c r="C920" s="4">
        <v>13</v>
      </c>
      <c r="D920" s="8">
        <v>2.0299999999999998</v>
      </c>
      <c r="E920" s="4">
        <v>13</v>
      </c>
      <c r="F920" s="8">
        <v>3.45</v>
      </c>
      <c r="G920" s="4">
        <v>0</v>
      </c>
      <c r="H920" s="8">
        <v>0</v>
      </c>
      <c r="I920" s="4">
        <v>0</v>
      </c>
    </row>
    <row r="921" spans="1:9" x14ac:dyDescent="0.2">
      <c r="A921" s="2">
        <v>14</v>
      </c>
      <c r="B921" s="1" t="s">
        <v>216</v>
      </c>
      <c r="C921" s="4">
        <v>12</v>
      </c>
      <c r="D921" s="8">
        <v>1.87</v>
      </c>
      <c r="E921" s="4">
        <v>2</v>
      </c>
      <c r="F921" s="8">
        <v>0.53</v>
      </c>
      <c r="G921" s="4">
        <v>9</v>
      </c>
      <c r="H921" s="8">
        <v>3.56</v>
      </c>
      <c r="I921" s="4">
        <v>1</v>
      </c>
    </row>
    <row r="922" spans="1:9" x14ac:dyDescent="0.2">
      <c r="A922" s="2">
        <v>14</v>
      </c>
      <c r="B922" s="1" t="s">
        <v>229</v>
      </c>
      <c r="C922" s="4">
        <v>12</v>
      </c>
      <c r="D922" s="8">
        <v>1.87</v>
      </c>
      <c r="E922" s="4">
        <v>4</v>
      </c>
      <c r="F922" s="8">
        <v>1.06</v>
      </c>
      <c r="G922" s="4">
        <v>8</v>
      </c>
      <c r="H922" s="8">
        <v>3.16</v>
      </c>
      <c r="I922" s="4">
        <v>0</v>
      </c>
    </row>
    <row r="923" spans="1:9" x14ac:dyDescent="0.2">
      <c r="A923" s="2">
        <v>16</v>
      </c>
      <c r="B923" s="1" t="s">
        <v>215</v>
      </c>
      <c r="C923" s="4">
        <v>11</v>
      </c>
      <c r="D923" s="8">
        <v>1.72</v>
      </c>
      <c r="E923" s="4">
        <v>6</v>
      </c>
      <c r="F923" s="8">
        <v>1.59</v>
      </c>
      <c r="G923" s="4">
        <v>5</v>
      </c>
      <c r="H923" s="8">
        <v>1.98</v>
      </c>
      <c r="I923" s="4">
        <v>0</v>
      </c>
    </row>
    <row r="924" spans="1:9" x14ac:dyDescent="0.2">
      <c r="A924" s="2">
        <v>16</v>
      </c>
      <c r="B924" s="1" t="s">
        <v>241</v>
      </c>
      <c r="C924" s="4">
        <v>11</v>
      </c>
      <c r="D924" s="8">
        <v>1.72</v>
      </c>
      <c r="E924" s="4">
        <v>5</v>
      </c>
      <c r="F924" s="8">
        <v>1.33</v>
      </c>
      <c r="G924" s="4">
        <v>6</v>
      </c>
      <c r="H924" s="8">
        <v>2.37</v>
      </c>
      <c r="I924" s="4">
        <v>0</v>
      </c>
    </row>
    <row r="925" spans="1:9" x14ac:dyDescent="0.2">
      <c r="A925" s="2">
        <v>16</v>
      </c>
      <c r="B925" s="1" t="s">
        <v>232</v>
      </c>
      <c r="C925" s="4">
        <v>11</v>
      </c>
      <c r="D925" s="8">
        <v>1.72</v>
      </c>
      <c r="E925" s="4">
        <v>1</v>
      </c>
      <c r="F925" s="8">
        <v>0.27</v>
      </c>
      <c r="G925" s="4">
        <v>6</v>
      </c>
      <c r="H925" s="8">
        <v>2.37</v>
      </c>
      <c r="I925" s="4">
        <v>0</v>
      </c>
    </row>
    <row r="926" spans="1:9" x14ac:dyDescent="0.2">
      <c r="A926" s="2">
        <v>19</v>
      </c>
      <c r="B926" s="1" t="s">
        <v>226</v>
      </c>
      <c r="C926" s="4">
        <v>9</v>
      </c>
      <c r="D926" s="8">
        <v>1.4</v>
      </c>
      <c r="E926" s="4">
        <v>3</v>
      </c>
      <c r="F926" s="8">
        <v>0.8</v>
      </c>
      <c r="G926" s="4">
        <v>5</v>
      </c>
      <c r="H926" s="8">
        <v>1.98</v>
      </c>
      <c r="I926" s="4">
        <v>0</v>
      </c>
    </row>
    <row r="927" spans="1:9" x14ac:dyDescent="0.2">
      <c r="A927" s="2">
        <v>20</v>
      </c>
      <c r="B927" s="1" t="s">
        <v>218</v>
      </c>
      <c r="C927" s="4">
        <v>8</v>
      </c>
      <c r="D927" s="8">
        <v>1.25</v>
      </c>
      <c r="E927" s="4">
        <v>0</v>
      </c>
      <c r="F927" s="8">
        <v>0</v>
      </c>
      <c r="G927" s="4">
        <v>8</v>
      </c>
      <c r="H927" s="8">
        <v>3.16</v>
      </c>
      <c r="I927" s="4">
        <v>0</v>
      </c>
    </row>
    <row r="928" spans="1:9" x14ac:dyDescent="0.2">
      <c r="A928" s="1"/>
      <c r="C928" s="4"/>
      <c r="D928" s="8"/>
      <c r="E928" s="4"/>
      <c r="F928" s="8"/>
      <c r="G928" s="4"/>
      <c r="H928" s="8"/>
      <c r="I928" s="4"/>
    </row>
    <row r="929" spans="1:9" x14ac:dyDescent="0.2">
      <c r="A929" s="1" t="s">
        <v>40</v>
      </c>
      <c r="C929" s="4"/>
      <c r="D929" s="8"/>
      <c r="E929" s="4"/>
      <c r="F929" s="8"/>
      <c r="G929" s="4"/>
      <c r="H929" s="8"/>
      <c r="I929" s="4"/>
    </row>
    <row r="930" spans="1:9" x14ac:dyDescent="0.2">
      <c r="A930" s="2">
        <v>1</v>
      </c>
      <c r="B930" s="1" t="s">
        <v>228</v>
      </c>
      <c r="C930" s="4">
        <v>121</v>
      </c>
      <c r="D930" s="8">
        <v>13.02</v>
      </c>
      <c r="E930" s="4">
        <v>103</v>
      </c>
      <c r="F930" s="8">
        <v>23.04</v>
      </c>
      <c r="G930" s="4">
        <v>18</v>
      </c>
      <c r="H930" s="8">
        <v>3.92</v>
      </c>
      <c r="I930" s="4">
        <v>0</v>
      </c>
    </row>
    <row r="931" spans="1:9" x14ac:dyDescent="0.2">
      <c r="A931" s="2">
        <v>2</v>
      </c>
      <c r="B931" s="1" t="s">
        <v>227</v>
      </c>
      <c r="C931" s="4">
        <v>100</v>
      </c>
      <c r="D931" s="8">
        <v>10.76</v>
      </c>
      <c r="E931" s="4">
        <v>83</v>
      </c>
      <c r="F931" s="8">
        <v>18.57</v>
      </c>
      <c r="G931" s="4">
        <v>17</v>
      </c>
      <c r="H931" s="8">
        <v>3.7</v>
      </c>
      <c r="I931" s="4">
        <v>0</v>
      </c>
    </row>
    <row r="932" spans="1:9" x14ac:dyDescent="0.2">
      <c r="A932" s="2">
        <v>3</v>
      </c>
      <c r="B932" s="1" t="s">
        <v>213</v>
      </c>
      <c r="C932" s="4">
        <v>81</v>
      </c>
      <c r="D932" s="8">
        <v>8.7200000000000006</v>
      </c>
      <c r="E932" s="4">
        <v>15</v>
      </c>
      <c r="F932" s="8">
        <v>3.36</v>
      </c>
      <c r="G932" s="4">
        <v>66</v>
      </c>
      <c r="H932" s="8">
        <v>14.38</v>
      </c>
      <c r="I932" s="4">
        <v>0</v>
      </c>
    </row>
    <row r="933" spans="1:9" x14ac:dyDescent="0.2">
      <c r="A933" s="2">
        <v>4</v>
      </c>
      <c r="B933" s="1" t="s">
        <v>224</v>
      </c>
      <c r="C933" s="4">
        <v>74</v>
      </c>
      <c r="D933" s="8">
        <v>7.97</v>
      </c>
      <c r="E933" s="4">
        <v>48</v>
      </c>
      <c r="F933" s="8">
        <v>10.74</v>
      </c>
      <c r="G933" s="4">
        <v>25</v>
      </c>
      <c r="H933" s="8">
        <v>5.45</v>
      </c>
      <c r="I933" s="4">
        <v>0</v>
      </c>
    </row>
    <row r="934" spans="1:9" x14ac:dyDescent="0.2">
      <c r="A934" s="2">
        <v>5</v>
      </c>
      <c r="B934" s="1" t="s">
        <v>214</v>
      </c>
      <c r="C934" s="4">
        <v>73</v>
      </c>
      <c r="D934" s="8">
        <v>7.86</v>
      </c>
      <c r="E934" s="4">
        <v>29</v>
      </c>
      <c r="F934" s="8">
        <v>6.49</v>
      </c>
      <c r="G934" s="4">
        <v>44</v>
      </c>
      <c r="H934" s="8">
        <v>9.59</v>
      </c>
      <c r="I934" s="4">
        <v>0</v>
      </c>
    </row>
    <row r="935" spans="1:9" x14ac:dyDescent="0.2">
      <c r="A935" s="2">
        <v>6</v>
      </c>
      <c r="B935" s="1" t="s">
        <v>223</v>
      </c>
      <c r="C935" s="4">
        <v>62</v>
      </c>
      <c r="D935" s="8">
        <v>6.67</v>
      </c>
      <c r="E935" s="4">
        <v>21</v>
      </c>
      <c r="F935" s="8">
        <v>4.7</v>
      </c>
      <c r="G935" s="4">
        <v>41</v>
      </c>
      <c r="H935" s="8">
        <v>8.93</v>
      </c>
      <c r="I935" s="4">
        <v>0</v>
      </c>
    </row>
    <row r="936" spans="1:9" x14ac:dyDescent="0.2">
      <c r="A936" s="2">
        <v>7</v>
      </c>
      <c r="B936" s="1" t="s">
        <v>231</v>
      </c>
      <c r="C936" s="4">
        <v>38</v>
      </c>
      <c r="D936" s="8">
        <v>4.09</v>
      </c>
      <c r="E936" s="4">
        <v>34</v>
      </c>
      <c r="F936" s="8">
        <v>7.61</v>
      </c>
      <c r="G936" s="4">
        <v>4</v>
      </c>
      <c r="H936" s="8">
        <v>0.87</v>
      </c>
      <c r="I936" s="4">
        <v>0</v>
      </c>
    </row>
    <row r="937" spans="1:9" x14ac:dyDescent="0.2">
      <c r="A937" s="2">
        <v>8</v>
      </c>
      <c r="B937" s="1" t="s">
        <v>230</v>
      </c>
      <c r="C937" s="4">
        <v>36</v>
      </c>
      <c r="D937" s="8">
        <v>3.88</v>
      </c>
      <c r="E937" s="4">
        <v>23</v>
      </c>
      <c r="F937" s="8">
        <v>5.15</v>
      </c>
      <c r="G937" s="4">
        <v>9</v>
      </c>
      <c r="H937" s="8">
        <v>1.96</v>
      </c>
      <c r="I937" s="4">
        <v>0</v>
      </c>
    </row>
    <row r="938" spans="1:9" x14ac:dyDescent="0.2">
      <c r="A938" s="2">
        <v>9</v>
      </c>
      <c r="B938" s="1" t="s">
        <v>222</v>
      </c>
      <c r="C938" s="4">
        <v>30</v>
      </c>
      <c r="D938" s="8">
        <v>3.23</v>
      </c>
      <c r="E938" s="4">
        <v>9</v>
      </c>
      <c r="F938" s="8">
        <v>2.0099999999999998</v>
      </c>
      <c r="G938" s="4">
        <v>21</v>
      </c>
      <c r="H938" s="8">
        <v>4.58</v>
      </c>
      <c r="I938" s="4">
        <v>0</v>
      </c>
    </row>
    <row r="939" spans="1:9" x14ac:dyDescent="0.2">
      <c r="A939" s="2">
        <v>10</v>
      </c>
      <c r="B939" s="1" t="s">
        <v>215</v>
      </c>
      <c r="C939" s="4">
        <v>25</v>
      </c>
      <c r="D939" s="8">
        <v>2.69</v>
      </c>
      <c r="E939" s="4">
        <v>5</v>
      </c>
      <c r="F939" s="8">
        <v>1.1200000000000001</v>
      </c>
      <c r="G939" s="4">
        <v>20</v>
      </c>
      <c r="H939" s="8">
        <v>4.3600000000000003</v>
      </c>
      <c r="I939" s="4">
        <v>0</v>
      </c>
    </row>
    <row r="940" spans="1:9" x14ac:dyDescent="0.2">
      <c r="A940" s="2">
        <v>10</v>
      </c>
      <c r="B940" s="1" t="s">
        <v>232</v>
      </c>
      <c r="C940" s="4">
        <v>25</v>
      </c>
      <c r="D940" s="8">
        <v>2.69</v>
      </c>
      <c r="E940" s="4">
        <v>0</v>
      </c>
      <c r="F940" s="8">
        <v>0</v>
      </c>
      <c r="G940" s="4">
        <v>8</v>
      </c>
      <c r="H940" s="8">
        <v>1.74</v>
      </c>
      <c r="I940" s="4">
        <v>0</v>
      </c>
    </row>
    <row r="941" spans="1:9" x14ac:dyDescent="0.2">
      <c r="A941" s="2">
        <v>12</v>
      </c>
      <c r="B941" s="1" t="s">
        <v>221</v>
      </c>
      <c r="C941" s="4">
        <v>24</v>
      </c>
      <c r="D941" s="8">
        <v>2.58</v>
      </c>
      <c r="E941" s="4">
        <v>14</v>
      </c>
      <c r="F941" s="8">
        <v>3.13</v>
      </c>
      <c r="G941" s="4">
        <v>9</v>
      </c>
      <c r="H941" s="8">
        <v>1.96</v>
      </c>
      <c r="I941" s="4">
        <v>1</v>
      </c>
    </row>
    <row r="942" spans="1:9" x14ac:dyDescent="0.2">
      <c r="A942" s="2">
        <v>13</v>
      </c>
      <c r="B942" s="1" t="s">
        <v>220</v>
      </c>
      <c r="C942" s="4">
        <v>20</v>
      </c>
      <c r="D942" s="8">
        <v>2.15</v>
      </c>
      <c r="E942" s="4">
        <v>7</v>
      </c>
      <c r="F942" s="8">
        <v>1.57</v>
      </c>
      <c r="G942" s="4">
        <v>13</v>
      </c>
      <c r="H942" s="8">
        <v>2.83</v>
      </c>
      <c r="I942" s="4">
        <v>0</v>
      </c>
    </row>
    <row r="943" spans="1:9" x14ac:dyDescent="0.2">
      <c r="A943" s="2">
        <v>14</v>
      </c>
      <c r="B943" s="1" t="s">
        <v>226</v>
      </c>
      <c r="C943" s="4">
        <v>19</v>
      </c>
      <c r="D943" s="8">
        <v>2.0499999999999998</v>
      </c>
      <c r="E943" s="4">
        <v>7</v>
      </c>
      <c r="F943" s="8">
        <v>1.57</v>
      </c>
      <c r="G943" s="4">
        <v>12</v>
      </c>
      <c r="H943" s="8">
        <v>2.61</v>
      </c>
      <c r="I943" s="4">
        <v>0</v>
      </c>
    </row>
    <row r="944" spans="1:9" x14ac:dyDescent="0.2">
      <c r="A944" s="2">
        <v>15</v>
      </c>
      <c r="B944" s="1" t="s">
        <v>217</v>
      </c>
      <c r="C944" s="4">
        <v>16</v>
      </c>
      <c r="D944" s="8">
        <v>1.72</v>
      </c>
      <c r="E944" s="4">
        <v>2</v>
      </c>
      <c r="F944" s="8">
        <v>0.45</v>
      </c>
      <c r="G944" s="4">
        <v>14</v>
      </c>
      <c r="H944" s="8">
        <v>3.05</v>
      </c>
      <c r="I944" s="4">
        <v>0</v>
      </c>
    </row>
    <row r="945" spans="1:9" x14ac:dyDescent="0.2">
      <c r="A945" s="2">
        <v>15</v>
      </c>
      <c r="B945" s="1" t="s">
        <v>229</v>
      </c>
      <c r="C945" s="4">
        <v>16</v>
      </c>
      <c r="D945" s="8">
        <v>1.72</v>
      </c>
      <c r="E945" s="4">
        <v>6</v>
      </c>
      <c r="F945" s="8">
        <v>1.34</v>
      </c>
      <c r="G945" s="4">
        <v>10</v>
      </c>
      <c r="H945" s="8">
        <v>2.1800000000000002</v>
      </c>
      <c r="I945" s="4">
        <v>0</v>
      </c>
    </row>
    <row r="946" spans="1:9" x14ac:dyDescent="0.2">
      <c r="A946" s="2">
        <v>17</v>
      </c>
      <c r="B946" s="1" t="s">
        <v>240</v>
      </c>
      <c r="C946" s="4">
        <v>15</v>
      </c>
      <c r="D946" s="8">
        <v>1.61</v>
      </c>
      <c r="E946" s="4">
        <v>6</v>
      </c>
      <c r="F946" s="8">
        <v>1.34</v>
      </c>
      <c r="G946" s="4">
        <v>9</v>
      </c>
      <c r="H946" s="8">
        <v>1.96</v>
      </c>
      <c r="I946" s="4">
        <v>0</v>
      </c>
    </row>
    <row r="947" spans="1:9" x14ac:dyDescent="0.2">
      <c r="A947" s="2">
        <v>18</v>
      </c>
      <c r="B947" s="1" t="s">
        <v>237</v>
      </c>
      <c r="C947" s="4">
        <v>11</v>
      </c>
      <c r="D947" s="8">
        <v>1.18</v>
      </c>
      <c r="E947" s="4">
        <v>1</v>
      </c>
      <c r="F947" s="8">
        <v>0.22</v>
      </c>
      <c r="G947" s="4">
        <v>10</v>
      </c>
      <c r="H947" s="8">
        <v>2.1800000000000002</v>
      </c>
      <c r="I947" s="4">
        <v>0</v>
      </c>
    </row>
    <row r="948" spans="1:9" x14ac:dyDescent="0.2">
      <c r="A948" s="2">
        <v>18</v>
      </c>
      <c r="B948" s="1" t="s">
        <v>243</v>
      </c>
      <c r="C948" s="4">
        <v>11</v>
      </c>
      <c r="D948" s="8">
        <v>1.18</v>
      </c>
      <c r="E948" s="4">
        <v>4</v>
      </c>
      <c r="F948" s="8">
        <v>0.89</v>
      </c>
      <c r="G948" s="4">
        <v>7</v>
      </c>
      <c r="H948" s="8">
        <v>1.53</v>
      </c>
      <c r="I948" s="4">
        <v>0</v>
      </c>
    </row>
    <row r="949" spans="1:9" x14ac:dyDescent="0.2">
      <c r="A949" s="2">
        <v>20</v>
      </c>
      <c r="B949" s="1" t="s">
        <v>236</v>
      </c>
      <c r="C949" s="4">
        <v>10</v>
      </c>
      <c r="D949" s="8">
        <v>1.08</v>
      </c>
      <c r="E949" s="4">
        <v>2</v>
      </c>
      <c r="F949" s="8">
        <v>0.45</v>
      </c>
      <c r="G949" s="4">
        <v>8</v>
      </c>
      <c r="H949" s="8">
        <v>1.74</v>
      </c>
      <c r="I949" s="4">
        <v>0</v>
      </c>
    </row>
    <row r="950" spans="1:9" x14ac:dyDescent="0.2">
      <c r="A950" s="1"/>
      <c r="C950" s="4"/>
      <c r="D950" s="8"/>
      <c r="E950" s="4"/>
      <c r="F950" s="8"/>
      <c r="G950" s="4"/>
      <c r="H950" s="8"/>
      <c r="I950" s="4"/>
    </row>
    <row r="951" spans="1:9" x14ac:dyDescent="0.2">
      <c r="A951" s="1" t="s">
        <v>41</v>
      </c>
      <c r="C951" s="4"/>
      <c r="D951" s="8"/>
      <c r="E951" s="4"/>
      <c r="F951" s="8"/>
      <c r="G951" s="4"/>
      <c r="H951" s="8"/>
      <c r="I951" s="4"/>
    </row>
    <row r="952" spans="1:9" x14ac:dyDescent="0.2">
      <c r="A952" s="2">
        <v>1</v>
      </c>
      <c r="B952" s="1" t="s">
        <v>228</v>
      </c>
      <c r="C952" s="4">
        <v>154</v>
      </c>
      <c r="D952" s="8">
        <v>15.23</v>
      </c>
      <c r="E952" s="4">
        <v>127</v>
      </c>
      <c r="F952" s="8">
        <v>26.08</v>
      </c>
      <c r="G952" s="4">
        <v>27</v>
      </c>
      <c r="H952" s="8">
        <v>5.29</v>
      </c>
      <c r="I952" s="4">
        <v>0</v>
      </c>
    </row>
    <row r="953" spans="1:9" x14ac:dyDescent="0.2">
      <c r="A953" s="2">
        <v>2</v>
      </c>
      <c r="B953" s="1" t="s">
        <v>227</v>
      </c>
      <c r="C953" s="4">
        <v>103</v>
      </c>
      <c r="D953" s="8">
        <v>10.19</v>
      </c>
      <c r="E953" s="4">
        <v>83</v>
      </c>
      <c r="F953" s="8">
        <v>17.04</v>
      </c>
      <c r="G953" s="4">
        <v>20</v>
      </c>
      <c r="H953" s="8">
        <v>3.92</v>
      </c>
      <c r="I953" s="4">
        <v>0</v>
      </c>
    </row>
    <row r="954" spans="1:9" x14ac:dyDescent="0.2">
      <c r="A954" s="2">
        <v>3</v>
      </c>
      <c r="B954" s="1" t="s">
        <v>224</v>
      </c>
      <c r="C954" s="4">
        <v>82</v>
      </c>
      <c r="D954" s="8">
        <v>8.11</v>
      </c>
      <c r="E954" s="4">
        <v>46</v>
      </c>
      <c r="F954" s="8">
        <v>9.4499999999999993</v>
      </c>
      <c r="G954" s="4">
        <v>36</v>
      </c>
      <c r="H954" s="8">
        <v>7.06</v>
      </c>
      <c r="I954" s="4">
        <v>0</v>
      </c>
    </row>
    <row r="955" spans="1:9" x14ac:dyDescent="0.2">
      <c r="A955" s="2">
        <v>4</v>
      </c>
      <c r="B955" s="1" t="s">
        <v>223</v>
      </c>
      <c r="C955" s="4">
        <v>67</v>
      </c>
      <c r="D955" s="8">
        <v>6.63</v>
      </c>
      <c r="E955" s="4">
        <v>23</v>
      </c>
      <c r="F955" s="8">
        <v>4.72</v>
      </c>
      <c r="G955" s="4">
        <v>44</v>
      </c>
      <c r="H955" s="8">
        <v>8.6300000000000008</v>
      </c>
      <c r="I955" s="4">
        <v>0</v>
      </c>
    </row>
    <row r="956" spans="1:9" x14ac:dyDescent="0.2">
      <c r="A956" s="2">
        <v>5</v>
      </c>
      <c r="B956" s="1" t="s">
        <v>230</v>
      </c>
      <c r="C956" s="4">
        <v>58</v>
      </c>
      <c r="D956" s="8">
        <v>5.74</v>
      </c>
      <c r="E956" s="4">
        <v>39</v>
      </c>
      <c r="F956" s="8">
        <v>8.01</v>
      </c>
      <c r="G956" s="4">
        <v>16</v>
      </c>
      <c r="H956" s="8">
        <v>3.14</v>
      </c>
      <c r="I956" s="4">
        <v>0</v>
      </c>
    </row>
    <row r="957" spans="1:9" x14ac:dyDescent="0.2">
      <c r="A957" s="2">
        <v>6</v>
      </c>
      <c r="B957" s="1" t="s">
        <v>213</v>
      </c>
      <c r="C957" s="4">
        <v>57</v>
      </c>
      <c r="D957" s="8">
        <v>5.64</v>
      </c>
      <c r="E957" s="4">
        <v>4</v>
      </c>
      <c r="F957" s="8">
        <v>0.82</v>
      </c>
      <c r="G957" s="4">
        <v>53</v>
      </c>
      <c r="H957" s="8">
        <v>10.39</v>
      </c>
      <c r="I957" s="4">
        <v>0</v>
      </c>
    </row>
    <row r="958" spans="1:9" x14ac:dyDescent="0.2">
      <c r="A958" s="2">
        <v>7</v>
      </c>
      <c r="B958" s="1" t="s">
        <v>214</v>
      </c>
      <c r="C958" s="4">
        <v>50</v>
      </c>
      <c r="D958" s="8">
        <v>4.95</v>
      </c>
      <c r="E958" s="4">
        <v>20</v>
      </c>
      <c r="F958" s="8">
        <v>4.1100000000000003</v>
      </c>
      <c r="G958" s="4">
        <v>30</v>
      </c>
      <c r="H958" s="8">
        <v>5.88</v>
      </c>
      <c r="I958" s="4">
        <v>0</v>
      </c>
    </row>
    <row r="959" spans="1:9" x14ac:dyDescent="0.2">
      <c r="A959" s="2">
        <v>8</v>
      </c>
      <c r="B959" s="1" t="s">
        <v>231</v>
      </c>
      <c r="C959" s="4">
        <v>41</v>
      </c>
      <c r="D959" s="8">
        <v>4.0599999999999996</v>
      </c>
      <c r="E959" s="4">
        <v>37</v>
      </c>
      <c r="F959" s="8">
        <v>7.6</v>
      </c>
      <c r="G959" s="4">
        <v>4</v>
      </c>
      <c r="H959" s="8">
        <v>0.78</v>
      </c>
      <c r="I959" s="4">
        <v>0</v>
      </c>
    </row>
    <row r="960" spans="1:9" x14ac:dyDescent="0.2">
      <c r="A960" s="2">
        <v>9</v>
      </c>
      <c r="B960" s="1" t="s">
        <v>215</v>
      </c>
      <c r="C960" s="4">
        <v>31</v>
      </c>
      <c r="D960" s="8">
        <v>3.07</v>
      </c>
      <c r="E960" s="4">
        <v>6</v>
      </c>
      <c r="F960" s="8">
        <v>1.23</v>
      </c>
      <c r="G960" s="4">
        <v>25</v>
      </c>
      <c r="H960" s="8">
        <v>4.9000000000000004</v>
      </c>
      <c r="I960" s="4">
        <v>0</v>
      </c>
    </row>
    <row r="961" spans="1:9" x14ac:dyDescent="0.2">
      <c r="A961" s="2">
        <v>10</v>
      </c>
      <c r="B961" s="1" t="s">
        <v>221</v>
      </c>
      <c r="C961" s="4">
        <v>27</v>
      </c>
      <c r="D961" s="8">
        <v>2.67</v>
      </c>
      <c r="E961" s="4">
        <v>18</v>
      </c>
      <c r="F961" s="8">
        <v>3.7</v>
      </c>
      <c r="G961" s="4">
        <v>8</v>
      </c>
      <c r="H961" s="8">
        <v>1.57</v>
      </c>
      <c r="I961" s="4">
        <v>1</v>
      </c>
    </row>
    <row r="962" spans="1:9" x14ac:dyDescent="0.2">
      <c r="A962" s="2">
        <v>10</v>
      </c>
      <c r="B962" s="1" t="s">
        <v>222</v>
      </c>
      <c r="C962" s="4">
        <v>27</v>
      </c>
      <c r="D962" s="8">
        <v>2.67</v>
      </c>
      <c r="E962" s="4">
        <v>13</v>
      </c>
      <c r="F962" s="8">
        <v>2.67</v>
      </c>
      <c r="G962" s="4">
        <v>14</v>
      </c>
      <c r="H962" s="8">
        <v>2.75</v>
      </c>
      <c r="I962" s="4">
        <v>0</v>
      </c>
    </row>
    <row r="963" spans="1:9" x14ac:dyDescent="0.2">
      <c r="A963" s="2">
        <v>12</v>
      </c>
      <c r="B963" s="1" t="s">
        <v>226</v>
      </c>
      <c r="C963" s="4">
        <v>23</v>
      </c>
      <c r="D963" s="8">
        <v>2.27</v>
      </c>
      <c r="E963" s="4">
        <v>6</v>
      </c>
      <c r="F963" s="8">
        <v>1.23</v>
      </c>
      <c r="G963" s="4">
        <v>17</v>
      </c>
      <c r="H963" s="8">
        <v>3.33</v>
      </c>
      <c r="I963" s="4">
        <v>0</v>
      </c>
    </row>
    <row r="964" spans="1:9" x14ac:dyDescent="0.2">
      <c r="A964" s="2">
        <v>13</v>
      </c>
      <c r="B964" s="1" t="s">
        <v>232</v>
      </c>
      <c r="C964" s="4">
        <v>22</v>
      </c>
      <c r="D964" s="8">
        <v>2.1800000000000002</v>
      </c>
      <c r="E964" s="4">
        <v>1</v>
      </c>
      <c r="F964" s="8">
        <v>0.21</v>
      </c>
      <c r="G964" s="4">
        <v>16</v>
      </c>
      <c r="H964" s="8">
        <v>3.14</v>
      </c>
      <c r="I964" s="4">
        <v>0</v>
      </c>
    </row>
    <row r="965" spans="1:9" x14ac:dyDescent="0.2">
      <c r="A965" s="2">
        <v>14</v>
      </c>
      <c r="B965" s="1" t="s">
        <v>225</v>
      </c>
      <c r="C965" s="4">
        <v>19</v>
      </c>
      <c r="D965" s="8">
        <v>1.88</v>
      </c>
      <c r="E965" s="4">
        <v>14</v>
      </c>
      <c r="F965" s="8">
        <v>2.87</v>
      </c>
      <c r="G965" s="4">
        <v>5</v>
      </c>
      <c r="H965" s="8">
        <v>0.98</v>
      </c>
      <c r="I965" s="4">
        <v>0</v>
      </c>
    </row>
    <row r="966" spans="1:9" x14ac:dyDescent="0.2">
      <c r="A966" s="2">
        <v>14</v>
      </c>
      <c r="B966" s="1" t="s">
        <v>229</v>
      </c>
      <c r="C966" s="4">
        <v>19</v>
      </c>
      <c r="D966" s="8">
        <v>1.88</v>
      </c>
      <c r="E966" s="4">
        <v>8</v>
      </c>
      <c r="F966" s="8">
        <v>1.64</v>
      </c>
      <c r="G966" s="4">
        <v>11</v>
      </c>
      <c r="H966" s="8">
        <v>2.16</v>
      </c>
      <c r="I966" s="4">
        <v>0</v>
      </c>
    </row>
    <row r="967" spans="1:9" x14ac:dyDescent="0.2">
      <c r="A967" s="2">
        <v>16</v>
      </c>
      <c r="B967" s="1" t="s">
        <v>219</v>
      </c>
      <c r="C967" s="4">
        <v>14</v>
      </c>
      <c r="D967" s="8">
        <v>1.38</v>
      </c>
      <c r="E967" s="4">
        <v>4</v>
      </c>
      <c r="F967" s="8">
        <v>0.82</v>
      </c>
      <c r="G967" s="4">
        <v>10</v>
      </c>
      <c r="H967" s="8">
        <v>1.96</v>
      </c>
      <c r="I967" s="4">
        <v>0</v>
      </c>
    </row>
    <row r="968" spans="1:9" x14ac:dyDescent="0.2">
      <c r="A968" s="2">
        <v>16</v>
      </c>
      <c r="B968" s="1" t="s">
        <v>237</v>
      </c>
      <c r="C968" s="4">
        <v>14</v>
      </c>
      <c r="D968" s="8">
        <v>1.38</v>
      </c>
      <c r="E968" s="4">
        <v>4</v>
      </c>
      <c r="F968" s="8">
        <v>0.82</v>
      </c>
      <c r="G968" s="4">
        <v>10</v>
      </c>
      <c r="H968" s="8">
        <v>1.96</v>
      </c>
      <c r="I968" s="4">
        <v>0</v>
      </c>
    </row>
    <row r="969" spans="1:9" x14ac:dyDescent="0.2">
      <c r="A969" s="2">
        <v>16</v>
      </c>
      <c r="B969" s="1" t="s">
        <v>239</v>
      </c>
      <c r="C969" s="4">
        <v>14</v>
      </c>
      <c r="D969" s="8">
        <v>1.38</v>
      </c>
      <c r="E969" s="4">
        <v>3</v>
      </c>
      <c r="F969" s="8">
        <v>0.62</v>
      </c>
      <c r="G969" s="4">
        <v>10</v>
      </c>
      <c r="H969" s="8">
        <v>1.96</v>
      </c>
      <c r="I969" s="4">
        <v>0</v>
      </c>
    </row>
    <row r="970" spans="1:9" x14ac:dyDescent="0.2">
      <c r="A970" s="2">
        <v>19</v>
      </c>
      <c r="B970" s="1" t="s">
        <v>240</v>
      </c>
      <c r="C970" s="4">
        <v>13</v>
      </c>
      <c r="D970" s="8">
        <v>1.29</v>
      </c>
      <c r="E970" s="4">
        <v>5</v>
      </c>
      <c r="F970" s="8">
        <v>1.03</v>
      </c>
      <c r="G970" s="4">
        <v>8</v>
      </c>
      <c r="H970" s="8">
        <v>1.57</v>
      </c>
      <c r="I970" s="4">
        <v>0</v>
      </c>
    </row>
    <row r="971" spans="1:9" x14ac:dyDescent="0.2">
      <c r="A971" s="2">
        <v>20</v>
      </c>
      <c r="B971" s="1" t="s">
        <v>218</v>
      </c>
      <c r="C971" s="4">
        <v>12</v>
      </c>
      <c r="D971" s="8">
        <v>1.19</v>
      </c>
      <c r="E971" s="4">
        <v>0</v>
      </c>
      <c r="F971" s="8">
        <v>0</v>
      </c>
      <c r="G971" s="4">
        <v>12</v>
      </c>
      <c r="H971" s="8">
        <v>2.35</v>
      </c>
      <c r="I971" s="4">
        <v>0</v>
      </c>
    </row>
    <row r="972" spans="1:9" x14ac:dyDescent="0.2">
      <c r="A972" s="1"/>
      <c r="C972" s="4"/>
      <c r="D972" s="8"/>
      <c r="E972" s="4"/>
      <c r="F972" s="8"/>
      <c r="G972" s="4"/>
      <c r="H972" s="8"/>
      <c r="I972" s="4"/>
    </row>
    <row r="973" spans="1:9" x14ac:dyDescent="0.2">
      <c r="A973" s="1" t="s">
        <v>42</v>
      </c>
      <c r="C973" s="4"/>
      <c r="D973" s="8"/>
      <c r="E973" s="4"/>
      <c r="F973" s="8"/>
      <c r="G973" s="4"/>
      <c r="H973" s="8"/>
      <c r="I973" s="4"/>
    </row>
    <row r="974" spans="1:9" x14ac:dyDescent="0.2">
      <c r="A974" s="2">
        <v>1</v>
      </c>
      <c r="B974" s="1" t="s">
        <v>227</v>
      </c>
      <c r="C974" s="4">
        <v>103</v>
      </c>
      <c r="D974" s="8">
        <v>13.38</v>
      </c>
      <c r="E974" s="4">
        <v>87</v>
      </c>
      <c r="F974" s="8">
        <v>19.82</v>
      </c>
      <c r="G974" s="4">
        <v>16</v>
      </c>
      <c r="H974" s="8">
        <v>5</v>
      </c>
      <c r="I974" s="4">
        <v>0</v>
      </c>
    </row>
    <row r="975" spans="1:9" x14ac:dyDescent="0.2">
      <c r="A975" s="2">
        <v>2</v>
      </c>
      <c r="B975" s="1" t="s">
        <v>228</v>
      </c>
      <c r="C975" s="4">
        <v>94</v>
      </c>
      <c r="D975" s="8">
        <v>12.21</v>
      </c>
      <c r="E975" s="4">
        <v>85</v>
      </c>
      <c r="F975" s="8">
        <v>19.36</v>
      </c>
      <c r="G975" s="4">
        <v>9</v>
      </c>
      <c r="H975" s="8">
        <v>2.81</v>
      </c>
      <c r="I975" s="4">
        <v>0</v>
      </c>
    </row>
    <row r="976" spans="1:9" x14ac:dyDescent="0.2">
      <c r="A976" s="2">
        <v>3</v>
      </c>
      <c r="B976" s="1" t="s">
        <v>224</v>
      </c>
      <c r="C976" s="4">
        <v>92</v>
      </c>
      <c r="D976" s="8">
        <v>11.95</v>
      </c>
      <c r="E976" s="4">
        <v>58</v>
      </c>
      <c r="F976" s="8">
        <v>13.21</v>
      </c>
      <c r="G976" s="4">
        <v>34</v>
      </c>
      <c r="H976" s="8">
        <v>10.63</v>
      </c>
      <c r="I976" s="4">
        <v>0</v>
      </c>
    </row>
    <row r="977" spans="1:9" x14ac:dyDescent="0.2">
      <c r="A977" s="2">
        <v>4</v>
      </c>
      <c r="B977" s="1" t="s">
        <v>223</v>
      </c>
      <c r="C977" s="4">
        <v>64</v>
      </c>
      <c r="D977" s="8">
        <v>8.31</v>
      </c>
      <c r="E977" s="4">
        <v>29</v>
      </c>
      <c r="F977" s="8">
        <v>6.61</v>
      </c>
      <c r="G977" s="4">
        <v>35</v>
      </c>
      <c r="H977" s="8">
        <v>10.94</v>
      </c>
      <c r="I977" s="4">
        <v>0</v>
      </c>
    </row>
    <row r="978" spans="1:9" x14ac:dyDescent="0.2">
      <c r="A978" s="2">
        <v>5</v>
      </c>
      <c r="B978" s="1" t="s">
        <v>213</v>
      </c>
      <c r="C978" s="4">
        <v>39</v>
      </c>
      <c r="D978" s="8">
        <v>5.0599999999999996</v>
      </c>
      <c r="E978" s="4">
        <v>8</v>
      </c>
      <c r="F978" s="8">
        <v>1.82</v>
      </c>
      <c r="G978" s="4">
        <v>31</v>
      </c>
      <c r="H978" s="8">
        <v>9.69</v>
      </c>
      <c r="I978" s="4">
        <v>0</v>
      </c>
    </row>
    <row r="979" spans="1:9" x14ac:dyDescent="0.2">
      <c r="A979" s="2">
        <v>6</v>
      </c>
      <c r="B979" s="1" t="s">
        <v>231</v>
      </c>
      <c r="C979" s="4">
        <v>32</v>
      </c>
      <c r="D979" s="8">
        <v>4.16</v>
      </c>
      <c r="E979" s="4">
        <v>30</v>
      </c>
      <c r="F979" s="8">
        <v>6.83</v>
      </c>
      <c r="G979" s="4">
        <v>2</v>
      </c>
      <c r="H979" s="8">
        <v>0.63</v>
      </c>
      <c r="I979" s="4">
        <v>0</v>
      </c>
    </row>
    <row r="980" spans="1:9" x14ac:dyDescent="0.2">
      <c r="A980" s="2">
        <v>7</v>
      </c>
      <c r="B980" s="1" t="s">
        <v>214</v>
      </c>
      <c r="C980" s="4">
        <v>30</v>
      </c>
      <c r="D980" s="8">
        <v>3.9</v>
      </c>
      <c r="E980" s="4">
        <v>8</v>
      </c>
      <c r="F980" s="8">
        <v>1.82</v>
      </c>
      <c r="G980" s="4">
        <v>22</v>
      </c>
      <c r="H980" s="8">
        <v>6.88</v>
      </c>
      <c r="I980" s="4">
        <v>0</v>
      </c>
    </row>
    <row r="981" spans="1:9" x14ac:dyDescent="0.2">
      <c r="A981" s="2">
        <v>8</v>
      </c>
      <c r="B981" s="1" t="s">
        <v>221</v>
      </c>
      <c r="C981" s="4">
        <v>29</v>
      </c>
      <c r="D981" s="8">
        <v>3.77</v>
      </c>
      <c r="E981" s="4">
        <v>17</v>
      </c>
      <c r="F981" s="8">
        <v>3.87</v>
      </c>
      <c r="G981" s="4">
        <v>12</v>
      </c>
      <c r="H981" s="8">
        <v>3.75</v>
      </c>
      <c r="I981" s="4">
        <v>0</v>
      </c>
    </row>
    <row r="982" spans="1:9" x14ac:dyDescent="0.2">
      <c r="A982" s="2">
        <v>9</v>
      </c>
      <c r="B982" s="1" t="s">
        <v>222</v>
      </c>
      <c r="C982" s="4">
        <v>27</v>
      </c>
      <c r="D982" s="8">
        <v>3.51</v>
      </c>
      <c r="E982" s="4">
        <v>15</v>
      </c>
      <c r="F982" s="8">
        <v>3.42</v>
      </c>
      <c r="G982" s="4">
        <v>12</v>
      </c>
      <c r="H982" s="8">
        <v>3.75</v>
      </c>
      <c r="I982" s="4">
        <v>0</v>
      </c>
    </row>
    <row r="983" spans="1:9" x14ac:dyDescent="0.2">
      <c r="A983" s="2">
        <v>10</v>
      </c>
      <c r="B983" s="1" t="s">
        <v>232</v>
      </c>
      <c r="C983" s="4">
        <v>26</v>
      </c>
      <c r="D983" s="8">
        <v>3.38</v>
      </c>
      <c r="E983" s="4">
        <v>1</v>
      </c>
      <c r="F983" s="8">
        <v>0.23</v>
      </c>
      <c r="G983" s="4">
        <v>19</v>
      </c>
      <c r="H983" s="8">
        <v>5.94</v>
      </c>
      <c r="I983" s="4">
        <v>0</v>
      </c>
    </row>
    <row r="984" spans="1:9" x14ac:dyDescent="0.2">
      <c r="A984" s="2">
        <v>11</v>
      </c>
      <c r="B984" s="1" t="s">
        <v>230</v>
      </c>
      <c r="C984" s="4">
        <v>21</v>
      </c>
      <c r="D984" s="8">
        <v>2.73</v>
      </c>
      <c r="E984" s="4">
        <v>14</v>
      </c>
      <c r="F984" s="8">
        <v>3.19</v>
      </c>
      <c r="G984" s="4">
        <v>7</v>
      </c>
      <c r="H984" s="8">
        <v>2.19</v>
      </c>
      <c r="I984" s="4">
        <v>0</v>
      </c>
    </row>
    <row r="985" spans="1:9" x14ac:dyDescent="0.2">
      <c r="A985" s="2">
        <v>12</v>
      </c>
      <c r="B985" s="1" t="s">
        <v>226</v>
      </c>
      <c r="C985" s="4">
        <v>17</v>
      </c>
      <c r="D985" s="8">
        <v>2.21</v>
      </c>
      <c r="E985" s="4">
        <v>5</v>
      </c>
      <c r="F985" s="8">
        <v>1.1399999999999999</v>
      </c>
      <c r="G985" s="4">
        <v>12</v>
      </c>
      <c r="H985" s="8">
        <v>3.75</v>
      </c>
      <c r="I985" s="4">
        <v>0</v>
      </c>
    </row>
    <row r="986" spans="1:9" x14ac:dyDescent="0.2">
      <c r="A986" s="2">
        <v>12</v>
      </c>
      <c r="B986" s="1" t="s">
        <v>239</v>
      </c>
      <c r="C986" s="4">
        <v>17</v>
      </c>
      <c r="D986" s="8">
        <v>2.21</v>
      </c>
      <c r="E986" s="4">
        <v>5</v>
      </c>
      <c r="F986" s="8">
        <v>1.1399999999999999</v>
      </c>
      <c r="G986" s="4">
        <v>12</v>
      </c>
      <c r="H986" s="8">
        <v>3.75</v>
      </c>
      <c r="I986" s="4">
        <v>0</v>
      </c>
    </row>
    <row r="987" spans="1:9" x14ac:dyDescent="0.2">
      <c r="A987" s="2">
        <v>14</v>
      </c>
      <c r="B987" s="1" t="s">
        <v>215</v>
      </c>
      <c r="C987" s="4">
        <v>12</v>
      </c>
      <c r="D987" s="8">
        <v>1.56</v>
      </c>
      <c r="E987" s="4">
        <v>3</v>
      </c>
      <c r="F987" s="8">
        <v>0.68</v>
      </c>
      <c r="G987" s="4">
        <v>9</v>
      </c>
      <c r="H987" s="8">
        <v>2.81</v>
      </c>
      <c r="I987" s="4">
        <v>0</v>
      </c>
    </row>
    <row r="988" spans="1:9" x14ac:dyDescent="0.2">
      <c r="A988" s="2">
        <v>14</v>
      </c>
      <c r="B988" s="1" t="s">
        <v>217</v>
      </c>
      <c r="C988" s="4">
        <v>12</v>
      </c>
      <c r="D988" s="8">
        <v>1.56</v>
      </c>
      <c r="E988" s="4">
        <v>2</v>
      </c>
      <c r="F988" s="8">
        <v>0.46</v>
      </c>
      <c r="G988" s="4">
        <v>10</v>
      </c>
      <c r="H988" s="8">
        <v>3.13</v>
      </c>
      <c r="I988" s="4">
        <v>0</v>
      </c>
    </row>
    <row r="989" spans="1:9" x14ac:dyDescent="0.2">
      <c r="A989" s="2">
        <v>16</v>
      </c>
      <c r="B989" s="1" t="s">
        <v>225</v>
      </c>
      <c r="C989" s="4">
        <v>11</v>
      </c>
      <c r="D989" s="8">
        <v>1.43</v>
      </c>
      <c r="E989" s="4">
        <v>11</v>
      </c>
      <c r="F989" s="8">
        <v>2.5099999999999998</v>
      </c>
      <c r="G989" s="4">
        <v>0</v>
      </c>
      <c r="H989" s="8">
        <v>0</v>
      </c>
      <c r="I989" s="4">
        <v>0</v>
      </c>
    </row>
    <row r="990" spans="1:9" x14ac:dyDescent="0.2">
      <c r="A990" s="2">
        <v>16</v>
      </c>
      <c r="B990" s="1" t="s">
        <v>240</v>
      </c>
      <c r="C990" s="4">
        <v>11</v>
      </c>
      <c r="D990" s="8">
        <v>1.43</v>
      </c>
      <c r="E990" s="4">
        <v>7</v>
      </c>
      <c r="F990" s="8">
        <v>1.59</v>
      </c>
      <c r="G990" s="4">
        <v>4</v>
      </c>
      <c r="H990" s="8">
        <v>1.25</v>
      </c>
      <c r="I990" s="4">
        <v>0</v>
      </c>
    </row>
    <row r="991" spans="1:9" x14ac:dyDescent="0.2">
      <c r="A991" s="2">
        <v>18</v>
      </c>
      <c r="B991" s="1" t="s">
        <v>220</v>
      </c>
      <c r="C991" s="4">
        <v>10</v>
      </c>
      <c r="D991" s="8">
        <v>1.3</v>
      </c>
      <c r="E991" s="4">
        <v>5</v>
      </c>
      <c r="F991" s="8">
        <v>1.1399999999999999</v>
      </c>
      <c r="G991" s="4">
        <v>5</v>
      </c>
      <c r="H991" s="8">
        <v>1.56</v>
      </c>
      <c r="I991" s="4">
        <v>0</v>
      </c>
    </row>
    <row r="992" spans="1:9" x14ac:dyDescent="0.2">
      <c r="A992" s="2">
        <v>19</v>
      </c>
      <c r="B992" s="1" t="s">
        <v>258</v>
      </c>
      <c r="C992" s="4">
        <v>9</v>
      </c>
      <c r="D992" s="8">
        <v>1.17</v>
      </c>
      <c r="E992" s="4">
        <v>5</v>
      </c>
      <c r="F992" s="8">
        <v>1.1399999999999999</v>
      </c>
      <c r="G992" s="4">
        <v>4</v>
      </c>
      <c r="H992" s="8">
        <v>1.25</v>
      </c>
      <c r="I992" s="4">
        <v>0</v>
      </c>
    </row>
    <row r="993" spans="1:9" x14ac:dyDescent="0.2">
      <c r="A993" s="2">
        <v>19</v>
      </c>
      <c r="B993" s="1" t="s">
        <v>216</v>
      </c>
      <c r="C993" s="4">
        <v>9</v>
      </c>
      <c r="D993" s="8">
        <v>1.17</v>
      </c>
      <c r="E993" s="4">
        <v>6</v>
      </c>
      <c r="F993" s="8">
        <v>1.37</v>
      </c>
      <c r="G993" s="4">
        <v>3</v>
      </c>
      <c r="H993" s="8">
        <v>0.94</v>
      </c>
      <c r="I993" s="4">
        <v>0</v>
      </c>
    </row>
    <row r="994" spans="1:9" x14ac:dyDescent="0.2">
      <c r="A994" s="2">
        <v>19</v>
      </c>
      <c r="B994" s="1" t="s">
        <v>237</v>
      </c>
      <c r="C994" s="4">
        <v>9</v>
      </c>
      <c r="D994" s="8">
        <v>1.17</v>
      </c>
      <c r="E994" s="4">
        <v>3</v>
      </c>
      <c r="F994" s="8">
        <v>0.68</v>
      </c>
      <c r="G994" s="4">
        <v>6</v>
      </c>
      <c r="H994" s="8">
        <v>1.88</v>
      </c>
      <c r="I994" s="4">
        <v>0</v>
      </c>
    </row>
    <row r="995" spans="1:9" x14ac:dyDescent="0.2">
      <c r="A995" s="2">
        <v>19</v>
      </c>
      <c r="B995" s="1" t="s">
        <v>243</v>
      </c>
      <c r="C995" s="4">
        <v>9</v>
      </c>
      <c r="D995" s="8">
        <v>1.17</v>
      </c>
      <c r="E995" s="4">
        <v>7</v>
      </c>
      <c r="F995" s="8">
        <v>1.59</v>
      </c>
      <c r="G995" s="4">
        <v>2</v>
      </c>
      <c r="H995" s="8">
        <v>0.63</v>
      </c>
      <c r="I995" s="4">
        <v>0</v>
      </c>
    </row>
    <row r="996" spans="1:9" x14ac:dyDescent="0.2">
      <c r="A996" s="2">
        <v>19</v>
      </c>
      <c r="B996" s="1" t="s">
        <v>229</v>
      </c>
      <c r="C996" s="4">
        <v>9</v>
      </c>
      <c r="D996" s="8">
        <v>1.17</v>
      </c>
      <c r="E996" s="4">
        <v>4</v>
      </c>
      <c r="F996" s="8">
        <v>0.91</v>
      </c>
      <c r="G996" s="4">
        <v>5</v>
      </c>
      <c r="H996" s="8">
        <v>1.56</v>
      </c>
      <c r="I996" s="4">
        <v>0</v>
      </c>
    </row>
    <row r="997" spans="1:9" x14ac:dyDescent="0.2">
      <c r="A997" s="2">
        <v>19</v>
      </c>
      <c r="B997" s="1" t="s">
        <v>234</v>
      </c>
      <c r="C997" s="4">
        <v>9</v>
      </c>
      <c r="D997" s="8">
        <v>1.17</v>
      </c>
      <c r="E997" s="4">
        <v>3</v>
      </c>
      <c r="F997" s="8">
        <v>0.68</v>
      </c>
      <c r="G997" s="4">
        <v>6</v>
      </c>
      <c r="H997" s="8">
        <v>1.88</v>
      </c>
      <c r="I997" s="4">
        <v>0</v>
      </c>
    </row>
    <row r="998" spans="1:9" x14ac:dyDescent="0.2">
      <c r="A998" s="1"/>
      <c r="C998" s="4"/>
      <c r="D998" s="8"/>
      <c r="E998" s="4"/>
      <c r="F998" s="8"/>
      <c r="G998" s="4"/>
      <c r="H998" s="8"/>
      <c r="I998" s="4"/>
    </row>
    <row r="999" spans="1:9" x14ac:dyDescent="0.2">
      <c r="A999" s="1" t="s">
        <v>43</v>
      </c>
      <c r="C999" s="4"/>
      <c r="D999" s="8"/>
      <c r="E999" s="4"/>
      <c r="F999" s="8"/>
      <c r="G999" s="4"/>
      <c r="H999" s="8"/>
      <c r="I999" s="4"/>
    </row>
    <row r="1000" spans="1:9" x14ac:dyDescent="0.2">
      <c r="A1000" s="2">
        <v>1</v>
      </c>
      <c r="B1000" s="1" t="s">
        <v>213</v>
      </c>
      <c r="C1000" s="4">
        <v>68</v>
      </c>
      <c r="D1000" s="8">
        <v>8.0500000000000007</v>
      </c>
      <c r="E1000" s="4">
        <v>3</v>
      </c>
      <c r="F1000" s="8">
        <v>1.21</v>
      </c>
      <c r="G1000" s="4">
        <v>65</v>
      </c>
      <c r="H1000" s="8">
        <v>11.05</v>
      </c>
      <c r="I1000" s="4">
        <v>0</v>
      </c>
    </row>
    <row r="1001" spans="1:9" x14ac:dyDescent="0.2">
      <c r="A1001" s="2">
        <v>2</v>
      </c>
      <c r="B1001" s="1" t="s">
        <v>228</v>
      </c>
      <c r="C1001" s="4">
        <v>57</v>
      </c>
      <c r="D1001" s="8">
        <v>6.75</v>
      </c>
      <c r="E1001" s="4">
        <v>45</v>
      </c>
      <c r="F1001" s="8">
        <v>18.149999999999999</v>
      </c>
      <c r="G1001" s="4">
        <v>12</v>
      </c>
      <c r="H1001" s="8">
        <v>2.04</v>
      </c>
      <c r="I1001" s="4">
        <v>0</v>
      </c>
    </row>
    <row r="1002" spans="1:9" x14ac:dyDescent="0.2">
      <c r="A1002" s="2">
        <v>3</v>
      </c>
      <c r="B1002" s="1" t="s">
        <v>223</v>
      </c>
      <c r="C1002" s="4">
        <v>53</v>
      </c>
      <c r="D1002" s="8">
        <v>6.27</v>
      </c>
      <c r="E1002" s="4">
        <v>11</v>
      </c>
      <c r="F1002" s="8">
        <v>4.4400000000000004</v>
      </c>
      <c r="G1002" s="4">
        <v>42</v>
      </c>
      <c r="H1002" s="8">
        <v>7.14</v>
      </c>
      <c r="I1002" s="4">
        <v>0</v>
      </c>
    </row>
    <row r="1003" spans="1:9" x14ac:dyDescent="0.2">
      <c r="A1003" s="2">
        <v>4</v>
      </c>
      <c r="B1003" s="1" t="s">
        <v>214</v>
      </c>
      <c r="C1003" s="4">
        <v>52</v>
      </c>
      <c r="D1003" s="8">
        <v>6.15</v>
      </c>
      <c r="E1003" s="4">
        <v>7</v>
      </c>
      <c r="F1003" s="8">
        <v>2.82</v>
      </c>
      <c r="G1003" s="4">
        <v>45</v>
      </c>
      <c r="H1003" s="8">
        <v>7.65</v>
      </c>
      <c r="I1003" s="4">
        <v>0</v>
      </c>
    </row>
    <row r="1004" spans="1:9" x14ac:dyDescent="0.2">
      <c r="A1004" s="2">
        <v>5</v>
      </c>
      <c r="B1004" s="1" t="s">
        <v>227</v>
      </c>
      <c r="C1004" s="4">
        <v>46</v>
      </c>
      <c r="D1004" s="8">
        <v>5.44</v>
      </c>
      <c r="E1004" s="4">
        <v>38</v>
      </c>
      <c r="F1004" s="8">
        <v>15.32</v>
      </c>
      <c r="G1004" s="4">
        <v>8</v>
      </c>
      <c r="H1004" s="8">
        <v>1.36</v>
      </c>
      <c r="I1004" s="4">
        <v>0</v>
      </c>
    </row>
    <row r="1005" spans="1:9" x14ac:dyDescent="0.2">
      <c r="A1005" s="2">
        <v>6</v>
      </c>
      <c r="B1005" s="1" t="s">
        <v>224</v>
      </c>
      <c r="C1005" s="4">
        <v>45</v>
      </c>
      <c r="D1005" s="8">
        <v>5.33</v>
      </c>
      <c r="E1005" s="4">
        <v>19</v>
      </c>
      <c r="F1005" s="8">
        <v>7.66</v>
      </c>
      <c r="G1005" s="4">
        <v>26</v>
      </c>
      <c r="H1005" s="8">
        <v>4.42</v>
      </c>
      <c r="I1005" s="4">
        <v>0</v>
      </c>
    </row>
    <row r="1006" spans="1:9" x14ac:dyDescent="0.2">
      <c r="A1006" s="2">
        <v>7</v>
      </c>
      <c r="B1006" s="1" t="s">
        <v>215</v>
      </c>
      <c r="C1006" s="4">
        <v>42</v>
      </c>
      <c r="D1006" s="8">
        <v>4.97</v>
      </c>
      <c r="E1006" s="4">
        <v>3</v>
      </c>
      <c r="F1006" s="8">
        <v>1.21</v>
      </c>
      <c r="G1006" s="4">
        <v>39</v>
      </c>
      <c r="H1006" s="8">
        <v>6.63</v>
      </c>
      <c r="I1006" s="4">
        <v>0</v>
      </c>
    </row>
    <row r="1007" spans="1:9" x14ac:dyDescent="0.2">
      <c r="A1007" s="2">
        <v>8</v>
      </c>
      <c r="B1007" s="1" t="s">
        <v>231</v>
      </c>
      <c r="C1007" s="4">
        <v>36</v>
      </c>
      <c r="D1007" s="8">
        <v>4.26</v>
      </c>
      <c r="E1007" s="4">
        <v>29</v>
      </c>
      <c r="F1007" s="8">
        <v>11.69</v>
      </c>
      <c r="G1007" s="4">
        <v>7</v>
      </c>
      <c r="H1007" s="8">
        <v>1.19</v>
      </c>
      <c r="I1007" s="4">
        <v>0</v>
      </c>
    </row>
    <row r="1008" spans="1:9" x14ac:dyDescent="0.2">
      <c r="A1008" s="2">
        <v>9</v>
      </c>
      <c r="B1008" s="1" t="s">
        <v>226</v>
      </c>
      <c r="C1008" s="4">
        <v>31</v>
      </c>
      <c r="D1008" s="8">
        <v>3.67</v>
      </c>
      <c r="E1008" s="4">
        <v>10</v>
      </c>
      <c r="F1008" s="8">
        <v>4.03</v>
      </c>
      <c r="G1008" s="4">
        <v>21</v>
      </c>
      <c r="H1008" s="8">
        <v>3.57</v>
      </c>
      <c r="I1008" s="4">
        <v>0</v>
      </c>
    </row>
    <row r="1009" spans="1:9" x14ac:dyDescent="0.2">
      <c r="A1009" s="2">
        <v>10</v>
      </c>
      <c r="B1009" s="1" t="s">
        <v>222</v>
      </c>
      <c r="C1009" s="4">
        <v>27</v>
      </c>
      <c r="D1009" s="8">
        <v>3.2</v>
      </c>
      <c r="E1009" s="4">
        <v>8</v>
      </c>
      <c r="F1009" s="8">
        <v>3.23</v>
      </c>
      <c r="G1009" s="4">
        <v>19</v>
      </c>
      <c r="H1009" s="8">
        <v>3.23</v>
      </c>
      <c r="I1009" s="4">
        <v>0</v>
      </c>
    </row>
    <row r="1010" spans="1:9" x14ac:dyDescent="0.2">
      <c r="A1010" s="2">
        <v>11</v>
      </c>
      <c r="B1010" s="1" t="s">
        <v>217</v>
      </c>
      <c r="C1010" s="4">
        <v>25</v>
      </c>
      <c r="D1010" s="8">
        <v>2.96</v>
      </c>
      <c r="E1010" s="4">
        <v>1</v>
      </c>
      <c r="F1010" s="8">
        <v>0.4</v>
      </c>
      <c r="G1010" s="4">
        <v>24</v>
      </c>
      <c r="H1010" s="8">
        <v>4.08</v>
      </c>
      <c r="I1010" s="4">
        <v>0</v>
      </c>
    </row>
    <row r="1011" spans="1:9" x14ac:dyDescent="0.2">
      <c r="A1011" s="2">
        <v>11</v>
      </c>
      <c r="B1011" s="1" t="s">
        <v>220</v>
      </c>
      <c r="C1011" s="4">
        <v>25</v>
      </c>
      <c r="D1011" s="8">
        <v>2.96</v>
      </c>
      <c r="E1011" s="4">
        <v>1</v>
      </c>
      <c r="F1011" s="8">
        <v>0.4</v>
      </c>
      <c r="G1011" s="4">
        <v>24</v>
      </c>
      <c r="H1011" s="8">
        <v>4.08</v>
      </c>
      <c r="I1011" s="4">
        <v>0</v>
      </c>
    </row>
    <row r="1012" spans="1:9" x14ac:dyDescent="0.2">
      <c r="A1012" s="2">
        <v>13</v>
      </c>
      <c r="B1012" s="1" t="s">
        <v>221</v>
      </c>
      <c r="C1012" s="4">
        <v>23</v>
      </c>
      <c r="D1012" s="8">
        <v>2.72</v>
      </c>
      <c r="E1012" s="4">
        <v>6</v>
      </c>
      <c r="F1012" s="8">
        <v>2.42</v>
      </c>
      <c r="G1012" s="4">
        <v>17</v>
      </c>
      <c r="H1012" s="8">
        <v>2.89</v>
      </c>
      <c r="I1012" s="4">
        <v>0</v>
      </c>
    </row>
    <row r="1013" spans="1:9" x14ac:dyDescent="0.2">
      <c r="A1013" s="2">
        <v>13</v>
      </c>
      <c r="B1013" s="1" t="s">
        <v>240</v>
      </c>
      <c r="C1013" s="4">
        <v>23</v>
      </c>
      <c r="D1013" s="8">
        <v>2.72</v>
      </c>
      <c r="E1013" s="4">
        <v>9</v>
      </c>
      <c r="F1013" s="8">
        <v>3.63</v>
      </c>
      <c r="G1013" s="4">
        <v>14</v>
      </c>
      <c r="H1013" s="8">
        <v>2.38</v>
      </c>
      <c r="I1013" s="4">
        <v>0</v>
      </c>
    </row>
    <row r="1014" spans="1:9" x14ac:dyDescent="0.2">
      <c r="A1014" s="2">
        <v>15</v>
      </c>
      <c r="B1014" s="1" t="s">
        <v>218</v>
      </c>
      <c r="C1014" s="4">
        <v>21</v>
      </c>
      <c r="D1014" s="8">
        <v>2.4900000000000002</v>
      </c>
      <c r="E1014" s="4">
        <v>3</v>
      </c>
      <c r="F1014" s="8">
        <v>1.21</v>
      </c>
      <c r="G1014" s="4">
        <v>18</v>
      </c>
      <c r="H1014" s="8">
        <v>3.06</v>
      </c>
      <c r="I1014" s="4">
        <v>0</v>
      </c>
    </row>
    <row r="1015" spans="1:9" x14ac:dyDescent="0.2">
      <c r="A1015" s="2">
        <v>15</v>
      </c>
      <c r="B1015" s="1" t="s">
        <v>230</v>
      </c>
      <c r="C1015" s="4">
        <v>21</v>
      </c>
      <c r="D1015" s="8">
        <v>2.4900000000000002</v>
      </c>
      <c r="E1015" s="4">
        <v>13</v>
      </c>
      <c r="F1015" s="8">
        <v>5.24</v>
      </c>
      <c r="G1015" s="4">
        <v>4</v>
      </c>
      <c r="H1015" s="8">
        <v>0.68</v>
      </c>
      <c r="I1015" s="4">
        <v>2</v>
      </c>
    </row>
    <row r="1016" spans="1:9" x14ac:dyDescent="0.2">
      <c r="A1016" s="2">
        <v>17</v>
      </c>
      <c r="B1016" s="1" t="s">
        <v>216</v>
      </c>
      <c r="C1016" s="4">
        <v>19</v>
      </c>
      <c r="D1016" s="8">
        <v>2.25</v>
      </c>
      <c r="E1016" s="4">
        <v>1</v>
      </c>
      <c r="F1016" s="8">
        <v>0.4</v>
      </c>
      <c r="G1016" s="4">
        <v>18</v>
      </c>
      <c r="H1016" s="8">
        <v>3.06</v>
      </c>
      <c r="I1016" s="4">
        <v>0</v>
      </c>
    </row>
    <row r="1017" spans="1:9" x14ac:dyDescent="0.2">
      <c r="A1017" s="2">
        <v>18</v>
      </c>
      <c r="B1017" s="1" t="s">
        <v>232</v>
      </c>
      <c r="C1017" s="4">
        <v>18</v>
      </c>
      <c r="D1017" s="8">
        <v>2.13</v>
      </c>
      <c r="E1017" s="4">
        <v>0</v>
      </c>
      <c r="F1017" s="8">
        <v>0</v>
      </c>
      <c r="G1017" s="4">
        <v>18</v>
      </c>
      <c r="H1017" s="8">
        <v>3.06</v>
      </c>
      <c r="I1017" s="4">
        <v>0</v>
      </c>
    </row>
    <row r="1018" spans="1:9" x14ac:dyDescent="0.2">
      <c r="A1018" s="2">
        <v>19</v>
      </c>
      <c r="B1018" s="1" t="s">
        <v>253</v>
      </c>
      <c r="C1018" s="4">
        <v>17</v>
      </c>
      <c r="D1018" s="8">
        <v>2.0099999999999998</v>
      </c>
      <c r="E1018" s="4">
        <v>2</v>
      </c>
      <c r="F1018" s="8">
        <v>0.81</v>
      </c>
      <c r="G1018" s="4">
        <v>15</v>
      </c>
      <c r="H1018" s="8">
        <v>2.5499999999999998</v>
      </c>
      <c r="I1018" s="4">
        <v>0</v>
      </c>
    </row>
    <row r="1019" spans="1:9" x14ac:dyDescent="0.2">
      <c r="A1019" s="2">
        <v>20</v>
      </c>
      <c r="B1019" s="1" t="s">
        <v>225</v>
      </c>
      <c r="C1019" s="4">
        <v>16</v>
      </c>
      <c r="D1019" s="8">
        <v>1.89</v>
      </c>
      <c r="E1019" s="4">
        <v>9</v>
      </c>
      <c r="F1019" s="8">
        <v>3.63</v>
      </c>
      <c r="G1019" s="4">
        <v>7</v>
      </c>
      <c r="H1019" s="8">
        <v>1.19</v>
      </c>
      <c r="I1019" s="4">
        <v>0</v>
      </c>
    </row>
    <row r="1020" spans="1:9" x14ac:dyDescent="0.2">
      <c r="A1020" s="2">
        <v>20</v>
      </c>
      <c r="B1020" s="1" t="s">
        <v>229</v>
      </c>
      <c r="C1020" s="4">
        <v>16</v>
      </c>
      <c r="D1020" s="8">
        <v>1.89</v>
      </c>
      <c r="E1020" s="4">
        <v>3</v>
      </c>
      <c r="F1020" s="8">
        <v>1.21</v>
      </c>
      <c r="G1020" s="4">
        <v>13</v>
      </c>
      <c r="H1020" s="8">
        <v>2.21</v>
      </c>
      <c r="I1020" s="4">
        <v>0</v>
      </c>
    </row>
    <row r="1021" spans="1:9" x14ac:dyDescent="0.2">
      <c r="A1021" s="1"/>
      <c r="C1021" s="4"/>
      <c r="D1021" s="8"/>
      <c r="E1021" s="4"/>
      <c r="F1021" s="8"/>
      <c r="G1021" s="4"/>
      <c r="H1021" s="8"/>
      <c r="I1021" s="4"/>
    </row>
    <row r="1022" spans="1:9" x14ac:dyDescent="0.2">
      <c r="A1022" s="1" t="s">
        <v>44</v>
      </c>
      <c r="C1022" s="4"/>
      <c r="D1022" s="8"/>
      <c r="E1022" s="4"/>
      <c r="F1022" s="8"/>
      <c r="G1022" s="4"/>
      <c r="H1022" s="8"/>
      <c r="I1022" s="4"/>
    </row>
    <row r="1023" spans="1:9" x14ac:dyDescent="0.2">
      <c r="A1023" s="2">
        <v>1</v>
      </c>
      <c r="B1023" s="1" t="s">
        <v>214</v>
      </c>
      <c r="C1023" s="4">
        <v>109</v>
      </c>
      <c r="D1023" s="8">
        <v>9.73</v>
      </c>
      <c r="E1023" s="4">
        <v>13</v>
      </c>
      <c r="F1023" s="8">
        <v>3.93</v>
      </c>
      <c r="G1023" s="4">
        <v>96</v>
      </c>
      <c r="H1023" s="8">
        <v>12.32</v>
      </c>
      <c r="I1023" s="4">
        <v>0</v>
      </c>
    </row>
    <row r="1024" spans="1:9" x14ac:dyDescent="0.2">
      <c r="A1024" s="2">
        <v>2</v>
      </c>
      <c r="B1024" s="1" t="s">
        <v>228</v>
      </c>
      <c r="C1024" s="4">
        <v>95</v>
      </c>
      <c r="D1024" s="8">
        <v>8.48</v>
      </c>
      <c r="E1024" s="4">
        <v>77</v>
      </c>
      <c r="F1024" s="8">
        <v>23.26</v>
      </c>
      <c r="G1024" s="4">
        <v>18</v>
      </c>
      <c r="H1024" s="8">
        <v>2.31</v>
      </c>
      <c r="I1024" s="4">
        <v>0</v>
      </c>
    </row>
    <row r="1025" spans="1:9" x14ac:dyDescent="0.2">
      <c r="A1025" s="2">
        <v>3</v>
      </c>
      <c r="B1025" s="1" t="s">
        <v>213</v>
      </c>
      <c r="C1025" s="4">
        <v>94</v>
      </c>
      <c r="D1025" s="8">
        <v>8.39</v>
      </c>
      <c r="E1025" s="4">
        <v>5</v>
      </c>
      <c r="F1025" s="8">
        <v>1.51</v>
      </c>
      <c r="G1025" s="4">
        <v>89</v>
      </c>
      <c r="H1025" s="8">
        <v>11.42</v>
      </c>
      <c r="I1025" s="4">
        <v>0</v>
      </c>
    </row>
    <row r="1026" spans="1:9" x14ac:dyDescent="0.2">
      <c r="A1026" s="2">
        <v>4</v>
      </c>
      <c r="B1026" s="1" t="s">
        <v>227</v>
      </c>
      <c r="C1026" s="4">
        <v>82</v>
      </c>
      <c r="D1026" s="8">
        <v>7.32</v>
      </c>
      <c r="E1026" s="4">
        <v>73</v>
      </c>
      <c r="F1026" s="8">
        <v>22.05</v>
      </c>
      <c r="G1026" s="4">
        <v>9</v>
      </c>
      <c r="H1026" s="8">
        <v>1.1599999999999999</v>
      </c>
      <c r="I1026" s="4">
        <v>0</v>
      </c>
    </row>
    <row r="1027" spans="1:9" x14ac:dyDescent="0.2">
      <c r="A1027" s="2">
        <v>5</v>
      </c>
      <c r="B1027" s="1" t="s">
        <v>215</v>
      </c>
      <c r="C1027" s="4">
        <v>72</v>
      </c>
      <c r="D1027" s="8">
        <v>6.43</v>
      </c>
      <c r="E1027" s="4">
        <v>7</v>
      </c>
      <c r="F1027" s="8">
        <v>2.11</v>
      </c>
      <c r="G1027" s="4">
        <v>65</v>
      </c>
      <c r="H1027" s="8">
        <v>8.34</v>
      </c>
      <c r="I1027" s="4">
        <v>0</v>
      </c>
    </row>
    <row r="1028" spans="1:9" x14ac:dyDescent="0.2">
      <c r="A1028" s="2">
        <v>6</v>
      </c>
      <c r="B1028" s="1" t="s">
        <v>223</v>
      </c>
      <c r="C1028" s="4">
        <v>69</v>
      </c>
      <c r="D1028" s="8">
        <v>6.16</v>
      </c>
      <c r="E1028" s="4">
        <v>18</v>
      </c>
      <c r="F1028" s="8">
        <v>5.44</v>
      </c>
      <c r="G1028" s="4">
        <v>51</v>
      </c>
      <c r="H1028" s="8">
        <v>6.55</v>
      </c>
      <c r="I1028" s="4">
        <v>0</v>
      </c>
    </row>
    <row r="1029" spans="1:9" x14ac:dyDescent="0.2">
      <c r="A1029" s="2">
        <v>7</v>
      </c>
      <c r="B1029" s="1" t="s">
        <v>232</v>
      </c>
      <c r="C1029" s="4">
        <v>44</v>
      </c>
      <c r="D1029" s="8">
        <v>3.93</v>
      </c>
      <c r="E1029" s="4">
        <v>0</v>
      </c>
      <c r="F1029" s="8">
        <v>0</v>
      </c>
      <c r="G1029" s="4">
        <v>44</v>
      </c>
      <c r="H1029" s="8">
        <v>5.65</v>
      </c>
      <c r="I1029" s="4">
        <v>0</v>
      </c>
    </row>
    <row r="1030" spans="1:9" x14ac:dyDescent="0.2">
      <c r="A1030" s="2">
        <v>8</v>
      </c>
      <c r="B1030" s="1" t="s">
        <v>231</v>
      </c>
      <c r="C1030" s="4">
        <v>33</v>
      </c>
      <c r="D1030" s="8">
        <v>2.95</v>
      </c>
      <c r="E1030" s="4">
        <v>27</v>
      </c>
      <c r="F1030" s="8">
        <v>8.16</v>
      </c>
      <c r="G1030" s="4">
        <v>6</v>
      </c>
      <c r="H1030" s="8">
        <v>0.77</v>
      </c>
      <c r="I1030" s="4">
        <v>0</v>
      </c>
    </row>
    <row r="1031" spans="1:9" x14ac:dyDescent="0.2">
      <c r="A1031" s="2">
        <v>9</v>
      </c>
      <c r="B1031" s="1" t="s">
        <v>253</v>
      </c>
      <c r="C1031" s="4">
        <v>32</v>
      </c>
      <c r="D1031" s="8">
        <v>2.86</v>
      </c>
      <c r="E1031" s="4">
        <v>0</v>
      </c>
      <c r="F1031" s="8">
        <v>0</v>
      </c>
      <c r="G1031" s="4">
        <v>32</v>
      </c>
      <c r="H1031" s="8">
        <v>4.1100000000000003</v>
      </c>
      <c r="I1031" s="4">
        <v>0</v>
      </c>
    </row>
    <row r="1032" spans="1:9" x14ac:dyDescent="0.2">
      <c r="A1032" s="2">
        <v>9</v>
      </c>
      <c r="B1032" s="1" t="s">
        <v>221</v>
      </c>
      <c r="C1032" s="4">
        <v>32</v>
      </c>
      <c r="D1032" s="8">
        <v>2.86</v>
      </c>
      <c r="E1032" s="4">
        <v>16</v>
      </c>
      <c r="F1032" s="8">
        <v>4.83</v>
      </c>
      <c r="G1032" s="4">
        <v>16</v>
      </c>
      <c r="H1032" s="8">
        <v>2.0499999999999998</v>
      </c>
      <c r="I1032" s="4">
        <v>0</v>
      </c>
    </row>
    <row r="1033" spans="1:9" x14ac:dyDescent="0.2">
      <c r="A1033" s="2">
        <v>11</v>
      </c>
      <c r="B1033" s="1" t="s">
        <v>222</v>
      </c>
      <c r="C1033" s="4">
        <v>28</v>
      </c>
      <c r="D1033" s="8">
        <v>2.5</v>
      </c>
      <c r="E1033" s="4">
        <v>9</v>
      </c>
      <c r="F1033" s="8">
        <v>2.72</v>
      </c>
      <c r="G1033" s="4">
        <v>19</v>
      </c>
      <c r="H1033" s="8">
        <v>2.44</v>
      </c>
      <c r="I1033" s="4">
        <v>0</v>
      </c>
    </row>
    <row r="1034" spans="1:9" x14ac:dyDescent="0.2">
      <c r="A1034" s="2">
        <v>12</v>
      </c>
      <c r="B1034" s="1" t="s">
        <v>224</v>
      </c>
      <c r="C1034" s="4">
        <v>27</v>
      </c>
      <c r="D1034" s="8">
        <v>2.41</v>
      </c>
      <c r="E1034" s="4">
        <v>3</v>
      </c>
      <c r="F1034" s="8">
        <v>0.91</v>
      </c>
      <c r="G1034" s="4">
        <v>24</v>
      </c>
      <c r="H1034" s="8">
        <v>3.08</v>
      </c>
      <c r="I1034" s="4">
        <v>0</v>
      </c>
    </row>
    <row r="1035" spans="1:9" x14ac:dyDescent="0.2">
      <c r="A1035" s="2">
        <v>12</v>
      </c>
      <c r="B1035" s="1" t="s">
        <v>240</v>
      </c>
      <c r="C1035" s="4">
        <v>27</v>
      </c>
      <c r="D1035" s="8">
        <v>2.41</v>
      </c>
      <c r="E1035" s="4">
        <v>10</v>
      </c>
      <c r="F1035" s="8">
        <v>3.02</v>
      </c>
      <c r="G1035" s="4">
        <v>17</v>
      </c>
      <c r="H1035" s="8">
        <v>2.1800000000000002</v>
      </c>
      <c r="I1035" s="4">
        <v>0</v>
      </c>
    </row>
    <row r="1036" spans="1:9" x14ac:dyDescent="0.2">
      <c r="A1036" s="2">
        <v>14</v>
      </c>
      <c r="B1036" s="1" t="s">
        <v>226</v>
      </c>
      <c r="C1036" s="4">
        <v>26</v>
      </c>
      <c r="D1036" s="8">
        <v>2.3199999999999998</v>
      </c>
      <c r="E1036" s="4">
        <v>4</v>
      </c>
      <c r="F1036" s="8">
        <v>1.21</v>
      </c>
      <c r="G1036" s="4">
        <v>21</v>
      </c>
      <c r="H1036" s="8">
        <v>2.7</v>
      </c>
      <c r="I1036" s="4">
        <v>0</v>
      </c>
    </row>
    <row r="1037" spans="1:9" x14ac:dyDescent="0.2">
      <c r="A1037" s="2">
        <v>14</v>
      </c>
      <c r="B1037" s="1" t="s">
        <v>230</v>
      </c>
      <c r="C1037" s="4">
        <v>26</v>
      </c>
      <c r="D1037" s="8">
        <v>2.3199999999999998</v>
      </c>
      <c r="E1037" s="4">
        <v>15</v>
      </c>
      <c r="F1037" s="8">
        <v>4.53</v>
      </c>
      <c r="G1037" s="4">
        <v>5</v>
      </c>
      <c r="H1037" s="8">
        <v>0.64</v>
      </c>
      <c r="I1037" s="4">
        <v>0</v>
      </c>
    </row>
    <row r="1038" spans="1:9" x14ac:dyDescent="0.2">
      <c r="A1038" s="2">
        <v>16</v>
      </c>
      <c r="B1038" s="1" t="s">
        <v>218</v>
      </c>
      <c r="C1038" s="4">
        <v>25</v>
      </c>
      <c r="D1038" s="8">
        <v>2.23</v>
      </c>
      <c r="E1038" s="4">
        <v>0</v>
      </c>
      <c r="F1038" s="8">
        <v>0</v>
      </c>
      <c r="G1038" s="4">
        <v>25</v>
      </c>
      <c r="H1038" s="8">
        <v>3.21</v>
      </c>
      <c r="I1038" s="4">
        <v>0</v>
      </c>
    </row>
    <row r="1039" spans="1:9" x14ac:dyDescent="0.2">
      <c r="A1039" s="2">
        <v>17</v>
      </c>
      <c r="B1039" s="1" t="s">
        <v>217</v>
      </c>
      <c r="C1039" s="4">
        <v>22</v>
      </c>
      <c r="D1039" s="8">
        <v>1.96</v>
      </c>
      <c r="E1039" s="4">
        <v>0</v>
      </c>
      <c r="F1039" s="8">
        <v>0</v>
      </c>
      <c r="G1039" s="4">
        <v>22</v>
      </c>
      <c r="H1039" s="8">
        <v>2.82</v>
      </c>
      <c r="I1039" s="4">
        <v>0</v>
      </c>
    </row>
    <row r="1040" spans="1:9" x14ac:dyDescent="0.2">
      <c r="A1040" s="2">
        <v>18</v>
      </c>
      <c r="B1040" s="1" t="s">
        <v>234</v>
      </c>
      <c r="C1040" s="4">
        <v>16</v>
      </c>
      <c r="D1040" s="8">
        <v>1.43</v>
      </c>
      <c r="E1040" s="4">
        <v>1</v>
      </c>
      <c r="F1040" s="8">
        <v>0.3</v>
      </c>
      <c r="G1040" s="4">
        <v>14</v>
      </c>
      <c r="H1040" s="8">
        <v>1.8</v>
      </c>
      <c r="I1040" s="4">
        <v>1</v>
      </c>
    </row>
    <row r="1041" spans="1:9" x14ac:dyDescent="0.2">
      <c r="A1041" s="2">
        <v>19</v>
      </c>
      <c r="B1041" s="1" t="s">
        <v>219</v>
      </c>
      <c r="C1041" s="4">
        <v>14</v>
      </c>
      <c r="D1041" s="8">
        <v>1.25</v>
      </c>
      <c r="E1041" s="4">
        <v>1</v>
      </c>
      <c r="F1041" s="8">
        <v>0.3</v>
      </c>
      <c r="G1041" s="4">
        <v>13</v>
      </c>
      <c r="H1041" s="8">
        <v>1.67</v>
      </c>
      <c r="I1041" s="4">
        <v>0</v>
      </c>
    </row>
    <row r="1042" spans="1:9" x14ac:dyDescent="0.2">
      <c r="A1042" s="2">
        <v>20</v>
      </c>
      <c r="B1042" s="1" t="s">
        <v>239</v>
      </c>
      <c r="C1042" s="4">
        <v>13</v>
      </c>
      <c r="D1042" s="8">
        <v>1.1599999999999999</v>
      </c>
      <c r="E1042" s="4">
        <v>3</v>
      </c>
      <c r="F1042" s="8">
        <v>0.91</v>
      </c>
      <c r="G1042" s="4">
        <v>10</v>
      </c>
      <c r="H1042" s="8">
        <v>1.28</v>
      </c>
      <c r="I1042" s="4">
        <v>0</v>
      </c>
    </row>
    <row r="1043" spans="1:9" x14ac:dyDescent="0.2">
      <c r="A1043" s="1"/>
      <c r="C1043" s="4"/>
      <c r="D1043" s="8"/>
      <c r="E1043" s="4"/>
      <c r="F1043" s="8"/>
      <c r="G1043" s="4"/>
      <c r="H1043" s="8"/>
      <c r="I1043" s="4"/>
    </row>
    <row r="1044" spans="1:9" x14ac:dyDescent="0.2">
      <c r="A1044" s="1" t="s">
        <v>45</v>
      </c>
      <c r="C1044" s="4"/>
      <c r="D1044" s="8"/>
      <c r="E1044" s="4"/>
      <c r="F1044" s="8"/>
      <c r="G1044" s="4"/>
      <c r="H1044" s="8"/>
      <c r="I1044" s="4"/>
    </row>
    <row r="1045" spans="1:9" x14ac:dyDescent="0.2">
      <c r="A1045" s="2">
        <v>1</v>
      </c>
      <c r="B1045" s="1" t="s">
        <v>228</v>
      </c>
      <c r="C1045" s="4">
        <v>111</v>
      </c>
      <c r="D1045" s="8">
        <v>13.29</v>
      </c>
      <c r="E1045" s="4">
        <v>98</v>
      </c>
      <c r="F1045" s="8">
        <v>27.37</v>
      </c>
      <c r="G1045" s="4">
        <v>13</v>
      </c>
      <c r="H1045" s="8">
        <v>2.9</v>
      </c>
      <c r="I1045" s="4">
        <v>0</v>
      </c>
    </row>
    <row r="1046" spans="1:9" x14ac:dyDescent="0.2">
      <c r="A1046" s="2">
        <v>2</v>
      </c>
      <c r="B1046" s="1" t="s">
        <v>213</v>
      </c>
      <c r="C1046" s="4">
        <v>71</v>
      </c>
      <c r="D1046" s="8">
        <v>8.5</v>
      </c>
      <c r="E1046" s="4">
        <v>14</v>
      </c>
      <c r="F1046" s="8">
        <v>3.91</v>
      </c>
      <c r="G1046" s="4">
        <v>57</v>
      </c>
      <c r="H1046" s="8">
        <v>12.72</v>
      </c>
      <c r="I1046" s="4">
        <v>0</v>
      </c>
    </row>
    <row r="1047" spans="1:9" x14ac:dyDescent="0.2">
      <c r="A1047" s="2">
        <v>3</v>
      </c>
      <c r="B1047" s="1" t="s">
        <v>227</v>
      </c>
      <c r="C1047" s="4">
        <v>51</v>
      </c>
      <c r="D1047" s="8">
        <v>6.11</v>
      </c>
      <c r="E1047" s="4">
        <v>43</v>
      </c>
      <c r="F1047" s="8">
        <v>12.01</v>
      </c>
      <c r="G1047" s="4">
        <v>8</v>
      </c>
      <c r="H1047" s="8">
        <v>1.79</v>
      </c>
      <c r="I1047" s="4">
        <v>0</v>
      </c>
    </row>
    <row r="1048" spans="1:9" x14ac:dyDescent="0.2">
      <c r="A1048" s="2">
        <v>4</v>
      </c>
      <c r="B1048" s="1" t="s">
        <v>223</v>
      </c>
      <c r="C1048" s="4">
        <v>49</v>
      </c>
      <c r="D1048" s="8">
        <v>5.87</v>
      </c>
      <c r="E1048" s="4">
        <v>21</v>
      </c>
      <c r="F1048" s="8">
        <v>5.87</v>
      </c>
      <c r="G1048" s="4">
        <v>28</v>
      </c>
      <c r="H1048" s="8">
        <v>6.25</v>
      </c>
      <c r="I1048" s="4">
        <v>0</v>
      </c>
    </row>
    <row r="1049" spans="1:9" x14ac:dyDescent="0.2">
      <c r="A1049" s="2">
        <v>5</v>
      </c>
      <c r="B1049" s="1" t="s">
        <v>221</v>
      </c>
      <c r="C1049" s="4">
        <v>45</v>
      </c>
      <c r="D1049" s="8">
        <v>5.39</v>
      </c>
      <c r="E1049" s="4">
        <v>29</v>
      </c>
      <c r="F1049" s="8">
        <v>8.1</v>
      </c>
      <c r="G1049" s="4">
        <v>16</v>
      </c>
      <c r="H1049" s="8">
        <v>3.57</v>
      </c>
      <c r="I1049" s="4">
        <v>0</v>
      </c>
    </row>
    <row r="1050" spans="1:9" x14ac:dyDescent="0.2">
      <c r="A1050" s="2">
        <v>6</v>
      </c>
      <c r="B1050" s="1" t="s">
        <v>214</v>
      </c>
      <c r="C1050" s="4">
        <v>39</v>
      </c>
      <c r="D1050" s="8">
        <v>4.67</v>
      </c>
      <c r="E1050" s="4">
        <v>14</v>
      </c>
      <c r="F1050" s="8">
        <v>3.91</v>
      </c>
      <c r="G1050" s="4">
        <v>25</v>
      </c>
      <c r="H1050" s="8">
        <v>5.58</v>
      </c>
      <c r="I1050" s="4">
        <v>0</v>
      </c>
    </row>
    <row r="1051" spans="1:9" x14ac:dyDescent="0.2">
      <c r="A1051" s="2">
        <v>7</v>
      </c>
      <c r="B1051" s="1" t="s">
        <v>215</v>
      </c>
      <c r="C1051" s="4">
        <v>34</v>
      </c>
      <c r="D1051" s="8">
        <v>4.07</v>
      </c>
      <c r="E1051" s="4">
        <v>5</v>
      </c>
      <c r="F1051" s="8">
        <v>1.4</v>
      </c>
      <c r="G1051" s="4">
        <v>29</v>
      </c>
      <c r="H1051" s="8">
        <v>6.47</v>
      </c>
      <c r="I1051" s="4">
        <v>0</v>
      </c>
    </row>
    <row r="1052" spans="1:9" x14ac:dyDescent="0.2">
      <c r="A1052" s="2">
        <v>7</v>
      </c>
      <c r="B1052" s="1" t="s">
        <v>230</v>
      </c>
      <c r="C1052" s="4">
        <v>34</v>
      </c>
      <c r="D1052" s="8">
        <v>4.07</v>
      </c>
      <c r="E1052" s="4">
        <v>27</v>
      </c>
      <c r="F1052" s="8">
        <v>7.54</v>
      </c>
      <c r="G1052" s="4">
        <v>5</v>
      </c>
      <c r="H1052" s="8">
        <v>1.1200000000000001</v>
      </c>
      <c r="I1052" s="4">
        <v>0</v>
      </c>
    </row>
    <row r="1053" spans="1:9" x14ac:dyDescent="0.2">
      <c r="A1053" s="2">
        <v>9</v>
      </c>
      <c r="B1053" s="1" t="s">
        <v>222</v>
      </c>
      <c r="C1053" s="4">
        <v>33</v>
      </c>
      <c r="D1053" s="8">
        <v>3.95</v>
      </c>
      <c r="E1053" s="4">
        <v>11</v>
      </c>
      <c r="F1053" s="8">
        <v>3.07</v>
      </c>
      <c r="G1053" s="4">
        <v>22</v>
      </c>
      <c r="H1053" s="8">
        <v>4.91</v>
      </c>
      <c r="I1053" s="4">
        <v>0</v>
      </c>
    </row>
    <row r="1054" spans="1:9" x14ac:dyDescent="0.2">
      <c r="A1054" s="2">
        <v>10</v>
      </c>
      <c r="B1054" s="1" t="s">
        <v>226</v>
      </c>
      <c r="C1054" s="4">
        <v>30</v>
      </c>
      <c r="D1054" s="8">
        <v>3.59</v>
      </c>
      <c r="E1054" s="4">
        <v>9</v>
      </c>
      <c r="F1054" s="8">
        <v>2.5099999999999998</v>
      </c>
      <c r="G1054" s="4">
        <v>20</v>
      </c>
      <c r="H1054" s="8">
        <v>4.46</v>
      </c>
      <c r="I1054" s="4">
        <v>0</v>
      </c>
    </row>
    <row r="1055" spans="1:9" x14ac:dyDescent="0.2">
      <c r="A1055" s="2">
        <v>11</v>
      </c>
      <c r="B1055" s="1" t="s">
        <v>232</v>
      </c>
      <c r="C1055" s="4">
        <v>28</v>
      </c>
      <c r="D1055" s="8">
        <v>3.35</v>
      </c>
      <c r="E1055" s="4">
        <v>0</v>
      </c>
      <c r="F1055" s="8">
        <v>0</v>
      </c>
      <c r="G1055" s="4">
        <v>13</v>
      </c>
      <c r="H1055" s="8">
        <v>2.9</v>
      </c>
      <c r="I1055" s="4">
        <v>0</v>
      </c>
    </row>
    <row r="1056" spans="1:9" x14ac:dyDescent="0.2">
      <c r="A1056" s="2">
        <v>12</v>
      </c>
      <c r="B1056" s="1" t="s">
        <v>224</v>
      </c>
      <c r="C1056" s="4">
        <v>25</v>
      </c>
      <c r="D1056" s="8">
        <v>2.99</v>
      </c>
      <c r="E1056" s="4">
        <v>9</v>
      </c>
      <c r="F1056" s="8">
        <v>2.5099999999999998</v>
      </c>
      <c r="G1056" s="4">
        <v>16</v>
      </c>
      <c r="H1056" s="8">
        <v>3.57</v>
      </c>
      <c r="I1056" s="4">
        <v>0</v>
      </c>
    </row>
    <row r="1057" spans="1:9" x14ac:dyDescent="0.2">
      <c r="A1057" s="2">
        <v>12</v>
      </c>
      <c r="B1057" s="1" t="s">
        <v>231</v>
      </c>
      <c r="C1057" s="4">
        <v>25</v>
      </c>
      <c r="D1057" s="8">
        <v>2.99</v>
      </c>
      <c r="E1057" s="4">
        <v>20</v>
      </c>
      <c r="F1057" s="8">
        <v>5.59</v>
      </c>
      <c r="G1057" s="4">
        <v>5</v>
      </c>
      <c r="H1057" s="8">
        <v>1.1200000000000001</v>
      </c>
      <c r="I1057" s="4">
        <v>0</v>
      </c>
    </row>
    <row r="1058" spans="1:9" x14ac:dyDescent="0.2">
      <c r="A1058" s="2">
        <v>14</v>
      </c>
      <c r="B1058" s="1" t="s">
        <v>240</v>
      </c>
      <c r="C1058" s="4">
        <v>23</v>
      </c>
      <c r="D1058" s="8">
        <v>2.75</v>
      </c>
      <c r="E1058" s="4">
        <v>14</v>
      </c>
      <c r="F1058" s="8">
        <v>3.91</v>
      </c>
      <c r="G1058" s="4">
        <v>9</v>
      </c>
      <c r="H1058" s="8">
        <v>2.0099999999999998</v>
      </c>
      <c r="I1058" s="4">
        <v>0</v>
      </c>
    </row>
    <row r="1059" spans="1:9" x14ac:dyDescent="0.2">
      <c r="A1059" s="2">
        <v>15</v>
      </c>
      <c r="B1059" s="1" t="s">
        <v>216</v>
      </c>
      <c r="C1059" s="4">
        <v>21</v>
      </c>
      <c r="D1059" s="8">
        <v>2.5099999999999998</v>
      </c>
      <c r="E1059" s="4">
        <v>1</v>
      </c>
      <c r="F1059" s="8">
        <v>0.28000000000000003</v>
      </c>
      <c r="G1059" s="4">
        <v>20</v>
      </c>
      <c r="H1059" s="8">
        <v>4.46</v>
      </c>
      <c r="I1059" s="4">
        <v>0</v>
      </c>
    </row>
    <row r="1060" spans="1:9" x14ac:dyDescent="0.2">
      <c r="A1060" s="2">
        <v>15</v>
      </c>
      <c r="B1060" s="1" t="s">
        <v>220</v>
      </c>
      <c r="C1060" s="4">
        <v>21</v>
      </c>
      <c r="D1060" s="8">
        <v>2.5099999999999998</v>
      </c>
      <c r="E1060" s="4">
        <v>8</v>
      </c>
      <c r="F1060" s="8">
        <v>2.23</v>
      </c>
      <c r="G1060" s="4">
        <v>13</v>
      </c>
      <c r="H1060" s="8">
        <v>2.9</v>
      </c>
      <c r="I1060" s="4">
        <v>0</v>
      </c>
    </row>
    <row r="1061" spans="1:9" x14ac:dyDescent="0.2">
      <c r="A1061" s="2">
        <v>17</v>
      </c>
      <c r="B1061" s="1" t="s">
        <v>217</v>
      </c>
      <c r="C1061" s="4">
        <v>14</v>
      </c>
      <c r="D1061" s="8">
        <v>1.68</v>
      </c>
      <c r="E1061" s="4">
        <v>1</v>
      </c>
      <c r="F1061" s="8">
        <v>0.28000000000000003</v>
      </c>
      <c r="G1061" s="4">
        <v>13</v>
      </c>
      <c r="H1061" s="8">
        <v>2.9</v>
      </c>
      <c r="I1061" s="4">
        <v>0</v>
      </c>
    </row>
    <row r="1062" spans="1:9" x14ac:dyDescent="0.2">
      <c r="A1062" s="2">
        <v>17</v>
      </c>
      <c r="B1062" s="1" t="s">
        <v>218</v>
      </c>
      <c r="C1062" s="4">
        <v>14</v>
      </c>
      <c r="D1062" s="8">
        <v>1.68</v>
      </c>
      <c r="E1062" s="4">
        <v>1</v>
      </c>
      <c r="F1062" s="8">
        <v>0.28000000000000003</v>
      </c>
      <c r="G1062" s="4">
        <v>13</v>
      </c>
      <c r="H1062" s="8">
        <v>2.9</v>
      </c>
      <c r="I1062" s="4">
        <v>0</v>
      </c>
    </row>
    <row r="1063" spans="1:9" x14ac:dyDescent="0.2">
      <c r="A1063" s="2">
        <v>19</v>
      </c>
      <c r="B1063" s="1" t="s">
        <v>243</v>
      </c>
      <c r="C1063" s="4">
        <v>13</v>
      </c>
      <c r="D1063" s="8">
        <v>1.56</v>
      </c>
      <c r="E1063" s="4">
        <v>7</v>
      </c>
      <c r="F1063" s="8">
        <v>1.96</v>
      </c>
      <c r="G1063" s="4">
        <v>5</v>
      </c>
      <c r="H1063" s="8">
        <v>1.1200000000000001</v>
      </c>
      <c r="I1063" s="4">
        <v>0</v>
      </c>
    </row>
    <row r="1064" spans="1:9" x14ac:dyDescent="0.2">
      <c r="A1064" s="2">
        <v>20</v>
      </c>
      <c r="B1064" s="1" t="s">
        <v>254</v>
      </c>
      <c r="C1064" s="4">
        <v>10</v>
      </c>
      <c r="D1064" s="8">
        <v>1.2</v>
      </c>
      <c r="E1064" s="4">
        <v>0</v>
      </c>
      <c r="F1064" s="8">
        <v>0</v>
      </c>
      <c r="G1064" s="4">
        <v>10</v>
      </c>
      <c r="H1064" s="8">
        <v>2.23</v>
      </c>
      <c r="I1064" s="4">
        <v>0</v>
      </c>
    </row>
    <row r="1065" spans="1:9" x14ac:dyDescent="0.2">
      <c r="A1065" s="2">
        <v>20</v>
      </c>
      <c r="B1065" s="1" t="s">
        <v>248</v>
      </c>
      <c r="C1065" s="4">
        <v>10</v>
      </c>
      <c r="D1065" s="8">
        <v>1.2</v>
      </c>
      <c r="E1065" s="4">
        <v>0</v>
      </c>
      <c r="F1065" s="8">
        <v>0</v>
      </c>
      <c r="G1065" s="4">
        <v>10</v>
      </c>
      <c r="H1065" s="8">
        <v>2.23</v>
      </c>
      <c r="I1065" s="4">
        <v>0</v>
      </c>
    </row>
    <row r="1066" spans="1:9" x14ac:dyDescent="0.2">
      <c r="A1066" s="2">
        <v>20</v>
      </c>
      <c r="B1066" s="1" t="s">
        <v>219</v>
      </c>
      <c r="C1066" s="4">
        <v>10</v>
      </c>
      <c r="D1066" s="8">
        <v>1.2</v>
      </c>
      <c r="E1066" s="4">
        <v>0</v>
      </c>
      <c r="F1066" s="8">
        <v>0</v>
      </c>
      <c r="G1066" s="4">
        <v>10</v>
      </c>
      <c r="H1066" s="8">
        <v>2.23</v>
      </c>
      <c r="I1066" s="4">
        <v>0</v>
      </c>
    </row>
    <row r="1067" spans="1:9" x14ac:dyDescent="0.2">
      <c r="A1067" s="2">
        <v>20</v>
      </c>
      <c r="B1067" s="1" t="s">
        <v>229</v>
      </c>
      <c r="C1067" s="4">
        <v>10</v>
      </c>
      <c r="D1067" s="8">
        <v>1.2</v>
      </c>
      <c r="E1067" s="4">
        <v>3</v>
      </c>
      <c r="F1067" s="8">
        <v>0.84</v>
      </c>
      <c r="G1067" s="4">
        <v>4</v>
      </c>
      <c r="H1067" s="8">
        <v>0.89</v>
      </c>
      <c r="I1067" s="4">
        <v>0</v>
      </c>
    </row>
    <row r="1068" spans="1:9" x14ac:dyDescent="0.2">
      <c r="A1068" s="1"/>
      <c r="C1068" s="4"/>
      <c r="D1068" s="8"/>
      <c r="E1068" s="4"/>
      <c r="F1068" s="8"/>
      <c r="G1068" s="4"/>
      <c r="H1068" s="8"/>
      <c r="I1068" s="4"/>
    </row>
    <row r="1069" spans="1:9" x14ac:dyDescent="0.2">
      <c r="A1069" s="1" t="s">
        <v>46</v>
      </c>
      <c r="C1069" s="4"/>
      <c r="D1069" s="8"/>
      <c r="E1069" s="4"/>
      <c r="F1069" s="8"/>
      <c r="G1069" s="4"/>
      <c r="H1069" s="8"/>
      <c r="I1069" s="4"/>
    </row>
    <row r="1070" spans="1:9" x14ac:dyDescent="0.2">
      <c r="A1070" s="2">
        <v>1</v>
      </c>
      <c r="B1070" s="1" t="s">
        <v>224</v>
      </c>
      <c r="C1070" s="4">
        <v>40</v>
      </c>
      <c r="D1070" s="8">
        <v>13.47</v>
      </c>
      <c r="E1070" s="4">
        <v>31</v>
      </c>
      <c r="F1070" s="8">
        <v>21.53</v>
      </c>
      <c r="G1070" s="4">
        <v>9</v>
      </c>
      <c r="H1070" s="8">
        <v>6.25</v>
      </c>
      <c r="I1070" s="4">
        <v>0</v>
      </c>
    </row>
    <row r="1071" spans="1:9" x14ac:dyDescent="0.2">
      <c r="A1071" s="2">
        <v>2</v>
      </c>
      <c r="B1071" s="1" t="s">
        <v>228</v>
      </c>
      <c r="C1071" s="4">
        <v>31</v>
      </c>
      <c r="D1071" s="8">
        <v>10.44</v>
      </c>
      <c r="E1071" s="4">
        <v>29</v>
      </c>
      <c r="F1071" s="8">
        <v>20.14</v>
      </c>
      <c r="G1071" s="4">
        <v>2</v>
      </c>
      <c r="H1071" s="8">
        <v>1.39</v>
      </c>
      <c r="I1071" s="4">
        <v>0</v>
      </c>
    </row>
    <row r="1072" spans="1:9" x14ac:dyDescent="0.2">
      <c r="A1072" s="2">
        <v>3</v>
      </c>
      <c r="B1072" s="1" t="s">
        <v>214</v>
      </c>
      <c r="C1072" s="4">
        <v>28</v>
      </c>
      <c r="D1072" s="8">
        <v>9.43</v>
      </c>
      <c r="E1072" s="4">
        <v>7</v>
      </c>
      <c r="F1072" s="8">
        <v>4.8600000000000003</v>
      </c>
      <c r="G1072" s="4">
        <v>21</v>
      </c>
      <c r="H1072" s="8">
        <v>14.58</v>
      </c>
      <c r="I1072" s="4">
        <v>0</v>
      </c>
    </row>
    <row r="1073" spans="1:9" x14ac:dyDescent="0.2">
      <c r="A1073" s="2">
        <v>4</v>
      </c>
      <c r="B1073" s="1" t="s">
        <v>213</v>
      </c>
      <c r="C1073" s="4">
        <v>19</v>
      </c>
      <c r="D1073" s="8">
        <v>6.4</v>
      </c>
      <c r="E1073" s="4">
        <v>4</v>
      </c>
      <c r="F1073" s="8">
        <v>2.78</v>
      </c>
      <c r="G1073" s="4">
        <v>15</v>
      </c>
      <c r="H1073" s="8">
        <v>10.42</v>
      </c>
      <c r="I1073" s="4">
        <v>0</v>
      </c>
    </row>
    <row r="1074" spans="1:9" x14ac:dyDescent="0.2">
      <c r="A1074" s="2">
        <v>5</v>
      </c>
      <c r="B1074" s="1" t="s">
        <v>223</v>
      </c>
      <c r="C1074" s="4">
        <v>16</v>
      </c>
      <c r="D1074" s="8">
        <v>5.39</v>
      </c>
      <c r="E1074" s="4">
        <v>4</v>
      </c>
      <c r="F1074" s="8">
        <v>2.78</v>
      </c>
      <c r="G1074" s="4">
        <v>12</v>
      </c>
      <c r="H1074" s="8">
        <v>8.33</v>
      </c>
      <c r="I1074" s="4">
        <v>0</v>
      </c>
    </row>
    <row r="1075" spans="1:9" x14ac:dyDescent="0.2">
      <c r="A1075" s="2">
        <v>5</v>
      </c>
      <c r="B1075" s="1" t="s">
        <v>227</v>
      </c>
      <c r="C1075" s="4">
        <v>16</v>
      </c>
      <c r="D1075" s="8">
        <v>5.39</v>
      </c>
      <c r="E1075" s="4">
        <v>15</v>
      </c>
      <c r="F1075" s="8">
        <v>10.42</v>
      </c>
      <c r="G1075" s="4">
        <v>1</v>
      </c>
      <c r="H1075" s="8">
        <v>0.69</v>
      </c>
      <c r="I1075" s="4">
        <v>0</v>
      </c>
    </row>
    <row r="1076" spans="1:9" x14ac:dyDescent="0.2">
      <c r="A1076" s="2">
        <v>7</v>
      </c>
      <c r="B1076" s="1" t="s">
        <v>221</v>
      </c>
      <c r="C1076" s="4">
        <v>15</v>
      </c>
      <c r="D1076" s="8">
        <v>5.05</v>
      </c>
      <c r="E1076" s="4">
        <v>6</v>
      </c>
      <c r="F1076" s="8">
        <v>4.17</v>
      </c>
      <c r="G1076" s="4">
        <v>8</v>
      </c>
      <c r="H1076" s="8">
        <v>5.56</v>
      </c>
      <c r="I1076" s="4">
        <v>1</v>
      </c>
    </row>
    <row r="1077" spans="1:9" x14ac:dyDescent="0.2">
      <c r="A1077" s="2">
        <v>8</v>
      </c>
      <c r="B1077" s="1" t="s">
        <v>222</v>
      </c>
      <c r="C1077" s="4">
        <v>12</v>
      </c>
      <c r="D1077" s="8">
        <v>4.04</v>
      </c>
      <c r="E1077" s="4">
        <v>3</v>
      </c>
      <c r="F1077" s="8">
        <v>2.08</v>
      </c>
      <c r="G1077" s="4">
        <v>9</v>
      </c>
      <c r="H1077" s="8">
        <v>6.25</v>
      </c>
      <c r="I1077" s="4">
        <v>0</v>
      </c>
    </row>
    <row r="1078" spans="1:9" x14ac:dyDescent="0.2">
      <c r="A1078" s="2">
        <v>9</v>
      </c>
      <c r="B1078" s="1" t="s">
        <v>232</v>
      </c>
      <c r="C1078" s="4">
        <v>10</v>
      </c>
      <c r="D1078" s="8">
        <v>3.37</v>
      </c>
      <c r="E1078" s="4">
        <v>0</v>
      </c>
      <c r="F1078" s="8">
        <v>0</v>
      </c>
      <c r="G1078" s="4">
        <v>7</v>
      </c>
      <c r="H1078" s="8">
        <v>4.8600000000000003</v>
      </c>
      <c r="I1078" s="4">
        <v>0</v>
      </c>
    </row>
    <row r="1079" spans="1:9" x14ac:dyDescent="0.2">
      <c r="A1079" s="2">
        <v>10</v>
      </c>
      <c r="B1079" s="1" t="s">
        <v>215</v>
      </c>
      <c r="C1079" s="4">
        <v>9</v>
      </c>
      <c r="D1079" s="8">
        <v>3.03</v>
      </c>
      <c r="E1079" s="4">
        <v>2</v>
      </c>
      <c r="F1079" s="8">
        <v>1.39</v>
      </c>
      <c r="G1079" s="4">
        <v>7</v>
      </c>
      <c r="H1079" s="8">
        <v>4.8600000000000003</v>
      </c>
      <c r="I1079" s="4">
        <v>0</v>
      </c>
    </row>
    <row r="1080" spans="1:9" x14ac:dyDescent="0.2">
      <c r="A1080" s="2">
        <v>10</v>
      </c>
      <c r="B1080" s="1" t="s">
        <v>230</v>
      </c>
      <c r="C1080" s="4">
        <v>9</v>
      </c>
      <c r="D1080" s="8">
        <v>3.03</v>
      </c>
      <c r="E1080" s="4">
        <v>6</v>
      </c>
      <c r="F1080" s="8">
        <v>4.17</v>
      </c>
      <c r="G1080" s="4">
        <v>1</v>
      </c>
      <c r="H1080" s="8">
        <v>0.69</v>
      </c>
      <c r="I1080" s="4">
        <v>0</v>
      </c>
    </row>
    <row r="1081" spans="1:9" x14ac:dyDescent="0.2">
      <c r="A1081" s="2">
        <v>12</v>
      </c>
      <c r="B1081" s="1" t="s">
        <v>226</v>
      </c>
      <c r="C1081" s="4">
        <v>8</v>
      </c>
      <c r="D1081" s="8">
        <v>2.69</v>
      </c>
      <c r="E1081" s="4">
        <v>4</v>
      </c>
      <c r="F1081" s="8">
        <v>2.78</v>
      </c>
      <c r="G1081" s="4">
        <v>4</v>
      </c>
      <c r="H1081" s="8">
        <v>2.78</v>
      </c>
      <c r="I1081" s="4">
        <v>0</v>
      </c>
    </row>
    <row r="1082" spans="1:9" x14ac:dyDescent="0.2">
      <c r="A1082" s="2">
        <v>13</v>
      </c>
      <c r="B1082" s="1" t="s">
        <v>253</v>
      </c>
      <c r="C1082" s="4">
        <v>7</v>
      </c>
      <c r="D1082" s="8">
        <v>2.36</v>
      </c>
      <c r="E1082" s="4">
        <v>3</v>
      </c>
      <c r="F1082" s="8">
        <v>2.08</v>
      </c>
      <c r="G1082" s="4">
        <v>4</v>
      </c>
      <c r="H1082" s="8">
        <v>2.78</v>
      </c>
      <c r="I1082" s="4">
        <v>0</v>
      </c>
    </row>
    <row r="1083" spans="1:9" x14ac:dyDescent="0.2">
      <c r="A1083" s="2">
        <v>14</v>
      </c>
      <c r="B1083" s="1" t="s">
        <v>241</v>
      </c>
      <c r="C1083" s="4">
        <v>6</v>
      </c>
      <c r="D1083" s="8">
        <v>2.02</v>
      </c>
      <c r="E1083" s="4">
        <v>2</v>
      </c>
      <c r="F1083" s="8">
        <v>1.39</v>
      </c>
      <c r="G1083" s="4">
        <v>4</v>
      </c>
      <c r="H1083" s="8">
        <v>2.78</v>
      </c>
      <c r="I1083" s="4">
        <v>0</v>
      </c>
    </row>
    <row r="1084" spans="1:9" x14ac:dyDescent="0.2">
      <c r="A1084" s="2">
        <v>14</v>
      </c>
      <c r="B1084" s="1" t="s">
        <v>243</v>
      </c>
      <c r="C1084" s="4">
        <v>6</v>
      </c>
      <c r="D1084" s="8">
        <v>2.02</v>
      </c>
      <c r="E1084" s="4">
        <v>3</v>
      </c>
      <c r="F1084" s="8">
        <v>2.08</v>
      </c>
      <c r="G1084" s="4">
        <v>3</v>
      </c>
      <c r="H1084" s="8">
        <v>2.08</v>
      </c>
      <c r="I1084" s="4">
        <v>0</v>
      </c>
    </row>
    <row r="1085" spans="1:9" x14ac:dyDescent="0.2">
      <c r="A1085" s="2">
        <v>14</v>
      </c>
      <c r="B1085" s="1" t="s">
        <v>229</v>
      </c>
      <c r="C1085" s="4">
        <v>6</v>
      </c>
      <c r="D1085" s="8">
        <v>2.02</v>
      </c>
      <c r="E1085" s="4">
        <v>4</v>
      </c>
      <c r="F1085" s="8">
        <v>2.78</v>
      </c>
      <c r="G1085" s="4">
        <v>2</v>
      </c>
      <c r="H1085" s="8">
        <v>1.39</v>
      </c>
      <c r="I1085" s="4">
        <v>0</v>
      </c>
    </row>
    <row r="1086" spans="1:9" x14ac:dyDescent="0.2">
      <c r="A1086" s="2">
        <v>17</v>
      </c>
      <c r="B1086" s="1" t="s">
        <v>219</v>
      </c>
      <c r="C1086" s="4">
        <v>5</v>
      </c>
      <c r="D1086" s="8">
        <v>1.68</v>
      </c>
      <c r="E1086" s="4">
        <v>1</v>
      </c>
      <c r="F1086" s="8">
        <v>0.69</v>
      </c>
      <c r="G1086" s="4">
        <v>4</v>
      </c>
      <c r="H1086" s="8">
        <v>2.78</v>
      </c>
      <c r="I1086" s="4">
        <v>0</v>
      </c>
    </row>
    <row r="1087" spans="1:9" x14ac:dyDescent="0.2">
      <c r="A1087" s="2">
        <v>18</v>
      </c>
      <c r="B1087" s="1" t="s">
        <v>220</v>
      </c>
      <c r="C1087" s="4">
        <v>4</v>
      </c>
      <c r="D1087" s="8">
        <v>1.35</v>
      </c>
      <c r="E1087" s="4">
        <v>3</v>
      </c>
      <c r="F1087" s="8">
        <v>2.08</v>
      </c>
      <c r="G1087" s="4">
        <v>1</v>
      </c>
      <c r="H1087" s="8">
        <v>0.69</v>
      </c>
      <c r="I1087" s="4">
        <v>0</v>
      </c>
    </row>
    <row r="1088" spans="1:9" x14ac:dyDescent="0.2">
      <c r="A1088" s="2">
        <v>18</v>
      </c>
      <c r="B1088" s="1" t="s">
        <v>225</v>
      </c>
      <c r="C1088" s="4">
        <v>4</v>
      </c>
      <c r="D1088" s="8">
        <v>1.35</v>
      </c>
      <c r="E1088" s="4">
        <v>2</v>
      </c>
      <c r="F1088" s="8">
        <v>1.39</v>
      </c>
      <c r="G1088" s="4">
        <v>2</v>
      </c>
      <c r="H1088" s="8">
        <v>1.39</v>
      </c>
      <c r="I1088" s="4">
        <v>0</v>
      </c>
    </row>
    <row r="1089" spans="1:9" x14ac:dyDescent="0.2">
      <c r="A1089" s="2">
        <v>20</v>
      </c>
      <c r="B1089" s="1" t="s">
        <v>235</v>
      </c>
      <c r="C1089" s="4">
        <v>3</v>
      </c>
      <c r="D1089" s="8">
        <v>1.01</v>
      </c>
      <c r="E1089" s="4">
        <v>0</v>
      </c>
      <c r="F1089" s="8">
        <v>0</v>
      </c>
      <c r="G1089" s="4">
        <v>3</v>
      </c>
      <c r="H1089" s="8">
        <v>2.08</v>
      </c>
      <c r="I1089" s="4">
        <v>0</v>
      </c>
    </row>
    <row r="1090" spans="1:9" x14ac:dyDescent="0.2">
      <c r="A1090" s="2">
        <v>20</v>
      </c>
      <c r="B1090" s="1" t="s">
        <v>216</v>
      </c>
      <c r="C1090" s="4">
        <v>3</v>
      </c>
      <c r="D1090" s="8">
        <v>1.01</v>
      </c>
      <c r="E1090" s="4">
        <v>2</v>
      </c>
      <c r="F1090" s="8">
        <v>1.39</v>
      </c>
      <c r="G1090" s="4">
        <v>1</v>
      </c>
      <c r="H1090" s="8">
        <v>0.69</v>
      </c>
      <c r="I1090" s="4">
        <v>0</v>
      </c>
    </row>
    <row r="1091" spans="1:9" x14ac:dyDescent="0.2">
      <c r="A1091" s="2">
        <v>20</v>
      </c>
      <c r="B1091" s="1" t="s">
        <v>217</v>
      </c>
      <c r="C1091" s="4">
        <v>3</v>
      </c>
      <c r="D1091" s="8">
        <v>1.01</v>
      </c>
      <c r="E1091" s="4">
        <v>1</v>
      </c>
      <c r="F1091" s="8">
        <v>0.69</v>
      </c>
      <c r="G1091" s="4">
        <v>2</v>
      </c>
      <c r="H1091" s="8">
        <v>1.39</v>
      </c>
      <c r="I1091" s="4">
        <v>0</v>
      </c>
    </row>
    <row r="1092" spans="1:9" x14ac:dyDescent="0.2">
      <c r="A1092" s="2">
        <v>20</v>
      </c>
      <c r="B1092" s="1" t="s">
        <v>236</v>
      </c>
      <c r="C1092" s="4">
        <v>3</v>
      </c>
      <c r="D1092" s="8">
        <v>1.01</v>
      </c>
      <c r="E1092" s="4">
        <v>1</v>
      </c>
      <c r="F1092" s="8">
        <v>0.69</v>
      </c>
      <c r="G1092" s="4">
        <v>2</v>
      </c>
      <c r="H1092" s="8">
        <v>1.39</v>
      </c>
      <c r="I1092" s="4">
        <v>0</v>
      </c>
    </row>
    <row r="1093" spans="1:9" x14ac:dyDescent="0.2">
      <c r="A1093" s="2">
        <v>20</v>
      </c>
      <c r="B1093" s="1" t="s">
        <v>237</v>
      </c>
      <c r="C1093" s="4">
        <v>3</v>
      </c>
      <c r="D1093" s="8">
        <v>1.01</v>
      </c>
      <c r="E1093" s="4">
        <v>2</v>
      </c>
      <c r="F1093" s="8">
        <v>1.39</v>
      </c>
      <c r="G1093" s="4">
        <v>1</v>
      </c>
      <c r="H1093" s="8">
        <v>0.69</v>
      </c>
      <c r="I1093" s="4">
        <v>0</v>
      </c>
    </row>
    <row r="1094" spans="1:9" x14ac:dyDescent="0.2">
      <c r="A1094" s="2">
        <v>20</v>
      </c>
      <c r="B1094" s="1" t="s">
        <v>240</v>
      </c>
      <c r="C1094" s="4">
        <v>3</v>
      </c>
      <c r="D1094" s="8">
        <v>1.01</v>
      </c>
      <c r="E1094" s="4">
        <v>1</v>
      </c>
      <c r="F1094" s="8">
        <v>0.69</v>
      </c>
      <c r="G1094" s="4">
        <v>2</v>
      </c>
      <c r="H1094" s="8">
        <v>1.39</v>
      </c>
      <c r="I1094" s="4">
        <v>0</v>
      </c>
    </row>
    <row r="1095" spans="1:9" x14ac:dyDescent="0.2">
      <c r="A1095" s="1"/>
      <c r="C1095" s="4"/>
      <c r="D1095" s="8"/>
      <c r="E1095" s="4"/>
      <c r="F1095" s="8"/>
      <c r="G1095" s="4"/>
      <c r="H1095" s="8"/>
      <c r="I1095" s="4"/>
    </row>
    <row r="1096" spans="1:9" x14ac:dyDescent="0.2">
      <c r="A1096" s="1" t="s">
        <v>47</v>
      </c>
      <c r="C1096" s="4"/>
      <c r="D1096" s="8"/>
      <c r="E1096" s="4"/>
      <c r="F1096" s="8"/>
      <c r="G1096" s="4"/>
      <c r="H1096" s="8"/>
      <c r="I1096" s="4"/>
    </row>
    <row r="1097" spans="1:9" x14ac:dyDescent="0.2">
      <c r="A1097" s="2">
        <v>1</v>
      </c>
      <c r="B1097" s="1" t="s">
        <v>241</v>
      </c>
      <c r="C1097" s="4">
        <v>4</v>
      </c>
      <c r="D1097" s="8">
        <v>12.12</v>
      </c>
      <c r="E1097" s="4">
        <v>0</v>
      </c>
      <c r="F1097" s="8">
        <v>0</v>
      </c>
      <c r="G1097" s="4">
        <v>4</v>
      </c>
      <c r="H1097" s="8">
        <v>18.18</v>
      </c>
      <c r="I1097" s="4">
        <v>0</v>
      </c>
    </row>
    <row r="1098" spans="1:9" x14ac:dyDescent="0.2">
      <c r="A1098" s="2">
        <v>2</v>
      </c>
      <c r="B1098" s="1" t="s">
        <v>223</v>
      </c>
      <c r="C1098" s="4">
        <v>3</v>
      </c>
      <c r="D1098" s="8">
        <v>9.09</v>
      </c>
      <c r="E1098" s="4">
        <v>1</v>
      </c>
      <c r="F1098" s="8">
        <v>12.5</v>
      </c>
      <c r="G1098" s="4">
        <v>2</v>
      </c>
      <c r="H1098" s="8">
        <v>9.09</v>
      </c>
      <c r="I1098" s="4">
        <v>0</v>
      </c>
    </row>
    <row r="1099" spans="1:9" x14ac:dyDescent="0.2">
      <c r="A1099" s="2">
        <v>2</v>
      </c>
      <c r="B1099" s="1" t="s">
        <v>227</v>
      </c>
      <c r="C1099" s="4">
        <v>3</v>
      </c>
      <c r="D1099" s="8">
        <v>9.09</v>
      </c>
      <c r="E1099" s="4">
        <v>3</v>
      </c>
      <c r="F1099" s="8">
        <v>37.5</v>
      </c>
      <c r="G1099" s="4">
        <v>0</v>
      </c>
      <c r="H1099" s="8">
        <v>0</v>
      </c>
      <c r="I1099" s="4">
        <v>0</v>
      </c>
    </row>
    <row r="1100" spans="1:9" x14ac:dyDescent="0.2">
      <c r="A1100" s="2">
        <v>2</v>
      </c>
      <c r="B1100" s="1" t="s">
        <v>239</v>
      </c>
      <c r="C1100" s="4">
        <v>3</v>
      </c>
      <c r="D1100" s="8">
        <v>9.09</v>
      </c>
      <c r="E1100" s="4">
        <v>0</v>
      </c>
      <c r="F1100" s="8">
        <v>0</v>
      </c>
      <c r="G1100" s="4">
        <v>2</v>
      </c>
      <c r="H1100" s="8">
        <v>9.09</v>
      </c>
      <c r="I1100" s="4">
        <v>0</v>
      </c>
    </row>
    <row r="1101" spans="1:9" x14ac:dyDescent="0.2">
      <c r="A1101" s="2">
        <v>5</v>
      </c>
      <c r="B1101" s="1" t="s">
        <v>213</v>
      </c>
      <c r="C1101" s="4">
        <v>2</v>
      </c>
      <c r="D1101" s="8">
        <v>6.06</v>
      </c>
      <c r="E1101" s="4">
        <v>0</v>
      </c>
      <c r="F1101" s="8">
        <v>0</v>
      </c>
      <c r="G1101" s="4">
        <v>2</v>
      </c>
      <c r="H1101" s="8">
        <v>9.09</v>
      </c>
      <c r="I1101" s="4">
        <v>0</v>
      </c>
    </row>
    <row r="1102" spans="1:9" x14ac:dyDescent="0.2">
      <c r="A1102" s="2">
        <v>5</v>
      </c>
      <c r="B1102" s="1" t="s">
        <v>215</v>
      </c>
      <c r="C1102" s="4">
        <v>2</v>
      </c>
      <c r="D1102" s="8">
        <v>6.06</v>
      </c>
      <c r="E1102" s="4">
        <v>1</v>
      </c>
      <c r="F1102" s="8">
        <v>12.5</v>
      </c>
      <c r="G1102" s="4">
        <v>1</v>
      </c>
      <c r="H1102" s="8">
        <v>4.55</v>
      </c>
      <c r="I1102" s="4">
        <v>0</v>
      </c>
    </row>
    <row r="1103" spans="1:9" x14ac:dyDescent="0.2">
      <c r="A1103" s="2">
        <v>5</v>
      </c>
      <c r="B1103" s="1" t="s">
        <v>262</v>
      </c>
      <c r="C1103" s="4">
        <v>2</v>
      </c>
      <c r="D1103" s="8">
        <v>6.06</v>
      </c>
      <c r="E1103" s="4">
        <v>0</v>
      </c>
      <c r="F1103" s="8">
        <v>0</v>
      </c>
      <c r="G1103" s="4">
        <v>2</v>
      </c>
      <c r="H1103" s="8">
        <v>9.09</v>
      </c>
      <c r="I1103" s="4">
        <v>0</v>
      </c>
    </row>
    <row r="1104" spans="1:9" x14ac:dyDescent="0.2">
      <c r="A1104" s="2">
        <v>5</v>
      </c>
      <c r="B1104" s="1" t="s">
        <v>228</v>
      </c>
      <c r="C1104" s="4">
        <v>2</v>
      </c>
      <c r="D1104" s="8">
        <v>6.06</v>
      </c>
      <c r="E1104" s="4">
        <v>2</v>
      </c>
      <c r="F1104" s="8">
        <v>25</v>
      </c>
      <c r="G1104" s="4">
        <v>0</v>
      </c>
      <c r="H1104" s="8">
        <v>0</v>
      </c>
      <c r="I1104" s="4">
        <v>0</v>
      </c>
    </row>
    <row r="1105" spans="1:9" x14ac:dyDescent="0.2">
      <c r="A1105" s="2">
        <v>5</v>
      </c>
      <c r="B1105" s="1" t="s">
        <v>247</v>
      </c>
      <c r="C1105" s="4">
        <v>2</v>
      </c>
      <c r="D1105" s="8">
        <v>6.06</v>
      </c>
      <c r="E1105" s="4">
        <v>0</v>
      </c>
      <c r="F1105" s="8">
        <v>0</v>
      </c>
      <c r="G1105" s="4">
        <v>0</v>
      </c>
      <c r="H1105" s="8">
        <v>0</v>
      </c>
      <c r="I1105" s="4">
        <v>0</v>
      </c>
    </row>
    <row r="1106" spans="1:9" x14ac:dyDescent="0.2">
      <c r="A1106" s="2">
        <v>5</v>
      </c>
      <c r="B1106" s="1" t="s">
        <v>232</v>
      </c>
      <c r="C1106" s="4">
        <v>2</v>
      </c>
      <c r="D1106" s="8">
        <v>6.06</v>
      </c>
      <c r="E1106" s="4">
        <v>0</v>
      </c>
      <c r="F1106" s="8">
        <v>0</v>
      </c>
      <c r="G1106" s="4">
        <v>2</v>
      </c>
      <c r="H1106" s="8">
        <v>9.09</v>
      </c>
      <c r="I1106" s="4">
        <v>0</v>
      </c>
    </row>
    <row r="1107" spans="1:9" x14ac:dyDescent="0.2">
      <c r="A1107" s="2">
        <v>11</v>
      </c>
      <c r="B1107" s="1" t="s">
        <v>214</v>
      </c>
      <c r="C1107" s="4">
        <v>1</v>
      </c>
      <c r="D1107" s="8">
        <v>3.03</v>
      </c>
      <c r="E1107" s="4">
        <v>0</v>
      </c>
      <c r="F1107" s="8">
        <v>0</v>
      </c>
      <c r="G1107" s="4">
        <v>1</v>
      </c>
      <c r="H1107" s="8">
        <v>4.55</v>
      </c>
      <c r="I1107" s="4">
        <v>0</v>
      </c>
    </row>
    <row r="1108" spans="1:9" x14ac:dyDescent="0.2">
      <c r="A1108" s="2">
        <v>11</v>
      </c>
      <c r="B1108" s="1" t="s">
        <v>238</v>
      </c>
      <c r="C1108" s="4">
        <v>1</v>
      </c>
      <c r="D1108" s="8">
        <v>3.03</v>
      </c>
      <c r="E1108" s="4">
        <v>0</v>
      </c>
      <c r="F1108" s="8">
        <v>0</v>
      </c>
      <c r="G1108" s="4">
        <v>1</v>
      </c>
      <c r="H1108" s="8">
        <v>4.55</v>
      </c>
      <c r="I1108" s="4">
        <v>0</v>
      </c>
    </row>
    <row r="1109" spans="1:9" x14ac:dyDescent="0.2">
      <c r="A1109" s="2">
        <v>11</v>
      </c>
      <c r="B1109" s="1" t="s">
        <v>261</v>
      </c>
      <c r="C1109" s="4">
        <v>1</v>
      </c>
      <c r="D1109" s="8">
        <v>3.03</v>
      </c>
      <c r="E1109" s="4">
        <v>0</v>
      </c>
      <c r="F1109" s="8">
        <v>0</v>
      </c>
      <c r="G1109" s="4">
        <v>1</v>
      </c>
      <c r="H1109" s="8">
        <v>4.55</v>
      </c>
      <c r="I1109" s="4">
        <v>0</v>
      </c>
    </row>
    <row r="1110" spans="1:9" x14ac:dyDescent="0.2">
      <c r="A1110" s="2">
        <v>11</v>
      </c>
      <c r="B1110" s="1" t="s">
        <v>216</v>
      </c>
      <c r="C1110" s="4">
        <v>1</v>
      </c>
      <c r="D1110" s="8">
        <v>3.03</v>
      </c>
      <c r="E1110" s="4">
        <v>0</v>
      </c>
      <c r="F1110" s="8">
        <v>0</v>
      </c>
      <c r="G1110" s="4">
        <v>1</v>
      </c>
      <c r="H1110" s="8">
        <v>4.55</v>
      </c>
      <c r="I1110" s="4">
        <v>0</v>
      </c>
    </row>
    <row r="1111" spans="1:9" x14ac:dyDescent="0.2">
      <c r="A1111" s="2">
        <v>11</v>
      </c>
      <c r="B1111" s="1" t="s">
        <v>217</v>
      </c>
      <c r="C1111" s="4">
        <v>1</v>
      </c>
      <c r="D1111" s="8">
        <v>3.03</v>
      </c>
      <c r="E1111" s="4">
        <v>1</v>
      </c>
      <c r="F1111" s="8">
        <v>12.5</v>
      </c>
      <c r="G1111" s="4">
        <v>0</v>
      </c>
      <c r="H1111" s="8">
        <v>0</v>
      </c>
      <c r="I1111" s="4">
        <v>0</v>
      </c>
    </row>
    <row r="1112" spans="1:9" x14ac:dyDescent="0.2">
      <c r="A1112" s="2">
        <v>11</v>
      </c>
      <c r="B1112" s="1" t="s">
        <v>221</v>
      </c>
      <c r="C1112" s="4">
        <v>1</v>
      </c>
      <c r="D1112" s="8">
        <v>3.03</v>
      </c>
      <c r="E1112" s="4">
        <v>0</v>
      </c>
      <c r="F1112" s="8">
        <v>0</v>
      </c>
      <c r="G1112" s="4">
        <v>1</v>
      </c>
      <c r="H1112" s="8">
        <v>4.55</v>
      </c>
      <c r="I1112" s="4">
        <v>0</v>
      </c>
    </row>
    <row r="1113" spans="1:9" x14ac:dyDescent="0.2">
      <c r="A1113" s="2">
        <v>11</v>
      </c>
      <c r="B1113" s="1" t="s">
        <v>224</v>
      </c>
      <c r="C1113" s="4">
        <v>1</v>
      </c>
      <c r="D1113" s="8">
        <v>3.03</v>
      </c>
      <c r="E1113" s="4">
        <v>0</v>
      </c>
      <c r="F1113" s="8">
        <v>0</v>
      </c>
      <c r="G1113" s="4">
        <v>1</v>
      </c>
      <c r="H1113" s="8">
        <v>4.55</v>
      </c>
      <c r="I1113" s="4">
        <v>0</v>
      </c>
    </row>
    <row r="1114" spans="1:9" x14ac:dyDescent="0.2">
      <c r="A1114" s="2">
        <v>11</v>
      </c>
      <c r="B1114" s="1" t="s">
        <v>240</v>
      </c>
      <c r="C1114" s="4">
        <v>1</v>
      </c>
      <c r="D1114" s="8">
        <v>3.03</v>
      </c>
      <c r="E1114" s="4">
        <v>0</v>
      </c>
      <c r="F1114" s="8">
        <v>0</v>
      </c>
      <c r="G1114" s="4">
        <v>1</v>
      </c>
      <c r="H1114" s="8">
        <v>4.55</v>
      </c>
      <c r="I1114" s="4">
        <v>0</v>
      </c>
    </row>
    <row r="1115" spans="1:9" x14ac:dyDescent="0.2">
      <c r="A1115" s="1"/>
      <c r="C1115" s="4"/>
      <c r="D1115" s="8"/>
      <c r="E1115" s="4"/>
      <c r="F1115" s="8"/>
      <c r="G1115" s="4"/>
      <c r="H1115" s="8"/>
      <c r="I1115" s="4"/>
    </row>
    <row r="1116" spans="1:9" x14ac:dyDescent="0.2">
      <c r="A1116" s="1" t="s">
        <v>48</v>
      </c>
      <c r="C1116" s="4"/>
      <c r="D1116" s="8"/>
      <c r="E1116" s="4"/>
      <c r="F1116" s="8"/>
      <c r="G1116" s="4"/>
      <c r="H1116" s="8"/>
      <c r="I1116" s="4"/>
    </row>
    <row r="1117" spans="1:9" x14ac:dyDescent="0.2">
      <c r="A1117" s="2">
        <v>1</v>
      </c>
      <c r="B1117" s="1" t="s">
        <v>228</v>
      </c>
      <c r="C1117" s="4">
        <v>32</v>
      </c>
      <c r="D1117" s="8">
        <v>15.69</v>
      </c>
      <c r="E1117" s="4">
        <v>32</v>
      </c>
      <c r="F1117" s="8">
        <v>24.43</v>
      </c>
      <c r="G1117" s="4">
        <v>0</v>
      </c>
      <c r="H1117" s="8">
        <v>0</v>
      </c>
      <c r="I1117" s="4">
        <v>0</v>
      </c>
    </row>
    <row r="1118" spans="1:9" x14ac:dyDescent="0.2">
      <c r="A1118" s="2">
        <v>2</v>
      </c>
      <c r="B1118" s="1" t="s">
        <v>223</v>
      </c>
      <c r="C1118" s="4">
        <v>29</v>
      </c>
      <c r="D1118" s="8">
        <v>14.22</v>
      </c>
      <c r="E1118" s="4">
        <v>18</v>
      </c>
      <c r="F1118" s="8">
        <v>13.74</v>
      </c>
      <c r="G1118" s="4">
        <v>11</v>
      </c>
      <c r="H1118" s="8">
        <v>17.190000000000001</v>
      </c>
      <c r="I1118" s="4">
        <v>0</v>
      </c>
    </row>
    <row r="1119" spans="1:9" x14ac:dyDescent="0.2">
      <c r="A1119" s="2">
        <v>3</v>
      </c>
      <c r="B1119" s="1" t="s">
        <v>221</v>
      </c>
      <c r="C1119" s="4">
        <v>25</v>
      </c>
      <c r="D1119" s="8">
        <v>12.25</v>
      </c>
      <c r="E1119" s="4">
        <v>19</v>
      </c>
      <c r="F1119" s="8">
        <v>14.5</v>
      </c>
      <c r="G1119" s="4">
        <v>6</v>
      </c>
      <c r="H1119" s="8">
        <v>9.3800000000000008</v>
      </c>
      <c r="I1119" s="4">
        <v>0</v>
      </c>
    </row>
    <row r="1120" spans="1:9" x14ac:dyDescent="0.2">
      <c r="A1120" s="2">
        <v>4</v>
      </c>
      <c r="B1120" s="1" t="s">
        <v>214</v>
      </c>
      <c r="C1120" s="4">
        <v>15</v>
      </c>
      <c r="D1120" s="8">
        <v>7.35</v>
      </c>
      <c r="E1120" s="4">
        <v>11</v>
      </c>
      <c r="F1120" s="8">
        <v>8.4</v>
      </c>
      <c r="G1120" s="4">
        <v>4</v>
      </c>
      <c r="H1120" s="8">
        <v>6.25</v>
      </c>
      <c r="I1120" s="4">
        <v>0</v>
      </c>
    </row>
    <row r="1121" spans="1:9" x14ac:dyDescent="0.2">
      <c r="A1121" s="2">
        <v>5</v>
      </c>
      <c r="B1121" s="1" t="s">
        <v>213</v>
      </c>
      <c r="C1121" s="4">
        <v>14</v>
      </c>
      <c r="D1121" s="8">
        <v>6.86</v>
      </c>
      <c r="E1121" s="4">
        <v>4</v>
      </c>
      <c r="F1121" s="8">
        <v>3.05</v>
      </c>
      <c r="G1121" s="4">
        <v>10</v>
      </c>
      <c r="H1121" s="8">
        <v>15.63</v>
      </c>
      <c r="I1121" s="4">
        <v>0</v>
      </c>
    </row>
    <row r="1122" spans="1:9" x14ac:dyDescent="0.2">
      <c r="A1122" s="2">
        <v>6</v>
      </c>
      <c r="B1122" s="1" t="s">
        <v>222</v>
      </c>
      <c r="C1122" s="4">
        <v>10</v>
      </c>
      <c r="D1122" s="8">
        <v>4.9000000000000004</v>
      </c>
      <c r="E1122" s="4">
        <v>4</v>
      </c>
      <c r="F1122" s="8">
        <v>3.05</v>
      </c>
      <c r="G1122" s="4">
        <v>6</v>
      </c>
      <c r="H1122" s="8">
        <v>9.3800000000000008</v>
      </c>
      <c r="I1122" s="4">
        <v>0</v>
      </c>
    </row>
    <row r="1123" spans="1:9" x14ac:dyDescent="0.2">
      <c r="A1123" s="2">
        <v>6</v>
      </c>
      <c r="B1123" s="1" t="s">
        <v>224</v>
      </c>
      <c r="C1123" s="4">
        <v>10</v>
      </c>
      <c r="D1123" s="8">
        <v>4.9000000000000004</v>
      </c>
      <c r="E1123" s="4">
        <v>8</v>
      </c>
      <c r="F1123" s="8">
        <v>6.11</v>
      </c>
      <c r="G1123" s="4">
        <v>2</v>
      </c>
      <c r="H1123" s="8">
        <v>3.13</v>
      </c>
      <c r="I1123" s="4">
        <v>0</v>
      </c>
    </row>
    <row r="1124" spans="1:9" x14ac:dyDescent="0.2">
      <c r="A1124" s="2">
        <v>8</v>
      </c>
      <c r="B1124" s="1" t="s">
        <v>227</v>
      </c>
      <c r="C1124" s="4">
        <v>9</v>
      </c>
      <c r="D1124" s="8">
        <v>4.41</v>
      </c>
      <c r="E1124" s="4">
        <v>6</v>
      </c>
      <c r="F1124" s="8">
        <v>4.58</v>
      </c>
      <c r="G1124" s="4">
        <v>3</v>
      </c>
      <c r="H1124" s="8">
        <v>4.6900000000000004</v>
      </c>
      <c r="I1124" s="4">
        <v>0</v>
      </c>
    </row>
    <row r="1125" spans="1:9" x14ac:dyDescent="0.2">
      <c r="A1125" s="2">
        <v>9</v>
      </c>
      <c r="B1125" s="1" t="s">
        <v>215</v>
      </c>
      <c r="C1125" s="4">
        <v>7</v>
      </c>
      <c r="D1125" s="8">
        <v>3.43</v>
      </c>
      <c r="E1125" s="4">
        <v>6</v>
      </c>
      <c r="F1125" s="8">
        <v>4.58</v>
      </c>
      <c r="G1125" s="4">
        <v>1</v>
      </c>
      <c r="H1125" s="8">
        <v>1.56</v>
      </c>
      <c r="I1125" s="4">
        <v>0</v>
      </c>
    </row>
    <row r="1126" spans="1:9" x14ac:dyDescent="0.2">
      <c r="A1126" s="2">
        <v>9</v>
      </c>
      <c r="B1126" s="1" t="s">
        <v>232</v>
      </c>
      <c r="C1126" s="4">
        <v>7</v>
      </c>
      <c r="D1126" s="8">
        <v>3.43</v>
      </c>
      <c r="E1126" s="4">
        <v>1</v>
      </c>
      <c r="F1126" s="8">
        <v>0.76</v>
      </c>
      <c r="G1126" s="4">
        <v>4</v>
      </c>
      <c r="H1126" s="8">
        <v>6.25</v>
      </c>
      <c r="I1126" s="4">
        <v>0</v>
      </c>
    </row>
    <row r="1127" spans="1:9" x14ac:dyDescent="0.2">
      <c r="A1127" s="2">
        <v>11</v>
      </c>
      <c r="B1127" s="1" t="s">
        <v>231</v>
      </c>
      <c r="C1127" s="4">
        <v>5</v>
      </c>
      <c r="D1127" s="8">
        <v>2.4500000000000002</v>
      </c>
      <c r="E1127" s="4">
        <v>3</v>
      </c>
      <c r="F1127" s="8">
        <v>2.29</v>
      </c>
      <c r="G1127" s="4">
        <v>2</v>
      </c>
      <c r="H1127" s="8">
        <v>3.13</v>
      </c>
      <c r="I1127" s="4">
        <v>0</v>
      </c>
    </row>
    <row r="1128" spans="1:9" x14ac:dyDescent="0.2">
      <c r="A1128" s="2">
        <v>12</v>
      </c>
      <c r="B1128" s="1" t="s">
        <v>220</v>
      </c>
      <c r="C1128" s="4">
        <v>4</v>
      </c>
      <c r="D1128" s="8">
        <v>1.96</v>
      </c>
      <c r="E1128" s="4">
        <v>4</v>
      </c>
      <c r="F1128" s="8">
        <v>3.05</v>
      </c>
      <c r="G1128" s="4">
        <v>0</v>
      </c>
      <c r="H1128" s="8">
        <v>0</v>
      </c>
      <c r="I1128" s="4">
        <v>0</v>
      </c>
    </row>
    <row r="1129" spans="1:9" x14ac:dyDescent="0.2">
      <c r="A1129" s="2">
        <v>12</v>
      </c>
      <c r="B1129" s="1" t="s">
        <v>247</v>
      </c>
      <c r="C1129" s="4">
        <v>4</v>
      </c>
      <c r="D1129" s="8">
        <v>1.96</v>
      </c>
      <c r="E1129" s="4">
        <v>0</v>
      </c>
      <c r="F1129" s="8">
        <v>0</v>
      </c>
      <c r="G1129" s="4">
        <v>0</v>
      </c>
      <c r="H1129" s="8">
        <v>0</v>
      </c>
      <c r="I1129" s="4">
        <v>0</v>
      </c>
    </row>
    <row r="1130" spans="1:9" x14ac:dyDescent="0.2">
      <c r="A1130" s="2">
        <v>14</v>
      </c>
      <c r="B1130" s="1" t="s">
        <v>241</v>
      </c>
      <c r="C1130" s="4">
        <v>3</v>
      </c>
      <c r="D1130" s="8">
        <v>1.47</v>
      </c>
      <c r="E1130" s="4">
        <v>0</v>
      </c>
      <c r="F1130" s="8">
        <v>0</v>
      </c>
      <c r="G1130" s="4">
        <v>3</v>
      </c>
      <c r="H1130" s="8">
        <v>4.6900000000000004</v>
      </c>
      <c r="I1130" s="4">
        <v>0</v>
      </c>
    </row>
    <row r="1131" spans="1:9" x14ac:dyDescent="0.2">
      <c r="A1131" s="2">
        <v>14</v>
      </c>
      <c r="B1131" s="1" t="s">
        <v>217</v>
      </c>
      <c r="C1131" s="4">
        <v>3</v>
      </c>
      <c r="D1131" s="8">
        <v>1.47</v>
      </c>
      <c r="E1131" s="4">
        <v>1</v>
      </c>
      <c r="F1131" s="8">
        <v>0.76</v>
      </c>
      <c r="G1131" s="4">
        <v>2</v>
      </c>
      <c r="H1131" s="8">
        <v>3.13</v>
      </c>
      <c r="I1131" s="4">
        <v>0</v>
      </c>
    </row>
    <row r="1132" spans="1:9" x14ac:dyDescent="0.2">
      <c r="A1132" s="2">
        <v>14</v>
      </c>
      <c r="B1132" s="1" t="s">
        <v>226</v>
      </c>
      <c r="C1132" s="4">
        <v>3</v>
      </c>
      <c r="D1132" s="8">
        <v>1.47</v>
      </c>
      <c r="E1132" s="4">
        <v>2</v>
      </c>
      <c r="F1132" s="8">
        <v>1.53</v>
      </c>
      <c r="G1132" s="4">
        <v>0</v>
      </c>
      <c r="H1132" s="8">
        <v>0</v>
      </c>
      <c r="I1132" s="4">
        <v>0</v>
      </c>
    </row>
    <row r="1133" spans="1:9" x14ac:dyDescent="0.2">
      <c r="A1133" s="2">
        <v>14</v>
      </c>
      <c r="B1133" s="1" t="s">
        <v>230</v>
      </c>
      <c r="C1133" s="4">
        <v>3</v>
      </c>
      <c r="D1133" s="8">
        <v>1.47</v>
      </c>
      <c r="E1133" s="4">
        <v>3</v>
      </c>
      <c r="F1133" s="8">
        <v>2.29</v>
      </c>
      <c r="G1133" s="4">
        <v>0</v>
      </c>
      <c r="H1133" s="8">
        <v>0</v>
      </c>
      <c r="I1133" s="4">
        <v>0</v>
      </c>
    </row>
    <row r="1134" spans="1:9" x14ac:dyDescent="0.2">
      <c r="A1134" s="2">
        <v>14</v>
      </c>
      <c r="B1134" s="1" t="s">
        <v>242</v>
      </c>
      <c r="C1134" s="4">
        <v>3</v>
      </c>
      <c r="D1134" s="8">
        <v>1.47</v>
      </c>
      <c r="E1134" s="4">
        <v>3</v>
      </c>
      <c r="F1134" s="8">
        <v>2.29</v>
      </c>
      <c r="G1134" s="4">
        <v>0</v>
      </c>
      <c r="H1134" s="8">
        <v>0</v>
      </c>
      <c r="I1134" s="4">
        <v>0</v>
      </c>
    </row>
    <row r="1135" spans="1:9" x14ac:dyDescent="0.2">
      <c r="A1135" s="2">
        <v>19</v>
      </c>
      <c r="B1135" s="1" t="s">
        <v>254</v>
      </c>
      <c r="C1135" s="4">
        <v>2</v>
      </c>
      <c r="D1135" s="8">
        <v>0.98</v>
      </c>
      <c r="E1135" s="4">
        <v>0</v>
      </c>
      <c r="F1135" s="8">
        <v>0</v>
      </c>
      <c r="G1135" s="4">
        <v>2</v>
      </c>
      <c r="H1135" s="8">
        <v>3.13</v>
      </c>
      <c r="I1135" s="4">
        <v>0</v>
      </c>
    </row>
    <row r="1136" spans="1:9" x14ac:dyDescent="0.2">
      <c r="A1136" s="2">
        <v>19</v>
      </c>
      <c r="B1136" s="1" t="s">
        <v>243</v>
      </c>
      <c r="C1136" s="4">
        <v>2</v>
      </c>
      <c r="D1136" s="8">
        <v>0.98</v>
      </c>
      <c r="E1136" s="4">
        <v>1</v>
      </c>
      <c r="F1136" s="8">
        <v>0.76</v>
      </c>
      <c r="G1136" s="4">
        <v>1</v>
      </c>
      <c r="H1136" s="8">
        <v>1.56</v>
      </c>
      <c r="I1136" s="4">
        <v>0</v>
      </c>
    </row>
    <row r="1137" spans="1:9" x14ac:dyDescent="0.2">
      <c r="A1137" s="2">
        <v>19</v>
      </c>
      <c r="B1137" s="1" t="s">
        <v>229</v>
      </c>
      <c r="C1137" s="4">
        <v>2</v>
      </c>
      <c r="D1137" s="8">
        <v>0.98</v>
      </c>
      <c r="E1137" s="4">
        <v>2</v>
      </c>
      <c r="F1137" s="8">
        <v>1.53</v>
      </c>
      <c r="G1137" s="4">
        <v>0</v>
      </c>
      <c r="H1137" s="8">
        <v>0</v>
      </c>
      <c r="I1137" s="4">
        <v>0</v>
      </c>
    </row>
    <row r="1138" spans="1:9" x14ac:dyDescent="0.2">
      <c r="A1138" s="1"/>
      <c r="C1138" s="4"/>
      <c r="D1138" s="8"/>
      <c r="E1138" s="4"/>
      <c r="F1138" s="8"/>
      <c r="G1138" s="4"/>
      <c r="H1138" s="8"/>
      <c r="I1138" s="4"/>
    </row>
    <row r="1139" spans="1:9" x14ac:dyDescent="0.2">
      <c r="A1139" s="1" t="s">
        <v>49</v>
      </c>
      <c r="C1139" s="4"/>
      <c r="D1139" s="8"/>
      <c r="E1139" s="4"/>
      <c r="F1139" s="8"/>
      <c r="G1139" s="4"/>
      <c r="H1139" s="8"/>
      <c r="I1139" s="4"/>
    </row>
    <row r="1140" spans="1:9" x14ac:dyDescent="0.2">
      <c r="A1140" s="2">
        <v>1</v>
      </c>
      <c r="B1140" s="1" t="s">
        <v>228</v>
      </c>
      <c r="C1140" s="4">
        <v>19</v>
      </c>
      <c r="D1140" s="8">
        <v>12.1</v>
      </c>
      <c r="E1140" s="4">
        <v>17</v>
      </c>
      <c r="F1140" s="8">
        <v>16.670000000000002</v>
      </c>
      <c r="G1140" s="4">
        <v>2</v>
      </c>
      <c r="H1140" s="8">
        <v>4.17</v>
      </c>
      <c r="I1140" s="4">
        <v>0</v>
      </c>
    </row>
    <row r="1141" spans="1:9" x14ac:dyDescent="0.2">
      <c r="A1141" s="2">
        <v>2</v>
      </c>
      <c r="B1141" s="1" t="s">
        <v>221</v>
      </c>
      <c r="C1141" s="4">
        <v>17</v>
      </c>
      <c r="D1141" s="8">
        <v>10.83</v>
      </c>
      <c r="E1141" s="4">
        <v>12</v>
      </c>
      <c r="F1141" s="8">
        <v>11.76</v>
      </c>
      <c r="G1141" s="4">
        <v>5</v>
      </c>
      <c r="H1141" s="8">
        <v>10.42</v>
      </c>
      <c r="I1141" s="4">
        <v>0</v>
      </c>
    </row>
    <row r="1142" spans="1:9" x14ac:dyDescent="0.2">
      <c r="A1142" s="2">
        <v>3</v>
      </c>
      <c r="B1142" s="1" t="s">
        <v>223</v>
      </c>
      <c r="C1142" s="4">
        <v>15</v>
      </c>
      <c r="D1142" s="8">
        <v>9.5500000000000007</v>
      </c>
      <c r="E1142" s="4">
        <v>8</v>
      </c>
      <c r="F1142" s="8">
        <v>7.84</v>
      </c>
      <c r="G1142" s="4">
        <v>7</v>
      </c>
      <c r="H1142" s="8">
        <v>14.58</v>
      </c>
      <c r="I1142" s="4">
        <v>0</v>
      </c>
    </row>
    <row r="1143" spans="1:9" x14ac:dyDescent="0.2">
      <c r="A1143" s="2">
        <v>4</v>
      </c>
      <c r="B1143" s="1" t="s">
        <v>213</v>
      </c>
      <c r="C1143" s="4">
        <v>11</v>
      </c>
      <c r="D1143" s="8">
        <v>7.01</v>
      </c>
      <c r="E1143" s="4">
        <v>6</v>
      </c>
      <c r="F1143" s="8">
        <v>5.88</v>
      </c>
      <c r="G1143" s="4">
        <v>5</v>
      </c>
      <c r="H1143" s="8">
        <v>10.42</v>
      </c>
      <c r="I1143" s="4">
        <v>0</v>
      </c>
    </row>
    <row r="1144" spans="1:9" x14ac:dyDescent="0.2">
      <c r="A1144" s="2">
        <v>4</v>
      </c>
      <c r="B1144" s="1" t="s">
        <v>227</v>
      </c>
      <c r="C1144" s="4">
        <v>11</v>
      </c>
      <c r="D1144" s="8">
        <v>7.01</v>
      </c>
      <c r="E1144" s="4">
        <v>11</v>
      </c>
      <c r="F1144" s="8">
        <v>10.78</v>
      </c>
      <c r="G1144" s="4">
        <v>0</v>
      </c>
      <c r="H1144" s="8">
        <v>0</v>
      </c>
      <c r="I1144" s="4">
        <v>0</v>
      </c>
    </row>
    <row r="1145" spans="1:9" x14ac:dyDescent="0.2">
      <c r="A1145" s="2">
        <v>6</v>
      </c>
      <c r="B1145" s="1" t="s">
        <v>224</v>
      </c>
      <c r="C1145" s="4">
        <v>10</v>
      </c>
      <c r="D1145" s="8">
        <v>6.37</v>
      </c>
      <c r="E1145" s="4">
        <v>9</v>
      </c>
      <c r="F1145" s="8">
        <v>8.82</v>
      </c>
      <c r="G1145" s="4">
        <v>1</v>
      </c>
      <c r="H1145" s="8">
        <v>2.08</v>
      </c>
      <c r="I1145" s="4">
        <v>0</v>
      </c>
    </row>
    <row r="1146" spans="1:9" x14ac:dyDescent="0.2">
      <c r="A1146" s="2">
        <v>7</v>
      </c>
      <c r="B1146" s="1" t="s">
        <v>214</v>
      </c>
      <c r="C1146" s="4">
        <v>8</v>
      </c>
      <c r="D1146" s="8">
        <v>5.0999999999999996</v>
      </c>
      <c r="E1146" s="4">
        <v>7</v>
      </c>
      <c r="F1146" s="8">
        <v>6.86</v>
      </c>
      <c r="G1146" s="4">
        <v>1</v>
      </c>
      <c r="H1146" s="8">
        <v>2.08</v>
      </c>
      <c r="I1146" s="4">
        <v>0</v>
      </c>
    </row>
    <row r="1147" spans="1:9" x14ac:dyDescent="0.2">
      <c r="A1147" s="2">
        <v>8</v>
      </c>
      <c r="B1147" s="1" t="s">
        <v>230</v>
      </c>
      <c r="C1147" s="4">
        <v>7</v>
      </c>
      <c r="D1147" s="8">
        <v>4.46</v>
      </c>
      <c r="E1147" s="4">
        <v>6</v>
      </c>
      <c r="F1147" s="8">
        <v>5.88</v>
      </c>
      <c r="G1147" s="4">
        <v>0</v>
      </c>
      <c r="H1147" s="8">
        <v>0</v>
      </c>
      <c r="I1147" s="4">
        <v>0</v>
      </c>
    </row>
    <row r="1148" spans="1:9" x14ac:dyDescent="0.2">
      <c r="A1148" s="2">
        <v>9</v>
      </c>
      <c r="B1148" s="1" t="s">
        <v>215</v>
      </c>
      <c r="C1148" s="4">
        <v>6</v>
      </c>
      <c r="D1148" s="8">
        <v>3.82</v>
      </c>
      <c r="E1148" s="4">
        <v>3</v>
      </c>
      <c r="F1148" s="8">
        <v>2.94</v>
      </c>
      <c r="G1148" s="4">
        <v>3</v>
      </c>
      <c r="H1148" s="8">
        <v>6.25</v>
      </c>
      <c r="I1148" s="4">
        <v>0</v>
      </c>
    </row>
    <row r="1149" spans="1:9" x14ac:dyDescent="0.2">
      <c r="A1149" s="2">
        <v>9</v>
      </c>
      <c r="B1149" s="1" t="s">
        <v>231</v>
      </c>
      <c r="C1149" s="4">
        <v>6</v>
      </c>
      <c r="D1149" s="8">
        <v>3.82</v>
      </c>
      <c r="E1149" s="4">
        <v>6</v>
      </c>
      <c r="F1149" s="8">
        <v>5.88</v>
      </c>
      <c r="G1149" s="4">
        <v>0</v>
      </c>
      <c r="H1149" s="8">
        <v>0</v>
      </c>
      <c r="I1149" s="4">
        <v>0</v>
      </c>
    </row>
    <row r="1150" spans="1:9" x14ac:dyDescent="0.2">
      <c r="A1150" s="2">
        <v>11</v>
      </c>
      <c r="B1150" s="1" t="s">
        <v>249</v>
      </c>
      <c r="C1150" s="4">
        <v>5</v>
      </c>
      <c r="D1150" s="8">
        <v>3.18</v>
      </c>
      <c r="E1150" s="4">
        <v>0</v>
      </c>
      <c r="F1150" s="8">
        <v>0</v>
      </c>
      <c r="G1150" s="4">
        <v>2</v>
      </c>
      <c r="H1150" s="8">
        <v>4.17</v>
      </c>
      <c r="I1150" s="4">
        <v>0</v>
      </c>
    </row>
    <row r="1151" spans="1:9" x14ac:dyDescent="0.2">
      <c r="A1151" s="2">
        <v>12</v>
      </c>
      <c r="B1151" s="1" t="s">
        <v>232</v>
      </c>
      <c r="C1151" s="4">
        <v>4</v>
      </c>
      <c r="D1151" s="8">
        <v>2.5499999999999998</v>
      </c>
      <c r="E1151" s="4">
        <v>0</v>
      </c>
      <c r="F1151" s="8">
        <v>0</v>
      </c>
      <c r="G1151" s="4">
        <v>3</v>
      </c>
      <c r="H1151" s="8">
        <v>6.25</v>
      </c>
      <c r="I1151" s="4">
        <v>0</v>
      </c>
    </row>
    <row r="1152" spans="1:9" x14ac:dyDescent="0.2">
      <c r="A1152" s="2">
        <v>13</v>
      </c>
      <c r="B1152" s="1" t="s">
        <v>241</v>
      </c>
      <c r="C1152" s="4">
        <v>3</v>
      </c>
      <c r="D1152" s="8">
        <v>1.91</v>
      </c>
      <c r="E1152" s="4">
        <v>1</v>
      </c>
      <c r="F1152" s="8">
        <v>0.98</v>
      </c>
      <c r="G1152" s="4">
        <v>2</v>
      </c>
      <c r="H1152" s="8">
        <v>4.17</v>
      </c>
      <c r="I1152" s="4">
        <v>0</v>
      </c>
    </row>
    <row r="1153" spans="1:9" x14ac:dyDescent="0.2">
      <c r="A1153" s="2">
        <v>13</v>
      </c>
      <c r="B1153" s="1" t="s">
        <v>220</v>
      </c>
      <c r="C1153" s="4">
        <v>3</v>
      </c>
      <c r="D1153" s="8">
        <v>1.91</v>
      </c>
      <c r="E1153" s="4">
        <v>1</v>
      </c>
      <c r="F1153" s="8">
        <v>0.98</v>
      </c>
      <c r="G1153" s="4">
        <v>2</v>
      </c>
      <c r="H1153" s="8">
        <v>4.17</v>
      </c>
      <c r="I1153" s="4">
        <v>0</v>
      </c>
    </row>
    <row r="1154" spans="1:9" x14ac:dyDescent="0.2">
      <c r="A1154" s="2">
        <v>13</v>
      </c>
      <c r="B1154" s="1" t="s">
        <v>222</v>
      </c>
      <c r="C1154" s="4">
        <v>3</v>
      </c>
      <c r="D1154" s="8">
        <v>1.91</v>
      </c>
      <c r="E1154" s="4">
        <v>1</v>
      </c>
      <c r="F1154" s="8">
        <v>0.98</v>
      </c>
      <c r="G1154" s="4">
        <v>2</v>
      </c>
      <c r="H1154" s="8">
        <v>4.17</v>
      </c>
      <c r="I1154" s="4">
        <v>0</v>
      </c>
    </row>
    <row r="1155" spans="1:9" x14ac:dyDescent="0.2">
      <c r="A1155" s="2">
        <v>13</v>
      </c>
      <c r="B1155" s="1" t="s">
        <v>243</v>
      </c>
      <c r="C1155" s="4">
        <v>3</v>
      </c>
      <c r="D1155" s="8">
        <v>1.91</v>
      </c>
      <c r="E1155" s="4">
        <v>2</v>
      </c>
      <c r="F1155" s="8">
        <v>1.96</v>
      </c>
      <c r="G1155" s="4">
        <v>1</v>
      </c>
      <c r="H1155" s="8">
        <v>2.08</v>
      </c>
      <c r="I1155" s="4">
        <v>0</v>
      </c>
    </row>
    <row r="1156" spans="1:9" x14ac:dyDescent="0.2">
      <c r="A1156" s="2">
        <v>17</v>
      </c>
      <c r="B1156" s="1" t="s">
        <v>258</v>
      </c>
      <c r="C1156" s="4">
        <v>2</v>
      </c>
      <c r="D1156" s="8">
        <v>1.27</v>
      </c>
      <c r="E1156" s="4">
        <v>2</v>
      </c>
      <c r="F1156" s="8">
        <v>1.96</v>
      </c>
      <c r="G1156" s="4">
        <v>0</v>
      </c>
      <c r="H1156" s="8">
        <v>0</v>
      </c>
      <c r="I1156" s="4">
        <v>0</v>
      </c>
    </row>
    <row r="1157" spans="1:9" x14ac:dyDescent="0.2">
      <c r="A1157" s="2">
        <v>17</v>
      </c>
      <c r="B1157" s="1" t="s">
        <v>255</v>
      </c>
      <c r="C1157" s="4">
        <v>2</v>
      </c>
      <c r="D1157" s="8">
        <v>1.27</v>
      </c>
      <c r="E1157" s="4">
        <v>0</v>
      </c>
      <c r="F1157" s="8">
        <v>0</v>
      </c>
      <c r="G1157" s="4">
        <v>1</v>
      </c>
      <c r="H1157" s="8">
        <v>2.08</v>
      </c>
      <c r="I1157" s="4">
        <v>0</v>
      </c>
    </row>
    <row r="1158" spans="1:9" x14ac:dyDescent="0.2">
      <c r="A1158" s="2">
        <v>17</v>
      </c>
      <c r="B1158" s="1" t="s">
        <v>216</v>
      </c>
      <c r="C1158" s="4">
        <v>2</v>
      </c>
      <c r="D1158" s="8">
        <v>1.27</v>
      </c>
      <c r="E1158" s="4">
        <v>0</v>
      </c>
      <c r="F1158" s="8">
        <v>0</v>
      </c>
      <c r="G1158" s="4">
        <v>2</v>
      </c>
      <c r="H1158" s="8">
        <v>4.17</v>
      </c>
      <c r="I1158" s="4">
        <v>0</v>
      </c>
    </row>
    <row r="1159" spans="1:9" x14ac:dyDescent="0.2">
      <c r="A1159" s="2">
        <v>17</v>
      </c>
      <c r="B1159" s="1" t="s">
        <v>217</v>
      </c>
      <c r="C1159" s="4">
        <v>2</v>
      </c>
      <c r="D1159" s="8">
        <v>1.27</v>
      </c>
      <c r="E1159" s="4">
        <v>1</v>
      </c>
      <c r="F1159" s="8">
        <v>0.98</v>
      </c>
      <c r="G1159" s="4">
        <v>1</v>
      </c>
      <c r="H1159" s="8">
        <v>2.08</v>
      </c>
      <c r="I1159" s="4">
        <v>0</v>
      </c>
    </row>
    <row r="1160" spans="1:9" x14ac:dyDescent="0.2">
      <c r="A1160" s="2">
        <v>17</v>
      </c>
      <c r="B1160" s="1" t="s">
        <v>219</v>
      </c>
      <c r="C1160" s="4">
        <v>2</v>
      </c>
      <c r="D1160" s="8">
        <v>1.27</v>
      </c>
      <c r="E1160" s="4">
        <v>0</v>
      </c>
      <c r="F1160" s="8">
        <v>0</v>
      </c>
      <c r="G1160" s="4">
        <v>2</v>
      </c>
      <c r="H1160" s="8">
        <v>4.17</v>
      </c>
      <c r="I1160" s="4">
        <v>0</v>
      </c>
    </row>
    <row r="1161" spans="1:9" x14ac:dyDescent="0.2">
      <c r="A1161" s="2">
        <v>17</v>
      </c>
      <c r="B1161" s="1" t="s">
        <v>225</v>
      </c>
      <c r="C1161" s="4">
        <v>2</v>
      </c>
      <c r="D1161" s="8">
        <v>1.27</v>
      </c>
      <c r="E1161" s="4">
        <v>2</v>
      </c>
      <c r="F1161" s="8">
        <v>1.96</v>
      </c>
      <c r="G1161" s="4">
        <v>0</v>
      </c>
      <c r="H1161" s="8">
        <v>0</v>
      </c>
      <c r="I1161" s="4">
        <v>0</v>
      </c>
    </row>
    <row r="1162" spans="1:9" x14ac:dyDescent="0.2">
      <c r="A1162" s="2">
        <v>17</v>
      </c>
      <c r="B1162" s="1" t="s">
        <v>226</v>
      </c>
      <c r="C1162" s="4">
        <v>2</v>
      </c>
      <c r="D1162" s="8">
        <v>1.27</v>
      </c>
      <c r="E1162" s="4">
        <v>1</v>
      </c>
      <c r="F1162" s="8">
        <v>0.98</v>
      </c>
      <c r="G1162" s="4">
        <v>1</v>
      </c>
      <c r="H1162" s="8">
        <v>2.08</v>
      </c>
      <c r="I1162" s="4">
        <v>0</v>
      </c>
    </row>
    <row r="1163" spans="1:9" x14ac:dyDescent="0.2">
      <c r="A1163" s="2">
        <v>17</v>
      </c>
      <c r="B1163" s="1" t="s">
        <v>229</v>
      </c>
      <c r="C1163" s="4">
        <v>2</v>
      </c>
      <c r="D1163" s="8">
        <v>1.27</v>
      </c>
      <c r="E1163" s="4">
        <v>0</v>
      </c>
      <c r="F1163" s="8">
        <v>0</v>
      </c>
      <c r="G1163" s="4">
        <v>1</v>
      </c>
      <c r="H1163" s="8">
        <v>2.08</v>
      </c>
      <c r="I1163" s="4">
        <v>0</v>
      </c>
    </row>
    <row r="1164" spans="1:9" x14ac:dyDescent="0.2">
      <c r="A1164" s="2">
        <v>17</v>
      </c>
      <c r="B1164" s="1" t="s">
        <v>240</v>
      </c>
      <c r="C1164" s="4">
        <v>2</v>
      </c>
      <c r="D1164" s="8">
        <v>1.27</v>
      </c>
      <c r="E1164" s="4">
        <v>1</v>
      </c>
      <c r="F1164" s="8">
        <v>0.98</v>
      </c>
      <c r="G1164" s="4">
        <v>1</v>
      </c>
      <c r="H1164" s="8">
        <v>2.08</v>
      </c>
      <c r="I1164" s="4">
        <v>0</v>
      </c>
    </row>
    <row r="1165" spans="1:9" x14ac:dyDescent="0.2">
      <c r="A1165" s="1"/>
      <c r="C1165" s="4"/>
      <c r="D1165" s="8"/>
      <c r="E1165" s="4"/>
      <c r="F1165" s="8"/>
      <c r="G1165" s="4"/>
      <c r="H1165" s="8"/>
      <c r="I1165" s="4"/>
    </row>
    <row r="1166" spans="1:9" x14ac:dyDescent="0.2">
      <c r="A1166" s="1" t="s">
        <v>50</v>
      </c>
      <c r="C1166" s="4"/>
      <c r="D1166" s="8"/>
      <c r="E1166" s="4"/>
      <c r="F1166" s="8"/>
      <c r="G1166" s="4"/>
      <c r="H1166" s="8"/>
      <c r="I1166" s="4"/>
    </row>
    <row r="1167" spans="1:9" x14ac:dyDescent="0.2">
      <c r="A1167" s="2">
        <v>1</v>
      </c>
      <c r="B1167" s="1" t="s">
        <v>228</v>
      </c>
      <c r="C1167" s="4">
        <v>12</v>
      </c>
      <c r="D1167" s="8">
        <v>12.12</v>
      </c>
      <c r="E1167" s="4">
        <v>12</v>
      </c>
      <c r="F1167" s="8">
        <v>20.34</v>
      </c>
      <c r="G1167" s="4">
        <v>0</v>
      </c>
      <c r="H1167" s="8">
        <v>0</v>
      </c>
      <c r="I1167" s="4">
        <v>0</v>
      </c>
    </row>
    <row r="1168" spans="1:9" x14ac:dyDescent="0.2">
      <c r="A1168" s="2">
        <v>2</v>
      </c>
      <c r="B1168" s="1" t="s">
        <v>227</v>
      </c>
      <c r="C1168" s="4">
        <v>11</v>
      </c>
      <c r="D1168" s="8">
        <v>11.11</v>
      </c>
      <c r="E1168" s="4">
        <v>10</v>
      </c>
      <c r="F1168" s="8">
        <v>16.95</v>
      </c>
      <c r="G1168" s="4">
        <v>1</v>
      </c>
      <c r="H1168" s="8">
        <v>2.86</v>
      </c>
      <c r="I1168" s="4">
        <v>0</v>
      </c>
    </row>
    <row r="1169" spans="1:9" x14ac:dyDescent="0.2">
      <c r="A1169" s="2">
        <v>3</v>
      </c>
      <c r="B1169" s="1" t="s">
        <v>243</v>
      </c>
      <c r="C1169" s="4">
        <v>9</v>
      </c>
      <c r="D1169" s="8">
        <v>9.09</v>
      </c>
      <c r="E1169" s="4">
        <v>7</v>
      </c>
      <c r="F1169" s="8">
        <v>11.86</v>
      </c>
      <c r="G1169" s="4">
        <v>2</v>
      </c>
      <c r="H1169" s="8">
        <v>5.71</v>
      </c>
      <c r="I1169" s="4">
        <v>0</v>
      </c>
    </row>
    <row r="1170" spans="1:9" x14ac:dyDescent="0.2">
      <c r="A1170" s="2">
        <v>4</v>
      </c>
      <c r="B1170" s="1" t="s">
        <v>213</v>
      </c>
      <c r="C1170" s="4">
        <v>8</v>
      </c>
      <c r="D1170" s="8">
        <v>8.08</v>
      </c>
      <c r="E1170" s="4">
        <v>4</v>
      </c>
      <c r="F1170" s="8">
        <v>6.78</v>
      </c>
      <c r="G1170" s="4">
        <v>4</v>
      </c>
      <c r="H1170" s="8">
        <v>11.43</v>
      </c>
      <c r="I1170" s="4">
        <v>0</v>
      </c>
    </row>
    <row r="1171" spans="1:9" x14ac:dyDescent="0.2">
      <c r="A1171" s="2">
        <v>5</v>
      </c>
      <c r="B1171" s="1" t="s">
        <v>221</v>
      </c>
      <c r="C1171" s="4">
        <v>6</v>
      </c>
      <c r="D1171" s="8">
        <v>6.06</v>
      </c>
      <c r="E1171" s="4">
        <v>5</v>
      </c>
      <c r="F1171" s="8">
        <v>8.4700000000000006</v>
      </c>
      <c r="G1171" s="4">
        <v>1</v>
      </c>
      <c r="H1171" s="8">
        <v>2.86</v>
      </c>
      <c r="I1171" s="4">
        <v>0</v>
      </c>
    </row>
    <row r="1172" spans="1:9" x14ac:dyDescent="0.2">
      <c r="A1172" s="2">
        <v>5</v>
      </c>
      <c r="B1172" s="1" t="s">
        <v>223</v>
      </c>
      <c r="C1172" s="4">
        <v>6</v>
      </c>
      <c r="D1172" s="8">
        <v>6.06</v>
      </c>
      <c r="E1172" s="4">
        <v>5</v>
      </c>
      <c r="F1172" s="8">
        <v>8.4700000000000006</v>
      </c>
      <c r="G1172" s="4">
        <v>1</v>
      </c>
      <c r="H1172" s="8">
        <v>2.86</v>
      </c>
      <c r="I1172" s="4">
        <v>0</v>
      </c>
    </row>
    <row r="1173" spans="1:9" x14ac:dyDescent="0.2">
      <c r="A1173" s="2">
        <v>7</v>
      </c>
      <c r="B1173" s="1" t="s">
        <v>214</v>
      </c>
      <c r="C1173" s="4">
        <v>5</v>
      </c>
      <c r="D1173" s="8">
        <v>5.05</v>
      </c>
      <c r="E1173" s="4">
        <v>4</v>
      </c>
      <c r="F1173" s="8">
        <v>6.78</v>
      </c>
      <c r="G1173" s="4">
        <v>1</v>
      </c>
      <c r="H1173" s="8">
        <v>2.86</v>
      </c>
      <c r="I1173" s="4">
        <v>0</v>
      </c>
    </row>
    <row r="1174" spans="1:9" x14ac:dyDescent="0.2">
      <c r="A1174" s="2">
        <v>7</v>
      </c>
      <c r="B1174" s="1" t="s">
        <v>241</v>
      </c>
      <c r="C1174" s="4">
        <v>5</v>
      </c>
      <c r="D1174" s="8">
        <v>5.05</v>
      </c>
      <c r="E1174" s="4">
        <v>2</v>
      </c>
      <c r="F1174" s="8">
        <v>3.39</v>
      </c>
      <c r="G1174" s="4">
        <v>3</v>
      </c>
      <c r="H1174" s="8">
        <v>8.57</v>
      </c>
      <c r="I1174" s="4">
        <v>0</v>
      </c>
    </row>
    <row r="1175" spans="1:9" x14ac:dyDescent="0.2">
      <c r="A1175" s="2">
        <v>9</v>
      </c>
      <c r="B1175" s="1" t="s">
        <v>215</v>
      </c>
      <c r="C1175" s="4">
        <v>4</v>
      </c>
      <c r="D1175" s="8">
        <v>4.04</v>
      </c>
      <c r="E1175" s="4">
        <v>1</v>
      </c>
      <c r="F1175" s="8">
        <v>1.69</v>
      </c>
      <c r="G1175" s="4">
        <v>3</v>
      </c>
      <c r="H1175" s="8">
        <v>8.57</v>
      </c>
      <c r="I1175" s="4">
        <v>0</v>
      </c>
    </row>
    <row r="1176" spans="1:9" x14ac:dyDescent="0.2">
      <c r="A1176" s="2">
        <v>10</v>
      </c>
      <c r="B1176" s="1" t="s">
        <v>230</v>
      </c>
      <c r="C1176" s="4">
        <v>3</v>
      </c>
      <c r="D1176" s="8">
        <v>3.03</v>
      </c>
      <c r="E1176" s="4">
        <v>2</v>
      </c>
      <c r="F1176" s="8">
        <v>3.39</v>
      </c>
      <c r="G1176" s="4">
        <v>0</v>
      </c>
      <c r="H1176" s="8">
        <v>0</v>
      </c>
      <c r="I1176" s="4">
        <v>0</v>
      </c>
    </row>
    <row r="1177" spans="1:9" x14ac:dyDescent="0.2">
      <c r="A1177" s="2">
        <v>11</v>
      </c>
      <c r="B1177" s="1" t="s">
        <v>244</v>
      </c>
      <c r="C1177" s="4">
        <v>2</v>
      </c>
      <c r="D1177" s="8">
        <v>2.02</v>
      </c>
      <c r="E1177" s="4">
        <v>0</v>
      </c>
      <c r="F1177" s="8">
        <v>0</v>
      </c>
      <c r="G1177" s="4">
        <v>2</v>
      </c>
      <c r="H1177" s="8">
        <v>5.71</v>
      </c>
      <c r="I1177" s="4">
        <v>0</v>
      </c>
    </row>
    <row r="1178" spans="1:9" x14ac:dyDescent="0.2">
      <c r="A1178" s="2">
        <v>11</v>
      </c>
      <c r="B1178" s="1" t="s">
        <v>258</v>
      </c>
      <c r="C1178" s="4">
        <v>2</v>
      </c>
      <c r="D1178" s="8">
        <v>2.02</v>
      </c>
      <c r="E1178" s="4">
        <v>1</v>
      </c>
      <c r="F1178" s="8">
        <v>1.69</v>
      </c>
      <c r="G1178" s="4">
        <v>1</v>
      </c>
      <c r="H1178" s="8">
        <v>2.86</v>
      </c>
      <c r="I1178" s="4">
        <v>0</v>
      </c>
    </row>
    <row r="1179" spans="1:9" x14ac:dyDescent="0.2">
      <c r="A1179" s="2">
        <v>11</v>
      </c>
      <c r="B1179" s="1" t="s">
        <v>224</v>
      </c>
      <c r="C1179" s="4">
        <v>2</v>
      </c>
      <c r="D1179" s="8">
        <v>2.02</v>
      </c>
      <c r="E1179" s="4">
        <v>0</v>
      </c>
      <c r="F1179" s="8">
        <v>0</v>
      </c>
      <c r="G1179" s="4">
        <v>2</v>
      </c>
      <c r="H1179" s="8">
        <v>5.71</v>
      </c>
      <c r="I1179" s="4">
        <v>0</v>
      </c>
    </row>
    <row r="1180" spans="1:9" x14ac:dyDescent="0.2">
      <c r="A1180" s="2">
        <v>11</v>
      </c>
      <c r="B1180" s="1" t="s">
        <v>225</v>
      </c>
      <c r="C1180" s="4">
        <v>2</v>
      </c>
      <c r="D1180" s="8">
        <v>2.02</v>
      </c>
      <c r="E1180" s="4">
        <v>2</v>
      </c>
      <c r="F1180" s="8">
        <v>3.39</v>
      </c>
      <c r="G1180" s="4">
        <v>0</v>
      </c>
      <c r="H1180" s="8">
        <v>0</v>
      </c>
      <c r="I1180" s="4">
        <v>0</v>
      </c>
    </row>
    <row r="1181" spans="1:9" x14ac:dyDescent="0.2">
      <c r="A1181" s="2">
        <v>15</v>
      </c>
      <c r="B1181" s="1" t="s">
        <v>263</v>
      </c>
      <c r="C1181" s="4">
        <v>1</v>
      </c>
      <c r="D1181" s="8">
        <v>1.01</v>
      </c>
      <c r="E1181" s="4">
        <v>0</v>
      </c>
      <c r="F1181" s="8">
        <v>0</v>
      </c>
      <c r="G1181" s="4">
        <v>1</v>
      </c>
      <c r="H1181" s="8">
        <v>2.86</v>
      </c>
      <c r="I1181" s="4">
        <v>0</v>
      </c>
    </row>
    <row r="1182" spans="1:9" x14ac:dyDescent="0.2">
      <c r="A1182" s="2">
        <v>15</v>
      </c>
      <c r="B1182" s="1" t="s">
        <v>264</v>
      </c>
      <c r="C1182" s="4">
        <v>1</v>
      </c>
      <c r="D1182" s="8">
        <v>1.01</v>
      </c>
      <c r="E1182" s="4">
        <v>0</v>
      </c>
      <c r="F1182" s="8">
        <v>0</v>
      </c>
      <c r="G1182" s="4">
        <v>1</v>
      </c>
      <c r="H1182" s="8">
        <v>2.86</v>
      </c>
      <c r="I1182" s="4">
        <v>0</v>
      </c>
    </row>
    <row r="1183" spans="1:9" x14ac:dyDescent="0.2">
      <c r="A1183" s="2">
        <v>15</v>
      </c>
      <c r="B1183" s="1" t="s">
        <v>253</v>
      </c>
      <c r="C1183" s="4">
        <v>1</v>
      </c>
      <c r="D1183" s="8">
        <v>1.01</v>
      </c>
      <c r="E1183" s="4">
        <v>1</v>
      </c>
      <c r="F1183" s="8">
        <v>1.69</v>
      </c>
      <c r="G1183" s="4">
        <v>0</v>
      </c>
      <c r="H1183" s="8">
        <v>0</v>
      </c>
      <c r="I1183" s="4">
        <v>0</v>
      </c>
    </row>
    <row r="1184" spans="1:9" x14ac:dyDescent="0.2">
      <c r="A1184" s="2">
        <v>15</v>
      </c>
      <c r="B1184" s="1" t="s">
        <v>257</v>
      </c>
      <c r="C1184" s="4">
        <v>1</v>
      </c>
      <c r="D1184" s="8">
        <v>1.01</v>
      </c>
      <c r="E1184" s="4">
        <v>1</v>
      </c>
      <c r="F1184" s="8">
        <v>1.69</v>
      </c>
      <c r="G1184" s="4">
        <v>0</v>
      </c>
      <c r="H1184" s="8">
        <v>0</v>
      </c>
      <c r="I1184" s="4">
        <v>0</v>
      </c>
    </row>
    <row r="1185" spans="1:9" x14ac:dyDescent="0.2">
      <c r="A1185" s="2">
        <v>15</v>
      </c>
      <c r="B1185" s="1" t="s">
        <v>265</v>
      </c>
      <c r="C1185" s="4">
        <v>1</v>
      </c>
      <c r="D1185" s="8">
        <v>1.01</v>
      </c>
      <c r="E1185" s="4">
        <v>0</v>
      </c>
      <c r="F1185" s="8">
        <v>0</v>
      </c>
      <c r="G1185" s="4">
        <v>1</v>
      </c>
      <c r="H1185" s="8">
        <v>2.86</v>
      </c>
      <c r="I1185" s="4">
        <v>0</v>
      </c>
    </row>
    <row r="1186" spans="1:9" x14ac:dyDescent="0.2">
      <c r="A1186" s="2">
        <v>15</v>
      </c>
      <c r="B1186" s="1" t="s">
        <v>255</v>
      </c>
      <c r="C1186" s="4">
        <v>1</v>
      </c>
      <c r="D1186" s="8">
        <v>1.01</v>
      </c>
      <c r="E1186" s="4">
        <v>0</v>
      </c>
      <c r="F1186" s="8">
        <v>0</v>
      </c>
      <c r="G1186" s="4">
        <v>0</v>
      </c>
      <c r="H1186" s="8">
        <v>0</v>
      </c>
      <c r="I1186" s="4">
        <v>0</v>
      </c>
    </row>
    <row r="1187" spans="1:9" x14ac:dyDescent="0.2">
      <c r="A1187" s="2">
        <v>15</v>
      </c>
      <c r="B1187" s="1" t="s">
        <v>235</v>
      </c>
      <c r="C1187" s="4">
        <v>1</v>
      </c>
      <c r="D1187" s="8">
        <v>1.01</v>
      </c>
      <c r="E1187" s="4">
        <v>0</v>
      </c>
      <c r="F1187" s="8">
        <v>0</v>
      </c>
      <c r="G1187" s="4">
        <v>1</v>
      </c>
      <c r="H1187" s="8">
        <v>2.86</v>
      </c>
      <c r="I1187" s="4">
        <v>0</v>
      </c>
    </row>
    <row r="1188" spans="1:9" x14ac:dyDescent="0.2">
      <c r="A1188" s="2">
        <v>15</v>
      </c>
      <c r="B1188" s="1" t="s">
        <v>248</v>
      </c>
      <c r="C1188" s="4">
        <v>1</v>
      </c>
      <c r="D1188" s="8">
        <v>1.01</v>
      </c>
      <c r="E1188" s="4">
        <v>0</v>
      </c>
      <c r="F1188" s="8">
        <v>0</v>
      </c>
      <c r="G1188" s="4">
        <v>1</v>
      </c>
      <c r="H1188" s="8">
        <v>2.86</v>
      </c>
      <c r="I1188" s="4">
        <v>0</v>
      </c>
    </row>
    <row r="1189" spans="1:9" x14ac:dyDescent="0.2">
      <c r="A1189" s="2">
        <v>15</v>
      </c>
      <c r="B1189" s="1" t="s">
        <v>216</v>
      </c>
      <c r="C1189" s="4">
        <v>1</v>
      </c>
      <c r="D1189" s="8">
        <v>1.01</v>
      </c>
      <c r="E1189" s="4">
        <v>0</v>
      </c>
      <c r="F1189" s="8">
        <v>0</v>
      </c>
      <c r="G1189" s="4">
        <v>1</v>
      </c>
      <c r="H1189" s="8">
        <v>2.86</v>
      </c>
      <c r="I1189" s="4">
        <v>0</v>
      </c>
    </row>
    <row r="1190" spans="1:9" x14ac:dyDescent="0.2">
      <c r="A1190" s="2">
        <v>15</v>
      </c>
      <c r="B1190" s="1" t="s">
        <v>217</v>
      </c>
      <c r="C1190" s="4">
        <v>1</v>
      </c>
      <c r="D1190" s="8">
        <v>1.01</v>
      </c>
      <c r="E1190" s="4">
        <v>0</v>
      </c>
      <c r="F1190" s="8">
        <v>0</v>
      </c>
      <c r="G1190" s="4">
        <v>1</v>
      </c>
      <c r="H1190" s="8">
        <v>2.86</v>
      </c>
      <c r="I1190" s="4">
        <v>0</v>
      </c>
    </row>
    <row r="1191" spans="1:9" x14ac:dyDescent="0.2">
      <c r="A1191" s="2">
        <v>15</v>
      </c>
      <c r="B1191" s="1" t="s">
        <v>219</v>
      </c>
      <c r="C1191" s="4">
        <v>1</v>
      </c>
      <c r="D1191" s="8">
        <v>1.01</v>
      </c>
      <c r="E1191" s="4">
        <v>0</v>
      </c>
      <c r="F1191" s="8">
        <v>0</v>
      </c>
      <c r="G1191" s="4">
        <v>1</v>
      </c>
      <c r="H1191" s="8">
        <v>2.86</v>
      </c>
      <c r="I1191" s="4">
        <v>0</v>
      </c>
    </row>
    <row r="1192" spans="1:9" x14ac:dyDescent="0.2">
      <c r="A1192" s="2">
        <v>15</v>
      </c>
      <c r="B1192" s="1" t="s">
        <v>266</v>
      </c>
      <c r="C1192" s="4">
        <v>1</v>
      </c>
      <c r="D1192" s="8">
        <v>1.01</v>
      </c>
      <c r="E1192" s="4">
        <v>0</v>
      </c>
      <c r="F1192" s="8">
        <v>0</v>
      </c>
      <c r="G1192" s="4">
        <v>1</v>
      </c>
      <c r="H1192" s="8">
        <v>2.86</v>
      </c>
      <c r="I1192" s="4">
        <v>0</v>
      </c>
    </row>
    <row r="1193" spans="1:9" x14ac:dyDescent="0.2">
      <c r="A1193" s="2">
        <v>15</v>
      </c>
      <c r="B1193" s="1" t="s">
        <v>220</v>
      </c>
      <c r="C1193" s="4">
        <v>1</v>
      </c>
      <c r="D1193" s="8">
        <v>1.01</v>
      </c>
      <c r="E1193" s="4">
        <v>1</v>
      </c>
      <c r="F1193" s="8">
        <v>1.69</v>
      </c>
      <c r="G1193" s="4">
        <v>0</v>
      </c>
      <c r="H1193" s="8">
        <v>0</v>
      </c>
      <c r="I1193" s="4">
        <v>0</v>
      </c>
    </row>
    <row r="1194" spans="1:9" x14ac:dyDescent="0.2">
      <c r="A1194" s="2">
        <v>15</v>
      </c>
      <c r="B1194" s="1" t="s">
        <v>222</v>
      </c>
      <c r="C1194" s="4">
        <v>1</v>
      </c>
      <c r="D1194" s="8">
        <v>1.01</v>
      </c>
      <c r="E1194" s="4">
        <v>0</v>
      </c>
      <c r="F1194" s="8">
        <v>0</v>
      </c>
      <c r="G1194" s="4">
        <v>1</v>
      </c>
      <c r="H1194" s="8">
        <v>2.86</v>
      </c>
      <c r="I1194" s="4">
        <v>0</v>
      </c>
    </row>
    <row r="1195" spans="1:9" x14ac:dyDescent="0.2">
      <c r="A1195" s="2">
        <v>15</v>
      </c>
      <c r="B1195" s="1" t="s">
        <v>237</v>
      </c>
      <c r="C1195" s="4">
        <v>1</v>
      </c>
      <c r="D1195" s="8">
        <v>1.01</v>
      </c>
      <c r="E1195" s="4">
        <v>0</v>
      </c>
      <c r="F1195" s="8">
        <v>0</v>
      </c>
      <c r="G1195" s="4">
        <v>1</v>
      </c>
      <c r="H1195" s="8">
        <v>2.86</v>
      </c>
      <c r="I1195" s="4">
        <v>0</v>
      </c>
    </row>
    <row r="1196" spans="1:9" x14ac:dyDescent="0.2">
      <c r="A1196" s="2">
        <v>15</v>
      </c>
      <c r="B1196" s="1" t="s">
        <v>226</v>
      </c>
      <c r="C1196" s="4">
        <v>1</v>
      </c>
      <c r="D1196" s="8">
        <v>1.01</v>
      </c>
      <c r="E1196" s="4">
        <v>0</v>
      </c>
      <c r="F1196" s="8">
        <v>0</v>
      </c>
      <c r="G1196" s="4">
        <v>0</v>
      </c>
      <c r="H1196" s="8">
        <v>0</v>
      </c>
      <c r="I1196" s="4">
        <v>0</v>
      </c>
    </row>
    <row r="1197" spans="1:9" x14ac:dyDescent="0.2">
      <c r="A1197" s="2">
        <v>15</v>
      </c>
      <c r="B1197" s="1" t="s">
        <v>239</v>
      </c>
      <c r="C1197" s="4">
        <v>1</v>
      </c>
      <c r="D1197" s="8">
        <v>1.01</v>
      </c>
      <c r="E1197" s="4">
        <v>0</v>
      </c>
      <c r="F1197" s="8">
        <v>0</v>
      </c>
      <c r="G1197" s="4">
        <v>0</v>
      </c>
      <c r="H1197" s="8">
        <v>0</v>
      </c>
      <c r="I1197" s="4">
        <v>0</v>
      </c>
    </row>
    <row r="1198" spans="1:9" x14ac:dyDescent="0.2">
      <c r="A1198" s="2">
        <v>15</v>
      </c>
      <c r="B1198" s="1" t="s">
        <v>247</v>
      </c>
      <c r="C1198" s="4">
        <v>1</v>
      </c>
      <c r="D1198" s="8">
        <v>1.01</v>
      </c>
      <c r="E1198" s="4">
        <v>0</v>
      </c>
      <c r="F1198" s="8">
        <v>0</v>
      </c>
      <c r="G1198" s="4">
        <v>0</v>
      </c>
      <c r="H1198" s="8">
        <v>0</v>
      </c>
      <c r="I1198" s="4">
        <v>0</v>
      </c>
    </row>
    <row r="1199" spans="1:9" x14ac:dyDescent="0.2">
      <c r="A1199" s="2">
        <v>15</v>
      </c>
      <c r="B1199" s="1" t="s">
        <v>231</v>
      </c>
      <c r="C1199" s="4">
        <v>1</v>
      </c>
      <c r="D1199" s="8">
        <v>1.01</v>
      </c>
      <c r="E1199" s="4">
        <v>1</v>
      </c>
      <c r="F1199" s="8">
        <v>1.69</v>
      </c>
      <c r="G1199" s="4">
        <v>0</v>
      </c>
      <c r="H1199" s="8">
        <v>0</v>
      </c>
      <c r="I1199" s="4">
        <v>0</v>
      </c>
    </row>
    <row r="1200" spans="1:9" x14ac:dyDescent="0.2">
      <c r="A1200" s="2">
        <v>15</v>
      </c>
      <c r="B1200" s="1" t="s">
        <v>249</v>
      </c>
      <c r="C1200" s="4">
        <v>1</v>
      </c>
      <c r="D1200" s="8">
        <v>1.01</v>
      </c>
      <c r="E1200" s="4">
        <v>0</v>
      </c>
      <c r="F1200" s="8">
        <v>0</v>
      </c>
      <c r="G1200" s="4">
        <v>1</v>
      </c>
      <c r="H1200" s="8">
        <v>2.86</v>
      </c>
      <c r="I1200" s="4">
        <v>0</v>
      </c>
    </row>
    <row r="1201" spans="1:9" x14ac:dyDescent="0.2">
      <c r="A1201" s="2">
        <v>15</v>
      </c>
      <c r="B1201" s="1" t="s">
        <v>240</v>
      </c>
      <c r="C1201" s="4">
        <v>1</v>
      </c>
      <c r="D1201" s="8">
        <v>1.01</v>
      </c>
      <c r="E1201" s="4">
        <v>0</v>
      </c>
      <c r="F1201" s="8">
        <v>0</v>
      </c>
      <c r="G1201" s="4">
        <v>1</v>
      </c>
      <c r="H1201" s="8">
        <v>2.86</v>
      </c>
      <c r="I1201" s="4">
        <v>0</v>
      </c>
    </row>
    <row r="1202" spans="1:9" x14ac:dyDescent="0.2">
      <c r="A1202" s="2">
        <v>15</v>
      </c>
      <c r="B1202" s="1" t="s">
        <v>234</v>
      </c>
      <c r="C1202" s="4">
        <v>1</v>
      </c>
      <c r="D1202" s="8">
        <v>1.01</v>
      </c>
      <c r="E1202" s="4">
        <v>0</v>
      </c>
      <c r="F1202" s="8">
        <v>0</v>
      </c>
      <c r="G1202" s="4">
        <v>1</v>
      </c>
      <c r="H1202" s="8">
        <v>2.86</v>
      </c>
      <c r="I1202" s="4">
        <v>0</v>
      </c>
    </row>
    <row r="1203" spans="1:9" x14ac:dyDescent="0.2">
      <c r="A1203" s="1"/>
      <c r="C1203" s="4"/>
      <c r="D1203" s="8"/>
      <c r="E1203" s="4"/>
      <c r="F1203" s="8"/>
      <c r="G1203" s="4"/>
      <c r="H1203" s="8"/>
      <c r="I1203" s="4"/>
    </row>
    <row r="1204" spans="1:9" x14ac:dyDescent="0.2">
      <c r="A1204" s="1" t="s">
        <v>51</v>
      </c>
      <c r="C1204" s="4"/>
      <c r="D1204" s="8"/>
      <c r="E1204" s="4"/>
      <c r="F1204" s="8"/>
      <c r="G1204" s="4"/>
      <c r="H1204" s="8"/>
      <c r="I1204" s="4"/>
    </row>
    <row r="1205" spans="1:9" x14ac:dyDescent="0.2">
      <c r="A1205" s="2">
        <v>1</v>
      </c>
      <c r="B1205" s="1" t="s">
        <v>227</v>
      </c>
      <c r="C1205" s="4">
        <v>19</v>
      </c>
      <c r="D1205" s="8">
        <v>14.18</v>
      </c>
      <c r="E1205" s="4">
        <v>19</v>
      </c>
      <c r="F1205" s="8">
        <v>22.62</v>
      </c>
      <c r="G1205" s="4">
        <v>0</v>
      </c>
      <c r="H1205" s="8">
        <v>0</v>
      </c>
      <c r="I1205" s="4">
        <v>0</v>
      </c>
    </row>
    <row r="1206" spans="1:9" x14ac:dyDescent="0.2">
      <c r="A1206" s="2">
        <v>1</v>
      </c>
      <c r="B1206" s="1" t="s">
        <v>228</v>
      </c>
      <c r="C1206" s="4">
        <v>19</v>
      </c>
      <c r="D1206" s="8">
        <v>14.18</v>
      </c>
      <c r="E1206" s="4">
        <v>19</v>
      </c>
      <c r="F1206" s="8">
        <v>22.62</v>
      </c>
      <c r="G1206" s="4">
        <v>0</v>
      </c>
      <c r="H1206" s="8">
        <v>0</v>
      </c>
      <c r="I1206" s="4">
        <v>0</v>
      </c>
    </row>
    <row r="1207" spans="1:9" x14ac:dyDescent="0.2">
      <c r="A1207" s="2">
        <v>3</v>
      </c>
      <c r="B1207" s="1" t="s">
        <v>223</v>
      </c>
      <c r="C1207" s="4">
        <v>13</v>
      </c>
      <c r="D1207" s="8">
        <v>9.6999999999999993</v>
      </c>
      <c r="E1207" s="4">
        <v>7</v>
      </c>
      <c r="F1207" s="8">
        <v>8.33</v>
      </c>
      <c r="G1207" s="4">
        <v>6</v>
      </c>
      <c r="H1207" s="8">
        <v>13.95</v>
      </c>
      <c r="I1207" s="4">
        <v>0</v>
      </c>
    </row>
    <row r="1208" spans="1:9" x14ac:dyDescent="0.2">
      <c r="A1208" s="2">
        <v>4</v>
      </c>
      <c r="B1208" s="1" t="s">
        <v>213</v>
      </c>
      <c r="C1208" s="4">
        <v>10</v>
      </c>
      <c r="D1208" s="8">
        <v>7.46</v>
      </c>
      <c r="E1208" s="4">
        <v>5</v>
      </c>
      <c r="F1208" s="8">
        <v>5.95</v>
      </c>
      <c r="G1208" s="4">
        <v>5</v>
      </c>
      <c r="H1208" s="8">
        <v>11.63</v>
      </c>
      <c r="I1208" s="4">
        <v>0</v>
      </c>
    </row>
    <row r="1209" spans="1:9" x14ac:dyDescent="0.2">
      <c r="A1209" s="2">
        <v>5</v>
      </c>
      <c r="B1209" s="1" t="s">
        <v>221</v>
      </c>
      <c r="C1209" s="4">
        <v>9</v>
      </c>
      <c r="D1209" s="8">
        <v>6.72</v>
      </c>
      <c r="E1209" s="4">
        <v>4</v>
      </c>
      <c r="F1209" s="8">
        <v>4.76</v>
      </c>
      <c r="G1209" s="4">
        <v>4</v>
      </c>
      <c r="H1209" s="8">
        <v>9.3000000000000007</v>
      </c>
      <c r="I1209" s="4">
        <v>1</v>
      </c>
    </row>
    <row r="1210" spans="1:9" x14ac:dyDescent="0.2">
      <c r="A1210" s="2">
        <v>6</v>
      </c>
      <c r="B1210" s="1" t="s">
        <v>214</v>
      </c>
      <c r="C1210" s="4">
        <v>7</v>
      </c>
      <c r="D1210" s="8">
        <v>5.22</v>
      </c>
      <c r="E1210" s="4">
        <v>7</v>
      </c>
      <c r="F1210" s="8">
        <v>8.33</v>
      </c>
      <c r="G1210" s="4">
        <v>0</v>
      </c>
      <c r="H1210" s="8">
        <v>0</v>
      </c>
      <c r="I1210" s="4">
        <v>0</v>
      </c>
    </row>
    <row r="1211" spans="1:9" x14ac:dyDescent="0.2">
      <c r="A1211" s="2">
        <v>7</v>
      </c>
      <c r="B1211" s="1" t="s">
        <v>222</v>
      </c>
      <c r="C1211" s="4">
        <v>6</v>
      </c>
      <c r="D1211" s="8">
        <v>4.4800000000000004</v>
      </c>
      <c r="E1211" s="4">
        <v>4</v>
      </c>
      <c r="F1211" s="8">
        <v>4.76</v>
      </c>
      <c r="G1211" s="4">
        <v>2</v>
      </c>
      <c r="H1211" s="8">
        <v>4.6500000000000004</v>
      </c>
      <c r="I1211" s="4">
        <v>0</v>
      </c>
    </row>
    <row r="1212" spans="1:9" x14ac:dyDescent="0.2">
      <c r="A1212" s="2">
        <v>8</v>
      </c>
      <c r="B1212" s="1" t="s">
        <v>215</v>
      </c>
      <c r="C1212" s="4">
        <v>4</v>
      </c>
      <c r="D1212" s="8">
        <v>2.99</v>
      </c>
      <c r="E1212" s="4">
        <v>1</v>
      </c>
      <c r="F1212" s="8">
        <v>1.19</v>
      </c>
      <c r="G1212" s="4">
        <v>3</v>
      </c>
      <c r="H1212" s="8">
        <v>6.98</v>
      </c>
      <c r="I1212" s="4">
        <v>0</v>
      </c>
    </row>
    <row r="1213" spans="1:9" x14ac:dyDescent="0.2">
      <c r="A1213" s="2">
        <v>8</v>
      </c>
      <c r="B1213" s="1" t="s">
        <v>220</v>
      </c>
      <c r="C1213" s="4">
        <v>4</v>
      </c>
      <c r="D1213" s="8">
        <v>2.99</v>
      </c>
      <c r="E1213" s="4">
        <v>3</v>
      </c>
      <c r="F1213" s="8">
        <v>3.57</v>
      </c>
      <c r="G1213" s="4">
        <v>1</v>
      </c>
      <c r="H1213" s="8">
        <v>2.33</v>
      </c>
      <c r="I1213" s="4">
        <v>0</v>
      </c>
    </row>
    <row r="1214" spans="1:9" x14ac:dyDescent="0.2">
      <c r="A1214" s="2">
        <v>8</v>
      </c>
      <c r="B1214" s="1" t="s">
        <v>226</v>
      </c>
      <c r="C1214" s="4">
        <v>4</v>
      </c>
      <c r="D1214" s="8">
        <v>2.99</v>
      </c>
      <c r="E1214" s="4">
        <v>3</v>
      </c>
      <c r="F1214" s="8">
        <v>3.57</v>
      </c>
      <c r="G1214" s="4">
        <v>1</v>
      </c>
      <c r="H1214" s="8">
        <v>2.33</v>
      </c>
      <c r="I1214" s="4">
        <v>0</v>
      </c>
    </row>
    <row r="1215" spans="1:9" x14ac:dyDescent="0.2">
      <c r="A1215" s="2">
        <v>11</v>
      </c>
      <c r="B1215" s="1" t="s">
        <v>254</v>
      </c>
      <c r="C1215" s="4">
        <v>3</v>
      </c>
      <c r="D1215" s="8">
        <v>2.2400000000000002</v>
      </c>
      <c r="E1215" s="4">
        <v>1</v>
      </c>
      <c r="F1215" s="8">
        <v>1.19</v>
      </c>
      <c r="G1215" s="4">
        <v>2</v>
      </c>
      <c r="H1215" s="8">
        <v>4.6500000000000004</v>
      </c>
      <c r="I1215" s="4">
        <v>0</v>
      </c>
    </row>
    <row r="1216" spans="1:9" x14ac:dyDescent="0.2">
      <c r="A1216" s="2">
        <v>11</v>
      </c>
      <c r="B1216" s="1" t="s">
        <v>237</v>
      </c>
      <c r="C1216" s="4">
        <v>3</v>
      </c>
      <c r="D1216" s="8">
        <v>2.2400000000000002</v>
      </c>
      <c r="E1216" s="4">
        <v>0</v>
      </c>
      <c r="F1216" s="8">
        <v>0</v>
      </c>
      <c r="G1216" s="4">
        <v>3</v>
      </c>
      <c r="H1216" s="8">
        <v>6.98</v>
      </c>
      <c r="I1216" s="4">
        <v>0</v>
      </c>
    </row>
    <row r="1217" spans="1:9" x14ac:dyDescent="0.2">
      <c r="A1217" s="2">
        <v>11</v>
      </c>
      <c r="B1217" s="1" t="s">
        <v>243</v>
      </c>
      <c r="C1217" s="4">
        <v>3</v>
      </c>
      <c r="D1217" s="8">
        <v>2.2400000000000002</v>
      </c>
      <c r="E1217" s="4">
        <v>1</v>
      </c>
      <c r="F1217" s="8">
        <v>1.19</v>
      </c>
      <c r="G1217" s="4">
        <v>2</v>
      </c>
      <c r="H1217" s="8">
        <v>4.6500000000000004</v>
      </c>
      <c r="I1217" s="4">
        <v>0</v>
      </c>
    </row>
    <row r="1218" spans="1:9" x14ac:dyDescent="0.2">
      <c r="A1218" s="2">
        <v>11</v>
      </c>
      <c r="B1218" s="1" t="s">
        <v>229</v>
      </c>
      <c r="C1218" s="4">
        <v>3</v>
      </c>
      <c r="D1218" s="8">
        <v>2.2400000000000002</v>
      </c>
      <c r="E1218" s="4">
        <v>1</v>
      </c>
      <c r="F1218" s="8">
        <v>1.19</v>
      </c>
      <c r="G1218" s="4">
        <v>1</v>
      </c>
      <c r="H1218" s="8">
        <v>2.33</v>
      </c>
      <c r="I1218" s="4">
        <v>0</v>
      </c>
    </row>
    <row r="1219" spans="1:9" x14ac:dyDescent="0.2">
      <c r="A1219" s="2">
        <v>11</v>
      </c>
      <c r="B1219" s="1" t="s">
        <v>230</v>
      </c>
      <c r="C1219" s="4">
        <v>3</v>
      </c>
      <c r="D1219" s="8">
        <v>2.2400000000000002</v>
      </c>
      <c r="E1219" s="4">
        <v>2</v>
      </c>
      <c r="F1219" s="8">
        <v>2.38</v>
      </c>
      <c r="G1219" s="4">
        <v>0</v>
      </c>
      <c r="H1219" s="8">
        <v>0</v>
      </c>
      <c r="I1219" s="4">
        <v>0</v>
      </c>
    </row>
    <row r="1220" spans="1:9" x14ac:dyDescent="0.2">
      <c r="A1220" s="2">
        <v>16</v>
      </c>
      <c r="B1220" s="1" t="s">
        <v>258</v>
      </c>
      <c r="C1220" s="4">
        <v>2</v>
      </c>
      <c r="D1220" s="8">
        <v>1.49</v>
      </c>
      <c r="E1220" s="4">
        <v>2</v>
      </c>
      <c r="F1220" s="8">
        <v>2.38</v>
      </c>
      <c r="G1220" s="4">
        <v>0</v>
      </c>
      <c r="H1220" s="8">
        <v>0</v>
      </c>
      <c r="I1220" s="4">
        <v>0</v>
      </c>
    </row>
    <row r="1221" spans="1:9" x14ac:dyDescent="0.2">
      <c r="A1221" s="2">
        <v>16</v>
      </c>
      <c r="B1221" s="1" t="s">
        <v>238</v>
      </c>
      <c r="C1221" s="4">
        <v>2</v>
      </c>
      <c r="D1221" s="8">
        <v>1.49</v>
      </c>
      <c r="E1221" s="4">
        <v>0</v>
      </c>
      <c r="F1221" s="8">
        <v>0</v>
      </c>
      <c r="G1221" s="4">
        <v>2</v>
      </c>
      <c r="H1221" s="8">
        <v>4.6500000000000004</v>
      </c>
      <c r="I1221" s="4">
        <v>0</v>
      </c>
    </row>
    <row r="1222" spans="1:9" x14ac:dyDescent="0.2">
      <c r="A1222" s="2">
        <v>16</v>
      </c>
      <c r="B1222" s="1" t="s">
        <v>224</v>
      </c>
      <c r="C1222" s="4">
        <v>2</v>
      </c>
      <c r="D1222" s="8">
        <v>1.49</v>
      </c>
      <c r="E1222" s="4">
        <v>1</v>
      </c>
      <c r="F1222" s="8">
        <v>1.19</v>
      </c>
      <c r="G1222" s="4">
        <v>1</v>
      </c>
      <c r="H1222" s="8">
        <v>2.33</v>
      </c>
      <c r="I1222" s="4">
        <v>0</v>
      </c>
    </row>
    <row r="1223" spans="1:9" x14ac:dyDescent="0.2">
      <c r="A1223" s="2">
        <v>16</v>
      </c>
      <c r="B1223" s="1" t="s">
        <v>246</v>
      </c>
      <c r="C1223" s="4">
        <v>2</v>
      </c>
      <c r="D1223" s="8">
        <v>1.49</v>
      </c>
      <c r="E1223" s="4">
        <v>0</v>
      </c>
      <c r="F1223" s="8">
        <v>0</v>
      </c>
      <c r="G1223" s="4">
        <v>2</v>
      </c>
      <c r="H1223" s="8">
        <v>4.6500000000000004</v>
      </c>
      <c r="I1223" s="4">
        <v>0</v>
      </c>
    </row>
    <row r="1224" spans="1:9" x14ac:dyDescent="0.2">
      <c r="A1224" s="2">
        <v>16</v>
      </c>
      <c r="B1224" s="1" t="s">
        <v>247</v>
      </c>
      <c r="C1224" s="4">
        <v>2</v>
      </c>
      <c r="D1224" s="8">
        <v>1.49</v>
      </c>
      <c r="E1224" s="4">
        <v>0</v>
      </c>
      <c r="F1224" s="8">
        <v>0</v>
      </c>
      <c r="G1224" s="4">
        <v>0</v>
      </c>
      <c r="H1224" s="8">
        <v>0</v>
      </c>
      <c r="I1224" s="4">
        <v>1</v>
      </c>
    </row>
    <row r="1225" spans="1:9" x14ac:dyDescent="0.2">
      <c r="A1225" s="2">
        <v>16</v>
      </c>
      <c r="B1225" s="1" t="s">
        <v>240</v>
      </c>
      <c r="C1225" s="4">
        <v>2</v>
      </c>
      <c r="D1225" s="8">
        <v>1.49</v>
      </c>
      <c r="E1225" s="4">
        <v>2</v>
      </c>
      <c r="F1225" s="8">
        <v>2.38</v>
      </c>
      <c r="G1225" s="4">
        <v>0</v>
      </c>
      <c r="H1225" s="8">
        <v>0</v>
      </c>
      <c r="I1225" s="4">
        <v>0</v>
      </c>
    </row>
    <row r="1226" spans="1:9" x14ac:dyDescent="0.2">
      <c r="A1226" s="1"/>
      <c r="C1226" s="4"/>
      <c r="D1226" s="8"/>
      <c r="E1226" s="4"/>
      <c r="F1226" s="8"/>
      <c r="G1226" s="4"/>
      <c r="H1226" s="8"/>
      <c r="I1226" s="4"/>
    </row>
    <row r="1227" spans="1:9" x14ac:dyDescent="0.2">
      <c r="A1227" s="1" t="s">
        <v>52</v>
      </c>
      <c r="C1227" s="4"/>
      <c r="D1227" s="8"/>
      <c r="E1227" s="4"/>
      <c r="F1227" s="8"/>
      <c r="G1227" s="4"/>
      <c r="H1227" s="8"/>
      <c r="I1227" s="4"/>
    </row>
    <row r="1228" spans="1:9" x14ac:dyDescent="0.2">
      <c r="A1228" s="2">
        <v>1</v>
      </c>
      <c r="B1228" s="1" t="s">
        <v>228</v>
      </c>
      <c r="C1228" s="4">
        <v>57</v>
      </c>
      <c r="D1228" s="8">
        <v>12.26</v>
      </c>
      <c r="E1228" s="4">
        <v>50</v>
      </c>
      <c r="F1228" s="8">
        <v>23.81</v>
      </c>
      <c r="G1228" s="4">
        <v>7</v>
      </c>
      <c r="H1228" s="8">
        <v>2.86</v>
      </c>
      <c r="I1228" s="4">
        <v>0</v>
      </c>
    </row>
    <row r="1229" spans="1:9" x14ac:dyDescent="0.2">
      <c r="A1229" s="2">
        <v>2</v>
      </c>
      <c r="B1229" s="1" t="s">
        <v>213</v>
      </c>
      <c r="C1229" s="4">
        <v>43</v>
      </c>
      <c r="D1229" s="8">
        <v>9.25</v>
      </c>
      <c r="E1229" s="4">
        <v>13</v>
      </c>
      <c r="F1229" s="8">
        <v>6.19</v>
      </c>
      <c r="G1229" s="4">
        <v>30</v>
      </c>
      <c r="H1229" s="8">
        <v>12.24</v>
      </c>
      <c r="I1229" s="4">
        <v>0</v>
      </c>
    </row>
    <row r="1230" spans="1:9" x14ac:dyDescent="0.2">
      <c r="A1230" s="2">
        <v>3</v>
      </c>
      <c r="B1230" s="1" t="s">
        <v>227</v>
      </c>
      <c r="C1230" s="4">
        <v>34</v>
      </c>
      <c r="D1230" s="8">
        <v>7.31</v>
      </c>
      <c r="E1230" s="4">
        <v>26</v>
      </c>
      <c r="F1230" s="8">
        <v>12.38</v>
      </c>
      <c r="G1230" s="4">
        <v>8</v>
      </c>
      <c r="H1230" s="8">
        <v>3.27</v>
      </c>
      <c r="I1230" s="4">
        <v>0</v>
      </c>
    </row>
    <row r="1231" spans="1:9" x14ac:dyDescent="0.2">
      <c r="A1231" s="2">
        <v>4</v>
      </c>
      <c r="B1231" s="1" t="s">
        <v>215</v>
      </c>
      <c r="C1231" s="4">
        <v>28</v>
      </c>
      <c r="D1231" s="8">
        <v>6.02</v>
      </c>
      <c r="E1231" s="4">
        <v>9</v>
      </c>
      <c r="F1231" s="8">
        <v>4.29</v>
      </c>
      <c r="G1231" s="4">
        <v>19</v>
      </c>
      <c r="H1231" s="8">
        <v>7.76</v>
      </c>
      <c r="I1231" s="4">
        <v>0</v>
      </c>
    </row>
    <row r="1232" spans="1:9" x14ac:dyDescent="0.2">
      <c r="A1232" s="2">
        <v>4</v>
      </c>
      <c r="B1232" s="1" t="s">
        <v>232</v>
      </c>
      <c r="C1232" s="4">
        <v>28</v>
      </c>
      <c r="D1232" s="8">
        <v>6.02</v>
      </c>
      <c r="E1232" s="4">
        <v>0</v>
      </c>
      <c r="F1232" s="8">
        <v>0</v>
      </c>
      <c r="G1232" s="4">
        <v>25</v>
      </c>
      <c r="H1232" s="8">
        <v>10.199999999999999</v>
      </c>
      <c r="I1232" s="4">
        <v>0</v>
      </c>
    </row>
    <row r="1233" spans="1:9" x14ac:dyDescent="0.2">
      <c r="A1233" s="2">
        <v>6</v>
      </c>
      <c r="B1233" s="1" t="s">
        <v>223</v>
      </c>
      <c r="C1233" s="4">
        <v>26</v>
      </c>
      <c r="D1233" s="8">
        <v>5.59</v>
      </c>
      <c r="E1233" s="4">
        <v>9</v>
      </c>
      <c r="F1233" s="8">
        <v>4.29</v>
      </c>
      <c r="G1233" s="4">
        <v>17</v>
      </c>
      <c r="H1233" s="8">
        <v>6.94</v>
      </c>
      <c r="I1233" s="4">
        <v>0</v>
      </c>
    </row>
    <row r="1234" spans="1:9" x14ac:dyDescent="0.2">
      <c r="A1234" s="2">
        <v>7</v>
      </c>
      <c r="B1234" s="1" t="s">
        <v>221</v>
      </c>
      <c r="C1234" s="4">
        <v>22</v>
      </c>
      <c r="D1234" s="8">
        <v>4.7300000000000004</v>
      </c>
      <c r="E1234" s="4">
        <v>15</v>
      </c>
      <c r="F1234" s="8">
        <v>7.14</v>
      </c>
      <c r="G1234" s="4">
        <v>7</v>
      </c>
      <c r="H1234" s="8">
        <v>2.86</v>
      </c>
      <c r="I1234" s="4">
        <v>0</v>
      </c>
    </row>
    <row r="1235" spans="1:9" x14ac:dyDescent="0.2">
      <c r="A1235" s="2">
        <v>8</v>
      </c>
      <c r="B1235" s="1" t="s">
        <v>214</v>
      </c>
      <c r="C1235" s="4">
        <v>20</v>
      </c>
      <c r="D1235" s="8">
        <v>4.3</v>
      </c>
      <c r="E1235" s="4">
        <v>5</v>
      </c>
      <c r="F1235" s="8">
        <v>2.38</v>
      </c>
      <c r="G1235" s="4">
        <v>15</v>
      </c>
      <c r="H1235" s="8">
        <v>6.12</v>
      </c>
      <c r="I1235" s="4">
        <v>0</v>
      </c>
    </row>
    <row r="1236" spans="1:9" x14ac:dyDescent="0.2">
      <c r="A1236" s="2">
        <v>9</v>
      </c>
      <c r="B1236" s="1" t="s">
        <v>240</v>
      </c>
      <c r="C1236" s="4">
        <v>18</v>
      </c>
      <c r="D1236" s="8">
        <v>3.87</v>
      </c>
      <c r="E1236" s="4">
        <v>13</v>
      </c>
      <c r="F1236" s="8">
        <v>6.19</v>
      </c>
      <c r="G1236" s="4">
        <v>5</v>
      </c>
      <c r="H1236" s="8">
        <v>2.04</v>
      </c>
      <c r="I1236" s="4">
        <v>0</v>
      </c>
    </row>
    <row r="1237" spans="1:9" x14ac:dyDescent="0.2">
      <c r="A1237" s="2">
        <v>10</v>
      </c>
      <c r="B1237" s="1" t="s">
        <v>231</v>
      </c>
      <c r="C1237" s="4">
        <v>16</v>
      </c>
      <c r="D1237" s="8">
        <v>3.44</v>
      </c>
      <c r="E1237" s="4">
        <v>15</v>
      </c>
      <c r="F1237" s="8">
        <v>7.14</v>
      </c>
      <c r="G1237" s="4">
        <v>1</v>
      </c>
      <c r="H1237" s="8">
        <v>0.41</v>
      </c>
      <c r="I1237" s="4">
        <v>0</v>
      </c>
    </row>
    <row r="1238" spans="1:9" x14ac:dyDescent="0.2">
      <c r="A1238" s="2">
        <v>11</v>
      </c>
      <c r="B1238" s="1" t="s">
        <v>226</v>
      </c>
      <c r="C1238" s="4">
        <v>13</v>
      </c>
      <c r="D1238" s="8">
        <v>2.8</v>
      </c>
      <c r="E1238" s="4">
        <v>6</v>
      </c>
      <c r="F1238" s="8">
        <v>2.86</v>
      </c>
      <c r="G1238" s="4">
        <v>7</v>
      </c>
      <c r="H1238" s="8">
        <v>2.86</v>
      </c>
      <c r="I1238" s="4">
        <v>0</v>
      </c>
    </row>
    <row r="1239" spans="1:9" x14ac:dyDescent="0.2">
      <c r="A1239" s="2">
        <v>11</v>
      </c>
      <c r="B1239" s="1" t="s">
        <v>230</v>
      </c>
      <c r="C1239" s="4">
        <v>13</v>
      </c>
      <c r="D1239" s="8">
        <v>2.8</v>
      </c>
      <c r="E1239" s="4">
        <v>9</v>
      </c>
      <c r="F1239" s="8">
        <v>4.29</v>
      </c>
      <c r="G1239" s="4">
        <v>2</v>
      </c>
      <c r="H1239" s="8">
        <v>0.82</v>
      </c>
      <c r="I1239" s="4">
        <v>0</v>
      </c>
    </row>
    <row r="1240" spans="1:9" x14ac:dyDescent="0.2">
      <c r="A1240" s="2">
        <v>13</v>
      </c>
      <c r="B1240" s="1" t="s">
        <v>222</v>
      </c>
      <c r="C1240" s="4">
        <v>12</v>
      </c>
      <c r="D1240" s="8">
        <v>2.58</v>
      </c>
      <c r="E1240" s="4">
        <v>5</v>
      </c>
      <c r="F1240" s="8">
        <v>2.38</v>
      </c>
      <c r="G1240" s="4">
        <v>7</v>
      </c>
      <c r="H1240" s="8">
        <v>2.86</v>
      </c>
      <c r="I1240" s="4">
        <v>0</v>
      </c>
    </row>
    <row r="1241" spans="1:9" x14ac:dyDescent="0.2">
      <c r="A1241" s="2">
        <v>13</v>
      </c>
      <c r="B1241" s="1" t="s">
        <v>224</v>
      </c>
      <c r="C1241" s="4">
        <v>12</v>
      </c>
      <c r="D1241" s="8">
        <v>2.58</v>
      </c>
      <c r="E1241" s="4">
        <v>0</v>
      </c>
      <c r="F1241" s="8">
        <v>0</v>
      </c>
      <c r="G1241" s="4">
        <v>12</v>
      </c>
      <c r="H1241" s="8">
        <v>4.9000000000000004</v>
      </c>
      <c r="I1241" s="4">
        <v>0</v>
      </c>
    </row>
    <row r="1242" spans="1:9" x14ac:dyDescent="0.2">
      <c r="A1242" s="2">
        <v>15</v>
      </c>
      <c r="B1242" s="1" t="s">
        <v>217</v>
      </c>
      <c r="C1242" s="4">
        <v>10</v>
      </c>
      <c r="D1242" s="8">
        <v>2.15</v>
      </c>
      <c r="E1242" s="4">
        <v>2</v>
      </c>
      <c r="F1242" s="8">
        <v>0.95</v>
      </c>
      <c r="G1242" s="4">
        <v>8</v>
      </c>
      <c r="H1242" s="8">
        <v>3.27</v>
      </c>
      <c r="I1242" s="4">
        <v>0</v>
      </c>
    </row>
    <row r="1243" spans="1:9" x14ac:dyDescent="0.2">
      <c r="A1243" s="2">
        <v>16</v>
      </c>
      <c r="B1243" s="1" t="s">
        <v>239</v>
      </c>
      <c r="C1243" s="4">
        <v>9</v>
      </c>
      <c r="D1243" s="8">
        <v>1.94</v>
      </c>
      <c r="E1243" s="4">
        <v>0</v>
      </c>
      <c r="F1243" s="8">
        <v>0</v>
      </c>
      <c r="G1243" s="4">
        <v>8</v>
      </c>
      <c r="H1243" s="8">
        <v>3.27</v>
      </c>
      <c r="I1243" s="4">
        <v>0</v>
      </c>
    </row>
    <row r="1244" spans="1:9" x14ac:dyDescent="0.2">
      <c r="A1244" s="2">
        <v>17</v>
      </c>
      <c r="B1244" s="1" t="s">
        <v>229</v>
      </c>
      <c r="C1244" s="4">
        <v>8</v>
      </c>
      <c r="D1244" s="8">
        <v>1.72</v>
      </c>
      <c r="E1244" s="4">
        <v>3</v>
      </c>
      <c r="F1244" s="8">
        <v>1.43</v>
      </c>
      <c r="G1244" s="4">
        <v>4</v>
      </c>
      <c r="H1244" s="8">
        <v>1.63</v>
      </c>
      <c r="I1244" s="4">
        <v>0</v>
      </c>
    </row>
    <row r="1245" spans="1:9" x14ac:dyDescent="0.2">
      <c r="A1245" s="2">
        <v>18</v>
      </c>
      <c r="B1245" s="1" t="s">
        <v>249</v>
      </c>
      <c r="C1245" s="4">
        <v>7</v>
      </c>
      <c r="D1245" s="8">
        <v>1.51</v>
      </c>
      <c r="E1245" s="4">
        <v>0</v>
      </c>
      <c r="F1245" s="8">
        <v>0</v>
      </c>
      <c r="G1245" s="4">
        <v>7</v>
      </c>
      <c r="H1245" s="8">
        <v>2.86</v>
      </c>
      <c r="I1245" s="4">
        <v>0</v>
      </c>
    </row>
    <row r="1246" spans="1:9" x14ac:dyDescent="0.2">
      <c r="A1246" s="2">
        <v>19</v>
      </c>
      <c r="B1246" s="1" t="s">
        <v>241</v>
      </c>
      <c r="C1246" s="4">
        <v>6</v>
      </c>
      <c r="D1246" s="8">
        <v>1.29</v>
      </c>
      <c r="E1246" s="4">
        <v>2</v>
      </c>
      <c r="F1246" s="8">
        <v>0.95</v>
      </c>
      <c r="G1246" s="4">
        <v>4</v>
      </c>
      <c r="H1246" s="8">
        <v>1.63</v>
      </c>
      <c r="I1246" s="4">
        <v>0</v>
      </c>
    </row>
    <row r="1247" spans="1:9" x14ac:dyDescent="0.2">
      <c r="A1247" s="2">
        <v>19</v>
      </c>
      <c r="B1247" s="1" t="s">
        <v>258</v>
      </c>
      <c r="C1247" s="4">
        <v>6</v>
      </c>
      <c r="D1247" s="8">
        <v>1.29</v>
      </c>
      <c r="E1247" s="4">
        <v>2</v>
      </c>
      <c r="F1247" s="8">
        <v>0.95</v>
      </c>
      <c r="G1247" s="4">
        <v>3</v>
      </c>
      <c r="H1247" s="8">
        <v>1.22</v>
      </c>
      <c r="I1247" s="4">
        <v>1</v>
      </c>
    </row>
    <row r="1248" spans="1:9" x14ac:dyDescent="0.2">
      <c r="A1248" s="1"/>
      <c r="C1248" s="4"/>
      <c r="D1248" s="8"/>
      <c r="E1248" s="4"/>
      <c r="F1248" s="8"/>
      <c r="G1248" s="4"/>
      <c r="H1248" s="8"/>
      <c r="I1248" s="4"/>
    </row>
    <row r="1249" spans="1:9" x14ac:dyDescent="0.2">
      <c r="A1249" s="1" t="s">
        <v>53</v>
      </c>
      <c r="C1249" s="4"/>
      <c r="D1249" s="8"/>
      <c r="E1249" s="4"/>
      <c r="F1249" s="8"/>
      <c r="G1249" s="4"/>
      <c r="H1249" s="8"/>
      <c r="I1249" s="4"/>
    </row>
    <row r="1250" spans="1:9" x14ac:dyDescent="0.2">
      <c r="A1250" s="2">
        <v>1</v>
      </c>
      <c r="B1250" s="1" t="s">
        <v>228</v>
      </c>
      <c r="C1250" s="4">
        <v>12</v>
      </c>
      <c r="D1250" s="8">
        <v>13.48</v>
      </c>
      <c r="E1250" s="4">
        <v>11</v>
      </c>
      <c r="F1250" s="8">
        <v>22</v>
      </c>
      <c r="G1250" s="4">
        <v>1</v>
      </c>
      <c r="H1250" s="8">
        <v>2.56</v>
      </c>
      <c r="I1250" s="4">
        <v>0</v>
      </c>
    </row>
    <row r="1251" spans="1:9" x14ac:dyDescent="0.2">
      <c r="A1251" s="2">
        <v>2</v>
      </c>
      <c r="B1251" s="1" t="s">
        <v>213</v>
      </c>
      <c r="C1251" s="4">
        <v>11</v>
      </c>
      <c r="D1251" s="8">
        <v>12.36</v>
      </c>
      <c r="E1251" s="4">
        <v>4</v>
      </c>
      <c r="F1251" s="8">
        <v>8</v>
      </c>
      <c r="G1251" s="4">
        <v>7</v>
      </c>
      <c r="H1251" s="8">
        <v>17.95</v>
      </c>
      <c r="I1251" s="4">
        <v>0</v>
      </c>
    </row>
    <row r="1252" spans="1:9" x14ac:dyDescent="0.2">
      <c r="A1252" s="2">
        <v>3</v>
      </c>
      <c r="B1252" s="1" t="s">
        <v>221</v>
      </c>
      <c r="C1252" s="4">
        <v>10</v>
      </c>
      <c r="D1252" s="8">
        <v>11.24</v>
      </c>
      <c r="E1252" s="4">
        <v>7</v>
      </c>
      <c r="F1252" s="8">
        <v>14</v>
      </c>
      <c r="G1252" s="4">
        <v>3</v>
      </c>
      <c r="H1252" s="8">
        <v>7.69</v>
      </c>
      <c r="I1252" s="4">
        <v>0</v>
      </c>
    </row>
    <row r="1253" spans="1:9" x14ac:dyDescent="0.2">
      <c r="A1253" s="2">
        <v>3</v>
      </c>
      <c r="B1253" s="1" t="s">
        <v>227</v>
      </c>
      <c r="C1253" s="4">
        <v>10</v>
      </c>
      <c r="D1253" s="8">
        <v>11.24</v>
      </c>
      <c r="E1253" s="4">
        <v>10</v>
      </c>
      <c r="F1253" s="8">
        <v>20</v>
      </c>
      <c r="G1253" s="4">
        <v>0</v>
      </c>
      <c r="H1253" s="8">
        <v>0</v>
      </c>
      <c r="I1253" s="4">
        <v>0</v>
      </c>
    </row>
    <row r="1254" spans="1:9" x14ac:dyDescent="0.2">
      <c r="A1254" s="2">
        <v>5</v>
      </c>
      <c r="B1254" s="1" t="s">
        <v>223</v>
      </c>
      <c r="C1254" s="4">
        <v>8</v>
      </c>
      <c r="D1254" s="8">
        <v>8.99</v>
      </c>
      <c r="E1254" s="4">
        <v>5</v>
      </c>
      <c r="F1254" s="8">
        <v>10</v>
      </c>
      <c r="G1254" s="4">
        <v>3</v>
      </c>
      <c r="H1254" s="8">
        <v>7.69</v>
      </c>
      <c r="I1254" s="4">
        <v>0</v>
      </c>
    </row>
    <row r="1255" spans="1:9" x14ac:dyDescent="0.2">
      <c r="A1255" s="2">
        <v>6</v>
      </c>
      <c r="B1255" s="1" t="s">
        <v>214</v>
      </c>
      <c r="C1255" s="4">
        <v>4</v>
      </c>
      <c r="D1255" s="8">
        <v>4.49</v>
      </c>
      <c r="E1255" s="4">
        <v>2</v>
      </c>
      <c r="F1255" s="8">
        <v>4</v>
      </c>
      <c r="G1255" s="4">
        <v>2</v>
      </c>
      <c r="H1255" s="8">
        <v>5.13</v>
      </c>
      <c r="I1255" s="4">
        <v>0</v>
      </c>
    </row>
    <row r="1256" spans="1:9" x14ac:dyDescent="0.2">
      <c r="A1256" s="2">
        <v>7</v>
      </c>
      <c r="B1256" s="1" t="s">
        <v>215</v>
      </c>
      <c r="C1256" s="4">
        <v>3</v>
      </c>
      <c r="D1256" s="8">
        <v>3.37</v>
      </c>
      <c r="E1256" s="4">
        <v>1</v>
      </c>
      <c r="F1256" s="8">
        <v>2</v>
      </c>
      <c r="G1256" s="4">
        <v>2</v>
      </c>
      <c r="H1256" s="8">
        <v>5.13</v>
      </c>
      <c r="I1256" s="4">
        <v>0</v>
      </c>
    </row>
    <row r="1257" spans="1:9" x14ac:dyDescent="0.2">
      <c r="A1257" s="2">
        <v>7</v>
      </c>
      <c r="B1257" s="1" t="s">
        <v>243</v>
      </c>
      <c r="C1257" s="4">
        <v>3</v>
      </c>
      <c r="D1257" s="8">
        <v>3.37</v>
      </c>
      <c r="E1257" s="4">
        <v>2</v>
      </c>
      <c r="F1257" s="8">
        <v>4</v>
      </c>
      <c r="G1257" s="4">
        <v>1</v>
      </c>
      <c r="H1257" s="8">
        <v>2.56</v>
      </c>
      <c r="I1257" s="4">
        <v>0</v>
      </c>
    </row>
    <row r="1258" spans="1:9" x14ac:dyDescent="0.2">
      <c r="A1258" s="2">
        <v>9</v>
      </c>
      <c r="B1258" s="1" t="s">
        <v>241</v>
      </c>
      <c r="C1258" s="4">
        <v>2</v>
      </c>
      <c r="D1258" s="8">
        <v>2.25</v>
      </c>
      <c r="E1258" s="4">
        <v>0</v>
      </c>
      <c r="F1258" s="8">
        <v>0</v>
      </c>
      <c r="G1258" s="4">
        <v>2</v>
      </c>
      <c r="H1258" s="8">
        <v>5.13</v>
      </c>
      <c r="I1258" s="4">
        <v>0</v>
      </c>
    </row>
    <row r="1259" spans="1:9" x14ac:dyDescent="0.2">
      <c r="A1259" s="2">
        <v>9</v>
      </c>
      <c r="B1259" s="1" t="s">
        <v>254</v>
      </c>
      <c r="C1259" s="4">
        <v>2</v>
      </c>
      <c r="D1259" s="8">
        <v>2.25</v>
      </c>
      <c r="E1259" s="4">
        <v>0</v>
      </c>
      <c r="F1259" s="8">
        <v>0</v>
      </c>
      <c r="G1259" s="4">
        <v>2</v>
      </c>
      <c r="H1259" s="8">
        <v>5.13</v>
      </c>
      <c r="I1259" s="4">
        <v>0</v>
      </c>
    </row>
    <row r="1260" spans="1:9" x14ac:dyDescent="0.2">
      <c r="A1260" s="2">
        <v>9</v>
      </c>
      <c r="B1260" s="1" t="s">
        <v>257</v>
      </c>
      <c r="C1260" s="4">
        <v>2</v>
      </c>
      <c r="D1260" s="8">
        <v>2.25</v>
      </c>
      <c r="E1260" s="4">
        <v>1</v>
      </c>
      <c r="F1260" s="8">
        <v>2</v>
      </c>
      <c r="G1260" s="4">
        <v>1</v>
      </c>
      <c r="H1260" s="8">
        <v>2.56</v>
      </c>
      <c r="I1260" s="4">
        <v>0</v>
      </c>
    </row>
    <row r="1261" spans="1:9" x14ac:dyDescent="0.2">
      <c r="A1261" s="2">
        <v>9</v>
      </c>
      <c r="B1261" s="1" t="s">
        <v>216</v>
      </c>
      <c r="C1261" s="4">
        <v>2</v>
      </c>
      <c r="D1261" s="8">
        <v>2.25</v>
      </c>
      <c r="E1261" s="4">
        <v>1</v>
      </c>
      <c r="F1261" s="8">
        <v>2</v>
      </c>
      <c r="G1261" s="4">
        <v>1</v>
      </c>
      <c r="H1261" s="8">
        <v>2.56</v>
      </c>
      <c r="I1261" s="4">
        <v>0</v>
      </c>
    </row>
    <row r="1262" spans="1:9" x14ac:dyDescent="0.2">
      <c r="A1262" s="2">
        <v>9</v>
      </c>
      <c r="B1262" s="1" t="s">
        <v>222</v>
      </c>
      <c r="C1262" s="4">
        <v>2</v>
      </c>
      <c r="D1262" s="8">
        <v>2.25</v>
      </c>
      <c r="E1262" s="4">
        <v>1</v>
      </c>
      <c r="F1262" s="8">
        <v>2</v>
      </c>
      <c r="G1262" s="4">
        <v>1</v>
      </c>
      <c r="H1262" s="8">
        <v>2.56</v>
      </c>
      <c r="I1262" s="4">
        <v>0</v>
      </c>
    </row>
    <row r="1263" spans="1:9" x14ac:dyDescent="0.2">
      <c r="A1263" s="2">
        <v>9</v>
      </c>
      <c r="B1263" s="1" t="s">
        <v>230</v>
      </c>
      <c r="C1263" s="4">
        <v>2</v>
      </c>
      <c r="D1263" s="8">
        <v>2.25</v>
      </c>
      <c r="E1263" s="4">
        <v>1</v>
      </c>
      <c r="F1263" s="8">
        <v>2</v>
      </c>
      <c r="G1263" s="4">
        <v>1</v>
      </c>
      <c r="H1263" s="8">
        <v>2.56</v>
      </c>
      <c r="I1263" s="4">
        <v>0</v>
      </c>
    </row>
    <row r="1264" spans="1:9" x14ac:dyDescent="0.2">
      <c r="A1264" s="2">
        <v>9</v>
      </c>
      <c r="B1264" s="1" t="s">
        <v>232</v>
      </c>
      <c r="C1264" s="4">
        <v>2</v>
      </c>
      <c r="D1264" s="8">
        <v>2.25</v>
      </c>
      <c r="E1264" s="4">
        <v>0</v>
      </c>
      <c r="F1264" s="8">
        <v>0</v>
      </c>
      <c r="G1264" s="4">
        <v>2</v>
      </c>
      <c r="H1264" s="8">
        <v>5.13</v>
      </c>
      <c r="I1264" s="4">
        <v>0</v>
      </c>
    </row>
    <row r="1265" spans="1:9" x14ac:dyDescent="0.2">
      <c r="A1265" s="2">
        <v>9</v>
      </c>
      <c r="B1265" s="1" t="s">
        <v>240</v>
      </c>
      <c r="C1265" s="4">
        <v>2</v>
      </c>
      <c r="D1265" s="8">
        <v>2.25</v>
      </c>
      <c r="E1265" s="4">
        <v>0</v>
      </c>
      <c r="F1265" s="8">
        <v>0</v>
      </c>
      <c r="G1265" s="4">
        <v>2</v>
      </c>
      <c r="H1265" s="8">
        <v>5.13</v>
      </c>
      <c r="I1265" s="4">
        <v>0</v>
      </c>
    </row>
    <row r="1266" spans="1:9" x14ac:dyDescent="0.2">
      <c r="A1266" s="2">
        <v>17</v>
      </c>
      <c r="B1266" s="1" t="s">
        <v>262</v>
      </c>
      <c r="C1266" s="4">
        <v>1</v>
      </c>
      <c r="D1266" s="8">
        <v>1.1200000000000001</v>
      </c>
      <c r="E1266" s="4">
        <v>0</v>
      </c>
      <c r="F1266" s="8">
        <v>0</v>
      </c>
      <c r="G1266" s="4">
        <v>1</v>
      </c>
      <c r="H1266" s="8">
        <v>2.56</v>
      </c>
      <c r="I1266" s="4">
        <v>0</v>
      </c>
    </row>
    <row r="1267" spans="1:9" x14ac:dyDescent="0.2">
      <c r="A1267" s="2">
        <v>17</v>
      </c>
      <c r="B1267" s="1" t="s">
        <v>244</v>
      </c>
      <c r="C1267" s="4">
        <v>1</v>
      </c>
      <c r="D1267" s="8">
        <v>1.1200000000000001</v>
      </c>
      <c r="E1267" s="4">
        <v>0</v>
      </c>
      <c r="F1267" s="8">
        <v>0</v>
      </c>
      <c r="G1267" s="4">
        <v>1</v>
      </c>
      <c r="H1267" s="8">
        <v>2.56</v>
      </c>
      <c r="I1267" s="4">
        <v>0</v>
      </c>
    </row>
    <row r="1268" spans="1:9" x14ac:dyDescent="0.2">
      <c r="A1268" s="2">
        <v>17</v>
      </c>
      <c r="B1268" s="1" t="s">
        <v>267</v>
      </c>
      <c r="C1268" s="4">
        <v>1</v>
      </c>
      <c r="D1268" s="8">
        <v>1.1200000000000001</v>
      </c>
      <c r="E1268" s="4">
        <v>1</v>
      </c>
      <c r="F1268" s="8">
        <v>2</v>
      </c>
      <c r="G1268" s="4">
        <v>0</v>
      </c>
      <c r="H1268" s="8">
        <v>0</v>
      </c>
      <c r="I1268" s="4">
        <v>0</v>
      </c>
    </row>
    <row r="1269" spans="1:9" x14ac:dyDescent="0.2">
      <c r="A1269" s="2">
        <v>17</v>
      </c>
      <c r="B1269" s="1" t="s">
        <v>265</v>
      </c>
      <c r="C1269" s="4">
        <v>1</v>
      </c>
      <c r="D1269" s="8">
        <v>1.1200000000000001</v>
      </c>
      <c r="E1269" s="4">
        <v>0</v>
      </c>
      <c r="F1269" s="8">
        <v>0</v>
      </c>
      <c r="G1269" s="4">
        <v>1</v>
      </c>
      <c r="H1269" s="8">
        <v>2.56</v>
      </c>
      <c r="I1269" s="4">
        <v>0</v>
      </c>
    </row>
    <row r="1270" spans="1:9" x14ac:dyDescent="0.2">
      <c r="A1270" s="2">
        <v>17</v>
      </c>
      <c r="B1270" s="1" t="s">
        <v>248</v>
      </c>
      <c r="C1270" s="4">
        <v>1</v>
      </c>
      <c r="D1270" s="8">
        <v>1.1200000000000001</v>
      </c>
      <c r="E1270" s="4">
        <v>0</v>
      </c>
      <c r="F1270" s="8">
        <v>0</v>
      </c>
      <c r="G1270" s="4">
        <v>1</v>
      </c>
      <c r="H1270" s="8">
        <v>2.56</v>
      </c>
      <c r="I1270" s="4">
        <v>0</v>
      </c>
    </row>
    <row r="1271" spans="1:9" x14ac:dyDescent="0.2">
      <c r="A1271" s="2">
        <v>17</v>
      </c>
      <c r="B1271" s="1" t="s">
        <v>219</v>
      </c>
      <c r="C1271" s="4">
        <v>1</v>
      </c>
      <c r="D1271" s="8">
        <v>1.1200000000000001</v>
      </c>
      <c r="E1271" s="4">
        <v>0</v>
      </c>
      <c r="F1271" s="8">
        <v>0</v>
      </c>
      <c r="G1271" s="4">
        <v>1</v>
      </c>
      <c r="H1271" s="8">
        <v>2.56</v>
      </c>
      <c r="I1271" s="4">
        <v>0</v>
      </c>
    </row>
    <row r="1272" spans="1:9" x14ac:dyDescent="0.2">
      <c r="A1272" s="2">
        <v>17</v>
      </c>
      <c r="B1272" s="1" t="s">
        <v>236</v>
      </c>
      <c r="C1272" s="4">
        <v>1</v>
      </c>
      <c r="D1272" s="8">
        <v>1.1200000000000001</v>
      </c>
      <c r="E1272" s="4">
        <v>0</v>
      </c>
      <c r="F1272" s="8">
        <v>0</v>
      </c>
      <c r="G1272" s="4">
        <v>1</v>
      </c>
      <c r="H1272" s="8">
        <v>2.56</v>
      </c>
      <c r="I1272" s="4">
        <v>0</v>
      </c>
    </row>
    <row r="1273" spans="1:9" x14ac:dyDescent="0.2">
      <c r="A1273" s="2">
        <v>17</v>
      </c>
      <c r="B1273" s="1" t="s">
        <v>239</v>
      </c>
      <c r="C1273" s="4">
        <v>1</v>
      </c>
      <c r="D1273" s="8">
        <v>1.1200000000000001</v>
      </c>
      <c r="E1273" s="4">
        <v>0</v>
      </c>
      <c r="F1273" s="8">
        <v>0</v>
      </c>
      <c r="G1273" s="4">
        <v>1</v>
      </c>
      <c r="H1273" s="8">
        <v>2.56</v>
      </c>
      <c r="I1273" s="4">
        <v>0</v>
      </c>
    </row>
    <row r="1274" spans="1:9" x14ac:dyDescent="0.2">
      <c r="A1274" s="2">
        <v>17</v>
      </c>
      <c r="B1274" s="1" t="s">
        <v>229</v>
      </c>
      <c r="C1274" s="4">
        <v>1</v>
      </c>
      <c r="D1274" s="8">
        <v>1.1200000000000001</v>
      </c>
      <c r="E1274" s="4">
        <v>0</v>
      </c>
      <c r="F1274" s="8">
        <v>0</v>
      </c>
      <c r="G1274" s="4">
        <v>1</v>
      </c>
      <c r="H1274" s="8">
        <v>2.56</v>
      </c>
      <c r="I1274" s="4">
        <v>0</v>
      </c>
    </row>
    <row r="1275" spans="1:9" x14ac:dyDescent="0.2">
      <c r="A1275" s="2">
        <v>17</v>
      </c>
      <c r="B1275" s="1" t="s">
        <v>231</v>
      </c>
      <c r="C1275" s="4">
        <v>1</v>
      </c>
      <c r="D1275" s="8">
        <v>1.1200000000000001</v>
      </c>
      <c r="E1275" s="4">
        <v>1</v>
      </c>
      <c r="F1275" s="8">
        <v>2</v>
      </c>
      <c r="G1275" s="4">
        <v>0</v>
      </c>
      <c r="H1275" s="8">
        <v>0</v>
      </c>
      <c r="I1275" s="4">
        <v>0</v>
      </c>
    </row>
    <row r="1276" spans="1:9" x14ac:dyDescent="0.2">
      <c r="A1276" s="2">
        <v>17</v>
      </c>
      <c r="B1276" s="1" t="s">
        <v>242</v>
      </c>
      <c r="C1276" s="4">
        <v>1</v>
      </c>
      <c r="D1276" s="8">
        <v>1.1200000000000001</v>
      </c>
      <c r="E1276" s="4">
        <v>1</v>
      </c>
      <c r="F1276" s="8">
        <v>2</v>
      </c>
      <c r="G1276" s="4">
        <v>0</v>
      </c>
      <c r="H1276" s="8">
        <v>0</v>
      </c>
      <c r="I1276" s="4">
        <v>0</v>
      </c>
    </row>
    <row r="1277" spans="1:9" x14ac:dyDescent="0.2">
      <c r="A1277" s="2">
        <v>17</v>
      </c>
      <c r="B1277" s="1" t="s">
        <v>234</v>
      </c>
      <c r="C1277" s="4">
        <v>1</v>
      </c>
      <c r="D1277" s="8">
        <v>1.1200000000000001</v>
      </c>
      <c r="E1277" s="4">
        <v>1</v>
      </c>
      <c r="F1277" s="8">
        <v>2</v>
      </c>
      <c r="G1277" s="4">
        <v>0</v>
      </c>
      <c r="H1277" s="8">
        <v>0</v>
      </c>
      <c r="I1277" s="4">
        <v>0</v>
      </c>
    </row>
    <row r="1278" spans="1:9" x14ac:dyDescent="0.2">
      <c r="A1278" s="1"/>
      <c r="C1278" s="4"/>
      <c r="D1278" s="8"/>
      <c r="E1278" s="4"/>
      <c r="F1278" s="8"/>
      <c r="G1278" s="4"/>
      <c r="H1278" s="8"/>
      <c r="I1278" s="4"/>
    </row>
    <row r="1279" spans="1:9" x14ac:dyDescent="0.2">
      <c r="A1279" s="1" t="s">
        <v>54</v>
      </c>
      <c r="C1279" s="4"/>
      <c r="D1279" s="8"/>
      <c r="E1279" s="4"/>
      <c r="F1279" s="8"/>
      <c r="G1279" s="4"/>
      <c r="H1279" s="8"/>
      <c r="I1279" s="4"/>
    </row>
    <row r="1280" spans="1:9" x14ac:dyDescent="0.2">
      <c r="A1280" s="2">
        <v>1</v>
      </c>
      <c r="B1280" s="1" t="s">
        <v>228</v>
      </c>
      <c r="C1280" s="4">
        <v>63</v>
      </c>
      <c r="D1280" s="8">
        <v>12.7</v>
      </c>
      <c r="E1280" s="4">
        <v>60</v>
      </c>
      <c r="F1280" s="8">
        <v>21.74</v>
      </c>
      <c r="G1280" s="4">
        <v>3</v>
      </c>
      <c r="H1280" s="8">
        <v>1.44</v>
      </c>
      <c r="I1280" s="4">
        <v>0</v>
      </c>
    </row>
    <row r="1281" spans="1:9" x14ac:dyDescent="0.2">
      <c r="A1281" s="2">
        <v>2</v>
      </c>
      <c r="B1281" s="1" t="s">
        <v>227</v>
      </c>
      <c r="C1281" s="4">
        <v>50</v>
      </c>
      <c r="D1281" s="8">
        <v>10.08</v>
      </c>
      <c r="E1281" s="4">
        <v>46</v>
      </c>
      <c r="F1281" s="8">
        <v>16.670000000000002</v>
      </c>
      <c r="G1281" s="4">
        <v>4</v>
      </c>
      <c r="H1281" s="8">
        <v>1.92</v>
      </c>
      <c r="I1281" s="4">
        <v>0</v>
      </c>
    </row>
    <row r="1282" spans="1:9" x14ac:dyDescent="0.2">
      <c r="A1282" s="2">
        <v>3</v>
      </c>
      <c r="B1282" s="1" t="s">
        <v>221</v>
      </c>
      <c r="C1282" s="4">
        <v>44</v>
      </c>
      <c r="D1282" s="8">
        <v>8.8699999999999992</v>
      </c>
      <c r="E1282" s="4">
        <v>32</v>
      </c>
      <c r="F1282" s="8">
        <v>11.59</v>
      </c>
      <c r="G1282" s="4">
        <v>12</v>
      </c>
      <c r="H1282" s="8">
        <v>5.77</v>
      </c>
      <c r="I1282" s="4">
        <v>0</v>
      </c>
    </row>
    <row r="1283" spans="1:9" x14ac:dyDescent="0.2">
      <c r="A1283" s="2">
        <v>4</v>
      </c>
      <c r="B1283" s="1" t="s">
        <v>213</v>
      </c>
      <c r="C1283" s="4">
        <v>39</v>
      </c>
      <c r="D1283" s="8">
        <v>7.86</v>
      </c>
      <c r="E1283" s="4">
        <v>17</v>
      </c>
      <c r="F1283" s="8">
        <v>6.16</v>
      </c>
      <c r="G1283" s="4">
        <v>22</v>
      </c>
      <c r="H1283" s="8">
        <v>10.58</v>
      </c>
      <c r="I1283" s="4">
        <v>0</v>
      </c>
    </row>
    <row r="1284" spans="1:9" x14ac:dyDescent="0.2">
      <c r="A1284" s="2">
        <v>5</v>
      </c>
      <c r="B1284" s="1" t="s">
        <v>223</v>
      </c>
      <c r="C1284" s="4">
        <v>33</v>
      </c>
      <c r="D1284" s="8">
        <v>6.65</v>
      </c>
      <c r="E1284" s="4">
        <v>16</v>
      </c>
      <c r="F1284" s="8">
        <v>5.8</v>
      </c>
      <c r="G1284" s="4">
        <v>17</v>
      </c>
      <c r="H1284" s="8">
        <v>8.17</v>
      </c>
      <c r="I1284" s="4">
        <v>0</v>
      </c>
    </row>
    <row r="1285" spans="1:9" x14ac:dyDescent="0.2">
      <c r="A1285" s="2">
        <v>6</v>
      </c>
      <c r="B1285" s="1" t="s">
        <v>214</v>
      </c>
      <c r="C1285" s="4">
        <v>25</v>
      </c>
      <c r="D1285" s="8">
        <v>5.04</v>
      </c>
      <c r="E1285" s="4">
        <v>16</v>
      </c>
      <c r="F1285" s="8">
        <v>5.8</v>
      </c>
      <c r="G1285" s="4">
        <v>9</v>
      </c>
      <c r="H1285" s="8">
        <v>4.33</v>
      </c>
      <c r="I1285" s="4">
        <v>0</v>
      </c>
    </row>
    <row r="1286" spans="1:9" x14ac:dyDescent="0.2">
      <c r="A1286" s="2">
        <v>7</v>
      </c>
      <c r="B1286" s="1" t="s">
        <v>241</v>
      </c>
      <c r="C1286" s="4">
        <v>24</v>
      </c>
      <c r="D1286" s="8">
        <v>4.84</v>
      </c>
      <c r="E1286" s="4">
        <v>2</v>
      </c>
      <c r="F1286" s="8">
        <v>0.72</v>
      </c>
      <c r="G1286" s="4">
        <v>22</v>
      </c>
      <c r="H1286" s="8">
        <v>10.58</v>
      </c>
      <c r="I1286" s="4">
        <v>0</v>
      </c>
    </row>
    <row r="1287" spans="1:9" x14ac:dyDescent="0.2">
      <c r="A1287" s="2">
        <v>7</v>
      </c>
      <c r="B1287" s="1" t="s">
        <v>224</v>
      </c>
      <c r="C1287" s="4">
        <v>24</v>
      </c>
      <c r="D1287" s="8">
        <v>4.84</v>
      </c>
      <c r="E1287" s="4">
        <v>18</v>
      </c>
      <c r="F1287" s="8">
        <v>6.52</v>
      </c>
      <c r="G1287" s="4">
        <v>6</v>
      </c>
      <c r="H1287" s="8">
        <v>2.88</v>
      </c>
      <c r="I1287" s="4">
        <v>0</v>
      </c>
    </row>
    <row r="1288" spans="1:9" x14ac:dyDescent="0.2">
      <c r="A1288" s="2">
        <v>9</v>
      </c>
      <c r="B1288" s="1" t="s">
        <v>232</v>
      </c>
      <c r="C1288" s="4">
        <v>17</v>
      </c>
      <c r="D1288" s="8">
        <v>3.43</v>
      </c>
      <c r="E1288" s="4">
        <v>0</v>
      </c>
      <c r="F1288" s="8">
        <v>0</v>
      </c>
      <c r="G1288" s="4">
        <v>13</v>
      </c>
      <c r="H1288" s="8">
        <v>6.25</v>
      </c>
      <c r="I1288" s="4">
        <v>1</v>
      </c>
    </row>
    <row r="1289" spans="1:9" x14ac:dyDescent="0.2">
      <c r="A1289" s="2">
        <v>10</v>
      </c>
      <c r="B1289" s="1" t="s">
        <v>240</v>
      </c>
      <c r="C1289" s="4">
        <v>15</v>
      </c>
      <c r="D1289" s="8">
        <v>3.02</v>
      </c>
      <c r="E1289" s="4">
        <v>7</v>
      </c>
      <c r="F1289" s="8">
        <v>2.54</v>
      </c>
      <c r="G1289" s="4">
        <v>8</v>
      </c>
      <c r="H1289" s="8">
        <v>3.85</v>
      </c>
      <c r="I1289" s="4">
        <v>0</v>
      </c>
    </row>
    <row r="1290" spans="1:9" x14ac:dyDescent="0.2">
      <c r="A1290" s="2">
        <v>11</v>
      </c>
      <c r="B1290" s="1" t="s">
        <v>222</v>
      </c>
      <c r="C1290" s="4">
        <v>14</v>
      </c>
      <c r="D1290" s="8">
        <v>2.82</v>
      </c>
      <c r="E1290" s="4">
        <v>9</v>
      </c>
      <c r="F1290" s="8">
        <v>3.26</v>
      </c>
      <c r="G1290" s="4">
        <v>5</v>
      </c>
      <c r="H1290" s="8">
        <v>2.4</v>
      </c>
      <c r="I1290" s="4">
        <v>0</v>
      </c>
    </row>
    <row r="1291" spans="1:9" x14ac:dyDescent="0.2">
      <c r="A1291" s="2">
        <v>12</v>
      </c>
      <c r="B1291" s="1" t="s">
        <v>216</v>
      </c>
      <c r="C1291" s="4">
        <v>13</v>
      </c>
      <c r="D1291" s="8">
        <v>2.62</v>
      </c>
      <c r="E1291" s="4">
        <v>4</v>
      </c>
      <c r="F1291" s="8">
        <v>1.45</v>
      </c>
      <c r="G1291" s="4">
        <v>9</v>
      </c>
      <c r="H1291" s="8">
        <v>4.33</v>
      </c>
      <c r="I1291" s="4">
        <v>0</v>
      </c>
    </row>
    <row r="1292" spans="1:9" x14ac:dyDescent="0.2">
      <c r="A1292" s="2">
        <v>13</v>
      </c>
      <c r="B1292" s="1" t="s">
        <v>215</v>
      </c>
      <c r="C1292" s="4">
        <v>12</v>
      </c>
      <c r="D1292" s="8">
        <v>2.42</v>
      </c>
      <c r="E1292" s="4">
        <v>1</v>
      </c>
      <c r="F1292" s="8">
        <v>0.36</v>
      </c>
      <c r="G1292" s="4">
        <v>11</v>
      </c>
      <c r="H1292" s="8">
        <v>5.29</v>
      </c>
      <c r="I1292" s="4">
        <v>0</v>
      </c>
    </row>
    <row r="1293" spans="1:9" x14ac:dyDescent="0.2">
      <c r="A1293" s="2">
        <v>13</v>
      </c>
      <c r="B1293" s="1" t="s">
        <v>230</v>
      </c>
      <c r="C1293" s="4">
        <v>12</v>
      </c>
      <c r="D1293" s="8">
        <v>2.42</v>
      </c>
      <c r="E1293" s="4">
        <v>11</v>
      </c>
      <c r="F1293" s="8">
        <v>3.99</v>
      </c>
      <c r="G1293" s="4">
        <v>0</v>
      </c>
      <c r="H1293" s="8">
        <v>0</v>
      </c>
      <c r="I1293" s="4">
        <v>0</v>
      </c>
    </row>
    <row r="1294" spans="1:9" x14ac:dyDescent="0.2">
      <c r="A1294" s="2">
        <v>15</v>
      </c>
      <c r="B1294" s="1" t="s">
        <v>226</v>
      </c>
      <c r="C1294" s="4">
        <v>10</v>
      </c>
      <c r="D1294" s="8">
        <v>2.02</v>
      </c>
      <c r="E1294" s="4">
        <v>3</v>
      </c>
      <c r="F1294" s="8">
        <v>1.0900000000000001</v>
      </c>
      <c r="G1294" s="4">
        <v>5</v>
      </c>
      <c r="H1294" s="8">
        <v>2.4</v>
      </c>
      <c r="I1294" s="4">
        <v>0</v>
      </c>
    </row>
    <row r="1295" spans="1:9" x14ac:dyDescent="0.2">
      <c r="A1295" s="2">
        <v>16</v>
      </c>
      <c r="B1295" s="1" t="s">
        <v>231</v>
      </c>
      <c r="C1295" s="4">
        <v>9</v>
      </c>
      <c r="D1295" s="8">
        <v>1.81</v>
      </c>
      <c r="E1295" s="4">
        <v>8</v>
      </c>
      <c r="F1295" s="8">
        <v>2.9</v>
      </c>
      <c r="G1295" s="4">
        <v>1</v>
      </c>
      <c r="H1295" s="8">
        <v>0.48</v>
      </c>
      <c r="I1295" s="4">
        <v>0</v>
      </c>
    </row>
    <row r="1296" spans="1:9" x14ac:dyDescent="0.2">
      <c r="A1296" s="2">
        <v>17</v>
      </c>
      <c r="B1296" s="1" t="s">
        <v>243</v>
      </c>
      <c r="C1296" s="4">
        <v>8</v>
      </c>
      <c r="D1296" s="8">
        <v>1.61</v>
      </c>
      <c r="E1296" s="4">
        <v>5</v>
      </c>
      <c r="F1296" s="8">
        <v>1.81</v>
      </c>
      <c r="G1296" s="4">
        <v>3</v>
      </c>
      <c r="H1296" s="8">
        <v>1.44</v>
      </c>
      <c r="I1296" s="4">
        <v>0</v>
      </c>
    </row>
    <row r="1297" spans="1:9" x14ac:dyDescent="0.2">
      <c r="A1297" s="2">
        <v>18</v>
      </c>
      <c r="B1297" s="1" t="s">
        <v>248</v>
      </c>
      <c r="C1297" s="4">
        <v>7</v>
      </c>
      <c r="D1297" s="8">
        <v>1.41</v>
      </c>
      <c r="E1297" s="4">
        <v>1</v>
      </c>
      <c r="F1297" s="8">
        <v>0.36</v>
      </c>
      <c r="G1297" s="4">
        <v>6</v>
      </c>
      <c r="H1297" s="8">
        <v>2.88</v>
      </c>
      <c r="I1297" s="4">
        <v>0</v>
      </c>
    </row>
    <row r="1298" spans="1:9" x14ac:dyDescent="0.2">
      <c r="A1298" s="2">
        <v>19</v>
      </c>
      <c r="B1298" s="1" t="s">
        <v>257</v>
      </c>
      <c r="C1298" s="4">
        <v>6</v>
      </c>
      <c r="D1298" s="8">
        <v>1.21</v>
      </c>
      <c r="E1298" s="4">
        <v>0</v>
      </c>
      <c r="F1298" s="8">
        <v>0</v>
      </c>
      <c r="G1298" s="4">
        <v>6</v>
      </c>
      <c r="H1298" s="8">
        <v>2.88</v>
      </c>
      <c r="I1298" s="4">
        <v>0</v>
      </c>
    </row>
    <row r="1299" spans="1:9" x14ac:dyDescent="0.2">
      <c r="A1299" s="2">
        <v>20</v>
      </c>
      <c r="B1299" s="1" t="s">
        <v>220</v>
      </c>
      <c r="C1299" s="4">
        <v>5</v>
      </c>
      <c r="D1299" s="8">
        <v>1.01</v>
      </c>
      <c r="E1299" s="4">
        <v>4</v>
      </c>
      <c r="F1299" s="8">
        <v>1.45</v>
      </c>
      <c r="G1299" s="4">
        <v>1</v>
      </c>
      <c r="H1299" s="8">
        <v>0.48</v>
      </c>
      <c r="I1299" s="4">
        <v>0</v>
      </c>
    </row>
    <row r="1300" spans="1:9" x14ac:dyDescent="0.2">
      <c r="A1300" s="2">
        <v>20</v>
      </c>
      <c r="B1300" s="1" t="s">
        <v>249</v>
      </c>
      <c r="C1300" s="4">
        <v>5</v>
      </c>
      <c r="D1300" s="8">
        <v>1.01</v>
      </c>
      <c r="E1300" s="4">
        <v>0</v>
      </c>
      <c r="F1300" s="8">
        <v>0</v>
      </c>
      <c r="G1300" s="4">
        <v>2</v>
      </c>
      <c r="H1300" s="8">
        <v>0.96</v>
      </c>
      <c r="I1300" s="4">
        <v>0</v>
      </c>
    </row>
    <row r="1301" spans="1:9" x14ac:dyDescent="0.2">
      <c r="A1301" s="1"/>
      <c r="C1301" s="4"/>
      <c r="D1301" s="8"/>
      <c r="E1301" s="4"/>
      <c r="F1301" s="8"/>
      <c r="G1301" s="4"/>
      <c r="H1301" s="8"/>
      <c r="I1301" s="4"/>
    </row>
    <row r="1302" spans="1:9" x14ac:dyDescent="0.2">
      <c r="A1302" s="1" t="s">
        <v>55</v>
      </c>
      <c r="C1302" s="4"/>
      <c r="D1302" s="8"/>
      <c r="E1302" s="4"/>
      <c r="F1302" s="8"/>
      <c r="G1302" s="4"/>
      <c r="H1302" s="8"/>
      <c r="I1302" s="4"/>
    </row>
    <row r="1303" spans="1:9" x14ac:dyDescent="0.2">
      <c r="A1303" s="2">
        <v>1</v>
      </c>
      <c r="B1303" s="1" t="s">
        <v>227</v>
      </c>
      <c r="C1303" s="4">
        <v>67</v>
      </c>
      <c r="D1303" s="8">
        <v>13.45</v>
      </c>
      <c r="E1303" s="4">
        <v>59</v>
      </c>
      <c r="F1303" s="8">
        <v>22.43</v>
      </c>
      <c r="G1303" s="4">
        <v>8</v>
      </c>
      <c r="H1303" s="8">
        <v>3.7</v>
      </c>
      <c r="I1303" s="4">
        <v>0</v>
      </c>
    </row>
    <row r="1304" spans="1:9" x14ac:dyDescent="0.2">
      <c r="A1304" s="2">
        <v>2</v>
      </c>
      <c r="B1304" s="1" t="s">
        <v>228</v>
      </c>
      <c r="C1304" s="4">
        <v>52</v>
      </c>
      <c r="D1304" s="8">
        <v>10.44</v>
      </c>
      <c r="E1304" s="4">
        <v>50</v>
      </c>
      <c r="F1304" s="8">
        <v>19.010000000000002</v>
      </c>
      <c r="G1304" s="4">
        <v>2</v>
      </c>
      <c r="H1304" s="8">
        <v>0.93</v>
      </c>
      <c r="I1304" s="4">
        <v>0</v>
      </c>
    </row>
    <row r="1305" spans="1:9" x14ac:dyDescent="0.2">
      <c r="A1305" s="2">
        <v>3</v>
      </c>
      <c r="B1305" s="1" t="s">
        <v>213</v>
      </c>
      <c r="C1305" s="4">
        <v>36</v>
      </c>
      <c r="D1305" s="8">
        <v>7.23</v>
      </c>
      <c r="E1305" s="4">
        <v>11</v>
      </c>
      <c r="F1305" s="8">
        <v>4.18</v>
      </c>
      <c r="G1305" s="4">
        <v>25</v>
      </c>
      <c r="H1305" s="8">
        <v>11.57</v>
      </c>
      <c r="I1305" s="4">
        <v>0</v>
      </c>
    </row>
    <row r="1306" spans="1:9" x14ac:dyDescent="0.2">
      <c r="A1306" s="2">
        <v>3</v>
      </c>
      <c r="B1306" s="1" t="s">
        <v>221</v>
      </c>
      <c r="C1306" s="4">
        <v>36</v>
      </c>
      <c r="D1306" s="8">
        <v>7.23</v>
      </c>
      <c r="E1306" s="4">
        <v>28</v>
      </c>
      <c r="F1306" s="8">
        <v>10.65</v>
      </c>
      <c r="G1306" s="4">
        <v>8</v>
      </c>
      <c r="H1306" s="8">
        <v>3.7</v>
      </c>
      <c r="I1306" s="4">
        <v>0</v>
      </c>
    </row>
    <row r="1307" spans="1:9" x14ac:dyDescent="0.2">
      <c r="A1307" s="2">
        <v>3</v>
      </c>
      <c r="B1307" s="1" t="s">
        <v>223</v>
      </c>
      <c r="C1307" s="4">
        <v>36</v>
      </c>
      <c r="D1307" s="8">
        <v>7.23</v>
      </c>
      <c r="E1307" s="4">
        <v>13</v>
      </c>
      <c r="F1307" s="8">
        <v>4.9400000000000004</v>
      </c>
      <c r="G1307" s="4">
        <v>23</v>
      </c>
      <c r="H1307" s="8">
        <v>10.65</v>
      </c>
      <c r="I1307" s="4">
        <v>0</v>
      </c>
    </row>
    <row r="1308" spans="1:9" x14ac:dyDescent="0.2">
      <c r="A1308" s="2">
        <v>6</v>
      </c>
      <c r="B1308" s="1" t="s">
        <v>224</v>
      </c>
      <c r="C1308" s="4">
        <v>27</v>
      </c>
      <c r="D1308" s="8">
        <v>5.42</v>
      </c>
      <c r="E1308" s="4">
        <v>18</v>
      </c>
      <c r="F1308" s="8">
        <v>6.84</v>
      </c>
      <c r="G1308" s="4">
        <v>7</v>
      </c>
      <c r="H1308" s="8">
        <v>3.24</v>
      </c>
      <c r="I1308" s="4">
        <v>0</v>
      </c>
    </row>
    <row r="1309" spans="1:9" x14ac:dyDescent="0.2">
      <c r="A1309" s="2">
        <v>7</v>
      </c>
      <c r="B1309" s="1" t="s">
        <v>214</v>
      </c>
      <c r="C1309" s="4">
        <v>23</v>
      </c>
      <c r="D1309" s="8">
        <v>4.62</v>
      </c>
      <c r="E1309" s="4">
        <v>12</v>
      </c>
      <c r="F1309" s="8">
        <v>4.5599999999999996</v>
      </c>
      <c r="G1309" s="4">
        <v>11</v>
      </c>
      <c r="H1309" s="8">
        <v>5.09</v>
      </c>
      <c r="I1309" s="4">
        <v>0</v>
      </c>
    </row>
    <row r="1310" spans="1:9" x14ac:dyDescent="0.2">
      <c r="A1310" s="2">
        <v>8</v>
      </c>
      <c r="B1310" s="1" t="s">
        <v>222</v>
      </c>
      <c r="C1310" s="4">
        <v>19</v>
      </c>
      <c r="D1310" s="8">
        <v>3.82</v>
      </c>
      <c r="E1310" s="4">
        <v>7</v>
      </c>
      <c r="F1310" s="8">
        <v>2.66</v>
      </c>
      <c r="G1310" s="4">
        <v>12</v>
      </c>
      <c r="H1310" s="8">
        <v>5.56</v>
      </c>
      <c r="I1310" s="4">
        <v>0</v>
      </c>
    </row>
    <row r="1311" spans="1:9" x14ac:dyDescent="0.2">
      <c r="A1311" s="2">
        <v>9</v>
      </c>
      <c r="B1311" s="1" t="s">
        <v>243</v>
      </c>
      <c r="C1311" s="4">
        <v>18</v>
      </c>
      <c r="D1311" s="8">
        <v>3.61</v>
      </c>
      <c r="E1311" s="4">
        <v>9</v>
      </c>
      <c r="F1311" s="8">
        <v>3.42</v>
      </c>
      <c r="G1311" s="4">
        <v>7</v>
      </c>
      <c r="H1311" s="8">
        <v>3.24</v>
      </c>
      <c r="I1311" s="4">
        <v>1</v>
      </c>
    </row>
    <row r="1312" spans="1:9" x14ac:dyDescent="0.2">
      <c r="A1312" s="2">
        <v>10</v>
      </c>
      <c r="B1312" s="1" t="s">
        <v>215</v>
      </c>
      <c r="C1312" s="4">
        <v>17</v>
      </c>
      <c r="D1312" s="8">
        <v>3.41</v>
      </c>
      <c r="E1312" s="4">
        <v>5</v>
      </c>
      <c r="F1312" s="8">
        <v>1.9</v>
      </c>
      <c r="G1312" s="4">
        <v>12</v>
      </c>
      <c r="H1312" s="8">
        <v>5.56</v>
      </c>
      <c r="I1312" s="4">
        <v>0</v>
      </c>
    </row>
    <row r="1313" spans="1:9" x14ac:dyDescent="0.2">
      <c r="A1313" s="2">
        <v>11</v>
      </c>
      <c r="B1313" s="1" t="s">
        <v>220</v>
      </c>
      <c r="C1313" s="4">
        <v>11</v>
      </c>
      <c r="D1313" s="8">
        <v>2.21</v>
      </c>
      <c r="E1313" s="4">
        <v>6</v>
      </c>
      <c r="F1313" s="8">
        <v>2.2799999999999998</v>
      </c>
      <c r="G1313" s="4">
        <v>5</v>
      </c>
      <c r="H1313" s="8">
        <v>2.31</v>
      </c>
      <c r="I1313" s="4">
        <v>0</v>
      </c>
    </row>
    <row r="1314" spans="1:9" x14ac:dyDescent="0.2">
      <c r="A1314" s="2">
        <v>12</v>
      </c>
      <c r="B1314" s="1" t="s">
        <v>241</v>
      </c>
      <c r="C1314" s="4">
        <v>9</v>
      </c>
      <c r="D1314" s="8">
        <v>1.81</v>
      </c>
      <c r="E1314" s="4">
        <v>6</v>
      </c>
      <c r="F1314" s="8">
        <v>2.2799999999999998</v>
      </c>
      <c r="G1314" s="4">
        <v>3</v>
      </c>
      <c r="H1314" s="8">
        <v>1.39</v>
      </c>
      <c r="I1314" s="4">
        <v>0</v>
      </c>
    </row>
    <row r="1315" spans="1:9" x14ac:dyDescent="0.2">
      <c r="A1315" s="2">
        <v>12</v>
      </c>
      <c r="B1315" s="1" t="s">
        <v>218</v>
      </c>
      <c r="C1315" s="4">
        <v>9</v>
      </c>
      <c r="D1315" s="8">
        <v>1.81</v>
      </c>
      <c r="E1315" s="4">
        <v>1</v>
      </c>
      <c r="F1315" s="8">
        <v>0.38</v>
      </c>
      <c r="G1315" s="4">
        <v>8</v>
      </c>
      <c r="H1315" s="8">
        <v>3.7</v>
      </c>
      <c r="I1315" s="4">
        <v>0</v>
      </c>
    </row>
    <row r="1316" spans="1:9" x14ac:dyDescent="0.2">
      <c r="A1316" s="2">
        <v>12</v>
      </c>
      <c r="B1316" s="1" t="s">
        <v>231</v>
      </c>
      <c r="C1316" s="4">
        <v>9</v>
      </c>
      <c r="D1316" s="8">
        <v>1.81</v>
      </c>
      <c r="E1316" s="4">
        <v>8</v>
      </c>
      <c r="F1316" s="8">
        <v>3.04</v>
      </c>
      <c r="G1316" s="4">
        <v>1</v>
      </c>
      <c r="H1316" s="8">
        <v>0.46</v>
      </c>
      <c r="I1316" s="4">
        <v>0</v>
      </c>
    </row>
    <row r="1317" spans="1:9" x14ac:dyDescent="0.2">
      <c r="A1317" s="2">
        <v>12</v>
      </c>
      <c r="B1317" s="1" t="s">
        <v>240</v>
      </c>
      <c r="C1317" s="4">
        <v>9</v>
      </c>
      <c r="D1317" s="8">
        <v>1.81</v>
      </c>
      <c r="E1317" s="4">
        <v>7</v>
      </c>
      <c r="F1317" s="8">
        <v>2.66</v>
      </c>
      <c r="G1317" s="4">
        <v>2</v>
      </c>
      <c r="H1317" s="8">
        <v>0.93</v>
      </c>
      <c r="I1317" s="4">
        <v>0</v>
      </c>
    </row>
    <row r="1318" spans="1:9" x14ac:dyDescent="0.2">
      <c r="A1318" s="2">
        <v>16</v>
      </c>
      <c r="B1318" s="1" t="s">
        <v>247</v>
      </c>
      <c r="C1318" s="4">
        <v>8</v>
      </c>
      <c r="D1318" s="8">
        <v>1.61</v>
      </c>
      <c r="E1318" s="4">
        <v>0</v>
      </c>
      <c r="F1318" s="8">
        <v>0</v>
      </c>
      <c r="G1318" s="4">
        <v>2</v>
      </c>
      <c r="H1318" s="8">
        <v>0.93</v>
      </c>
      <c r="I1318" s="4">
        <v>0</v>
      </c>
    </row>
    <row r="1319" spans="1:9" x14ac:dyDescent="0.2">
      <c r="A1319" s="2">
        <v>16</v>
      </c>
      <c r="B1319" s="1" t="s">
        <v>234</v>
      </c>
      <c r="C1319" s="4">
        <v>8</v>
      </c>
      <c r="D1319" s="8">
        <v>1.61</v>
      </c>
      <c r="E1319" s="4">
        <v>2</v>
      </c>
      <c r="F1319" s="8">
        <v>0.76</v>
      </c>
      <c r="G1319" s="4">
        <v>3</v>
      </c>
      <c r="H1319" s="8">
        <v>1.39</v>
      </c>
      <c r="I1319" s="4">
        <v>2</v>
      </c>
    </row>
    <row r="1320" spans="1:9" x14ac:dyDescent="0.2">
      <c r="A1320" s="2">
        <v>18</v>
      </c>
      <c r="B1320" s="1" t="s">
        <v>262</v>
      </c>
      <c r="C1320" s="4">
        <v>7</v>
      </c>
      <c r="D1320" s="8">
        <v>1.41</v>
      </c>
      <c r="E1320" s="4">
        <v>0</v>
      </c>
      <c r="F1320" s="8">
        <v>0</v>
      </c>
      <c r="G1320" s="4">
        <v>7</v>
      </c>
      <c r="H1320" s="8">
        <v>3.24</v>
      </c>
      <c r="I1320" s="4">
        <v>0</v>
      </c>
    </row>
    <row r="1321" spans="1:9" x14ac:dyDescent="0.2">
      <c r="A1321" s="2">
        <v>18</v>
      </c>
      <c r="B1321" s="1" t="s">
        <v>242</v>
      </c>
      <c r="C1321" s="4">
        <v>7</v>
      </c>
      <c r="D1321" s="8">
        <v>1.41</v>
      </c>
      <c r="E1321" s="4">
        <v>3</v>
      </c>
      <c r="F1321" s="8">
        <v>1.1399999999999999</v>
      </c>
      <c r="G1321" s="4">
        <v>4</v>
      </c>
      <c r="H1321" s="8">
        <v>1.85</v>
      </c>
      <c r="I1321" s="4">
        <v>0</v>
      </c>
    </row>
    <row r="1322" spans="1:9" x14ac:dyDescent="0.2">
      <c r="A1322" s="2">
        <v>20</v>
      </c>
      <c r="B1322" s="1" t="s">
        <v>257</v>
      </c>
      <c r="C1322" s="4">
        <v>6</v>
      </c>
      <c r="D1322" s="8">
        <v>1.2</v>
      </c>
      <c r="E1322" s="4">
        <v>2</v>
      </c>
      <c r="F1322" s="8">
        <v>0.76</v>
      </c>
      <c r="G1322" s="4">
        <v>4</v>
      </c>
      <c r="H1322" s="8">
        <v>1.85</v>
      </c>
      <c r="I1322" s="4">
        <v>0</v>
      </c>
    </row>
    <row r="1323" spans="1:9" x14ac:dyDescent="0.2">
      <c r="A1323" s="2">
        <v>20</v>
      </c>
      <c r="B1323" s="1" t="s">
        <v>232</v>
      </c>
      <c r="C1323" s="4">
        <v>6</v>
      </c>
      <c r="D1323" s="8">
        <v>1.2</v>
      </c>
      <c r="E1323" s="4">
        <v>0</v>
      </c>
      <c r="F1323" s="8">
        <v>0</v>
      </c>
      <c r="G1323" s="4">
        <v>5</v>
      </c>
      <c r="H1323" s="8">
        <v>2.31</v>
      </c>
      <c r="I1323" s="4">
        <v>0</v>
      </c>
    </row>
    <row r="1324" spans="1:9" x14ac:dyDescent="0.2">
      <c r="A1324" s="1"/>
      <c r="C1324" s="4"/>
      <c r="D1324" s="8"/>
      <c r="E1324" s="4"/>
      <c r="F1324" s="8"/>
      <c r="G1324" s="4"/>
      <c r="H1324" s="8"/>
      <c r="I1324" s="4"/>
    </row>
    <row r="1325" spans="1:9" x14ac:dyDescent="0.2">
      <c r="A1325" s="1" t="s">
        <v>56</v>
      </c>
      <c r="C1325" s="4"/>
      <c r="D1325" s="8"/>
      <c r="E1325" s="4"/>
      <c r="F1325" s="8"/>
      <c r="G1325" s="4"/>
      <c r="H1325" s="8"/>
      <c r="I1325" s="4"/>
    </row>
    <row r="1326" spans="1:9" x14ac:dyDescent="0.2">
      <c r="A1326" s="2">
        <v>1</v>
      </c>
      <c r="B1326" s="1" t="s">
        <v>227</v>
      </c>
      <c r="C1326" s="4">
        <v>27</v>
      </c>
      <c r="D1326" s="8">
        <v>15.43</v>
      </c>
      <c r="E1326" s="4">
        <v>21</v>
      </c>
      <c r="F1326" s="8">
        <v>24.71</v>
      </c>
      <c r="G1326" s="4">
        <v>6</v>
      </c>
      <c r="H1326" s="8">
        <v>7.41</v>
      </c>
      <c r="I1326" s="4">
        <v>0</v>
      </c>
    </row>
    <row r="1327" spans="1:9" x14ac:dyDescent="0.2">
      <c r="A1327" s="2">
        <v>2</v>
      </c>
      <c r="B1327" s="1" t="s">
        <v>223</v>
      </c>
      <c r="C1327" s="4">
        <v>17</v>
      </c>
      <c r="D1327" s="8">
        <v>9.7100000000000009</v>
      </c>
      <c r="E1327" s="4">
        <v>7</v>
      </c>
      <c r="F1327" s="8">
        <v>8.24</v>
      </c>
      <c r="G1327" s="4">
        <v>10</v>
      </c>
      <c r="H1327" s="8">
        <v>12.35</v>
      </c>
      <c r="I1327" s="4">
        <v>0</v>
      </c>
    </row>
    <row r="1328" spans="1:9" x14ac:dyDescent="0.2">
      <c r="A1328" s="2">
        <v>2</v>
      </c>
      <c r="B1328" s="1" t="s">
        <v>228</v>
      </c>
      <c r="C1328" s="4">
        <v>17</v>
      </c>
      <c r="D1328" s="8">
        <v>9.7100000000000009</v>
      </c>
      <c r="E1328" s="4">
        <v>15</v>
      </c>
      <c r="F1328" s="8">
        <v>17.649999999999999</v>
      </c>
      <c r="G1328" s="4">
        <v>2</v>
      </c>
      <c r="H1328" s="8">
        <v>2.4700000000000002</v>
      </c>
      <c r="I1328" s="4">
        <v>0</v>
      </c>
    </row>
    <row r="1329" spans="1:9" x14ac:dyDescent="0.2">
      <c r="A1329" s="2">
        <v>4</v>
      </c>
      <c r="B1329" s="1" t="s">
        <v>221</v>
      </c>
      <c r="C1329" s="4">
        <v>11</v>
      </c>
      <c r="D1329" s="8">
        <v>6.29</v>
      </c>
      <c r="E1329" s="4">
        <v>7</v>
      </c>
      <c r="F1329" s="8">
        <v>8.24</v>
      </c>
      <c r="G1329" s="4">
        <v>4</v>
      </c>
      <c r="H1329" s="8">
        <v>4.9400000000000004</v>
      </c>
      <c r="I1329" s="4">
        <v>0</v>
      </c>
    </row>
    <row r="1330" spans="1:9" x14ac:dyDescent="0.2">
      <c r="A1330" s="2">
        <v>5</v>
      </c>
      <c r="B1330" s="1" t="s">
        <v>214</v>
      </c>
      <c r="C1330" s="4">
        <v>10</v>
      </c>
      <c r="D1330" s="8">
        <v>5.71</v>
      </c>
      <c r="E1330" s="4">
        <v>5</v>
      </c>
      <c r="F1330" s="8">
        <v>5.88</v>
      </c>
      <c r="G1330" s="4">
        <v>5</v>
      </c>
      <c r="H1330" s="8">
        <v>6.17</v>
      </c>
      <c r="I1330" s="4">
        <v>0</v>
      </c>
    </row>
    <row r="1331" spans="1:9" x14ac:dyDescent="0.2">
      <c r="A1331" s="2">
        <v>6</v>
      </c>
      <c r="B1331" s="1" t="s">
        <v>213</v>
      </c>
      <c r="C1331" s="4">
        <v>7</v>
      </c>
      <c r="D1331" s="8">
        <v>4</v>
      </c>
      <c r="E1331" s="4">
        <v>0</v>
      </c>
      <c r="F1331" s="8">
        <v>0</v>
      </c>
      <c r="G1331" s="4">
        <v>7</v>
      </c>
      <c r="H1331" s="8">
        <v>8.64</v>
      </c>
      <c r="I1331" s="4">
        <v>0</v>
      </c>
    </row>
    <row r="1332" spans="1:9" x14ac:dyDescent="0.2">
      <c r="A1332" s="2">
        <v>6</v>
      </c>
      <c r="B1332" s="1" t="s">
        <v>241</v>
      </c>
      <c r="C1332" s="4">
        <v>7</v>
      </c>
      <c r="D1332" s="8">
        <v>4</v>
      </c>
      <c r="E1332" s="4">
        <v>1</v>
      </c>
      <c r="F1332" s="8">
        <v>1.18</v>
      </c>
      <c r="G1332" s="4">
        <v>6</v>
      </c>
      <c r="H1332" s="8">
        <v>7.41</v>
      </c>
      <c r="I1332" s="4">
        <v>0</v>
      </c>
    </row>
    <row r="1333" spans="1:9" x14ac:dyDescent="0.2">
      <c r="A1333" s="2">
        <v>8</v>
      </c>
      <c r="B1333" s="1" t="s">
        <v>220</v>
      </c>
      <c r="C1333" s="4">
        <v>6</v>
      </c>
      <c r="D1333" s="8">
        <v>3.43</v>
      </c>
      <c r="E1333" s="4">
        <v>4</v>
      </c>
      <c r="F1333" s="8">
        <v>4.71</v>
      </c>
      <c r="G1333" s="4">
        <v>2</v>
      </c>
      <c r="H1333" s="8">
        <v>2.4700000000000002</v>
      </c>
      <c r="I1333" s="4">
        <v>0</v>
      </c>
    </row>
    <row r="1334" spans="1:9" x14ac:dyDescent="0.2">
      <c r="A1334" s="2">
        <v>8</v>
      </c>
      <c r="B1334" s="1" t="s">
        <v>230</v>
      </c>
      <c r="C1334" s="4">
        <v>6</v>
      </c>
      <c r="D1334" s="8">
        <v>3.43</v>
      </c>
      <c r="E1334" s="4">
        <v>3</v>
      </c>
      <c r="F1334" s="8">
        <v>3.53</v>
      </c>
      <c r="G1334" s="4">
        <v>0</v>
      </c>
      <c r="H1334" s="8">
        <v>0</v>
      </c>
      <c r="I1334" s="4">
        <v>0</v>
      </c>
    </row>
    <row r="1335" spans="1:9" x14ac:dyDescent="0.2">
      <c r="A1335" s="2">
        <v>10</v>
      </c>
      <c r="B1335" s="1" t="s">
        <v>215</v>
      </c>
      <c r="C1335" s="4">
        <v>5</v>
      </c>
      <c r="D1335" s="8">
        <v>2.86</v>
      </c>
      <c r="E1335" s="4">
        <v>1</v>
      </c>
      <c r="F1335" s="8">
        <v>1.18</v>
      </c>
      <c r="G1335" s="4">
        <v>4</v>
      </c>
      <c r="H1335" s="8">
        <v>4.9400000000000004</v>
      </c>
      <c r="I1335" s="4">
        <v>0</v>
      </c>
    </row>
    <row r="1336" spans="1:9" x14ac:dyDescent="0.2">
      <c r="A1336" s="2">
        <v>10</v>
      </c>
      <c r="B1336" s="1" t="s">
        <v>231</v>
      </c>
      <c r="C1336" s="4">
        <v>5</v>
      </c>
      <c r="D1336" s="8">
        <v>2.86</v>
      </c>
      <c r="E1336" s="4">
        <v>4</v>
      </c>
      <c r="F1336" s="8">
        <v>4.71</v>
      </c>
      <c r="G1336" s="4">
        <v>1</v>
      </c>
      <c r="H1336" s="8">
        <v>1.23</v>
      </c>
      <c r="I1336" s="4">
        <v>0</v>
      </c>
    </row>
    <row r="1337" spans="1:9" x14ac:dyDescent="0.2">
      <c r="A1337" s="2">
        <v>12</v>
      </c>
      <c r="B1337" s="1" t="s">
        <v>222</v>
      </c>
      <c r="C1337" s="4">
        <v>4</v>
      </c>
      <c r="D1337" s="8">
        <v>2.29</v>
      </c>
      <c r="E1337" s="4">
        <v>2</v>
      </c>
      <c r="F1337" s="8">
        <v>2.35</v>
      </c>
      <c r="G1337" s="4">
        <v>2</v>
      </c>
      <c r="H1337" s="8">
        <v>2.4700000000000002</v>
      </c>
      <c r="I1337" s="4">
        <v>0</v>
      </c>
    </row>
    <row r="1338" spans="1:9" x14ac:dyDescent="0.2">
      <c r="A1338" s="2">
        <v>12</v>
      </c>
      <c r="B1338" s="1" t="s">
        <v>243</v>
      </c>
      <c r="C1338" s="4">
        <v>4</v>
      </c>
      <c r="D1338" s="8">
        <v>2.29</v>
      </c>
      <c r="E1338" s="4">
        <v>4</v>
      </c>
      <c r="F1338" s="8">
        <v>4.71</v>
      </c>
      <c r="G1338" s="4">
        <v>0</v>
      </c>
      <c r="H1338" s="8">
        <v>0</v>
      </c>
      <c r="I1338" s="4">
        <v>0</v>
      </c>
    </row>
    <row r="1339" spans="1:9" x14ac:dyDescent="0.2">
      <c r="A1339" s="2">
        <v>12</v>
      </c>
      <c r="B1339" s="1" t="s">
        <v>242</v>
      </c>
      <c r="C1339" s="4">
        <v>4</v>
      </c>
      <c r="D1339" s="8">
        <v>2.29</v>
      </c>
      <c r="E1339" s="4">
        <v>1</v>
      </c>
      <c r="F1339" s="8">
        <v>1.18</v>
      </c>
      <c r="G1339" s="4">
        <v>3</v>
      </c>
      <c r="H1339" s="8">
        <v>3.7</v>
      </c>
      <c r="I1339" s="4">
        <v>0</v>
      </c>
    </row>
    <row r="1340" spans="1:9" x14ac:dyDescent="0.2">
      <c r="A1340" s="2">
        <v>15</v>
      </c>
      <c r="B1340" s="1" t="s">
        <v>217</v>
      </c>
      <c r="C1340" s="4">
        <v>3</v>
      </c>
      <c r="D1340" s="8">
        <v>1.71</v>
      </c>
      <c r="E1340" s="4">
        <v>0</v>
      </c>
      <c r="F1340" s="8">
        <v>0</v>
      </c>
      <c r="G1340" s="4">
        <v>3</v>
      </c>
      <c r="H1340" s="8">
        <v>3.7</v>
      </c>
      <c r="I1340" s="4">
        <v>0</v>
      </c>
    </row>
    <row r="1341" spans="1:9" x14ac:dyDescent="0.2">
      <c r="A1341" s="2">
        <v>15</v>
      </c>
      <c r="B1341" s="1" t="s">
        <v>226</v>
      </c>
      <c r="C1341" s="4">
        <v>3</v>
      </c>
      <c r="D1341" s="8">
        <v>1.71</v>
      </c>
      <c r="E1341" s="4">
        <v>2</v>
      </c>
      <c r="F1341" s="8">
        <v>2.35</v>
      </c>
      <c r="G1341" s="4">
        <v>1</v>
      </c>
      <c r="H1341" s="8">
        <v>1.23</v>
      </c>
      <c r="I1341" s="4">
        <v>0</v>
      </c>
    </row>
    <row r="1342" spans="1:9" x14ac:dyDescent="0.2">
      <c r="A1342" s="2">
        <v>15</v>
      </c>
      <c r="B1342" s="1" t="s">
        <v>239</v>
      </c>
      <c r="C1342" s="4">
        <v>3</v>
      </c>
      <c r="D1342" s="8">
        <v>1.71</v>
      </c>
      <c r="E1342" s="4">
        <v>1</v>
      </c>
      <c r="F1342" s="8">
        <v>1.18</v>
      </c>
      <c r="G1342" s="4">
        <v>1</v>
      </c>
      <c r="H1342" s="8">
        <v>1.23</v>
      </c>
      <c r="I1342" s="4">
        <v>0</v>
      </c>
    </row>
    <row r="1343" spans="1:9" x14ac:dyDescent="0.2">
      <c r="A1343" s="2">
        <v>15</v>
      </c>
      <c r="B1343" s="1" t="s">
        <v>249</v>
      </c>
      <c r="C1343" s="4">
        <v>3</v>
      </c>
      <c r="D1343" s="8">
        <v>1.71</v>
      </c>
      <c r="E1343" s="4">
        <v>0</v>
      </c>
      <c r="F1343" s="8">
        <v>0</v>
      </c>
      <c r="G1343" s="4">
        <v>3</v>
      </c>
      <c r="H1343" s="8">
        <v>3.7</v>
      </c>
      <c r="I1343" s="4">
        <v>0</v>
      </c>
    </row>
    <row r="1344" spans="1:9" x14ac:dyDescent="0.2">
      <c r="A1344" s="2">
        <v>15</v>
      </c>
      <c r="B1344" s="1" t="s">
        <v>240</v>
      </c>
      <c r="C1344" s="4">
        <v>3</v>
      </c>
      <c r="D1344" s="8">
        <v>1.71</v>
      </c>
      <c r="E1344" s="4">
        <v>0</v>
      </c>
      <c r="F1344" s="8">
        <v>0</v>
      </c>
      <c r="G1344" s="4">
        <v>3</v>
      </c>
      <c r="H1344" s="8">
        <v>3.7</v>
      </c>
      <c r="I1344" s="4">
        <v>0</v>
      </c>
    </row>
    <row r="1345" spans="1:9" x14ac:dyDescent="0.2">
      <c r="A1345" s="2">
        <v>20</v>
      </c>
      <c r="B1345" s="1" t="s">
        <v>244</v>
      </c>
      <c r="C1345" s="4">
        <v>2</v>
      </c>
      <c r="D1345" s="8">
        <v>1.1399999999999999</v>
      </c>
      <c r="E1345" s="4">
        <v>0</v>
      </c>
      <c r="F1345" s="8">
        <v>0</v>
      </c>
      <c r="G1345" s="4">
        <v>2</v>
      </c>
      <c r="H1345" s="8">
        <v>2.4700000000000002</v>
      </c>
      <c r="I1345" s="4">
        <v>0</v>
      </c>
    </row>
    <row r="1346" spans="1:9" x14ac:dyDescent="0.2">
      <c r="A1346" s="2">
        <v>20</v>
      </c>
      <c r="B1346" s="1" t="s">
        <v>268</v>
      </c>
      <c r="C1346" s="4">
        <v>2</v>
      </c>
      <c r="D1346" s="8">
        <v>1.1399999999999999</v>
      </c>
      <c r="E1346" s="4">
        <v>2</v>
      </c>
      <c r="F1346" s="8">
        <v>2.35</v>
      </c>
      <c r="G1346" s="4">
        <v>0</v>
      </c>
      <c r="H1346" s="8">
        <v>0</v>
      </c>
      <c r="I1346" s="4">
        <v>0</v>
      </c>
    </row>
    <row r="1347" spans="1:9" x14ac:dyDescent="0.2">
      <c r="A1347" s="2">
        <v>20</v>
      </c>
      <c r="B1347" s="1" t="s">
        <v>269</v>
      </c>
      <c r="C1347" s="4">
        <v>2</v>
      </c>
      <c r="D1347" s="8">
        <v>1.1399999999999999</v>
      </c>
      <c r="E1347" s="4">
        <v>0</v>
      </c>
      <c r="F1347" s="8">
        <v>0</v>
      </c>
      <c r="G1347" s="4">
        <v>0</v>
      </c>
      <c r="H1347" s="8">
        <v>0</v>
      </c>
      <c r="I1347" s="4">
        <v>0</v>
      </c>
    </row>
    <row r="1348" spans="1:9" x14ac:dyDescent="0.2">
      <c r="A1348" s="2">
        <v>20</v>
      </c>
      <c r="B1348" s="1" t="s">
        <v>216</v>
      </c>
      <c r="C1348" s="4">
        <v>2</v>
      </c>
      <c r="D1348" s="8">
        <v>1.1399999999999999</v>
      </c>
      <c r="E1348" s="4">
        <v>1</v>
      </c>
      <c r="F1348" s="8">
        <v>1.18</v>
      </c>
      <c r="G1348" s="4">
        <v>1</v>
      </c>
      <c r="H1348" s="8">
        <v>1.23</v>
      </c>
      <c r="I1348" s="4">
        <v>0</v>
      </c>
    </row>
    <row r="1349" spans="1:9" x14ac:dyDescent="0.2">
      <c r="A1349" s="2">
        <v>20</v>
      </c>
      <c r="B1349" s="1" t="s">
        <v>237</v>
      </c>
      <c r="C1349" s="4">
        <v>2</v>
      </c>
      <c r="D1349" s="8">
        <v>1.1399999999999999</v>
      </c>
      <c r="E1349" s="4">
        <v>0</v>
      </c>
      <c r="F1349" s="8">
        <v>0</v>
      </c>
      <c r="G1349" s="4">
        <v>2</v>
      </c>
      <c r="H1349" s="8">
        <v>2.4700000000000002</v>
      </c>
      <c r="I1349" s="4">
        <v>0</v>
      </c>
    </row>
    <row r="1350" spans="1:9" x14ac:dyDescent="0.2">
      <c r="A1350" s="2">
        <v>20</v>
      </c>
      <c r="B1350" s="1" t="s">
        <v>224</v>
      </c>
      <c r="C1350" s="4">
        <v>2</v>
      </c>
      <c r="D1350" s="8">
        <v>1.1399999999999999</v>
      </c>
      <c r="E1350" s="4">
        <v>1</v>
      </c>
      <c r="F1350" s="8">
        <v>1.18</v>
      </c>
      <c r="G1350" s="4">
        <v>1</v>
      </c>
      <c r="H1350" s="8">
        <v>1.23</v>
      </c>
      <c r="I1350" s="4">
        <v>0</v>
      </c>
    </row>
    <row r="1351" spans="1:9" x14ac:dyDescent="0.2">
      <c r="A1351" s="2">
        <v>20</v>
      </c>
      <c r="B1351" s="1" t="s">
        <v>247</v>
      </c>
      <c r="C1351" s="4">
        <v>2</v>
      </c>
      <c r="D1351" s="8">
        <v>1.1399999999999999</v>
      </c>
      <c r="E1351" s="4">
        <v>0</v>
      </c>
      <c r="F1351" s="8">
        <v>0</v>
      </c>
      <c r="G1351" s="4">
        <v>1</v>
      </c>
      <c r="H1351" s="8">
        <v>1.23</v>
      </c>
      <c r="I1351" s="4">
        <v>0</v>
      </c>
    </row>
    <row r="1352" spans="1:9" x14ac:dyDescent="0.2">
      <c r="A1352" s="2">
        <v>20</v>
      </c>
      <c r="B1352" s="1" t="s">
        <v>232</v>
      </c>
      <c r="C1352" s="4">
        <v>2</v>
      </c>
      <c r="D1352" s="8">
        <v>1.1399999999999999</v>
      </c>
      <c r="E1352" s="4">
        <v>0</v>
      </c>
      <c r="F1352" s="8">
        <v>0</v>
      </c>
      <c r="G1352" s="4">
        <v>2</v>
      </c>
      <c r="H1352" s="8">
        <v>2.4700000000000002</v>
      </c>
      <c r="I1352" s="4">
        <v>0</v>
      </c>
    </row>
    <row r="1353" spans="1:9" x14ac:dyDescent="0.2">
      <c r="A1353" s="2">
        <v>20</v>
      </c>
      <c r="B1353" s="1" t="s">
        <v>234</v>
      </c>
      <c r="C1353" s="4">
        <v>2</v>
      </c>
      <c r="D1353" s="8">
        <v>1.1399999999999999</v>
      </c>
      <c r="E1353" s="4">
        <v>0</v>
      </c>
      <c r="F1353" s="8">
        <v>0</v>
      </c>
      <c r="G1353" s="4">
        <v>2</v>
      </c>
      <c r="H1353" s="8">
        <v>2.4700000000000002</v>
      </c>
      <c r="I1353" s="4">
        <v>0</v>
      </c>
    </row>
    <row r="1354" spans="1:9" x14ac:dyDescent="0.2">
      <c r="A1354" s="1"/>
      <c r="C1354" s="4"/>
      <c r="D1354" s="8"/>
      <c r="E1354" s="4"/>
      <c r="F1354" s="8"/>
      <c r="G1354" s="4"/>
      <c r="H1354" s="8"/>
      <c r="I1354" s="4"/>
    </row>
    <row r="1355" spans="1:9" x14ac:dyDescent="0.2">
      <c r="A1355" s="1" t="s">
        <v>57</v>
      </c>
      <c r="C1355" s="4"/>
      <c r="D1355" s="8"/>
      <c r="E1355" s="4"/>
      <c r="F1355" s="8"/>
      <c r="G1355" s="4"/>
      <c r="H1355" s="8"/>
      <c r="I1355" s="4"/>
    </row>
    <row r="1356" spans="1:9" x14ac:dyDescent="0.2">
      <c r="A1356" s="2">
        <v>1</v>
      </c>
      <c r="B1356" s="1" t="s">
        <v>227</v>
      </c>
      <c r="C1356" s="4">
        <v>45</v>
      </c>
      <c r="D1356" s="8">
        <v>16.07</v>
      </c>
      <c r="E1356" s="4">
        <v>39</v>
      </c>
      <c r="F1356" s="8">
        <v>27.46</v>
      </c>
      <c r="G1356" s="4">
        <v>5</v>
      </c>
      <c r="H1356" s="8">
        <v>4.13</v>
      </c>
      <c r="I1356" s="4">
        <v>1</v>
      </c>
    </row>
    <row r="1357" spans="1:9" x14ac:dyDescent="0.2">
      <c r="A1357" s="2">
        <v>2</v>
      </c>
      <c r="B1357" s="1" t="s">
        <v>223</v>
      </c>
      <c r="C1357" s="4">
        <v>29</v>
      </c>
      <c r="D1357" s="8">
        <v>10.36</v>
      </c>
      <c r="E1357" s="4">
        <v>10</v>
      </c>
      <c r="F1357" s="8">
        <v>7.04</v>
      </c>
      <c r="G1357" s="4">
        <v>16</v>
      </c>
      <c r="H1357" s="8">
        <v>13.22</v>
      </c>
      <c r="I1357" s="4">
        <v>3</v>
      </c>
    </row>
    <row r="1358" spans="1:9" x14ac:dyDescent="0.2">
      <c r="A1358" s="2">
        <v>2</v>
      </c>
      <c r="B1358" s="1" t="s">
        <v>228</v>
      </c>
      <c r="C1358" s="4">
        <v>29</v>
      </c>
      <c r="D1358" s="8">
        <v>10.36</v>
      </c>
      <c r="E1358" s="4">
        <v>27</v>
      </c>
      <c r="F1358" s="8">
        <v>19.010000000000002</v>
      </c>
      <c r="G1358" s="4">
        <v>2</v>
      </c>
      <c r="H1358" s="8">
        <v>1.65</v>
      </c>
      <c r="I1358" s="4">
        <v>0</v>
      </c>
    </row>
    <row r="1359" spans="1:9" x14ac:dyDescent="0.2">
      <c r="A1359" s="2">
        <v>4</v>
      </c>
      <c r="B1359" s="1" t="s">
        <v>214</v>
      </c>
      <c r="C1359" s="4">
        <v>18</v>
      </c>
      <c r="D1359" s="8">
        <v>6.43</v>
      </c>
      <c r="E1359" s="4">
        <v>8</v>
      </c>
      <c r="F1359" s="8">
        <v>5.63</v>
      </c>
      <c r="G1359" s="4">
        <v>10</v>
      </c>
      <c r="H1359" s="8">
        <v>8.26</v>
      </c>
      <c r="I1359" s="4">
        <v>0</v>
      </c>
    </row>
    <row r="1360" spans="1:9" x14ac:dyDescent="0.2">
      <c r="A1360" s="2">
        <v>5</v>
      </c>
      <c r="B1360" s="1" t="s">
        <v>221</v>
      </c>
      <c r="C1360" s="4">
        <v>17</v>
      </c>
      <c r="D1360" s="8">
        <v>6.07</v>
      </c>
      <c r="E1360" s="4">
        <v>11</v>
      </c>
      <c r="F1360" s="8">
        <v>7.75</v>
      </c>
      <c r="G1360" s="4">
        <v>6</v>
      </c>
      <c r="H1360" s="8">
        <v>4.96</v>
      </c>
      <c r="I1360" s="4">
        <v>0</v>
      </c>
    </row>
    <row r="1361" spans="1:9" x14ac:dyDescent="0.2">
      <c r="A1361" s="2">
        <v>6</v>
      </c>
      <c r="B1361" s="1" t="s">
        <v>213</v>
      </c>
      <c r="C1361" s="4">
        <v>13</v>
      </c>
      <c r="D1361" s="8">
        <v>4.6399999999999997</v>
      </c>
      <c r="E1361" s="4">
        <v>4</v>
      </c>
      <c r="F1361" s="8">
        <v>2.82</v>
      </c>
      <c r="G1361" s="4">
        <v>9</v>
      </c>
      <c r="H1361" s="8">
        <v>7.44</v>
      </c>
      <c r="I1361" s="4">
        <v>0</v>
      </c>
    </row>
    <row r="1362" spans="1:9" x14ac:dyDescent="0.2">
      <c r="A1362" s="2">
        <v>7</v>
      </c>
      <c r="B1362" s="1" t="s">
        <v>224</v>
      </c>
      <c r="C1362" s="4">
        <v>12</v>
      </c>
      <c r="D1362" s="8">
        <v>4.29</v>
      </c>
      <c r="E1362" s="4">
        <v>6</v>
      </c>
      <c r="F1362" s="8">
        <v>4.2300000000000004</v>
      </c>
      <c r="G1362" s="4">
        <v>5</v>
      </c>
      <c r="H1362" s="8">
        <v>4.13</v>
      </c>
      <c r="I1362" s="4">
        <v>0</v>
      </c>
    </row>
    <row r="1363" spans="1:9" x14ac:dyDescent="0.2">
      <c r="A1363" s="2">
        <v>8</v>
      </c>
      <c r="B1363" s="1" t="s">
        <v>215</v>
      </c>
      <c r="C1363" s="4">
        <v>11</v>
      </c>
      <c r="D1363" s="8">
        <v>3.93</v>
      </c>
      <c r="E1363" s="4">
        <v>3</v>
      </c>
      <c r="F1363" s="8">
        <v>2.11</v>
      </c>
      <c r="G1363" s="4">
        <v>8</v>
      </c>
      <c r="H1363" s="8">
        <v>6.61</v>
      </c>
      <c r="I1363" s="4">
        <v>0</v>
      </c>
    </row>
    <row r="1364" spans="1:9" x14ac:dyDescent="0.2">
      <c r="A1364" s="2">
        <v>8</v>
      </c>
      <c r="B1364" s="1" t="s">
        <v>232</v>
      </c>
      <c r="C1364" s="4">
        <v>11</v>
      </c>
      <c r="D1364" s="8">
        <v>3.93</v>
      </c>
      <c r="E1364" s="4">
        <v>0</v>
      </c>
      <c r="F1364" s="8">
        <v>0</v>
      </c>
      <c r="G1364" s="4">
        <v>8</v>
      </c>
      <c r="H1364" s="8">
        <v>6.61</v>
      </c>
      <c r="I1364" s="4">
        <v>0</v>
      </c>
    </row>
    <row r="1365" spans="1:9" x14ac:dyDescent="0.2">
      <c r="A1365" s="2">
        <v>10</v>
      </c>
      <c r="B1365" s="1" t="s">
        <v>230</v>
      </c>
      <c r="C1365" s="4">
        <v>9</v>
      </c>
      <c r="D1365" s="8">
        <v>3.21</v>
      </c>
      <c r="E1365" s="4">
        <v>4</v>
      </c>
      <c r="F1365" s="8">
        <v>2.82</v>
      </c>
      <c r="G1365" s="4">
        <v>1</v>
      </c>
      <c r="H1365" s="8">
        <v>0.83</v>
      </c>
      <c r="I1365" s="4">
        <v>0</v>
      </c>
    </row>
    <row r="1366" spans="1:9" x14ac:dyDescent="0.2">
      <c r="A1366" s="2">
        <v>11</v>
      </c>
      <c r="B1366" s="1" t="s">
        <v>222</v>
      </c>
      <c r="C1366" s="4">
        <v>7</v>
      </c>
      <c r="D1366" s="8">
        <v>2.5</v>
      </c>
      <c r="E1366" s="4">
        <v>5</v>
      </c>
      <c r="F1366" s="8">
        <v>3.52</v>
      </c>
      <c r="G1366" s="4">
        <v>2</v>
      </c>
      <c r="H1366" s="8">
        <v>1.65</v>
      </c>
      <c r="I1366" s="4">
        <v>0</v>
      </c>
    </row>
    <row r="1367" spans="1:9" x14ac:dyDescent="0.2">
      <c r="A1367" s="2">
        <v>11</v>
      </c>
      <c r="B1367" s="1" t="s">
        <v>239</v>
      </c>
      <c r="C1367" s="4">
        <v>7</v>
      </c>
      <c r="D1367" s="8">
        <v>2.5</v>
      </c>
      <c r="E1367" s="4">
        <v>1</v>
      </c>
      <c r="F1367" s="8">
        <v>0.7</v>
      </c>
      <c r="G1367" s="4">
        <v>5</v>
      </c>
      <c r="H1367" s="8">
        <v>4.13</v>
      </c>
      <c r="I1367" s="4">
        <v>0</v>
      </c>
    </row>
    <row r="1368" spans="1:9" x14ac:dyDescent="0.2">
      <c r="A1368" s="2">
        <v>11</v>
      </c>
      <c r="B1368" s="1" t="s">
        <v>231</v>
      </c>
      <c r="C1368" s="4">
        <v>7</v>
      </c>
      <c r="D1368" s="8">
        <v>2.5</v>
      </c>
      <c r="E1368" s="4">
        <v>5</v>
      </c>
      <c r="F1368" s="8">
        <v>3.52</v>
      </c>
      <c r="G1368" s="4">
        <v>2</v>
      </c>
      <c r="H1368" s="8">
        <v>1.65</v>
      </c>
      <c r="I1368" s="4">
        <v>0</v>
      </c>
    </row>
    <row r="1369" spans="1:9" x14ac:dyDescent="0.2">
      <c r="A1369" s="2">
        <v>14</v>
      </c>
      <c r="B1369" s="1" t="s">
        <v>220</v>
      </c>
      <c r="C1369" s="4">
        <v>5</v>
      </c>
      <c r="D1369" s="8">
        <v>1.79</v>
      </c>
      <c r="E1369" s="4">
        <v>4</v>
      </c>
      <c r="F1369" s="8">
        <v>2.82</v>
      </c>
      <c r="G1369" s="4">
        <v>1</v>
      </c>
      <c r="H1369" s="8">
        <v>0.83</v>
      </c>
      <c r="I1369" s="4">
        <v>0</v>
      </c>
    </row>
    <row r="1370" spans="1:9" x14ac:dyDescent="0.2">
      <c r="A1370" s="2">
        <v>14</v>
      </c>
      <c r="B1370" s="1" t="s">
        <v>226</v>
      </c>
      <c r="C1370" s="4">
        <v>5</v>
      </c>
      <c r="D1370" s="8">
        <v>1.79</v>
      </c>
      <c r="E1370" s="4">
        <v>1</v>
      </c>
      <c r="F1370" s="8">
        <v>0.7</v>
      </c>
      <c r="G1370" s="4">
        <v>3</v>
      </c>
      <c r="H1370" s="8">
        <v>2.48</v>
      </c>
      <c r="I1370" s="4">
        <v>0</v>
      </c>
    </row>
    <row r="1371" spans="1:9" x14ac:dyDescent="0.2">
      <c r="A1371" s="2">
        <v>16</v>
      </c>
      <c r="B1371" s="1" t="s">
        <v>268</v>
      </c>
      <c r="C1371" s="4">
        <v>4</v>
      </c>
      <c r="D1371" s="8">
        <v>1.43</v>
      </c>
      <c r="E1371" s="4">
        <v>2</v>
      </c>
      <c r="F1371" s="8">
        <v>1.41</v>
      </c>
      <c r="G1371" s="4">
        <v>2</v>
      </c>
      <c r="H1371" s="8">
        <v>1.65</v>
      </c>
      <c r="I1371" s="4">
        <v>0</v>
      </c>
    </row>
    <row r="1372" spans="1:9" x14ac:dyDescent="0.2">
      <c r="A1372" s="2">
        <v>16</v>
      </c>
      <c r="B1372" s="1" t="s">
        <v>216</v>
      </c>
      <c r="C1372" s="4">
        <v>4</v>
      </c>
      <c r="D1372" s="8">
        <v>1.43</v>
      </c>
      <c r="E1372" s="4">
        <v>0</v>
      </c>
      <c r="F1372" s="8">
        <v>0</v>
      </c>
      <c r="G1372" s="4">
        <v>4</v>
      </c>
      <c r="H1372" s="8">
        <v>3.31</v>
      </c>
      <c r="I1372" s="4">
        <v>0</v>
      </c>
    </row>
    <row r="1373" spans="1:9" x14ac:dyDescent="0.2">
      <c r="A1373" s="2">
        <v>18</v>
      </c>
      <c r="B1373" s="1" t="s">
        <v>241</v>
      </c>
      <c r="C1373" s="4">
        <v>3</v>
      </c>
      <c r="D1373" s="8">
        <v>1.07</v>
      </c>
      <c r="E1373" s="4">
        <v>3</v>
      </c>
      <c r="F1373" s="8">
        <v>2.11</v>
      </c>
      <c r="G1373" s="4">
        <v>0</v>
      </c>
      <c r="H1373" s="8">
        <v>0</v>
      </c>
      <c r="I1373" s="4">
        <v>0</v>
      </c>
    </row>
    <row r="1374" spans="1:9" x14ac:dyDescent="0.2">
      <c r="A1374" s="2">
        <v>18</v>
      </c>
      <c r="B1374" s="1" t="s">
        <v>254</v>
      </c>
      <c r="C1374" s="4">
        <v>3</v>
      </c>
      <c r="D1374" s="8">
        <v>1.07</v>
      </c>
      <c r="E1374" s="4">
        <v>0</v>
      </c>
      <c r="F1374" s="8">
        <v>0</v>
      </c>
      <c r="G1374" s="4">
        <v>3</v>
      </c>
      <c r="H1374" s="8">
        <v>2.48</v>
      </c>
      <c r="I1374" s="4">
        <v>0</v>
      </c>
    </row>
    <row r="1375" spans="1:9" x14ac:dyDescent="0.2">
      <c r="A1375" s="2">
        <v>18</v>
      </c>
      <c r="B1375" s="1" t="s">
        <v>246</v>
      </c>
      <c r="C1375" s="4">
        <v>3</v>
      </c>
      <c r="D1375" s="8">
        <v>1.07</v>
      </c>
      <c r="E1375" s="4">
        <v>0</v>
      </c>
      <c r="F1375" s="8">
        <v>0</v>
      </c>
      <c r="G1375" s="4">
        <v>3</v>
      </c>
      <c r="H1375" s="8">
        <v>2.48</v>
      </c>
      <c r="I1375" s="4">
        <v>0</v>
      </c>
    </row>
    <row r="1376" spans="1:9" x14ac:dyDescent="0.2">
      <c r="A1376" s="2">
        <v>18</v>
      </c>
      <c r="B1376" s="1" t="s">
        <v>225</v>
      </c>
      <c r="C1376" s="4">
        <v>3</v>
      </c>
      <c r="D1376" s="8">
        <v>1.07</v>
      </c>
      <c r="E1376" s="4">
        <v>1</v>
      </c>
      <c r="F1376" s="8">
        <v>0.7</v>
      </c>
      <c r="G1376" s="4">
        <v>2</v>
      </c>
      <c r="H1376" s="8">
        <v>1.65</v>
      </c>
      <c r="I1376" s="4">
        <v>0</v>
      </c>
    </row>
    <row r="1377" spans="1:9" x14ac:dyDescent="0.2">
      <c r="A1377" s="2">
        <v>18</v>
      </c>
      <c r="B1377" s="1" t="s">
        <v>243</v>
      </c>
      <c r="C1377" s="4">
        <v>3</v>
      </c>
      <c r="D1377" s="8">
        <v>1.07</v>
      </c>
      <c r="E1377" s="4">
        <v>1</v>
      </c>
      <c r="F1377" s="8">
        <v>0.7</v>
      </c>
      <c r="G1377" s="4">
        <v>2</v>
      </c>
      <c r="H1377" s="8">
        <v>1.65</v>
      </c>
      <c r="I1377" s="4">
        <v>0</v>
      </c>
    </row>
    <row r="1378" spans="1:9" x14ac:dyDescent="0.2">
      <c r="A1378" s="2">
        <v>18</v>
      </c>
      <c r="B1378" s="1" t="s">
        <v>229</v>
      </c>
      <c r="C1378" s="4">
        <v>3</v>
      </c>
      <c r="D1378" s="8">
        <v>1.07</v>
      </c>
      <c r="E1378" s="4">
        <v>1</v>
      </c>
      <c r="F1378" s="8">
        <v>0.7</v>
      </c>
      <c r="G1378" s="4">
        <v>2</v>
      </c>
      <c r="H1378" s="8">
        <v>1.65</v>
      </c>
      <c r="I1378" s="4">
        <v>0</v>
      </c>
    </row>
    <row r="1379" spans="1:9" x14ac:dyDescent="0.2">
      <c r="A1379" s="2">
        <v>18</v>
      </c>
      <c r="B1379" s="1" t="s">
        <v>240</v>
      </c>
      <c r="C1379" s="4">
        <v>3</v>
      </c>
      <c r="D1379" s="8">
        <v>1.07</v>
      </c>
      <c r="E1379" s="4">
        <v>2</v>
      </c>
      <c r="F1379" s="8">
        <v>1.41</v>
      </c>
      <c r="G1379" s="4">
        <v>1</v>
      </c>
      <c r="H1379" s="8">
        <v>0.83</v>
      </c>
      <c r="I1379" s="4">
        <v>0</v>
      </c>
    </row>
    <row r="1380" spans="1:9" x14ac:dyDescent="0.2">
      <c r="A1380" s="1"/>
      <c r="C1380" s="4"/>
      <c r="D1380" s="8"/>
      <c r="E1380" s="4"/>
      <c r="F1380" s="8"/>
      <c r="G1380" s="4"/>
      <c r="H1380" s="8"/>
      <c r="I1380" s="4"/>
    </row>
    <row r="1381" spans="1:9" x14ac:dyDescent="0.2">
      <c r="A1381" s="1" t="s">
        <v>58</v>
      </c>
      <c r="C1381" s="4"/>
      <c r="D1381" s="8"/>
      <c r="E1381" s="4"/>
      <c r="F1381" s="8"/>
      <c r="G1381" s="4"/>
      <c r="H1381" s="8"/>
      <c r="I1381" s="4"/>
    </row>
    <row r="1382" spans="1:9" x14ac:dyDescent="0.2">
      <c r="A1382" s="2">
        <v>1</v>
      </c>
      <c r="B1382" s="1" t="s">
        <v>228</v>
      </c>
      <c r="C1382" s="4">
        <v>21</v>
      </c>
      <c r="D1382" s="8">
        <v>17.07</v>
      </c>
      <c r="E1382" s="4">
        <v>19</v>
      </c>
      <c r="F1382" s="8">
        <v>29.23</v>
      </c>
      <c r="G1382" s="4">
        <v>2</v>
      </c>
      <c r="H1382" s="8">
        <v>3.64</v>
      </c>
      <c r="I1382" s="4">
        <v>0</v>
      </c>
    </row>
    <row r="1383" spans="1:9" x14ac:dyDescent="0.2">
      <c r="A1383" s="2">
        <v>2</v>
      </c>
      <c r="B1383" s="1" t="s">
        <v>221</v>
      </c>
      <c r="C1383" s="4">
        <v>12</v>
      </c>
      <c r="D1383" s="8">
        <v>9.76</v>
      </c>
      <c r="E1383" s="4">
        <v>10</v>
      </c>
      <c r="F1383" s="8">
        <v>15.38</v>
      </c>
      <c r="G1383" s="4">
        <v>2</v>
      </c>
      <c r="H1383" s="8">
        <v>3.64</v>
      </c>
      <c r="I1383" s="4">
        <v>0</v>
      </c>
    </row>
    <row r="1384" spans="1:9" x14ac:dyDescent="0.2">
      <c r="A1384" s="2">
        <v>2</v>
      </c>
      <c r="B1384" s="1" t="s">
        <v>223</v>
      </c>
      <c r="C1384" s="4">
        <v>12</v>
      </c>
      <c r="D1384" s="8">
        <v>9.76</v>
      </c>
      <c r="E1384" s="4">
        <v>7</v>
      </c>
      <c r="F1384" s="8">
        <v>10.77</v>
      </c>
      <c r="G1384" s="4">
        <v>5</v>
      </c>
      <c r="H1384" s="8">
        <v>9.09</v>
      </c>
      <c r="I1384" s="4">
        <v>0</v>
      </c>
    </row>
    <row r="1385" spans="1:9" x14ac:dyDescent="0.2">
      <c r="A1385" s="2">
        <v>4</v>
      </c>
      <c r="B1385" s="1" t="s">
        <v>227</v>
      </c>
      <c r="C1385" s="4">
        <v>11</v>
      </c>
      <c r="D1385" s="8">
        <v>8.94</v>
      </c>
      <c r="E1385" s="4">
        <v>8</v>
      </c>
      <c r="F1385" s="8">
        <v>12.31</v>
      </c>
      <c r="G1385" s="4">
        <v>3</v>
      </c>
      <c r="H1385" s="8">
        <v>5.45</v>
      </c>
      <c r="I1385" s="4">
        <v>0</v>
      </c>
    </row>
    <row r="1386" spans="1:9" x14ac:dyDescent="0.2">
      <c r="A1386" s="2">
        <v>5</v>
      </c>
      <c r="B1386" s="1" t="s">
        <v>213</v>
      </c>
      <c r="C1386" s="4">
        <v>8</v>
      </c>
      <c r="D1386" s="8">
        <v>6.5</v>
      </c>
      <c r="E1386" s="4">
        <v>1</v>
      </c>
      <c r="F1386" s="8">
        <v>1.54</v>
      </c>
      <c r="G1386" s="4">
        <v>7</v>
      </c>
      <c r="H1386" s="8">
        <v>12.73</v>
      </c>
      <c r="I1386" s="4">
        <v>0</v>
      </c>
    </row>
    <row r="1387" spans="1:9" x14ac:dyDescent="0.2">
      <c r="A1387" s="2">
        <v>6</v>
      </c>
      <c r="B1387" s="1" t="s">
        <v>215</v>
      </c>
      <c r="C1387" s="4">
        <v>6</v>
      </c>
      <c r="D1387" s="8">
        <v>4.88</v>
      </c>
      <c r="E1387" s="4">
        <v>1</v>
      </c>
      <c r="F1387" s="8">
        <v>1.54</v>
      </c>
      <c r="G1387" s="4">
        <v>5</v>
      </c>
      <c r="H1387" s="8">
        <v>9.09</v>
      </c>
      <c r="I1387" s="4">
        <v>0</v>
      </c>
    </row>
    <row r="1388" spans="1:9" x14ac:dyDescent="0.2">
      <c r="A1388" s="2">
        <v>6</v>
      </c>
      <c r="B1388" s="1" t="s">
        <v>243</v>
      </c>
      <c r="C1388" s="4">
        <v>6</v>
      </c>
      <c r="D1388" s="8">
        <v>4.88</v>
      </c>
      <c r="E1388" s="4">
        <v>5</v>
      </c>
      <c r="F1388" s="8">
        <v>7.69</v>
      </c>
      <c r="G1388" s="4">
        <v>1</v>
      </c>
      <c r="H1388" s="8">
        <v>1.82</v>
      </c>
      <c r="I1388" s="4">
        <v>0</v>
      </c>
    </row>
    <row r="1389" spans="1:9" x14ac:dyDescent="0.2">
      <c r="A1389" s="2">
        <v>8</v>
      </c>
      <c r="B1389" s="1" t="s">
        <v>214</v>
      </c>
      <c r="C1389" s="4">
        <v>5</v>
      </c>
      <c r="D1389" s="8">
        <v>4.07</v>
      </c>
      <c r="E1389" s="4">
        <v>3</v>
      </c>
      <c r="F1389" s="8">
        <v>4.62</v>
      </c>
      <c r="G1389" s="4">
        <v>2</v>
      </c>
      <c r="H1389" s="8">
        <v>3.64</v>
      </c>
      <c r="I1389" s="4">
        <v>0</v>
      </c>
    </row>
    <row r="1390" spans="1:9" x14ac:dyDescent="0.2">
      <c r="A1390" s="2">
        <v>9</v>
      </c>
      <c r="B1390" s="1" t="s">
        <v>241</v>
      </c>
      <c r="C1390" s="4">
        <v>4</v>
      </c>
      <c r="D1390" s="8">
        <v>3.25</v>
      </c>
      <c r="E1390" s="4">
        <v>0</v>
      </c>
      <c r="F1390" s="8">
        <v>0</v>
      </c>
      <c r="G1390" s="4">
        <v>4</v>
      </c>
      <c r="H1390" s="8">
        <v>7.27</v>
      </c>
      <c r="I1390" s="4">
        <v>0</v>
      </c>
    </row>
    <row r="1391" spans="1:9" x14ac:dyDescent="0.2">
      <c r="A1391" s="2">
        <v>9</v>
      </c>
      <c r="B1391" s="1" t="s">
        <v>231</v>
      </c>
      <c r="C1391" s="4">
        <v>4</v>
      </c>
      <c r="D1391" s="8">
        <v>3.25</v>
      </c>
      <c r="E1391" s="4">
        <v>2</v>
      </c>
      <c r="F1391" s="8">
        <v>3.08</v>
      </c>
      <c r="G1391" s="4">
        <v>2</v>
      </c>
      <c r="H1391" s="8">
        <v>3.64</v>
      </c>
      <c r="I1391" s="4">
        <v>0</v>
      </c>
    </row>
    <row r="1392" spans="1:9" x14ac:dyDescent="0.2">
      <c r="A1392" s="2">
        <v>11</v>
      </c>
      <c r="B1392" s="1" t="s">
        <v>254</v>
      </c>
      <c r="C1392" s="4">
        <v>2</v>
      </c>
      <c r="D1392" s="8">
        <v>1.63</v>
      </c>
      <c r="E1392" s="4">
        <v>0</v>
      </c>
      <c r="F1392" s="8">
        <v>0</v>
      </c>
      <c r="G1392" s="4">
        <v>2</v>
      </c>
      <c r="H1392" s="8">
        <v>3.64</v>
      </c>
      <c r="I1392" s="4">
        <v>0</v>
      </c>
    </row>
    <row r="1393" spans="1:9" x14ac:dyDescent="0.2">
      <c r="A1393" s="2">
        <v>11</v>
      </c>
      <c r="B1393" s="1" t="s">
        <v>238</v>
      </c>
      <c r="C1393" s="4">
        <v>2</v>
      </c>
      <c r="D1393" s="8">
        <v>1.63</v>
      </c>
      <c r="E1393" s="4">
        <v>1</v>
      </c>
      <c r="F1393" s="8">
        <v>1.54</v>
      </c>
      <c r="G1393" s="4">
        <v>1</v>
      </c>
      <c r="H1393" s="8">
        <v>1.82</v>
      </c>
      <c r="I1393" s="4">
        <v>0</v>
      </c>
    </row>
    <row r="1394" spans="1:9" x14ac:dyDescent="0.2">
      <c r="A1394" s="2">
        <v>11</v>
      </c>
      <c r="B1394" s="1" t="s">
        <v>216</v>
      </c>
      <c r="C1394" s="4">
        <v>2</v>
      </c>
      <c r="D1394" s="8">
        <v>1.63</v>
      </c>
      <c r="E1394" s="4">
        <v>1</v>
      </c>
      <c r="F1394" s="8">
        <v>1.54</v>
      </c>
      <c r="G1394" s="4">
        <v>1</v>
      </c>
      <c r="H1394" s="8">
        <v>1.82</v>
      </c>
      <c r="I1394" s="4">
        <v>0</v>
      </c>
    </row>
    <row r="1395" spans="1:9" x14ac:dyDescent="0.2">
      <c r="A1395" s="2">
        <v>11</v>
      </c>
      <c r="B1395" s="1" t="s">
        <v>217</v>
      </c>
      <c r="C1395" s="4">
        <v>2</v>
      </c>
      <c r="D1395" s="8">
        <v>1.63</v>
      </c>
      <c r="E1395" s="4">
        <v>0</v>
      </c>
      <c r="F1395" s="8">
        <v>0</v>
      </c>
      <c r="G1395" s="4">
        <v>2</v>
      </c>
      <c r="H1395" s="8">
        <v>3.64</v>
      </c>
      <c r="I1395" s="4">
        <v>0</v>
      </c>
    </row>
    <row r="1396" spans="1:9" x14ac:dyDescent="0.2">
      <c r="A1396" s="2">
        <v>11</v>
      </c>
      <c r="B1396" s="1" t="s">
        <v>220</v>
      </c>
      <c r="C1396" s="4">
        <v>2</v>
      </c>
      <c r="D1396" s="8">
        <v>1.63</v>
      </c>
      <c r="E1396" s="4">
        <v>0</v>
      </c>
      <c r="F1396" s="8">
        <v>0</v>
      </c>
      <c r="G1396" s="4">
        <v>2</v>
      </c>
      <c r="H1396" s="8">
        <v>3.64</v>
      </c>
      <c r="I1396" s="4">
        <v>0</v>
      </c>
    </row>
    <row r="1397" spans="1:9" x14ac:dyDescent="0.2">
      <c r="A1397" s="2">
        <v>11</v>
      </c>
      <c r="B1397" s="1" t="s">
        <v>236</v>
      </c>
      <c r="C1397" s="4">
        <v>2</v>
      </c>
      <c r="D1397" s="8">
        <v>1.63</v>
      </c>
      <c r="E1397" s="4">
        <v>1</v>
      </c>
      <c r="F1397" s="8">
        <v>1.54</v>
      </c>
      <c r="G1397" s="4">
        <v>1</v>
      </c>
      <c r="H1397" s="8">
        <v>1.82</v>
      </c>
      <c r="I1397" s="4">
        <v>0</v>
      </c>
    </row>
    <row r="1398" spans="1:9" x14ac:dyDescent="0.2">
      <c r="A1398" s="2">
        <v>11</v>
      </c>
      <c r="B1398" s="1" t="s">
        <v>230</v>
      </c>
      <c r="C1398" s="4">
        <v>2</v>
      </c>
      <c r="D1398" s="8">
        <v>1.63</v>
      </c>
      <c r="E1398" s="4">
        <v>2</v>
      </c>
      <c r="F1398" s="8">
        <v>3.08</v>
      </c>
      <c r="G1398" s="4">
        <v>0</v>
      </c>
      <c r="H1398" s="8">
        <v>0</v>
      </c>
      <c r="I1398" s="4">
        <v>0</v>
      </c>
    </row>
    <row r="1399" spans="1:9" x14ac:dyDescent="0.2">
      <c r="A1399" s="2">
        <v>11</v>
      </c>
      <c r="B1399" s="1" t="s">
        <v>249</v>
      </c>
      <c r="C1399" s="4">
        <v>2</v>
      </c>
      <c r="D1399" s="8">
        <v>1.63</v>
      </c>
      <c r="E1399" s="4">
        <v>0</v>
      </c>
      <c r="F1399" s="8">
        <v>0</v>
      </c>
      <c r="G1399" s="4">
        <v>2</v>
      </c>
      <c r="H1399" s="8">
        <v>3.64</v>
      </c>
      <c r="I1399" s="4">
        <v>0</v>
      </c>
    </row>
    <row r="1400" spans="1:9" x14ac:dyDescent="0.2">
      <c r="A1400" s="2">
        <v>11</v>
      </c>
      <c r="B1400" s="1" t="s">
        <v>234</v>
      </c>
      <c r="C1400" s="4">
        <v>2</v>
      </c>
      <c r="D1400" s="8">
        <v>1.63</v>
      </c>
      <c r="E1400" s="4">
        <v>0</v>
      </c>
      <c r="F1400" s="8">
        <v>0</v>
      </c>
      <c r="G1400" s="4">
        <v>2</v>
      </c>
      <c r="H1400" s="8">
        <v>3.64</v>
      </c>
      <c r="I1400" s="4">
        <v>0</v>
      </c>
    </row>
    <row r="1401" spans="1:9" x14ac:dyDescent="0.2">
      <c r="A1401" s="2">
        <v>20</v>
      </c>
      <c r="B1401" s="1" t="s">
        <v>251</v>
      </c>
      <c r="C1401" s="4">
        <v>1</v>
      </c>
      <c r="D1401" s="8">
        <v>0.81</v>
      </c>
      <c r="E1401" s="4">
        <v>0</v>
      </c>
      <c r="F1401" s="8">
        <v>0</v>
      </c>
      <c r="G1401" s="4">
        <v>1</v>
      </c>
      <c r="H1401" s="8">
        <v>1.82</v>
      </c>
      <c r="I1401" s="4">
        <v>0</v>
      </c>
    </row>
    <row r="1402" spans="1:9" x14ac:dyDescent="0.2">
      <c r="A1402" s="2">
        <v>20</v>
      </c>
      <c r="B1402" s="1" t="s">
        <v>244</v>
      </c>
      <c r="C1402" s="4">
        <v>1</v>
      </c>
      <c r="D1402" s="8">
        <v>0.81</v>
      </c>
      <c r="E1402" s="4">
        <v>0</v>
      </c>
      <c r="F1402" s="8">
        <v>0</v>
      </c>
      <c r="G1402" s="4">
        <v>1</v>
      </c>
      <c r="H1402" s="8">
        <v>1.82</v>
      </c>
      <c r="I1402" s="4">
        <v>0</v>
      </c>
    </row>
    <row r="1403" spans="1:9" x14ac:dyDescent="0.2">
      <c r="A1403" s="2">
        <v>20</v>
      </c>
      <c r="B1403" s="1" t="s">
        <v>257</v>
      </c>
      <c r="C1403" s="4">
        <v>1</v>
      </c>
      <c r="D1403" s="8">
        <v>0.81</v>
      </c>
      <c r="E1403" s="4">
        <v>0</v>
      </c>
      <c r="F1403" s="8">
        <v>0</v>
      </c>
      <c r="G1403" s="4">
        <v>1</v>
      </c>
      <c r="H1403" s="8">
        <v>1.82</v>
      </c>
      <c r="I1403" s="4">
        <v>0</v>
      </c>
    </row>
    <row r="1404" spans="1:9" x14ac:dyDescent="0.2">
      <c r="A1404" s="2">
        <v>20</v>
      </c>
      <c r="B1404" s="1" t="s">
        <v>255</v>
      </c>
      <c r="C1404" s="4">
        <v>1</v>
      </c>
      <c r="D1404" s="8">
        <v>0.81</v>
      </c>
      <c r="E1404" s="4">
        <v>0</v>
      </c>
      <c r="F1404" s="8">
        <v>0</v>
      </c>
      <c r="G1404" s="4">
        <v>0</v>
      </c>
      <c r="H1404" s="8">
        <v>0</v>
      </c>
      <c r="I1404" s="4">
        <v>0</v>
      </c>
    </row>
    <row r="1405" spans="1:9" x14ac:dyDescent="0.2">
      <c r="A1405" s="2">
        <v>20</v>
      </c>
      <c r="B1405" s="1" t="s">
        <v>248</v>
      </c>
      <c r="C1405" s="4">
        <v>1</v>
      </c>
      <c r="D1405" s="8">
        <v>0.81</v>
      </c>
      <c r="E1405" s="4">
        <v>0</v>
      </c>
      <c r="F1405" s="8">
        <v>0</v>
      </c>
      <c r="G1405" s="4">
        <v>1</v>
      </c>
      <c r="H1405" s="8">
        <v>1.82</v>
      </c>
      <c r="I1405" s="4">
        <v>0</v>
      </c>
    </row>
    <row r="1406" spans="1:9" x14ac:dyDescent="0.2">
      <c r="A1406" s="2">
        <v>20</v>
      </c>
      <c r="B1406" s="1" t="s">
        <v>261</v>
      </c>
      <c r="C1406" s="4">
        <v>1</v>
      </c>
      <c r="D1406" s="8">
        <v>0.81</v>
      </c>
      <c r="E1406" s="4">
        <v>0</v>
      </c>
      <c r="F1406" s="8">
        <v>0</v>
      </c>
      <c r="G1406" s="4">
        <v>0</v>
      </c>
      <c r="H1406" s="8">
        <v>0</v>
      </c>
      <c r="I1406" s="4">
        <v>1</v>
      </c>
    </row>
    <row r="1407" spans="1:9" x14ac:dyDescent="0.2">
      <c r="A1407" s="2">
        <v>20</v>
      </c>
      <c r="B1407" s="1" t="s">
        <v>219</v>
      </c>
      <c r="C1407" s="4">
        <v>1</v>
      </c>
      <c r="D1407" s="8">
        <v>0.81</v>
      </c>
      <c r="E1407" s="4">
        <v>0</v>
      </c>
      <c r="F1407" s="8">
        <v>0</v>
      </c>
      <c r="G1407" s="4">
        <v>1</v>
      </c>
      <c r="H1407" s="8">
        <v>1.82</v>
      </c>
      <c r="I1407" s="4">
        <v>0</v>
      </c>
    </row>
    <row r="1408" spans="1:9" x14ac:dyDescent="0.2">
      <c r="A1408" s="2">
        <v>20</v>
      </c>
      <c r="B1408" s="1" t="s">
        <v>222</v>
      </c>
      <c r="C1408" s="4">
        <v>1</v>
      </c>
      <c r="D1408" s="8">
        <v>0.81</v>
      </c>
      <c r="E1408" s="4">
        <v>1</v>
      </c>
      <c r="F1408" s="8">
        <v>1.54</v>
      </c>
      <c r="G1408" s="4">
        <v>0</v>
      </c>
      <c r="H1408" s="8">
        <v>0</v>
      </c>
      <c r="I1408" s="4">
        <v>0</v>
      </c>
    </row>
    <row r="1409" spans="1:9" x14ac:dyDescent="0.2">
      <c r="A1409" s="2">
        <v>20</v>
      </c>
      <c r="B1409" s="1" t="s">
        <v>237</v>
      </c>
      <c r="C1409" s="4">
        <v>1</v>
      </c>
      <c r="D1409" s="8">
        <v>0.81</v>
      </c>
      <c r="E1409" s="4">
        <v>1</v>
      </c>
      <c r="F1409" s="8">
        <v>1.54</v>
      </c>
      <c r="G1409" s="4">
        <v>0</v>
      </c>
      <c r="H1409" s="8">
        <v>0</v>
      </c>
      <c r="I1409" s="4">
        <v>0</v>
      </c>
    </row>
    <row r="1410" spans="1:9" x14ac:dyDescent="0.2">
      <c r="A1410" s="2">
        <v>20</v>
      </c>
      <c r="B1410" s="1" t="s">
        <v>233</v>
      </c>
      <c r="C1410" s="4">
        <v>1</v>
      </c>
      <c r="D1410" s="8">
        <v>0.81</v>
      </c>
      <c r="E1410" s="4">
        <v>0</v>
      </c>
      <c r="F1410" s="8">
        <v>0</v>
      </c>
      <c r="G1410" s="4">
        <v>1</v>
      </c>
      <c r="H1410" s="8">
        <v>1.82</v>
      </c>
      <c r="I1410" s="4">
        <v>0</v>
      </c>
    </row>
    <row r="1411" spans="1:9" x14ac:dyDescent="0.2">
      <c r="A1411" s="2">
        <v>20</v>
      </c>
      <c r="B1411" s="1" t="s">
        <v>224</v>
      </c>
      <c r="C1411" s="4">
        <v>1</v>
      </c>
      <c r="D1411" s="8">
        <v>0.81</v>
      </c>
      <c r="E1411" s="4">
        <v>0</v>
      </c>
      <c r="F1411" s="8">
        <v>0</v>
      </c>
      <c r="G1411" s="4">
        <v>1</v>
      </c>
      <c r="H1411" s="8">
        <v>1.82</v>
      </c>
      <c r="I1411" s="4">
        <v>0</v>
      </c>
    </row>
    <row r="1412" spans="1:9" x14ac:dyDescent="0.2">
      <c r="A1412" s="2">
        <v>20</v>
      </c>
      <c r="B1412" s="1" t="s">
        <v>256</v>
      </c>
      <c r="C1412" s="4">
        <v>1</v>
      </c>
      <c r="D1412" s="8">
        <v>0.81</v>
      </c>
      <c r="E1412" s="4">
        <v>0</v>
      </c>
      <c r="F1412" s="8">
        <v>0</v>
      </c>
      <c r="G1412" s="4">
        <v>1</v>
      </c>
      <c r="H1412" s="8">
        <v>1.82</v>
      </c>
      <c r="I1412" s="4">
        <v>0</v>
      </c>
    </row>
    <row r="1413" spans="1:9" x14ac:dyDescent="0.2">
      <c r="A1413" s="2">
        <v>20</v>
      </c>
      <c r="B1413" s="1" t="s">
        <v>229</v>
      </c>
      <c r="C1413" s="4">
        <v>1</v>
      </c>
      <c r="D1413" s="8">
        <v>0.81</v>
      </c>
      <c r="E1413" s="4">
        <v>1</v>
      </c>
      <c r="F1413" s="8">
        <v>1.54</v>
      </c>
      <c r="G1413" s="4">
        <v>0</v>
      </c>
      <c r="H1413" s="8">
        <v>0</v>
      </c>
      <c r="I1413" s="4">
        <v>0</v>
      </c>
    </row>
    <row r="1414" spans="1:9" x14ac:dyDescent="0.2">
      <c r="A1414" s="2">
        <v>20</v>
      </c>
      <c r="B1414" s="1" t="s">
        <v>247</v>
      </c>
      <c r="C1414" s="4">
        <v>1</v>
      </c>
      <c r="D1414" s="8">
        <v>0.81</v>
      </c>
      <c r="E1414" s="4">
        <v>0</v>
      </c>
      <c r="F1414" s="8">
        <v>0</v>
      </c>
      <c r="G1414" s="4">
        <v>0</v>
      </c>
      <c r="H1414" s="8">
        <v>0</v>
      </c>
      <c r="I1414" s="4">
        <v>0</v>
      </c>
    </row>
    <row r="1415" spans="1:9" x14ac:dyDescent="0.2">
      <c r="A1415" s="2">
        <v>20</v>
      </c>
      <c r="B1415" s="1" t="s">
        <v>240</v>
      </c>
      <c r="C1415" s="4">
        <v>1</v>
      </c>
      <c r="D1415" s="8">
        <v>0.81</v>
      </c>
      <c r="E1415" s="4">
        <v>1</v>
      </c>
      <c r="F1415" s="8">
        <v>1.54</v>
      </c>
      <c r="G1415" s="4">
        <v>0</v>
      </c>
      <c r="H1415" s="8">
        <v>0</v>
      </c>
      <c r="I1415" s="4">
        <v>0</v>
      </c>
    </row>
    <row r="1416" spans="1:9" x14ac:dyDescent="0.2">
      <c r="A1416" s="2">
        <v>20</v>
      </c>
      <c r="B1416" s="1" t="s">
        <v>270</v>
      </c>
      <c r="C1416" s="4">
        <v>1</v>
      </c>
      <c r="D1416" s="8">
        <v>0.81</v>
      </c>
      <c r="E1416" s="4">
        <v>0</v>
      </c>
      <c r="F1416" s="8">
        <v>0</v>
      </c>
      <c r="G1416" s="4">
        <v>1</v>
      </c>
      <c r="H1416" s="8">
        <v>1.82</v>
      </c>
      <c r="I1416" s="4">
        <v>0</v>
      </c>
    </row>
    <row r="1417" spans="1:9" x14ac:dyDescent="0.2">
      <c r="A1417" s="1"/>
      <c r="C1417" s="4"/>
      <c r="D1417" s="8"/>
      <c r="E1417" s="4"/>
      <c r="F1417" s="8"/>
      <c r="G1417" s="4"/>
      <c r="H1417" s="8"/>
      <c r="I1417" s="4"/>
    </row>
    <row r="1418" spans="1:9" x14ac:dyDescent="0.2">
      <c r="A1418" s="1" t="s">
        <v>59</v>
      </c>
      <c r="C1418" s="4"/>
      <c r="D1418" s="8"/>
      <c r="E1418" s="4"/>
      <c r="F1418" s="8"/>
      <c r="G1418" s="4"/>
      <c r="H1418" s="8"/>
      <c r="I1418" s="4"/>
    </row>
    <row r="1419" spans="1:9" x14ac:dyDescent="0.2">
      <c r="A1419" s="2">
        <v>1</v>
      </c>
      <c r="B1419" s="1" t="s">
        <v>227</v>
      </c>
      <c r="C1419" s="4">
        <v>13</v>
      </c>
      <c r="D1419" s="8">
        <v>11.4</v>
      </c>
      <c r="E1419" s="4">
        <v>11</v>
      </c>
      <c r="F1419" s="8">
        <v>22</v>
      </c>
      <c r="G1419" s="4">
        <v>2</v>
      </c>
      <c r="H1419" s="8">
        <v>3.7</v>
      </c>
      <c r="I1419" s="4">
        <v>0</v>
      </c>
    </row>
    <row r="1420" spans="1:9" x14ac:dyDescent="0.2">
      <c r="A1420" s="2">
        <v>2</v>
      </c>
      <c r="B1420" s="1" t="s">
        <v>221</v>
      </c>
      <c r="C1420" s="4">
        <v>12</v>
      </c>
      <c r="D1420" s="8">
        <v>10.53</v>
      </c>
      <c r="E1420" s="4">
        <v>4</v>
      </c>
      <c r="F1420" s="8">
        <v>8</v>
      </c>
      <c r="G1420" s="4">
        <v>8</v>
      </c>
      <c r="H1420" s="8">
        <v>14.81</v>
      </c>
      <c r="I1420" s="4">
        <v>0</v>
      </c>
    </row>
    <row r="1421" spans="1:9" x14ac:dyDescent="0.2">
      <c r="A1421" s="2">
        <v>2</v>
      </c>
      <c r="B1421" s="1" t="s">
        <v>228</v>
      </c>
      <c r="C1421" s="4">
        <v>12</v>
      </c>
      <c r="D1421" s="8">
        <v>10.53</v>
      </c>
      <c r="E1421" s="4">
        <v>10</v>
      </c>
      <c r="F1421" s="8">
        <v>20</v>
      </c>
      <c r="G1421" s="4">
        <v>0</v>
      </c>
      <c r="H1421" s="8">
        <v>0</v>
      </c>
      <c r="I1421" s="4">
        <v>0</v>
      </c>
    </row>
    <row r="1422" spans="1:9" x14ac:dyDescent="0.2">
      <c r="A1422" s="2">
        <v>4</v>
      </c>
      <c r="B1422" s="1" t="s">
        <v>213</v>
      </c>
      <c r="C1422" s="4">
        <v>9</v>
      </c>
      <c r="D1422" s="8">
        <v>7.89</v>
      </c>
      <c r="E1422" s="4">
        <v>1</v>
      </c>
      <c r="F1422" s="8">
        <v>2</v>
      </c>
      <c r="G1422" s="4">
        <v>8</v>
      </c>
      <c r="H1422" s="8">
        <v>14.81</v>
      </c>
      <c r="I1422" s="4">
        <v>0</v>
      </c>
    </row>
    <row r="1423" spans="1:9" x14ac:dyDescent="0.2">
      <c r="A1423" s="2">
        <v>4</v>
      </c>
      <c r="B1423" s="1" t="s">
        <v>223</v>
      </c>
      <c r="C1423" s="4">
        <v>9</v>
      </c>
      <c r="D1423" s="8">
        <v>7.89</v>
      </c>
      <c r="E1423" s="4">
        <v>4</v>
      </c>
      <c r="F1423" s="8">
        <v>8</v>
      </c>
      <c r="G1423" s="4">
        <v>5</v>
      </c>
      <c r="H1423" s="8">
        <v>9.26</v>
      </c>
      <c r="I1423" s="4">
        <v>0</v>
      </c>
    </row>
    <row r="1424" spans="1:9" x14ac:dyDescent="0.2">
      <c r="A1424" s="2">
        <v>6</v>
      </c>
      <c r="B1424" s="1" t="s">
        <v>224</v>
      </c>
      <c r="C1424" s="4">
        <v>7</v>
      </c>
      <c r="D1424" s="8">
        <v>6.14</v>
      </c>
      <c r="E1424" s="4">
        <v>6</v>
      </c>
      <c r="F1424" s="8">
        <v>12</v>
      </c>
      <c r="G1424" s="4">
        <v>0</v>
      </c>
      <c r="H1424" s="8">
        <v>0</v>
      </c>
      <c r="I1424" s="4">
        <v>0</v>
      </c>
    </row>
    <row r="1425" spans="1:9" x14ac:dyDescent="0.2">
      <c r="A1425" s="2">
        <v>7</v>
      </c>
      <c r="B1425" s="1" t="s">
        <v>214</v>
      </c>
      <c r="C1425" s="4">
        <v>4</v>
      </c>
      <c r="D1425" s="8">
        <v>3.51</v>
      </c>
      <c r="E1425" s="4">
        <v>2</v>
      </c>
      <c r="F1425" s="8">
        <v>4</v>
      </c>
      <c r="G1425" s="4">
        <v>2</v>
      </c>
      <c r="H1425" s="8">
        <v>3.7</v>
      </c>
      <c r="I1425" s="4">
        <v>0</v>
      </c>
    </row>
    <row r="1426" spans="1:9" x14ac:dyDescent="0.2">
      <c r="A1426" s="2">
        <v>7</v>
      </c>
      <c r="B1426" s="1" t="s">
        <v>220</v>
      </c>
      <c r="C1426" s="4">
        <v>4</v>
      </c>
      <c r="D1426" s="8">
        <v>3.51</v>
      </c>
      <c r="E1426" s="4">
        <v>4</v>
      </c>
      <c r="F1426" s="8">
        <v>8</v>
      </c>
      <c r="G1426" s="4">
        <v>0</v>
      </c>
      <c r="H1426" s="8">
        <v>0</v>
      </c>
      <c r="I1426" s="4">
        <v>0</v>
      </c>
    </row>
    <row r="1427" spans="1:9" x14ac:dyDescent="0.2">
      <c r="A1427" s="2">
        <v>7</v>
      </c>
      <c r="B1427" s="1" t="s">
        <v>230</v>
      </c>
      <c r="C1427" s="4">
        <v>4</v>
      </c>
      <c r="D1427" s="8">
        <v>3.51</v>
      </c>
      <c r="E1427" s="4">
        <v>0</v>
      </c>
      <c r="F1427" s="8">
        <v>0</v>
      </c>
      <c r="G1427" s="4">
        <v>0</v>
      </c>
      <c r="H1427" s="8">
        <v>0</v>
      </c>
      <c r="I1427" s="4">
        <v>0</v>
      </c>
    </row>
    <row r="1428" spans="1:9" x14ac:dyDescent="0.2">
      <c r="A1428" s="2">
        <v>10</v>
      </c>
      <c r="B1428" s="1" t="s">
        <v>244</v>
      </c>
      <c r="C1428" s="4">
        <v>3</v>
      </c>
      <c r="D1428" s="8">
        <v>2.63</v>
      </c>
      <c r="E1428" s="4">
        <v>0</v>
      </c>
      <c r="F1428" s="8">
        <v>0</v>
      </c>
      <c r="G1428" s="4">
        <v>3</v>
      </c>
      <c r="H1428" s="8">
        <v>5.56</v>
      </c>
      <c r="I1428" s="4">
        <v>0</v>
      </c>
    </row>
    <row r="1429" spans="1:9" x14ac:dyDescent="0.2">
      <c r="A1429" s="2">
        <v>10</v>
      </c>
      <c r="B1429" s="1" t="s">
        <v>219</v>
      </c>
      <c r="C1429" s="4">
        <v>3</v>
      </c>
      <c r="D1429" s="8">
        <v>2.63</v>
      </c>
      <c r="E1429" s="4">
        <v>0</v>
      </c>
      <c r="F1429" s="8">
        <v>0</v>
      </c>
      <c r="G1429" s="4">
        <v>3</v>
      </c>
      <c r="H1429" s="8">
        <v>5.56</v>
      </c>
      <c r="I1429" s="4">
        <v>0</v>
      </c>
    </row>
    <row r="1430" spans="1:9" x14ac:dyDescent="0.2">
      <c r="A1430" s="2">
        <v>10</v>
      </c>
      <c r="B1430" s="1" t="s">
        <v>234</v>
      </c>
      <c r="C1430" s="4">
        <v>3</v>
      </c>
      <c r="D1430" s="8">
        <v>2.63</v>
      </c>
      <c r="E1430" s="4">
        <v>0</v>
      </c>
      <c r="F1430" s="8">
        <v>0</v>
      </c>
      <c r="G1430" s="4">
        <v>3</v>
      </c>
      <c r="H1430" s="8">
        <v>5.56</v>
      </c>
      <c r="I1430" s="4">
        <v>0</v>
      </c>
    </row>
    <row r="1431" spans="1:9" x14ac:dyDescent="0.2">
      <c r="A1431" s="2">
        <v>13</v>
      </c>
      <c r="B1431" s="1" t="s">
        <v>215</v>
      </c>
      <c r="C1431" s="4">
        <v>2</v>
      </c>
      <c r="D1431" s="8">
        <v>1.75</v>
      </c>
      <c r="E1431" s="4">
        <v>0</v>
      </c>
      <c r="F1431" s="8">
        <v>0</v>
      </c>
      <c r="G1431" s="4">
        <v>2</v>
      </c>
      <c r="H1431" s="8">
        <v>3.7</v>
      </c>
      <c r="I1431" s="4">
        <v>0</v>
      </c>
    </row>
    <row r="1432" spans="1:9" x14ac:dyDescent="0.2">
      <c r="A1432" s="2">
        <v>13</v>
      </c>
      <c r="B1432" s="1" t="s">
        <v>241</v>
      </c>
      <c r="C1432" s="4">
        <v>2</v>
      </c>
      <c r="D1432" s="8">
        <v>1.75</v>
      </c>
      <c r="E1432" s="4">
        <v>1</v>
      </c>
      <c r="F1432" s="8">
        <v>2</v>
      </c>
      <c r="G1432" s="4">
        <v>1</v>
      </c>
      <c r="H1432" s="8">
        <v>1.85</v>
      </c>
      <c r="I1432" s="4">
        <v>0</v>
      </c>
    </row>
    <row r="1433" spans="1:9" x14ac:dyDescent="0.2">
      <c r="A1433" s="2">
        <v>13</v>
      </c>
      <c r="B1433" s="1" t="s">
        <v>248</v>
      </c>
      <c r="C1433" s="4">
        <v>2</v>
      </c>
      <c r="D1433" s="8">
        <v>1.75</v>
      </c>
      <c r="E1433" s="4">
        <v>1</v>
      </c>
      <c r="F1433" s="8">
        <v>2</v>
      </c>
      <c r="G1433" s="4">
        <v>1</v>
      </c>
      <c r="H1433" s="8">
        <v>1.85</v>
      </c>
      <c r="I1433" s="4">
        <v>0</v>
      </c>
    </row>
    <row r="1434" spans="1:9" x14ac:dyDescent="0.2">
      <c r="A1434" s="2">
        <v>13</v>
      </c>
      <c r="B1434" s="1" t="s">
        <v>222</v>
      </c>
      <c r="C1434" s="4">
        <v>2</v>
      </c>
      <c r="D1434" s="8">
        <v>1.75</v>
      </c>
      <c r="E1434" s="4">
        <v>1</v>
      </c>
      <c r="F1434" s="8">
        <v>2</v>
      </c>
      <c r="G1434" s="4">
        <v>1</v>
      </c>
      <c r="H1434" s="8">
        <v>1.85</v>
      </c>
      <c r="I1434" s="4">
        <v>0</v>
      </c>
    </row>
    <row r="1435" spans="1:9" x14ac:dyDescent="0.2">
      <c r="A1435" s="2">
        <v>13</v>
      </c>
      <c r="B1435" s="1" t="s">
        <v>226</v>
      </c>
      <c r="C1435" s="4">
        <v>2</v>
      </c>
      <c r="D1435" s="8">
        <v>1.75</v>
      </c>
      <c r="E1435" s="4">
        <v>1</v>
      </c>
      <c r="F1435" s="8">
        <v>2</v>
      </c>
      <c r="G1435" s="4">
        <v>1</v>
      </c>
      <c r="H1435" s="8">
        <v>1.85</v>
      </c>
      <c r="I1435" s="4">
        <v>0</v>
      </c>
    </row>
    <row r="1436" spans="1:9" x14ac:dyDescent="0.2">
      <c r="A1436" s="2">
        <v>13</v>
      </c>
      <c r="B1436" s="1" t="s">
        <v>229</v>
      </c>
      <c r="C1436" s="4">
        <v>2</v>
      </c>
      <c r="D1436" s="8">
        <v>1.75</v>
      </c>
      <c r="E1436" s="4">
        <v>0</v>
      </c>
      <c r="F1436" s="8">
        <v>0</v>
      </c>
      <c r="G1436" s="4">
        <v>2</v>
      </c>
      <c r="H1436" s="8">
        <v>3.7</v>
      </c>
      <c r="I1436" s="4">
        <v>0</v>
      </c>
    </row>
    <row r="1437" spans="1:9" x14ac:dyDescent="0.2">
      <c r="A1437" s="2">
        <v>13</v>
      </c>
      <c r="B1437" s="1" t="s">
        <v>232</v>
      </c>
      <c r="C1437" s="4">
        <v>2</v>
      </c>
      <c r="D1437" s="8">
        <v>1.75</v>
      </c>
      <c r="E1437" s="4">
        <v>0</v>
      </c>
      <c r="F1437" s="8">
        <v>0</v>
      </c>
      <c r="G1437" s="4">
        <v>2</v>
      </c>
      <c r="H1437" s="8">
        <v>3.7</v>
      </c>
      <c r="I1437" s="4">
        <v>0</v>
      </c>
    </row>
    <row r="1438" spans="1:9" x14ac:dyDescent="0.2">
      <c r="A1438" s="2">
        <v>13</v>
      </c>
      <c r="B1438" s="1" t="s">
        <v>240</v>
      </c>
      <c r="C1438" s="4">
        <v>2</v>
      </c>
      <c r="D1438" s="8">
        <v>1.75</v>
      </c>
      <c r="E1438" s="4">
        <v>0</v>
      </c>
      <c r="F1438" s="8">
        <v>0</v>
      </c>
      <c r="G1438" s="4">
        <v>2</v>
      </c>
      <c r="H1438" s="8">
        <v>3.7</v>
      </c>
      <c r="I1438" s="4">
        <v>0</v>
      </c>
    </row>
    <row r="1439" spans="1:9" x14ac:dyDescent="0.2">
      <c r="A1439" s="2">
        <v>13</v>
      </c>
      <c r="B1439" s="1" t="s">
        <v>250</v>
      </c>
      <c r="C1439" s="4">
        <v>2</v>
      </c>
      <c r="D1439" s="8">
        <v>1.75</v>
      </c>
      <c r="E1439" s="4">
        <v>0</v>
      </c>
      <c r="F1439" s="8">
        <v>0</v>
      </c>
      <c r="G1439" s="4">
        <v>0</v>
      </c>
      <c r="H1439" s="8">
        <v>0</v>
      </c>
      <c r="I1439" s="4">
        <v>0</v>
      </c>
    </row>
    <row r="1440" spans="1:9" x14ac:dyDescent="0.2">
      <c r="A1440" s="1"/>
      <c r="C1440" s="4"/>
      <c r="D1440" s="8"/>
      <c r="E1440" s="4"/>
      <c r="F1440" s="8"/>
      <c r="G1440" s="4"/>
      <c r="H1440" s="8"/>
      <c r="I1440" s="4"/>
    </row>
    <row r="1441" spans="1:9" x14ac:dyDescent="0.2">
      <c r="A1441" s="1" t="s">
        <v>60</v>
      </c>
      <c r="C1441" s="4"/>
      <c r="D1441" s="8"/>
      <c r="E1441" s="4"/>
      <c r="F1441" s="8"/>
      <c r="G1441" s="4"/>
      <c r="H1441" s="8"/>
      <c r="I1441" s="4"/>
    </row>
    <row r="1442" spans="1:9" x14ac:dyDescent="0.2">
      <c r="A1442" s="2">
        <v>1</v>
      </c>
      <c r="B1442" s="1" t="s">
        <v>228</v>
      </c>
      <c r="C1442" s="4">
        <v>16</v>
      </c>
      <c r="D1442" s="8">
        <v>13.91</v>
      </c>
      <c r="E1442" s="4">
        <v>16</v>
      </c>
      <c r="F1442" s="8">
        <v>29.09</v>
      </c>
      <c r="G1442" s="4">
        <v>0</v>
      </c>
      <c r="H1442" s="8">
        <v>0</v>
      </c>
      <c r="I1442" s="4">
        <v>0</v>
      </c>
    </row>
    <row r="1443" spans="1:9" x14ac:dyDescent="0.2">
      <c r="A1443" s="2">
        <v>2</v>
      </c>
      <c r="B1443" s="1" t="s">
        <v>223</v>
      </c>
      <c r="C1443" s="4">
        <v>11</v>
      </c>
      <c r="D1443" s="8">
        <v>9.57</v>
      </c>
      <c r="E1443" s="4">
        <v>6</v>
      </c>
      <c r="F1443" s="8">
        <v>10.91</v>
      </c>
      <c r="G1443" s="4">
        <v>5</v>
      </c>
      <c r="H1443" s="8">
        <v>9.6199999999999992</v>
      </c>
      <c r="I1443" s="4">
        <v>0</v>
      </c>
    </row>
    <row r="1444" spans="1:9" x14ac:dyDescent="0.2">
      <c r="A1444" s="2">
        <v>3</v>
      </c>
      <c r="B1444" s="1" t="s">
        <v>213</v>
      </c>
      <c r="C1444" s="4">
        <v>9</v>
      </c>
      <c r="D1444" s="8">
        <v>7.83</v>
      </c>
      <c r="E1444" s="4">
        <v>2</v>
      </c>
      <c r="F1444" s="8">
        <v>3.64</v>
      </c>
      <c r="G1444" s="4">
        <v>7</v>
      </c>
      <c r="H1444" s="8">
        <v>13.46</v>
      </c>
      <c r="I1444" s="4">
        <v>0</v>
      </c>
    </row>
    <row r="1445" spans="1:9" x14ac:dyDescent="0.2">
      <c r="A1445" s="2">
        <v>3</v>
      </c>
      <c r="B1445" s="1" t="s">
        <v>227</v>
      </c>
      <c r="C1445" s="4">
        <v>9</v>
      </c>
      <c r="D1445" s="8">
        <v>7.83</v>
      </c>
      <c r="E1445" s="4">
        <v>9</v>
      </c>
      <c r="F1445" s="8">
        <v>16.36</v>
      </c>
      <c r="G1445" s="4">
        <v>0</v>
      </c>
      <c r="H1445" s="8">
        <v>0</v>
      </c>
      <c r="I1445" s="4">
        <v>0</v>
      </c>
    </row>
    <row r="1446" spans="1:9" x14ac:dyDescent="0.2">
      <c r="A1446" s="2">
        <v>5</v>
      </c>
      <c r="B1446" s="1" t="s">
        <v>221</v>
      </c>
      <c r="C1446" s="4">
        <v>7</v>
      </c>
      <c r="D1446" s="8">
        <v>6.09</v>
      </c>
      <c r="E1446" s="4">
        <v>4</v>
      </c>
      <c r="F1446" s="8">
        <v>7.27</v>
      </c>
      <c r="G1446" s="4">
        <v>2</v>
      </c>
      <c r="H1446" s="8">
        <v>3.85</v>
      </c>
      <c r="I1446" s="4">
        <v>1</v>
      </c>
    </row>
    <row r="1447" spans="1:9" x14ac:dyDescent="0.2">
      <c r="A1447" s="2">
        <v>5</v>
      </c>
      <c r="B1447" s="1" t="s">
        <v>232</v>
      </c>
      <c r="C1447" s="4">
        <v>7</v>
      </c>
      <c r="D1447" s="8">
        <v>6.09</v>
      </c>
      <c r="E1447" s="4">
        <v>0</v>
      </c>
      <c r="F1447" s="8">
        <v>0</v>
      </c>
      <c r="G1447" s="4">
        <v>6</v>
      </c>
      <c r="H1447" s="8">
        <v>11.54</v>
      </c>
      <c r="I1447" s="4">
        <v>0</v>
      </c>
    </row>
    <row r="1448" spans="1:9" x14ac:dyDescent="0.2">
      <c r="A1448" s="2">
        <v>7</v>
      </c>
      <c r="B1448" s="1" t="s">
        <v>214</v>
      </c>
      <c r="C1448" s="4">
        <v>5</v>
      </c>
      <c r="D1448" s="8">
        <v>4.3499999999999996</v>
      </c>
      <c r="E1448" s="4">
        <v>3</v>
      </c>
      <c r="F1448" s="8">
        <v>5.45</v>
      </c>
      <c r="G1448" s="4">
        <v>2</v>
      </c>
      <c r="H1448" s="8">
        <v>3.85</v>
      </c>
      <c r="I1448" s="4">
        <v>0</v>
      </c>
    </row>
    <row r="1449" spans="1:9" x14ac:dyDescent="0.2">
      <c r="A1449" s="2">
        <v>8</v>
      </c>
      <c r="B1449" s="1" t="s">
        <v>241</v>
      </c>
      <c r="C1449" s="4">
        <v>4</v>
      </c>
      <c r="D1449" s="8">
        <v>3.48</v>
      </c>
      <c r="E1449" s="4">
        <v>0</v>
      </c>
      <c r="F1449" s="8">
        <v>0</v>
      </c>
      <c r="G1449" s="4">
        <v>4</v>
      </c>
      <c r="H1449" s="8">
        <v>7.69</v>
      </c>
      <c r="I1449" s="4">
        <v>0</v>
      </c>
    </row>
    <row r="1450" spans="1:9" x14ac:dyDescent="0.2">
      <c r="A1450" s="2">
        <v>8</v>
      </c>
      <c r="B1450" s="1" t="s">
        <v>222</v>
      </c>
      <c r="C1450" s="4">
        <v>4</v>
      </c>
      <c r="D1450" s="8">
        <v>3.48</v>
      </c>
      <c r="E1450" s="4">
        <v>1</v>
      </c>
      <c r="F1450" s="8">
        <v>1.82</v>
      </c>
      <c r="G1450" s="4">
        <v>3</v>
      </c>
      <c r="H1450" s="8">
        <v>5.77</v>
      </c>
      <c r="I1450" s="4">
        <v>0</v>
      </c>
    </row>
    <row r="1451" spans="1:9" x14ac:dyDescent="0.2">
      <c r="A1451" s="2">
        <v>8</v>
      </c>
      <c r="B1451" s="1" t="s">
        <v>243</v>
      </c>
      <c r="C1451" s="4">
        <v>4</v>
      </c>
      <c r="D1451" s="8">
        <v>3.48</v>
      </c>
      <c r="E1451" s="4">
        <v>2</v>
      </c>
      <c r="F1451" s="8">
        <v>3.64</v>
      </c>
      <c r="G1451" s="4">
        <v>2</v>
      </c>
      <c r="H1451" s="8">
        <v>3.85</v>
      </c>
      <c r="I1451" s="4">
        <v>0</v>
      </c>
    </row>
    <row r="1452" spans="1:9" x14ac:dyDescent="0.2">
      <c r="A1452" s="2">
        <v>8</v>
      </c>
      <c r="B1452" s="1" t="s">
        <v>230</v>
      </c>
      <c r="C1452" s="4">
        <v>4</v>
      </c>
      <c r="D1452" s="8">
        <v>3.48</v>
      </c>
      <c r="E1452" s="4">
        <v>3</v>
      </c>
      <c r="F1452" s="8">
        <v>5.45</v>
      </c>
      <c r="G1452" s="4">
        <v>0</v>
      </c>
      <c r="H1452" s="8">
        <v>0</v>
      </c>
      <c r="I1452" s="4">
        <v>0</v>
      </c>
    </row>
    <row r="1453" spans="1:9" x14ac:dyDescent="0.2">
      <c r="A1453" s="2">
        <v>12</v>
      </c>
      <c r="B1453" s="1" t="s">
        <v>215</v>
      </c>
      <c r="C1453" s="4">
        <v>3</v>
      </c>
      <c r="D1453" s="8">
        <v>2.61</v>
      </c>
      <c r="E1453" s="4">
        <v>0</v>
      </c>
      <c r="F1453" s="8">
        <v>0</v>
      </c>
      <c r="G1453" s="4">
        <v>3</v>
      </c>
      <c r="H1453" s="8">
        <v>5.77</v>
      </c>
      <c r="I1453" s="4">
        <v>0</v>
      </c>
    </row>
    <row r="1454" spans="1:9" x14ac:dyDescent="0.2">
      <c r="A1454" s="2">
        <v>12</v>
      </c>
      <c r="B1454" s="1" t="s">
        <v>262</v>
      </c>
      <c r="C1454" s="4">
        <v>3</v>
      </c>
      <c r="D1454" s="8">
        <v>2.61</v>
      </c>
      <c r="E1454" s="4">
        <v>0</v>
      </c>
      <c r="F1454" s="8">
        <v>0</v>
      </c>
      <c r="G1454" s="4">
        <v>3</v>
      </c>
      <c r="H1454" s="8">
        <v>5.77</v>
      </c>
      <c r="I1454" s="4">
        <v>0</v>
      </c>
    </row>
    <row r="1455" spans="1:9" x14ac:dyDescent="0.2">
      <c r="A1455" s="2">
        <v>12</v>
      </c>
      <c r="B1455" s="1" t="s">
        <v>216</v>
      </c>
      <c r="C1455" s="4">
        <v>3</v>
      </c>
      <c r="D1455" s="8">
        <v>2.61</v>
      </c>
      <c r="E1455" s="4">
        <v>0</v>
      </c>
      <c r="F1455" s="8">
        <v>0</v>
      </c>
      <c r="G1455" s="4">
        <v>3</v>
      </c>
      <c r="H1455" s="8">
        <v>5.77</v>
      </c>
      <c r="I1455" s="4">
        <v>0</v>
      </c>
    </row>
    <row r="1456" spans="1:9" x14ac:dyDescent="0.2">
      <c r="A1456" s="2">
        <v>12</v>
      </c>
      <c r="B1456" s="1" t="s">
        <v>220</v>
      </c>
      <c r="C1456" s="4">
        <v>3</v>
      </c>
      <c r="D1456" s="8">
        <v>2.61</v>
      </c>
      <c r="E1456" s="4">
        <v>2</v>
      </c>
      <c r="F1456" s="8">
        <v>3.64</v>
      </c>
      <c r="G1456" s="4">
        <v>1</v>
      </c>
      <c r="H1456" s="8">
        <v>1.92</v>
      </c>
      <c r="I1456" s="4">
        <v>0</v>
      </c>
    </row>
    <row r="1457" spans="1:9" x14ac:dyDescent="0.2">
      <c r="A1457" s="2">
        <v>12</v>
      </c>
      <c r="B1457" s="1" t="s">
        <v>236</v>
      </c>
      <c r="C1457" s="4">
        <v>3</v>
      </c>
      <c r="D1457" s="8">
        <v>2.61</v>
      </c>
      <c r="E1457" s="4">
        <v>2</v>
      </c>
      <c r="F1457" s="8">
        <v>3.64</v>
      </c>
      <c r="G1457" s="4">
        <v>1</v>
      </c>
      <c r="H1457" s="8">
        <v>1.92</v>
      </c>
      <c r="I1457" s="4">
        <v>0</v>
      </c>
    </row>
    <row r="1458" spans="1:9" x14ac:dyDescent="0.2">
      <c r="A1458" s="2">
        <v>12</v>
      </c>
      <c r="B1458" s="1" t="s">
        <v>231</v>
      </c>
      <c r="C1458" s="4">
        <v>3</v>
      </c>
      <c r="D1458" s="8">
        <v>2.61</v>
      </c>
      <c r="E1458" s="4">
        <v>2</v>
      </c>
      <c r="F1458" s="8">
        <v>3.64</v>
      </c>
      <c r="G1458" s="4">
        <v>1</v>
      </c>
      <c r="H1458" s="8">
        <v>1.92</v>
      </c>
      <c r="I1458" s="4">
        <v>0</v>
      </c>
    </row>
    <row r="1459" spans="1:9" x14ac:dyDescent="0.2">
      <c r="A1459" s="2">
        <v>18</v>
      </c>
      <c r="B1459" s="1" t="s">
        <v>226</v>
      </c>
      <c r="C1459" s="4">
        <v>2</v>
      </c>
      <c r="D1459" s="8">
        <v>1.74</v>
      </c>
      <c r="E1459" s="4">
        <v>1</v>
      </c>
      <c r="F1459" s="8">
        <v>1.82</v>
      </c>
      <c r="G1459" s="4">
        <v>1</v>
      </c>
      <c r="H1459" s="8">
        <v>1.92</v>
      </c>
      <c r="I1459" s="4">
        <v>0</v>
      </c>
    </row>
    <row r="1460" spans="1:9" x14ac:dyDescent="0.2">
      <c r="A1460" s="2">
        <v>18</v>
      </c>
      <c r="B1460" s="1" t="s">
        <v>247</v>
      </c>
      <c r="C1460" s="4">
        <v>2</v>
      </c>
      <c r="D1460" s="8">
        <v>1.74</v>
      </c>
      <c r="E1460" s="4">
        <v>0</v>
      </c>
      <c r="F1460" s="8">
        <v>0</v>
      </c>
      <c r="G1460" s="4">
        <v>0</v>
      </c>
      <c r="H1460" s="8">
        <v>0</v>
      </c>
      <c r="I1460" s="4">
        <v>0</v>
      </c>
    </row>
    <row r="1461" spans="1:9" x14ac:dyDescent="0.2">
      <c r="A1461" s="2">
        <v>18</v>
      </c>
      <c r="B1461" s="1" t="s">
        <v>249</v>
      </c>
      <c r="C1461" s="4">
        <v>2</v>
      </c>
      <c r="D1461" s="8">
        <v>1.74</v>
      </c>
      <c r="E1461" s="4">
        <v>0</v>
      </c>
      <c r="F1461" s="8">
        <v>0</v>
      </c>
      <c r="G1461" s="4">
        <v>2</v>
      </c>
      <c r="H1461" s="8">
        <v>3.85</v>
      </c>
      <c r="I1461" s="4">
        <v>0</v>
      </c>
    </row>
    <row r="1462" spans="1:9" x14ac:dyDescent="0.2">
      <c r="A1462" s="2">
        <v>18</v>
      </c>
      <c r="B1462" s="1" t="s">
        <v>234</v>
      </c>
      <c r="C1462" s="4">
        <v>2</v>
      </c>
      <c r="D1462" s="8">
        <v>1.74</v>
      </c>
      <c r="E1462" s="4">
        <v>0</v>
      </c>
      <c r="F1462" s="8">
        <v>0</v>
      </c>
      <c r="G1462" s="4">
        <v>2</v>
      </c>
      <c r="H1462" s="8">
        <v>3.85</v>
      </c>
      <c r="I1462" s="4">
        <v>0</v>
      </c>
    </row>
    <row r="1463" spans="1:9" x14ac:dyDescent="0.2">
      <c r="A1463" s="1"/>
      <c r="C1463" s="4"/>
      <c r="D1463" s="8"/>
      <c r="E1463" s="4"/>
      <c r="F1463" s="8"/>
      <c r="G1463" s="4"/>
      <c r="H1463" s="8"/>
      <c r="I1463" s="4"/>
    </row>
    <row r="1464" spans="1:9" x14ac:dyDescent="0.2">
      <c r="A1464" s="1" t="s">
        <v>61</v>
      </c>
      <c r="C1464" s="4"/>
      <c r="D1464" s="8"/>
      <c r="E1464" s="4"/>
      <c r="F1464" s="8"/>
      <c r="G1464" s="4"/>
      <c r="H1464" s="8"/>
      <c r="I1464" s="4"/>
    </row>
    <row r="1465" spans="1:9" x14ac:dyDescent="0.2">
      <c r="A1465" s="2">
        <v>1</v>
      </c>
      <c r="B1465" s="1" t="s">
        <v>227</v>
      </c>
      <c r="C1465" s="4">
        <v>23</v>
      </c>
      <c r="D1465" s="8">
        <v>17.16</v>
      </c>
      <c r="E1465" s="4">
        <v>21</v>
      </c>
      <c r="F1465" s="8">
        <v>24.71</v>
      </c>
      <c r="G1465" s="4">
        <v>2</v>
      </c>
      <c r="H1465" s="8">
        <v>4.55</v>
      </c>
      <c r="I1465" s="4">
        <v>0</v>
      </c>
    </row>
    <row r="1466" spans="1:9" x14ac:dyDescent="0.2">
      <c r="A1466" s="2">
        <v>2</v>
      </c>
      <c r="B1466" s="1" t="s">
        <v>243</v>
      </c>
      <c r="C1466" s="4">
        <v>17</v>
      </c>
      <c r="D1466" s="8">
        <v>12.69</v>
      </c>
      <c r="E1466" s="4">
        <v>16</v>
      </c>
      <c r="F1466" s="8">
        <v>18.82</v>
      </c>
      <c r="G1466" s="4">
        <v>1</v>
      </c>
      <c r="H1466" s="8">
        <v>2.27</v>
      </c>
      <c r="I1466" s="4">
        <v>0</v>
      </c>
    </row>
    <row r="1467" spans="1:9" x14ac:dyDescent="0.2">
      <c r="A1467" s="2">
        <v>3</v>
      </c>
      <c r="B1467" s="1" t="s">
        <v>221</v>
      </c>
      <c r="C1467" s="4">
        <v>15</v>
      </c>
      <c r="D1467" s="8">
        <v>11.19</v>
      </c>
      <c r="E1467" s="4">
        <v>8</v>
      </c>
      <c r="F1467" s="8">
        <v>9.41</v>
      </c>
      <c r="G1467" s="4">
        <v>7</v>
      </c>
      <c r="H1467" s="8">
        <v>15.91</v>
      </c>
      <c r="I1467" s="4">
        <v>0</v>
      </c>
    </row>
    <row r="1468" spans="1:9" x14ac:dyDescent="0.2">
      <c r="A1468" s="2">
        <v>4</v>
      </c>
      <c r="B1468" s="1" t="s">
        <v>228</v>
      </c>
      <c r="C1468" s="4">
        <v>13</v>
      </c>
      <c r="D1468" s="8">
        <v>9.6999999999999993</v>
      </c>
      <c r="E1468" s="4">
        <v>12</v>
      </c>
      <c r="F1468" s="8">
        <v>14.12</v>
      </c>
      <c r="G1468" s="4">
        <v>1</v>
      </c>
      <c r="H1468" s="8">
        <v>2.27</v>
      </c>
      <c r="I1468" s="4">
        <v>0</v>
      </c>
    </row>
    <row r="1469" spans="1:9" x14ac:dyDescent="0.2">
      <c r="A1469" s="2">
        <v>5</v>
      </c>
      <c r="B1469" s="1" t="s">
        <v>223</v>
      </c>
      <c r="C1469" s="4">
        <v>11</v>
      </c>
      <c r="D1469" s="8">
        <v>8.2100000000000009</v>
      </c>
      <c r="E1469" s="4">
        <v>8</v>
      </c>
      <c r="F1469" s="8">
        <v>9.41</v>
      </c>
      <c r="G1469" s="4">
        <v>3</v>
      </c>
      <c r="H1469" s="8">
        <v>6.82</v>
      </c>
      <c r="I1469" s="4">
        <v>0</v>
      </c>
    </row>
    <row r="1470" spans="1:9" x14ac:dyDescent="0.2">
      <c r="A1470" s="2">
        <v>6</v>
      </c>
      <c r="B1470" s="1" t="s">
        <v>241</v>
      </c>
      <c r="C1470" s="4">
        <v>7</v>
      </c>
      <c r="D1470" s="8">
        <v>5.22</v>
      </c>
      <c r="E1470" s="4">
        <v>4</v>
      </c>
      <c r="F1470" s="8">
        <v>4.71</v>
      </c>
      <c r="G1470" s="4">
        <v>3</v>
      </c>
      <c r="H1470" s="8">
        <v>6.82</v>
      </c>
      <c r="I1470" s="4">
        <v>0</v>
      </c>
    </row>
    <row r="1471" spans="1:9" x14ac:dyDescent="0.2">
      <c r="A1471" s="2">
        <v>7</v>
      </c>
      <c r="B1471" s="1" t="s">
        <v>224</v>
      </c>
      <c r="C1471" s="4">
        <v>5</v>
      </c>
      <c r="D1471" s="8">
        <v>3.73</v>
      </c>
      <c r="E1471" s="4">
        <v>4</v>
      </c>
      <c r="F1471" s="8">
        <v>4.71</v>
      </c>
      <c r="G1471" s="4">
        <v>0</v>
      </c>
      <c r="H1471" s="8">
        <v>0</v>
      </c>
      <c r="I1471" s="4">
        <v>0</v>
      </c>
    </row>
    <row r="1472" spans="1:9" x14ac:dyDescent="0.2">
      <c r="A1472" s="2">
        <v>8</v>
      </c>
      <c r="B1472" s="1" t="s">
        <v>213</v>
      </c>
      <c r="C1472" s="4">
        <v>4</v>
      </c>
      <c r="D1472" s="8">
        <v>2.99</v>
      </c>
      <c r="E1472" s="4">
        <v>1</v>
      </c>
      <c r="F1472" s="8">
        <v>1.18</v>
      </c>
      <c r="G1472" s="4">
        <v>3</v>
      </c>
      <c r="H1472" s="8">
        <v>6.82</v>
      </c>
      <c r="I1472" s="4">
        <v>0</v>
      </c>
    </row>
    <row r="1473" spans="1:9" x14ac:dyDescent="0.2">
      <c r="A1473" s="2">
        <v>8</v>
      </c>
      <c r="B1473" s="1" t="s">
        <v>215</v>
      </c>
      <c r="C1473" s="4">
        <v>4</v>
      </c>
      <c r="D1473" s="8">
        <v>2.99</v>
      </c>
      <c r="E1473" s="4">
        <v>0</v>
      </c>
      <c r="F1473" s="8">
        <v>0</v>
      </c>
      <c r="G1473" s="4">
        <v>4</v>
      </c>
      <c r="H1473" s="8">
        <v>9.09</v>
      </c>
      <c r="I1473" s="4">
        <v>0</v>
      </c>
    </row>
    <row r="1474" spans="1:9" x14ac:dyDescent="0.2">
      <c r="A1474" s="2">
        <v>8</v>
      </c>
      <c r="B1474" s="1" t="s">
        <v>216</v>
      </c>
      <c r="C1474" s="4">
        <v>4</v>
      </c>
      <c r="D1474" s="8">
        <v>2.99</v>
      </c>
      <c r="E1474" s="4">
        <v>2</v>
      </c>
      <c r="F1474" s="8">
        <v>2.35</v>
      </c>
      <c r="G1474" s="4">
        <v>2</v>
      </c>
      <c r="H1474" s="8">
        <v>4.55</v>
      </c>
      <c r="I1474" s="4">
        <v>0</v>
      </c>
    </row>
    <row r="1475" spans="1:9" x14ac:dyDescent="0.2">
      <c r="A1475" s="2">
        <v>8</v>
      </c>
      <c r="B1475" s="1" t="s">
        <v>222</v>
      </c>
      <c r="C1475" s="4">
        <v>4</v>
      </c>
      <c r="D1475" s="8">
        <v>2.99</v>
      </c>
      <c r="E1475" s="4">
        <v>3</v>
      </c>
      <c r="F1475" s="8">
        <v>3.53</v>
      </c>
      <c r="G1475" s="4">
        <v>1</v>
      </c>
      <c r="H1475" s="8">
        <v>2.27</v>
      </c>
      <c r="I1475" s="4">
        <v>0</v>
      </c>
    </row>
    <row r="1476" spans="1:9" x14ac:dyDescent="0.2">
      <c r="A1476" s="2">
        <v>8</v>
      </c>
      <c r="B1476" s="1" t="s">
        <v>249</v>
      </c>
      <c r="C1476" s="4">
        <v>4</v>
      </c>
      <c r="D1476" s="8">
        <v>2.99</v>
      </c>
      <c r="E1476" s="4">
        <v>0</v>
      </c>
      <c r="F1476" s="8">
        <v>0</v>
      </c>
      <c r="G1476" s="4">
        <v>3</v>
      </c>
      <c r="H1476" s="8">
        <v>6.82</v>
      </c>
      <c r="I1476" s="4">
        <v>0</v>
      </c>
    </row>
    <row r="1477" spans="1:9" x14ac:dyDescent="0.2">
      <c r="A1477" s="2">
        <v>13</v>
      </c>
      <c r="B1477" s="1" t="s">
        <v>246</v>
      </c>
      <c r="C1477" s="4">
        <v>3</v>
      </c>
      <c r="D1477" s="8">
        <v>2.2400000000000002</v>
      </c>
      <c r="E1477" s="4">
        <v>1</v>
      </c>
      <c r="F1477" s="8">
        <v>1.18</v>
      </c>
      <c r="G1477" s="4">
        <v>2</v>
      </c>
      <c r="H1477" s="8">
        <v>4.55</v>
      </c>
      <c r="I1477" s="4">
        <v>0</v>
      </c>
    </row>
    <row r="1478" spans="1:9" x14ac:dyDescent="0.2">
      <c r="A1478" s="2">
        <v>14</v>
      </c>
      <c r="B1478" s="1" t="s">
        <v>254</v>
      </c>
      <c r="C1478" s="4">
        <v>2</v>
      </c>
      <c r="D1478" s="8">
        <v>1.49</v>
      </c>
      <c r="E1478" s="4">
        <v>0</v>
      </c>
      <c r="F1478" s="8">
        <v>0</v>
      </c>
      <c r="G1478" s="4">
        <v>2</v>
      </c>
      <c r="H1478" s="8">
        <v>4.55</v>
      </c>
      <c r="I1478" s="4">
        <v>0</v>
      </c>
    </row>
    <row r="1479" spans="1:9" x14ac:dyDescent="0.2">
      <c r="A1479" s="2">
        <v>14</v>
      </c>
      <c r="B1479" s="1" t="s">
        <v>236</v>
      </c>
      <c r="C1479" s="4">
        <v>2</v>
      </c>
      <c r="D1479" s="8">
        <v>1.49</v>
      </c>
      <c r="E1479" s="4">
        <v>0</v>
      </c>
      <c r="F1479" s="8">
        <v>0</v>
      </c>
      <c r="G1479" s="4">
        <v>2</v>
      </c>
      <c r="H1479" s="8">
        <v>4.55</v>
      </c>
      <c r="I1479" s="4">
        <v>0</v>
      </c>
    </row>
    <row r="1480" spans="1:9" x14ac:dyDescent="0.2">
      <c r="A1480" s="2">
        <v>14</v>
      </c>
      <c r="B1480" s="1" t="s">
        <v>226</v>
      </c>
      <c r="C1480" s="4">
        <v>2</v>
      </c>
      <c r="D1480" s="8">
        <v>1.49</v>
      </c>
      <c r="E1480" s="4">
        <v>1</v>
      </c>
      <c r="F1480" s="8">
        <v>1.18</v>
      </c>
      <c r="G1480" s="4">
        <v>0</v>
      </c>
      <c r="H1480" s="8">
        <v>0</v>
      </c>
      <c r="I1480" s="4">
        <v>0</v>
      </c>
    </row>
    <row r="1481" spans="1:9" x14ac:dyDescent="0.2">
      <c r="A1481" s="2">
        <v>14</v>
      </c>
      <c r="B1481" s="1" t="s">
        <v>232</v>
      </c>
      <c r="C1481" s="4">
        <v>2</v>
      </c>
      <c r="D1481" s="8">
        <v>1.49</v>
      </c>
      <c r="E1481" s="4">
        <v>0</v>
      </c>
      <c r="F1481" s="8">
        <v>0</v>
      </c>
      <c r="G1481" s="4">
        <v>2</v>
      </c>
      <c r="H1481" s="8">
        <v>4.55</v>
      </c>
      <c r="I1481" s="4">
        <v>0</v>
      </c>
    </row>
    <row r="1482" spans="1:9" x14ac:dyDescent="0.2">
      <c r="A1482" s="2">
        <v>14</v>
      </c>
      <c r="B1482" s="1" t="s">
        <v>242</v>
      </c>
      <c r="C1482" s="4">
        <v>2</v>
      </c>
      <c r="D1482" s="8">
        <v>1.49</v>
      </c>
      <c r="E1482" s="4">
        <v>2</v>
      </c>
      <c r="F1482" s="8">
        <v>2.35</v>
      </c>
      <c r="G1482" s="4">
        <v>0</v>
      </c>
      <c r="H1482" s="8">
        <v>0</v>
      </c>
      <c r="I1482" s="4">
        <v>0</v>
      </c>
    </row>
    <row r="1483" spans="1:9" x14ac:dyDescent="0.2">
      <c r="A1483" s="2">
        <v>19</v>
      </c>
      <c r="B1483" s="1" t="s">
        <v>214</v>
      </c>
      <c r="C1483" s="4">
        <v>1</v>
      </c>
      <c r="D1483" s="8">
        <v>0.75</v>
      </c>
      <c r="E1483" s="4">
        <v>0</v>
      </c>
      <c r="F1483" s="8">
        <v>0</v>
      </c>
      <c r="G1483" s="4">
        <v>1</v>
      </c>
      <c r="H1483" s="8">
        <v>2.27</v>
      </c>
      <c r="I1483" s="4">
        <v>0</v>
      </c>
    </row>
    <row r="1484" spans="1:9" x14ac:dyDescent="0.2">
      <c r="A1484" s="2">
        <v>19</v>
      </c>
      <c r="B1484" s="1" t="s">
        <v>244</v>
      </c>
      <c r="C1484" s="4">
        <v>1</v>
      </c>
      <c r="D1484" s="8">
        <v>0.75</v>
      </c>
      <c r="E1484" s="4">
        <v>0</v>
      </c>
      <c r="F1484" s="8">
        <v>0</v>
      </c>
      <c r="G1484" s="4">
        <v>1</v>
      </c>
      <c r="H1484" s="8">
        <v>2.27</v>
      </c>
      <c r="I1484" s="4">
        <v>0</v>
      </c>
    </row>
    <row r="1485" spans="1:9" x14ac:dyDescent="0.2">
      <c r="A1485" s="2">
        <v>19</v>
      </c>
      <c r="B1485" s="1" t="s">
        <v>255</v>
      </c>
      <c r="C1485" s="4">
        <v>1</v>
      </c>
      <c r="D1485" s="8">
        <v>0.75</v>
      </c>
      <c r="E1485" s="4">
        <v>0</v>
      </c>
      <c r="F1485" s="8">
        <v>0</v>
      </c>
      <c r="G1485" s="4">
        <v>0</v>
      </c>
      <c r="H1485" s="8">
        <v>0</v>
      </c>
      <c r="I1485" s="4">
        <v>0</v>
      </c>
    </row>
    <row r="1486" spans="1:9" x14ac:dyDescent="0.2">
      <c r="A1486" s="2">
        <v>19</v>
      </c>
      <c r="B1486" s="1" t="s">
        <v>238</v>
      </c>
      <c r="C1486" s="4">
        <v>1</v>
      </c>
      <c r="D1486" s="8">
        <v>0.75</v>
      </c>
      <c r="E1486" s="4">
        <v>0</v>
      </c>
      <c r="F1486" s="8">
        <v>0</v>
      </c>
      <c r="G1486" s="4">
        <v>1</v>
      </c>
      <c r="H1486" s="8">
        <v>2.27</v>
      </c>
      <c r="I1486" s="4">
        <v>0</v>
      </c>
    </row>
    <row r="1487" spans="1:9" x14ac:dyDescent="0.2">
      <c r="A1487" s="2">
        <v>19</v>
      </c>
      <c r="B1487" s="1" t="s">
        <v>217</v>
      </c>
      <c r="C1487" s="4">
        <v>1</v>
      </c>
      <c r="D1487" s="8">
        <v>0.75</v>
      </c>
      <c r="E1487" s="4">
        <v>1</v>
      </c>
      <c r="F1487" s="8">
        <v>1.18</v>
      </c>
      <c r="G1487" s="4">
        <v>0</v>
      </c>
      <c r="H1487" s="8">
        <v>0</v>
      </c>
      <c r="I1487" s="4">
        <v>0</v>
      </c>
    </row>
    <row r="1488" spans="1:9" x14ac:dyDescent="0.2">
      <c r="A1488" s="2">
        <v>19</v>
      </c>
      <c r="B1488" s="1" t="s">
        <v>219</v>
      </c>
      <c r="C1488" s="4">
        <v>1</v>
      </c>
      <c r="D1488" s="8">
        <v>0.75</v>
      </c>
      <c r="E1488" s="4">
        <v>0</v>
      </c>
      <c r="F1488" s="8">
        <v>0</v>
      </c>
      <c r="G1488" s="4">
        <v>1</v>
      </c>
      <c r="H1488" s="8">
        <v>2.27</v>
      </c>
      <c r="I1488" s="4">
        <v>0</v>
      </c>
    </row>
    <row r="1489" spans="1:9" x14ac:dyDescent="0.2">
      <c r="A1489" s="2">
        <v>19</v>
      </c>
      <c r="B1489" s="1" t="s">
        <v>266</v>
      </c>
      <c r="C1489" s="4">
        <v>1</v>
      </c>
      <c r="D1489" s="8">
        <v>0.75</v>
      </c>
      <c r="E1489" s="4">
        <v>0</v>
      </c>
      <c r="F1489" s="8">
        <v>0</v>
      </c>
      <c r="G1489" s="4">
        <v>1</v>
      </c>
      <c r="H1489" s="8">
        <v>2.27</v>
      </c>
      <c r="I1489" s="4">
        <v>0</v>
      </c>
    </row>
    <row r="1490" spans="1:9" x14ac:dyDescent="0.2">
      <c r="A1490" s="2">
        <v>19</v>
      </c>
      <c r="B1490" s="1" t="s">
        <v>237</v>
      </c>
      <c r="C1490" s="4">
        <v>1</v>
      </c>
      <c r="D1490" s="8">
        <v>0.75</v>
      </c>
      <c r="E1490" s="4">
        <v>0</v>
      </c>
      <c r="F1490" s="8">
        <v>0</v>
      </c>
      <c r="G1490" s="4">
        <v>1</v>
      </c>
      <c r="H1490" s="8">
        <v>2.27</v>
      </c>
      <c r="I1490" s="4">
        <v>0</v>
      </c>
    </row>
    <row r="1491" spans="1:9" x14ac:dyDescent="0.2">
      <c r="A1491" s="2">
        <v>19</v>
      </c>
      <c r="B1491" s="1" t="s">
        <v>230</v>
      </c>
      <c r="C1491" s="4">
        <v>1</v>
      </c>
      <c r="D1491" s="8">
        <v>0.75</v>
      </c>
      <c r="E1491" s="4">
        <v>0</v>
      </c>
      <c r="F1491" s="8">
        <v>0</v>
      </c>
      <c r="G1491" s="4">
        <v>0</v>
      </c>
      <c r="H1491" s="8">
        <v>0</v>
      </c>
      <c r="I1491" s="4">
        <v>0</v>
      </c>
    </row>
    <row r="1492" spans="1:9" x14ac:dyDescent="0.2">
      <c r="A1492" s="2">
        <v>19</v>
      </c>
      <c r="B1492" s="1" t="s">
        <v>231</v>
      </c>
      <c r="C1492" s="4">
        <v>1</v>
      </c>
      <c r="D1492" s="8">
        <v>0.75</v>
      </c>
      <c r="E1492" s="4">
        <v>1</v>
      </c>
      <c r="F1492" s="8">
        <v>1.18</v>
      </c>
      <c r="G1492" s="4">
        <v>0</v>
      </c>
      <c r="H1492" s="8">
        <v>0</v>
      </c>
      <c r="I1492" s="4">
        <v>0</v>
      </c>
    </row>
    <row r="1493" spans="1:9" x14ac:dyDescent="0.2">
      <c r="A1493" s="1"/>
      <c r="C1493" s="4"/>
      <c r="D1493" s="8"/>
      <c r="E1493" s="4"/>
      <c r="F1493" s="8"/>
      <c r="G1493" s="4"/>
      <c r="H1493" s="8"/>
      <c r="I1493" s="4"/>
    </row>
    <row r="1494" spans="1:9" x14ac:dyDescent="0.2">
      <c r="A1494" s="1" t="s">
        <v>62</v>
      </c>
      <c r="C1494" s="4"/>
      <c r="D1494" s="8"/>
      <c r="E1494" s="4"/>
      <c r="F1494" s="8"/>
      <c r="G1494" s="4"/>
      <c r="H1494" s="8"/>
      <c r="I1494" s="4"/>
    </row>
    <row r="1495" spans="1:9" x14ac:dyDescent="0.2">
      <c r="A1495" s="2">
        <v>1</v>
      </c>
      <c r="B1495" s="1" t="s">
        <v>227</v>
      </c>
      <c r="C1495" s="4">
        <v>24</v>
      </c>
      <c r="D1495" s="8">
        <v>15.29</v>
      </c>
      <c r="E1495" s="4">
        <v>21</v>
      </c>
      <c r="F1495" s="8">
        <v>22.58</v>
      </c>
      <c r="G1495" s="4">
        <v>3</v>
      </c>
      <c r="H1495" s="8">
        <v>5.36</v>
      </c>
      <c r="I1495" s="4">
        <v>0</v>
      </c>
    </row>
    <row r="1496" spans="1:9" x14ac:dyDescent="0.2">
      <c r="A1496" s="2">
        <v>2</v>
      </c>
      <c r="B1496" s="1" t="s">
        <v>228</v>
      </c>
      <c r="C1496" s="4">
        <v>20</v>
      </c>
      <c r="D1496" s="8">
        <v>12.74</v>
      </c>
      <c r="E1496" s="4">
        <v>20</v>
      </c>
      <c r="F1496" s="8">
        <v>21.51</v>
      </c>
      <c r="G1496" s="4">
        <v>0</v>
      </c>
      <c r="H1496" s="8">
        <v>0</v>
      </c>
      <c r="I1496" s="4">
        <v>0</v>
      </c>
    </row>
    <row r="1497" spans="1:9" x14ac:dyDescent="0.2">
      <c r="A1497" s="2">
        <v>3</v>
      </c>
      <c r="B1497" s="1" t="s">
        <v>223</v>
      </c>
      <c r="C1497" s="4">
        <v>19</v>
      </c>
      <c r="D1497" s="8">
        <v>12.1</v>
      </c>
      <c r="E1497" s="4">
        <v>11</v>
      </c>
      <c r="F1497" s="8">
        <v>11.83</v>
      </c>
      <c r="G1497" s="4">
        <v>8</v>
      </c>
      <c r="H1497" s="8">
        <v>14.29</v>
      </c>
      <c r="I1497" s="4">
        <v>0</v>
      </c>
    </row>
    <row r="1498" spans="1:9" x14ac:dyDescent="0.2">
      <c r="A1498" s="2">
        <v>4</v>
      </c>
      <c r="B1498" s="1" t="s">
        <v>213</v>
      </c>
      <c r="C1498" s="4">
        <v>13</v>
      </c>
      <c r="D1498" s="8">
        <v>8.2799999999999994</v>
      </c>
      <c r="E1498" s="4">
        <v>3</v>
      </c>
      <c r="F1498" s="8">
        <v>3.23</v>
      </c>
      <c r="G1498" s="4">
        <v>10</v>
      </c>
      <c r="H1498" s="8">
        <v>17.86</v>
      </c>
      <c r="I1498" s="4">
        <v>0</v>
      </c>
    </row>
    <row r="1499" spans="1:9" x14ac:dyDescent="0.2">
      <c r="A1499" s="2">
        <v>5</v>
      </c>
      <c r="B1499" s="1" t="s">
        <v>230</v>
      </c>
      <c r="C1499" s="4">
        <v>8</v>
      </c>
      <c r="D1499" s="8">
        <v>5.0999999999999996</v>
      </c>
      <c r="E1499" s="4">
        <v>6</v>
      </c>
      <c r="F1499" s="8">
        <v>6.45</v>
      </c>
      <c r="G1499" s="4">
        <v>0</v>
      </c>
      <c r="H1499" s="8">
        <v>0</v>
      </c>
      <c r="I1499" s="4">
        <v>0</v>
      </c>
    </row>
    <row r="1500" spans="1:9" x14ac:dyDescent="0.2">
      <c r="A1500" s="2">
        <v>6</v>
      </c>
      <c r="B1500" s="1" t="s">
        <v>224</v>
      </c>
      <c r="C1500" s="4">
        <v>7</v>
      </c>
      <c r="D1500" s="8">
        <v>4.46</v>
      </c>
      <c r="E1500" s="4">
        <v>6</v>
      </c>
      <c r="F1500" s="8">
        <v>6.45</v>
      </c>
      <c r="G1500" s="4">
        <v>1</v>
      </c>
      <c r="H1500" s="8">
        <v>1.79</v>
      </c>
      <c r="I1500" s="4">
        <v>0</v>
      </c>
    </row>
    <row r="1501" spans="1:9" x14ac:dyDescent="0.2">
      <c r="A1501" s="2">
        <v>7</v>
      </c>
      <c r="B1501" s="1" t="s">
        <v>214</v>
      </c>
      <c r="C1501" s="4">
        <v>6</v>
      </c>
      <c r="D1501" s="8">
        <v>3.82</v>
      </c>
      <c r="E1501" s="4">
        <v>2</v>
      </c>
      <c r="F1501" s="8">
        <v>2.15</v>
      </c>
      <c r="G1501" s="4">
        <v>4</v>
      </c>
      <c r="H1501" s="8">
        <v>7.14</v>
      </c>
      <c r="I1501" s="4">
        <v>0</v>
      </c>
    </row>
    <row r="1502" spans="1:9" x14ac:dyDescent="0.2">
      <c r="A1502" s="2">
        <v>7</v>
      </c>
      <c r="B1502" s="1" t="s">
        <v>220</v>
      </c>
      <c r="C1502" s="4">
        <v>6</v>
      </c>
      <c r="D1502" s="8">
        <v>3.82</v>
      </c>
      <c r="E1502" s="4">
        <v>1</v>
      </c>
      <c r="F1502" s="8">
        <v>1.08</v>
      </c>
      <c r="G1502" s="4">
        <v>5</v>
      </c>
      <c r="H1502" s="8">
        <v>8.93</v>
      </c>
      <c r="I1502" s="4">
        <v>0</v>
      </c>
    </row>
    <row r="1503" spans="1:9" x14ac:dyDescent="0.2">
      <c r="A1503" s="2">
        <v>7</v>
      </c>
      <c r="B1503" s="1" t="s">
        <v>222</v>
      </c>
      <c r="C1503" s="4">
        <v>6</v>
      </c>
      <c r="D1503" s="8">
        <v>3.82</v>
      </c>
      <c r="E1503" s="4">
        <v>4</v>
      </c>
      <c r="F1503" s="8">
        <v>4.3</v>
      </c>
      <c r="G1503" s="4">
        <v>2</v>
      </c>
      <c r="H1503" s="8">
        <v>3.57</v>
      </c>
      <c r="I1503" s="4">
        <v>0</v>
      </c>
    </row>
    <row r="1504" spans="1:9" x14ac:dyDescent="0.2">
      <c r="A1504" s="2">
        <v>10</v>
      </c>
      <c r="B1504" s="1" t="s">
        <v>215</v>
      </c>
      <c r="C1504" s="4">
        <v>5</v>
      </c>
      <c r="D1504" s="8">
        <v>3.18</v>
      </c>
      <c r="E1504" s="4">
        <v>2</v>
      </c>
      <c r="F1504" s="8">
        <v>2.15</v>
      </c>
      <c r="G1504" s="4">
        <v>3</v>
      </c>
      <c r="H1504" s="8">
        <v>5.36</v>
      </c>
      <c r="I1504" s="4">
        <v>0</v>
      </c>
    </row>
    <row r="1505" spans="1:9" x14ac:dyDescent="0.2">
      <c r="A1505" s="2">
        <v>10</v>
      </c>
      <c r="B1505" s="1" t="s">
        <v>221</v>
      </c>
      <c r="C1505" s="4">
        <v>5</v>
      </c>
      <c r="D1505" s="8">
        <v>3.18</v>
      </c>
      <c r="E1505" s="4">
        <v>2</v>
      </c>
      <c r="F1505" s="8">
        <v>2.15</v>
      </c>
      <c r="G1505" s="4">
        <v>3</v>
      </c>
      <c r="H1505" s="8">
        <v>5.36</v>
      </c>
      <c r="I1505" s="4">
        <v>0</v>
      </c>
    </row>
    <row r="1506" spans="1:9" x14ac:dyDescent="0.2">
      <c r="A1506" s="2">
        <v>12</v>
      </c>
      <c r="B1506" s="1" t="s">
        <v>226</v>
      </c>
      <c r="C1506" s="4">
        <v>4</v>
      </c>
      <c r="D1506" s="8">
        <v>2.5499999999999998</v>
      </c>
      <c r="E1506" s="4">
        <v>1</v>
      </c>
      <c r="F1506" s="8">
        <v>1.08</v>
      </c>
      <c r="G1506" s="4">
        <v>2</v>
      </c>
      <c r="H1506" s="8">
        <v>3.57</v>
      </c>
      <c r="I1506" s="4">
        <v>1</v>
      </c>
    </row>
    <row r="1507" spans="1:9" x14ac:dyDescent="0.2">
      <c r="A1507" s="2">
        <v>13</v>
      </c>
      <c r="B1507" s="1" t="s">
        <v>255</v>
      </c>
      <c r="C1507" s="4">
        <v>3</v>
      </c>
      <c r="D1507" s="8">
        <v>1.91</v>
      </c>
      <c r="E1507" s="4">
        <v>0</v>
      </c>
      <c r="F1507" s="8">
        <v>0</v>
      </c>
      <c r="G1507" s="4">
        <v>1</v>
      </c>
      <c r="H1507" s="8">
        <v>1.79</v>
      </c>
      <c r="I1507" s="4">
        <v>0</v>
      </c>
    </row>
    <row r="1508" spans="1:9" x14ac:dyDescent="0.2">
      <c r="A1508" s="2">
        <v>13</v>
      </c>
      <c r="B1508" s="1" t="s">
        <v>243</v>
      </c>
      <c r="C1508" s="4">
        <v>3</v>
      </c>
      <c r="D1508" s="8">
        <v>1.91</v>
      </c>
      <c r="E1508" s="4">
        <v>2</v>
      </c>
      <c r="F1508" s="8">
        <v>2.15</v>
      </c>
      <c r="G1508" s="4">
        <v>1</v>
      </c>
      <c r="H1508" s="8">
        <v>1.79</v>
      </c>
      <c r="I1508" s="4">
        <v>0</v>
      </c>
    </row>
    <row r="1509" spans="1:9" x14ac:dyDescent="0.2">
      <c r="A1509" s="2">
        <v>13</v>
      </c>
      <c r="B1509" s="1" t="s">
        <v>232</v>
      </c>
      <c r="C1509" s="4">
        <v>3</v>
      </c>
      <c r="D1509" s="8">
        <v>1.91</v>
      </c>
      <c r="E1509" s="4">
        <v>0</v>
      </c>
      <c r="F1509" s="8">
        <v>0</v>
      </c>
      <c r="G1509" s="4">
        <v>1</v>
      </c>
      <c r="H1509" s="8">
        <v>1.79</v>
      </c>
      <c r="I1509" s="4">
        <v>0</v>
      </c>
    </row>
    <row r="1510" spans="1:9" x14ac:dyDescent="0.2">
      <c r="A1510" s="2">
        <v>13</v>
      </c>
      <c r="B1510" s="1" t="s">
        <v>240</v>
      </c>
      <c r="C1510" s="4">
        <v>3</v>
      </c>
      <c r="D1510" s="8">
        <v>1.91</v>
      </c>
      <c r="E1510" s="4">
        <v>2</v>
      </c>
      <c r="F1510" s="8">
        <v>2.15</v>
      </c>
      <c r="G1510" s="4">
        <v>1</v>
      </c>
      <c r="H1510" s="8">
        <v>1.79</v>
      </c>
      <c r="I1510" s="4">
        <v>0</v>
      </c>
    </row>
    <row r="1511" spans="1:9" x14ac:dyDescent="0.2">
      <c r="A1511" s="2">
        <v>17</v>
      </c>
      <c r="B1511" s="1" t="s">
        <v>241</v>
      </c>
      <c r="C1511" s="4">
        <v>2</v>
      </c>
      <c r="D1511" s="8">
        <v>1.27</v>
      </c>
      <c r="E1511" s="4">
        <v>0</v>
      </c>
      <c r="F1511" s="8">
        <v>0</v>
      </c>
      <c r="G1511" s="4">
        <v>2</v>
      </c>
      <c r="H1511" s="8">
        <v>3.57</v>
      </c>
      <c r="I1511" s="4">
        <v>0</v>
      </c>
    </row>
    <row r="1512" spans="1:9" x14ac:dyDescent="0.2">
      <c r="A1512" s="2">
        <v>17</v>
      </c>
      <c r="B1512" s="1" t="s">
        <v>258</v>
      </c>
      <c r="C1512" s="4">
        <v>2</v>
      </c>
      <c r="D1512" s="8">
        <v>1.27</v>
      </c>
      <c r="E1512" s="4">
        <v>1</v>
      </c>
      <c r="F1512" s="8">
        <v>1.08</v>
      </c>
      <c r="G1512" s="4">
        <v>1</v>
      </c>
      <c r="H1512" s="8">
        <v>1.79</v>
      </c>
      <c r="I1512" s="4">
        <v>0</v>
      </c>
    </row>
    <row r="1513" spans="1:9" x14ac:dyDescent="0.2">
      <c r="A1513" s="2">
        <v>17</v>
      </c>
      <c r="B1513" s="1" t="s">
        <v>252</v>
      </c>
      <c r="C1513" s="4">
        <v>2</v>
      </c>
      <c r="D1513" s="8">
        <v>1.27</v>
      </c>
      <c r="E1513" s="4">
        <v>2</v>
      </c>
      <c r="F1513" s="8">
        <v>2.15</v>
      </c>
      <c r="G1513" s="4">
        <v>0</v>
      </c>
      <c r="H1513" s="8">
        <v>0</v>
      </c>
      <c r="I1513" s="4">
        <v>0</v>
      </c>
    </row>
    <row r="1514" spans="1:9" x14ac:dyDescent="0.2">
      <c r="A1514" s="2">
        <v>17</v>
      </c>
      <c r="B1514" s="1" t="s">
        <v>254</v>
      </c>
      <c r="C1514" s="4">
        <v>2</v>
      </c>
      <c r="D1514" s="8">
        <v>1.27</v>
      </c>
      <c r="E1514" s="4">
        <v>0</v>
      </c>
      <c r="F1514" s="8">
        <v>0</v>
      </c>
      <c r="G1514" s="4">
        <v>2</v>
      </c>
      <c r="H1514" s="8">
        <v>3.57</v>
      </c>
      <c r="I1514" s="4">
        <v>0</v>
      </c>
    </row>
    <row r="1515" spans="1:9" x14ac:dyDescent="0.2">
      <c r="A1515" s="2">
        <v>17</v>
      </c>
      <c r="B1515" s="1" t="s">
        <v>217</v>
      </c>
      <c r="C1515" s="4">
        <v>2</v>
      </c>
      <c r="D1515" s="8">
        <v>1.27</v>
      </c>
      <c r="E1515" s="4">
        <v>0</v>
      </c>
      <c r="F1515" s="8">
        <v>0</v>
      </c>
      <c r="G1515" s="4">
        <v>2</v>
      </c>
      <c r="H1515" s="8">
        <v>3.57</v>
      </c>
      <c r="I1515" s="4">
        <v>0</v>
      </c>
    </row>
    <row r="1516" spans="1:9" x14ac:dyDescent="0.2">
      <c r="A1516" s="2">
        <v>17</v>
      </c>
      <c r="B1516" s="1" t="s">
        <v>229</v>
      </c>
      <c r="C1516" s="4">
        <v>2</v>
      </c>
      <c r="D1516" s="8">
        <v>1.27</v>
      </c>
      <c r="E1516" s="4">
        <v>2</v>
      </c>
      <c r="F1516" s="8">
        <v>2.15</v>
      </c>
      <c r="G1516" s="4">
        <v>0</v>
      </c>
      <c r="H1516" s="8">
        <v>0</v>
      </c>
      <c r="I1516" s="4">
        <v>0</v>
      </c>
    </row>
    <row r="1517" spans="1:9" x14ac:dyDescent="0.2">
      <c r="A1517" s="2">
        <v>17</v>
      </c>
      <c r="B1517" s="1" t="s">
        <v>231</v>
      </c>
      <c r="C1517" s="4">
        <v>2</v>
      </c>
      <c r="D1517" s="8">
        <v>1.27</v>
      </c>
      <c r="E1517" s="4">
        <v>2</v>
      </c>
      <c r="F1517" s="8">
        <v>2.15</v>
      </c>
      <c r="G1517" s="4">
        <v>0</v>
      </c>
      <c r="H1517" s="8">
        <v>0</v>
      </c>
      <c r="I1517" s="4">
        <v>0</v>
      </c>
    </row>
    <row r="1518" spans="1:9" x14ac:dyDescent="0.2">
      <c r="A1518" s="1"/>
      <c r="C1518" s="4"/>
      <c r="D1518" s="8"/>
      <c r="E1518" s="4"/>
      <c r="F1518" s="8"/>
      <c r="G1518" s="4"/>
      <c r="H1518" s="8"/>
      <c r="I1518" s="4"/>
    </row>
    <row r="1519" spans="1:9" x14ac:dyDescent="0.2">
      <c r="A1519" s="1" t="s">
        <v>63</v>
      </c>
      <c r="C1519" s="4"/>
      <c r="D1519" s="8"/>
      <c r="E1519" s="4"/>
      <c r="F1519" s="8"/>
      <c r="G1519" s="4"/>
      <c r="H1519" s="8"/>
      <c r="I1519" s="4"/>
    </row>
    <row r="1520" spans="1:9" x14ac:dyDescent="0.2">
      <c r="A1520" s="2">
        <v>1</v>
      </c>
      <c r="B1520" s="1" t="s">
        <v>227</v>
      </c>
      <c r="C1520" s="4">
        <v>34</v>
      </c>
      <c r="D1520" s="8">
        <v>11.68</v>
      </c>
      <c r="E1520" s="4">
        <v>30</v>
      </c>
      <c r="F1520" s="8">
        <v>17.75</v>
      </c>
      <c r="G1520" s="4">
        <v>4</v>
      </c>
      <c r="H1520" s="8">
        <v>3.92</v>
      </c>
      <c r="I1520" s="4">
        <v>0</v>
      </c>
    </row>
    <row r="1521" spans="1:9" x14ac:dyDescent="0.2">
      <c r="A1521" s="2">
        <v>2</v>
      </c>
      <c r="B1521" s="1" t="s">
        <v>228</v>
      </c>
      <c r="C1521" s="4">
        <v>30</v>
      </c>
      <c r="D1521" s="8">
        <v>10.31</v>
      </c>
      <c r="E1521" s="4">
        <v>28</v>
      </c>
      <c r="F1521" s="8">
        <v>16.57</v>
      </c>
      <c r="G1521" s="4">
        <v>1</v>
      </c>
      <c r="H1521" s="8">
        <v>0.98</v>
      </c>
      <c r="I1521" s="4">
        <v>0</v>
      </c>
    </row>
    <row r="1522" spans="1:9" x14ac:dyDescent="0.2">
      <c r="A1522" s="2">
        <v>3</v>
      </c>
      <c r="B1522" s="1" t="s">
        <v>223</v>
      </c>
      <c r="C1522" s="4">
        <v>28</v>
      </c>
      <c r="D1522" s="8">
        <v>9.6199999999999992</v>
      </c>
      <c r="E1522" s="4">
        <v>11</v>
      </c>
      <c r="F1522" s="8">
        <v>6.51</v>
      </c>
      <c r="G1522" s="4">
        <v>17</v>
      </c>
      <c r="H1522" s="8">
        <v>16.670000000000002</v>
      </c>
      <c r="I1522" s="4">
        <v>0</v>
      </c>
    </row>
    <row r="1523" spans="1:9" x14ac:dyDescent="0.2">
      <c r="A1523" s="2">
        <v>4</v>
      </c>
      <c r="B1523" s="1" t="s">
        <v>221</v>
      </c>
      <c r="C1523" s="4">
        <v>27</v>
      </c>
      <c r="D1523" s="8">
        <v>9.2799999999999994</v>
      </c>
      <c r="E1523" s="4">
        <v>19</v>
      </c>
      <c r="F1523" s="8">
        <v>11.24</v>
      </c>
      <c r="G1523" s="4">
        <v>8</v>
      </c>
      <c r="H1523" s="8">
        <v>7.84</v>
      </c>
      <c r="I1523" s="4">
        <v>0</v>
      </c>
    </row>
    <row r="1524" spans="1:9" x14ac:dyDescent="0.2">
      <c r="A1524" s="2">
        <v>5</v>
      </c>
      <c r="B1524" s="1" t="s">
        <v>213</v>
      </c>
      <c r="C1524" s="4">
        <v>18</v>
      </c>
      <c r="D1524" s="8">
        <v>6.19</v>
      </c>
      <c r="E1524" s="4">
        <v>6</v>
      </c>
      <c r="F1524" s="8">
        <v>3.55</v>
      </c>
      <c r="G1524" s="4">
        <v>12</v>
      </c>
      <c r="H1524" s="8">
        <v>11.76</v>
      </c>
      <c r="I1524" s="4">
        <v>0</v>
      </c>
    </row>
    <row r="1525" spans="1:9" x14ac:dyDescent="0.2">
      <c r="A1525" s="2">
        <v>6</v>
      </c>
      <c r="B1525" s="1" t="s">
        <v>214</v>
      </c>
      <c r="C1525" s="4">
        <v>15</v>
      </c>
      <c r="D1525" s="8">
        <v>5.15</v>
      </c>
      <c r="E1525" s="4">
        <v>9</v>
      </c>
      <c r="F1525" s="8">
        <v>5.33</v>
      </c>
      <c r="G1525" s="4">
        <v>6</v>
      </c>
      <c r="H1525" s="8">
        <v>5.88</v>
      </c>
      <c r="I1525" s="4">
        <v>0</v>
      </c>
    </row>
    <row r="1526" spans="1:9" x14ac:dyDescent="0.2">
      <c r="A1526" s="2">
        <v>7</v>
      </c>
      <c r="B1526" s="1" t="s">
        <v>215</v>
      </c>
      <c r="C1526" s="4">
        <v>14</v>
      </c>
      <c r="D1526" s="8">
        <v>4.8099999999999996</v>
      </c>
      <c r="E1526" s="4">
        <v>3</v>
      </c>
      <c r="F1526" s="8">
        <v>1.78</v>
      </c>
      <c r="G1526" s="4">
        <v>11</v>
      </c>
      <c r="H1526" s="8">
        <v>10.78</v>
      </c>
      <c r="I1526" s="4">
        <v>0</v>
      </c>
    </row>
    <row r="1527" spans="1:9" x14ac:dyDescent="0.2">
      <c r="A1527" s="2">
        <v>8</v>
      </c>
      <c r="B1527" s="1" t="s">
        <v>232</v>
      </c>
      <c r="C1527" s="4">
        <v>13</v>
      </c>
      <c r="D1527" s="8">
        <v>4.47</v>
      </c>
      <c r="E1527" s="4">
        <v>0</v>
      </c>
      <c r="F1527" s="8">
        <v>0</v>
      </c>
      <c r="G1527" s="4">
        <v>7</v>
      </c>
      <c r="H1527" s="8">
        <v>6.86</v>
      </c>
      <c r="I1527" s="4">
        <v>0</v>
      </c>
    </row>
    <row r="1528" spans="1:9" x14ac:dyDescent="0.2">
      <c r="A1528" s="2">
        <v>9</v>
      </c>
      <c r="B1528" s="1" t="s">
        <v>224</v>
      </c>
      <c r="C1528" s="4">
        <v>12</v>
      </c>
      <c r="D1528" s="8">
        <v>4.12</v>
      </c>
      <c r="E1528" s="4">
        <v>10</v>
      </c>
      <c r="F1528" s="8">
        <v>5.92</v>
      </c>
      <c r="G1528" s="4">
        <v>1</v>
      </c>
      <c r="H1528" s="8">
        <v>0.98</v>
      </c>
      <c r="I1528" s="4">
        <v>0</v>
      </c>
    </row>
    <row r="1529" spans="1:9" x14ac:dyDescent="0.2">
      <c r="A1529" s="2">
        <v>10</v>
      </c>
      <c r="B1529" s="1" t="s">
        <v>220</v>
      </c>
      <c r="C1529" s="4">
        <v>11</v>
      </c>
      <c r="D1529" s="8">
        <v>3.78</v>
      </c>
      <c r="E1529" s="4">
        <v>11</v>
      </c>
      <c r="F1529" s="8">
        <v>6.51</v>
      </c>
      <c r="G1529" s="4">
        <v>0</v>
      </c>
      <c r="H1529" s="8">
        <v>0</v>
      </c>
      <c r="I1529" s="4">
        <v>0</v>
      </c>
    </row>
    <row r="1530" spans="1:9" x14ac:dyDescent="0.2">
      <c r="A1530" s="2">
        <v>11</v>
      </c>
      <c r="B1530" s="1" t="s">
        <v>243</v>
      </c>
      <c r="C1530" s="4">
        <v>9</v>
      </c>
      <c r="D1530" s="8">
        <v>3.09</v>
      </c>
      <c r="E1530" s="4">
        <v>7</v>
      </c>
      <c r="F1530" s="8">
        <v>4.1399999999999997</v>
      </c>
      <c r="G1530" s="4">
        <v>1</v>
      </c>
      <c r="H1530" s="8">
        <v>0.98</v>
      </c>
      <c r="I1530" s="4">
        <v>0</v>
      </c>
    </row>
    <row r="1531" spans="1:9" x14ac:dyDescent="0.2">
      <c r="A1531" s="2">
        <v>12</v>
      </c>
      <c r="B1531" s="1" t="s">
        <v>216</v>
      </c>
      <c r="C1531" s="4">
        <v>7</v>
      </c>
      <c r="D1531" s="8">
        <v>2.41</v>
      </c>
      <c r="E1531" s="4">
        <v>2</v>
      </c>
      <c r="F1531" s="8">
        <v>1.18</v>
      </c>
      <c r="G1531" s="4">
        <v>5</v>
      </c>
      <c r="H1531" s="8">
        <v>4.9000000000000004</v>
      </c>
      <c r="I1531" s="4">
        <v>0</v>
      </c>
    </row>
    <row r="1532" spans="1:9" x14ac:dyDescent="0.2">
      <c r="A1532" s="2">
        <v>12</v>
      </c>
      <c r="B1532" s="1" t="s">
        <v>231</v>
      </c>
      <c r="C1532" s="4">
        <v>7</v>
      </c>
      <c r="D1532" s="8">
        <v>2.41</v>
      </c>
      <c r="E1532" s="4">
        <v>5</v>
      </c>
      <c r="F1532" s="8">
        <v>2.96</v>
      </c>
      <c r="G1532" s="4">
        <v>1</v>
      </c>
      <c r="H1532" s="8">
        <v>0.98</v>
      </c>
      <c r="I1532" s="4">
        <v>0</v>
      </c>
    </row>
    <row r="1533" spans="1:9" x14ac:dyDescent="0.2">
      <c r="A1533" s="2">
        <v>14</v>
      </c>
      <c r="B1533" s="1" t="s">
        <v>241</v>
      </c>
      <c r="C1533" s="4">
        <v>6</v>
      </c>
      <c r="D1533" s="8">
        <v>2.06</v>
      </c>
      <c r="E1533" s="4">
        <v>3</v>
      </c>
      <c r="F1533" s="8">
        <v>1.78</v>
      </c>
      <c r="G1533" s="4">
        <v>3</v>
      </c>
      <c r="H1533" s="8">
        <v>2.94</v>
      </c>
      <c r="I1533" s="4">
        <v>0</v>
      </c>
    </row>
    <row r="1534" spans="1:9" x14ac:dyDescent="0.2">
      <c r="A1534" s="2">
        <v>14</v>
      </c>
      <c r="B1534" s="1" t="s">
        <v>230</v>
      </c>
      <c r="C1534" s="4">
        <v>6</v>
      </c>
      <c r="D1534" s="8">
        <v>2.06</v>
      </c>
      <c r="E1534" s="4">
        <v>2</v>
      </c>
      <c r="F1534" s="8">
        <v>1.18</v>
      </c>
      <c r="G1534" s="4">
        <v>0</v>
      </c>
      <c r="H1534" s="8">
        <v>0</v>
      </c>
      <c r="I1534" s="4">
        <v>0</v>
      </c>
    </row>
    <row r="1535" spans="1:9" x14ac:dyDescent="0.2">
      <c r="A1535" s="2">
        <v>16</v>
      </c>
      <c r="B1535" s="1" t="s">
        <v>226</v>
      </c>
      <c r="C1535" s="4">
        <v>4</v>
      </c>
      <c r="D1535" s="8">
        <v>1.37</v>
      </c>
      <c r="E1535" s="4">
        <v>1</v>
      </c>
      <c r="F1535" s="8">
        <v>0.59</v>
      </c>
      <c r="G1535" s="4">
        <v>1</v>
      </c>
      <c r="H1535" s="8">
        <v>0.98</v>
      </c>
      <c r="I1535" s="4">
        <v>0</v>
      </c>
    </row>
    <row r="1536" spans="1:9" x14ac:dyDescent="0.2">
      <c r="A1536" s="2">
        <v>16</v>
      </c>
      <c r="B1536" s="1" t="s">
        <v>242</v>
      </c>
      <c r="C1536" s="4">
        <v>4</v>
      </c>
      <c r="D1536" s="8">
        <v>1.37</v>
      </c>
      <c r="E1536" s="4">
        <v>4</v>
      </c>
      <c r="F1536" s="8">
        <v>2.37</v>
      </c>
      <c r="G1536" s="4">
        <v>0</v>
      </c>
      <c r="H1536" s="8">
        <v>0</v>
      </c>
      <c r="I1536" s="4">
        <v>0</v>
      </c>
    </row>
    <row r="1537" spans="1:9" x14ac:dyDescent="0.2">
      <c r="A1537" s="2">
        <v>18</v>
      </c>
      <c r="B1537" s="1" t="s">
        <v>258</v>
      </c>
      <c r="C1537" s="4">
        <v>3</v>
      </c>
      <c r="D1537" s="8">
        <v>1.03</v>
      </c>
      <c r="E1537" s="4">
        <v>2</v>
      </c>
      <c r="F1537" s="8">
        <v>1.18</v>
      </c>
      <c r="G1537" s="4">
        <v>1</v>
      </c>
      <c r="H1537" s="8">
        <v>0.98</v>
      </c>
      <c r="I1537" s="4">
        <v>0</v>
      </c>
    </row>
    <row r="1538" spans="1:9" x14ac:dyDescent="0.2">
      <c r="A1538" s="2">
        <v>18</v>
      </c>
      <c r="B1538" s="1" t="s">
        <v>261</v>
      </c>
      <c r="C1538" s="4">
        <v>3</v>
      </c>
      <c r="D1538" s="8">
        <v>1.03</v>
      </c>
      <c r="E1538" s="4">
        <v>0</v>
      </c>
      <c r="F1538" s="8">
        <v>0</v>
      </c>
      <c r="G1538" s="4">
        <v>2</v>
      </c>
      <c r="H1538" s="8">
        <v>1.96</v>
      </c>
      <c r="I1538" s="4">
        <v>1</v>
      </c>
    </row>
    <row r="1539" spans="1:9" x14ac:dyDescent="0.2">
      <c r="A1539" s="2">
        <v>18</v>
      </c>
      <c r="B1539" s="1" t="s">
        <v>222</v>
      </c>
      <c r="C1539" s="4">
        <v>3</v>
      </c>
      <c r="D1539" s="8">
        <v>1.03</v>
      </c>
      <c r="E1539" s="4">
        <v>2</v>
      </c>
      <c r="F1539" s="8">
        <v>1.18</v>
      </c>
      <c r="G1539" s="4">
        <v>1</v>
      </c>
      <c r="H1539" s="8">
        <v>0.98</v>
      </c>
      <c r="I1539" s="4">
        <v>0</v>
      </c>
    </row>
    <row r="1540" spans="1:9" x14ac:dyDescent="0.2">
      <c r="A1540" s="2">
        <v>18</v>
      </c>
      <c r="B1540" s="1" t="s">
        <v>229</v>
      </c>
      <c r="C1540" s="4">
        <v>3</v>
      </c>
      <c r="D1540" s="8">
        <v>1.03</v>
      </c>
      <c r="E1540" s="4">
        <v>3</v>
      </c>
      <c r="F1540" s="8">
        <v>1.78</v>
      </c>
      <c r="G1540" s="4">
        <v>0</v>
      </c>
      <c r="H1540" s="8">
        <v>0</v>
      </c>
      <c r="I1540" s="4">
        <v>0</v>
      </c>
    </row>
    <row r="1541" spans="1:9" x14ac:dyDescent="0.2">
      <c r="A1541" s="2">
        <v>18</v>
      </c>
      <c r="B1541" s="1" t="s">
        <v>240</v>
      </c>
      <c r="C1541" s="4">
        <v>3</v>
      </c>
      <c r="D1541" s="8">
        <v>1.03</v>
      </c>
      <c r="E1541" s="4">
        <v>3</v>
      </c>
      <c r="F1541" s="8">
        <v>1.78</v>
      </c>
      <c r="G1541" s="4">
        <v>0</v>
      </c>
      <c r="H1541" s="8">
        <v>0</v>
      </c>
      <c r="I1541" s="4">
        <v>0</v>
      </c>
    </row>
    <row r="1542" spans="1:9" x14ac:dyDescent="0.2">
      <c r="A1542" s="2">
        <v>18</v>
      </c>
      <c r="B1542" s="1" t="s">
        <v>234</v>
      </c>
      <c r="C1542" s="4">
        <v>3</v>
      </c>
      <c r="D1542" s="8">
        <v>1.03</v>
      </c>
      <c r="E1542" s="4">
        <v>0</v>
      </c>
      <c r="F1542" s="8">
        <v>0</v>
      </c>
      <c r="G1542" s="4">
        <v>3</v>
      </c>
      <c r="H1542" s="8">
        <v>2.94</v>
      </c>
      <c r="I1542" s="4">
        <v>0</v>
      </c>
    </row>
    <row r="1543" spans="1:9" x14ac:dyDescent="0.2">
      <c r="A1543" s="1"/>
      <c r="C1543" s="4"/>
      <c r="D1543" s="8"/>
      <c r="E1543" s="4"/>
      <c r="F1543" s="8"/>
      <c r="G1543" s="4"/>
      <c r="H1543" s="8"/>
      <c r="I1543" s="4"/>
    </row>
    <row r="1544" spans="1:9" x14ac:dyDescent="0.2">
      <c r="A1544" s="1" t="s">
        <v>64</v>
      </c>
      <c r="C1544" s="4"/>
      <c r="D1544" s="8"/>
      <c r="E1544" s="4"/>
      <c r="F1544" s="8"/>
      <c r="G1544" s="4"/>
      <c r="H1544" s="8"/>
      <c r="I1544" s="4"/>
    </row>
    <row r="1545" spans="1:9" x14ac:dyDescent="0.2">
      <c r="A1545" s="2">
        <v>1</v>
      </c>
      <c r="B1545" s="1" t="s">
        <v>243</v>
      </c>
      <c r="C1545" s="4">
        <v>9</v>
      </c>
      <c r="D1545" s="8">
        <v>20.45</v>
      </c>
      <c r="E1545" s="4">
        <v>6</v>
      </c>
      <c r="F1545" s="8">
        <v>20.69</v>
      </c>
      <c r="G1545" s="4">
        <v>3</v>
      </c>
      <c r="H1545" s="8">
        <v>21.43</v>
      </c>
      <c r="I1545" s="4">
        <v>0</v>
      </c>
    </row>
    <row r="1546" spans="1:9" x14ac:dyDescent="0.2">
      <c r="A1546" s="2">
        <v>2</v>
      </c>
      <c r="B1546" s="1" t="s">
        <v>221</v>
      </c>
      <c r="C1546" s="4">
        <v>6</v>
      </c>
      <c r="D1546" s="8">
        <v>13.64</v>
      </c>
      <c r="E1546" s="4">
        <v>5</v>
      </c>
      <c r="F1546" s="8">
        <v>17.239999999999998</v>
      </c>
      <c r="G1546" s="4">
        <v>1</v>
      </c>
      <c r="H1546" s="8">
        <v>7.14</v>
      </c>
      <c r="I1546" s="4">
        <v>0</v>
      </c>
    </row>
    <row r="1547" spans="1:9" x14ac:dyDescent="0.2">
      <c r="A1547" s="2">
        <v>3</v>
      </c>
      <c r="B1547" s="1" t="s">
        <v>213</v>
      </c>
      <c r="C1547" s="4">
        <v>4</v>
      </c>
      <c r="D1547" s="8">
        <v>9.09</v>
      </c>
      <c r="E1547" s="4">
        <v>3</v>
      </c>
      <c r="F1547" s="8">
        <v>10.34</v>
      </c>
      <c r="G1547" s="4">
        <v>1</v>
      </c>
      <c r="H1547" s="8">
        <v>7.14</v>
      </c>
      <c r="I1547" s="4">
        <v>0</v>
      </c>
    </row>
    <row r="1548" spans="1:9" x14ac:dyDescent="0.2">
      <c r="A1548" s="2">
        <v>3</v>
      </c>
      <c r="B1548" s="1" t="s">
        <v>241</v>
      </c>
      <c r="C1548" s="4">
        <v>4</v>
      </c>
      <c r="D1548" s="8">
        <v>9.09</v>
      </c>
      <c r="E1548" s="4">
        <v>4</v>
      </c>
      <c r="F1548" s="8">
        <v>13.79</v>
      </c>
      <c r="G1548" s="4">
        <v>0</v>
      </c>
      <c r="H1548" s="8">
        <v>0</v>
      </c>
      <c r="I1548" s="4">
        <v>0</v>
      </c>
    </row>
    <row r="1549" spans="1:9" x14ac:dyDescent="0.2">
      <c r="A1549" s="2">
        <v>3</v>
      </c>
      <c r="B1549" s="1" t="s">
        <v>228</v>
      </c>
      <c r="C1549" s="4">
        <v>4</v>
      </c>
      <c r="D1549" s="8">
        <v>9.09</v>
      </c>
      <c r="E1549" s="4">
        <v>4</v>
      </c>
      <c r="F1549" s="8">
        <v>13.79</v>
      </c>
      <c r="G1549" s="4">
        <v>0</v>
      </c>
      <c r="H1549" s="8">
        <v>0</v>
      </c>
      <c r="I1549" s="4">
        <v>0</v>
      </c>
    </row>
    <row r="1550" spans="1:9" x14ac:dyDescent="0.2">
      <c r="A1550" s="2">
        <v>6</v>
      </c>
      <c r="B1550" s="1" t="s">
        <v>223</v>
      </c>
      <c r="C1550" s="4">
        <v>3</v>
      </c>
      <c r="D1550" s="8">
        <v>6.82</v>
      </c>
      <c r="E1550" s="4">
        <v>2</v>
      </c>
      <c r="F1550" s="8">
        <v>6.9</v>
      </c>
      <c r="G1550" s="4">
        <v>1</v>
      </c>
      <c r="H1550" s="8">
        <v>7.14</v>
      </c>
      <c r="I1550" s="4">
        <v>0</v>
      </c>
    </row>
    <row r="1551" spans="1:9" x14ac:dyDescent="0.2">
      <c r="A1551" s="2">
        <v>7</v>
      </c>
      <c r="B1551" s="1" t="s">
        <v>227</v>
      </c>
      <c r="C1551" s="4">
        <v>2</v>
      </c>
      <c r="D1551" s="8">
        <v>4.55</v>
      </c>
      <c r="E1551" s="4">
        <v>2</v>
      </c>
      <c r="F1551" s="8">
        <v>6.9</v>
      </c>
      <c r="G1551" s="4">
        <v>0</v>
      </c>
      <c r="H1551" s="8">
        <v>0</v>
      </c>
      <c r="I1551" s="4">
        <v>0</v>
      </c>
    </row>
    <row r="1552" spans="1:9" x14ac:dyDescent="0.2">
      <c r="A1552" s="2">
        <v>8</v>
      </c>
      <c r="B1552" s="1" t="s">
        <v>214</v>
      </c>
      <c r="C1552" s="4">
        <v>1</v>
      </c>
      <c r="D1552" s="8">
        <v>2.27</v>
      </c>
      <c r="E1552" s="4">
        <v>1</v>
      </c>
      <c r="F1552" s="8">
        <v>3.45</v>
      </c>
      <c r="G1552" s="4">
        <v>0</v>
      </c>
      <c r="H1552" s="8">
        <v>0</v>
      </c>
      <c r="I1552" s="4">
        <v>0</v>
      </c>
    </row>
    <row r="1553" spans="1:9" x14ac:dyDescent="0.2">
      <c r="A1553" s="2">
        <v>8</v>
      </c>
      <c r="B1553" s="1" t="s">
        <v>215</v>
      </c>
      <c r="C1553" s="4">
        <v>1</v>
      </c>
      <c r="D1553" s="8">
        <v>2.27</v>
      </c>
      <c r="E1553" s="4">
        <v>0</v>
      </c>
      <c r="F1553" s="8">
        <v>0</v>
      </c>
      <c r="G1553" s="4">
        <v>1</v>
      </c>
      <c r="H1553" s="8">
        <v>7.14</v>
      </c>
      <c r="I1553" s="4">
        <v>0</v>
      </c>
    </row>
    <row r="1554" spans="1:9" x14ac:dyDescent="0.2">
      <c r="A1554" s="2">
        <v>8</v>
      </c>
      <c r="B1554" s="1" t="s">
        <v>255</v>
      </c>
      <c r="C1554" s="4">
        <v>1</v>
      </c>
      <c r="D1554" s="8">
        <v>2.27</v>
      </c>
      <c r="E1554" s="4">
        <v>0</v>
      </c>
      <c r="F1554" s="8">
        <v>0</v>
      </c>
      <c r="G1554" s="4">
        <v>0</v>
      </c>
      <c r="H1554" s="8">
        <v>0</v>
      </c>
      <c r="I1554" s="4">
        <v>0</v>
      </c>
    </row>
    <row r="1555" spans="1:9" x14ac:dyDescent="0.2">
      <c r="A1555" s="2">
        <v>8</v>
      </c>
      <c r="B1555" s="1" t="s">
        <v>238</v>
      </c>
      <c r="C1555" s="4">
        <v>1</v>
      </c>
      <c r="D1555" s="8">
        <v>2.27</v>
      </c>
      <c r="E1555" s="4">
        <v>0</v>
      </c>
      <c r="F1555" s="8">
        <v>0</v>
      </c>
      <c r="G1555" s="4">
        <v>1</v>
      </c>
      <c r="H1555" s="8">
        <v>7.14</v>
      </c>
      <c r="I1555" s="4">
        <v>0</v>
      </c>
    </row>
    <row r="1556" spans="1:9" x14ac:dyDescent="0.2">
      <c r="A1556" s="2">
        <v>8</v>
      </c>
      <c r="B1556" s="1" t="s">
        <v>216</v>
      </c>
      <c r="C1556" s="4">
        <v>1</v>
      </c>
      <c r="D1556" s="8">
        <v>2.27</v>
      </c>
      <c r="E1556" s="4">
        <v>0</v>
      </c>
      <c r="F1556" s="8">
        <v>0</v>
      </c>
      <c r="G1556" s="4">
        <v>1</v>
      </c>
      <c r="H1556" s="8">
        <v>7.14</v>
      </c>
      <c r="I1556" s="4">
        <v>0</v>
      </c>
    </row>
    <row r="1557" spans="1:9" x14ac:dyDescent="0.2">
      <c r="A1557" s="2">
        <v>8</v>
      </c>
      <c r="B1557" s="1" t="s">
        <v>233</v>
      </c>
      <c r="C1557" s="4">
        <v>1</v>
      </c>
      <c r="D1557" s="8">
        <v>2.27</v>
      </c>
      <c r="E1557" s="4">
        <v>0</v>
      </c>
      <c r="F1557" s="8">
        <v>0</v>
      </c>
      <c r="G1557" s="4">
        <v>1</v>
      </c>
      <c r="H1557" s="8">
        <v>7.14</v>
      </c>
      <c r="I1557" s="4">
        <v>0</v>
      </c>
    </row>
    <row r="1558" spans="1:9" x14ac:dyDescent="0.2">
      <c r="A1558" s="2">
        <v>8</v>
      </c>
      <c r="B1558" s="1" t="s">
        <v>256</v>
      </c>
      <c r="C1558" s="4">
        <v>1</v>
      </c>
      <c r="D1558" s="8">
        <v>2.27</v>
      </c>
      <c r="E1558" s="4">
        <v>0</v>
      </c>
      <c r="F1558" s="8">
        <v>0</v>
      </c>
      <c r="G1558" s="4">
        <v>1</v>
      </c>
      <c r="H1558" s="8">
        <v>7.14</v>
      </c>
      <c r="I1558" s="4">
        <v>0</v>
      </c>
    </row>
    <row r="1559" spans="1:9" x14ac:dyDescent="0.2">
      <c r="A1559" s="2">
        <v>8</v>
      </c>
      <c r="B1559" s="1" t="s">
        <v>271</v>
      </c>
      <c r="C1559" s="4">
        <v>1</v>
      </c>
      <c r="D1559" s="8">
        <v>2.27</v>
      </c>
      <c r="E1559" s="4">
        <v>0</v>
      </c>
      <c r="F1559" s="8">
        <v>0</v>
      </c>
      <c r="G1559" s="4">
        <v>1</v>
      </c>
      <c r="H1559" s="8">
        <v>7.14</v>
      </c>
      <c r="I1559" s="4">
        <v>0</v>
      </c>
    </row>
    <row r="1560" spans="1:9" x14ac:dyDescent="0.2">
      <c r="A1560" s="2">
        <v>8</v>
      </c>
      <c r="B1560" s="1" t="s">
        <v>229</v>
      </c>
      <c r="C1560" s="4">
        <v>1</v>
      </c>
      <c r="D1560" s="8">
        <v>2.27</v>
      </c>
      <c r="E1560" s="4">
        <v>0</v>
      </c>
      <c r="F1560" s="8">
        <v>0</v>
      </c>
      <c r="G1560" s="4">
        <v>1</v>
      </c>
      <c r="H1560" s="8">
        <v>7.14</v>
      </c>
      <c r="I1560" s="4">
        <v>0</v>
      </c>
    </row>
    <row r="1561" spans="1:9" x14ac:dyDescent="0.2">
      <c r="A1561" s="2">
        <v>8</v>
      </c>
      <c r="B1561" s="1" t="s">
        <v>230</v>
      </c>
      <c r="C1561" s="4">
        <v>1</v>
      </c>
      <c r="D1561" s="8">
        <v>2.27</v>
      </c>
      <c r="E1561" s="4">
        <v>1</v>
      </c>
      <c r="F1561" s="8">
        <v>3.45</v>
      </c>
      <c r="G1561" s="4">
        <v>0</v>
      </c>
      <c r="H1561" s="8">
        <v>0</v>
      </c>
      <c r="I1561" s="4">
        <v>0</v>
      </c>
    </row>
    <row r="1562" spans="1:9" x14ac:dyDescent="0.2">
      <c r="A1562" s="2">
        <v>8</v>
      </c>
      <c r="B1562" s="1" t="s">
        <v>231</v>
      </c>
      <c r="C1562" s="4">
        <v>1</v>
      </c>
      <c r="D1562" s="8">
        <v>2.27</v>
      </c>
      <c r="E1562" s="4">
        <v>1</v>
      </c>
      <c r="F1562" s="8">
        <v>3.45</v>
      </c>
      <c r="G1562" s="4">
        <v>0</v>
      </c>
      <c r="H1562" s="8">
        <v>0</v>
      </c>
      <c r="I1562" s="4">
        <v>0</v>
      </c>
    </row>
    <row r="1563" spans="1:9" x14ac:dyDescent="0.2">
      <c r="A1563" s="2">
        <v>8</v>
      </c>
      <c r="B1563" s="1" t="s">
        <v>232</v>
      </c>
      <c r="C1563" s="4">
        <v>1</v>
      </c>
      <c r="D1563" s="8">
        <v>2.27</v>
      </c>
      <c r="E1563" s="4">
        <v>0</v>
      </c>
      <c r="F1563" s="8">
        <v>0</v>
      </c>
      <c r="G1563" s="4">
        <v>1</v>
      </c>
      <c r="H1563" s="8">
        <v>7.14</v>
      </c>
      <c r="I1563" s="4">
        <v>0</v>
      </c>
    </row>
    <row r="1564" spans="1:9" x14ac:dyDescent="0.2">
      <c r="A1564" s="1"/>
      <c r="C1564" s="4"/>
      <c r="D1564" s="8"/>
      <c r="E1564" s="4"/>
      <c r="F1564" s="8"/>
      <c r="G1564" s="4"/>
      <c r="H1564" s="8"/>
      <c r="I1564" s="4"/>
    </row>
    <row r="1565" spans="1:9" x14ac:dyDescent="0.2">
      <c r="A1565" s="1" t="s">
        <v>65</v>
      </c>
      <c r="C1565" s="4"/>
      <c r="D1565" s="8"/>
      <c r="E1565" s="4"/>
      <c r="F1565" s="8"/>
      <c r="G1565" s="4"/>
      <c r="H1565" s="8"/>
      <c r="I1565" s="4"/>
    </row>
    <row r="1566" spans="1:9" x14ac:dyDescent="0.2">
      <c r="A1566" s="2">
        <v>1</v>
      </c>
      <c r="B1566" s="1" t="s">
        <v>227</v>
      </c>
      <c r="C1566" s="4">
        <v>14</v>
      </c>
      <c r="D1566" s="8">
        <v>16.87</v>
      </c>
      <c r="E1566" s="4">
        <v>13</v>
      </c>
      <c r="F1566" s="8">
        <v>25</v>
      </c>
      <c r="G1566" s="4">
        <v>1</v>
      </c>
      <c r="H1566" s="8">
        <v>3.57</v>
      </c>
      <c r="I1566" s="4">
        <v>0</v>
      </c>
    </row>
    <row r="1567" spans="1:9" x14ac:dyDescent="0.2">
      <c r="A1567" s="2">
        <v>2</v>
      </c>
      <c r="B1567" s="1" t="s">
        <v>221</v>
      </c>
      <c r="C1567" s="4">
        <v>12</v>
      </c>
      <c r="D1567" s="8">
        <v>14.46</v>
      </c>
      <c r="E1567" s="4">
        <v>10</v>
      </c>
      <c r="F1567" s="8">
        <v>19.23</v>
      </c>
      <c r="G1567" s="4">
        <v>2</v>
      </c>
      <c r="H1567" s="8">
        <v>7.14</v>
      </c>
      <c r="I1567" s="4">
        <v>0</v>
      </c>
    </row>
    <row r="1568" spans="1:9" x14ac:dyDescent="0.2">
      <c r="A1568" s="2">
        <v>3</v>
      </c>
      <c r="B1568" s="1" t="s">
        <v>223</v>
      </c>
      <c r="C1568" s="4">
        <v>7</v>
      </c>
      <c r="D1568" s="8">
        <v>8.43</v>
      </c>
      <c r="E1568" s="4">
        <v>6</v>
      </c>
      <c r="F1568" s="8">
        <v>11.54</v>
      </c>
      <c r="G1568" s="4">
        <v>1</v>
      </c>
      <c r="H1568" s="8">
        <v>3.57</v>
      </c>
      <c r="I1568" s="4">
        <v>0</v>
      </c>
    </row>
    <row r="1569" spans="1:9" x14ac:dyDescent="0.2">
      <c r="A1569" s="2">
        <v>4</v>
      </c>
      <c r="B1569" s="1" t="s">
        <v>228</v>
      </c>
      <c r="C1569" s="4">
        <v>6</v>
      </c>
      <c r="D1569" s="8">
        <v>7.23</v>
      </c>
      <c r="E1569" s="4">
        <v>6</v>
      </c>
      <c r="F1569" s="8">
        <v>11.54</v>
      </c>
      <c r="G1569" s="4">
        <v>0</v>
      </c>
      <c r="H1569" s="8">
        <v>0</v>
      </c>
      <c r="I1569" s="4">
        <v>0</v>
      </c>
    </row>
    <row r="1570" spans="1:9" x14ac:dyDescent="0.2">
      <c r="A1570" s="2">
        <v>5</v>
      </c>
      <c r="B1570" s="1" t="s">
        <v>213</v>
      </c>
      <c r="C1570" s="4">
        <v>5</v>
      </c>
      <c r="D1570" s="8">
        <v>6.02</v>
      </c>
      <c r="E1570" s="4">
        <v>1</v>
      </c>
      <c r="F1570" s="8">
        <v>1.92</v>
      </c>
      <c r="G1570" s="4">
        <v>4</v>
      </c>
      <c r="H1570" s="8">
        <v>14.29</v>
      </c>
      <c r="I1570" s="4">
        <v>0</v>
      </c>
    </row>
    <row r="1571" spans="1:9" x14ac:dyDescent="0.2">
      <c r="A1571" s="2">
        <v>5</v>
      </c>
      <c r="B1571" s="1" t="s">
        <v>215</v>
      </c>
      <c r="C1571" s="4">
        <v>5</v>
      </c>
      <c r="D1571" s="8">
        <v>6.02</v>
      </c>
      <c r="E1571" s="4">
        <v>3</v>
      </c>
      <c r="F1571" s="8">
        <v>5.77</v>
      </c>
      <c r="G1571" s="4">
        <v>2</v>
      </c>
      <c r="H1571" s="8">
        <v>7.14</v>
      </c>
      <c r="I1571" s="4">
        <v>0</v>
      </c>
    </row>
    <row r="1572" spans="1:9" x14ac:dyDescent="0.2">
      <c r="A1572" s="2">
        <v>7</v>
      </c>
      <c r="B1572" s="1" t="s">
        <v>241</v>
      </c>
      <c r="C1572" s="4">
        <v>4</v>
      </c>
      <c r="D1572" s="8">
        <v>4.82</v>
      </c>
      <c r="E1572" s="4">
        <v>0</v>
      </c>
      <c r="F1572" s="8">
        <v>0</v>
      </c>
      <c r="G1572" s="4">
        <v>4</v>
      </c>
      <c r="H1572" s="8">
        <v>14.29</v>
      </c>
      <c r="I1572" s="4">
        <v>0</v>
      </c>
    </row>
    <row r="1573" spans="1:9" x14ac:dyDescent="0.2">
      <c r="A1573" s="2">
        <v>8</v>
      </c>
      <c r="B1573" s="1" t="s">
        <v>216</v>
      </c>
      <c r="C1573" s="4">
        <v>3</v>
      </c>
      <c r="D1573" s="8">
        <v>3.61</v>
      </c>
      <c r="E1573" s="4">
        <v>2</v>
      </c>
      <c r="F1573" s="8">
        <v>3.85</v>
      </c>
      <c r="G1573" s="4">
        <v>1</v>
      </c>
      <c r="H1573" s="8">
        <v>3.57</v>
      </c>
      <c r="I1573" s="4">
        <v>0</v>
      </c>
    </row>
    <row r="1574" spans="1:9" x14ac:dyDescent="0.2">
      <c r="A1574" s="2">
        <v>8</v>
      </c>
      <c r="B1574" s="1" t="s">
        <v>224</v>
      </c>
      <c r="C1574" s="4">
        <v>3</v>
      </c>
      <c r="D1574" s="8">
        <v>3.61</v>
      </c>
      <c r="E1574" s="4">
        <v>0</v>
      </c>
      <c r="F1574" s="8">
        <v>0</v>
      </c>
      <c r="G1574" s="4">
        <v>3</v>
      </c>
      <c r="H1574" s="8">
        <v>10.71</v>
      </c>
      <c r="I1574" s="4">
        <v>0</v>
      </c>
    </row>
    <row r="1575" spans="1:9" x14ac:dyDescent="0.2">
      <c r="A1575" s="2">
        <v>10</v>
      </c>
      <c r="B1575" s="1" t="s">
        <v>214</v>
      </c>
      <c r="C1575" s="4">
        <v>2</v>
      </c>
      <c r="D1575" s="8">
        <v>2.41</v>
      </c>
      <c r="E1575" s="4">
        <v>2</v>
      </c>
      <c r="F1575" s="8">
        <v>3.85</v>
      </c>
      <c r="G1575" s="4">
        <v>0</v>
      </c>
      <c r="H1575" s="8">
        <v>0</v>
      </c>
      <c r="I1575" s="4">
        <v>0</v>
      </c>
    </row>
    <row r="1576" spans="1:9" x14ac:dyDescent="0.2">
      <c r="A1576" s="2">
        <v>10</v>
      </c>
      <c r="B1576" s="1" t="s">
        <v>255</v>
      </c>
      <c r="C1576" s="4">
        <v>2</v>
      </c>
      <c r="D1576" s="8">
        <v>2.41</v>
      </c>
      <c r="E1576" s="4">
        <v>0</v>
      </c>
      <c r="F1576" s="8">
        <v>0</v>
      </c>
      <c r="G1576" s="4">
        <v>1</v>
      </c>
      <c r="H1576" s="8">
        <v>3.57</v>
      </c>
      <c r="I1576" s="4">
        <v>0</v>
      </c>
    </row>
    <row r="1577" spans="1:9" x14ac:dyDescent="0.2">
      <c r="A1577" s="2">
        <v>10</v>
      </c>
      <c r="B1577" s="1" t="s">
        <v>220</v>
      </c>
      <c r="C1577" s="4">
        <v>2</v>
      </c>
      <c r="D1577" s="8">
        <v>2.41</v>
      </c>
      <c r="E1577" s="4">
        <v>1</v>
      </c>
      <c r="F1577" s="8">
        <v>1.92</v>
      </c>
      <c r="G1577" s="4">
        <v>1</v>
      </c>
      <c r="H1577" s="8">
        <v>3.57</v>
      </c>
      <c r="I1577" s="4">
        <v>0</v>
      </c>
    </row>
    <row r="1578" spans="1:9" x14ac:dyDescent="0.2">
      <c r="A1578" s="2">
        <v>10</v>
      </c>
      <c r="B1578" s="1" t="s">
        <v>222</v>
      </c>
      <c r="C1578" s="4">
        <v>2</v>
      </c>
      <c r="D1578" s="8">
        <v>2.41</v>
      </c>
      <c r="E1578" s="4">
        <v>2</v>
      </c>
      <c r="F1578" s="8">
        <v>3.85</v>
      </c>
      <c r="G1578" s="4">
        <v>0</v>
      </c>
      <c r="H1578" s="8">
        <v>0</v>
      </c>
      <c r="I1578" s="4">
        <v>0</v>
      </c>
    </row>
    <row r="1579" spans="1:9" x14ac:dyDescent="0.2">
      <c r="A1579" s="2">
        <v>10</v>
      </c>
      <c r="B1579" s="1" t="s">
        <v>229</v>
      </c>
      <c r="C1579" s="4">
        <v>2</v>
      </c>
      <c r="D1579" s="8">
        <v>2.41</v>
      </c>
      <c r="E1579" s="4">
        <v>0</v>
      </c>
      <c r="F1579" s="8">
        <v>0</v>
      </c>
      <c r="G1579" s="4">
        <v>2</v>
      </c>
      <c r="H1579" s="8">
        <v>7.14</v>
      </c>
      <c r="I1579" s="4">
        <v>0</v>
      </c>
    </row>
    <row r="1580" spans="1:9" x14ac:dyDescent="0.2">
      <c r="A1580" s="2">
        <v>15</v>
      </c>
      <c r="B1580" s="1" t="s">
        <v>252</v>
      </c>
      <c r="C1580" s="4">
        <v>1</v>
      </c>
      <c r="D1580" s="8">
        <v>1.2</v>
      </c>
      <c r="E1580" s="4">
        <v>0</v>
      </c>
      <c r="F1580" s="8">
        <v>0</v>
      </c>
      <c r="G1580" s="4">
        <v>1</v>
      </c>
      <c r="H1580" s="8">
        <v>3.57</v>
      </c>
      <c r="I1580" s="4">
        <v>0</v>
      </c>
    </row>
    <row r="1581" spans="1:9" x14ac:dyDescent="0.2">
      <c r="A1581" s="2">
        <v>15</v>
      </c>
      <c r="B1581" s="1" t="s">
        <v>272</v>
      </c>
      <c r="C1581" s="4">
        <v>1</v>
      </c>
      <c r="D1581" s="8">
        <v>1.2</v>
      </c>
      <c r="E1581" s="4">
        <v>1</v>
      </c>
      <c r="F1581" s="8">
        <v>1.92</v>
      </c>
      <c r="G1581" s="4">
        <v>0</v>
      </c>
      <c r="H1581" s="8">
        <v>0</v>
      </c>
      <c r="I1581" s="4">
        <v>0</v>
      </c>
    </row>
    <row r="1582" spans="1:9" x14ac:dyDescent="0.2">
      <c r="A1582" s="2">
        <v>15</v>
      </c>
      <c r="B1582" s="1" t="s">
        <v>265</v>
      </c>
      <c r="C1582" s="4">
        <v>1</v>
      </c>
      <c r="D1582" s="8">
        <v>1.2</v>
      </c>
      <c r="E1582" s="4">
        <v>0</v>
      </c>
      <c r="F1582" s="8">
        <v>0</v>
      </c>
      <c r="G1582" s="4">
        <v>1</v>
      </c>
      <c r="H1582" s="8">
        <v>3.57</v>
      </c>
      <c r="I1582" s="4">
        <v>0</v>
      </c>
    </row>
    <row r="1583" spans="1:9" x14ac:dyDescent="0.2">
      <c r="A1583" s="2">
        <v>15</v>
      </c>
      <c r="B1583" s="1" t="s">
        <v>238</v>
      </c>
      <c r="C1583" s="4">
        <v>1</v>
      </c>
      <c r="D1583" s="8">
        <v>1.2</v>
      </c>
      <c r="E1583" s="4">
        <v>0</v>
      </c>
      <c r="F1583" s="8">
        <v>0</v>
      </c>
      <c r="G1583" s="4">
        <v>1</v>
      </c>
      <c r="H1583" s="8">
        <v>3.57</v>
      </c>
      <c r="I1583" s="4">
        <v>0</v>
      </c>
    </row>
    <row r="1584" spans="1:9" x14ac:dyDescent="0.2">
      <c r="A1584" s="2">
        <v>15</v>
      </c>
      <c r="B1584" s="1" t="s">
        <v>248</v>
      </c>
      <c r="C1584" s="4">
        <v>1</v>
      </c>
      <c r="D1584" s="8">
        <v>1.2</v>
      </c>
      <c r="E1584" s="4">
        <v>0</v>
      </c>
      <c r="F1584" s="8">
        <v>0</v>
      </c>
      <c r="G1584" s="4">
        <v>1</v>
      </c>
      <c r="H1584" s="8">
        <v>3.57</v>
      </c>
      <c r="I1584" s="4">
        <v>0</v>
      </c>
    </row>
    <row r="1585" spans="1:9" x14ac:dyDescent="0.2">
      <c r="A1585" s="2">
        <v>15</v>
      </c>
      <c r="B1585" s="1" t="s">
        <v>261</v>
      </c>
      <c r="C1585" s="4">
        <v>1</v>
      </c>
      <c r="D1585" s="8">
        <v>1.2</v>
      </c>
      <c r="E1585" s="4">
        <v>0</v>
      </c>
      <c r="F1585" s="8">
        <v>0</v>
      </c>
      <c r="G1585" s="4">
        <v>1</v>
      </c>
      <c r="H1585" s="8">
        <v>3.57</v>
      </c>
      <c r="I1585" s="4">
        <v>0</v>
      </c>
    </row>
    <row r="1586" spans="1:9" x14ac:dyDescent="0.2">
      <c r="A1586" s="2">
        <v>15</v>
      </c>
      <c r="B1586" s="1" t="s">
        <v>226</v>
      </c>
      <c r="C1586" s="4">
        <v>1</v>
      </c>
      <c r="D1586" s="8">
        <v>1.2</v>
      </c>
      <c r="E1586" s="4">
        <v>1</v>
      </c>
      <c r="F1586" s="8">
        <v>1.92</v>
      </c>
      <c r="G1586" s="4">
        <v>0</v>
      </c>
      <c r="H1586" s="8">
        <v>0</v>
      </c>
      <c r="I1586" s="4">
        <v>0</v>
      </c>
    </row>
    <row r="1587" spans="1:9" x14ac:dyDescent="0.2">
      <c r="A1587" s="2">
        <v>15</v>
      </c>
      <c r="B1587" s="1" t="s">
        <v>243</v>
      </c>
      <c r="C1587" s="4">
        <v>1</v>
      </c>
      <c r="D1587" s="8">
        <v>1.2</v>
      </c>
      <c r="E1587" s="4">
        <v>1</v>
      </c>
      <c r="F1587" s="8">
        <v>1.92</v>
      </c>
      <c r="G1587" s="4">
        <v>0</v>
      </c>
      <c r="H1587" s="8">
        <v>0</v>
      </c>
      <c r="I1587" s="4">
        <v>0</v>
      </c>
    </row>
    <row r="1588" spans="1:9" x14ac:dyDescent="0.2">
      <c r="A1588" s="2">
        <v>15</v>
      </c>
      <c r="B1588" s="1" t="s">
        <v>247</v>
      </c>
      <c r="C1588" s="4">
        <v>1</v>
      </c>
      <c r="D1588" s="8">
        <v>1.2</v>
      </c>
      <c r="E1588" s="4">
        <v>1</v>
      </c>
      <c r="F1588" s="8">
        <v>1.92</v>
      </c>
      <c r="G1588" s="4">
        <v>0</v>
      </c>
      <c r="H1588" s="8">
        <v>0</v>
      </c>
      <c r="I1588" s="4">
        <v>0</v>
      </c>
    </row>
    <row r="1589" spans="1:9" x14ac:dyDescent="0.2">
      <c r="A1589" s="2">
        <v>15</v>
      </c>
      <c r="B1589" s="1" t="s">
        <v>230</v>
      </c>
      <c r="C1589" s="4">
        <v>1</v>
      </c>
      <c r="D1589" s="8">
        <v>1.2</v>
      </c>
      <c r="E1589" s="4">
        <v>1</v>
      </c>
      <c r="F1589" s="8">
        <v>1.92</v>
      </c>
      <c r="G1589" s="4">
        <v>0</v>
      </c>
      <c r="H1589" s="8">
        <v>0</v>
      </c>
      <c r="I1589" s="4">
        <v>0</v>
      </c>
    </row>
    <row r="1590" spans="1:9" x14ac:dyDescent="0.2">
      <c r="A1590" s="2">
        <v>15</v>
      </c>
      <c r="B1590" s="1" t="s">
        <v>231</v>
      </c>
      <c r="C1590" s="4">
        <v>1</v>
      </c>
      <c r="D1590" s="8">
        <v>1.2</v>
      </c>
      <c r="E1590" s="4">
        <v>1</v>
      </c>
      <c r="F1590" s="8">
        <v>1.92</v>
      </c>
      <c r="G1590" s="4">
        <v>0</v>
      </c>
      <c r="H1590" s="8">
        <v>0</v>
      </c>
      <c r="I1590" s="4">
        <v>0</v>
      </c>
    </row>
    <row r="1591" spans="1:9" x14ac:dyDescent="0.2">
      <c r="A1591" s="2">
        <v>15</v>
      </c>
      <c r="B1591" s="1" t="s">
        <v>232</v>
      </c>
      <c r="C1591" s="4">
        <v>1</v>
      </c>
      <c r="D1591" s="8">
        <v>1.2</v>
      </c>
      <c r="E1591" s="4">
        <v>0</v>
      </c>
      <c r="F1591" s="8">
        <v>0</v>
      </c>
      <c r="G1591" s="4">
        <v>0</v>
      </c>
      <c r="H1591" s="8">
        <v>0</v>
      </c>
      <c r="I1591" s="4">
        <v>0</v>
      </c>
    </row>
    <row r="1592" spans="1:9" x14ac:dyDescent="0.2">
      <c r="A1592" s="2">
        <v>15</v>
      </c>
      <c r="B1592" s="1" t="s">
        <v>249</v>
      </c>
      <c r="C1592" s="4">
        <v>1</v>
      </c>
      <c r="D1592" s="8">
        <v>1.2</v>
      </c>
      <c r="E1592" s="4">
        <v>0</v>
      </c>
      <c r="F1592" s="8">
        <v>0</v>
      </c>
      <c r="G1592" s="4">
        <v>0</v>
      </c>
      <c r="H1592" s="8">
        <v>0</v>
      </c>
      <c r="I1592" s="4">
        <v>0</v>
      </c>
    </row>
    <row r="1593" spans="1:9" x14ac:dyDescent="0.2">
      <c r="A1593" s="2">
        <v>15</v>
      </c>
      <c r="B1593" s="1" t="s">
        <v>240</v>
      </c>
      <c r="C1593" s="4">
        <v>1</v>
      </c>
      <c r="D1593" s="8">
        <v>1.2</v>
      </c>
      <c r="E1593" s="4">
        <v>0</v>
      </c>
      <c r="F1593" s="8">
        <v>0</v>
      </c>
      <c r="G1593" s="4">
        <v>1</v>
      </c>
      <c r="H1593" s="8">
        <v>3.57</v>
      </c>
      <c r="I1593" s="4">
        <v>0</v>
      </c>
    </row>
    <row r="1594" spans="1:9" x14ac:dyDescent="0.2">
      <c r="A1594" s="1"/>
      <c r="C1594" s="4"/>
      <c r="D1594" s="8"/>
      <c r="E1594" s="4"/>
      <c r="F1594" s="8"/>
      <c r="G1594" s="4"/>
      <c r="H1594" s="8"/>
      <c r="I1594" s="4"/>
    </row>
    <row r="1595" spans="1:9" x14ac:dyDescent="0.2">
      <c r="A1595" s="1" t="s">
        <v>66</v>
      </c>
      <c r="C1595" s="4"/>
      <c r="D1595" s="8"/>
      <c r="E1595" s="4"/>
      <c r="F1595" s="8"/>
      <c r="G1595" s="4"/>
      <c r="H1595" s="8"/>
      <c r="I1595" s="4"/>
    </row>
    <row r="1596" spans="1:9" x14ac:dyDescent="0.2">
      <c r="A1596" s="2">
        <v>1</v>
      </c>
      <c r="B1596" s="1" t="s">
        <v>221</v>
      </c>
      <c r="C1596" s="4">
        <v>9</v>
      </c>
      <c r="D1596" s="8">
        <v>11.25</v>
      </c>
      <c r="E1596" s="4">
        <v>7</v>
      </c>
      <c r="F1596" s="8">
        <v>17.07</v>
      </c>
      <c r="G1596" s="4">
        <v>2</v>
      </c>
      <c r="H1596" s="8">
        <v>6.25</v>
      </c>
      <c r="I1596" s="4">
        <v>0</v>
      </c>
    </row>
    <row r="1597" spans="1:9" x14ac:dyDescent="0.2">
      <c r="A1597" s="2">
        <v>2</v>
      </c>
      <c r="B1597" s="1" t="s">
        <v>223</v>
      </c>
      <c r="C1597" s="4">
        <v>8</v>
      </c>
      <c r="D1597" s="8">
        <v>10</v>
      </c>
      <c r="E1597" s="4">
        <v>4</v>
      </c>
      <c r="F1597" s="8">
        <v>9.76</v>
      </c>
      <c r="G1597" s="4">
        <v>4</v>
      </c>
      <c r="H1597" s="8">
        <v>12.5</v>
      </c>
      <c r="I1597" s="4">
        <v>0</v>
      </c>
    </row>
    <row r="1598" spans="1:9" x14ac:dyDescent="0.2">
      <c r="A1598" s="2">
        <v>3</v>
      </c>
      <c r="B1598" s="1" t="s">
        <v>227</v>
      </c>
      <c r="C1598" s="4">
        <v>6</v>
      </c>
      <c r="D1598" s="8">
        <v>7.5</v>
      </c>
      <c r="E1598" s="4">
        <v>4</v>
      </c>
      <c r="F1598" s="8">
        <v>9.76</v>
      </c>
      <c r="G1598" s="4">
        <v>2</v>
      </c>
      <c r="H1598" s="8">
        <v>6.25</v>
      </c>
      <c r="I1598" s="4">
        <v>0</v>
      </c>
    </row>
    <row r="1599" spans="1:9" x14ac:dyDescent="0.2">
      <c r="A1599" s="2">
        <v>3</v>
      </c>
      <c r="B1599" s="1" t="s">
        <v>228</v>
      </c>
      <c r="C1599" s="4">
        <v>6</v>
      </c>
      <c r="D1599" s="8">
        <v>7.5</v>
      </c>
      <c r="E1599" s="4">
        <v>6</v>
      </c>
      <c r="F1599" s="8">
        <v>14.63</v>
      </c>
      <c r="G1599" s="4">
        <v>0</v>
      </c>
      <c r="H1599" s="8">
        <v>0</v>
      </c>
      <c r="I1599" s="4">
        <v>0</v>
      </c>
    </row>
    <row r="1600" spans="1:9" x14ac:dyDescent="0.2">
      <c r="A1600" s="2">
        <v>5</v>
      </c>
      <c r="B1600" s="1" t="s">
        <v>224</v>
      </c>
      <c r="C1600" s="4">
        <v>5</v>
      </c>
      <c r="D1600" s="8">
        <v>6.25</v>
      </c>
      <c r="E1600" s="4">
        <v>5</v>
      </c>
      <c r="F1600" s="8">
        <v>12.2</v>
      </c>
      <c r="G1600" s="4">
        <v>0</v>
      </c>
      <c r="H1600" s="8">
        <v>0</v>
      </c>
      <c r="I1600" s="4">
        <v>0</v>
      </c>
    </row>
    <row r="1601" spans="1:9" x14ac:dyDescent="0.2">
      <c r="A1601" s="2">
        <v>6</v>
      </c>
      <c r="B1601" s="1" t="s">
        <v>214</v>
      </c>
      <c r="C1601" s="4">
        <v>4</v>
      </c>
      <c r="D1601" s="8">
        <v>5</v>
      </c>
      <c r="E1601" s="4">
        <v>2</v>
      </c>
      <c r="F1601" s="8">
        <v>4.88</v>
      </c>
      <c r="G1601" s="4">
        <v>2</v>
      </c>
      <c r="H1601" s="8">
        <v>6.25</v>
      </c>
      <c r="I1601" s="4">
        <v>0</v>
      </c>
    </row>
    <row r="1602" spans="1:9" x14ac:dyDescent="0.2">
      <c r="A1602" s="2">
        <v>6</v>
      </c>
      <c r="B1602" s="1" t="s">
        <v>236</v>
      </c>
      <c r="C1602" s="4">
        <v>4</v>
      </c>
      <c r="D1602" s="8">
        <v>5</v>
      </c>
      <c r="E1602" s="4">
        <v>2</v>
      </c>
      <c r="F1602" s="8">
        <v>4.88</v>
      </c>
      <c r="G1602" s="4">
        <v>2</v>
      </c>
      <c r="H1602" s="8">
        <v>6.25</v>
      </c>
      <c r="I1602" s="4">
        <v>0</v>
      </c>
    </row>
    <row r="1603" spans="1:9" x14ac:dyDescent="0.2">
      <c r="A1603" s="2">
        <v>6</v>
      </c>
      <c r="B1603" s="1" t="s">
        <v>232</v>
      </c>
      <c r="C1603" s="4">
        <v>4</v>
      </c>
      <c r="D1603" s="8">
        <v>5</v>
      </c>
      <c r="E1603" s="4">
        <v>0</v>
      </c>
      <c r="F1603" s="8">
        <v>0</v>
      </c>
      <c r="G1603" s="4">
        <v>3</v>
      </c>
      <c r="H1603" s="8">
        <v>9.3800000000000008</v>
      </c>
      <c r="I1603" s="4">
        <v>0</v>
      </c>
    </row>
    <row r="1604" spans="1:9" x14ac:dyDescent="0.2">
      <c r="A1604" s="2">
        <v>9</v>
      </c>
      <c r="B1604" s="1" t="s">
        <v>213</v>
      </c>
      <c r="C1604" s="4">
        <v>3</v>
      </c>
      <c r="D1604" s="8">
        <v>3.75</v>
      </c>
      <c r="E1604" s="4">
        <v>0</v>
      </c>
      <c r="F1604" s="8">
        <v>0</v>
      </c>
      <c r="G1604" s="4">
        <v>3</v>
      </c>
      <c r="H1604" s="8">
        <v>9.3800000000000008</v>
      </c>
      <c r="I1604" s="4">
        <v>0</v>
      </c>
    </row>
    <row r="1605" spans="1:9" x14ac:dyDescent="0.2">
      <c r="A1605" s="2">
        <v>9</v>
      </c>
      <c r="B1605" s="1" t="s">
        <v>246</v>
      </c>
      <c r="C1605" s="4">
        <v>3</v>
      </c>
      <c r="D1605" s="8">
        <v>3.75</v>
      </c>
      <c r="E1605" s="4">
        <v>0</v>
      </c>
      <c r="F1605" s="8">
        <v>0</v>
      </c>
      <c r="G1605" s="4">
        <v>3</v>
      </c>
      <c r="H1605" s="8">
        <v>9.3800000000000008</v>
      </c>
      <c r="I1605" s="4">
        <v>0</v>
      </c>
    </row>
    <row r="1606" spans="1:9" x14ac:dyDescent="0.2">
      <c r="A1606" s="2">
        <v>9</v>
      </c>
      <c r="B1606" s="1" t="s">
        <v>225</v>
      </c>
      <c r="C1606" s="4">
        <v>3</v>
      </c>
      <c r="D1606" s="8">
        <v>3.75</v>
      </c>
      <c r="E1606" s="4">
        <v>3</v>
      </c>
      <c r="F1606" s="8">
        <v>7.32</v>
      </c>
      <c r="G1606" s="4">
        <v>0</v>
      </c>
      <c r="H1606" s="8">
        <v>0</v>
      </c>
      <c r="I1606" s="4">
        <v>0</v>
      </c>
    </row>
    <row r="1607" spans="1:9" x14ac:dyDescent="0.2">
      <c r="A1607" s="2">
        <v>9</v>
      </c>
      <c r="B1607" s="1" t="s">
        <v>243</v>
      </c>
      <c r="C1607" s="4">
        <v>3</v>
      </c>
      <c r="D1607" s="8">
        <v>3.75</v>
      </c>
      <c r="E1607" s="4">
        <v>1</v>
      </c>
      <c r="F1607" s="8">
        <v>2.44</v>
      </c>
      <c r="G1607" s="4">
        <v>1</v>
      </c>
      <c r="H1607" s="8">
        <v>3.13</v>
      </c>
      <c r="I1607" s="4">
        <v>0</v>
      </c>
    </row>
    <row r="1608" spans="1:9" x14ac:dyDescent="0.2">
      <c r="A1608" s="2">
        <v>13</v>
      </c>
      <c r="B1608" s="1" t="s">
        <v>215</v>
      </c>
      <c r="C1608" s="4">
        <v>2</v>
      </c>
      <c r="D1608" s="8">
        <v>2.5</v>
      </c>
      <c r="E1608" s="4">
        <v>0</v>
      </c>
      <c r="F1608" s="8">
        <v>0</v>
      </c>
      <c r="G1608" s="4">
        <v>2</v>
      </c>
      <c r="H1608" s="8">
        <v>6.25</v>
      </c>
      <c r="I1608" s="4">
        <v>0</v>
      </c>
    </row>
    <row r="1609" spans="1:9" x14ac:dyDescent="0.2">
      <c r="A1609" s="2">
        <v>13</v>
      </c>
      <c r="B1609" s="1" t="s">
        <v>241</v>
      </c>
      <c r="C1609" s="4">
        <v>2</v>
      </c>
      <c r="D1609" s="8">
        <v>2.5</v>
      </c>
      <c r="E1609" s="4">
        <v>1</v>
      </c>
      <c r="F1609" s="8">
        <v>2.44</v>
      </c>
      <c r="G1609" s="4">
        <v>1</v>
      </c>
      <c r="H1609" s="8">
        <v>3.13</v>
      </c>
      <c r="I1609" s="4">
        <v>0</v>
      </c>
    </row>
    <row r="1610" spans="1:9" x14ac:dyDescent="0.2">
      <c r="A1610" s="2">
        <v>13</v>
      </c>
      <c r="B1610" s="1" t="s">
        <v>222</v>
      </c>
      <c r="C1610" s="4">
        <v>2</v>
      </c>
      <c r="D1610" s="8">
        <v>2.5</v>
      </c>
      <c r="E1610" s="4">
        <v>0</v>
      </c>
      <c r="F1610" s="8">
        <v>0</v>
      </c>
      <c r="G1610" s="4">
        <v>2</v>
      </c>
      <c r="H1610" s="8">
        <v>6.25</v>
      </c>
      <c r="I1610" s="4">
        <v>0</v>
      </c>
    </row>
    <row r="1611" spans="1:9" x14ac:dyDescent="0.2">
      <c r="A1611" s="2">
        <v>13</v>
      </c>
      <c r="B1611" s="1" t="s">
        <v>226</v>
      </c>
      <c r="C1611" s="4">
        <v>2</v>
      </c>
      <c r="D1611" s="8">
        <v>2.5</v>
      </c>
      <c r="E1611" s="4">
        <v>1</v>
      </c>
      <c r="F1611" s="8">
        <v>2.44</v>
      </c>
      <c r="G1611" s="4">
        <v>0</v>
      </c>
      <c r="H1611" s="8">
        <v>0</v>
      </c>
      <c r="I1611" s="4">
        <v>0</v>
      </c>
    </row>
    <row r="1612" spans="1:9" x14ac:dyDescent="0.2">
      <c r="A1612" s="2">
        <v>13</v>
      </c>
      <c r="B1612" s="1" t="s">
        <v>239</v>
      </c>
      <c r="C1612" s="4">
        <v>2</v>
      </c>
      <c r="D1612" s="8">
        <v>2.5</v>
      </c>
      <c r="E1612" s="4">
        <v>0</v>
      </c>
      <c r="F1612" s="8">
        <v>0</v>
      </c>
      <c r="G1612" s="4">
        <v>2</v>
      </c>
      <c r="H1612" s="8">
        <v>6.25</v>
      </c>
      <c r="I1612" s="4">
        <v>0</v>
      </c>
    </row>
    <row r="1613" spans="1:9" x14ac:dyDescent="0.2">
      <c r="A1613" s="2">
        <v>13</v>
      </c>
      <c r="B1613" s="1" t="s">
        <v>230</v>
      </c>
      <c r="C1613" s="4">
        <v>2</v>
      </c>
      <c r="D1613" s="8">
        <v>2.5</v>
      </c>
      <c r="E1613" s="4">
        <v>2</v>
      </c>
      <c r="F1613" s="8">
        <v>4.88</v>
      </c>
      <c r="G1613" s="4">
        <v>0</v>
      </c>
      <c r="H1613" s="8">
        <v>0</v>
      </c>
      <c r="I1613" s="4">
        <v>0</v>
      </c>
    </row>
    <row r="1614" spans="1:9" x14ac:dyDescent="0.2">
      <c r="A1614" s="2">
        <v>19</v>
      </c>
      <c r="B1614" s="1" t="s">
        <v>262</v>
      </c>
      <c r="C1614" s="4">
        <v>1</v>
      </c>
      <c r="D1614" s="8">
        <v>1.25</v>
      </c>
      <c r="E1614" s="4">
        <v>0</v>
      </c>
      <c r="F1614" s="8">
        <v>0</v>
      </c>
      <c r="G1614" s="4">
        <v>0</v>
      </c>
      <c r="H1614" s="8">
        <v>0</v>
      </c>
      <c r="I1614" s="4">
        <v>0</v>
      </c>
    </row>
    <row r="1615" spans="1:9" x14ac:dyDescent="0.2">
      <c r="A1615" s="2">
        <v>19</v>
      </c>
      <c r="B1615" s="1" t="s">
        <v>268</v>
      </c>
      <c r="C1615" s="4">
        <v>1</v>
      </c>
      <c r="D1615" s="8">
        <v>1.25</v>
      </c>
      <c r="E1615" s="4">
        <v>1</v>
      </c>
      <c r="F1615" s="8">
        <v>2.44</v>
      </c>
      <c r="G1615" s="4">
        <v>0</v>
      </c>
      <c r="H1615" s="8">
        <v>0</v>
      </c>
      <c r="I1615" s="4">
        <v>0</v>
      </c>
    </row>
    <row r="1616" spans="1:9" x14ac:dyDescent="0.2">
      <c r="A1616" s="2">
        <v>19</v>
      </c>
      <c r="B1616" s="1" t="s">
        <v>261</v>
      </c>
      <c r="C1616" s="4">
        <v>1</v>
      </c>
      <c r="D1616" s="8">
        <v>1.25</v>
      </c>
      <c r="E1616" s="4">
        <v>0</v>
      </c>
      <c r="F1616" s="8">
        <v>0</v>
      </c>
      <c r="G1616" s="4">
        <v>1</v>
      </c>
      <c r="H1616" s="8">
        <v>3.13</v>
      </c>
      <c r="I1616" s="4">
        <v>0</v>
      </c>
    </row>
    <row r="1617" spans="1:9" x14ac:dyDescent="0.2">
      <c r="A1617" s="2">
        <v>19</v>
      </c>
      <c r="B1617" s="1" t="s">
        <v>219</v>
      </c>
      <c r="C1617" s="4">
        <v>1</v>
      </c>
      <c r="D1617" s="8">
        <v>1.25</v>
      </c>
      <c r="E1617" s="4">
        <v>0</v>
      </c>
      <c r="F1617" s="8">
        <v>0</v>
      </c>
      <c r="G1617" s="4">
        <v>1</v>
      </c>
      <c r="H1617" s="8">
        <v>3.13</v>
      </c>
      <c r="I1617" s="4">
        <v>0</v>
      </c>
    </row>
    <row r="1618" spans="1:9" x14ac:dyDescent="0.2">
      <c r="A1618" s="2">
        <v>19</v>
      </c>
      <c r="B1618" s="1" t="s">
        <v>247</v>
      </c>
      <c r="C1618" s="4">
        <v>1</v>
      </c>
      <c r="D1618" s="8">
        <v>1.25</v>
      </c>
      <c r="E1618" s="4">
        <v>0</v>
      </c>
      <c r="F1618" s="8">
        <v>0</v>
      </c>
      <c r="G1618" s="4">
        <v>0</v>
      </c>
      <c r="H1618" s="8">
        <v>0</v>
      </c>
      <c r="I1618" s="4">
        <v>1</v>
      </c>
    </row>
    <row r="1619" spans="1:9" x14ac:dyDescent="0.2">
      <c r="A1619" s="2">
        <v>19</v>
      </c>
      <c r="B1619" s="1" t="s">
        <v>231</v>
      </c>
      <c r="C1619" s="4">
        <v>1</v>
      </c>
      <c r="D1619" s="8">
        <v>1.25</v>
      </c>
      <c r="E1619" s="4">
        <v>1</v>
      </c>
      <c r="F1619" s="8">
        <v>2.44</v>
      </c>
      <c r="G1619" s="4">
        <v>0</v>
      </c>
      <c r="H1619" s="8">
        <v>0</v>
      </c>
      <c r="I1619" s="4">
        <v>0</v>
      </c>
    </row>
    <row r="1620" spans="1:9" x14ac:dyDescent="0.2">
      <c r="A1620" s="2">
        <v>19</v>
      </c>
      <c r="B1620" s="1" t="s">
        <v>249</v>
      </c>
      <c r="C1620" s="4">
        <v>1</v>
      </c>
      <c r="D1620" s="8">
        <v>1.25</v>
      </c>
      <c r="E1620" s="4">
        <v>0</v>
      </c>
      <c r="F1620" s="8">
        <v>0</v>
      </c>
      <c r="G1620" s="4">
        <v>0</v>
      </c>
      <c r="H1620" s="8">
        <v>0</v>
      </c>
      <c r="I1620" s="4">
        <v>0</v>
      </c>
    </row>
    <row r="1621" spans="1:9" x14ac:dyDescent="0.2">
      <c r="A1621" s="2">
        <v>19</v>
      </c>
      <c r="B1621" s="1" t="s">
        <v>240</v>
      </c>
      <c r="C1621" s="4">
        <v>1</v>
      </c>
      <c r="D1621" s="8">
        <v>1.25</v>
      </c>
      <c r="E1621" s="4">
        <v>0</v>
      </c>
      <c r="F1621" s="8">
        <v>0</v>
      </c>
      <c r="G1621" s="4">
        <v>1</v>
      </c>
      <c r="H1621" s="8">
        <v>3.13</v>
      </c>
      <c r="I1621" s="4">
        <v>0</v>
      </c>
    </row>
    <row r="1622" spans="1:9" x14ac:dyDescent="0.2">
      <c r="A1622" s="2">
        <v>19</v>
      </c>
      <c r="B1622" s="1" t="s">
        <v>242</v>
      </c>
      <c r="C1622" s="4">
        <v>1</v>
      </c>
      <c r="D1622" s="8">
        <v>1.25</v>
      </c>
      <c r="E1622" s="4">
        <v>1</v>
      </c>
      <c r="F1622" s="8">
        <v>2.44</v>
      </c>
      <c r="G1622" s="4">
        <v>0</v>
      </c>
      <c r="H1622" s="8">
        <v>0</v>
      </c>
      <c r="I1622" s="4">
        <v>0</v>
      </c>
    </row>
    <row r="1623" spans="1:9" x14ac:dyDescent="0.2">
      <c r="A1623" s="2">
        <v>19</v>
      </c>
      <c r="B1623" s="1" t="s">
        <v>270</v>
      </c>
      <c r="C1623" s="4">
        <v>1</v>
      </c>
      <c r="D1623" s="8">
        <v>1.25</v>
      </c>
      <c r="E1623" s="4">
        <v>0</v>
      </c>
      <c r="F1623" s="8">
        <v>0</v>
      </c>
      <c r="G1623" s="4">
        <v>0</v>
      </c>
      <c r="H1623" s="8">
        <v>0</v>
      </c>
      <c r="I1623" s="4">
        <v>1</v>
      </c>
    </row>
    <row r="1624" spans="1:9" x14ac:dyDescent="0.2">
      <c r="A1624" s="1"/>
      <c r="C1624" s="4"/>
      <c r="D1624" s="8"/>
      <c r="E1624" s="4"/>
      <c r="F1624" s="8"/>
      <c r="G1624" s="4"/>
      <c r="H1624" s="8"/>
      <c r="I1624" s="4"/>
    </row>
    <row r="1625" spans="1:9" x14ac:dyDescent="0.2">
      <c r="A1625" s="1" t="s">
        <v>67</v>
      </c>
      <c r="C1625" s="4"/>
      <c r="D1625" s="8"/>
      <c r="E1625" s="4"/>
      <c r="F1625" s="8"/>
      <c r="G1625" s="4"/>
      <c r="H1625" s="8"/>
      <c r="I1625" s="4"/>
    </row>
    <row r="1626" spans="1:9" x14ac:dyDescent="0.2">
      <c r="A1626" s="2">
        <v>1</v>
      </c>
      <c r="B1626" s="1" t="s">
        <v>221</v>
      </c>
      <c r="C1626" s="4">
        <v>18</v>
      </c>
      <c r="D1626" s="8">
        <v>13.43</v>
      </c>
      <c r="E1626" s="4">
        <v>9</v>
      </c>
      <c r="F1626" s="8">
        <v>12.5</v>
      </c>
      <c r="G1626" s="4">
        <v>7</v>
      </c>
      <c r="H1626" s="8">
        <v>18.420000000000002</v>
      </c>
      <c r="I1626" s="4">
        <v>0</v>
      </c>
    </row>
    <row r="1627" spans="1:9" x14ac:dyDescent="0.2">
      <c r="A1627" s="2">
        <v>2</v>
      </c>
      <c r="B1627" s="1" t="s">
        <v>227</v>
      </c>
      <c r="C1627" s="4">
        <v>15</v>
      </c>
      <c r="D1627" s="8">
        <v>11.19</v>
      </c>
      <c r="E1627" s="4">
        <v>13</v>
      </c>
      <c r="F1627" s="8">
        <v>18.059999999999999</v>
      </c>
      <c r="G1627" s="4">
        <v>2</v>
      </c>
      <c r="H1627" s="8">
        <v>5.26</v>
      </c>
      <c r="I1627" s="4">
        <v>0</v>
      </c>
    </row>
    <row r="1628" spans="1:9" x14ac:dyDescent="0.2">
      <c r="A1628" s="2">
        <v>3</v>
      </c>
      <c r="B1628" s="1" t="s">
        <v>213</v>
      </c>
      <c r="C1628" s="4">
        <v>12</v>
      </c>
      <c r="D1628" s="8">
        <v>8.9600000000000009</v>
      </c>
      <c r="E1628" s="4">
        <v>6</v>
      </c>
      <c r="F1628" s="8">
        <v>8.33</v>
      </c>
      <c r="G1628" s="4">
        <v>6</v>
      </c>
      <c r="H1628" s="8">
        <v>15.79</v>
      </c>
      <c r="I1628" s="4">
        <v>0</v>
      </c>
    </row>
    <row r="1629" spans="1:9" x14ac:dyDescent="0.2">
      <c r="A1629" s="2">
        <v>4</v>
      </c>
      <c r="B1629" s="1" t="s">
        <v>223</v>
      </c>
      <c r="C1629" s="4">
        <v>11</v>
      </c>
      <c r="D1629" s="8">
        <v>8.2100000000000009</v>
      </c>
      <c r="E1629" s="4">
        <v>6</v>
      </c>
      <c r="F1629" s="8">
        <v>8.33</v>
      </c>
      <c r="G1629" s="4">
        <v>5</v>
      </c>
      <c r="H1629" s="8">
        <v>13.16</v>
      </c>
      <c r="I1629" s="4">
        <v>0</v>
      </c>
    </row>
    <row r="1630" spans="1:9" x14ac:dyDescent="0.2">
      <c r="A1630" s="2">
        <v>5</v>
      </c>
      <c r="B1630" s="1" t="s">
        <v>243</v>
      </c>
      <c r="C1630" s="4">
        <v>7</v>
      </c>
      <c r="D1630" s="8">
        <v>5.22</v>
      </c>
      <c r="E1630" s="4">
        <v>5</v>
      </c>
      <c r="F1630" s="8">
        <v>6.94</v>
      </c>
      <c r="G1630" s="4">
        <v>1</v>
      </c>
      <c r="H1630" s="8">
        <v>2.63</v>
      </c>
      <c r="I1630" s="4">
        <v>0</v>
      </c>
    </row>
    <row r="1631" spans="1:9" x14ac:dyDescent="0.2">
      <c r="A1631" s="2">
        <v>5</v>
      </c>
      <c r="B1631" s="1" t="s">
        <v>232</v>
      </c>
      <c r="C1631" s="4">
        <v>7</v>
      </c>
      <c r="D1631" s="8">
        <v>5.22</v>
      </c>
      <c r="E1631" s="4">
        <v>0</v>
      </c>
      <c r="F1631" s="8">
        <v>0</v>
      </c>
      <c r="G1631" s="4">
        <v>0</v>
      </c>
      <c r="H1631" s="8">
        <v>0</v>
      </c>
      <c r="I1631" s="4">
        <v>0</v>
      </c>
    </row>
    <row r="1632" spans="1:9" x14ac:dyDescent="0.2">
      <c r="A1632" s="2">
        <v>7</v>
      </c>
      <c r="B1632" s="1" t="s">
        <v>250</v>
      </c>
      <c r="C1632" s="4">
        <v>6</v>
      </c>
      <c r="D1632" s="8">
        <v>4.4800000000000004</v>
      </c>
      <c r="E1632" s="4">
        <v>0</v>
      </c>
      <c r="F1632" s="8">
        <v>0</v>
      </c>
      <c r="G1632" s="4">
        <v>0</v>
      </c>
      <c r="H1632" s="8">
        <v>0</v>
      </c>
      <c r="I1632" s="4">
        <v>0</v>
      </c>
    </row>
    <row r="1633" spans="1:9" x14ac:dyDescent="0.2">
      <c r="A1633" s="2">
        <v>8</v>
      </c>
      <c r="B1633" s="1" t="s">
        <v>214</v>
      </c>
      <c r="C1633" s="4">
        <v>5</v>
      </c>
      <c r="D1633" s="8">
        <v>3.73</v>
      </c>
      <c r="E1633" s="4">
        <v>5</v>
      </c>
      <c r="F1633" s="8">
        <v>6.94</v>
      </c>
      <c r="G1633" s="4">
        <v>0</v>
      </c>
      <c r="H1633" s="8">
        <v>0</v>
      </c>
      <c r="I1633" s="4">
        <v>0</v>
      </c>
    </row>
    <row r="1634" spans="1:9" x14ac:dyDescent="0.2">
      <c r="A1634" s="2">
        <v>8</v>
      </c>
      <c r="B1634" s="1" t="s">
        <v>215</v>
      </c>
      <c r="C1634" s="4">
        <v>5</v>
      </c>
      <c r="D1634" s="8">
        <v>3.73</v>
      </c>
      <c r="E1634" s="4">
        <v>2</v>
      </c>
      <c r="F1634" s="8">
        <v>2.78</v>
      </c>
      <c r="G1634" s="4">
        <v>3</v>
      </c>
      <c r="H1634" s="8">
        <v>7.89</v>
      </c>
      <c r="I1634" s="4">
        <v>0</v>
      </c>
    </row>
    <row r="1635" spans="1:9" x14ac:dyDescent="0.2">
      <c r="A1635" s="2">
        <v>8</v>
      </c>
      <c r="B1635" s="1" t="s">
        <v>228</v>
      </c>
      <c r="C1635" s="4">
        <v>5</v>
      </c>
      <c r="D1635" s="8">
        <v>3.73</v>
      </c>
      <c r="E1635" s="4">
        <v>5</v>
      </c>
      <c r="F1635" s="8">
        <v>6.94</v>
      </c>
      <c r="G1635" s="4">
        <v>0</v>
      </c>
      <c r="H1635" s="8">
        <v>0</v>
      </c>
      <c r="I1635" s="4">
        <v>0</v>
      </c>
    </row>
    <row r="1636" spans="1:9" x14ac:dyDescent="0.2">
      <c r="A1636" s="2">
        <v>8</v>
      </c>
      <c r="B1636" s="1" t="s">
        <v>230</v>
      </c>
      <c r="C1636" s="4">
        <v>5</v>
      </c>
      <c r="D1636" s="8">
        <v>3.73</v>
      </c>
      <c r="E1636" s="4">
        <v>4</v>
      </c>
      <c r="F1636" s="8">
        <v>5.56</v>
      </c>
      <c r="G1636" s="4">
        <v>0</v>
      </c>
      <c r="H1636" s="8">
        <v>0</v>
      </c>
      <c r="I1636" s="4">
        <v>0</v>
      </c>
    </row>
    <row r="1637" spans="1:9" x14ac:dyDescent="0.2">
      <c r="A1637" s="2">
        <v>12</v>
      </c>
      <c r="B1637" s="1" t="s">
        <v>222</v>
      </c>
      <c r="C1637" s="4">
        <v>4</v>
      </c>
      <c r="D1637" s="8">
        <v>2.99</v>
      </c>
      <c r="E1637" s="4">
        <v>2</v>
      </c>
      <c r="F1637" s="8">
        <v>2.78</v>
      </c>
      <c r="G1637" s="4">
        <v>2</v>
      </c>
      <c r="H1637" s="8">
        <v>5.26</v>
      </c>
      <c r="I1637" s="4">
        <v>0</v>
      </c>
    </row>
    <row r="1638" spans="1:9" x14ac:dyDescent="0.2">
      <c r="A1638" s="2">
        <v>12</v>
      </c>
      <c r="B1638" s="1" t="s">
        <v>224</v>
      </c>
      <c r="C1638" s="4">
        <v>4</v>
      </c>
      <c r="D1638" s="8">
        <v>2.99</v>
      </c>
      <c r="E1638" s="4">
        <v>3</v>
      </c>
      <c r="F1638" s="8">
        <v>4.17</v>
      </c>
      <c r="G1638" s="4">
        <v>0</v>
      </c>
      <c r="H1638" s="8">
        <v>0</v>
      </c>
      <c r="I1638" s="4">
        <v>1</v>
      </c>
    </row>
    <row r="1639" spans="1:9" x14ac:dyDescent="0.2">
      <c r="A1639" s="2">
        <v>14</v>
      </c>
      <c r="B1639" s="1" t="s">
        <v>241</v>
      </c>
      <c r="C1639" s="4">
        <v>3</v>
      </c>
      <c r="D1639" s="8">
        <v>2.2400000000000002</v>
      </c>
      <c r="E1639" s="4">
        <v>1</v>
      </c>
      <c r="F1639" s="8">
        <v>1.39</v>
      </c>
      <c r="G1639" s="4">
        <v>0</v>
      </c>
      <c r="H1639" s="8">
        <v>0</v>
      </c>
      <c r="I1639" s="4">
        <v>1</v>
      </c>
    </row>
    <row r="1640" spans="1:9" x14ac:dyDescent="0.2">
      <c r="A1640" s="2">
        <v>14</v>
      </c>
      <c r="B1640" s="1" t="s">
        <v>231</v>
      </c>
      <c r="C1640" s="4">
        <v>3</v>
      </c>
      <c r="D1640" s="8">
        <v>2.2400000000000002</v>
      </c>
      <c r="E1640" s="4">
        <v>3</v>
      </c>
      <c r="F1640" s="8">
        <v>4.17</v>
      </c>
      <c r="G1640" s="4">
        <v>0</v>
      </c>
      <c r="H1640" s="8">
        <v>0</v>
      </c>
      <c r="I1640" s="4">
        <v>0</v>
      </c>
    </row>
    <row r="1641" spans="1:9" x14ac:dyDescent="0.2">
      <c r="A1641" s="2">
        <v>16</v>
      </c>
      <c r="B1641" s="1" t="s">
        <v>217</v>
      </c>
      <c r="C1641" s="4">
        <v>2</v>
      </c>
      <c r="D1641" s="8">
        <v>1.49</v>
      </c>
      <c r="E1641" s="4">
        <v>0</v>
      </c>
      <c r="F1641" s="8">
        <v>0</v>
      </c>
      <c r="G1641" s="4">
        <v>2</v>
      </c>
      <c r="H1641" s="8">
        <v>5.26</v>
      </c>
      <c r="I1641" s="4">
        <v>0</v>
      </c>
    </row>
    <row r="1642" spans="1:9" x14ac:dyDescent="0.2">
      <c r="A1642" s="2">
        <v>16</v>
      </c>
      <c r="B1642" s="1" t="s">
        <v>220</v>
      </c>
      <c r="C1642" s="4">
        <v>2</v>
      </c>
      <c r="D1642" s="8">
        <v>1.49</v>
      </c>
      <c r="E1642" s="4">
        <v>0</v>
      </c>
      <c r="F1642" s="8">
        <v>0</v>
      </c>
      <c r="G1642" s="4">
        <v>2</v>
      </c>
      <c r="H1642" s="8">
        <v>5.26</v>
      </c>
      <c r="I1642" s="4">
        <v>0</v>
      </c>
    </row>
    <row r="1643" spans="1:9" x14ac:dyDescent="0.2">
      <c r="A1643" s="2">
        <v>16</v>
      </c>
      <c r="B1643" s="1" t="s">
        <v>246</v>
      </c>
      <c r="C1643" s="4">
        <v>2</v>
      </c>
      <c r="D1643" s="8">
        <v>1.49</v>
      </c>
      <c r="E1643" s="4">
        <v>2</v>
      </c>
      <c r="F1643" s="8">
        <v>2.78</v>
      </c>
      <c r="G1643" s="4">
        <v>0</v>
      </c>
      <c r="H1643" s="8">
        <v>0</v>
      </c>
      <c r="I1643" s="4">
        <v>0</v>
      </c>
    </row>
    <row r="1644" spans="1:9" x14ac:dyDescent="0.2">
      <c r="A1644" s="2">
        <v>16</v>
      </c>
      <c r="B1644" s="1" t="s">
        <v>225</v>
      </c>
      <c r="C1644" s="4">
        <v>2</v>
      </c>
      <c r="D1644" s="8">
        <v>1.49</v>
      </c>
      <c r="E1644" s="4">
        <v>2</v>
      </c>
      <c r="F1644" s="8">
        <v>2.78</v>
      </c>
      <c r="G1644" s="4">
        <v>0</v>
      </c>
      <c r="H1644" s="8">
        <v>0</v>
      </c>
      <c r="I1644" s="4">
        <v>0</v>
      </c>
    </row>
    <row r="1645" spans="1:9" x14ac:dyDescent="0.2">
      <c r="A1645" s="2">
        <v>16</v>
      </c>
      <c r="B1645" s="1" t="s">
        <v>239</v>
      </c>
      <c r="C1645" s="4">
        <v>2</v>
      </c>
      <c r="D1645" s="8">
        <v>1.49</v>
      </c>
      <c r="E1645" s="4">
        <v>0</v>
      </c>
      <c r="F1645" s="8">
        <v>0</v>
      </c>
      <c r="G1645" s="4">
        <v>2</v>
      </c>
      <c r="H1645" s="8">
        <v>5.26</v>
      </c>
      <c r="I1645" s="4">
        <v>0</v>
      </c>
    </row>
    <row r="1646" spans="1:9" x14ac:dyDescent="0.2">
      <c r="A1646" s="2">
        <v>16</v>
      </c>
      <c r="B1646" s="1" t="s">
        <v>249</v>
      </c>
      <c r="C1646" s="4">
        <v>2</v>
      </c>
      <c r="D1646" s="8">
        <v>1.49</v>
      </c>
      <c r="E1646" s="4">
        <v>0</v>
      </c>
      <c r="F1646" s="8">
        <v>0</v>
      </c>
      <c r="G1646" s="4">
        <v>1</v>
      </c>
      <c r="H1646" s="8">
        <v>2.63</v>
      </c>
      <c r="I1646" s="4">
        <v>0</v>
      </c>
    </row>
    <row r="1647" spans="1:9" x14ac:dyDescent="0.2">
      <c r="A1647" s="1"/>
      <c r="C1647" s="4"/>
      <c r="D1647" s="8"/>
      <c r="E1647" s="4"/>
      <c r="F1647" s="8"/>
      <c r="G1647" s="4"/>
      <c r="H1647" s="8"/>
      <c r="I1647" s="4"/>
    </row>
    <row r="1648" spans="1:9" x14ac:dyDescent="0.2">
      <c r="A1648" s="1" t="s">
        <v>68</v>
      </c>
      <c r="C1648" s="4"/>
      <c r="D1648" s="8"/>
      <c r="E1648" s="4"/>
      <c r="F1648" s="8"/>
      <c r="G1648" s="4"/>
      <c r="H1648" s="8"/>
      <c r="I1648" s="4"/>
    </row>
    <row r="1649" spans="1:9" x14ac:dyDescent="0.2">
      <c r="A1649" s="2">
        <v>1</v>
      </c>
      <c r="B1649" s="1" t="s">
        <v>227</v>
      </c>
      <c r="C1649" s="4">
        <v>30</v>
      </c>
      <c r="D1649" s="8">
        <v>15.54</v>
      </c>
      <c r="E1649" s="4">
        <v>27</v>
      </c>
      <c r="F1649" s="8">
        <v>25.71</v>
      </c>
      <c r="G1649" s="4">
        <v>3</v>
      </c>
      <c r="H1649" s="8">
        <v>3.41</v>
      </c>
      <c r="I1649" s="4">
        <v>0</v>
      </c>
    </row>
    <row r="1650" spans="1:9" x14ac:dyDescent="0.2">
      <c r="A1650" s="2">
        <v>2</v>
      </c>
      <c r="B1650" s="1" t="s">
        <v>243</v>
      </c>
      <c r="C1650" s="4">
        <v>29</v>
      </c>
      <c r="D1650" s="8">
        <v>15.03</v>
      </c>
      <c r="E1650" s="4">
        <v>23</v>
      </c>
      <c r="F1650" s="8">
        <v>21.9</v>
      </c>
      <c r="G1650" s="4">
        <v>6</v>
      </c>
      <c r="H1650" s="8">
        <v>6.82</v>
      </c>
      <c r="I1650" s="4">
        <v>0</v>
      </c>
    </row>
    <row r="1651" spans="1:9" x14ac:dyDescent="0.2">
      <c r="A1651" s="2">
        <v>3</v>
      </c>
      <c r="B1651" s="1" t="s">
        <v>221</v>
      </c>
      <c r="C1651" s="4">
        <v>15</v>
      </c>
      <c r="D1651" s="8">
        <v>7.77</v>
      </c>
      <c r="E1651" s="4">
        <v>8</v>
      </c>
      <c r="F1651" s="8">
        <v>7.62</v>
      </c>
      <c r="G1651" s="4">
        <v>7</v>
      </c>
      <c r="H1651" s="8">
        <v>7.95</v>
      </c>
      <c r="I1651" s="4">
        <v>0</v>
      </c>
    </row>
    <row r="1652" spans="1:9" x14ac:dyDescent="0.2">
      <c r="A1652" s="2">
        <v>4</v>
      </c>
      <c r="B1652" s="1" t="s">
        <v>223</v>
      </c>
      <c r="C1652" s="4">
        <v>11</v>
      </c>
      <c r="D1652" s="8">
        <v>5.7</v>
      </c>
      <c r="E1652" s="4">
        <v>4</v>
      </c>
      <c r="F1652" s="8">
        <v>3.81</v>
      </c>
      <c r="G1652" s="4">
        <v>7</v>
      </c>
      <c r="H1652" s="8">
        <v>7.95</v>
      </c>
      <c r="I1652" s="4">
        <v>0</v>
      </c>
    </row>
    <row r="1653" spans="1:9" x14ac:dyDescent="0.2">
      <c r="A1653" s="2">
        <v>5</v>
      </c>
      <c r="B1653" s="1" t="s">
        <v>213</v>
      </c>
      <c r="C1653" s="4">
        <v>7</v>
      </c>
      <c r="D1653" s="8">
        <v>3.63</v>
      </c>
      <c r="E1653" s="4">
        <v>0</v>
      </c>
      <c r="F1653" s="8">
        <v>0</v>
      </c>
      <c r="G1653" s="4">
        <v>7</v>
      </c>
      <c r="H1653" s="8">
        <v>7.95</v>
      </c>
      <c r="I1653" s="4">
        <v>0</v>
      </c>
    </row>
    <row r="1654" spans="1:9" x14ac:dyDescent="0.2">
      <c r="A1654" s="2">
        <v>5</v>
      </c>
      <c r="B1654" s="1" t="s">
        <v>228</v>
      </c>
      <c r="C1654" s="4">
        <v>7</v>
      </c>
      <c r="D1654" s="8">
        <v>3.63</v>
      </c>
      <c r="E1654" s="4">
        <v>7</v>
      </c>
      <c r="F1654" s="8">
        <v>6.67</v>
      </c>
      <c r="G1654" s="4">
        <v>0</v>
      </c>
      <c r="H1654" s="8">
        <v>0</v>
      </c>
      <c r="I1654" s="4">
        <v>0</v>
      </c>
    </row>
    <row r="1655" spans="1:9" x14ac:dyDescent="0.2">
      <c r="A1655" s="2">
        <v>7</v>
      </c>
      <c r="B1655" s="1" t="s">
        <v>233</v>
      </c>
      <c r="C1655" s="4">
        <v>6</v>
      </c>
      <c r="D1655" s="8">
        <v>3.11</v>
      </c>
      <c r="E1655" s="4">
        <v>0</v>
      </c>
      <c r="F1655" s="8">
        <v>0</v>
      </c>
      <c r="G1655" s="4">
        <v>6</v>
      </c>
      <c r="H1655" s="8">
        <v>6.82</v>
      </c>
      <c r="I1655" s="4">
        <v>0</v>
      </c>
    </row>
    <row r="1656" spans="1:9" x14ac:dyDescent="0.2">
      <c r="A1656" s="2">
        <v>8</v>
      </c>
      <c r="B1656" s="1" t="s">
        <v>241</v>
      </c>
      <c r="C1656" s="4">
        <v>5</v>
      </c>
      <c r="D1656" s="8">
        <v>2.59</v>
      </c>
      <c r="E1656" s="4">
        <v>3</v>
      </c>
      <c r="F1656" s="8">
        <v>2.86</v>
      </c>
      <c r="G1656" s="4">
        <v>2</v>
      </c>
      <c r="H1656" s="8">
        <v>2.27</v>
      </c>
      <c r="I1656" s="4">
        <v>0</v>
      </c>
    </row>
    <row r="1657" spans="1:9" x14ac:dyDescent="0.2">
      <c r="A1657" s="2">
        <v>8</v>
      </c>
      <c r="B1657" s="1" t="s">
        <v>218</v>
      </c>
      <c r="C1657" s="4">
        <v>5</v>
      </c>
      <c r="D1657" s="8">
        <v>2.59</v>
      </c>
      <c r="E1657" s="4">
        <v>1</v>
      </c>
      <c r="F1657" s="8">
        <v>0.95</v>
      </c>
      <c r="G1657" s="4">
        <v>4</v>
      </c>
      <c r="H1657" s="8">
        <v>4.55</v>
      </c>
      <c r="I1657" s="4">
        <v>0</v>
      </c>
    </row>
    <row r="1658" spans="1:9" x14ac:dyDescent="0.2">
      <c r="A1658" s="2">
        <v>8</v>
      </c>
      <c r="B1658" s="1" t="s">
        <v>220</v>
      </c>
      <c r="C1658" s="4">
        <v>5</v>
      </c>
      <c r="D1658" s="8">
        <v>2.59</v>
      </c>
      <c r="E1658" s="4">
        <v>3</v>
      </c>
      <c r="F1658" s="8">
        <v>2.86</v>
      </c>
      <c r="G1658" s="4">
        <v>2</v>
      </c>
      <c r="H1658" s="8">
        <v>2.27</v>
      </c>
      <c r="I1658" s="4">
        <v>0</v>
      </c>
    </row>
    <row r="1659" spans="1:9" x14ac:dyDescent="0.2">
      <c r="A1659" s="2">
        <v>8</v>
      </c>
      <c r="B1659" s="1" t="s">
        <v>236</v>
      </c>
      <c r="C1659" s="4">
        <v>5</v>
      </c>
      <c r="D1659" s="8">
        <v>2.59</v>
      </c>
      <c r="E1659" s="4">
        <v>1</v>
      </c>
      <c r="F1659" s="8">
        <v>0.95</v>
      </c>
      <c r="G1659" s="4">
        <v>4</v>
      </c>
      <c r="H1659" s="8">
        <v>4.55</v>
      </c>
      <c r="I1659" s="4">
        <v>0</v>
      </c>
    </row>
    <row r="1660" spans="1:9" x14ac:dyDescent="0.2">
      <c r="A1660" s="2">
        <v>8</v>
      </c>
      <c r="B1660" s="1" t="s">
        <v>225</v>
      </c>
      <c r="C1660" s="4">
        <v>5</v>
      </c>
      <c r="D1660" s="8">
        <v>2.59</v>
      </c>
      <c r="E1660" s="4">
        <v>3</v>
      </c>
      <c r="F1660" s="8">
        <v>2.86</v>
      </c>
      <c r="G1660" s="4">
        <v>2</v>
      </c>
      <c r="H1660" s="8">
        <v>2.27</v>
      </c>
      <c r="I1660" s="4">
        <v>0</v>
      </c>
    </row>
    <row r="1661" spans="1:9" x14ac:dyDescent="0.2">
      <c r="A1661" s="2">
        <v>8</v>
      </c>
      <c r="B1661" s="1" t="s">
        <v>231</v>
      </c>
      <c r="C1661" s="4">
        <v>5</v>
      </c>
      <c r="D1661" s="8">
        <v>2.59</v>
      </c>
      <c r="E1661" s="4">
        <v>4</v>
      </c>
      <c r="F1661" s="8">
        <v>3.81</v>
      </c>
      <c r="G1661" s="4">
        <v>1</v>
      </c>
      <c r="H1661" s="8">
        <v>1.1399999999999999</v>
      </c>
      <c r="I1661" s="4">
        <v>0</v>
      </c>
    </row>
    <row r="1662" spans="1:9" x14ac:dyDescent="0.2">
      <c r="A1662" s="2">
        <v>14</v>
      </c>
      <c r="B1662" s="1" t="s">
        <v>222</v>
      </c>
      <c r="C1662" s="4">
        <v>4</v>
      </c>
      <c r="D1662" s="8">
        <v>2.0699999999999998</v>
      </c>
      <c r="E1662" s="4">
        <v>1</v>
      </c>
      <c r="F1662" s="8">
        <v>0.95</v>
      </c>
      <c r="G1662" s="4">
        <v>3</v>
      </c>
      <c r="H1662" s="8">
        <v>3.41</v>
      </c>
      <c r="I1662" s="4">
        <v>0</v>
      </c>
    </row>
    <row r="1663" spans="1:9" x14ac:dyDescent="0.2">
      <c r="A1663" s="2">
        <v>14</v>
      </c>
      <c r="B1663" s="1" t="s">
        <v>224</v>
      </c>
      <c r="C1663" s="4">
        <v>4</v>
      </c>
      <c r="D1663" s="8">
        <v>2.0699999999999998</v>
      </c>
      <c r="E1663" s="4">
        <v>1</v>
      </c>
      <c r="F1663" s="8">
        <v>0.95</v>
      </c>
      <c r="G1663" s="4">
        <v>3</v>
      </c>
      <c r="H1663" s="8">
        <v>3.41</v>
      </c>
      <c r="I1663" s="4">
        <v>0</v>
      </c>
    </row>
    <row r="1664" spans="1:9" x14ac:dyDescent="0.2">
      <c r="A1664" s="2">
        <v>14</v>
      </c>
      <c r="B1664" s="1" t="s">
        <v>229</v>
      </c>
      <c r="C1664" s="4">
        <v>4</v>
      </c>
      <c r="D1664" s="8">
        <v>2.0699999999999998</v>
      </c>
      <c r="E1664" s="4">
        <v>2</v>
      </c>
      <c r="F1664" s="8">
        <v>1.9</v>
      </c>
      <c r="G1664" s="4">
        <v>2</v>
      </c>
      <c r="H1664" s="8">
        <v>2.27</v>
      </c>
      <c r="I1664" s="4">
        <v>0</v>
      </c>
    </row>
    <row r="1665" spans="1:9" x14ac:dyDescent="0.2">
      <c r="A1665" s="2">
        <v>14</v>
      </c>
      <c r="B1665" s="1" t="s">
        <v>247</v>
      </c>
      <c r="C1665" s="4">
        <v>4</v>
      </c>
      <c r="D1665" s="8">
        <v>2.0699999999999998</v>
      </c>
      <c r="E1665" s="4">
        <v>3</v>
      </c>
      <c r="F1665" s="8">
        <v>2.86</v>
      </c>
      <c r="G1665" s="4">
        <v>1</v>
      </c>
      <c r="H1665" s="8">
        <v>1.1399999999999999</v>
      </c>
      <c r="I1665" s="4">
        <v>0</v>
      </c>
    </row>
    <row r="1666" spans="1:9" x14ac:dyDescent="0.2">
      <c r="A1666" s="2">
        <v>14</v>
      </c>
      <c r="B1666" s="1" t="s">
        <v>230</v>
      </c>
      <c r="C1666" s="4">
        <v>4</v>
      </c>
      <c r="D1666" s="8">
        <v>2.0699999999999998</v>
      </c>
      <c r="E1666" s="4">
        <v>2</v>
      </c>
      <c r="F1666" s="8">
        <v>1.9</v>
      </c>
      <c r="G1666" s="4">
        <v>2</v>
      </c>
      <c r="H1666" s="8">
        <v>2.27</v>
      </c>
      <c r="I1666" s="4">
        <v>0</v>
      </c>
    </row>
    <row r="1667" spans="1:9" x14ac:dyDescent="0.2">
      <c r="A1667" s="2">
        <v>14</v>
      </c>
      <c r="B1667" s="1" t="s">
        <v>234</v>
      </c>
      <c r="C1667" s="4">
        <v>4</v>
      </c>
      <c r="D1667" s="8">
        <v>2.0699999999999998</v>
      </c>
      <c r="E1667" s="4">
        <v>1</v>
      </c>
      <c r="F1667" s="8">
        <v>0.95</v>
      </c>
      <c r="G1667" s="4">
        <v>3</v>
      </c>
      <c r="H1667" s="8">
        <v>3.41</v>
      </c>
      <c r="I1667" s="4">
        <v>0</v>
      </c>
    </row>
    <row r="1668" spans="1:9" x14ac:dyDescent="0.2">
      <c r="A1668" s="2">
        <v>20</v>
      </c>
      <c r="B1668" s="1" t="s">
        <v>262</v>
      </c>
      <c r="C1668" s="4">
        <v>3</v>
      </c>
      <c r="D1668" s="8">
        <v>1.55</v>
      </c>
      <c r="E1668" s="4">
        <v>0</v>
      </c>
      <c r="F1668" s="8">
        <v>0</v>
      </c>
      <c r="G1668" s="4">
        <v>3</v>
      </c>
      <c r="H1668" s="8">
        <v>3.41</v>
      </c>
      <c r="I1668" s="4">
        <v>0</v>
      </c>
    </row>
    <row r="1669" spans="1:9" x14ac:dyDescent="0.2">
      <c r="A1669" s="2">
        <v>20</v>
      </c>
      <c r="B1669" s="1" t="s">
        <v>258</v>
      </c>
      <c r="C1669" s="4">
        <v>3</v>
      </c>
      <c r="D1669" s="8">
        <v>1.55</v>
      </c>
      <c r="E1669" s="4">
        <v>2</v>
      </c>
      <c r="F1669" s="8">
        <v>1.9</v>
      </c>
      <c r="G1669" s="4">
        <v>1</v>
      </c>
      <c r="H1669" s="8">
        <v>1.1399999999999999</v>
      </c>
      <c r="I1669" s="4">
        <v>0</v>
      </c>
    </row>
    <row r="1670" spans="1:9" x14ac:dyDescent="0.2">
      <c r="A1670" s="2">
        <v>20</v>
      </c>
      <c r="B1670" s="1" t="s">
        <v>239</v>
      </c>
      <c r="C1670" s="4">
        <v>3</v>
      </c>
      <c r="D1670" s="8">
        <v>1.55</v>
      </c>
      <c r="E1670" s="4">
        <v>3</v>
      </c>
      <c r="F1670" s="8">
        <v>2.86</v>
      </c>
      <c r="G1670" s="4">
        <v>0</v>
      </c>
      <c r="H1670" s="8">
        <v>0</v>
      </c>
      <c r="I1670" s="4">
        <v>0</v>
      </c>
    </row>
    <row r="1671" spans="1:9" x14ac:dyDescent="0.2">
      <c r="A1671" s="1"/>
      <c r="C1671" s="4"/>
      <c r="D1671" s="8"/>
      <c r="E1671" s="4"/>
      <c r="F1671" s="8"/>
      <c r="G1671" s="4"/>
      <c r="H1671" s="8"/>
      <c r="I1671" s="4"/>
    </row>
    <row r="1672" spans="1:9" x14ac:dyDescent="0.2">
      <c r="A1672" s="1" t="s">
        <v>69</v>
      </c>
      <c r="C1672" s="4"/>
      <c r="D1672" s="8"/>
      <c r="E1672" s="4"/>
      <c r="F1672" s="8"/>
      <c r="G1672" s="4"/>
      <c r="H1672" s="8"/>
      <c r="I1672" s="4"/>
    </row>
    <row r="1673" spans="1:9" x14ac:dyDescent="0.2">
      <c r="A1673" s="2">
        <v>1</v>
      </c>
      <c r="B1673" s="1" t="s">
        <v>227</v>
      </c>
      <c r="C1673" s="4">
        <v>18</v>
      </c>
      <c r="D1673" s="8">
        <v>24</v>
      </c>
      <c r="E1673" s="4">
        <v>14</v>
      </c>
      <c r="F1673" s="8">
        <v>29.79</v>
      </c>
      <c r="G1673" s="4">
        <v>4</v>
      </c>
      <c r="H1673" s="8">
        <v>19.05</v>
      </c>
      <c r="I1673" s="4">
        <v>0</v>
      </c>
    </row>
    <row r="1674" spans="1:9" x14ac:dyDescent="0.2">
      <c r="A1674" s="2">
        <v>2</v>
      </c>
      <c r="B1674" s="1" t="s">
        <v>221</v>
      </c>
      <c r="C1674" s="4">
        <v>9</v>
      </c>
      <c r="D1674" s="8">
        <v>12</v>
      </c>
      <c r="E1674" s="4">
        <v>7</v>
      </c>
      <c r="F1674" s="8">
        <v>14.89</v>
      </c>
      <c r="G1674" s="4">
        <v>2</v>
      </c>
      <c r="H1674" s="8">
        <v>9.52</v>
      </c>
      <c r="I1674" s="4">
        <v>0</v>
      </c>
    </row>
    <row r="1675" spans="1:9" x14ac:dyDescent="0.2">
      <c r="A1675" s="2">
        <v>3</v>
      </c>
      <c r="B1675" s="1" t="s">
        <v>214</v>
      </c>
      <c r="C1675" s="4">
        <v>5</v>
      </c>
      <c r="D1675" s="8">
        <v>6.67</v>
      </c>
      <c r="E1675" s="4">
        <v>3</v>
      </c>
      <c r="F1675" s="8">
        <v>6.38</v>
      </c>
      <c r="G1675" s="4">
        <v>2</v>
      </c>
      <c r="H1675" s="8">
        <v>9.52</v>
      </c>
      <c r="I1675" s="4">
        <v>0</v>
      </c>
    </row>
    <row r="1676" spans="1:9" x14ac:dyDescent="0.2">
      <c r="A1676" s="2">
        <v>3</v>
      </c>
      <c r="B1676" s="1" t="s">
        <v>223</v>
      </c>
      <c r="C1676" s="4">
        <v>5</v>
      </c>
      <c r="D1676" s="8">
        <v>6.67</v>
      </c>
      <c r="E1676" s="4">
        <v>2</v>
      </c>
      <c r="F1676" s="8">
        <v>4.26</v>
      </c>
      <c r="G1676" s="4">
        <v>3</v>
      </c>
      <c r="H1676" s="8">
        <v>14.29</v>
      </c>
      <c r="I1676" s="4">
        <v>0</v>
      </c>
    </row>
    <row r="1677" spans="1:9" x14ac:dyDescent="0.2">
      <c r="A1677" s="2">
        <v>3</v>
      </c>
      <c r="B1677" s="1" t="s">
        <v>239</v>
      </c>
      <c r="C1677" s="4">
        <v>5</v>
      </c>
      <c r="D1677" s="8">
        <v>6.67</v>
      </c>
      <c r="E1677" s="4">
        <v>4</v>
      </c>
      <c r="F1677" s="8">
        <v>8.51</v>
      </c>
      <c r="G1677" s="4">
        <v>0</v>
      </c>
      <c r="H1677" s="8">
        <v>0</v>
      </c>
      <c r="I1677" s="4">
        <v>0</v>
      </c>
    </row>
    <row r="1678" spans="1:9" x14ac:dyDescent="0.2">
      <c r="A1678" s="2">
        <v>6</v>
      </c>
      <c r="B1678" s="1" t="s">
        <v>243</v>
      </c>
      <c r="C1678" s="4">
        <v>4</v>
      </c>
      <c r="D1678" s="8">
        <v>5.33</v>
      </c>
      <c r="E1678" s="4">
        <v>3</v>
      </c>
      <c r="F1678" s="8">
        <v>6.38</v>
      </c>
      <c r="G1678" s="4">
        <v>1</v>
      </c>
      <c r="H1678" s="8">
        <v>4.76</v>
      </c>
      <c r="I1678" s="4">
        <v>0</v>
      </c>
    </row>
    <row r="1679" spans="1:9" x14ac:dyDescent="0.2">
      <c r="A1679" s="2">
        <v>6</v>
      </c>
      <c r="B1679" s="1" t="s">
        <v>228</v>
      </c>
      <c r="C1679" s="4">
        <v>4</v>
      </c>
      <c r="D1679" s="8">
        <v>5.33</v>
      </c>
      <c r="E1679" s="4">
        <v>4</v>
      </c>
      <c r="F1679" s="8">
        <v>8.51</v>
      </c>
      <c r="G1679" s="4">
        <v>0</v>
      </c>
      <c r="H1679" s="8">
        <v>0</v>
      </c>
      <c r="I1679" s="4">
        <v>0</v>
      </c>
    </row>
    <row r="1680" spans="1:9" x14ac:dyDescent="0.2">
      <c r="A1680" s="2">
        <v>6</v>
      </c>
      <c r="B1680" s="1" t="s">
        <v>232</v>
      </c>
      <c r="C1680" s="4">
        <v>4</v>
      </c>
      <c r="D1680" s="8">
        <v>5.33</v>
      </c>
      <c r="E1680" s="4">
        <v>0</v>
      </c>
      <c r="F1680" s="8">
        <v>0</v>
      </c>
      <c r="G1680" s="4">
        <v>3</v>
      </c>
      <c r="H1680" s="8">
        <v>14.29</v>
      </c>
      <c r="I1680" s="4">
        <v>0</v>
      </c>
    </row>
    <row r="1681" spans="1:9" x14ac:dyDescent="0.2">
      <c r="A1681" s="2">
        <v>9</v>
      </c>
      <c r="B1681" s="1" t="s">
        <v>213</v>
      </c>
      <c r="C1681" s="4">
        <v>2</v>
      </c>
      <c r="D1681" s="8">
        <v>2.67</v>
      </c>
      <c r="E1681" s="4">
        <v>1</v>
      </c>
      <c r="F1681" s="8">
        <v>2.13</v>
      </c>
      <c r="G1681" s="4">
        <v>1</v>
      </c>
      <c r="H1681" s="8">
        <v>4.76</v>
      </c>
      <c r="I1681" s="4">
        <v>0</v>
      </c>
    </row>
    <row r="1682" spans="1:9" x14ac:dyDescent="0.2">
      <c r="A1682" s="2">
        <v>9</v>
      </c>
      <c r="B1682" s="1" t="s">
        <v>248</v>
      </c>
      <c r="C1682" s="4">
        <v>2</v>
      </c>
      <c r="D1682" s="8">
        <v>2.67</v>
      </c>
      <c r="E1682" s="4">
        <v>1</v>
      </c>
      <c r="F1682" s="8">
        <v>2.13</v>
      </c>
      <c r="G1682" s="4">
        <v>1</v>
      </c>
      <c r="H1682" s="8">
        <v>4.76</v>
      </c>
      <c r="I1682" s="4">
        <v>0</v>
      </c>
    </row>
    <row r="1683" spans="1:9" x14ac:dyDescent="0.2">
      <c r="A1683" s="2">
        <v>9</v>
      </c>
      <c r="B1683" s="1" t="s">
        <v>218</v>
      </c>
      <c r="C1683" s="4">
        <v>2</v>
      </c>
      <c r="D1683" s="8">
        <v>2.67</v>
      </c>
      <c r="E1683" s="4">
        <v>1</v>
      </c>
      <c r="F1683" s="8">
        <v>2.13</v>
      </c>
      <c r="G1683" s="4">
        <v>1</v>
      </c>
      <c r="H1683" s="8">
        <v>4.76</v>
      </c>
      <c r="I1683" s="4">
        <v>0</v>
      </c>
    </row>
    <row r="1684" spans="1:9" x14ac:dyDescent="0.2">
      <c r="A1684" s="2">
        <v>9</v>
      </c>
      <c r="B1684" s="1" t="s">
        <v>247</v>
      </c>
      <c r="C1684" s="4">
        <v>2</v>
      </c>
      <c r="D1684" s="8">
        <v>2.67</v>
      </c>
      <c r="E1684" s="4">
        <v>1</v>
      </c>
      <c r="F1684" s="8">
        <v>2.13</v>
      </c>
      <c r="G1684" s="4">
        <v>0</v>
      </c>
      <c r="H1684" s="8">
        <v>0</v>
      </c>
      <c r="I1684" s="4">
        <v>0</v>
      </c>
    </row>
    <row r="1685" spans="1:9" x14ac:dyDescent="0.2">
      <c r="A1685" s="2">
        <v>9</v>
      </c>
      <c r="B1685" s="1" t="s">
        <v>230</v>
      </c>
      <c r="C1685" s="4">
        <v>2</v>
      </c>
      <c r="D1685" s="8">
        <v>2.67</v>
      </c>
      <c r="E1685" s="4">
        <v>1</v>
      </c>
      <c r="F1685" s="8">
        <v>2.13</v>
      </c>
      <c r="G1685" s="4">
        <v>0</v>
      </c>
      <c r="H1685" s="8">
        <v>0</v>
      </c>
      <c r="I1685" s="4">
        <v>0</v>
      </c>
    </row>
    <row r="1686" spans="1:9" x14ac:dyDescent="0.2">
      <c r="A1686" s="2">
        <v>14</v>
      </c>
      <c r="B1686" s="1" t="s">
        <v>215</v>
      </c>
      <c r="C1686" s="4">
        <v>1</v>
      </c>
      <c r="D1686" s="8">
        <v>1.33</v>
      </c>
      <c r="E1686" s="4">
        <v>1</v>
      </c>
      <c r="F1686" s="8">
        <v>2.13</v>
      </c>
      <c r="G1686" s="4">
        <v>0</v>
      </c>
      <c r="H1686" s="8">
        <v>0</v>
      </c>
      <c r="I1686" s="4">
        <v>0</v>
      </c>
    </row>
    <row r="1687" spans="1:9" x14ac:dyDescent="0.2">
      <c r="A1687" s="2">
        <v>14</v>
      </c>
      <c r="B1687" s="1" t="s">
        <v>262</v>
      </c>
      <c r="C1687" s="4">
        <v>1</v>
      </c>
      <c r="D1687" s="8">
        <v>1.33</v>
      </c>
      <c r="E1687" s="4">
        <v>0</v>
      </c>
      <c r="F1687" s="8">
        <v>0</v>
      </c>
      <c r="G1687" s="4">
        <v>1</v>
      </c>
      <c r="H1687" s="8">
        <v>4.76</v>
      </c>
      <c r="I1687" s="4">
        <v>0</v>
      </c>
    </row>
    <row r="1688" spans="1:9" x14ac:dyDescent="0.2">
      <c r="A1688" s="2">
        <v>14</v>
      </c>
      <c r="B1688" s="1" t="s">
        <v>255</v>
      </c>
      <c r="C1688" s="4">
        <v>1</v>
      </c>
      <c r="D1688" s="8">
        <v>1.33</v>
      </c>
      <c r="E1688" s="4">
        <v>0</v>
      </c>
      <c r="F1688" s="8">
        <v>0</v>
      </c>
      <c r="G1688" s="4">
        <v>0</v>
      </c>
      <c r="H1688" s="8">
        <v>0</v>
      </c>
      <c r="I1688" s="4">
        <v>0</v>
      </c>
    </row>
    <row r="1689" spans="1:9" x14ac:dyDescent="0.2">
      <c r="A1689" s="2">
        <v>14</v>
      </c>
      <c r="B1689" s="1" t="s">
        <v>261</v>
      </c>
      <c r="C1689" s="4">
        <v>1</v>
      </c>
      <c r="D1689" s="8">
        <v>1.33</v>
      </c>
      <c r="E1689" s="4">
        <v>0</v>
      </c>
      <c r="F1689" s="8">
        <v>0</v>
      </c>
      <c r="G1689" s="4">
        <v>0</v>
      </c>
      <c r="H1689" s="8">
        <v>0</v>
      </c>
      <c r="I1689" s="4">
        <v>1</v>
      </c>
    </row>
    <row r="1690" spans="1:9" x14ac:dyDescent="0.2">
      <c r="A1690" s="2">
        <v>14</v>
      </c>
      <c r="B1690" s="1" t="s">
        <v>216</v>
      </c>
      <c r="C1690" s="4">
        <v>1</v>
      </c>
      <c r="D1690" s="8">
        <v>1.33</v>
      </c>
      <c r="E1690" s="4">
        <v>0</v>
      </c>
      <c r="F1690" s="8">
        <v>0</v>
      </c>
      <c r="G1690" s="4">
        <v>1</v>
      </c>
      <c r="H1690" s="8">
        <v>4.76</v>
      </c>
      <c r="I1690" s="4">
        <v>0</v>
      </c>
    </row>
    <row r="1691" spans="1:9" x14ac:dyDescent="0.2">
      <c r="A1691" s="2">
        <v>14</v>
      </c>
      <c r="B1691" s="1" t="s">
        <v>236</v>
      </c>
      <c r="C1691" s="4">
        <v>1</v>
      </c>
      <c r="D1691" s="8">
        <v>1.33</v>
      </c>
      <c r="E1691" s="4">
        <v>1</v>
      </c>
      <c r="F1691" s="8">
        <v>2.13</v>
      </c>
      <c r="G1691" s="4">
        <v>0</v>
      </c>
      <c r="H1691" s="8">
        <v>0</v>
      </c>
      <c r="I1691" s="4">
        <v>0</v>
      </c>
    </row>
    <row r="1692" spans="1:9" x14ac:dyDescent="0.2">
      <c r="A1692" s="2">
        <v>14</v>
      </c>
      <c r="B1692" s="1" t="s">
        <v>233</v>
      </c>
      <c r="C1692" s="4">
        <v>1</v>
      </c>
      <c r="D1692" s="8">
        <v>1.33</v>
      </c>
      <c r="E1692" s="4">
        <v>0</v>
      </c>
      <c r="F1692" s="8">
        <v>0</v>
      </c>
      <c r="G1692" s="4">
        <v>1</v>
      </c>
      <c r="H1692" s="8">
        <v>4.76</v>
      </c>
      <c r="I1692" s="4">
        <v>0</v>
      </c>
    </row>
    <row r="1693" spans="1:9" x14ac:dyDescent="0.2">
      <c r="A1693" s="2">
        <v>14</v>
      </c>
      <c r="B1693" s="1" t="s">
        <v>224</v>
      </c>
      <c r="C1693" s="4">
        <v>1</v>
      </c>
      <c r="D1693" s="8">
        <v>1.33</v>
      </c>
      <c r="E1693" s="4">
        <v>1</v>
      </c>
      <c r="F1693" s="8">
        <v>2.13</v>
      </c>
      <c r="G1693" s="4">
        <v>0</v>
      </c>
      <c r="H1693" s="8">
        <v>0</v>
      </c>
      <c r="I1693" s="4">
        <v>0</v>
      </c>
    </row>
    <row r="1694" spans="1:9" x14ac:dyDescent="0.2">
      <c r="A1694" s="2">
        <v>14</v>
      </c>
      <c r="B1694" s="1" t="s">
        <v>231</v>
      </c>
      <c r="C1694" s="4">
        <v>1</v>
      </c>
      <c r="D1694" s="8">
        <v>1.33</v>
      </c>
      <c r="E1694" s="4">
        <v>1</v>
      </c>
      <c r="F1694" s="8">
        <v>2.13</v>
      </c>
      <c r="G1694" s="4">
        <v>0</v>
      </c>
      <c r="H1694" s="8">
        <v>0</v>
      </c>
      <c r="I1694" s="4">
        <v>0</v>
      </c>
    </row>
    <row r="1695" spans="1:9" x14ac:dyDescent="0.2">
      <c r="A1695" s="2">
        <v>14</v>
      </c>
      <c r="B1695" s="1" t="s">
        <v>249</v>
      </c>
      <c r="C1695" s="4">
        <v>1</v>
      </c>
      <c r="D1695" s="8">
        <v>1.33</v>
      </c>
      <c r="E1695" s="4">
        <v>0</v>
      </c>
      <c r="F1695" s="8">
        <v>0</v>
      </c>
      <c r="G1695" s="4">
        <v>0</v>
      </c>
      <c r="H1695" s="8">
        <v>0</v>
      </c>
      <c r="I1695" s="4">
        <v>0</v>
      </c>
    </row>
    <row r="1696" spans="1:9" x14ac:dyDescent="0.2">
      <c r="A1696" s="2">
        <v>14</v>
      </c>
      <c r="B1696" s="1" t="s">
        <v>240</v>
      </c>
      <c r="C1696" s="4">
        <v>1</v>
      </c>
      <c r="D1696" s="8">
        <v>1.33</v>
      </c>
      <c r="E1696" s="4">
        <v>1</v>
      </c>
      <c r="F1696" s="8">
        <v>2.13</v>
      </c>
      <c r="G1696" s="4">
        <v>0</v>
      </c>
      <c r="H1696" s="8">
        <v>0</v>
      </c>
      <c r="I1696" s="4">
        <v>0</v>
      </c>
    </row>
    <row r="1697" spans="1:9" x14ac:dyDescent="0.2">
      <c r="A1697" s="1"/>
      <c r="C1697" s="4"/>
      <c r="D1697" s="8"/>
      <c r="E1697" s="4"/>
      <c r="F1697" s="8"/>
      <c r="G1697" s="4"/>
      <c r="H1697" s="8"/>
      <c r="I1697" s="4"/>
    </row>
    <row r="1698" spans="1:9" x14ac:dyDescent="0.2">
      <c r="A1698" s="1" t="s">
        <v>70</v>
      </c>
      <c r="C1698" s="4"/>
      <c r="D1698" s="8"/>
      <c r="E1698" s="4"/>
      <c r="F1698" s="8"/>
      <c r="G1698" s="4"/>
      <c r="H1698" s="8"/>
      <c r="I1698" s="4"/>
    </row>
    <row r="1699" spans="1:9" x14ac:dyDescent="0.2">
      <c r="A1699" s="2">
        <v>1</v>
      </c>
      <c r="B1699" s="1" t="s">
        <v>227</v>
      </c>
      <c r="C1699" s="4">
        <v>11</v>
      </c>
      <c r="D1699" s="8">
        <v>15.71</v>
      </c>
      <c r="E1699" s="4">
        <v>10</v>
      </c>
      <c r="F1699" s="8">
        <v>25.64</v>
      </c>
      <c r="G1699" s="4">
        <v>1</v>
      </c>
      <c r="H1699" s="8">
        <v>3.7</v>
      </c>
      <c r="I1699" s="4">
        <v>0</v>
      </c>
    </row>
    <row r="1700" spans="1:9" x14ac:dyDescent="0.2">
      <c r="A1700" s="2">
        <v>2</v>
      </c>
      <c r="B1700" s="1" t="s">
        <v>221</v>
      </c>
      <c r="C1700" s="4">
        <v>10</v>
      </c>
      <c r="D1700" s="8">
        <v>14.29</v>
      </c>
      <c r="E1700" s="4">
        <v>8</v>
      </c>
      <c r="F1700" s="8">
        <v>20.51</v>
      </c>
      <c r="G1700" s="4">
        <v>2</v>
      </c>
      <c r="H1700" s="8">
        <v>7.41</v>
      </c>
      <c r="I1700" s="4">
        <v>0</v>
      </c>
    </row>
    <row r="1701" spans="1:9" x14ac:dyDescent="0.2">
      <c r="A1701" s="2">
        <v>3</v>
      </c>
      <c r="B1701" s="1" t="s">
        <v>243</v>
      </c>
      <c r="C1701" s="4">
        <v>9</v>
      </c>
      <c r="D1701" s="8">
        <v>12.86</v>
      </c>
      <c r="E1701" s="4">
        <v>4</v>
      </c>
      <c r="F1701" s="8">
        <v>10.26</v>
      </c>
      <c r="G1701" s="4">
        <v>5</v>
      </c>
      <c r="H1701" s="8">
        <v>18.52</v>
      </c>
      <c r="I1701" s="4">
        <v>0</v>
      </c>
    </row>
    <row r="1702" spans="1:9" x14ac:dyDescent="0.2">
      <c r="A1702" s="2">
        <v>4</v>
      </c>
      <c r="B1702" s="1" t="s">
        <v>224</v>
      </c>
      <c r="C1702" s="4">
        <v>7</v>
      </c>
      <c r="D1702" s="8">
        <v>10</v>
      </c>
      <c r="E1702" s="4">
        <v>6</v>
      </c>
      <c r="F1702" s="8">
        <v>15.38</v>
      </c>
      <c r="G1702" s="4">
        <v>0</v>
      </c>
      <c r="H1702" s="8">
        <v>0</v>
      </c>
      <c r="I1702" s="4">
        <v>0</v>
      </c>
    </row>
    <row r="1703" spans="1:9" x14ac:dyDescent="0.2">
      <c r="A1703" s="2">
        <v>5</v>
      </c>
      <c r="B1703" s="1" t="s">
        <v>239</v>
      </c>
      <c r="C1703" s="4">
        <v>6</v>
      </c>
      <c r="D1703" s="8">
        <v>8.57</v>
      </c>
      <c r="E1703" s="4">
        <v>0</v>
      </c>
      <c r="F1703" s="8">
        <v>0</v>
      </c>
      <c r="G1703" s="4">
        <v>5</v>
      </c>
      <c r="H1703" s="8">
        <v>18.52</v>
      </c>
      <c r="I1703" s="4">
        <v>0</v>
      </c>
    </row>
    <row r="1704" spans="1:9" x14ac:dyDescent="0.2">
      <c r="A1704" s="2">
        <v>6</v>
      </c>
      <c r="B1704" s="1" t="s">
        <v>223</v>
      </c>
      <c r="C1704" s="4">
        <v>5</v>
      </c>
      <c r="D1704" s="8">
        <v>7.14</v>
      </c>
      <c r="E1704" s="4">
        <v>1</v>
      </c>
      <c r="F1704" s="8">
        <v>2.56</v>
      </c>
      <c r="G1704" s="4">
        <v>4</v>
      </c>
      <c r="H1704" s="8">
        <v>14.81</v>
      </c>
      <c r="I1704" s="4">
        <v>0</v>
      </c>
    </row>
    <row r="1705" spans="1:9" x14ac:dyDescent="0.2">
      <c r="A1705" s="2">
        <v>7</v>
      </c>
      <c r="B1705" s="1" t="s">
        <v>242</v>
      </c>
      <c r="C1705" s="4">
        <v>3</v>
      </c>
      <c r="D1705" s="8">
        <v>4.29</v>
      </c>
      <c r="E1705" s="4">
        <v>1</v>
      </c>
      <c r="F1705" s="8">
        <v>2.56</v>
      </c>
      <c r="G1705" s="4">
        <v>2</v>
      </c>
      <c r="H1705" s="8">
        <v>7.41</v>
      </c>
      <c r="I1705" s="4">
        <v>0</v>
      </c>
    </row>
    <row r="1706" spans="1:9" x14ac:dyDescent="0.2">
      <c r="A1706" s="2">
        <v>8</v>
      </c>
      <c r="B1706" s="1" t="s">
        <v>241</v>
      </c>
      <c r="C1706" s="4">
        <v>2</v>
      </c>
      <c r="D1706" s="8">
        <v>2.86</v>
      </c>
      <c r="E1706" s="4">
        <v>1</v>
      </c>
      <c r="F1706" s="8">
        <v>2.56</v>
      </c>
      <c r="G1706" s="4">
        <v>1</v>
      </c>
      <c r="H1706" s="8">
        <v>3.7</v>
      </c>
      <c r="I1706" s="4">
        <v>0</v>
      </c>
    </row>
    <row r="1707" spans="1:9" x14ac:dyDescent="0.2">
      <c r="A1707" s="2">
        <v>8</v>
      </c>
      <c r="B1707" s="1" t="s">
        <v>255</v>
      </c>
      <c r="C1707" s="4">
        <v>2</v>
      </c>
      <c r="D1707" s="8">
        <v>2.86</v>
      </c>
      <c r="E1707" s="4">
        <v>0</v>
      </c>
      <c r="F1707" s="8">
        <v>0</v>
      </c>
      <c r="G1707" s="4">
        <v>1</v>
      </c>
      <c r="H1707" s="8">
        <v>3.7</v>
      </c>
      <c r="I1707" s="4">
        <v>0</v>
      </c>
    </row>
    <row r="1708" spans="1:9" x14ac:dyDescent="0.2">
      <c r="A1708" s="2">
        <v>8</v>
      </c>
      <c r="B1708" s="1" t="s">
        <v>228</v>
      </c>
      <c r="C1708" s="4">
        <v>2</v>
      </c>
      <c r="D1708" s="8">
        <v>2.86</v>
      </c>
      <c r="E1708" s="4">
        <v>2</v>
      </c>
      <c r="F1708" s="8">
        <v>5.13</v>
      </c>
      <c r="G1708" s="4">
        <v>0</v>
      </c>
      <c r="H1708" s="8">
        <v>0</v>
      </c>
      <c r="I1708" s="4">
        <v>0</v>
      </c>
    </row>
    <row r="1709" spans="1:9" x14ac:dyDescent="0.2">
      <c r="A1709" s="2">
        <v>8</v>
      </c>
      <c r="B1709" s="1" t="s">
        <v>230</v>
      </c>
      <c r="C1709" s="4">
        <v>2</v>
      </c>
      <c r="D1709" s="8">
        <v>2.86</v>
      </c>
      <c r="E1709" s="4">
        <v>1</v>
      </c>
      <c r="F1709" s="8">
        <v>2.56</v>
      </c>
      <c r="G1709" s="4">
        <v>1</v>
      </c>
      <c r="H1709" s="8">
        <v>3.7</v>
      </c>
      <c r="I1709" s="4">
        <v>0</v>
      </c>
    </row>
    <row r="1710" spans="1:9" x14ac:dyDescent="0.2">
      <c r="A1710" s="2">
        <v>12</v>
      </c>
      <c r="B1710" s="1" t="s">
        <v>213</v>
      </c>
      <c r="C1710" s="4">
        <v>1</v>
      </c>
      <c r="D1710" s="8">
        <v>1.43</v>
      </c>
      <c r="E1710" s="4">
        <v>0</v>
      </c>
      <c r="F1710" s="8">
        <v>0</v>
      </c>
      <c r="G1710" s="4">
        <v>1</v>
      </c>
      <c r="H1710" s="8">
        <v>3.7</v>
      </c>
      <c r="I1710" s="4">
        <v>0</v>
      </c>
    </row>
    <row r="1711" spans="1:9" x14ac:dyDescent="0.2">
      <c r="A1711" s="2">
        <v>12</v>
      </c>
      <c r="B1711" s="1" t="s">
        <v>215</v>
      </c>
      <c r="C1711" s="4">
        <v>1</v>
      </c>
      <c r="D1711" s="8">
        <v>1.43</v>
      </c>
      <c r="E1711" s="4">
        <v>0</v>
      </c>
      <c r="F1711" s="8">
        <v>0</v>
      </c>
      <c r="G1711" s="4">
        <v>1</v>
      </c>
      <c r="H1711" s="8">
        <v>3.7</v>
      </c>
      <c r="I1711" s="4">
        <v>0</v>
      </c>
    </row>
    <row r="1712" spans="1:9" x14ac:dyDescent="0.2">
      <c r="A1712" s="2">
        <v>12</v>
      </c>
      <c r="B1712" s="1" t="s">
        <v>251</v>
      </c>
      <c r="C1712" s="4">
        <v>1</v>
      </c>
      <c r="D1712" s="8">
        <v>1.43</v>
      </c>
      <c r="E1712" s="4">
        <v>1</v>
      </c>
      <c r="F1712" s="8">
        <v>2.56</v>
      </c>
      <c r="G1712" s="4">
        <v>0</v>
      </c>
      <c r="H1712" s="8">
        <v>0</v>
      </c>
      <c r="I1712" s="4">
        <v>0</v>
      </c>
    </row>
    <row r="1713" spans="1:9" x14ac:dyDescent="0.2">
      <c r="A1713" s="2">
        <v>12</v>
      </c>
      <c r="B1713" s="1" t="s">
        <v>245</v>
      </c>
      <c r="C1713" s="4">
        <v>1</v>
      </c>
      <c r="D1713" s="8">
        <v>1.43</v>
      </c>
      <c r="E1713" s="4">
        <v>1</v>
      </c>
      <c r="F1713" s="8">
        <v>2.56</v>
      </c>
      <c r="G1713" s="4">
        <v>0</v>
      </c>
      <c r="H1713" s="8">
        <v>0</v>
      </c>
      <c r="I1713" s="4">
        <v>0</v>
      </c>
    </row>
    <row r="1714" spans="1:9" x14ac:dyDescent="0.2">
      <c r="A1714" s="2">
        <v>12</v>
      </c>
      <c r="B1714" s="1" t="s">
        <v>216</v>
      </c>
      <c r="C1714" s="4">
        <v>1</v>
      </c>
      <c r="D1714" s="8">
        <v>1.43</v>
      </c>
      <c r="E1714" s="4">
        <v>0</v>
      </c>
      <c r="F1714" s="8">
        <v>0</v>
      </c>
      <c r="G1714" s="4">
        <v>1</v>
      </c>
      <c r="H1714" s="8">
        <v>3.7</v>
      </c>
      <c r="I1714" s="4">
        <v>0</v>
      </c>
    </row>
    <row r="1715" spans="1:9" x14ac:dyDescent="0.2">
      <c r="A1715" s="2">
        <v>12</v>
      </c>
      <c r="B1715" s="1" t="s">
        <v>220</v>
      </c>
      <c r="C1715" s="4">
        <v>1</v>
      </c>
      <c r="D1715" s="8">
        <v>1.43</v>
      </c>
      <c r="E1715" s="4">
        <v>1</v>
      </c>
      <c r="F1715" s="8">
        <v>2.56</v>
      </c>
      <c r="G1715" s="4">
        <v>0</v>
      </c>
      <c r="H1715" s="8">
        <v>0</v>
      </c>
      <c r="I1715" s="4">
        <v>0</v>
      </c>
    </row>
    <row r="1716" spans="1:9" x14ac:dyDescent="0.2">
      <c r="A1716" s="2">
        <v>12</v>
      </c>
      <c r="B1716" s="1" t="s">
        <v>222</v>
      </c>
      <c r="C1716" s="4">
        <v>1</v>
      </c>
      <c r="D1716" s="8">
        <v>1.43</v>
      </c>
      <c r="E1716" s="4">
        <v>1</v>
      </c>
      <c r="F1716" s="8">
        <v>2.56</v>
      </c>
      <c r="G1716" s="4">
        <v>0</v>
      </c>
      <c r="H1716" s="8">
        <v>0</v>
      </c>
      <c r="I1716" s="4">
        <v>0</v>
      </c>
    </row>
    <row r="1717" spans="1:9" x14ac:dyDescent="0.2">
      <c r="A1717" s="2">
        <v>12</v>
      </c>
      <c r="B1717" s="1" t="s">
        <v>233</v>
      </c>
      <c r="C1717" s="4">
        <v>1</v>
      </c>
      <c r="D1717" s="8">
        <v>1.43</v>
      </c>
      <c r="E1717" s="4">
        <v>1</v>
      </c>
      <c r="F1717" s="8">
        <v>2.56</v>
      </c>
      <c r="G1717" s="4">
        <v>0</v>
      </c>
      <c r="H1717" s="8">
        <v>0</v>
      </c>
      <c r="I1717" s="4">
        <v>0</v>
      </c>
    </row>
    <row r="1718" spans="1:9" x14ac:dyDescent="0.2">
      <c r="A1718" s="2">
        <v>12</v>
      </c>
      <c r="B1718" s="1" t="s">
        <v>231</v>
      </c>
      <c r="C1718" s="4">
        <v>1</v>
      </c>
      <c r="D1718" s="8">
        <v>1.43</v>
      </c>
      <c r="E1718" s="4">
        <v>0</v>
      </c>
      <c r="F1718" s="8">
        <v>0</v>
      </c>
      <c r="G1718" s="4">
        <v>1</v>
      </c>
      <c r="H1718" s="8">
        <v>3.7</v>
      </c>
      <c r="I1718" s="4">
        <v>0</v>
      </c>
    </row>
    <row r="1719" spans="1:9" x14ac:dyDescent="0.2">
      <c r="A1719" s="2">
        <v>12</v>
      </c>
      <c r="B1719" s="1" t="s">
        <v>232</v>
      </c>
      <c r="C1719" s="4">
        <v>1</v>
      </c>
      <c r="D1719" s="8">
        <v>1.43</v>
      </c>
      <c r="E1719" s="4">
        <v>0</v>
      </c>
      <c r="F1719" s="8">
        <v>0</v>
      </c>
      <c r="G1719" s="4">
        <v>0</v>
      </c>
      <c r="H1719" s="8">
        <v>0</v>
      </c>
      <c r="I1719" s="4">
        <v>0</v>
      </c>
    </row>
    <row r="1720" spans="1:9" x14ac:dyDescent="0.2">
      <c r="A1720" s="2">
        <v>12</v>
      </c>
      <c r="B1720" s="1" t="s">
        <v>234</v>
      </c>
      <c r="C1720" s="4">
        <v>1</v>
      </c>
      <c r="D1720" s="8">
        <v>1.43</v>
      </c>
      <c r="E1720" s="4">
        <v>0</v>
      </c>
      <c r="F1720" s="8">
        <v>0</v>
      </c>
      <c r="G1720" s="4">
        <v>1</v>
      </c>
      <c r="H1720" s="8">
        <v>3.7</v>
      </c>
      <c r="I1720" s="4">
        <v>0</v>
      </c>
    </row>
    <row r="1721" spans="1:9" x14ac:dyDescent="0.2">
      <c r="A1721" s="1"/>
      <c r="C1721" s="4"/>
      <c r="D1721" s="8"/>
      <c r="E1721" s="4"/>
      <c r="F1721" s="8"/>
      <c r="G1721" s="4"/>
      <c r="H1721" s="8"/>
      <c r="I1721" s="4"/>
    </row>
    <row r="1722" spans="1:9" x14ac:dyDescent="0.2">
      <c r="A1722" s="1" t="s">
        <v>71</v>
      </c>
      <c r="C1722" s="4"/>
      <c r="D1722" s="8"/>
      <c r="E1722" s="4"/>
      <c r="F1722" s="8"/>
      <c r="G1722" s="4"/>
      <c r="H1722" s="8"/>
      <c r="I1722" s="4"/>
    </row>
    <row r="1723" spans="1:9" x14ac:dyDescent="0.2">
      <c r="A1723" s="2">
        <v>1</v>
      </c>
      <c r="B1723" s="1" t="s">
        <v>227</v>
      </c>
      <c r="C1723" s="4">
        <v>11</v>
      </c>
      <c r="D1723" s="8">
        <v>15.94</v>
      </c>
      <c r="E1723" s="4">
        <v>10</v>
      </c>
      <c r="F1723" s="8">
        <v>24.39</v>
      </c>
      <c r="G1723" s="4">
        <v>1</v>
      </c>
      <c r="H1723" s="8">
        <v>3.7</v>
      </c>
      <c r="I1723" s="4">
        <v>0</v>
      </c>
    </row>
    <row r="1724" spans="1:9" x14ac:dyDescent="0.2">
      <c r="A1724" s="2">
        <v>2</v>
      </c>
      <c r="B1724" s="1" t="s">
        <v>221</v>
      </c>
      <c r="C1724" s="4">
        <v>10</v>
      </c>
      <c r="D1724" s="8">
        <v>14.49</v>
      </c>
      <c r="E1724" s="4">
        <v>9</v>
      </c>
      <c r="F1724" s="8">
        <v>21.95</v>
      </c>
      <c r="G1724" s="4">
        <v>1</v>
      </c>
      <c r="H1724" s="8">
        <v>3.7</v>
      </c>
      <c r="I1724" s="4">
        <v>0</v>
      </c>
    </row>
    <row r="1725" spans="1:9" x14ac:dyDescent="0.2">
      <c r="A1725" s="2">
        <v>3</v>
      </c>
      <c r="B1725" s="1" t="s">
        <v>223</v>
      </c>
      <c r="C1725" s="4">
        <v>8</v>
      </c>
      <c r="D1725" s="8">
        <v>11.59</v>
      </c>
      <c r="E1725" s="4">
        <v>4</v>
      </c>
      <c r="F1725" s="8">
        <v>9.76</v>
      </c>
      <c r="G1725" s="4">
        <v>4</v>
      </c>
      <c r="H1725" s="8">
        <v>14.81</v>
      </c>
      <c r="I1725" s="4">
        <v>0</v>
      </c>
    </row>
    <row r="1726" spans="1:9" x14ac:dyDescent="0.2">
      <c r="A1726" s="2">
        <v>4</v>
      </c>
      <c r="B1726" s="1" t="s">
        <v>228</v>
      </c>
      <c r="C1726" s="4">
        <v>5</v>
      </c>
      <c r="D1726" s="8">
        <v>7.25</v>
      </c>
      <c r="E1726" s="4">
        <v>5</v>
      </c>
      <c r="F1726" s="8">
        <v>12.2</v>
      </c>
      <c r="G1726" s="4">
        <v>0</v>
      </c>
      <c r="H1726" s="8">
        <v>0</v>
      </c>
      <c r="I1726" s="4">
        <v>0</v>
      </c>
    </row>
    <row r="1727" spans="1:9" x14ac:dyDescent="0.2">
      <c r="A1727" s="2">
        <v>5</v>
      </c>
      <c r="B1727" s="1" t="s">
        <v>213</v>
      </c>
      <c r="C1727" s="4">
        <v>3</v>
      </c>
      <c r="D1727" s="8">
        <v>4.3499999999999996</v>
      </c>
      <c r="E1727" s="4">
        <v>1</v>
      </c>
      <c r="F1727" s="8">
        <v>2.44</v>
      </c>
      <c r="G1727" s="4">
        <v>2</v>
      </c>
      <c r="H1727" s="8">
        <v>7.41</v>
      </c>
      <c r="I1727" s="4">
        <v>0</v>
      </c>
    </row>
    <row r="1728" spans="1:9" x14ac:dyDescent="0.2">
      <c r="A1728" s="2">
        <v>5</v>
      </c>
      <c r="B1728" s="1" t="s">
        <v>225</v>
      </c>
      <c r="C1728" s="4">
        <v>3</v>
      </c>
      <c r="D1728" s="8">
        <v>4.3499999999999996</v>
      </c>
      <c r="E1728" s="4">
        <v>0</v>
      </c>
      <c r="F1728" s="8">
        <v>0</v>
      </c>
      <c r="G1728" s="4">
        <v>3</v>
      </c>
      <c r="H1728" s="8">
        <v>11.11</v>
      </c>
      <c r="I1728" s="4">
        <v>0</v>
      </c>
    </row>
    <row r="1729" spans="1:9" x14ac:dyDescent="0.2">
      <c r="A1729" s="2">
        <v>5</v>
      </c>
      <c r="B1729" s="1" t="s">
        <v>243</v>
      </c>
      <c r="C1729" s="4">
        <v>3</v>
      </c>
      <c r="D1729" s="8">
        <v>4.3499999999999996</v>
      </c>
      <c r="E1729" s="4">
        <v>2</v>
      </c>
      <c r="F1729" s="8">
        <v>4.88</v>
      </c>
      <c r="G1729" s="4">
        <v>1</v>
      </c>
      <c r="H1729" s="8">
        <v>3.7</v>
      </c>
      <c r="I1729" s="4">
        <v>0</v>
      </c>
    </row>
    <row r="1730" spans="1:9" x14ac:dyDescent="0.2">
      <c r="A1730" s="2">
        <v>5</v>
      </c>
      <c r="B1730" s="1" t="s">
        <v>232</v>
      </c>
      <c r="C1730" s="4">
        <v>3</v>
      </c>
      <c r="D1730" s="8">
        <v>4.3499999999999996</v>
      </c>
      <c r="E1730" s="4">
        <v>0</v>
      </c>
      <c r="F1730" s="8">
        <v>0</v>
      </c>
      <c r="G1730" s="4">
        <v>3</v>
      </c>
      <c r="H1730" s="8">
        <v>11.11</v>
      </c>
      <c r="I1730" s="4">
        <v>0</v>
      </c>
    </row>
    <row r="1731" spans="1:9" x14ac:dyDescent="0.2">
      <c r="A1731" s="2">
        <v>9</v>
      </c>
      <c r="B1731" s="1" t="s">
        <v>215</v>
      </c>
      <c r="C1731" s="4">
        <v>2</v>
      </c>
      <c r="D1731" s="8">
        <v>2.9</v>
      </c>
      <c r="E1731" s="4">
        <v>0</v>
      </c>
      <c r="F1731" s="8">
        <v>0</v>
      </c>
      <c r="G1731" s="4">
        <v>2</v>
      </c>
      <c r="H1731" s="8">
        <v>7.41</v>
      </c>
      <c r="I1731" s="4">
        <v>0</v>
      </c>
    </row>
    <row r="1732" spans="1:9" x14ac:dyDescent="0.2">
      <c r="A1732" s="2">
        <v>9</v>
      </c>
      <c r="B1732" s="1" t="s">
        <v>255</v>
      </c>
      <c r="C1732" s="4">
        <v>2</v>
      </c>
      <c r="D1732" s="8">
        <v>2.9</v>
      </c>
      <c r="E1732" s="4">
        <v>0</v>
      </c>
      <c r="F1732" s="8">
        <v>0</v>
      </c>
      <c r="G1732" s="4">
        <v>1</v>
      </c>
      <c r="H1732" s="8">
        <v>3.7</v>
      </c>
      <c r="I1732" s="4">
        <v>0</v>
      </c>
    </row>
    <row r="1733" spans="1:9" x14ac:dyDescent="0.2">
      <c r="A1733" s="2">
        <v>9</v>
      </c>
      <c r="B1733" s="1" t="s">
        <v>239</v>
      </c>
      <c r="C1733" s="4">
        <v>2</v>
      </c>
      <c r="D1733" s="8">
        <v>2.9</v>
      </c>
      <c r="E1733" s="4">
        <v>1</v>
      </c>
      <c r="F1733" s="8">
        <v>2.44</v>
      </c>
      <c r="G1733" s="4">
        <v>1</v>
      </c>
      <c r="H1733" s="8">
        <v>3.7</v>
      </c>
      <c r="I1733" s="4">
        <v>0</v>
      </c>
    </row>
    <row r="1734" spans="1:9" x14ac:dyDescent="0.2">
      <c r="A1734" s="2">
        <v>12</v>
      </c>
      <c r="B1734" s="1" t="s">
        <v>273</v>
      </c>
      <c r="C1734" s="4">
        <v>1</v>
      </c>
      <c r="D1734" s="8">
        <v>1.45</v>
      </c>
      <c r="E1734" s="4">
        <v>0</v>
      </c>
      <c r="F1734" s="8">
        <v>0</v>
      </c>
      <c r="G1734" s="4">
        <v>1</v>
      </c>
      <c r="H1734" s="8">
        <v>3.7</v>
      </c>
      <c r="I1734" s="4">
        <v>0</v>
      </c>
    </row>
    <row r="1735" spans="1:9" x14ac:dyDescent="0.2">
      <c r="A1735" s="2">
        <v>12</v>
      </c>
      <c r="B1735" s="1" t="s">
        <v>244</v>
      </c>
      <c r="C1735" s="4">
        <v>1</v>
      </c>
      <c r="D1735" s="8">
        <v>1.45</v>
      </c>
      <c r="E1735" s="4">
        <v>0</v>
      </c>
      <c r="F1735" s="8">
        <v>0</v>
      </c>
      <c r="G1735" s="4">
        <v>1</v>
      </c>
      <c r="H1735" s="8">
        <v>3.7</v>
      </c>
      <c r="I1735" s="4">
        <v>0</v>
      </c>
    </row>
    <row r="1736" spans="1:9" x14ac:dyDescent="0.2">
      <c r="A1736" s="2">
        <v>12</v>
      </c>
      <c r="B1736" s="1" t="s">
        <v>245</v>
      </c>
      <c r="C1736" s="4">
        <v>1</v>
      </c>
      <c r="D1736" s="8">
        <v>1.45</v>
      </c>
      <c r="E1736" s="4">
        <v>1</v>
      </c>
      <c r="F1736" s="8">
        <v>2.44</v>
      </c>
      <c r="G1736" s="4">
        <v>0</v>
      </c>
      <c r="H1736" s="8">
        <v>0</v>
      </c>
      <c r="I1736" s="4">
        <v>0</v>
      </c>
    </row>
    <row r="1737" spans="1:9" x14ac:dyDescent="0.2">
      <c r="A1737" s="2">
        <v>12</v>
      </c>
      <c r="B1737" s="1" t="s">
        <v>260</v>
      </c>
      <c r="C1737" s="4">
        <v>1</v>
      </c>
      <c r="D1737" s="8">
        <v>1.45</v>
      </c>
      <c r="E1737" s="4">
        <v>0</v>
      </c>
      <c r="F1737" s="8">
        <v>0</v>
      </c>
      <c r="G1737" s="4">
        <v>1</v>
      </c>
      <c r="H1737" s="8">
        <v>3.7</v>
      </c>
      <c r="I1737" s="4">
        <v>0</v>
      </c>
    </row>
    <row r="1738" spans="1:9" x14ac:dyDescent="0.2">
      <c r="A1738" s="2">
        <v>12</v>
      </c>
      <c r="B1738" s="1" t="s">
        <v>261</v>
      </c>
      <c r="C1738" s="4">
        <v>1</v>
      </c>
      <c r="D1738" s="8">
        <v>1.45</v>
      </c>
      <c r="E1738" s="4">
        <v>0</v>
      </c>
      <c r="F1738" s="8">
        <v>0</v>
      </c>
      <c r="G1738" s="4">
        <v>1</v>
      </c>
      <c r="H1738" s="8">
        <v>3.7</v>
      </c>
      <c r="I1738" s="4">
        <v>0</v>
      </c>
    </row>
    <row r="1739" spans="1:9" x14ac:dyDescent="0.2">
      <c r="A1739" s="2">
        <v>12</v>
      </c>
      <c r="B1739" s="1" t="s">
        <v>216</v>
      </c>
      <c r="C1739" s="4">
        <v>1</v>
      </c>
      <c r="D1739" s="8">
        <v>1.45</v>
      </c>
      <c r="E1739" s="4">
        <v>1</v>
      </c>
      <c r="F1739" s="8">
        <v>2.44</v>
      </c>
      <c r="G1739" s="4">
        <v>0</v>
      </c>
      <c r="H1739" s="8">
        <v>0</v>
      </c>
      <c r="I1739" s="4">
        <v>0</v>
      </c>
    </row>
    <row r="1740" spans="1:9" x14ac:dyDescent="0.2">
      <c r="A1740" s="2">
        <v>12</v>
      </c>
      <c r="B1740" s="1" t="s">
        <v>218</v>
      </c>
      <c r="C1740" s="4">
        <v>1</v>
      </c>
      <c r="D1740" s="8">
        <v>1.45</v>
      </c>
      <c r="E1740" s="4">
        <v>0</v>
      </c>
      <c r="F1740" s="8">
        <v>0</v>
      </c>
      <c r="G1740" s="4">
        <v>1</v>
      </c>
      <c r="H1740" s="8">
        <v>3.7</v>
      </c>
      <c r="I1740" s="4">
        <v>0</v>
      </c>
    </row>
    <row r="1741" spans="1:9" x14ac:dyDescent="0.2">
      <c r="A1741" s="2">
        <v>12</v>
      </c>
      <c r="B1741" s="1" t="s">
        <v>219</v>
      </c>
      <c r="C1741" s="4">
        <v>1</v>
      </c>
      <c r="D1741" s="8">
        <v>1.45</v>
      </c>
      <c r="E1741" s="4">
        <v>0</v>
      </c>
      <c r="F1741" s="8">
        <v>0</v>
      </c>
      <c r="G1741" s="4">
        <v>1</v>
      </c>
      <c r="H1741" s="8">
        <v>3.7</v>
      </c>
      <c r="I1741" s="4">
        <v>0</v>
      </c>
    </row>
    <row r="1742" spans="1:9" x14ac:dyDescent="0.2">
      <c r="A1742" s="2">
        <v>12</v>
      </c>
      <c r="B1742" s="1" t="s">
        <v>220</v>
      </c>
      <c r="C1742" s="4">
        <v>1</v>
      </c>
      <c r="D1742" s="8">
        <v>1.45</v>
      </c>
      <c r="E1742" s="4">
        <v>1</v>
      </c>
      <c r="F1742" s="8">
        <v>2.44</v>
      </c>
      <c r="G1742" s="4">
        <v>0</v>
      </c>
      <c r="H1742" s="8">
        <v>0</v>
      </c>
      <c r="I1742" s="4">
        <v>0</v>
      </c>
    </row>
    <row r="1743" spans="1:9" x14ac:dyDescent="0.2">
      <c r="A1743" s="2">
        <v>12</v>
      </c>
      <c r="B1743" s="1" t="s">
        <v>222</v>
      </c>
      <c r="C1743" s="4">
        <v>1</v>
      </c>
      <c r="D1743" s="8">
        <v>1.45</v>
      </c>
      <c r="E1743" s="4">
        <v>1</v>
      </c>
      <c r="F1743" s="8">
        <v>2.44</v>
      </c>
      <c r="G1743" s="4">
        <v>0</v>
      </c>
      <c r="H1743" s="8">
        <v>0</v>
      </c>
      <c r="I1743" s="4">
        <v>0</v>
      </c>
    </row>
    <row r="1744" spans="1:9" x14ac:dyDescent="0.2">
      <c r="A1744" s="2">
        <v>12</v>
      </c>
      <c r="B1744" s="1" t="s">
        <v>237</v>
      </c>
      <c r="C1744" s="4">
        <v>1</v>
      </c>
      <c r="D1744" s="8">
        <v>1.45</v>
      </c>
      <c r="E1744" s="4">
        <v>1</v>
      </c>
      <c r="F1744" s="8">
        <v>2.44</v>
      </c>
      <c r="G1744" s="4">
        <v>0</v>
      </c>
      <c r="H1744" s="8">
        <v>0</v>
      </c>
      <c r="I1744" s="4">
        <v>0</v>
      </c>
    </row>
    <row r="1745" spans="1:9" x14ac:dyDescent="0.2">
      <c r="A1745" s="2">
        <v>12</v>
      </c>
      <c r="B1745" s="1" t="s">
        <v>224</v>
      </c>
      <c r="C1745" s="4">
        <v>1</v>
      </c>
      <c r="D1745" s="8">
        <v>1.45</v>
      </c>
      <c r="E1745" s="4">
        <v>1</v>
      </c>
      <c r="F1745" s="8">
        <v>2.44</v>
      </c>
      <c r="G1745" s="4">
        <v>0</v>
      </c>
      <c r="H1745" s="8">
        <v>0</v>
      </c>
      <c r="I1745" s="4">
        <v>0</v>
      </c>
    </row>
    <row r="1746" spans="1:9" x14ac:dyDescent="0.2">
      <c r="A1746" s="2">
        <v>12</v>
      </c>
      <c r="B1746" s="1" t="s">
        <v>247</v>
      </c>
      <c r="C1746" s="4">
        <v>1</v>
      </c>
      <c r="D1746" s="8">
        <v>1.45</v>
      </c>
      <c r="E1746" s="4">
        <v>0</v>
      </c>
      <c r="F1746" s="8">
        <v>0</v>
      </c>
      <c r="G1746" s="4">
        <v>1</v>
      </c>
      <c r="H1746" s="8">
        <v>3.7</v>
      </c>
      <c r="I1746" s="4">
        <v>0</v>
      </c>
    </row>
    <row r="1747" spans="1:9" x14ac:dyDescent="0.2">
      <c r="A1747" s="2">
        <v>12</v>
      </c>
      <c r="B1747" s="1" t="s">
        <v>230</v>
      </c>
      <c r="C1747" s="4">
        <v>1</v>
      </c>
      <c r="D1747" s="8">
        <v>1.45</v>
      </c>
      <c r="E1747" s="4">
        <v>1</v>
      </c>
      <c r="F1747" s="8">
        <v>2.44</v>
      </c>
      <c r="G1747" s="4">
        <v>0</v>
      </c>
      <c r="H1747" s="8">
        <v>0</v>
      </c>
      <c r="I1747" s="4">
        <v>0</v>
      </c>
    </row>
    <row r="1748" spans="1:9" x14ac:dyDescent="0.2">
      <c r="A1748" s="2">
        <v>12</v>
      </c>
      <c r="B1748" s="1" t="s">
        <v>240</v>
      </c>
      <c r="C1748" s="4">
        <v>1</v>
      </c>
      <c r="D1748" s="8">
        <v>1.45</v>
      </c>
      <c r="E1748" s="4">
        <v>1</v>
      </c>
      <c r="F1748" s="8">
        <v>2.44</v>
      </c>
      <c r="G1748" s="4">
        <v>0</v>
      </c>
      <c r="H1748" s="8">
        <v>0</v>
      </c>
      <c r="I1748" s="4">
        <v>0</v>
      </c>
    </row>
    <row r="1749" spans="1:9" x14ac:dyDescent="0.2">
      <c r="A1749" s="2">
        <v>12</v>
      </c>
      <c r="B1749" s="1" t="s">
        <v>242</v>
      </c>
      <c r="C1749" s="4">
        <v>1</v>
      </c>
      <c r="D1749" s="8">
        <v>1.45</v>
      </c>
      <c r="E1749" s="4">
        <v>1</v>
      </c>
      <c r="F1749" s="8">
        <v>2.44</v>
      </c>
      <c r="G1749" s="4">
        <v>0</v>
      </c>
      <c r="H1749" s="8">
        <v>0</v>
      </c>
      <c r="I1749" s="4">
        <v>0</v>
      </c>
    </row>
    <row r="1750" spans="1:9" x14ac:dyDescent="0.2">
      <c r="A1750" s="2">
        <v>12</v>
      </c>
      <c r="B1750" s="1" t="s">
        <v>234</v>
      </c>
      <c r="C1750" s="4">
        <v>1</v>
      </c>
      <c r="D1750" s="8">
        <v>1.45</v>
      </c>
      <c r="E1750" s="4">
        <v>0</v>
      </c>
      <c r="F1750" s="8">
        <v>0</v>
      </c>
      <c r="G1750" s="4">
        <v>1</v>
      </c>
      <c r="H1750" s="8">
        <v>3.7</v>
      </c>
      <c r="I1750" s="4">
        <v>0</v>
      </c>
    </row>
    <row r="1751" spans="1:9" x14ac:dyDescent="0.2">
      <c r="A1751" s="1"/>
      <c r="C1751" s="4"/>
      <c r="D1751" s="8"/>
      <c r="E1751" s="4"/>
      <c r="F1751" s="8"/>
      <c r="G1751" s="4"/>
      <c r="H1751" s="8"/>
      <c r="I1751" s="4"/>
    </row>
    <row r="1752" spans="1:9" x14ac:dyDescent="0.2">
      <c r="A1752" s="1" t="s">
        <v>72</v>
      </c>
      <c r="C1752" s="4"/>
      <c r="D1752" s="8"/>
      <c r="E1752" s="4"/>
      <c r="F1752" s="8"/>
      <c r="G1752" s="4"/>
      <c r="H1752" s="8"/>
      <c r="I1752" s="4"/>
    </row>
    <row r="1753" spans="1:9" x14ac:dyDescent="0.2">
      <c r="A1753" s="2">
        <v>1</v>
      </c>
      <c r="B1753" s="1" t="s">
        <v>227</v>
      </c>
      <c r="C1753" s="4">
        <v>12</v>
      </c>
      <c r="D1753" s="8">
        <v>14.12</v>
      </c>
      <c r="E1753" s="4">
        <v>11</v>
      </c>
      <c r="F1753" s="8">
        <v>22.45</v>
      </c>
      <c r="G1753" s="4">
        <v>1</v>
      </c>
      <c r="H1753" s="8">
        <v>2.94</v>
      </c>
      <c r="I1753" s="4">
        <v>0</v>
      </c>
    </row>
    <row r="1754" spans="1:9" x14ac:dyDescent="0.2">
      <c r="A1754" s="2">
        <v>2</v>
      </c>
      <c r="B1754" s="1" t="s">
        <v>228</v>
      </c>
      <c r="C1754" s="4">
        <v>10</v>
      </c>
      <c r="D1754" s="8">
        <v>11.76</v>
      </c>
      <c r="E1754" s="4">
        <v>10</v>
      </c>
      <c r="F1754" s="8">
        <v>20.41</v>
      </c>
      <c r="G1754" s="4">
        <v>0</v>
      </c>
      <c r="H1754" s="8">
        <v>0</v>
      </c>
      <c r="I1754" s="4">
        <v>0</v>
      </c>
    </row>
    <row r="1755" spans="1:9" x14ac:dyDescent="0.2">
      <c r="A1755" s="2">
        <v>3</v>
      </c>
      <c r="B1755" s="1" t="s">
        <v>213</v>
      </c>
      <c r="C1755" s="4">
        <v>8</v>
      </c>
      <c r="D1755" s="8">
        <v>9.41</v>
      </c>
      <c r="E1755" s="4">
        <v>4</v>
      </c>
      <c r="F1755" s="8">
        <v>8.16</v>
      </c>
      <c r="G1755" s="4">
        <v>4</v>
      </c>
      <c r="H1755" s="8">
        <v>11.76</v>
      </c>
      <c r="I1755" s="4">
        <v>0</v>
      </c>
    </row>
    <row r="1756" spans="1:9" x14ac:dyDescent="0.2">
      <c r="A1756" s="2">
        <v>3</v>
      </c>
      <c r="B1756" s="1" t="s">
        <v>221</v>
      </c>
      <c r="C1756" s="4">
        <v>8</v>
      </c>
      <c r="D1756" s="8">
        <v>9.41</v>
      </c>
      <c r="E1756" s="4">
        <v>7</v>
      </c>
      <c r="F1756" s="8">
        <v>14.29</v>
      </c>
      <c r="G1756" s="4">
        <v>1</v>
      </c>
      <c r="H1756" s="8">
        <v>2.94</v>
      </c>
      <c r="I1756" s="4">
        <v>0</v>
      </c>
    </row>
    <row r="1757" spans="1:9" x14ac:dyDescent="0.2">
      <c r="A1757" s="2">
        <v>3</v>
      </c>
      <c r="B1757" s="1" t="s">
        <v>224</v>
      </c>
      <c r="C1757" s="4">
        <v>8</v>
      </c>
      <c r="D1757" s="8">
        <v>9.41</v>
      </c>
      <c r="E1757" s="4">
        <v>4</v>
      </c>
      <c r="F1757" s="8">
        <v>8.16</v>
      </c>
      <c r="G1757" s="4">
        <v>4</v>
      </c>
      <c r="H1757" s="8">
        <v>11.76</v>
      </c>
      <c r="I1757" s="4">
        <v>0</v>
      </c>
    </row>
    <row r="1758" spans="1:9" x14ac:dyDescent="0.2">
      <c r="A1758" s="2">
        <v>6</v>
      </c>
      <c r="B1758" s="1" t="s">
        <v>223</v>
      </c>
      <c r="C1758" s="4">
        <v>7</v>
      </c>
      <c r="D1758" s="8">
        <v>8.24</v>
      </c>
      <c r="E1758" s="4">
        <v>5</v>
      </c>
      <c r="F1758" s="8">
        <v>10.199999999999999</v>
      </c>
      <c r="G1758" s="4">
        <v>2</v>
      </c>
      <c r="H1758" s="8">
        <v>5.88</v>
      </c>
      <c r="I1758" s="4">
        <v>0</v>
      </c>
    </row>
    <row r="1759" spans="1:9" x14ac:dyDescent="0.2">
      <c r="A1759" s="2">
        <v>7</v>
      </c>
      <c r="B1759" s="1" t="s">
        <v>216</v>
      </c>
      <c r="C1759" s="4">
        <v>3</v>
      </c>
      <c r="D1759" s="8">
        <v>3.53</v>
      </c>
      <c r="E1759" s="4">
        <v>1</v>
      </c>
      <c r="F1759" s="8">
        <v>2.04</v>
      </c>
      <c r="G1759" s="4">
        <v>2</v>
      </c>
      <c r="H1759" s="8">
        <v>5.88</v>
      </c>
      <c r="I1759" s="4">
        <v>0</v>
      </c>
    </row>
    <row r="1760" spans="1:9" x14ac:dyDescent="0.2">
      <c r="A1760" s="2">
        <v>7</v>
      </c>
      <c r="B1760" s="1" t="s">
        <v>240</v>
      </c>
      <c r="C1760" s="4">
        <v>3</v>
      </c>
      <c r="D1760" s="8">
        <v>3.53</v>
      </c>
      <c r="E1760" s="4">
        <v>1</v>
      </c>
      <c r="F1760" s="8">
        <v>2.04</v>
      </c>
      <c r="G1760" s="4">
        <v>2</v>
      </c>
      <c r="H1760" s="8">
        <v>5.88</v>
      </c>
      <c r="I1760" s="4">
        <v>0</v>
      </c>
    </row>
    <row r="1761" spans="1:9" x14ac:dyDescent="0.2">
      <c r="A1761" s="2">
        <v>9</v>
      </c>
      <c r="B1761" s="1" t="s">
        <v>215</v>
      </c>
      <c r="C1761" s="4">
        <v>2</v>
      </c>
      <c r="D1761" s="8">
        <v>2.35</v>
      </c>
      <c r="E1761" s="4">
        <v>0</v>
      </c>
      <c r="F1761" s="8">
        <v>0</v>
      </c>
      <c r="G1761" s="4">
        <v>2</v>
      </c>
      <c r="H1761" s="8">
        <v>5.88</v>
      </c>
      <c r="I1761" s="4">
        <v>0</v>
      </c>
    </row>
    <row r="1762" spans="1:9" x14ac:dyDescent="0.2">
      <c r="A1762" s="2">
        <v>9</v>
      </c>
      <c r="B1762" s="1" t="s">
        <v>254</v>
      </c>
      <c r="C1762" s="4">
        <v>2</v>
      </c>
      <c r="D1762" s="8">
        <v>2.35</v>
      </c>
      <c r="E1762" s="4">
        <v>0</v>
      </c>
      <c r="F1762" s="8">
        <v>0</v>
      </c>
      <c r="G1762" s="4">
        <v>2</v>
      </c>
      <c r="H1762" s="8">
        <v>5.88</v>
      </c>
      <c r="I1762" s="4">
        <v>0</v>
      </c>
    </row>
    <row r="1763" spans="1:9" x14ac:dyDescent="0.2">
      <c r="A1763" s="2">
        <v>9</v>
      </c>
      <c r="B1763" s="1" t="s">
        <v>267</v>
      </c>
      <c r="C1763" s="4">
        <v>2</v>
      </c>
      <c r="D1763" s="8">
        <v>2.35</v>
      </c>
      <c r="E1763" s="4">
        <v>0</v>
      </c>
      <c r="F1763" s="8">
        <v>0</v>
      </c>
      <c r="G1763" s="4">
        <v>2</v>
      </c>
      <c r="H1763" s="8">
        <v>5.88</v>
      </c>
      <c r="I1763" s="4">
        <v>0</v>
      </c>
    </row>
    <row r="1764" spans="1:9" x14ac:dyDescent="0.2">
      <c r="A1764" s="2">
        <v>9</v>
      </c>
      <c r="B1764" s="1" t="s">
        <v>246</v>
      </c>
      <c r="C1764" s="4">
        <v>2</v>
      </c>
      <c r="D1764" s="8">
        <v>2.35</v>
      </c>
      <c r="E1764" s="4">
        <v>0</v>
      </c>
      <c r="F1764" s="8">
        <v>0</v>
      </c>
      <c r="G1764" s="4">
        <v>2</v>
      </c>
      <c r="H1764" s="8">
        <v>5.88</v>
      </c>
      <c r="I1764" s="4">
        <v>0</v>
      </c>
    </row>
    <row r="1765" spans="1:9" x14ac:dyDescent="0.2">
      <c r="A1765" s="2">
        <v>9</v>
      </c>
      <c r="B1765" s="1" t="s">
        <v>243</v>
      </c>
      <c r="C1765" s="4">
        <v>2</v>
      </c>
      <c r="D1765" s="8">
        <v>2.35</v>
      </c>
      <c r="E1765" s="4">
        <v>1</v>
      </c>
      <c r="F1765" s="8">
        <v>2.04</v>
      </c>
      <c r="G1765" s="4">
        <v>1</v>
      </c>
      <c r="H1765" s="8">
        <v>2.94</v>
      </c>
      <c r="I1765" s="4">
        <v>0</v>
      </c>
    </row>
    <row r="1766" spans="1:9" x14ac:dyDescent="0.2">
      <c r="A1766" s="2">
        <v>9</v>
      </c>
      <c r="B1766" s="1" t="s">
        <v>239</v>
      </c>
      <c r="C1766" s="4">
        <v>2</v>
      </c>
      <c r="D1766" s="8">
        <v>2.35</v>
      </c>
      <c r="E1766" s="4">
        <v>0</v>
      </c>
      <c r="F1766" s="8">
        <v>0</v>
      </c>
      <c r="G1766" s="4">
        <v>1</v>
      </c>
      <c r="H1766" s="8">
        <v>2.94</v>
      </c>
      <c r="I1766" s="4">
        <v>0</v>
      </c>
    </row>
    <row r="1767" spans="1:9" x14ac:dyDescent="0.2">
      <c r="A1767" s="2">
        <v>9</v>
      </c>
      <c r="B1767" s="1" t="s">
        <v>230</v>
      </c>
      <c r="C1767" s="4">
        <v>2</v>
      </c>
      <c r="D1767" s="8">
        <v>2.35</v>
      </c>
      <c r="E1767" s="4">
        <v>1</v>
      </c>
      <c r="F1767" s="8">
        <v>2.04</v>
      </c>
      <c r="G1767" s="4">
        <v>1</v>
      </c>
      <c r="H1767" s="8">
        <v>2.94</v>
      </c>
      <c r="I1767" s="4">
        <v>0</v>
      </c>
    </row>
    <row r="1768" spans="1:9" x14ac:dyDescent="0.2">
      <c r="A1768" s="2">
        <v>16</v>
      </c>
      <c r="B1768" s="1" t="s">
        <v>214</v>
      </c>
      <c r="C1768" s="4">
        <v>1</v>
      </c>
      <c r="D1768" s="8">
        <v>1.18</v>
      </c>
      <c r="E1768" s="4">
        <v>0</v>
      </c>
      <c r="F1768" s="8">
        <v>0</v>
      </c>
      <c r="G1768" s="4">
        <v>1</v>
      </c>
      <c r="H1768" s="8">
        <v>2.94</v>
      </c>
      <c r="I1768" s="4">
        <v>0</v>
      </c>
    </row>
    <row r="1769" spans="1:9" x14ac:dyDescent="0.2">
      <c r="A1769" s="2">
        <v>16</v>
      </c>
      <c r="B1769" s="1" t="s">
        <v>241</v>
      </c>
      <c r="C1769" s="4">
        <v>1</v>
      </c>
      <c r="D1769" s="8">
        <v>1.18</v>
      </c>
      <c r="E1769" s="4">
        <v>1</v>
      </c>
      <c r="F1769" s="8">
        <v>2.04</v>
      </c>
      <c r="G1769" s="4">
        <v>0</v>
      </c>
      <c r="H1769" s="8">
        <v>0</v>
      </c>
      <c r="I1769" s="4">
        <v>0</v>
      </c>
    </row>
    <row r="1770" spans="1:9" x14ac:dyDescent="0.2">
      <c r="A1770" s="2">
        <v>16</v>
      </c>
      <c r="B1770" s="1" t="s">
        <v>255</v>
      </c>
      <c r="C1770" s="4">
        <v>1</v>
      </c>
      <c r="D1770" s="8">
        <v>1.18</v>
      </c>
      <c r="E1770" s="4">
        <v>0</v>
      </c>
      <c r="F1770" s="8">
        <v>0</v>
      </c>
      <c r="G1770" s="4">
        <v>0</v>
      </c>
      <c r="H1770" s="8">
        <v>0</v>
      </c>
      <c r="I1770" s="4">
        <v>0</v>
      </c>
    </row>
    <row r="1771" spans="1:9" x14ac:dyDescent="0.2">
      <c r="A1771" s="2">
        <v>16</v>
      </c>
      <c r="B1771" s="1" t="s">
        <v>238</v>
      </c>
      <c r="C1771" s="4">
        <v>1</v>
      </c>
      <c r="D1771" s="8">
        <v>1.18</v>
      </c>
      <c r="E1771" s="4">
        <v>0</v>
      </c>
      <c r="F1771" s="8">
        <v>0</v>
      </c>
      <c r="G1771" s="4">
        <v>1</v>
      </c>
      <c r="H1771" s="8">
        <v>2.94</v>
      </c>
      <c r="I1771" s="4">
        <v>0</v>
      </c>
    </row>
    <row r="1772" spans="1:9" x14ac:dyDescent="0.2">
      <c r="A1772" s="2">
        <v>16</v>
      </c>
      <c r="B1772" s="1" t="s">
        <v>248</v>
      </c>
      <c r="C1772" s="4">
        <v>1</v>
      </c>
      <c r="D1772" s="8">
        <v>1.18</v>
      </c>
      <c r="E1772" s="4">
        <v>0</v>
      </c>
      <c r="F1772" s="8">
        <v>0</v>
      </c>
      <c r="G1772" s="4">
        <v>1</v>
      </c>
      <c r="H1772" s="8">
        <v>2.94</v>
      </c>
      <c r="I1772" s="4">
        <v>0</v>
      </c>
    </row>
    <row r="1773" spans="1:9" x14ac:dyDescent="0.2">
      <c r="A1773" s="2">
        <v>16</v>
      </c>
      <c r="B1773" s="1" t="s">
        <v>261</v>
      </c>
      <c r="C1773" s="4">
        <v>1</v>
      </c>
      <c r="D1773" s="8">
        <v>1.18</v>
      </c>
      <c r="E1773" s="4">
        <v>0</v>
      </c>
      <c r="F1773" s="8">
        <v>0</v>
      </c>
      <c r="G1773" s="4">
        <v>1</v>
      </c>
      <c r="H1773" s="8">
        <v>2.94</v>
      </c>
      <c r="I1773" s="4">
        <v>0</v>
      </c>
    </row>
    <row r="1774" spans="1:9" x14ac:dyDescent="0.2">
      <c r="A1774" s="2">
        <v>16</v>
      </c>
      <c r="B1774" s="1" t="s">
        <v>217</v>
      </c>
      <c r="C1774" s="4">
        <v>1</v>
      </c>
      <c r="D1774" s="8">
        <v>1.18</v>
      </c>
      <c r="E1774" s="4">
        <v>1</v>
      </c>
      <c r="F1774" s="8">
        <v>2.04</v>
      </c>
      <c r="G1774" s="4">
        <v>0</v>
      </c>
      <c r="H1774" s="8">
        <v>0</v>
      </c>
      <c r="I1774" s="4">
        <v>0</v>
      </c>
    </row>
    <row r="1775" spans="1:9" x14ac:dyDescent="0.2">
      <c r="A1775" s="2">
        <v>16</v>
      </c>
      <c r="B1775" s="1" t="s">
        <v>220</v>
      </c>
      <c r="C1775" s="4">
        <v>1</v>
      </c>
      <c r="D1775" s="8">
        <v>1.18</v>
      </c>
      <c r="E1775" s="4">
        <v>1</v>
      </c>
      <c r="F1775" s="8">
        <v>2.04</v>
      </c>
      <c r="G1775" s="4">
        <v>0</v>
      </c>
      <c r="H1775" s="8">
        <v>0</v>
      </c>
      <c r="I1775" s="4">
        <v>0</v>
      </c>
    </row>
    <row r="1776" spans="1:9" x14ac:dyDescent="0.2">
      <c r="A1776" s="2">
        <v>16</v>
      </c>
      <c r="B1776" s="1" t="s">
        <v>222</v>
      </c>
      <c r="C1776" s="4">
        <v>1</v>
      </c>
      <c r="D1776" s="8">
        <v>1.18</v>
      </c>
      <c r="E1776" s="4">
        <v>0</v>
      </c>
      <c r="F1776" s="8">
        <v>0</v>
      </c>
      <c r="G1776" s="4">
        <v>1</v>
      </c>
      <c r="H1776" s="8">
        <v>2.94</v>
      </c>
      <c r="I1776" s="4">
        <v>0</v>
      </c>
    </row>
    <row r="1777" spans="1:9" x14ac:dyDescent="0.2">
      <c r="A1777" s="2">
        <v>16</v>
      </c>
      <c r="B1777" s="1" t="s">
        <v>226</v>
      </c>
      <c r="C1777" s="4">
        <v>1</v>
      </c>
      <c r="D1777" s="8">
        <v>1.18</v>
      </c>
      <c r="E1777" s="4">
        <v>0</v>
      </c>
      <c r="F1777" s="8">
        <v>0</v>
      </c>
      <c r="G1777" s="4">
        <v>1</v>
      </c>
      <c r="H1777" s="8">
        <v>2.94</v>
      </c>
      <c r="I1777" s="4">
        <v>0</v>
      </c>
    </row>
    <row r="1778" spans="1:9" x14ac:dyDescent="0.2">
      <c r="A1778" s="2">
        <v>16</v>
      </c>
      <c r="B1778" s="1" t="s">
        <v>231</v>
      </c>
      <c r="C1778" s="4">
        <v>1</v>
      </c>
      <c r="D1778" s="8">
        <v>1.18</v>
      </c>
      <c r="E1778" s="4">
        <v>1</v>
      </c>
      <c r="F1778" s="8">
        <v>2.04</v>
      </c>
      <c r="G1778" s="4">
        <v>0</v>
      </c>
      <c r="H1778" s="8">
        <v>0</v>
      </c>
      <c r="I1778" s="4">
        <v>0</v>
      </c>
    </row>
    <row r="1779" spans="1:9" x14ac:dyDescent="0.2">
      <c r="A1779" s="2">
        <v>16</v>
      </c>
      <c r="B1779" s="1" t="s">
        <v>234</v>
      </c>
      <c r="C1779" s="4">
        <v>1</v>
      </c>
      <c r="D1779" s="8">
        <v>1.18</v>
      </c>
      <c r="E1779" s="4">
        <v>0</v>
      </c>
      <c r="F1779" s="8">
        <v>0</v>
      </c>
      <c r="G1779" s="4">
        <v>1</v>
      </c>
      <c r="H1779" s="8">
        <v>2.94</v>
      </c>
      <c r="I1779" s="4">
        <v>0</v>
      </c>
    </row>
    <row r="1780" spans="1:9" x14ac:dyDescent="0.2">
      <c r="A1780" s="1"/>
      <c r="C1780" s="4"/>
      <c r="D1780" s="8"/>
      <c r="E1780" s="4"/>
      <c r="F1780" s="8"/>
      <c r="G1780" s="4"/>
      <c r="H1780" s="8"/>
      <c r="I1780" s="4"/>
    </row>
    <row r="1781" spans="1:9" x14ac:dyDescent="0.2">
      <c r="A1781" s="1" t="s">
        <v>73</v>
      </c>
      <c r="C1781" s="4"/>
      <c r="D1781" s="8"/>
      <c r="E1781" s="4"/>
      <c r="F1781" s="8"/>
      <c r="G1781" s="4"/>
      <c r="H1781" s="8"/>
      <c r="I1781" s="4"/>
    </row>
    <row r="1782" spans="1:9" x14ac:dyDescent="0.2">
      <c r="A1782" s="2">
        <v>1</v>
      </c>
      <c r="B1782" s="1" t="s">
        <v>227</v>
      </c>
      <c r="C1782" s="4">
        <v>93</v>
      </c>
      <c r="D1782" s="8">
        <v>17.68</v>
      </c>
      <c r="E1782" s="4">
        <v>68</v>
      </c>
      <c r="F1782" s="8">
        <v>25.47</v>
      </c>
      <c r="G1782" s="4">
        <v>25</v>
      </c>
      <c r="H1782" s="8">
        <v>10.08</v>
      </c>
      <c r="I1782" s="4">
        <v>0</v>
      </c>
    </row>
    <row r="1783" spans="1:9" x14ac:dyDescent="0.2">
      <c r="A1783" s="2">
        <v>2</v>
      </c>
      <c r="B1783" s="1" t="s">
        <v>224</v>
      </c>
      <c r="C1783" s="4">
        <v>75</v>
      </c>
      <c r="D1783" s="8">
        <v>14.26</v>
      </c>
      <c r="E1783" s="4">
        <v>49</v>
      </c>
      <c r="F1783" s="8">
        <v>18.350000000000001</v>
      </c>
      <c r="G1783" s="4">
        <v>24</v>
      </c>
      <c r="H1783" s="8">
        <v>9.68</v>
      </c>
      <c r="I1783" s="4">
        <v>0</v>
      </c>
    </row>
    <row r="1784" spans="1:9" x14ac:dyDescent="0.2">
      <c r="A1784" s="2">
        <v>3</v>
      </c>
      <c r="B1784" s="1" t="s">
        <v>243</v>
      </c>
      <c r="C1784" s="4">
        <v>42</v>
      </c>
      <c r="D1784" s="8">
        <v>7.98</v>
      </c>
      <c r="E1784" s="4">
        <v>26</v>
      </c>
      <c r="F1784" s="8">
        <v>9.74</v>
      </c>
      <c r="G1784" s="4">
        <v>16</v>
      </c>
      <c r="H1784" s="8">
        <v>6.45</v>
      </c>
      <c r="I1784" s="4">
        <v>0</v>
      </c>
    </row>
    <row r="1785" spans="1:9" x14ac:dyDescent="0.2">
      <c r="A1785" s="2">
        <v>4</v>
      </c>
      <c r="B1785" s="1" t="s">
        <v>228</v>
      </c>
      <c r="C1785" s="4">
        <v>38</v>
      </c>
      <c r="D1785" s="8">
        <v>7.22</v>
      </c>
      <c r="E1785" s="4">
        <v>30</v>
      </c>
      <c r="F1785" s="8">
        <v>11.24</v>
      </c>
      <c r="G1785" s="4">
        <v>8</v>
      </c>
      <c r="H1785" s="8">
        <v>3.23</v>
      </c>
      <c r="I1785" s="4">
        <v>0</v>
      </c>
    </row>
    <row r="1786" spans="1:9" x14ac:dyDescent="0.2">
      <c r="A1786" s="2">
        <v>5</v>
      </c>
      <c r="B1786" s="1" t="s">
        <v>213</v>
      </c>
      <c r="C1786" s="4">
        <v>22</v>
      </c>
      <c r="D1786" s="8">
        <v>4.18</v>
      </c>
      <c r="E1786" s="4">
        <v>7</v>
      </c>
      <c r="F1786" s="8">
        <v>2.62</v>
      </c>
      <c r="G1786" s="4">
        <v>15</v>
      </c>
      <c r="H1786" s="8">
        <v>6.05</v>
      </c>
      <c r="I1786" s="4">
        <v>0</v>
      </c>
    </row>
    <row r="1787" spans="1:9" x14ac:dyDescent="0.2">
      <c r="A1787" s="2">
        <v>6</v>
      </c>
      <c r="B1787" s="1" t="s">
        <v>230</v>
      </c>
      <c r="C1787" s="4">
        <v>21</v>
      </c>
      <c r="D1787" s="8">
        <v>3.99</v>
      </c>
      <c r="E1787" s="4">
        <v>12</v>
      </c>
      <c r="F1787" s="8">
        <v>4.49</v>
      </c>
      <c r="G1787" s="4">
        <v>6</v>
      </c>
      <c r="H1787" s="8">
        <v>2.42</v>
      </c>
      <c r="I1787" s="4">
        <v>1</v>
      </c>
    </row>
    <row r="1788" spans="1:9" x14ac:dyDescent="0.2">
      <c r="A1788" s="2">
        <v>7</v>
      </c>
      <c r="B1788" s="1" t="s">
        <v>223</v>
      </c>
      <c r="C1788" s="4">
        <v>19</v>
      </c>
      <c r="D1788" s="8">
        <v>3.61</v>
      </c>
      <c r="E1788" s="4">
        <v>6</v>
      </c>
      <c r="F1788" s="8">
        <v>2.25</v>
      </c>
      <c r="G1788" s="4">
        <v>13</v>
      </c>
      <c r="H1788" s="8">
        <v>5.24</v>
      </c>
      <c r="I1788" s="4">
        <v>0</v>
      </c>
    </row>
    <row r="1789" spans="1:9" x14ac:dyDescent="0.2">
      <c r="A1789" s="2">
        <v>8</v>
      </c>
      <c r="B1789" s="1" t="s">
        <v>214</v>
      </c>
      <c r="C1789" s="4">
        <v>18</v>
      </c>
      <c r="D1789" s="8">
        <v>3.42</v>
      </c>
      <c r="E1789" s="4">
        <v>7</v>
      </c>
      <c r="F1789" s="8">
        <v>2.62</v>
      </c>
      <c r="G1789" s="4">
        <v>11</v>
      </c>
      <c r="H1789" s="8">
        <v>4.4400000000000004</v>
      </c>
      <c r="I1789" s="4">
        <v>0</v>
      </c>
    </row>
    <row r="1790" spans="1:9" x14ac:dyDescent="0.2">
      <c r="A1790" s="2">
        <v>9</v>
      </c>
      <c r="B1790" s="1" t="s">
        <v>231</v>
      </c>
      <c r="C1790" s="4">
        <v>16</v>
      </c>
      <c r="D1790" s="8">
        <v>3.04</v>
      </c>
      <c r="E1790" s="4">
        <v>15</v>
      </c>
      <c r="F1790" s="8">
        <v>5.62</v>
      </c>
      <c r="G1790" s="4">
        <v>1</v>
      </c>
      <c r="H1790" s="8">
        <v>0.4</v>
      </c>
      <c r="I1790" s="4">
        <v>0</v>
      </c>
    </row>
    <row r="1791" spans="1:9" x14ac:dyDescent="0.2">
      <c r="A1791" s="2">
        <v>10</v>
      </c>
      <c r="B1791" s="1" t="s">
        <v>221</v>
      </c>
      <c r="C1791" s="4">
        <v>15</v>
      </c>
      <c r="D1791" s="8">
        <v>2.85</v>
      </c>
      <c r="E1791" s="4">
        <v>8</v>
      </c>
      <c r="F1791" s="8">
        <v>3</v>
      </c>
      <c r="G1791" s="4">
        <v>7</v>
      </c>
      <c r="H1791" s="8">
        <v>2.82</v>
      </c>
      <c r="I1791" s="4">
        <v>0</v>
      </c>
    </row>
    <row r="1792" spans="1:9" x14ac:dyDescent="0.2">
      <c r="A1792" s="2">
        <v>11</v>
      </c>
      <c r="B1792" s="1" t="s">
        <v>232</v>
      </c>
      <c r="C1792" s="4">
        <v>13</v>
      </c>
      <c r="D1792" s="8">
        <v>2.4700000000000002</v>
      </c>
      <c r="E1792" s="4">
        <v>0</v>
      </c>
      <c r="F1792" s="8">
        <v>0</v>
      </c>
      <c r="G1792" s="4">
        <v>12</v>
      </c>
      <c r="H1792" s="8">
        <v>4.84</v>
      </c>
      <c r="I1792" s="4">
        <v>0</v>
      </c>
    </row>
    <row r="1793" spans="1:9" x14ac:dyDescent="0.2">
      <c r="A1793" s="2">
        <v>12</v>
      </c>
      <c r="B1793" s="1" t="s">
        <v>233</v>
      </c>
      <c r="C1793" s="4">
        <v>11</v>
      </c>
      <c r="D1793" s="8">
        <v>2.09</v>
      </c>
      <c r="E1793" s="4">
        <v>0</v>
      </c>
      <c r="F1793" s="8">
        <v>0</v>
      </c>
      <c r="G1793" s="4">
        <v>11</v>
      </c>
      <c r="H1793" s="8">
        <v>4.4400000000000004</v>
      </c>
      <c r="I1793" s="4">
        <v>0</v>
      </c>
    </row>
    <row r="1794" spans="1:9" x14ac:dyDescent="0.2">
      <c r="A1794" s="2">
        <v>13</v>
      </c>
      <c r="B1794" s="1" t="s">
        <v>220</v>
      </c>
      <c r="C1794" s="4">
        <v>10</v>
      </c>
      <c r="D1794" s="8">
        <v>1.9</v>
      </c>
      <c r="E1794" s="4">
        <v>5</v>
      </c>
      <c r="F1794" s="8">
        <v>1.87</v>
      </c>
      <c r="G1794" s="4">
        <v>5</v>
      </c>
      <c r="H1794" s="8">
        <v>2.02</v>
      </c>
      <c r="I1794" s="4">
        <v>0</v>
      </c>
    </row>
    <row r="1795" spans="1:9" x14ac:dyDescent="0.2">
      <c r="A1795" s="2">
        <v>13</v>
      </c>
      <c r="B1795" s="1" t="s">
        <v>225</v>
      </c>
      <c r="C1795" s="4">
        <v>10</v>
      </c>
      <c r="D1795" s="8">
        <v>1.9</v>
      </c>
      <c r="E1795" s="4">
        <v>6</v>
      </c>
      <c r="F1795" s="8">
        <v>2.25</v>
      </c>
      <c r="G1795" s="4">
        <v>3</v>
      </c>
      <c r="H1795" s="8">
        <v>1.21</v>
      </c>
      <c r="I1795" s="4">
        <v>1</v>
      </c>
    </row>
    <row r="1796" spans="1:9" x14ac:dyDescent="0.2">
      <c r="A1796" s="2">
        <v>13</v>
      </c>
      <c r="B1796" s="1" t="s">
        <v>226</v>
      </c>
      <c r="C1796" s="4">
        <v>10</v>
      </c>
      <c r="D1796" s="8">
        <v>1.9</v>
      </c>
      <c r="E1796" s="4">
        <v>4</v>
      </c>
      <c r="F1796" s="8">
        <v>1.5</v>
      </c>
      <c r="G1796" s="4">
        <v>6</v>
      </c>
      <c r="H1796" s="8">
        <v>2.42</v>
      </c>
      <c r="I1796" s="4">
        <v>0</v>
      </c>
    </row>
    <row r="1797" spans="1:9" x14ac:dyDescent="0.2">
      <c r="A1797" s="2">
        <v>13</v>
      </c>
      <c r="B1797" s="1" t="s">
        <v>229</v>
      </c>
      <c r="C1797" s="4">
        <v>10</v>
      </c>
      <c r="D1797" s="8">
        <v>1.9</v>
      </c>
      <c r="E1797" s="4">
        <v>4</v>
      </c>
      <c r="F1797" s="8">
        <v>1.5</v>
      </c>
      <c r="G1797" s="4">
        <v>5</v>
      </c>
      <c r="H1797" s="8">
        <v>2.02</v>
      </c>
      <c r="I1797" s="4">
        <v>0</v>
      </c>
    </row>
    <row r="1798" spans="1:9" x14ac:dyDescent="0.2">
      <c r="A1798" s="2">
        <v>17</v>
      </c>
      <c r="B1798" s="1" t="s">
        <v>215</v>
      </c>
      <c r="C1798" s="4">
        <v>9</v>
      </c>
      <c r="D1798" s="8">
        <v>1.71</v>
      </c>
      <c r="E1798" s="4">
        <v>1</v>
      </c>
      <c r="F1798" s="8">
        <v>0.37</v>
      </c>
      <c r="G1798" s="4">
        <v>8</v>
      </c>
      <c r="H1798" s="8">
        <v>3.23</v>
      </c>
      <c r="I1798" s="4">
        <v>0</v>
      </c>
    </row>
    <row r="1799" spans="1:9" x14ac:dyDescent="0.2">
      <c r="A1799" s="2">
        <v>17</v>
      </c>
      <c r="B1799" s="1" t="s">
        <v>218</v>
      </c>
      <c r="C1799" s="4">
        <v>9</v>
      </c>
      <c r="D1799" s="8">
        <v>1.71</v>
      </c>
      <c r="E1799" s="4">
        <v>0</v>
      </c>
      <c r="F1799" s="8">
        <v>0</v>
      </c>
      <c r="G1799" s="4">
        <v>9</v>
      </c>
      <c r="H1799" s="8">
        <v>3.63</v>
      </c>
      <c r="I1799" s="4">
        <v>0</v>
      </c>
    </row>
    <row r="1800" spans="1:9" x14ac:dyDescent="0.2">
      <c r="A1800" s="2">
        <v>17</v>
      </c>
      <c r="B1800" s="1" t="s">
        <v>247</v>
      </c>
      <c r="C1800" s="4">
        <v>9</v>
      </c>
      <c r="D1800" s="8">
        <v>1.71</v>
      </c>
      <c r="E1800" s="4">
        <v>3</v>
      </c>
      <c r="F1800" s="8">
        <v>1.1200000000000001</v>
      </c>
      <c r="G1800" s="4">
        <v>5</v>
      </c>
      <c r="H1800" s="8">
        <v>2.02</v>
      </c>
      <c r="I1800" s="4">
        <v>0</v>
      </c>
    </row>
    <row r="1801" spans="1:9" x14ac:dyDescent="0.2">
      <c r="A1801" s="2">
        <v>17</v>
      </c>
      <c r="B1801" s="1" t="s">
        <v>240</v>
      </c>
      <c r="C1801" s="4">
        <v>9</v>
      </c>
      <c r="D1801" s="8">
        <v>1.71</v>
      </c>
      <c r="E1801" s="4">
        <v>4</v>
      </c>
      <c r="F1801" s="8">
        <v>1.5</v>
      </c>
      <c r="G1801" s="4">
        <v>5</v>
      </c>
      <c r="H1801" s="8">
        <v>2.02</v>
      </c>
      <c r="I1801" s="4">
        <v>0</v>
      </c>
    </row>
    <row r="1802" spans="1:9" x14ac:dyDescent="0.2">
      <c r="A1802" s="1"/>
      <c r="C1802" s="4"/>
      <c r="D1802" s="8"/>
      <c r="E1802" s="4"/>
      <c r="F1802" s="8"/>
      <c r="G1802" s="4"/>
      <c r="H1802" s="8"/>
      <c r="I1802" s="4"/>
    </row>
    <row r="1803" spans="1:9" x14ac:dyDescent="0.2">
      <c r="A1803" s="1" t="s">
        <v>74</v>
      </c>
      <c r="C1803" s="4"/>
      <c r="D1803" s="8"/>
      <c r="E1803" s="4"/>
      <c r="F1803" s="8"/>
      <c r="G1803" s="4"/>
      <c r="H1803" s="8"/>
      <c r="I1803" s="4"/>
    </row>
    <row r="1804" spans="1:9" x14ac:dyDescent="0.2">
      <c r="A1804" s="2">
        <v>1</v>
      </c>
      <c r="B1804" s="1" t="s">
        <v>243</v>
      </c>
      <c r="C1804" s="4">
        <v>11</v>
      </c>
      <c r="D1804" s="8">
        <v>9.48</v>
      </c>
      <c r="E1804" s="4">
        <v>3</v>
      </c>
      <c r="F1804" s="8">
        <v>8.33</v>
      </c>
      <c r="G1804" s="4">
        <v>8</v>
      </c>
      <c r="H1804" s="8">
        <v>12.7</v>
      </c>
      <c r="I1804" s="4">
        <v>0</v>
      </c>
    </row>
    <row r="1805" spans="1:9" x14ac:dyDescent="0.2">
      <c r="A1805" s="2">
        <v>2</v>
      </c>
      <c r="B1805" s="1" t="s">
        <v>228</v>
      </c>
      <c r="C1805" s="4">
        <v>10</v>
      </c>
      <c r="D1805" s="8">
        <v>8.6199999999999992</v>
      </c>
      <c r="E1805" s="4">
        <v>8</v>
      </c>
      <c r="F1805" s="8">
        <v>22.22</v>
      </c>
      <c r="G1805" s="4">
        <v>2</v>
      </c>
      <c r="H1805" s="8">
        <v>3.17</v>
      </c>
      <c r="I1805" s="4">
        <v>0</v>
      </c>
    </row>
    <row r="1806" spans="1:9" x14ac:dyDescent="0.2">
      <c r="A1806" s="2">
        <v>3</v>
      </c>
      <c r="B1806" s="1" t="s">
        <v>213</v>
      </c>
      <c r="C1806" s="4">
        <v>9</v>
      </c>
      <c r="D1806" s="8">
        <v>7.76</v>
      </c>
      <c r="E1806" s="4">
        <v>0</v>
      </c>
      <c r="F1806" s="8">
        <v>0</v>
      </c>
      <c r="G1806" s="4">
        <v>9</v>
      </c>
      <c r="H1806" s="8">
        <v>14.29</v>
      </c>
      <c r="I1806" s="4">
        <v>0</v>
      </c>
    </row>
    <row r="1807" spans="1:9" x14ac:dyDescent="0.2">
      <c r="A1807" s="2">
        <v>3</v>
      </c>
      <c r="B1807" s="1" t="s">
        <v>223</v>
      </c>
      <c r="C1807" s="4">
        <v>9</v>
      </c>
      <c r="D1807" s="8">
        <v>7.76</v>
      </c>
      <c r="E1807" s="4">
        <v>0</v>
      </c>
      <c r="F1807" s="8">
        <v>0</v>
      </c>
      <c r="G1807" s="4">
        <v>9</v>
      </c>
      <c r="H1807" s="8">
        <v>14.29</v>
      </c>
      <c r="I1807" s="4">
        <v>0</v>
      </c>
    </row>
    <row r="1808" spans="1:9" x14ac:dyDescent="0.2">
      <c r="A1808" s="2">
        <v>5</v>
      </c>
      <c r="B1808" s="1" t="s">
        <v>214</v>
      </c>
      <c r="C1808" s="4">
        <v>6</v>
      </c>
      <c r="D1808" s="8">
        <v>5.17</v>
      </c>
      <c r="E1808" s="4">
        <v>2</v>
      </c>
      <c r="F1808" s="8">
        <v>5.56</v>
      </c>
      <c r="G1808" s="4">
        <v>4</v>
      </c>
      <c r="H1808" s="8">
        <v>6.35</v>
      </c>
      <c r="I1808" s="4">
        <v>0</v>
      </c>
    </row>
    <row r="1809" spans="1:9" x14ac:dyDescent="0.2">
      <c r="A1809" s="2">
        <v>5</v>
      </c>
      <c r="B1809" s="1" t="s">
        <v>232</v>
      </c>
      <c r="C1809" s="4">
        <v>6</v>
      </c>
      <c r="D1809" s="8">
        <v>5.17</v>
      </c>
      <c r="E1809" s="4">
        <v>0</v>
      </c>
      <c r="F1809" s="8">
        <v>0</v>
      </c>
      <c r="G1809" s="4">
        <v>0</v>
      </c>
      <c r="H1809" s="8">
        <v>0</v>
      </c>
      <c r="I1809" s="4">
        <v>0</v>
      </c>
    </row>
    <row r="1810" spans="1:9" x14ac:dyDescent="0.2">
      <c r="A1810" s="2">
        <v>7</v>
      </c>
      <c r="B1810" s="1" t="s">
        <v>224</v>
      </c>
      <c r="C1810" s="4">
        <v>5</v>
      </c>
      <c r="D1810" s="8">
        <v>4.3099999999999996</v>
      </c>
      <c r="E1810" s="4">
        <v>3</v>
      </c>
      <c r="F1810" s="8">
        <v>8.33</v>
      </c>
      <c r="G1810" s="4">
        <v>1</v>
      </c>
      <c r="H1810" s="8">
        <v>1.59</v>
      </c>
      <c r="I1810" s="4">
        <v>0</v>
      </c>
    </row>
    <row r="1811" spans="1:9" x14ac:dyDescent="0.2">
      <c r="A1811" s="2">
        <v>7</v>
      </c>
      <c r="B1811" s="1" t="s">
        <v>227</v>
      </c>
      <c r="C1811" s="4">
        <v>5</v>
      </c>
      <c r="D1811" s="8">
        <v>4.3099999999999996</v>
      </c>
      <c r="E1811" s="4">
        <v>4</v>
      </c>
      <c r="F1811" s="8">
        <v>11.11</v>
      </c>
      <c r="G1811" s="4">
        <v>1</v>
      </c>
      <c r="H1811" s="8">
        <v>1.59</v>
      </c>
      <c r="I1811" s="4">
        <v>0</v>
      </c>
    </row>
    <row r="1812" spans="1:9" x14ac:dyDescent="0.2">
      <c r="A1812" s="2">
        <v>7</v>
      </c>
      <c r="B1812" s="1" t="s">
        <v>250</v>
      </c>
      <c r="C1812" s="4">
        <v>5</v>
      </c>
      <c r="D1812" s="8">
        <v>4.3099999999999996</v>
      </c>
      <c r="E1812" s="4">
        <v>0</v>
      </c>
      <c r="F1812" s="8">
        <v>0</v>
      </c>
      <c r="G1812" s="4">
        <v>0</v>
      </c>
      <c r="H1812" s="8">
        <v>0</v>
      </c>
      <c r="I1812" s="4">
        <v>0</v>
      </c>
    </row>
    <row r="1813" spans="1:9" x14ac:dyDescent="0.2">
      <c r="A1813" s="2">
        <v>10</v>
      </c>
      <c r="B1813" s="1" t="s">
        <v>221</v>
      </c>
      <c r="C1813" s="4">
        <v>4</v>
      </c>
      <c r="D1813" s="8">
        <v>3.45</v>
      </c>
      <c r="E1813" s="4">
        <v>4</v>
      </c>
      <c r="F1813" s="8">
        <v>11.11</v>
      </c>
      <c r="G1813" s="4">
        <v>0</v>
      </c>
      <c r="H1813" s="8">
        <v>0</v>
      </c>
      <c r="I1813" s="4">
        <v>0</v>
      </c>
    </row>
    <row r="1814" spans="1:9" x14ac:dyDescent="0.2">
      <c r="A1814" s="2">
        <v>11</v>
      </c>
      <c r="B1814" s="1" t="s">
        <v>215</v>
      </c>
      <c r="C1814" s="4">
        <v>3</v>
      </c>
      <c r="D1814" s="8">
        <v>2.59</v>
      </c>
      <c r="E1814" s="4">
        <v>1</v>
      </c>
      <c r="F1814" s="8">
        <v>2.78</v>
      </c>
      <c r="G1814" s="4">
        <v>2</v>
      </c>
      <c r="H1814" s="8">
        <v>3.17</v>
      </c>
      <c r="I1814" s="4">
        <v>0</v>
      </c>
    </row>
    <row r="1815" spans="1:9" x14ac:dyDescent="0.2">
      <c r="A1815" s="2">
        <v>11</v>
      </c>
      <c r="B1815" s="1" t="s">
        <v>264</v>
      </c>
      <c r="C1815" s="4">
        <v>3</v>
      </c>
      <c r="D1815" s="8">
        <v>2.59</v>
      </c>
      <c r="E1815" s="4">
        <v>0</v>
      </c>
      <c r="F1815" s="8">
        <v>0</v>
      </c>
      <c r="G1815" s="4">
        <v>3</v>
      </c>
      <c r="H1815" s="8">
        <v>4.76</v>
      </c>
      <c r="I1815" s="4">
        <v>0</v>
      </c>
    </row>
    <row r="1816" spans="1:9" x14ac:dyDescent="0.2">
      <c r="A1816" s="2">
        <v>11</v>
      </c>
      <c r="B1816" s="1" t="s">
        <v>230</v>
      </c>
      <c r="C1816" s="4">
        <v>3</v>
      </c>
      <c r="D1816" s="8">
        <v>2.59</v>
      </c>
      <c r="E1816" s="4">
        <v>1</v>
      </c>
      <c r="F1816" s="8">
        <v>2.78</v>
      </c>
      <c r="G1816" s="4">
        <v>0</v>
      </c>
      <c r="H1816" s="8">
        <v>0</v>
      </c>
      <c r="I1816" s="4">
        <v>0</v>
      </c>
    </row>
    <row r="1817" spans="1:9" x14ac:dyDescent="0.2">
      <c r="A1817" s="2">
        <v>11</v>
      </c>
      <c r="B1817" s="1" t="s">
        <v>240</v>
      </c>
      <c r="C1817" s="4">
        <v>3</v>
      </c>
      <c r="D1817" s="8">
        <v>2.59</v>
      </c>
      <c r="E1817" s="4">
        <v>2</v>
      </c>
      <c r="F1817" s="8">
        <v>5.56</v>
      </c>
      <c r="G1817" s="4">
        <v>1</v>
      </c>
      <c r="H1817" s="8">
        <v>1.59</v>
      </c>
      <c r="I1817" s="4">
        <v>0</v>
      </c>
    </row>
    <row r="1818" spans="1:9" x14ac:dyDescent="0.2">
      <c r="A1818" s="2">
        <v>11</v>
      </c>
      <c r="B1818" s="1" t="s">
        <v>242</v>
      </c>
      <c r="C1818" s="4">
        <v>3</v>
      </c>
      <c r="D1818" s="8">
        <v>2.59</v>
      </c>
      <c r="E1818" s="4">
        <v>2</v>
      </c>
      <c r="F1818" s="8">
        <v>5.56</v>
      </c>
      <c r="G1818" s="4">
        <v>1</v>
      </c>
      <c r="H1818" s="8">
        <v>1.59</v>
      </c>
      <c r="I1818" s="4">
        <v>0</v>
      </c>
    </row>
    <row r="1819" spans="1:9" x14ac:dyDescent="0.2">
      <c r="A1819" s="2">
        <v>16</v>
      </c>
      <c r="B1819" s="1" t="s">
        <v>241</v>
      </c>
      <c r="C1819" s="4">
        <v>2</v>
      </c>
      <c r="D1819" s="8">
        <v>1.72</v>
      </c>
      <c r="E1819" s="4">
        <v>1</v>
      </c>
      <c r="F1819" s="8">
        <v>2.78</v>
      </c>
      <c r="G1819" s="4">
        <v>1</v>
      </c>
      <c r="H1819" s="8">
        <v>1.59</v>
      </c>
      <c r="I1819" s="4">
        <v>0</v>
      </c>
    </row>
    <row r="1820" spans="1:9" x14ac:dyDescent="0.2">
      <c r="A1820" s="2">
        <v>16</v>
      </c>
      <c r="B1820" s="1" t="s">
        <v>268</v>
      </c>
      <c r="C1820" s="4">
        <v>2</v>
      </c>
      <c r="D1820" s="8">
        <v>1.72</v>
      </c>
      <c r="E1820" s="4">
        <v>1</v>
      </c>
      <c r="F1820" s="8">
        <v>2.78</v>
      </c>
      <c r="G1820" s="4">
        <v>1</v>
      </c>
      <c r="H1820" s="8">
        <v>1.59</v>
      </c>
      <c r="I1820" s="4">
        <v>0</v>
      </c>
    </row>
    <row r="1821" spans="1:9" x14ac:dyDescent="0.2">
      <c r="A1821" s="2">
        <v>16</v>
      </c>
      <c r="B1821" s="1" t="s">
        <v>248</v>
      </c>
      <c r="C1821" s="4">
        <v>2</v>
      </c>
      <c r="D1821" s="8">
        <v>1.72</v>
      </c>
      <c r="E1821" s="4">
        <v>0</v>
      </c>
      <c r="F1821" s="8">
        <v>0</v>
      </c>
      <c r="G1821" s="4">
        <v>1</v>
      </c>
      <c r="H1821" s="8">
        <v>1.59</v>
      </c>
      <c r="I1821" s="4">
        <v>1</v>
      </c>
    </row>
    <row r="1822" spans="1:9" x14ac:dyDescent="0.2">
      <c r="A1822" s="2">
        <v>16</v>
      </c>
      <c r="B1822" s="1" t="s">
        <v>216</v>
      </c>
      <c r="C1822" s="4">
        <v>2</v>
      </c>
      <c r="D1822" s="8">
        <v>1.72</v>
      </c>
      <c r="E1822" s="4">
        <v>0</v>
      </c>
      <c r="F1822" s="8">
        <v>0</v>
      </c>
      <c r="G1822" s="4">
        <v>2</v>
      </c>
      <c r="H1822" s="8">
        <v>3.17</v>
      </c>
      <c r="I1822" s="4">
        <v>0</v>
      </c>
    </row>
    <row r="1823" spans="1:9" x14ac:dyDescent="0.2">
      <c r="A1823" s="2">
        <v>16</v>
      </c>
      <c r="B1823" s="1" t="s">
        <v>217</v>
      </c>
      <c r="C1823" s="4">
        <v>2</v>
      </c>
      <c r="D1823" s="8">
        <v>1.72</v>
      </c>
      <c r="E1823" s="4">
        <v>0</v>
      </c>
      <c r="F1823" s="8">
        <v>0</v>
      </c>
      <c r="G1823" s="4">
        <v>2</v>
      </c>
      <c r="H1823" s="8">
        <v>3.17</v>
      </c>
      <c r="I1823" s="4">
        <v>0</v>
      </c>
    </row>
    <row r="1824" spans="1:9" x14ac:dyDescent="0.2">
      <c r="A1824" s="2">
        <v>16</v>
      </c>
      <c r="B1824" s="1" t="s">
        <v>219</v>
      </c>
      <c r="C1824" s="4">
        <v>2</v>
      </c>
      <c r="D1824" s="8">
        <v>1.72</v>
      </c>
      <c r="E1824" s="4">
        <v>0</v>
      </c>
      <c r="F1824" s="8">
        <v>0</v>
      </c>
      <c r="G1824" s="4">
        <v>2</v>
      </c>
      <c r="H1824" s="8">
        <v>3.17</v>
      </c>
      <c r="I1824" s="4">
        <v>0</v>
      </c>
    </row>
    <row r="1825" spans="1:9" x14ac:dyDescent="0.2">
      <c r="A1825" s="2">
        <v>16</v>
      </c>
      <c r="B1825" s="1" t="s">
        <v>246</v>
      </c>
      <c r="C1825" s="4">
        <v>2</v>
      </c>
      <c r="D1825" s="8">
        <v>1.72</v>
      </c>
      <c r="E1825" s="4">
        <v>2</v>
      </c>
      <c r="F1825" s="8">
        <v>5.56</v>
      </c>
      <c r="G1825" s="4">
        <v>0</v>
      </c>
      <c r="H1825" s="8">
        <v>0</v>
      </c>
      <c r="I1825" s="4">
        <v>0</v>
      </c>
    </row>
    <row r="1826" spans="1:9" x14ac:dyDescent="0.2">
      <c r="A1826" s="2">
        <v>16</v>
      </c>
      <c r="B1826" s="1" t="s">
        <v>231</v>
      </c>
      <c r="C1826" s="4">
        <v>2</v>
      </c>
      <c r="D1826" s="8">
        <v>1.72</v>
      </c>
      <c r="E1826" s="4">
        <v>1</v>
      </c>
      <c r="F1826" s="8">
        <v>2.78</v>
      </c>
      <c r="G1826" s="4">
        <v>1</v>
      </c>
      <c r="H1826" s="8">
        <v>1.59</v>
      </c>
      <c r="I1826" s="4">
        <v>0</v>
      </c>
    </row>
    <row r="1827" spans="1:9" x14ac:dyDescent="0.2">
      <c r="A1827" s="1"/>
      <c r="C1827" s="4"/>
      <c r="D1827" s="8"/>
      <c r="E1827" s="4"/>
      <c r="F1827" s="8"/>
      <c r="G1827" s="4"/>
      <c r="H1827" s="8"/>
      <c r="I1827" s="4"/>
    </row>
    <row r="1828" spans="1:9" x14ac:dyDescent="0.2">
      <c r="A1828" s="1" t="s">
        <v>75</v>
      </c>
      <c r="C1828" s="4"/>
      <c r="D1828" s="8"/>
      <c r="E1828" s="4"/>
      <c r="F1828" s="8"/>
      <c r="G1828" s="4"/>
      <c r="H1828" s="8"/>
      <c r="I1828" s="4"/>
    </row>
    <row r="1829" spans="1:9" x14ac:dyDescent="0.2">
      <c r="A1829" s="2">
        <v>1</v>
      </c>
      <c r="B1829" s="1" t="s">
        <v>227</v>
      </c>
      <c r="C1829" s="4">
        <v>76</v>
      </c>
      <c r="D1829" s="8">
        <v>16.7</v>
      </c>
      <c r="E1829" s="4">
        <v>61</v>
      </c>
      <c r="F1829" s="8">
        <v>23.02</v>
      </c>
      <c r="G1829" s="4">
        <v>15</v>
      </c>
      <c r="H1829" s="8">
        <v>8.33</v>
      </c>
      <c r="I1829" s="4">
        <v>0</v>
      </c>
    </row>
    <row r="1830" spans="1:9" x14ac:dyDescent="0.2">
      <c r="A1830" s="2">
        <v>2</v>
      </c>
      <c r="B1830" s="1" t="s">
        <v>224</v>
      </c>
      <c r="C1830" s="4">
        <v>52</v>
      </c>
      <c r="D1830" s="8">
        <v>11.43</v>
      </c>
      <c r="E1830" s="4">
        <v>39</v>
      </c>
      <c r="F1830" s="8">
        <v>14.72</v>
      </c>
      <c r="G1830" s="4">
        <v>13</v>
      </c>
      <c r="H1830" s="8">
        <v>7.22</v>
      </c>
      <c r="I1830" s="4">
        <v>0</v>
      </c>
    </row>
    <row r="1831" spans="1:9" x14ac:dyDescent="0.2">
      <c r="A1831" s="2">
        <v>2</v>
      </c>
      <c r="B1831" s="1" t="s">
        <v>228</v>
      </c>
      <c r="C1831" s="4">
        <v>52</v>
      </c>
      <c r="D1831" s="8">
        <v>11.43</v>
      </c>
      <c r="E1831" s="4">
        <v>47</v>
      </c>
      <c r="F1831" s="8">
        <v>17.739999999999998</v>
      </c>
      <c r="G1831" s="4">
        <v>5</v>
      </c>
      <c r="H1831" s="8">
        <v>2.78</v>
      </c>
      <c r="I1831" s="4">
        <v>0</v>
      </c>
    </row>
    <row r="1832" spans="1:9" x14ac:dyDescent="0.2">
      <c r="A1832" s="2">
        <v>4</v>
      </c>
      <c r="B1832" s="1" t="s">
        <v>223</v>
      </c>
      <c r="C1832" s="4">
        <v>36</v>
      </c>
      <c r="D1832" s="8">
        <v>7.91</v>
      </c>
      <c r="E1832" s="4">
        <v>15</v>
      </c>
      <c r="F1832" s="8">
        <v>5.66</v>
      </c>
      <c r="G1832" s="4">
        <v>21</v>
      </c>
      <c r="H1832" s="8">
        <v>11.67</v>
      </c>
      <c r="I1832" s="4">
        <v>0</v>
      </c>
    </row>
    <row r="1833" spans="1:9" x14ac:dyDescent="0.2">
      <c r="A1833" s="2">
        <v>5</v>
      </c>
      <c r="B1833" s="1" t="s">
        <v>221</v>
      </c>
      <c r="C1833" s="4">
        <v>26</v>
      </c>
      <c r="D1833" s="8">
        <v>5.71</v>
      </c>
      <c r="E1833" s="4">
        <v>16</v>
      </c>
      <c r="F1833" s="8">
        <v>6.04</v>
      </c>
      <c r="G1833" s="4">
        <v>10</v>
      </c>
      <c r="H1833" s="8">
        <v>5.56</v>
      </c>
      <c r="I1833" s="4">
        <v>0</v>
      </c>
    </row>
    <row r="1834" spans="1:9" x14ac:dyDescent="0.2">
      <c r="A1834" s="2">
        <v>6</v>
      </c>
      <c r="B1834" s="1" t="s">
        <v>213</v>
      </c>
      <c r="C1834" s="4">
        <v>18</v>
      </c>
      <c r="D1834" s="8">
        <v>3.96</v>
      </c>
      <c r="E1834" s="4">
        <v>4</v>
      </c>
      <c r="F1834" s="8">
        <v>1.51</v>
      </c>
      <c r="G1834" s="4">
        <v>14</v>
      </c>
      <c r="H1834" s="8">
        <v>7.78</v>
      </c>
      <c r="I1834" s="4">
        <v>0</v>
      </c>
    </row>
    <row r="1835" spans="1:9" x14ac:dyDescent="0.2">
      <c r="A1835" s="2">
        <v>6</v>
      </c>
      <c r="B1835" s="1" t="s">
        <v>214</v>
      </c>
      <c r="C1835" s="4">
        <v>18</v>
      </c>
      <c r="D1835" s="8">
        <v>3.96</v>
      </c>
      <c r="E1835" s="4">
        <v>12</v>
      </c>
      <c r="F1835" s="8">
        <v>4.53</v>
      </c>
      <c r="G1835" s="4">
        <v>6</v>
      </c>
      <c r="H1835" s="8">
        <v>3.33</v>
      </c>
      <c r="I1835" s="4">
        <v>0</v>
      </c>
    </row>
    <row r="1836" spans="1:9" x14ac:dyDescent="0.2">
      <c r="A1836" s="2">
        <v>8</v>
      </c>
      <c r="B1836" s="1" t="s">
        <v>231</v>
      </c>
      <c r="C1836" s="4">
        <v>16</v>
      </c>
      <c r="D1836" s="8">
        <v>3.52</v>
      </c>
      <c r="E1836" s="4">
        <v>16</v>
      </c>
      <c r="F1836" s="8">
        <v>6.04</v>
      </c>
      <c r="G1836" s="4">
        <v>0</v>
      </c>
      <c r="H1836" s="8">
        <v>0</v>
      </c>
      <c r="I1836" s="4">
        <v>0</v>
      </c>
    </row>
    <row r="1837" spans="1:9" x14ac:dyDescent="0.2">
      <c r="A1837" s="2">
        <v>9</v>
      </c>
      <c r="B1837" s="1" t="s">
        <v>215</v>
      </c>
      <c r="C1837" s="4">
        <v>14</v>
      </c>
      <c r="D1837" s="8">
        <v>3.08</v>
      </c>
      <c r="E1837" s="4">
        <v>7</v>
      </c>
      <c r="F1837" s="8">
        <v>2.64</v>
      </c>
      <c r="G1837" s="4">
        <v>7</v>
      </c>
      <c r="H1837" s="8">
        <v>3.89</v>
      </c>
      <c r="I1837" s="4">
        <v>0</v>
      </c>
    </row>
    <row r="1838" spans="1:9" x14ac:dyDescent="0.2">
      <c r="A1838" s="2">
        <v>9</v>
      </c>
      <c r="B1838" s="1" t="s">
        <v>220</v>
      </c>
      <c r="C1838" s="4">
        <v>14</v>
      </c>
      <c r="D1838" s="8">
        <v>3.08</v>
      </c>
      <c r="E1838" s="4">
        <v>9</v>
      </c>
      <c r="F1838" s="8">
        <v>3.4</v>
      </c>
      <c r="G1838" s="4">
        <v>5</v>
      </c>
      <c r="H1838" s="8">
        <v>2.78</v>
      </c>
      <c r="I1838" s="4">
        <v>0</v>
      </c>
    </row>
    <row r="1839" spans="1:9" x14ac:dyDescent="0.2">
      <c r="A1839" s="2">
        <v>11</v>
      </c>
      <c r="B1839" s="1" t="s">
        <v>222</v>
      </c>
      <c r="C1839" s="4">
        <v>12</v>
      </c>
      <c r="D1839" s="8">
        <v>2.64</v>
      </c>
      <c r="E1839" s="4">
        <v>6</v>
      </c>
      <c r="F1839" s="8">
        <v>2.2599999999999998</v>
      </c>
      <c r="G1839" s="4">
        <v>6</v>
      </c>
      <c r="H1839" s="8">
        <v>3.33</v>
      </c>
      <c r="I1839" s="4">
        <v>0</v>
      </c>
    </row>
    <row r="1840" spans="1:9" x14ac:dyDescent="0.2">
      <c r="A1840" s="2">
        <v>12</v>
      </c>
      <c r="B1840" s="1" t="s">
        <v>230</v>
      </c>
      <c r="C1840" s="4">
        <v>11</v>
      </c>
      <c r="D1840" s="8">
        <v>2.42</v>
      </c>
      <c r="E1840" s="4">
        <v>4</v>
      </c>
      <c r="F1840" s="8">
        <v>1.51</v>
      </c>
      <c r="G1840" s="4">
        <v>5</v>
      </c>
      <c r="H1840" s="8">
        <v>2.78</v>
      </c>
      <c r="I1840" s="4">
        <v>0</v>
      </c>
    </row>
    <row r="1841" spans="1:9" x14ac:dyDescent="0.2">
      <c r="A1841" s="2">
        <v>13</v>
      </c>
      <c r="B1841" s="1" t="s">
        <v>243</v>
      </c>
      <c r="C1841" s="4">
        <v>10</v>
      </c>
      <c r="D1841" s="8">
        <v>2.2000000000000002</v>
      </c>
      <c r="E1841" s="4">
        <v>6</v>
      </c>
      <c r="F1841" s="8">
        <v>2.2599999999999998</v>
      </c>
      <c r="G1841" s="4">
        <v>4</v>
      </c>
      <c r="H1841" s="8">
        <v>2.2200000000000002</v>
      </c>
      <c r="I1841" s="4">
        <v>0</v>
      </c>
    </row>
    <row r="1842" spans="1:9" x14ac:dyDescent="0.2">
      <c r="A1842" s="2">
        <v>13</v>
      </c>
      <c r="B1842" s="1" t="s">
        <v>239</v>
      </c>
      <c r="C1842" s="4">
        <v>10</v>
      </c>
      <c r="D1842" s="8">
        <v>2.2000000000000002</v>
      </c>
      <c r="E1842" s="4">
        <v>0</v>
      </c>
      <c r="F1842" s="8">
        <v>0</v>
      </c>
      <c r="G1842" s="4">
        <v>10</v>
      </c>
      <c r="H1842" s="8">
        <v>5.56</v>
      </c>
      <c r="I1842" s="4">
        <v>0</v>
      </c>
    </row>
    <row r="1843" spans="1:9" x14ac:dyDescent="0.2">
      <c r="A1843" s="2">
        <v>15</v>
      </c>
      <c r="B1843" s="1" t="s">
        <v>241</v>
      </c>
      <c r="C1843" s="4">
        <v>9</v>
      </c>
      <c r="D1843" s="8">
        <v>1.98</v>
      </c>
      <c r="E1843" s="4">
        <v>2</v>
      </c>
      <c r="F1843" s="8">
        <v>0.75</v>
      </c>
      <c r="G1843" s="4">
        <v>7</v>
      </c>
      <c r="H1843" s="8">
        <v>3.89</v>
      </c>
      <c r="I1843" s="4">
        <v>0</v>
      </c>
    </row>
    <row r="1844" spans="1:9" x14ac:dyDescent="0.2">
      <c r="A1844" s="2">
        <v>15</v>
      </c>
      <c r="B1844" s="1" t="s">
        <v>225</v>
      </c>
      <c r="C1844" s="4">
        <v>9</v>
      </c>
      <c r="D1844" s="8">
        <v>1.98</v>
      </c>
      <c r="E1844" s="4">
        <v>7</v>
      </c>
      <c r="F1844" s="8">
        <v>2.64</v>
      </c>
      <c r="G1844" s="4">
        <v>2</v>
      </c>
      <c r="H1844" s="8">
        <v>1.1100000000000001</v>
      </c>
      <c r="I1844" s="4">
        <v>0</v>
      </c>
    </row>
    <row r="1845" spans="1:9" x14ac:dyDescent="0.2">
      <c r="A1845" s="2">
        <v>17</v>
      </c>
      <c r="B1845" s="1" t="s">
        <v>237</v>
      </c>
      <c r="C1845" s="4">
        <v>7</v>
      </c>
      <c r="D1845" s="8">
        <v>1.54</v>
      </c>
      <c r="E1845" s="4">
        <v>2</v>
      </c>
      <c r="F1845" s="8">
        <v>0.75</v>
      </c>
      <c r="G1845" s="4">
        <v>5</v>
      </c>
      <c r="H1845" s="8">
        <v>2.78</v>
      </c>
      <c r="I1845" s="4">
        <v>0</v>
      </c>
    </row>
    <row r="1846" spans="1:9" x14ac:dyDescent="0.2">
      <c r="A1846" s="2">
        <v>18</v>
      </c>
      <c r="B1846" s="1" t="s">
        <v>216</v>
      </c>
      <c r="C1846" s="4">
        <v>6</v>
      </c>
      <c r="D1846" s="8">
        <v>1.32</v>
      </c>
      <c r="E1846" s="4">
        <v>0</v>
      </c>
      <c r="F1846" s="8">
        <v>0</v>
      </c>
      <c r="G1846" s="4">
        <v>6</v>
      </c>
      <c r="H1846" s="8">
        <v>3.33</v>
      </c>
      <c r="I1846" s="4">
        <v>0</v>
      </c>
    </row>
    <row r="1847" spans="1:9" x14ac:dyDescent="0.2">
      <c r="A1847" s="2">
        <v>18</v>
      </c>
      <c r="B1847" s="1" t="s">
        <v>219</v>
      </c>
      <c r="C1847" s="4">
        <v>6</v>
      </c>
      <c r="D1847" s="8">
        <v>1.32</v>
      </c>
      <c r="E1847" s="4">
        <v>1</v>
      </c>
      <c r="F1847" s="8">
        <v>0.38</v>
      </c>
      <c r="G1847" s="4">
        <v>4</v>
      </c>
      <c r="H1847" s="8">
        <v>2.2200000000000002</v>
      </c>
      <c r="I1847" s="4">
        <v>1</v>
      </c>
    </row>
    <row r="1848" spans="1:9" x14ac:dyDescent="0.2">
      <c r="A1848" s="2">
        <v>20</v>
      </c>
      <c r="B1848" s="1" t="s">
        <v>252</v>
      </c>
      <c r="C1848" s="4">
        <v>5</v>
      </c>
      <c r="D1848" s="8">
        <v>1.1000000000000001</v>
      </c>
      <c r="E1848" s="4">
        <v>2</v>
      </c>
      <c r="F1848" s="8">
        <v>0.75</v>
      </c>
      <c r="G1848" s="4">
        <v>3</v>
      </c>
      <c r="H1848" s="8">
        <v>1.67</v>
      </c>
      <c r="I1848" s="4">
        <v>0</v>
      </c>
    </row>
    <row r="1849" spans="1:9" x14ac:dyDescent="0.2">
      <c r="A1849" s="2">
        <v>20</v>
      </c>
      <c r="B1849" s="1" t="s">
        <v>217</v>
      </c>
      <c r="C1849" s="4">
        <v>5</v>
      </c>
      <c r="D1849" s="8">
        <v>1.1000000000000001</v>
      </c>
      <c r="E1849" s="4">
        <v>1</v>
      </c>
      <c r="F1849" s="8">
        <v>0.38</v>
      </c>
      <c r="G1849" s="4">
        <v>4</v>
      </c>
      <c r="H1849" s="8">
        <v>2.2200000000000002</v>
      </c>
      <c r="I1849" s="4">
        <v>0</v>
      </c>
    </row>
    <row r="1850" spans="1:9" x14ac:dyDescent="0.2">
      <c r="A1850" s="2">
        <v>20</v>
      </c>
      <c r="B1850" s="1" t="s">
        <v>232</v>
      </c>
      <c r="C1850" s="4">
        <v>5</v>
      </c>
      <c r="D1850" s="8">
        <v>1.1000000000000001</v>
      </c>
      <c r="E1850" s="4">
        <v>0</v>
      </c>
      <c r="F1850" s="8">
        <v>0</v>
      </c>
      <c r="G1850" s="4">
        <v>2</v>
      </c>
      <c r="H1850" s="8">
        <v>1.1100000000000001</v>
      </c>
      <c r="I1850" s="4">
        <v>0</v>
      </c>
    </row>
    <row r="1851" spans="1:9" x14ac:dyDescent="0.2">
      <c r="A1851" s="1"/>
      <c r="C1851" s="4"/>
      <c r="D1851" s="8"/>
      <c r="E1851" s="4"/>
      <c r="F1851" s="8"/>
      <c r="G1851" s="4"/>
      <c r="H1851" s="8"/>
      <c r="I1851" s="4"/>
    </row>
    <row r="1852" spans="1:9" x14ac:dyDescent="0.2">
      <c r="A1852" s="1" t="s">
        <v>76</v>
      </c>
      <c r="C1852" s="4"/>
      <c r="D1852" s="8"/>
      <c r="E1852" s="4"/>
      <c r="F1852" s="8"/>
      <c r="G1852" s="4"/>
      <c r="H1852" s="8"/>
      <c r="I1852" s="4"/>
    </row>
    <row r="1853" spans="1:9" x14ac:dyDescent="0.2">
      <c r="A1853" s="2">
        <v>1</v>
      </c>
      <c r="B1853" s="1" t="s">
        <v>221</v>
      </c>
      <c r="C1853" s="4">
        <v>8</v>
      </c>
      <c r="D1853" s="8">
        <v>15.09</v>
      </c>
      <c r="E1853" s="4">
        <v>7</v>
      </c>
      <c r="F1853" s="8">
        <v>28</v>
      </c>
      <c r="G1853" s="4">
        <v>1</v>
      </c>
      <c r="H1853" s="8">
        <v>4.17</v>
      </c>
      <c r="I1853" s="4">
        <v>0</v>
      </c>
    </row>
    <row r="1854" spans="1:9" x14ac:dyDescent="0.2">
      <c r="A1854" s="2">
        <v>2</v>
      </c>
      <c r="B1854" s="1" t="s">
        <v>215</v>
      </c>
      <c r="C1854" s="4">
        <v>7</v>
      </c>
      <c r="D1854" s="8">
        <v>13.21</v>
      </c>
      <c r="E1854" s="4">
        <v>1</v>
      </c>
      <c r="F1854" s="8">
        <v>4</v>
      </c>
      <c r="G1854" s="4">
        <v>6</v>
      </c>
      <c r="H1854" s="8">
        <v>25</v>
      </c>
      <c r="I1854" s="4">
        <v>0</v>
      </c>
    </row>
    <row r="1855" spans="1:9" x14ac:dyDescent="0.2">
      <c r="A1855" s="2">
        <v>3</v>
      </c>
      <c r="B1855" s="1" t="s">
        <v>243</v>
      </c>
      <c r="C1855" s="4">
        <v>6</v>
      </c>
      <c r="D1855" s="8">
        <v>11.32</v>
      </c>
      <c r="E1855" s="4">
        <v>5</v>
      </c>
      <c r="F1855" s="8">
        <v>20</v>
      </c>
      <c r="G1855" s="4">
        <v>1</v>
      </c>
      <c r="H1855" s="8">
        <v>4.17</v>
      </c>
      <c r="I1855" s="4">
        <v>0</v>
      </c>
    </row>
    <row r="1856" spans="1:9" x14ac:dyDescent="0.2">
      <c r="A1856" s="2">
        <v>4</v>
      </c>
      <c r="B1856" s="1" t="s">
        <v>213</v>
      </c>
      <c r="C1856" s="4">
        <v>5</v>
      </c>
      <c r="D1856" s="8">
        <v>9.43</v>
      </c>
      <c r="E1856" s="4">
        <v>1</v>
      </c>
      <c r="F1856" s="8">
        <v>4</v>
      </c>
      <c r="G1856" s="4">
        <v>4</v>
      </c>
      <c r="H1856" s="8">
        <v>16.670000000000002</v>
      </c>
      <c r="I1856" s="4">
        <v>0</v>
      </c>
    </row>
    <row r="1857" spans="1:9" x14ac:dyDescent="0.2">
      <c r="A1857" s="2">
        <v>5</v>
      </c>
      <c r="B1857" s="1" t="s">
        <v>214</v>
      </c>
      <c r="C1857" s="4">
        <v>4</v>
      </c>
      <c r="D1857" s="8">
        <v>7.55</v>
      </c>
      <c r="E1857" s="4">
        <v>2</v>
      </c>
      <c r="F1857" s="8">
        <v>8</v>
      </c>
      <c r="G1857" s="4">
        <v>2</v>
      </c>
      <c r="H1857" s="8">
        <v>8.33</v>
      </c>
      <c r="I1857" s="4">
        <v>0</v>
      </c>
    </row>
    <row r="1858" spans="1:9" x14ac:dyDescent="0.2">
      <c r="A1858" s="2">
        <v>5</v>
      </c>
      <c r="B1858" s="1" t="s">
        <v>228</v>
      </c>
      <c r="C1858" s="4">
        <v>4</v>
      </c>
      <c r="D1858" s="8">
        <v>7.55</v>
      </c>
      <c r="E1858" s="4">
        <v>4</v>
      </c>
      <c r="F1858" s="8">
        <v>16</v>
      </c>
      <c r="G1858" s="4">
        <v>0</v>
      </c>
      <c r="H1858" s="8">
        <v>0</v>
      </c>
      <c r="I1858" s="4">
        <v>0</v>
      </c>
    </row>
    <row r="1859" spans="1:9" x14ac:dyDescent="0.2">
      <c r="A1859" s="2">
        <v>7</v>
      </c>
      <c r="B1859" s="1" t="s">
        <v>218</v>
      </c>
      <c r="C1859" s="4">
        <v>3</v>
      </c>
      <c r="D1859" s="8">
        <v>5.66</v>
      </c>
      <c r="E1859" s="4">
        <v>0</v>
      </c>
      <c r="F1859" s="8">
        <v>0</v>
      </c>
      <c r="G1859" s="4">
        <v>3</v>
      </c>
      <c r="H1859" s="8">
        <v>12.5</v>
      </c>
      <c r="I1859" s="4">
        <v>0</v>
      </c>
    </row>
    <row r="1860" spans="1:9" x14ac:dyDescent="0.2">
      <c r="A1860" s="2">
        <v>7</v>
      </c>
      <c r="B1860" s="1" t="s">
        <v>223</v>
      </c>
      <c r="C1860" s="4">
        <v>3</v>
      </c>
      <c r="D1860" s="8">
        <v>5.66</v>
      </c>
      <c r="E1860" s="4">
        <v>1</v>
      </c>
      <c r="F1860" s="8">
        <v>4</v>
      </c>
      <c r="G1860" s="4">
        <v>2</v>
      </c>
      <c r="H1860" s="8">
        <v>8.33</v>
      </c>
      <c r="I1860" s="4">
        <v>0</v>
      </c>
    </row>
    <row r="1861" spans="1:9" x14ac:dyDescent="0.2">
      <c r="A1861" s="2">
        <v>9</v>
      </c>
      <c r="B1861" s="1" t="s">
        <v>224</v>
      </c>
      <c r="C1861" s="4">
        <v>2</v>
      </c>
      <c r="D1861" s="8">
        <v>3.77</v>
      </c>
      <c r="E1861" s="4">
        <v>2</v>
      </c>
      <c r="F1861" s="8">
        <v>8</v>
      </c>
      <c r="G1861" s="4">
        <v>0</v>
      </c>
      <c r="H1861" s="8">
        <v>0</v>
      </c>
      <c r="I1861" s="4">
        <v>0</v>
      </c>
    </row>
    <row r="1862" spans="1:9" x14ac:dyDescent="0.2">
      <c r="A1862" s="2">
        <v>9</v>
      </c>
      <c r="B1862" s="1" t="s">
        <v>239</v>
      </c>
      <c r="C1862" s="4">
        <v>2</v>
      </c>
      <c r="D1862" s="8">
        <v>3.77</v>
      </c>
      <c r="E1862" s="4">
        <v>0</v>
      </c>
      <c r="F1862" s="8">
        <v>0</v>
      </c>
      <c r="G1862" s="4">
        <v>2</v>
      </c>
      <c r="H1862" s="8">
        <v>8.33</v>
      </c>
      <c r="I1862" s="4">
        <v>0</v>
      </c>
    </row>
    <row r="1863" spans="1:9" x14ac:dyDescent="0.2">
      <c r="A1863" s="2">
        <v>9</v>
      </c>
      <c r="B1863" s="1" t="s">
        <v>230</v>
      </c>
      <c r="C1863" s="4">
        <v>2</v>
      </c>
      <c r="D1863" s="8">
        <v>3.77</v>
      </c>
      <c r="E1863" s="4">
        <v>0</v>
      </c>
      <c r="F1863" s="8">
        <v>0</v>
      </c>
      <c r="G1863" s="4">
        <v>0</v>
      </c>
      <c r="H1863" s="8">
        <v>0</v>
      </c>
      <c r="I1863" s="4">
        <v>0</v>
      </c>
    </row>
    <row r="1864" spans="1:9" x14ac:dyDescent="0.2">
      <c r="A1864" s="2">
        <v>12</v>
      </c>
      <c r="B1864" s="1" t="s">
        <v>268</v>
      </c>
      <c r="C1864" s="4">
        <v>1</v>
      </c>
      <c r="D1864" s="8">
        <v>1.89</v>
      </c>
      <c r="E1864" s="4">
        <v>0</v>
      </c>
      <c r="F1864" s="8">
        <v>0</v>
      </c>
      <c r="G1864" s="4">
        <v>1</v>
      </c>
      <c r="H1864" s="8">
        <v>4.17</v>
      </c>
      <c r="I1864" s="4">
        <v>0</v>
      </c>
    </row>
    <row r="1865" spans="1:9" x14ac:dyDescent="0.2">
      <c r="A1865" s="2">
        <v>12</v>
      </c>
      <c r="B1865" s="1" t="s">
        <v>265</v>
      </c>
      <c r="C1865" s="4">
        <v>1</v>
      </c>
      <c r="D1865" s="8">
        <v>1.89</v>
      </c>
      <c r="E1865" s="4">
        <v>0</v>
      </c>
      <c r="F1865" s="8">
        <v>0</v>
      </c>
      <c r="G1865" s="4">
        <v>1</v>
      </c>
      <c r="H1865" s="8">
        <v>4.17</v>
      </c>
      <c r="I1865" s="4">
        <v>0</v>
      </c>
    </row>
    <row r="1866" spans="1:9" x14ac:dyDescent="0.2">
      <c r="A1866" s="2">
        <v>12</v>
      </c>
      <c r="B1866" s="1" t="s">
        <v>255</v>
      </c>
      <c r="C1866" s="4">
        <v>1</v>
      </c>
      <c r="D1866" s="8">
        <v>1.89</v>
      </c>
      <c r="E1866" s="4">
        <v>0</v>
      </c>
      <c r="F1866" s="8">
        <v>0</v>
      </c>
      <c r="G1866" s="4">
        <v>0</v>
      </c>
      <c r="H1866" s="8">
        <v>0</v>
      </c>
      <c r="I1866" s="4">
        <v>0</v>
      </c>
    </row>
    <row r="1867" spans="1:9" x14ac:dyDescent="0.2">
      <c r="A1867" s="2">
        <v>12</v>
      </c>
      <c r="B1867" s="1" t="s">
        <v>222</v>
      </c>
      <c r="C1867" s="4">
        <v>1</v>
      </c>
      <c r="D1867" s="8">
        <v>1.89</v>
      </c>
      <c r="E1867" s="4">
        <v>1</v>
      </c>
      <c r="F1867" s="8">
        <v>4</v>
      </c>
      <c r="G1867" s="4">
        <v>0</v>
      </c>
      <c r="H1867" s="8">
        <v>0</v>
      </c>
      <c r="I1867" s="4">
        <v>0</v>
      </c>
    </row>
    <row r="1868" spans="1:9" x14ac:dyDescent="0.2">
      <c r="A1868" s="2">
        <v>12</v>
      </c>
      <c r="B1868" s="1" t="s">
        <v>237</v>
      </c>
      <c r="C1868" s="4">
        <v>1</v>
      </c>
      <c r="D1868" s="8">
        <v>1.89</v>
      </c>
      <c r="E1868" s="4">
        <v>0</v>
      </c>
      <c r="F1868" s="8">
        <v>0</v>
      </c>
      <c r="G1868" s="4">
        <v>1</v>
      </c>
      <c r="H1868" s="8">
        <v>4.17</v>
      </c>
      <c r="I1868" s="4">
        <v>0</v>
      </c>
    </row>
    <row r="1869" spans="1:9" x14ac:dyDescent="0.2">
      <c r="A1869" s="2">
        <v>12</v>
      </c>
      <c r="B1869" s="1" t="s">
        <v>231</v>
      </c>
      <c r="C1869" s="4">
        <v>1</v>
      </c>
      <c r="D1869" s="8">
        <v>1.89</v>
      </c>
      <c r="E1869" s="4">
        <v>1</v>
      </c>
      <c r="F1869" s="8">
        <v>4</v>
      </c>
      <c r="G1869" s="4">
        <v>0</v>
      </c>
      <c r="H1869" s="8">
        <v>0</v>
      </c>
      <c r="I1869" s="4">
        <v>0</v>
      </c>
    </row>
    <row r="1870" spans="1:9" x14ac:dyDescent="0.2">
      <c r="A1870" s="2">
        <v>12</v>
      </c>
      <c r="B1870" s="1" t="s">
        <v>232</v>
      </c>
      <c r="C1870" s="4">
        <v>1</v>
      </c>
      <c r="D1870" s="8">
        <v>1.89</v>
      </c>
      <c r="E1870" s="4">
        <v>0</v>
      </c>
      <c r="F1870" s="8">
        <v>0</v>
      </c>
      <c r="G1870" s="4">
        <v>0</v>
      </c>
      <c r="H1870" s="8">
        <v>0</v>
      </c>
      <c r="I1870" s="4">
        <v>0</v>
      </c>
    </row>
    <row r="1871" spans="1:9" x14ac:dyDescent="0.2">
      <c r="A1871" s="1"/>
      <c r="C1871" s="4"/>
      <c r="D1871" s="8"/>
      <c r="E1871" s="4"/>
      <c r="F1871" s="8"/>
      <c r="G1871" s="4"/>
      <c r="H1871" s="8"/>
      <c r="I1871" s="4"/>
    </row>
    <row r="1872" spans="1:9" x14ac:dyDescent="0.2">
      <c r="A1872" s="1" t="s">
        <v>77</v>
      </c>
      <c r="C1872" s="4"/>
      <c r="D1872" s="8"/>
      <c r="E1872" s="4"/>
      <c r="F1872" s="8"/>
      <c r="G1872" s="4"/>
      <c r="H1872" s="8"/>
      <c r="I1872" s="4"/>
    </row>
    <row r="1873" spans="1:9" x14ac:dyDescent="0.2">
      <c r="A1873" s="2">
        <v>1</v>
      </c>
      <c r="B1873" s="1" t="s">
        <v>221</v>
      </c>
      <c r="C1873" s="4">
        <v>7</v>
      </c>
      <c r="D1873" s="8">
        <v>18.920000000000002</v>
      </c>
      <c r="E1873" s="4">
        <v>6</v>
      </c>
      <c r="F1873" s="8">
        <v>26.09</v>
      </c>
      <c r="G1873" s="4">
        <v>1</v>
      </c>
      <c r="H1873" s="8">
        <v>7.69</v>
      </c>
      <c r="I1873" s="4">
        <v>0</v>
      </c>
    </row>
    <row r="1874" spans="1:9" x14ac:dyDescent="0.2">
      <c r="A1874" s="2">
        <v>1</v>
      </c>
      <c r="B1874" s="1" t="s">
        <v>227</v>
      </c>
      <c r="C1874" s="4">
        <v>7</v>
      </c>
      <c r="D1874" s="8">
        <v>18.920000000000002</v>
      </c>
      <c r="E1874" s="4">
        <v>5</v>
      </c>
      <c r="F1874" s="8">
        <v>21.74</v>
      </c>
      <c r="G1874" s="4">
        <v>2</v>
      </c>
      <c r="H1874" s="8">
        <v>15.38</v>
      </c>
      <c r="I1874" s="4">
        <v>0</v>
      </c>
    </row>
    <row r="1875" spans="1:9" x14ac:dyDescent="0.2">
      <c r="A1875" s="2">
        <v>3</v>
      </c>
      <c r="B1875" s="1" t="s">
        <v>223</v>
      </c>
      <c r="C1875" s="4">
        <v>4</v>
      </c>
      <c r="D1875" s="8">
        <v>10.81</v>
      </c>
      <c r="E1875" s="4">
        <v>3</v>
      </c>
      <c r="F1875" s="8">
        <v>13.04</v>
      </c>
      <c r="G1875" s="4">
        <v>1</v>
      </c>
      <c r="H1875" s="8">
        <v>7.69</v>
      </c>
      <c r="I1875" s="4">
        <v>0</v>
      </c>
    </row>
    <row r="1876" spans="1:9" x14ac:dyDescent="0.2">
      <c r="A1876" s="2">
        <v>3</v>
      </c>
      <c r="B1876" s="1" t="s">
        <v>243</v>
      </c>
      <c r="C1876" s="4">
        <v>4</v>
      </c>
      <c r="D1876" s="8">
        <v>10.81</v>
      </c>
      <c r="E1876" s="4">
        <v>2</v>
      </c>
      <c r="F1876" s="8">
        <v>8.6999999999999993</v>
      </c>
      <c r="G1876" s="4">
        <v>2</v>
      </c>
      <c r="H1876" s="8">
        <v>15.38</v>
      </c>
      <c r="I1876" s="4">
        <v>0</v>
      </c>
    </row>
    <row r="1877" spans="1:9" x14ac:dyDescent="0.2">
      <c r="A1877" s="2">
        <v>5</v>
      </c>
      <c r="B1877" s="1" t="s">
        <v>228</v>
      </c>
      <c r="C1877" s="4">
        <v>3</v>
      </c>
      <c r="D1877" s="8">
        <v>8.11</v>
      </c>
      <c r="E1877" s="4">
        <v>3</v>
      </c>
      <c r="F1877" s="8">
        <v>13.04</v>
      </c>
      <c r="G1877" s="4">
        <v>0</v>
      </c>
      <c r="H1877" s="8">
        <v>0</v>
      </c>
      <c r="I1877" s="4">
        <v>0</v>
      </c>
    </row>
    <row r="1878" spans="1:9" x14ac:dyDescent="0.2">
      <c r="A1878" s="2">
        <v>6</v>
      </c>
      <c r="B1878" s="1" t="s">
        <v>232</v>
      </c>
      <c r="C1878" s="4">
        <v>2</v>
      </c>
      <c r="D1878" s="8">
        <v>5.41</v>
      </c>
      <c r="E1878" s="4">
        <v>0</v>
      </c>
      <c r="F1878" s="8">
        <v>0</v>
      </c>
      <c r="G1878" s="4">
        <v>2</v>
      </c>
      <c r="H1878" s="8">
        <v>15.38</v>
      </c>
      <c r="I1878" s="4">
        <v>0</v>
      </c>
    </row>
    <row r="1879" spans="1:9" x14ac:dyDescent="0.2">
      <c r="A1879" s="2">
        <v>7</v>
      </c>
      <c r="B1879" s="1" t="s">
        <v>213</v>
      </c>
      <c r="C1879" s="4">
        <v>1</v>
      </c>
      <c r="D1879" s="8">
        <v>2.7</v>
      </c>
      <c r="E1879" s="4">
        <v>0</v>
      </c>
      <c r="F1879" s="8">
        <v>0</v>
      </c>
      <c r="G1879" s="4">
        <v>1</v>
      </c>
      <c r="H1879" s="8">
        <v>7.69</v>
      </c>
      <c r="I1879" s="4">
        <v>0</v>
      </c>
    </row>
    <row r="1880" spans="1:9" x14ac:dyDescent="0.2">
      <c r="A1880" s="2">
        <v>7</v>
      </c>
      <c r="B1880" s="1" t="s">
        <v>214</v>
      </c>
      <c r="C1880" s="4">
        <v>1</v>
      </c>
      <c r="D1880" s="8">
        <v>2.7</v>
      </c>
      <c r="E1880" s="4">
        <v>0</v>
      </c>
      <c r="F1880" s="8">
        <v>0</v>
      </c>
      <c r="G1880" s="4">
        <v>1</v>
      </c>
      <c r="H1880" s="8">
        <v>7.69</v>
      </c>
      <c r="I1880" s="4">
        <v>0</v>
      </c>
    </row>
    <row r="1881" spans="1:9" x14ac:dyDescent="0.2">
      <c r="A1881" s="2">
        <v>7</v>
      </c>
      <c r="B1881" s="1" t="s">
        <v>215</v>
      </c>
      <c r="C1881" s="4">
        <v>1</v>
      </c>
      <c r="D1881" s="8">
        <v>2.7</v>
      </c>
      <c r="E1881" s="4">
        <v>0</v>
      </c>
      <c r="F1881" s="8">
        <v>0</v>
      </c>
      <c r="G1881" s="4">
        <v>1</v>
      </c>
      <c r="H1881" s="8">
        <v>7.69</v>
      </c>
      <c r="I1881" s="4">
        <v>0</v>
      </c>
    </row>
    <row r="1882" spans="1:9" x14ac:dyDescent="0.2">
      <c r="A1882" s="2">
        <v>7</v>
      </c>
      <c r="B1882" s="1" t="s">
        <v>241</v>
      </c>
      <c r="C1882" s="4">
        <v>1</v>
      </c>
      <c r="D1882" s="8">
        <v>2.7</v>
      </c>
      <c r="E1882" s="4">
        <v>1</v>
      </c>
      <c r="F1882" s="8">
        <v>4.3499999999999996</v>
      </c>
      <c r="G1882" s="4">
        <v>0</v>
      </c>
      <c r="H1882" s="8">
        <v>0</v>
      </c>
      <c r="I1882" s="4">
        <v>0</v>
      </c>
    </row>
    <row r="1883" spans="1:9" x14ac:dyDescent="0.2">
      <c r="A1883" s="2">
        <v>7</v>
      </c>
      <c r="B1883" s="1" t="s">
        <v>255</v>
      </c>
      <c r="C1883" s="4">
        <v>1</v>
      </c>
      <c r="D1883" s="8">
        <v>2.7</v>
      </c>
      <c r="E1883" s="4">
        <v>0</v>
      </c>
      <c r="F1883" s="8">
        <v>0</v>
      </c>
      <c r="G1883" s="4">
        <v>0</v>
      </c>
      <c r="H1883" s="8">
        <v>0</v>
      </c>
      <c r="I1883" s="4">
        <v>0</v>
      </c>
    </row>
    <row r="1884" spans="1:9" x14ac:dyDescent="0.2">
      <c r="A1884" s="2">
        <v>7</v>
      </c>
      <c r="B1884" s="1" t="s">
        <v>235</v>
      </c>
      <c r="C1884" s="4">
        <v>1</v>
      </c>
      <c r="D1884" s="8">
        <v>2.7</v>
      </c>
      <c r="E1884" s="4">
        <v>0</v>
      </c>
      <c r="F1884" s="8">
        <v>0</v>
      </c>
      <c r="G1884" s="4">
        <v>1</v>
      </c>
      <c r="H1884" s="8">
        <v>7.69</v>
      </c>
      <c r="I1884" s="4">
        <v>0</v>
      </c>
    </row>
    <row r="1885" spans="1:9" x14ac:dyDescent="0.2">
      <c r="A1885" s="2">
        <v>7</v>
      </c>
      <c r="B1885" s="1" t="s">
        <v>224</v>
      </c>
      <c r="C1885" s="4">
        <v>1</v>
      </c>
      <c r="D1885" s="8">
        <v>2.7</v>
      </c>
      <c r="E1885" s="4">
        <v>0</v>
      </c>
      <c r="F1885" s="8">
        <v>0</v>
      </c>
      <c r="G1885" s="4">
        <v>1</v>
      </c>
      <c r="H1885" s="8">
        <v>7.69</v>
      </c>
      <c r="I1885" s="4">
        <v>0</v>
      </c>
    </row>
    <row r="1886" spans="1:9" x14ac:dyDescent="0.2">
      <c r="A1886" s="2">
        <v>7</v>
      </c>
      <c r="B1886" s="1" t="s">
        <v>231</v>
      </c>
      <c r="C1886" s="4">
        <v>1</v>
      </c>
      <c r="D1886" s="8">
        <v>2.7</v>
      </c>
      <c r="E1886" s="4">
        <v>1</v>
      </c>
      <c r="F1886" s="8">
        <v>4.3499999999999996</v>
      </c>
      <c r="G1886" s="4">
        <v>0</v>
      </c>
      <c r="H1886" s="8">
        <v>0</v>
      </c>
      <c r="I1886" s="4">
        <v>0</v>
      </c>
    </row>
    <row r="1887" spans="1:9" x14ac:dyDescent="0.2">
      <c r="A1887" s="2">
        <v>7</v>
      </c>
      <c r="B1887" s="1" t="s">
        <v>249</v>
      </c>
      <c r="C1887" s="4">
        <v>1</v>
      </c>
      <c r="D1887" s="8">
        <v>2.7</v>
      </c>
      <c r="E1887" s="4">
        <v>1</v>
      </c>
      <c r="F1887" s="8">
        <v>4.3499999999999996</v>
      </c>
      <c r="G1887" s="4">
        <v>0</v>
      </c>
      <c r="H1887" s="8">
        <v>0</v>
      </c>
      <c r="I1887" s="4">
        <v>0</v>
      </c>
    </row>
    <row r="1888" spans="1:9" x14ac:dyDescent="0.2">
      <c r="A1888" s="2">
        <v>7</v>
      </c>
      <c r="B1888" s="1" t="s">
        <v>240</v>
      </c>
      <c r="C1888" s="4">
        <v>1</v>
      </c>
      <c r="D1888" s="8">
        <v>2.7</v>
      </c>
      <c r="E1888" s="4">
        <v>1</v>
      </c>
      <c r="F1888" s="8">
        <v>4.3499999999999996</v>
      </c>
      <c r="G1888" s="4">
        <v>0</v>
      </c>
      <c r="H1888" s="8">
        <v>0</v>
      </c>
      <c r="I1888" s="4">
        <v>0</v>
      </c>
    </row>
    <row r="1889" spans="1:9" x14ac:dyDescent="0.2">
      <c r="A1889" s="1"/>
      <c r="C1889" s="4"/>
      <c r="D1889" s="8"/>
      <c r="E1889" s="4"/>
      <c r="F1889" s="8"/>
      <c r="G1889" s="4"/>
      <c r="H1889" s="8"/>
      <c r="I1889" s="4"/>
    </row>
    <row r="1890" spans="1:9" x14ac:dyDescent="0.2">
      <c r="A1890" s="1" t="s">
        <v>78</v>
      </c>
      <c r="C1890" s="4"/>
      <c r="D1890" s="8"/>
      <c r="E1890" s="4"/>
      <c r="F1890" s="8"/>
      <c r="G1890" s="4"/>
      <c r="H1890" s="8"/>
      <c r="I1890" s="4"/>
    </row>
    <row r="1891" spans="1:9" x14ac:dyDescent="0.2">
      <c r="A1891" s="2">
        <v>1</v>
      </c>
      <c r="B1891" s="1" t="s">
        <v>223</v>
      </c>
      <c r="C1891" s="4">
        <v>15</v>
      </c>
      <c r="D1891" s="8">
        <v>16.850000000000001</v>
      </c>
      <c r="E1891" s="4">
        <v>10</v>
      </c>
      <c r="F1891" s="8">
        <v>18.87</v>
      </c>
      <c r="G1891" s="4">
        <v>5</v>
      </c>
      <c r="H1891" s="8">
        <v>16.13</v>
      </c>
      <c r="I1891" s="4">
        <v>0</v>
      </c>
    </row>
    <row r="1892" spans="1:9" x14ac:dyDescent="0.2">
      <c r="A1892" s="2">
        <v>1</v>
      </c>
      <c r="B1892" s="1" t="s">
        <v>227</v>
      </c>
      <c r="C1892" s="4">
        <v>15</v>
      </c>
      <c r="D1892" s="8">
        <v>16.850000000000001</v>
      </c>
      <c r="E1892" s="4">
        <v>11</v>
      </c>
      <c r="F1892" s="8">
        <v>20.75</v>
      </c>
      <c r="G1892" s="4">
        <v>4</v>
      </c>
      <c r="H1892" s="8">
        <v>12.9</v>
      </c>
      <c r="I1892" s="4">
        <v>0</v>
      </c>
    </row>
    <row r="1893" spans="1:9" x14ac:dyDescent="0.2">
      <c r="A1893" s="2">
        <v>3</v>
      </c>
      <c r="B1893" s="1" t="s">
        <v>221</v>
      </c>
      <c r="C1893" s="4">
        <v>10</v>
      </c>
      <c r="D1893" s="8">
        <v>11.24</v>
      </c>
      <c r="E1893" s="4">
        <v>8</v>
      </c>
      <c r="F1893" s="8">
        <v>15.09</v>
      </c>
      <c r="G1893" s="4">
        <v>2</v>
      </c>
      <c r="H1893" s="8">
        <v>6.45</v>
      </c>
      <c r="I1893" s="4">
        <v>0</v>
      </c>
    </row>
    <row r="1894" spans="1:9" x14ac:dyDescent="0.2">
      <c r="A1894" s="2">
        <v>3</v>
      </c>
      <c r="B1894" s="1" t="s">
        <v>243</v>
      </c>
      <c r="C1894" s="4">
        <v>10</v>
      </c>
      <c r="D1894" s="8">
        <v>11.24</v>
      </c>
      <c r="E1894" s="4">
        <v>8</v>
      </c>
      <c r="F1894" s="8">
        <v>15.09</v>
      </c>
      <c r="G1894" s="4">
        <v>2</v>
      </c>
      <c r="H1894" s="8">
        <v>6.45</v>
      </c>
      <c r="I1894" s="4">
        <v>0</v>
      </c>
    </row>
    <row r="1895" spans="1:9" x14ac:dyDescent="0.2">
      <c r="A1895" s="2">
        <v>5</v>
      </c>
      <c r="B1895" s="1" t="s">
        <v>213</v>
      </c>
      <c r="C1895" s="4">
        <v>6</v>
      </c>
      <c r="D1895" s="8">
        <v>6.74</v>
      </c>
      <c r="E1895" s="4">
        <v>3</v>
      </c>
      <c r="F1895" s="8">
        <v>5.66</v>
      </c>
      <c r="G1895" s="4">
        <v>3</v>
      </c>
      <c r="H1895" s="8">
        <v>9.68</v>
      </c>
      <c r="I1895" s="4">
        <v>0</v>
      </c>
    </row>
    <row r="1896" spans="1:9" x14ac:dyDescent="0.2">
      <c r="A1896" s="2">
        <v>6</v>
      </c>
      <c r="B1896" s="1" t="s">
        <v>247</v>
      </c>
      <c r="C1896" s="4">
        <v>5</v>
      </c>
      <c r="D1896" s="8">
        <v>5.62</v>
      </c>
      <c r="E1896" s="4">
        <v>4</v>
      </c>
      <c r="F1896" s="8">
        <v>7.55</v>
      </c>
      <c r="G1896" s="4">
        <v>0</v>
      </c>
      <c r="H1896" s="8">
        <v>0</v>
      </c>
      <c r="I1896" s="4">
        <v>0</v>
      </c>
    </row>
    <row r="1897" spans="1:9" x14ac:dyDescent="0.2">
      <c r="A1897" s="2">
        <v>7</v>
      </c>
      <c r="B1897" s="1" t="s">
        <v>228</v>
      </c>
      <c r="C1897" s="4">
        <v>4</v>
      </c>
      <c r="D1897" s="8">
        <v>4.49</v>
      </c>
      <c r="E1897" s="4">
        <v>4</v>
      </c>
      <c r="F1897" s="8">
        <v>7.55</v>
      </c>
      <c r="G1897" s="4">
        <v>0</v>
      </c>
      <c r="H1897" s="8">
        <v>0</v>
      </c>
      <c r="I1897" s="4">
        <v>0</v>
      </c>
    </row>
    <row r="1898" spans="1:9" x14ac:dyDescent="0.2">
      <c r="A1898" s="2">
        <v>8</v>
      </c>
      <c r="B1898" s="1" t="s">
        <v>241</v>
      </c>
      <c r="C1898" s="4">
        <v>3</v>
      </c>
      <c r="D1898" s="8">
        <v>3.37</v>
      </c>
      <c r="E1898" s="4">
        <v>0</v>
      </c>
      <c r="F1898" s="8">
        <v>0</v>
      </c>
      <c r="G1898" s="4">
        <v>2</v>
      </c>
      <c r="H1898" s="8">
        <v>6.45</v>
      </c>
      <c r="I1898" s="4">
        <v>1</v>
      </c>
    </row>
    <row r="1899" spans="1:9" x14ac:dyDescent="0.2">
      <c r="A1899" s="2">
        <v>8</v>
      </c>
      <c r="B1899" s="1" t="s">
        <v>216</v>
      </c>
      <c r="C1899" s="4">
        <v>3</v>
      </c>
      <c r="D1899" s="8">
        <v>3.37</v>
      </c>
      <c r="E1899" s="4">
        <v>0</v>
      </c>
      <c r="F1899" s="8">
        <v>0</v>
      </c>
      <c r="G1899" s="4">
        <v>3</v>
      </c>
      <c r="H1899" s="8">
        <v>9.68</v>
      </c>
      <c r="I1899" s="4">
        <v>0</v>
      </c>
    </row>
    <row r="1900" spans="1:9" x14ac:dyDescent="0.2">
      <c r="A1900" s="2">
        <v>8</v>
      </c>
      <c r="B1900" s="1" t="s">
        <v>232</v>
      </c>
      <c r="C1900" s="4">
        <v>3</v>
      </c>
      <c r="D1900" s="8">
        <v>3.37</v>
      </c>
      <c r="E1900" s="4">
        <v>0</v>
      </c>
      <c r="F1900" s="8">
        <v>0</v>
      </c>
      <c r="G1900" s="4">
        <v>1</v>
      </c>
      <c r="H1900" s="8">
        <v>3.23</v>
      </c>
      <c r="I1900" s="4">
        <v>0</v>
      </c>
    </row>
    <row r="1901" spans="1:9" x14ac:dyDescent="0.2">
      <c r="A1901" s="2">
        <v>11</v>
      </c>
      <c r="B1901" s="1" t="s">
        <v>215</v>
      </c>
      <c r="C1901" s="4">
        <v>2</v>
      </c>
      <c r="D1901" s="8">
        <v>2.25</v>
      </c>
      <c r="E1901" s="4">
        <v>0</v>
      </c>
      <c r="F1901" s="8">
        <v>0</v>
      </c>
      <c r="G1901" s="4">
        <v>2</v>
      </c>
      <c r="H1901" s="8">
        <v>6.45</v>
      </c>
      <c r="I1901" s="4">
        <v>0</v>
      </c>
    </row>
    <row r="1902" spans="1:9" x14ac:dyDescent="0.2">
      <c r="A1902" s="2">
        <v>11</v>
      </c>
      <c r="B1902" s="1" t="s">
        <v>262</v>
      </c>
      <c r="C1902" s="4">
        <v>2</v>
      </c>
      <c r="D1902" s="8">
        <v>2.25</v>
      </c>
      <c r="E1902" s="4">
        <v>0</v>
      </c>
      <c r="F1902" s="8">
        <v>0</v>
      </c>
      <c r="G1902" s="4">
        <v>2</v>
      </c>
      <c r="H1902" s="8">
        <v>6.45</v>
      </c>
      <c r="I1902" s="4">
        <v>0</v>
      </c>
    </row>
    <row r="1903" spans="1:9" x14ac:dyDescent="0.2">
      <c r="A1903" s="2">
        <v>11</v>
      </c>
      <c r="B1903" s="1" t="s">
        <v>220</v>
      </c>
      <c r="C1903" s="4">
        <v>2</v>
      </c>
      <c r="D1903" s="8">
        <v>2.25</v>
      </c>
      <c r="E1903" s="4">
        <v>1</v>
      </c>
      <c r="F1903" s="8">
        <v>1.89</v>
      </c>
      <c r="G1903" s="4">
        <v>1</v>
      </c>
      <c r="H1903" s="8">
        <v>3.23</v>
      </c>
      <c r="I1903" s="4">
        <v>0</v>
      </c>
    </row>
    <row r="1904" spans="1:9" x14ac:dyDescent="0.2">
      <c r="A1904" s="2">
        <v>11</v>
      </c>
      <c r="B1904" s="1" t="s">
        <v>239</v>
      </c>
      <c r="C1904" s="4">
        <v>2</v>
      </c>
      <c r="D1904" s="8">
        <v>2.25</v>
      </c>
      <c r="E1904" s="4">
        <v>0</v>
      </c>
      <c r="F1904" s="8">
        <v>0</v>
      </c>
      <c r="G1904" s="4">
        <v>1</v>
      </c>
      <c r="H1904" s="8">
        <v>3.23</v>
      </c>
      <c r="I1904" s="4">
        <v>0</v>
      </c>
    </row>
    <row r="1905" spans="1:9" x14ac:dyDescent="0.2">
      <c r="A1905" s="2">
        <v>15</v>
      </c>
      <c r="B1905" s="1" t="s">
        <v>238</v>
      </c>
      <c r="C1905" s="4">
        <v>1</v>
      </c>
      <c r="D1905" s="8">
        <v>1.1200000000000001</v>
      </c>
      <c r="E1905" s="4">
        <v>1</v>
      </c>
      <c r="F1905" s="8">
        <v>1.89</v>
      </c>
      <c r="G1905" s="4">
        <v>0</v>
      </c>
      <c r="H1905" s="8">
        <v>0</v>
      </c>
      <c r="I1905" s="4">
        <v>0</v>
      </c>
    </row>
    <row r="1906" spans="1:9" x14ac:dyDescent="0.2">
      <c r="A1906" s="2">
        <v>15</v>
      </c>
      <c r="B1906" s="1" t="s">
        <v>274</v>
      </c>
      <c r="C1906" s="4">
        <v>1</v>
      </c>
      <c r="D1906" s="8">
        <v>1.1200000000000001</v>
      </c>
      <c r="E1906" s="4">
        <v>1</v>
      </c>
      <c r="F1906" s="8">
        <v>1.89</v>
      </c>
      <c r="G1906" s="4">
        <v>0</v>
      </c>
      <c r="H1906" s="8">
        <v>0</v>
      </c>
      <c r="I1906" s="4">
        <v>0</v>
      </c>
    </row>
    <row r="1907" spans="1:9" x14ac:dyDescent="0.2">
      <c r="A1907" s="2">
        <v>15</v>
      </c>
      <c r="B1907" s="1" t="s">
        <v>217</v>
      </c>
      <c r="C1907" s="4">
        <v>1</v>
      </c>
      <c r="D1907" s="8">
        <v>1.1200000000000001</v>
      </c>
      <c r="E1907" s="4">
        <v>0</v>
      </c>
      <c r="F1907" s="8">
        <v>0</v>
      </c>
      <c r="G1907" s="4">
        <v>1</v>
      </c>
      <c r="H1907" s="8">
        <v>3.23</v>
      </c>
      <c r="I1907" s="4">
        <v>0</v>
      </c>
    </row>
    <row r="1908" spans="1:9" x14ac:dyDescent="0.2">
      <c r="A1908" s="2">
        <v>15</v>
      </c>
      <c r="B1908" s="1" t="s">
        <v>219</v>
      </c>
      <c r="C1908" s="4">
        <v>1</v>
      </c>
      <c r="D1908" s="8">
        <v>1.1200000000000001</v>
      </c>
      <c r="E1908" s="4">
        <v>0</v>
      </c>
      <c r="F1908" s="8">
        <v>0</v>
      </c>
      <c r="G1908" s="4">
        <v>1</v>
      </c>
      <c r="H1908" s="8">
        <v>3.23</v>
      </c>
      <c r="I1908" s="4">
        <v>0</v>
      </c>
    </row>
    <row r="1909" spans="1:9" x14ac:dyDescent="0.2">
      <c r="A1909" s="2">
        <v>15</v>
      </c>
      <c r="B1909" s="1" t="s">
        <v>236</v>
      </c>
      <c r="C1909" s="4">
        <v>1</v>
      </c>
      <c r="D1909" s="8">
        <v>1.1200000000000001</v>
      </c>
      <c r="E1909" s="4">
        <v>0</v>
      </c>
      <c r="F1909" s="8">
        <v>0</v>
      </c>
      <c r="G1909" s="4">
        <v>1</v>
      </c>
      <c r="H1909" s="8">
        <v>3.23</v>
      </c>
      <c r="I1909" s="4">
        <v>0</v>
      </c>
    </row>
    <row r="1910" spans="1:9" x14ac:dyDescent="0.2">
      <c r="A1910" s="2">
        <v>15</v>
      </c>
      <c r="B1910" s="1" t="s">
        <v>230</v>
      </c>
      <c r="C1910" s="4">
        <v>1</v>
      </c>
      <c r="D1910" s="8">
        <v>1.1200000000000001</v>
      </c>
      <c r="E1910" s="4">
        <v>1</v>
      </c>
      <c r="F1910" s="8">
        <v>1.89</v>
      </c>
      <c r="G1910" s="4">
        <v>0</v>
      </c>
      <c r="H1910" s="8">
        <v>0</v>
      </c>
      <c r="I1910" s="4">
        <v>0</v>
      </c>
    </row>
    <row r="1911" spans="1:9" x14ac:dyDescent="0.2">
      <c r="A1911" s="2">
        <v>15</v>
      </c>
      <c r="B1911" s="1" t="s">
        <v>231</v>
      </c>
      <c r="C1911" s="4">
        <v>1</v>
      </c>
      <c r="D1911" s="8">
        <v>1.1200000000000001</v>
      </c>
      <c r="E1911" s="4">
        <v>1</v>
      </c>
      <c r="F1911" s="8">
        <v>1.89</v>
      </c>
      <c r="G1911" s="4">
        <v>0</v>
      </c>
      <c r="H1911" s="8">
        <v>0</v>
      </c>
      <c r="I1911" s="4">
        <v>0</v>
      </c>
    </row>
    <row r="1912" spans="1:9" x14ac:dyDescent="0.2">
      <c r="A1912" s="1"/>
      <c r="C1912" s="4"/>
      <c r="D1912" s="8"/>
      <c r="E1912" s="4"/>
      <c r="F1912" s="8"/>
      <c r="G1912" s="4"/>
      <c r="H1912" s="8"/>
      <c r="I1912" s="4"/>
    </row>
    <row r="1913" spans="1:9" x14ac:dyDescent="0.2">
      <c r="A1913" s="1" t="s">
        <v>79</v>
      </c>
      <c r="C1913" s="4"/>
      <c r="D1913" s="8"/>
      <c r="E1913" s="4"/>
      <c r="F1913" s="8"/>
      <c r="G1913" s="4"/>
      <c r="H1913" s="8"/>
      <c r="I1913" s="4"/>
    </row>
    <row r="1914" spans="1:9" x14ac:dyDescent="0.2">
      <c r="A1914" s="2">
        <v>1</v>
      </c>
      <c r="B1914" s="1" t="s">
        <v>228</v>
      </c>
      <c r="C1914" s="4">
        <v>14</v>
      </c>
      <c r="D1914" s="8">
        <v>13.33</v>
      </c>
      <c r="E1914" s="4">
        <v>13</v>
      </c>
      <c r="F1914" s="8">
        <v>20.97</v>
      </c>
      <c r="G1914" s="4">
        <v>1</v>
      </c>
      <c r="H1914" s="8">
        <v>2.78</v>
      </c>
      <c r="I1914" s="4">
        <v>0</v>
      </c>
    </row>
    <row r="1915" spans="1:9" x14ac:dyDescent="0.2">
      <c r="A1915" s="2">
        <v>2</v>
      </c>
      <c r="B1915" s="1" t="s">
        <v>223</v>
      </c>
      <c r="C1915" s="4">
        <v>13</v>
      </c>
      <c r="D1915" s="8">
        <v>12.38</v>
      </c>
      <c r="E1915" s="4">
        <v>6</v>
      </c>
      <c r="F1915" s="8">
        <v>9.68</v>
      </c>
      <c r="G1915" s="4">
        <v>7</v>
      </c>
      <c r="H1915" s="8">
        <v>19.440000000000001</v>
      </c>
      <c r="I1915" s="4">
        <v>0</v>
      </c>
    </row>
    <row r="1916" spans="1:9" x14ac:dyDescent="0.2">
      <c r="A1916" s="2">
        <v>3</v>
      </c>
      <c r="B1916" s="1" t="s">
        <v>221</v>
      </c>
      <c r="C1916" s="4">
        <v>9</v>
      </c>
      <c r="D1916" s="8">
        <v>8.57</v>
      </c>
      <c r="E1916" s="4">
        <v>4</v>
      </c>
      <c r="F1916" s="8">
        <v>6.45</v>
      </c>
      <c r="G1916" s="4">
        <v>5</v>
      </c>
      <c r="H1916" s="8">
        <v>13.89</v>
      </c>
      <c r="I1916" s="4">
        <v>0</v>
      </c>
    </row>
    <row r="1917" spans="1:9" x14ac:dyDescent="0.2">
      <c r="A1917" s="2">
        <v>3</v>
      </c>
      <c r="B1917" s="1" t="s">
        <v>227</v>
      </c>
      <c r="C1917" s="4">
        <v>9</v>
      </c>
      <c r="D1917" s="8">
        <v>8.57</v>
      </c>
      <c r="E1917" s="4">
        <v>9</v>
      </c>
      <c r="F1917" s="8">
        <v>14.52</v>
      </c>
      <c r="G1917" s="4">
        <v>0</v>
      </c>
      <c r="H1917" s="8">
        <v>0</v>
      </c>
      <c r="I1917" s="4">
        <v>0</v>
      </c>
    </row>
    <row r="1918" spans="1:9" x14ac:dyDescent="0.2">
      <c r="A1918" s="2">
        <v>5</v>
      </c>
      <c r="B1918" s="1" t="s">
        <v>214</v>
      </c>
      <c r="C1918" s="4">
        <v>8</v>
      </c>
      <c r="D1918" s="8">
        <v>7.62</v>
      </c>
      <c r="E1918" s="4">
        <v>4</v>
      </c>
      <c r="F1918" s="8">
        <v>6.45</v>
      </c>
      <c r="G1918" s="4">
        <v>4</v>
      </c>
      <c r="H1918" s="8">
        <v>11.11</v>
      </c>
      <c r="I1918" s="4">
        <v>0</v>
      </c>
    </row>
    <row r="1919" spans="1:9" x14ac:dyDescent="0.2">
      <c r="A1919" s="2">
        <v>6</v>
      </c>
      <c r="B1919" s="1" t="s">
        <v>247</v>
      </c>
      <c r="C1919" s="4">
        <v>5</v>
      </c>
      <c r="D1919" s="8">
        <v>4.76</v>
      </c>
      <c r="E1919" s="4">
        <v>4</v>
      </c>
      <c r="F1919" s="8">
        <v>6.45</v>
      </c>
      <c r="G1919" s="4">
        <v>0</v>
      </c>
      <c r="H1919" s="8">
        <v>0</v>
      </c>
      <c r="I1919" s="4">
        <v>0</v>
      </c>
    </row>
    <row r="1920" spans="1:9" x14ac:dyDescent="0.2">
      <c r="A1920" s="2">
        <v>7</v>
      </c>
      <c r="B1920" s="1" t="s">
        <v>213</v>
      </c>
      <c r="C1920" s="4">
        <v>4</v>
      </c>
      <c r="D1920" s="8">
        <v>3.81</v>
      </c>
      <c r="E1920" s="4">
        <v>1</v>
      </c>
      <c r="F1920" s="8">
        <v>1.61</v>
      </c>
      <c r="G1920" s="4">
        <v>3</v>
      </c>
      <c r="H1920" s="8">
        <v>8.33</v>
      </c>
      <c r="I1920" s="4">
        <v>0</v>
      </c>
    </row>
    <row r="1921" spans="1:9" x14ac:dyDescent="0.2">
      <c r="A1921" s="2">
        <v>7</v>
      </c>
      <c r="B1921" s="1" t="s">
        <v>215</v>
      </c>
      <c r="C1921" s="4">
        <v>4</v>
      </c>
      <c r="D1921" s="8">
        <v>3.81</v>
      </c>
      <c r="E1921" s="4">
        <v>2</v>
      </c>
      <c r="F1921" s="8">
        <v>3.23</v>
      </c>
      <c r="G1921" s="4">
        <v>2</v>
      </c>
      <c r="H1921" s="8">
        <v>5.56</v>
      </c>
      <c r="I1921" s="4">
        <v>0</v>
      </c>
    </row>
    <row r="1922" spans="1:9" x14ac:dyDescent="0.2">
      <c r="A1922" s="2">
        <v>7</v>
      </c>
      <c r="B1922" s="1" t="s">
        <v>220</v>
      </c>
      <c r="C1922" s="4">
        <v>4</v>
      </c>
      <c r="D1922" s="8">
        <v>3.81</v>
      </c>
      <c r="E1922" s="4">
        <v>3</v>
      </c>
      <c r="F1922" s="8">
        <v>4.84</v>
      </c>
      <c r="G1922" s="4">
        <v>1</v>
      </c>
      <c r="H1922" s="8">
        <v>2.78</v>
      </c>
      <c r="I1922" s="4">
        <v>0</v>
      </c>
    </row>
    <row r="1923" spans="1:9" x14ac:dyDescent="0.2">
      <c r="A1923" s="2">
        <v>7</v>
      </c>
      <c r="B1923" s="1" t="s">
        <v>231</v>
      </c>
      <c r="C1923" s="4">
        <v>4</v>
      </c>
      <c r="D1923" s="8">
        <v>3.81</v>
      </c>
      <c r="E1923" s="4">
        <v>4</v>
      </c>
      <c r="F1923" s="8">
        <v>6.45</v>
      </c>
      <c r="G1923" s="4">
        <v>0</v>
      </c>
      <c r="H1923" s="8">
        <v>0</v>
      </c>
      <c r="I1923" s="4">
        <v>0</v>
      </c>
    </row>
    <row r="1924" spans="1:9" x14ac:dyDescent="0.2">
      <c r="A1924" s="2">
        <v>7</v>
      </c>
      <c r="B1924" s="1" t="s">
        <v>232</v>
      </c>
      <c r="C1924" s="4">
        <v>4</v>
      </c>
      <c r="D1924" s="8">
        <v>3.81</v>
      </c>
      <c r="E1924" s="4">
        <v>0</v>
      </c>
      <c r="F1924" s="8">
        <v>0</v>
      </c>
      <c r="G1924" s="4">
        <v>1</v>
      </c>
      <c r="H1924" s="8">
        <v>2.78</v>
      </c>
      <c r="I1924" s="4">
        <v>0</v>
      </c>
    </row>
    <row r="1925" spans="1:9" x14ac:dyDescent="0.2">
      <c r="A1925" s="2">
        <v>12</v>
      </c>
      <c r="B1925" s="1" t="s">
        <v>255</v>
      </c>
      <c r="C1925" s="4">
        <v>3</v>
      </c>
      <c r="D1925" s="8">
        <v>2.86</v>
      </c>
      <c r="E1925" s="4">
        <v>0</v>
      </c>
      <c r="F1925" s="8">
        <v>0</v>
      </c>
      <c r="G1925" s="4">
        <v>1</v>
      </c>
      <c r="H1925" s="8">
        <v>2.78</v>
      </c>
      <c r="I1925" s="4">
        <v>0</v>
      </c>
    </row>
    <row r="1926" spans="1:9" x14ac:dyDescent="0.2">
      <c r="A1926" s="2">
        <v>12</v>
      </c>
      <c r="B1926" s="1" t="s">
        <v>239</v>
      </c>
      <c r="C1926" s="4">
        <v>3</v>
      </c>
      <c r="D1926" s="8">
        <v>2.86</v>
      </c>
      <c r="E1926" s="4">
        <v>0</v>
      </c>
      <c r="F1926" s="8">
        <v>0</v>
      </c>
      <c r="G1926" s="4">
        <v>2</v>
      </c>
      <c r="H1926" s="8">
        <v>5.56</v>
      </c>
      <c r="I1926" s="4">
        <v>0</v>
      </c>
    </row>
    <row r="1927" spans="1:9" x14ac:dyDescent="0.2">
      <c r="A1927" s="2">
        <v>14</v>
      </c>
      <c r="B1927" s="1" t="s">
        <v>241</v>
      </c>
      <c r="C1927" s="4">
        <v>2</v>
      </c>
      <c r="D1927" s="8">
        <v>1.9</v>
      </c>
      <c r="E1927" s="4">
        <v>1</v>
      </c>
      <c r="F1927" s="8">
        <v>1.61</v>
      </c>
      <c r="G1927" s="4">
        <v>1</v>
      </c>
      <c r="H1927" s="8">
        <v>2.78</v>
      </c>
      <c r="I1927" s="4">
        <v>0</v>
      </c>
    </row>
    <row r="1928" spans="1:9" x14ac:dyDescent="0.2">
      <c r="A1928" s="2">
        <v>14</v>
      </c>
      <c r="B1928" s="1" t="s">
        <v>257</v>
      </c>
      <c r="C1928" s="4">
        <v>2</v>
      </c>
      <c r="D1928" s="8">
        <v>1.9</v>
      </c>
      <c r="E1928" s="4">
        <v>0</v>
      </c>
      <c r="F1928" s="8">
        <v>0</v>
      </c>
      <c r="G1928" s="4">
        <v>2</v>
      </c>
      <c r="H1928" s="8">
        <v>5.56</v>
      </c>
      <c r="I1928" s="4">
        <v>0</v>
      </c>
    </row>
    <row r="1929" spans="1:9" x14ac:dyDescent="0.2">
      <c r="A1929" s="2">
        <v>14</v>
      </c>
      <c r="B1929" s="1" t="s">
        <v>224</v>
      </c>
      <c r="C1929" s="4">
        <v>2</v>
      </c>
      <c r="D1929" s="8">
        <v>1.9</v>
      </c>
      <c r="E1929" s="4">
        <v>1</v>
      </c>
      <c r="F1929" s="8">
        <v>1.61</v>
      </c>
      <c r="G1929" s="4">
        <v>1</v>
      </c>
      <c r="H1929" s="8">
        <v>2.78</v>
      </c>
      <c r="I1929" s="4">
        <v>0</v>
      </c>
    </row>
    <row r="1930" spans="1:9" x14ac:dyDescent="0.2">
      <c r="A1930" s="2">
        <v>14</v>
      </c>
      <c r="B1930" s="1" t="s">
        <v>243</v>
      </c>
      <c r="C1930" s="4">
        <v>2</v>
      </c>
      <c r="D1930" s="8">
        <v>1.9</v>
      </c>
      <c r="E1930" s="4">
        <v>2</v>
      </c>
      <c r="F1930" s="8">
        <v>3.23</v>
      </c>
      <c r="G1930" s="4">
        <v>0</v>
      </c>
      <c r="H1930" s="8">
        <v>0</v>
      </c>
      <c r="I1930" s="4">
        <v>0</v>
      </c>
    </row>
    <row r="1931" spans="1:9" x14ac:dyDescent="0.2">
      <c r="A1931" s="2">
        <v>14</v>
      </c>
      <c r="B1931" s="1" t="s">
        <v>234</v>
      </c>
      <c r="C1931" s="4">
        <v>2</v>
      </c>
      <c r="D1931" s="8">
        <v>1.9</v>
      </c>
      <c r="E1931" s="4">
        <v>2</v>
      </c>
      <c r="F1931" s="8">
        <v>3.23</v>
      </c>
      <c r="G1931" s="4">
        <v>0</v>
      </c>
      <c r="H1931" s="8">
        <v>0</v>
      </c>
      <c r="I1931" s="4">
        <v>0</v>
      </c>
    </row>
    <row r="1932" spans="1:9" x14ac:dyDescent="0.2">
      <c r="A1932" s="2">
        <v>19</v>
      </c>
      <c r="B1932" s="1" t="s">
        <v>262</v>
      </c>
      <c r="C1932" s="4">
        <v>1</v>
      </c>
      <c r="D1932" s="8">
        <v>0.95</v>
      </c>
      <c r="E1932" s="4">
        <v>0</v>
      </c>
      <c r="F1932" s="8">
        <v>0</v>
      </c>
      <c r="G1932" s="4">
        <v>1</v>
      </c>
      <c r="H1932" s="8">
        <v>2.78</v>
      </c>
      <c r="I1932" s="4">
        <v>0</v>
      </c>
    </row>
    <row r="1933" spans="1:9" x14ac:dyDescent="0.2">
      <c r="A1933" s="2">
        <v>19</v>
      </c>
      <c r="B1933" s="1" t="s">
        <v>244</v>
      </c>
      <c r="C1933" s="4">
        <v>1</v>
      </c>
      <c r="D1933" s="8">
        <v>0.95</v>
      </c>
      <c r="E1933" s="4">
        <v>0</v>
      </c>
      <c r="F1933" s="8">
        <v>0</v>
      </c>
      <c r="G1933" s="4">
        <v>1</v>
      </c>
      <c r="H1933" s="8">
        <v>2.78</v>
      </c>
      <c r="I1933" s="4">
        <v>0</v>
      </c>
    </row>
    <row r="1934" spans="1:9" x14ac:dyDescent="0.2">
      <c r="A1934" s="2">
        <v>19</v>
      </c>
      <c r="B1934" s="1" t="s">
        <v>258</v>
      </c>
      <c r="C1934" s="4">
        <v>1</v>
      </c>
      <c r="D1934" s="8">
        <v>0.95</v>
      </c>
      <c r="E1934" s="4">
        <v>1</v>
      </c>
      <c r="F1934" s="8">
        <v>1.61</v>
      </c>
      <c r="G1934" s="4">
        <v>0</v>
      </c>
      <c r="H1934" s="8">
        <v>0</v>
      </c>
      <c r="I1934" s="4">
        <v>0</v>
      </c>
    </row>
    <row r="1935" spans="1:9" x14ac:dyDescent="0.2">
      <c r="A1935" s="2">
        <v>19</v>
      </c>
      <c r="B1935" s="1" t="s">
        <v>272</v>
      </c>
      <c r="C1935" s="4">
        <v>1</v>
      </c>
      <c r="D1935" s="8">
        <v>0.95</v>
      </c>
      <c r="E1935" s="4">
        <v>1</v>
      </c>
      <c r="F1935" s="8">
        <v>1.61</v>
      </c>
      <c r="G1935" s="4">
        <v>0</v>
      </c>
      <c r="H1935" s="8">
        <v>0</v>
      </c>
      <c r="I1935" s="4">
        <v>0</v>
      </c>
    </row>
    <row r="1936" spans="1:9" x14ac:dyDescent="0.2">
      <c r="A1936" s="2">
        <v>19</v>
      </c>
      <c r="B1936" s="1" t="s">
        <v>216</v>
      </c>
      <c r="C1936" s="4">
        <v>1</v>
      </c>
      <c r="D1936" s="8">
        <v>0.95</v>
      </c>
      <c r="E1936" s="4">
        <v>1</v>
      </c>
      <c r="F1936" s="8">
        <v>1.61</v>
      </c>
      <c r="G1936" s="4">
        <v>0</v>
      </c>
      <c r="H1936" s="8">
        <v>0</v>
      </c>
      <c r="I1936" s="4">
        <v>0</v>
      </c>
    </row>
    <row r="1937" spans="1:9" x14ac:dyDescent="0.2">
      <c r="A1937" s="2">
        <v>19</v>
      </c>
      <c r="B1937" s="1" t="s">
        <v>236</v>
      </c>
      <c r="C1937" s="4">
        <v>1</v>
      </c>
      <c r="D1937" s="8">
        <v>0.95</v>
      </c>
      <c r="E1937" s="4">
        <v>1</v>
      </c>
      <c r="F1937" s="8">
        <v>1.61</v>
      </c>
      <c r="G1937" s="4">
        <v>0</v>
      </c>
      <c r="H1937" s="8">
        <v>0</v>
      </c>
      <c r="I1937" s="4">
        <v>0</v>
      </c>
    </row>
    <row r="1938" spans="1:9" x14ac:dyDescent="0.2">
      <c r="A1938" s="2">
        <v>19</v>
      </c>
      <c r="B1938" s="1" t="s">
        <v>237</v>
      </c>
      <c r="C1938" s="4">
        <v>1</v>
      </c>
      <c r="D1938" s="8">
        <v>0.95</v>
      </c>
      <c r="E1938" s="4">
        <v>0</v>
      </c>
      <c r="F1938" s="8">
        <v>0</v>
      </c>
      <c r="G1938" s="4">
        <v>1</v>
      </c>
      <c r="H1938" s="8">
        <v>2.78</v>
      </c>
      <c r="I1938" s="4">
        <v>0</v>
      </c>
    </row>
    <row r="1939" spans="1:9" x14ac:dyDescent="0.2">
      <c r="A1939" s="2">
        <v>19</v>
      </c>
      <c r="B1939" s="1" t="s">
        <v>229</v>
      </c>
      <c r="C1939" s="4">
        <v>1</v>
      </c>
      <c r="D1939" s="8">
        <v>0.95</v>
      </c>
      <c r="E1939" s="4">
        <v>0</v>
      </c>
      <c r="F1939" s="8">
        <v>0</v>
      </c>
      <c r="G1939" s="4">
        <v>1</v>
      </c>
      <c r="H1939" s="8">
        <v>2.78</v>
      </c>
      <c r="I1939" s="4">
        <v>0</v>
      </c>
    </row>
    <row r="1940" spans="1:9" x14ac:dyDescent="0.2">
      <c r="A1940" s="2">
        <v>19</v>
      </c>
      <c r="B1940" s="1" t="s">
        <v>230</v>
      </c>
      <c r="C1940" s="4">
        <v>1</v>
      </c>
      <c r="D1940" s="8">
        <v>0.95</v>
      </c>
      <c r="E1940" s="4">
        <v>1</v>
      </c>
      <c r="F1940" s="8">
        <v>1.61</v>
      </c>
      <c r="G1940" s="4">
        <v>0</v>
      </c>
      <c r="H1940" s="8">
        <v>0</v>
      </c>
      <c r="I1940" s="4">
        <v>0</v>
      </c>
    </row>
    <row r="1941" spans="1:9" x14ac:dyDescent="0.2">
      <c r="A1941" s="2">
        <v>19</v>
      </c>
      <c r="B1941" s="1" t="s">
        <v>240</v>
      </c>
      <c r="C1941" s="4">
        <v>1</v>
      </c>
      <c r="D1941" s="8">
        <v>0.95</v>
      </c>
      <c r="E1941" s="4">
        <v>0</v>
      </c>
      <c r="F1941" s="8">
        <v>0</v>
      </c>
      <c r="G1941" s="4">
        <v>1</v>
      </c>
      <c r="H1941" s="8">
        <v>2.78</v>
      </c>
      <c r="I1941" s="4">
        <v>0</v>
      </c>
    </row>
    <row r="1942" spans="1:9" x14ac:dyDescent="0.2">
      <c r="A1942" s="2">
        <v>19</v>
      </c>
      <c r="B1942" s="1" t="s">
        <v>242</v>
      </c>
      <c r="C1942" s="4">
        <v>1</v>
      </c>
      <c r="D1942" s="8">
        <v>0.95</v>
      </c>
      <c r="E1942" s="4">
        <v>1</v>
      </c>
      <c r="F1942" s="8">
        <v>1.61</v>
      </c>
      <c r="G1942" s="4">
        <v>0</v>
      </c>
      <c r="H1942" s="8">
        <v>0</v>
      </c>
      <c r="I1942" s="4">
        <v>0</v>
      </c>
    </row>
    <row r="1943" spans="1:9" x14ac:dyDescent="0.2">
      <c r="A1943" s="1"/>
      <c r="C1943" s="4"/>
      <c r="D1943" s="8"/>
      <c r="E1943" s="4"/>
      <c r="F1943" s="8"/>
      <c r="G1943" s="4"/>
      <c r="H1943" s="8"/>
      <c r="I1943" s="4"/>
    </row>
    <row r="1944" spans="1:9" x14ac:dyDescent="0.2">
      <c r="A1944" s="1" t="s">
        <v>80</v>
      </c>
      <c r="C1944" s="4"/>
      <c r="D1944" s="8"/>
      <c r="E1944" s="4"/>
      <c r="F1944" s="8"/>
      <c r="G1944" s="4"/>
      <c r="H1944" s="8"/>
      <c r="I1944" s="4"/>
    </row>
    <row r="1945" spans="1:9" x14ac:dyDescent="0.2">
      <c r="A1945" s="2">
        <v>1</v>
      </c>
      <c r="B1945" s="1" t="s">
        <v>227</v>
      </c>
      <c r="C1945" s="4">
        <v>9</v>
      </c>
      <c r="D1945" s="8">
        <v>12</v>
      </c>
      <c r="E1945" s="4">
        <v>6</v>
      </c>
      <c r="F1945" s="8">
        <v>23.08</v>
      </c>
      <c r="G1945" s="4">
        <v>3</v>
      </c>
      <c r="H1945" s="8">
        <v>6.67</v>
      </c>
      <c r="I1945" s="4">
        <v>0</v>
      </c>
    </row>
    <row r="1946" spans="1:9" x14ac:dyDescent="0.2">
      <c r="A1946" s="2">
        <v>2</v>
      </c>
      <c r="B1946" s="1" t="s">
        <v>228</v>
      </c>
      <c r="C1946" s="4">
        <v>7</v>
      </c>
      <c r="D1946" s="8">
        <v>9.33</v>
      </c>
      <c r="E1946" s="4">
        <v>7</v>
      </c>
      <c r="F1946" s="8">
        <v>26.92</v>
      </c>
      <c r="G1946" s="4">
        <v>0</v>
      </c>
      <c r="H1946" s="8">
        <v>0</v>
      </c>
      <c r="I1946" s="4">
        <v>0</v>
      </c>
    </row>
    <row r="1947" spans="1:9" x14ac:dyDescent="0.2">
      <c r="A1947" s="2">
        <v>3</v>
      </c>
      <c r="B1947" s="1" t="s">
        <v>213</v>
      </c>
      <c r="C1947" s="4">
        <v>6</v>
      </c>
      <c r="D1947" s="8">
        <v>8</v>
      </c>
      <c r="E1947" s="4">
        <v>0</v>
      </c>
      <c r="F1947" s="8">
        <v>0</v>
      </c>
      <c r="G1947" s="4">
        <v>6</v>
      </c>
      <c r="H1947" s="8">
        <v>13.33</v>
      </c>
      <c r="I1947" s="4">
        <v>0</v>
      </c>
    </row>
    <row r="1948" spans="1:9" x14ac:dyDescent="0.2">
      <c r="A1948" s="2">
        <v>3</v>
      </c>
      <c r="B1948" s="1" t="s">
        <v>224</v>
      </c>
      <c r="C1948" s="4">
        <v>6</v>
      </c>
      <c r="D1948" s="8">
        <v>8</v>
      </c>
      <c r="E1948" s="4">
        <v>0</v>
      </c>
      <c r="F1948" s="8">
        <v>0</v>
      </c>
      <c r="G1948" s="4">
        <v>5</v>
      </c>
      <c r="H1948" s="8">
        <v>11.11</v>
      </c>
      <c r="I1948" s="4">
        <v>0</v>
      </c>
    </row>
    <row r="1949" spans="1:9" x14ac:dyDescent="0.2">
      <c r="A1949" s="2">
        <v>3</v>
      </c>
      <c r="B1949" s="1" t="s">
        <v>232</v>
      </c>
      <c r="C1949" s="4">
        <v>6</v>
      </c>
      <c r="D1949" s="8">
        <v>8</v>
      </c>
      <c r="E1949" s="4">
        <v>0</v>
      </c>
      <c r="F1949" s="8">
        <v>0</v>
      </c>
      <c r="G1949" s="4">
        <v>5</v>
      </c>
      <c r="H1949" s="8">
        <v>11.11</v>
      </c>
      <c r="I1949" s="4">
        <v>1</v>
      </c>
    </row>
    <row r="1950" spans="1:9" x14ac:dyDescent="0.2">
      <c r="A1950" s="2">
        <v>6</v>
      </c>
      <c r="B1950" s="1" t="s">
        <v>262</v>
      </c>
      <c r="C1950" s="4">
        <v>5</v>
      </c>
      <c r="D1950" s="8">
        <v>6.67</v>
      </c>
      <c r="E1950" s="4">
        <v>0</v>
      </c>
      <c r="F1950" s="8">
        <v>0</v>
      </c>
      <c r="G1950" s="4">
        <v>5</v>
      </c>
      <c r="H1950" s="8">
        <v>11.11</v>
      </c>
      <c r="I1950" s="4">
        <v>0</v>
      </c>
    </row>
    <row r="1951" spans="1:9" x14ac:dyDescent="0.2">
      <c r="A1951" s="2">
        <v>6</v>
      </c>
      <c r="B1951" s="1" t="s">
        <v>221</v>
      </c>
      <c r="C1951" s="4">
        <v>5</v>
      </c>
      <c r="D1951" s="8">
        <v>6.67</v>
      </c>
      <c r="E1951" s="4">
        <v>3</v>
      </c>
      <c r="F1951" s="8">
        <v>11.54</v>
      </c>
      <c r="G1951" s="4">
        <v>2</v>
      </c>
      <c r="H1951" s="8">
        <v>4.4400000000000004</v>
      </c>
      <c r="I1951" s="4">
        <v>0</v>
      </c>
    </row>
    <row r="1952" spans="1:9" x14ac:dyDescent="0.2">
      <c r="A1952" s="2">
        <v>6</v>
      </c>
      <c r="B1952" s="1" t="s">
        <v>223</v>
      </c>
      <c r="C1952" s="4">
        <v>5</v>
      </c>
      <c r="D1952" s="8">
        <v>6.67</v>
      </c>
      <c r="E1952" s="4">
        <v>1</v>
      </c>
      <c r="F1952" s="8">
        <v>3.85</v>
      </c>
      <c r="G1952" s="4">
        <v>4</v>
      </c>
      <c r="H1952" s="8">
        <v>8.89</v>
      </c>
      <c r="I1952" s="4">
        <v>0</v>
      </c>
    </row>
    <row r="1953" spans="1:9" x14ac:dyDescent="0.2">
      <c r="A1953" s="2">
        <v>9</v>
      </c>
      <c r="B1953" s="1" t="s">
        <v>216</v>
      </c>
      <c r="C1953" s="4">
        <v>3</v>
      </c>
      <c r="D1953" s="8">
        <v>4</v>
      </c>
      <c r="E1953" s="4">
        <v>1</v>
      </c>
      <c r="F1953" s="8">
        <v>3.85</v>
      </c>
      <c r="G1953" s="4">
        <v>2</v>
      </c>
      <c r="H1953" s="8">
        <v>4.4400000000000004</v>
      </c>
      <c r="I1953" s="4">
        <v>0</v>
      </c>
    </row>
    <row r="1954" spans="1:9" x14ac:dyDescent="0.2">
      <c r="A1954" s="2">
        <v>9</v>
      </c>
      <c r="B1954" s="1" t="s">
        <v>231</v>
      </c>
      <c r="C1954" s="4">
        <v>3</v>
      </c>
      <c r="D1954" s="8">
        <v>4</v>
      </c>
      <c r="E1954" s="4">
        <v>3</v>
      </c>
      <c r="F1954" s="8">
        <v>11.54</v>
      </c>
      <c r="G1954" s="4">
        <v>0</v>
      </c>
      <c r="H1954" s="8">
        <v>0</v>
      </c>
      <c r="I1954" s="4">
        <v>0</v>
      </c>
    </row>
    <row r="1955" spans="1:9" x14ac:dyDescent="0.2">
      <c r="A1955" s="2">
        <v>9</v>
      </c>
      <c r="B1955" s="1" t="s">
        <v>250</v>
      </c>
      <c r="C1955" s="4">
        <v>3</v>
      </c>
      <c r="D1955" s="8">
        <v>4</v>
      </c>
      <c r="E1955" s="4">
        <v>0</v>
      </c>
      <c r="F1955" s="8">
        <v>0</v>
      </c>
      <c r="G1955" s="4">
        <v>2</v>
      </c>
      <c r="H1955" s="8">
        <v>4.4400000000000004</v>
      </c>
      <c r="I1955" s="4">
        <v>1</v>
      </c>
    </row>
    <row r="1956" spans="1:9" x14ac:dyDescent="0.2">
      <c r="A1956" s="2">
        <v>12</v>
      </c>
      <c r="B1956" s="1" t="s">
        <v>214</v>
      </c>
      <c r="C1956" s="4">
        <v>2</v>
      </c>
      <c r="D1956" s="8">
        <v>2.67</v>
      </c>
      <c r="E1956" s="4">
        <v>2</v>
      </c>
      <c r="F1956" s="8">
        <v>7.69</v>
      </c>
      <c r="G1956" s="4">
        <v>0</v>
      </c>
      <c r="H1956" s="8">
        <v>0</v>
      </c>
      <c r="I1956" s="4">
        <v>0</v>
      </c>
    </row>
    <row r="1957" spans="1:9" x14ac:dyDescent="0.2">
      <c r="A1957" s="2">
        <v>12</v>
      </c>
      <c r="B1957" s="1" t="s">
        <v>254</v>
      </c>
      <c r="C1957" s="4">
        <v>2</v>
      </c>
      <c r="D1957" s="8">
        <v>2.67</v>
      </c>
      <c r="E1957" s="4">
        <v>0</v>
      </c>
      <c r="F1957" s="8">
        <v>0</v>
      </c>
      <c r="G1957" s="4">
        <v>2</v>
      </c>
      <c r="H1957" s="8">
        <v>4.4400000000000004</v>
      </c>
      <c r="I1957" s="4">
        <v>0</v>
      </c>
    </row>
    <row r="1958" spans="1:9" x14ac:dyDescent="0.2">
      <c r="A1958" s="2">
        <v>12</v>
      </c>
      <c r="B1958" s="1" t="s">
        <v>240</v>
      </c>
      <c r="C1958" s="4">
        <v>2</v>
      </c>
      <c r="D1958" s="8">
        <v>2.67</v>
      </c>
      <c r="E1958" s="4">
        <v>0</v>
      </c>
      <c r="F1958" s="8">
        <v>0</v>
      </c>
      <c r="G1958" s="4">
        <v>2</v>
      </c>
      <c r="H1958" s="8">
        <v>4.4400000000000004</v>
      </c>
      <c r="I1958" s="4">
        <v>0</v>
      </c>
    </row>
    <row r="1959" spans="1:9" x14ac:dyDescent="0.2">
      <c r="A1959" s="2">
        <v>15</v>
      </c>
      <c r="B1959" s="1" t="s">
        <v>215</v>
      </c>
      <c r="C1959" s="4">
        <v>1</v>
      </c>
      <c r="D1959" s="8">
        <v>1.33</v>
      </c>
      <c r="E1959" s="4">
        <v>1</v>
      </c>
      <c r="F1959" s="8">
        <v>3.85</v>
      </c>
      <c r="G1959" s="4">
        <v>0</v>
      </c>
      <c r="H1959" s="8">
        <v>0</v>
      </c>
      <c r="I1959" s="4">
        <v>0</v>
      </c>
    </row>
    <row r="1960" spans="1:9" x14ac:dyDescent="0.2">
      <c r="A1960" s="2">
        <v>15</v>
      </c>
      <c r="B1960" s="1" t="s">
        <v>263</v>
      </c>
      <c r="C1960" s="4">
        <v>1</v>
      </c>
      <c r="D1960" s="8">
        <v>1.33</v>
      </c>
      <c r="E1960" s="4">
        <v>0</v>
      </c>
      <c r="F1960" s="8">
        <v>0</v>
      </c>
      <c r="G1960" s="4">
        <v>1</v>
      </c>
      <c r="H1960" s="8">
        <v>2.2200000000000002</v>
      </c>
      <c r="I1960" s="4">
        <v>0</v>
      </c>
    </row>
    <row r="1961" spans="1:9" x14ac:dyDescent="0.2">
      <c r="A1961" s="2">
        <v>15</v>
      </c>
      <c r="B1961" s="1" t="s">
        <v>255</v>
      </c>
      <c r="C1961" s="4">
        <v>1</v>
      </c>
      <c r="D1961" s="8">
        <v>1.33</v>
      </c>
      <c r="E1961" s="4">
        <v>0</v>
      </c>
      <c r="F1961" s="8">
        <v>0</v>
      </c>
      <c r="G1961" s="4">
        <v>0</v>
      </c>
      <c r="H1961" s="8">
        <v>0</v>
      </c>
      <c r="I1961" s="4">
        <v>0</v>
      </c>
    </row>
    <row r="1962" spans="1:9" x14ac:dyDescent="0.2">
      <c r="A1962" s="2">
        <v>15</v>
      </c>
      <c r="B1962" s="1" t="s">
        <v>275</v>
      </c>
      <c r="C1962" s="4">
        <v>1</v>
      </c>
      <c r="D1962" s="8">
        <v>1.33</v>
      </c>
      <c r="E1962" s="4">
        <v>0</v>
      </c>
      <c r="F1962" s="8">
        <v>0</v>
      </c>
      <c r="G1962" s="4">
        <v>1</v>
      </c>
      <c r="H1962" s="8">
        <v>2.2200000000000002</v>
      </c>
      <c r="I1962" s="4">
        <v>0</v>
      </c>
    </row>
    <row r="1963" spans="1:9" x14ac:dyDescent="0.2">
      <c r="A1963" s="2">
        <v>15</v>
      </c>
      <c r="B1963" s="1" t="s">
        <v>261</v>
      </c>
      <c r="C1963" s="4">
        <v>1</v>
      </c>
      <c r="D1963" s="8">
        <v>1.33</v>
      </c>
      <c r="E1963" s="4">
        <v>0</v>
      </c>
      <c r="F1963" s="8">
        <v>0</v>
      </c>
      <c r="G1963" s="4">
        <v>1</v>
      </c>
      <c r="H1963" s="8">
        <v>2.2200000000000002</v>
      </c>
      <c r="I1963" s="4">
        <v>0</v>
      </c>
    </row>
    <row r="1964" spans="1:9" x14ac:dyDescent="0.2">
      <c r="A1964" s="2">
        <v>15</v>
      </c>
      <c r="B1964" s="1" t="s">
        <v>217</v>
      </c>
      <c r="C1964" s="4">
        <v>1</v>
      </c>
      <c r="D1964" s="8">
        <v>1.33</v>
      </c>
      <c r="E1964" s="4">
        <v>1</v>
      </c>
      <c r="F1964" s="8">
        <v>3.85</v>
      </c>
      <c r="G1964" s="4">
        <v>0</v>
      </c>
      <c r="H1964" s="8">
        <v>0</v>
      </c>
      <c r="I1964" s="4">
        <v>0</v>
      </c>
    </row>
    <row r="1965" spans="1:9" x14ac:dyDescent="0.2">
      <c r="A1965" s="2">
        <v>15</v>
      </c>
      <c r="B1965" s="1" t="s">
        <v>236</v>
      </c>
      <c r="C1965" s="4">
        <v>1</v>
      </c>
      <c r="D1965" s="8">
        <v>1.33</v>
      </c>
      <c r="E1965" s="4">
        <v>0</v>
      </c>
      <c r="F1965" s="8">
        <v>0</v>
      </c>
      <c r="G1965" s="4">
        <v>1</v>
      </c>
      <c r="H1965" s="8">
        <v>2.2200000000000002</v>
      </c>
      <c r="I1965" s="4">
        <v>0</v>
      </c>
    </row>
    <row r="1966" spans="1:9" x14ac:dyDescent="0.2">
      <c r="A1966" s="2">
        <v>15</v>
      </c>
      <c r="B1966" s="1" t="s">
        <v>246</v>
      </c>
      <c r="C1966" s="4">
        <v>1</v>
      </c>
      <c r="D1966" s="8">
        <v>1.33</v>
      </c>
      <c r="E1966" s="4">
        <v>0</v>
      </c>
      <c r="F1966" s="8">
        <v>0</v>
      </c>
      <c r="G1966" s="4">
        <v>1</v>
      </c>
      <c r="H1966" s="8">
        <v>2.2200000000000002</v>
      </c>
      <c r="I1966" s="4">
        <v>0</v>
      </c>
    </row>
    <row r="1967" spans="1:9" x14ac:dyDescent="0.2">
      <c r="A1967" s="2">
        <v>15</v>
      </c>
      <c r="B1967" s="1" t="s">
        <v>225</v>
      </c>
      <c r="C1967" s="4">
        <v>1</v>
      </c>
      <c r="D1967" s="8">
        <v>1.33</v>
      </c>
      <c r="E1967" s="4">
        <v>1</v>
      </c>
      <c r="F1967" s="8">
        <v>3.85</v>
      </c>
      <c r="G1967" s="4">
        <v>0</v>
      </c>
      <c r="H1967" s="8">
        <v>0</v>
      </c>
      <c r="I1967" s="4">
        <v>0</v>
      </c>
    </row>
    <row r="1968" spans="1:9" x14ac:dyDescent="0.2">
      <c r="A1968" s="2">
        <v>15</v>
      </c>
      <c r="B1968" s="1" t="s">
        <v>239</v>
      </c>
      <c r="C1968" s="4">
        <v>1</v>
      </c>
      <c r="D1968" s="8">
        <v>1.33</v>
      </c>
      <c r="E1968" s="4">
        <v>0</v>
      </c>
      <c r="F1968" s="8">
        <v>0</v>
      </c>
      <c r="G1968" s="4">
        <v>1</v>
      </c>
      <c r="H1968" s="8">
        <v>2.2200000000000002</v>
      </c>
      <c r="I1968" s="4">
        <v>0</v>
      </c>
    </row>
    <row r="1969" spans="1:9" x14ac:dyDescent="0.2">
      <c r="A1969" s="2">
        <v>15</v>
      </c>
      <c r="B1969" s="1" t="s">
        <v>249</v>
      </c>
      <c r="C1969" s="4">
        <v>1</v>
      </c>
      <c r="D1969" s="8">
        <v>1.33</v>
      </c>
      <c r="E1969" s="4">
        <v>0</v>
      </c>
      <c r="F1969" s="8">
        <v>0</v>
      </c>
      <c r="G1969" s="4">
        <v>1</v>
      </c>
      <c r="H1969" s="8">
        <v>2.2200000000000002</v>
      </c>
      <c r="I1969" s="4">
        <v>0</v>
      </c>
    </row>
    <row r="1970" spans="1:9" x14ac:dyDescent="0.2">
      <c r="A1970" s="1"/>
      <c r="C1970" s="4"/>
      <c r="D1970" s="8"/>
      <c r="E1970" s="4"/>
      <c r="F1970" s="8"/>
      <c r="G1970" s="4"/>
      <c r="H1970" s="8"/>
      <c r="I1970" s="4"/>
    </row>
    <row r="1971" spans="1:9" x14ac:dyDescent="0.2">
      <c r="A1971" s="1" t="s">
        <v>81</v>
      </c>
      <c r="C1971" s="4"/>
      <c r="D1971" s="8"/>
      <c r="E1971" s="4"/>
      <c r="F1971" s="8"/>
      <c r="G1971" s="4"/>
      <c r="H1971" s="8"/>
      <c r="I1971" s="4"/>
    </row>
    <row r="1972" spans="1:9" x14ac:dyDescent="0.2">
      <c r="A1972" s="2">
        <v>1</v>
      </c>
      <c r="B1972" s="1" t="s">
        <v>228</v>
      </c>
      <c r="C1972" s="4">
        <v>62</v>
      </c>
      <c r="D1972" s="8">
        <v>12.13</v>
      </c>
      <c r="E1972" s="4">
        <v>53</v>
      </c>
      <c r="F1972" s="8">
        <v>19.559999999999999</v>
      </c>
      <c r="G1972" s="4">
        <v>9</v>
      </c>
      <c r="H1972" s="8">
        <v>3.96</v>
      </c>
      <c r="I1972" s="4">
        <v>0</v>
      </c>
    </row>
    <row r="1973" spans="1:9" x14ac:dyDescent="0.2">
      <c r="A1973" s="2">
        <v>2</v>
      </c>
      <c r="B1973" s="1" t="s">
        <v>227</v>
      </c>
      <c r="C1973" s="4">
        <v>51</v>
      </c>
      <c r="D1973" s="8">
        <v>9.98</v>
      </c>
      <c r="E1973" s="4">
        <v>41</v>
      </c>
      <c r="F1973" s="8">
        <v>15.13</v>
      </c>
      <c r="G1973" s="4">
        <v>10</v>
      </c>
      <c r="H1973" s="8">
        <v>4.41</v>
      </c>
      <c r="I1973" s="4">
        <v>0</v>
      </c>
    </row>
    <row r="1974" spans="1:9" x14ac:dyDescent="0.2">
      <c r="A1974" s="2">
        <v>3</v>
      </c>
      <c r="B1974" s="1" t="s">
        <v>224</v>
      </c>
      <c r="C1974" s="4">
        <v>50</v>
      </c>
      <c r="D1974" s="8">
        <v>9.7799999999999994</v>
      </c>
      <c r="E1974" s="4">
        <v>36</v>
      </c>
      <c r="F1974" s="8">
        <v>13.28</v>
      </c>
      <c r="G1974" s="4">
        <v>13</v>
      </c>
      <c r="H1974" s="8">
        <v>5.73</v>
      </c>
      <c r="I1974" s="4">
        <v>0</v>
      </c>
    </row>
    <row r="1975" spans="1:9" x14ac:dyDescent="0.2">
      <c r="A1975" s="2">
        <v>4</v>
      </c>
      <c r="B1975" s="1" t="s">
        <v>223</v>
      </c>
      <c r="C1975" s="4">
        <v>46</v>
      </c>
      <c r="D1975" s="8">
        <v>9</v>
      </c>
      <c r="E1975" s="4">
        <v>13</v>
      </c>
      <c r="F1975" s="8">
        <v>4.8</v>
      </c>
      <c r="G1975" s="4">
        <v>33</v>
      </c>
      <c r="H1975" s="8">
        <v>14.54</v>
      </c>
      <c r="I1975" s="4">
        <v>0</v>
      </c>
    </row>
    <row r="1976" spans="1:9" x14ac:dyDescent="0.2">
      <c r="A1976" s="2">
        <v>5</v>
      </c>
      <c r="B1976" s="1" t="s">
        <v>221</v>
      </c>
      <c r="C1976" s="4">
        <v>38</v>
      </c>
      <c r="D1976" s="8">
        <v>7.44</v>
      </c>
      <c r="E1976" s="4">
        <v>24</v>
      </c>
      <c r="F1976" s="8">
        <v>8.86</v>
      </c>
      <c r="G1976" s="4">
        <v>14</v>
      </c>
      <c r="H1976" s="8">
        <v>6.17</v>
      </c>
      <c r="I1976" s="4">
        <v>0</v>
      </c>
    </row>
    <row r="1977" spans="1:9" x14ac:dyDescent="0.2">
      <c r="A1977" s="2">
        <v>6</v>
      </c>
      <c r="B1977" s="1" t="s">
        <v>214</v>
      </c>
      <c r="C1977" s="4">
        <v>23</v>
      </c>
      <c r="D1977" s="8">
        <v>4.5</v>
      </c>
      <c r="E1977" s="4">
        <v>17</v>
      </c>
      <c r="F1977" s="8">
        <v>6.27</v>
      </c>
      <c r="G1977" s="4">
        <v>6</v>
      </c>
      <c r="H1977" s="8">
        <v>2.64</v>
      </c>
      <c r="I1977" s="4">
        <v>0</v>
      </c>
    </row>
    <row r="1978" spans="1:9" x14ac:dyDescent="0.2">
      <c r="A1978" s="2">
        <v>7</v>
      </c>
      <c r="B1978" s="1" t="s">
        <v>213</v>
      </c>
      <c r="C1978" s="4">
        <v>21</v>
      </c>
      <c r="D1978" s="8">
        <v>4.1100000000000003</v>
      </c>
      <c r="E1978" s="4">
        <v>6</v>
      </c>
      <c r="F1978" s="8">
        <v>2.21</v>
      </c>
      <c r="G1978" s="4">
        <v>15</v>
      </c>
      <c r="H1978" s="8">
        <v>6.61</v>
      </c>
      <c r="I1978" s="4">
        <v>0</v>
      </c>
    </row>
    <row r="1979" spans="1:9" x14ac:dyDescent="0.2">
      <c r="A1979" s="2">
        <v>8</v>
      </c>
      <c r="B1979" s="1" t="s">
        <v>232</v>
      </c>
      <c r="C1979" s="4">
        <v>20</v>
      </c>
      <c r="D1979" s="8">
        <v>3.91</v>
      </c>
      <c r="E1979" s="4">
        <v>0</v>
      </c>
      <c r="F1979" s="8">
        <v>0</v>
      </c>
      <c r="G1979" s="4">
        <v>16</v>
      </c>
      <c r="H1979" s="8">
        <v>7.05</v>
      </c>
      <c r="I1979" s="4">
        <v>0</v>
      </c>
    </row>
    <row r="1980" spans="1:9" x14ac:dyDescent="0.2">
      <c r="A1980" s="2">
        <v>9</v>
      </c>
      <c r="B1980" s="1" t="s">
        <v>243</v>
      </c>
      <c r="C1980" s="4">
        <v>18</v>
      </c>
      <c r="D1980" s="8">
        <v>3.52</v>
      </c>
      <c r="E1980" s="4">
        <v>15</v>
      </c>
      <c r="F1980" s="8">
        <v>5.54</v>
      </c>
      <c r="G1980" s="4">
        <v>3</v>
      </c>
      <c r="H1980" s="8">
        <v>1.32</v>
      </c>
      <c r="I1980" s="4">
        <v>0</v>
      </c>
    </row>
    <row r="1981" spans="1:9" x14ac:dyDescent="0.2">
      <c r="A1981" s="2">
        <v>10</v>
      </c>
      <c r="B1981" s="1" t="s">
        <v>231</v>
      </c>
      <c r="C1981" s="4">
        <v>16</v>
      </c>
      <c r="D1981" s="8">
        <v>3.13</v>
      </c>
      <c r="E1981" s="4">
        <v>14</v>
      </c>
      <c r="F1981" s="8">
        <v>5.17</v>
      </c>
      <c r="G1981" s="4">
        <v>2</v>
      </c>
      <c r="H1981" s="8">
        <v>0.88</v>
      </c>
      <c r="I1981" s="4">
        <v>0</v>
      </c>
    </row>
    <row r="1982" spans="1:9" x14ac:dyDescent="0.2">
      <c r="A1982" s="2">
        <v>11</v>
      </c>
      <c r="B1982" s="1" t="s">
        <v>216</v>
      </c>
      <c r="C1982" s="4">
        <v>15</v>
      </c>
      <c r="D1982" s="8">
        <v>2.94</v>
      </c>
      <c r="E1982" s="4">
        <v>3</v>
      </c>
      <c r="F1982" s="8">
        <v>1.1100000000000001</v>
      </c>
      <c r="G1982" s="4">
        <v>12</v>
      </c>
      <c r="H1982" s="8">
        <v>5.29</v>
      </c>
      <c r="I1982" s="4">
        <v>0</v>
      </c>
    </row>
    <row r="1983" spans="1:9" x14ac:dyDescent="0.2">
      <c r="A1983" s="2">
        <v>11</v>
      </c>
      <c r="B1983" s="1" t="s">
        <v>222</v>
      </c>
      <c r="C1983" s="4">
        <v>15</v>
      </c>
      <c r="D1983" s="8">
        <v>2.94</v>
      </c>
      <c r="E1983" s="4">
        <v>5</v>
      </c>
      <c r="F1983" s="8">
        <v>1.85</v>
      </c>
      <c r="G1983" s="4">
        <v>10</v>
      </c>
      <c r="H1983" s="8">
        <v>4.41</v>
      </c>
      <c r="I1983" s="4">
        <v>0</v>
      </c>
    </row>
    <row r="1984" spans="1:9" x14ac:dyDescent="0.2">
      <c r="A1984" s="2">
        <v>13</v>
      </c>
      <c r="B1984" s="1" t="s">
        <v>220</v>
      </c>
      <c r="C1984" s="4">
        <v>11</v>
      </c>
      <c r="D1984" s="8">
        <v>2.15</v>
      </c>
      <c r="E1984" s="4">
        <v>2</v>
      </c>
      <c r="F1984" s="8">
        <v>0.74</v>
      </c>
      <c r="G1984" s="4">
        <v>9</v>
      </c>
      <c r="H1984" s="8">
        <v>3.96</v>
      </c>
      <c r="I1984" s="4">
        <v>0</v>
      </c>
    </row>
    <row r="1985" spans="1:9" x14ac:dyDescent="0.2">
      <c r="A1985" s="2">
        <v>14</v>
      </c>
      <c r="B1985" s="1" t="s">
        <v>241</v>
      </c>
      <c r="C1985" s="4">
        <v>10</v>
      </c>
      <c r="D1985" s="8">
        <v>1.96</v>
      </c>
      <c r="E1985" s="4">
        <v>2</v>
      </c>
      <c r="F1985" s="8">
        <v>0.74</v>
      </c>
      <c r="G1985" s="4">
        <v>8</v>
      </c>
      <c r="H1985" s="8">
        <v>3.52</v>
      </c>
      <c r="I1985" s="4">
        <v>0</v>
      </c>
    </row>
    <row r="1986" spans="1:9" x14ac:dyDescent="0.2">
      <c r="A1986" s="2">
        <v>15</v>
      </c>
      <c r="B1986" s="1" t="s">
        <v>230</v>
      </c>
      <c r="C1986" s="4">
        <v>9</v>
      </c>
      <c r="D1986" s="8">
        <v>1.76</v>
      </c>
      <c r="E1986" s="4">
        <v>4</v>
      </c>
      <c r="F1986" s="8">
        <v>1.48</v>
      </c>
      <c r="G1986" s="4">
        <v>2</v>
      </c>
      <c r="H1986" s="8">
        <v>0.88</v>
      </c>
      <c r="I1986" s="4">
        <v>0</v>
      </c>
    </row>
    <row r="1987" spans="1:9" x14ac:dyDescent="0.2">
      <c r="A1987" s="2">
        <v>16</v>
      </c>
      <c r="B1987" s="1" t="s">
        <v>233</v>
      </c>
      <c r="C1987" s="4">
        <v>7</v>
      </c>
      <c r="D1987" s="8">
        <v>1.37</v>
      </c>
      <c r="E1987" s="4">
        <v>1</v>
      </c>
      <c r="F1987" s="8">
        <v>0.37</v>
      </c>
      <c r="G1987" s="4">
        <v>6</v>
      </c>
      <c r="H1987" s="8">
        <v>2.64</v>
      </c>
      <c r="I1987" s="4">
        <v>0</v>
      </c>
    </row>
    <row r="1988" spans="1:9" x14ac:dyDescent="0.2">
      <c r="A1988" s="2">
        <v>16</v>
      </c>
      <c r="B1988" s="1" t="s">
        <v>225</v>
      </c>
      <c r="C1988" s="4">
        <v>7</v>
      </c>
      <c r="D1988" s="8">
        <v>1.37</v>
      </c>
      <c r="E1988" s="4">
        <v>6</v>
      </c>
      <c r="F1988" s="8">
        <v>2.21</v>
      </c>
      <c r="G1988" s="4">
        <v>1</v>
      </c>
      <c r="H1988" s="8">
        <v>0.44</v>
      </c>
      <c r="I1988" s="4">
        <v>0</v>
      </c>
    </row>
    <row r="1989" spans="1:9" x14ac:dyDescent="0.2">
      <c r="A1989" s="2">
        <v>18</v>
      </c>
      <c r="B1989" s="1" t="s">
        <v>217</v>
      </c>
      <c r="C1989" s="4">
        <v>6</v>
      </c>
      <c r="D1989" s="8">
        <v>1.17</v>
      </c>
      <c r="E1989" s="4">
        <v>1</v>
      </c>
      <c r="F1989" s="8">
        <v>0.37</v>
      </c>
      <c r="G1989" s="4">
        <v>5</v>
      </c>
      <c r="H1989" s="8">
        <v>2.2000000000000002</v>
      </c>
      <c r="I1989" s="4">
        <v>0</v>
      </c>
    </row>
    <row r="1990" spans="1:9" x14ac:dyDescent="0.2">
      <c r="A1990" s="2">
        <v>18</v>
      </c>
      <c r="B1990" s="1" t="s">
        <v>226</v>
      </c>
      <c r="C1990" s="4">
        <v>6</v>
      </c>
      <c r="D1990" s="8">
        <v>1.17</v>
      </c>
      <c r="E1990" s="4">
        <v>6</v>
      </c>
      <c r="F1990" s="8">
        <v>2.21</v>
      </c>
      <c r="G1990" s="4">
        <v>0</v>
      </c>
      <c r="H1990" s="8">
        <v>0</v>
      </c>
      <c r="I1990" s="4">
        <v>0</v>
      </c>
    </row>
    <row r="1991" spans="1:9" x14ac:dyDescent="0.2">
      <c r="A1991" s="2">
        <v>20</v>
      </c>
      <c r="B1991" s="1" t="s">
        <v>215</v>
      </c>
      <c r="C1991" s="4">
        <v>5</v>
      </c>
      <c r="D1991" s="8">
        <v>0.98</v>
      </c>
      <c r="E1991" s="4">
        <v>2</v>
      </c>
      <c r="F1991" s="8">
        <v>0.74</v>
      </c>
      <c r="G1991" s="4">
        <v>3</v>
      </c>
      <c r="H1991" s="8">
        <v>1.32</v>
      </c>
      <c r="I1991" s="4">
        <v>0</v>
      </c>
    </row>
    <row r="1992" spans="1:9" x14ac:dyDescent="0.2">
      <c r="A1992" s="2">
        <v>20</v>
      </c>
      <c r="B1992" s="1" t="s">
        <v>236</v>
      </c>
      <c r="C1992" s="4">
        <v>5</v>
      </c>
      <c r="D1992" s="8">
        <v>0.98</v>
      </c>
      <c r="E1992" s="4">
        <v>0</v>
      </c>
      <c r="F1992" s="8">
        <v>0</v>
      </c>
      <c r="G1992" s="4">
        <v>5</v>
      </c>
      <c r="H1992" s="8">
        <v>2.2000000000000002</v>
      </c>
      <c r="I1992" s="4">
        <v>0</v>
      </c>
    </row>
    <row r="1993" spans="1:9" x14ac:dyDescent="0.2">
      <c r="A1993" s="2">
        <v>20</v>
      </c>
      <c r="B1993" s="1" t="s">
        <v>229</v>
      </c>
      <c r="C1993" s="4">
        <v>5</v>
      </c>
      <c r="D1993" s="8">
        <v>0.98</v>
      </c>
      <c r="E1993" s="4">
        <v>1</v>
      </c>
      <c r="F1993" s="8">
        <v>0.37</v>
      </c>
      <c r="G1993" s="4">
        <v>4</v>
      </c>
      <c r="H1993" s="8">
        <v>1.76</v>
      </c>
      <c r="I1993" s="4">
        <v>0</v>
      </c>
    </row>
    <row r="1994" spans="1:9" x14ac:dyDescent="0.2">
      <c r="A1994" s="1"/>
      <c r="C1994" s="4"/>
      <c r="D1994" s="8"/>
      <c r="E1994" s="4"/>
      <c r="F1994" s="8"/>
      <c r="G1994" s="4"/>
      <c r="H1994" s="8"/>
      <c r="I1994" s="4"/>
    </row>
    <row r="1995" spans="1:9" x14ac:dyDescent="0.2">
      <c r="A1995" s="1" t="s">
        <v>82</v>
      </c>
      <c r="C1995" s="4"/>
      <c r="D1995" s="8"/>
      <c r="E1995" s="4"/>
      <c r="F1995" s="8"/>
      <c r="G1995" s="4"/>
      <c r="H1995" s="8"/>
      <c r="I1995" s="4"/>
    </row>
    <row r="1996" spans="1:9" x14ac:dyDescent="0.2">
      <c r="A1996" s="2">
        <v>1</v>
      </c>
      <c r="B1996" s="1" t="s">
        <v>243</v>
      </c>
      <c r="C1996" s="4">
        <v>4</v>
      </c>
      <c r="D1996" s="8">
        <v>16.670000000000002</v>
      </c>
      <c r="E1996" s="4">
        <v>3</v>
      </c>
      <c r="F1996" s="8">
        <v>30</v>
      </c>
      <c r="G1996" s="4">
        <v>1</v>
      </c>
      <c r="H1996" s="8">
        <v>8.33</v>
      </c>
      <c r="I1996" s="4">
        <v>0</v>
      </c>
    </row>
    <row r="1997" spans="1:9" x14ac:dyDescent="0.2">
      <c r="A1997" s="2">
        <v>2</v>
      </c>
      <c r="B1997" s="1" t="s">
        <v>213</v>
      </c>
      <c r="C1997" s="4">
        <v>3</v>
      </c>
      <c r="D1997" s="8">
        <v>12.5</v>
      </c>
      <c r="E1997" s="4">
        <v>0</v>
      </c>
      <c r="F1997" s="8">
        <v>0</v>
      </c>
      <c r="G1997" s="4">
        <v>3</v>
      </c>
      <c r="H1997" s="8">
        <v>25</v>
      </c>
      <c r="I1997" s="4">
        <v>0</v>
      </c>
    </row>
    <row r="1998" spans="1:9" x14ac:dyDescent="0.2">
      <c r="A1998" s="2">
        <v>2</v>
      </c>
      <c r="B1998" s="1" t="s">
        <v>223</v>
      </c>
      <c r="C1998" s="4">
        <v>3</v>
      </c>
      <c r="D1998" s="8">
        <v>12.5</v>
      </c>
      <c r="E1998" s="4">
        <v>2</v>
      </c>
      <c r="F1998" s="8">
        <v>20</v>
      </c>
      <c r="G1998" s="4">
        <v>1</v>
      </c>
      <c r="H1998" s="8">
        <v>8.33</v>
      </c>
      <c r="I1998" s="4">
        <v>0</v>
      </c>
    </row>
    <row r="1999" spans="1:9" x14ac:dyDescent="0.2">
      <c r="A1999" s="2">
        <v>2</v>
      </c>
      <c r="B1999" s="1" t="s">
        <v>227</v>
      </c>
      <c r="C1999" s="4">
        <v>3</v>
      </c>
      <c r="D1999" s="8">
        <v>12.5</v>
      </c>
      <c r="E1999" s="4">
        <v>1</v>
      </c>
      <c r="F1999" s="8">
        <v>10</v>
      </c>
      <c r="G1999" s="4">
        <v>2</v>
      </c>
      <c r="H1999" s="8">
        <v>16.670000000000002</v>
      </c>
      <c r="I1999" s="4">
        <v>0</v>
      </c>
    </row>
    <row r="2000" spans="1:9" x14ac:dyDescent="0.2">
      <c r="A2000" s="2">
        <v>5</v>
      </c>
      <c r="B2000" s="1" t="s">
        <v>258</v>
      </c>
      <c r="C2000" s="4">
        <v>1</v>
      </c>
      <c r="D2000" s="8">
        <v>4.17</v>
      </c>
      <c r="E2000" s="4">
        <v>1</v>
      </c>
      <c r="F2000" s="8">
        <v>10</v>
      </c>
      <c r="G2000" s="4">
        <v>0</v>
      </c>
      <c r="H2000" s="8">
        <v>0</v>
      </c>
      <c r="I2000" s="4">
        <v>0</v>
      </c>
    </row>
    <row r="2001" spans="1:9" x14ac:dyDescent="0.2">
      <c r="A2001" s="2">
        <v>5</v>
      </c>
      <c r="B2001" s="1" t="s">
        <v>254</v>
      </c>
      <c r="C2001" s="4">
        <v>1</v>
      </c>
      <c r="D2001" s="8">
        <v>4.17</v>
      </c>
      <c r="E2001" s="4">
        <v>0</v>
      </c>
      <c r="F2001" s="8">
        <v>0</v>
      </c>
      <c r="G2001" s="4">
        <v>1</v>
      </c>
      <c r="H2001" s="8">
        <v>8.33</v>
      </c>
      <c r="I2001" s="4">
        <v>0</v>
      </c>
    </row>
    <row r="2002" spans="1:9" x14ac:dyDescent="0.2">
      <c r="A2002" s="2">
        <v>5</v>
      </c>
      <c r="B2002" s="1" t="s">
        <v>255</v>
      </c>
      <c r="C2002" s="4">
        <v>1</v>
      </c>
      <c r="D2002" s="8">
        <v>4.17</v>
      </c>
      <c r="E2002" s="4">
        <v>0</v>
      </c>
      <c r="F2002" s="8">
        <v>0</v>
      </c>
      <c r="G2002" s="4">
        <v>0</v>
      </c>
      <c r="H2002" s="8">
        <v>0</v>
      </c>
      <c r="I2002" s="4">
        <v>0</v>
      </c>
    </row>
    <row r="2003" spans="1:9" x14ac:dyDescent="0.2">
      <c r="A2003" s="2">
        <v>5</v>
      </c>
      <c r="B2003" s="1" t="s">
        <v>238</v>
      </c>
      <c r="C2003" s="4">
        <v>1</v>
      </c>
      <c r="D2003" s="8">
        <v>4.17</v>
      </c>
      <c r="E2003" s="4">
        <v>0</v>
      </c>
      <c r="F2003" s="8">
        <v>0</v>
      </c>
      <c r="G2003" s="4">
        <v>1</v>
      </c>
      <c r="H2003" s="8">
        <v>8.33</v>
      </c>
      <c r="I2003" s="4">
        <v>0</v>
      </c>
    </row>
    <row r="2004" spans="1:9" x14ac:dyDescent="0.2">
      <c r="A2004" s="2">
        <v>5</v>
      </c>
      <c r="B2004" s="1" t="s">
        <v>217</v>
      </c>
      <c r="C2004" s="4">
        <v>1</v>
      </c>
      <c r="D2004" s="8">
        <v>4.17</v>
      </c>
      <c r="E2004" s="4">
        <v>0</v>
      </c>
      <c r="F2004" s="8">
        <v>0</v>
      </c>
      <c r="G2004" s="4">
        <v>1</v>
      </c>
      <c r="H2004" s="8">
        <v>8.33</v>
      </c>
      <c r="I2004" s="4">
        <v>0</v>
      </c>
    </row>
    <row r="2005" spans="1:9" x14ac:dyDescent="0.2">
      <c r="A2005" s="2">
        <v>5</v>
      </c>
      <c r="B2005" s="1" t="s">
        <v>219</v>
      </c>
      <c r="C2005" s="4">
        <v>1</v>
      </c>
      <c r="D2005" s="8">
        <v>4.17</v>
      </c>
      <c r="E2005" s="4">
        <v>0</v>
      </c>
      <c r="F2005" s="8">
        <v>0</v>
      </c>
      <c r="G2005" s="4">
        <v>1</v>
      </c>
      <c r="H2005" s="8">
        <v>8.33</v>
      </c>
      <c r="I2005" s="4">
        <v>0</v>
      </c>
    </row>
    <row r="2006" spans="1:9" x14ac:dyDescent="0.2">
      <c r="A2006" s="2">
        <v>5</v>
      </c>
      <c r="B2006" s="1" t="s">
        <v>236</v>
      </c>
      <c r="C2006" s="4">
        <v>1</v>
      </c>
      <c r="D2006" s="8">
        <v>4.17</v>
      </c>
      <c r="E2006" s="4">
        <v>1</v>
      </c>
      <c r="F2006" s="8">
        <v>10</v>
      </c>
      <c r="G2006" s="4">
        <v>0</v>
      </c>
      <c r="H2006" s="8">
        <v>0</v>
      </c>
      <c r="I2006" s="4">
        <v>0</v>
      </c>
    </row>
    <row r="2007" spans="1:9" x14ac:dyDescent="0.2">
      <c r="A2007" s="2">
        <v>5</v>
      </c>
      <c r="B2007" s="1" t="s">
        <v>228</v>
      </c>
      <c r="C2007" s="4">
        <v>1</v>
      </c>
      <c r="D2007" s="8">
        <v>4.17</v>
      </c>
      <c r="E2007" s="4">
        <v>1</v>
      </c>
      <c r="F2007" s="8">
        <v>10</v>
      </c>
      <c r="G2007" s="4">
        <v>0</v>
      </c>
      <c r="H2007" s="8">
        <v>0</v>
      </c>
      <c r="I2007" s="4">
        <v>0</v>
      </c>
    </row>
    <row r="2008" spans="1:9" x14ac:dyDescent="0.2">
      <c r="A2008" s="2">
        <v>5</v>
      </c>
      <c r="B2008" s="1" t="s">
        <v>249</v>
      </c>
      <c r="C2008" s="4">
        <v>1</v>
      </c>
      <c r="D2008" s="8">
        <v>4.17</v>
      </c>
      <c r="E2008" s="4">
        <v>0</v>
      </c>
      <c r="F2008" s="8">
        <v>0</v>
      </c>
      <c r="G2008" s="4">
        <v>0</v>
      </c>
      <c r="H2008" s="8">
        <v>0</v>
      </c>
      <c r="I2008" s="4">
        <v>0</v>
      </c>
    </row>
    <row r="2009" spans="1:9" x14ac:dyDescent="0.2">
      <c r="A2009" s="2">
        <v>5</v>
      </c>
      <c r="B2009" s="1" t="s">
        <v>240</v>
      </c>
      <c r="C2009" s="4">
        <v>1</v>
      </c>
      <c r="D2009" s="8">
        <v>4.17</v>
      </c>
      <c r="E2009" s="4">
        <v>1</v>
      </c>
      <c r="F2009" s="8">
        <v>10</v>
      </c>
      <c r="G2009" s="4">
        <v>0</v>
      </c>
      <c r="H2009" s="8">
        <v>0</v>
      </c>
      <c r="I2009" s="4">
        <v>0</v>
      </c>
    </row>
    <row r="2010" spans="1:9" x14ac:dyDescent="0.2">
      <c r="A2010" s="2">
        <v>5</v>
      </c>
      <c r="B2010" s="1" t="s">
        <v>234</v>
      </c>
      <c r="C2010" s="4">
        <v>1</v>
      </c>
      <c r="D2010" s="8">
        <v>4.17</v>
      </c>
      <c r="E2010" s="4">
        <v>0</v>
      </c>
      <c r="F2010" s="8">
        <v>0</v>
      </c>
      <c r="G2010" s="4">
        <v>1</v>
      </c>
      <c r="H2010" s="8">
        <v>8.33</v>
      </c>
      <c r="I2010" s="4">
        <v>0</v>
      </c>
    </row>
    <row r="2011" spans="1:9" x14ac:dyDescent="0.2">
      <c r="A2011" s="1"/>
      <c r="C2011" s="4"/>
      <c r="D2011" s="8"/>
      <c r="E2011" s="4"/>
      <c r="F2011" s="8"/>
      <c r="G2011" s="4"/>
      <c r="H2011" s="8"/>
      <c r="I2011" s="4"/>
    </row>
    <row r="2012" spans="1:9" x14ac:dyDescent="0.2">
      <c r="A2012" s="1" t="s">
        <v>83</v>
      </c>
      <c r="C2012" s="4"/>
      <c r="D2012" s="8"/>
      <c r="E2012" s="4"/>
      <c r="F2012" s="8"/>
      <c r="G2012" s="4"/>
      <c r="H2012" s="8"/>
      <c r="I2012" s="4"/>
    </row>
    <row r="2013" spans="1:9" x14ac:dyDescent="0.2">
      <c r="A2013" s="2">
        <v>1</v>
      </c>
      <c r="B2013" s="1" t="s">
        <v>227</v>
      </c>
      <c r="C2013" s="4">
        <v>20</v>
      </c>
      <c r="D2013" s="8">
        <v>14.39</v>
      </c>
      <c r="E2013" s="4">
        <v>17</v>
      </c>
      <c r="F2013" s="8">
        <v>28.33</v>
      </c>
      <c r="G2013" s="4">
        <v>3</v>
      </c>
      <c r="H2013" s="8">
        <v>4.17</v>
      </c>
      <c r="I2013" s="4">
        <v>0</v>
      </c>
    </row>
    <row r="2014" spans="1:9" x14ac:dyDescent="0.2">
      <c r="A2014" s="2">
        <v>2</v>
      </c>
      <c r="B2014" s="1" t="s">
        <v>228</v>
      </c>
      <c r="C2014" s="4">
        <v>15</v>
      </c>
      <c r="D2014" s="8">
        <v>10.79</v>
      </c>
      <c r="E2014" s="4">
        <v>15</v>
      </c>
      <c r="F2014" s="8">
        <v>25</v>
      </c>
      <c r="G2014" s="4">
        <v>0</v>
      </c>
      <c r="H2014" s="8">
        <v>0</v>
      </c>
      <c r="I2014" s="4">
        <v>0</v>
      </c>
    </row>
    <row r="2015" spans="1:9" x14ac:dyDescent="0.2">
      <c r="A2015" s="2">
        <v>3</v>
      </c>
      <c r="B2015" s="1" t="s">
        <v>213</v>
      </c>
      <c r="C2015" s="4">
        <v>11</v>
      </c>
      <c r="D2015" s="8">
        <v>7.91</v>
      </c>
      <c r="E2015" s="4">
        <v>1</v>
      </c>
      <c r="F2015" s="8">
        <v>1.67</v>
      </c>
      <c r="G2015" s="4">
        <v>10</v>
      </c>
      <c r="H2015" s="8">
        <v>13.89</v>
      </c>
      <c r="I2015" s="4">
        <v>0</v>
      </c>
    </row>
    <row r="2016" spans="1:9" x14ac:dyDescent="0.2">
      <c r="A2016" s="2">
        <v>4</v>
      </c>
      <c r="B2016" s="1" t="s">
        <v>223</v>
      </c>
      <c r="C2016" s="4">
        <v>7</v>
      </c>
      <c r="D2016" s="8">
        <v>5.04</v>
      </c>
      <c r="E2016" s="4">
        <v>5</v>
      </c>
      <c r="F2016" s="8">
        <v>8.33</v>
      </c>
      <c r="G2016" s="4">
        <v>2</v>
      </c>
      <c r="H2016" s="8">
        <v>2.78</v>
      </c>
      <c r="I2016" s="4">
        <v>0</v>
      </c>
    </row>
    <row r="2017" spans="1:9" x14ac:dyDescent="0.2">
      <c r="A2017" s="2">
        <v>4</v>
      </c>
      <c r="B2017" s="1" t="s">
        <v>231</v>
      </c>
      <c r="C2017" s="4">
        <v>7</v>
      </c>
      <c r="D2017" s="8">
        <v>5.04</v>
      </c>
      <c r="E2017" s="4">
        <v>5</v>
      </c>
      <c r="F2017" s="8">
        <v>8.33</v>
      </c>
      <c r="G2017" s="4">
        <v>2</v>
      </c>
      <c r="H2017" s="8">
        <v>2.78</v>
      </c>
      <c r="I2017" s="4">
        <v>0</v>
      </c>
    </row>
    <row r="2018" spans="1:9" x14ac:dyDescent="0.2">
      <c r="A2018" s="2">
        <v>6</v>
      </c>
      <c r="B2018" s="1" t="s">
        <v>214</v>
      </c>
      <c r="C2018" s="4">
        <v>6</v>
      </c>
      <c r="D2018" s="8">
        <v>4.32</v>
      </c>
      <c r="E2018" s="4">
        <v>1</v>
      </c>
      <c r="F2018" s="8">
        <v>1.67</v>
      </c>
      <c r="G2018" s="4">
        <v>5</v>
      </c>
      <c r="H2018" s="8">
        <v>6.94</v>
      </c>
      <c r="I2018" s="4">
        <v>0</v>
      </c>
    </row>
    <row r="2019" spans="1:9" x14ac:dyDescent="0.2">
      <c r="A2019" s="2">
        <v>6</v>
      </c>
      <c r="B2019" s="1" t="s">
        <v>215</v>
      </c>
      <c r="C2019" s="4">
        <v>6</v>
      </c>
      <c r="D2019" s="8">
        <v>4.32</v>
      </c>
      <c r="E2019" s="4">
        <v>2</v>
      </c>
      <c r="F2019" s="8">
        <v>3.33</v>
      </c>
      <c r="G2019" s="4">
        <v>4</v>
      </c>
      <c r="H2019" s="8">
        <v>5.56</v>
      </c>
      <c r="I2019" s="4">
        <v>0</v>
      </c>
    </row>
    <row r="2020" spans="1:9" x14ac:dyDescent="0.2">
      <c r="A2020" s="2">
        <v>6</v>
      </c>
      <c r="B2020" s="1" t="s">
        <v>241</v>
      </c>
      <c r="C2020" s="4">
        <v>6</v>
      </c>
      <c r="D2020" s="8">
        <v>4.32</v>
      </c>
      <c r="E2020" s="4">
        <v>0</v>
      </c>
      <c r="F2020" s="8">
        <v>0</v>
      </c>
      <c r="G2020" s="4">
        <v>6</v>
      </c>
      <c r="H2020" s="8">
        <v>8.33</v>
      </c>
      <c r="I2020" s="4">
        <v>0</v>
      </c>
    </row>
    <row r="2021" spans="1:9" x14ac:dyDescent="0.2">
      <c r="A2021" s="2">
        <v>9</v>
      </c>
      <c r="B2021" s="1" t="s">
        <v>222</v>
      </c>
      <c r="C2021" s="4">
        <v>5</v>
      </c>
      <c r="D2021" s="8">
        <v>3.6</v>
      </c>
      <c r="E2021" s="4">
        <v>2</v>
      </c>
      <c r="F2021" s="8">
        <v>3.33</v>
      </c>
      <c r="G2021" s="4">
        <v>3</v>
      </c>
      <c r="H2021" s="8">
        <v>4.17</v>
      </c>
      <c r="I2021" s="4">
        <v>0</v>
      </c>
    </row>
    <row r="2022" spans="1:9" x14ac:dyDescent="0.2">
      <c r="A2022" s="2">
        <v>9</v>
      </c>
      <c r="B2022" s="1" t="s">
        <v>224</v>
      </c>
      <c r="C2022" s="4">
        <v>5</v>
      </c>
      <c r="D2022" s="8">
        <v>3.6</v>
      </c>
      <c r="E2022" s="4">
        <v>4</v>
      </c>
      <c r="F2022" s="8">
        <v>6.67</v>
      </c>
      <c r="G2022" s="4">
        <v>1</v>
      </c>
      <c r="H2022" s="8">
        <v>1.39</v>
      </c>
      <c r="I2022" s="4">
        <v>0</v>
      </c>
    </row>
    <row r="2023" spans="1:9" x14ac:dyDescent="0.2">
      <c r="A2023" s="2">
        <v>9</v>
      </c>
      <c r="B2023" s="1" t="s">
        <v>240</v>
      </c>
      <c r="C2023" s="4">
        <v>5</v>
      </c>
      <c r="D2023" s="8">
        <v>3.6</v>
      </c>
      <c r="E2023" s="4">
        <v>0</v>
      </c>
      <c r="F2023" s="8">
        <v>0</v>
      </c>
      <c r="G2023" s="4">
        <v>5</v>
      </c>
      <c r="H2023" s="8">
        <v>6.94</v>
      </c>
      <c r="I2023" s="4">
        <v>0</v>
      </c>
    </row>
    <row r="2024" spans="1:9" x14ac:dyDescent="0.2">
      <c r="A2024" s="2">
        <v>12</v>
      </c>
      <c r="B2024" s="1" t="s">
        <v>216</v>
      </c>
      <c r="C2024" s="4">
        <v>4</v>
      </c>
      <c r="D2024" s="8">
        <v>2.88</v>
      </c>
      <c r="E2024" s="4">
        <v>0</v>
      </c>
      <c r="F2024" s="8">
        <v>0</v>
      </c>
      <c r="G2024" s="4">
        <v>4</v>
      </c>
      <c r="H2024" s="8">
        <v>5.56</v>
      </c>
      <c r="I2024" s="4">
        <v>0</v>
      </c>
    </row>
    <row r="2025" spans="1:9" x14ac:dyDescent="0.2">
      <c r="A2025" s="2">
        <v>12</v>
      </c>
      <c r="B2025" s="1" t="s">
        <v>226</v>
      </c>
      <c r="C2025" s="4">
        <v>4</v>
      </c>
      <c r="D2025" s="8">
        <v>2.88</v>
      </c>
      <c r="E2025" s="4">
        <v>0</v>
      </c>
      <c r="F2025" s="8">
        <v>0</v>
      </c>
      <c r="G2025" s="4">
        <v>3</v>
      </c>
      <c r="H2025" s="8">
        <v>4.17</v>
      </c>
      <c r="I2025" s="4">
        <v>1</v>
      </c>
    </row>
    <row r="2026" spans="1:9" x14ac:dyDescent="0.2">
      <c r="A2026" s="2">
        <v>12</v>
      </c>
      <c r="B2026" s="1" t="s">
        <v>239</v>
      </c>
      <c r="C2026" s="4">
        <v>4</v>
      </c>
      <c r="D2026" s="8">
        <v>2.88</v>
      </c>
      <c r="E2026" s="4">
        <v>1</v>
      </c>
      <c r="F2026" s="8">
        <v>1.67</v>
      </c>
      <c r="G2026" s="4">
        <v>2</v>
      </c>
      <c r="H2026" s="8">
        <v>2.78</v>
      </c>
      <c r="I2026" s="4">
        <v>0</v>
      </c>
    </row>
    <row r="2027" spans="1:9" x14ac:dyDescent="0.2">
      <c r="A2027" s="2">
        <v>12</v>
      </c>
      <c r="B2027" s="1" t="s">
        <v>247</v>
      </c>
      <c r="C2027" s="4">
        <v>4</v>
      </c>
      <c r="D2027" s="8">
        <v>2.88</v>
      </c>
      <c r="E2027" s="4">
        <v>0</v>
      </c>
      <c r="F2027" s="8">
        <v>0</v>
      </c>
      <c r="G2027" s="4">
        <v>1</v>
      </c>
      <c r="H2027" s="8">
        <v>1.39</v>
      </c>
      <c r="I2027" s="4">
        <v>2</v>
      </c>
    </row>
    <row r="2028" spans="1:9" x14ac:dyDescent="0.2">
      <c r="A2028" s="2">
        <v>16</v>
      </c>
      <c r="B2028" s="1" t="s">
        <v>253</v>
      </c>
      <c r="C2028" s="4">
        <v>3</v>
      </c>
      <c r="D2028" s="8">
        <v>2.16</v>
      </c>
      <c r="E2028" s="4">
        <v>0</v>
      </c>
      <c r="F2028" s="8">
        <v>0</v>
      </c>
      <c r="G2028" s="4">
        <v>3</v>
      </c>
      <c r="H2028" s="8">
        <v>4.17</v>
      </c>
      <c r="I2028" s="4">
        <v>0</v>
      </c>
    </row>
    <row r="2029" spans="1:9" x14ac:dyDescent="0.2">
      <c r="A2029" s="2">
        <v>16</v>
      </c>
      <c r="B2029" s="1" t="s">
        <v>268</v>
      </c>
      <c r="C2029" s="4">
        <v>3</v>
      </c>
      <c r="D2029" s="8">
        <v>2.16</v>
      </c>
      <c r="E2029" s="4">
        <v>0</v>
      </c>
      <c r="F2029" s="8">
        <v>0</v>
      </c>
      <c r="G2029" s="4">
        <v>3</v>
      </c>
      <c r="H2029" s="8">
        <v>4.17</v>
      </c>
      <c r="I2029" s="4">
        <v>0</v>
      </c>
    </row>
    <row r="2030" spans="1:9" x14ac:dyDescent="0.2">
      <c r="A2030" s="2">
        <v>16</v>
      </c>
      <c r="B2030" s="1" t="s">
        <v>217</v>
      </c>
      <c r="C2030" s="4">
        <v>3</v>
      </c>
      <c r="D2030" s="8">
        <v>2.16</v>
      </c>
      <c r="E2030" s="4">
        <v>0</v>
      </c>
      <c r="F2030" s="8">
        <v>0</v>
      </c>
      <c r="G2030" s="4">
        <v>3</v>
      </c>
      <c r="H2030" s="8">
        <v>4.17</v>
      </c>
      <c r="I2030" s="4">
        <v>0</v>
      </c>
    </row>
    <row r="2031" spans="1:9" x14ac:dyDescent="0.2">
      <c r="A2031" s="2">
        <v>19</v>
      </c>
      <c r="B2031" s="1" t="s">
        <v>261</v>
      </c>
      <c r="C2031" s="4">
        <v>2</v>
      </c>
      <c r="D2031" s="8">
        <v>1.44</v>
      </c>
      <c r="E2031" s="4">
        <v>0</v>
      </c>
      <c r="F2031" s="8">
        <v>0</v>
      </c>
      <c r="G2031" s="4">
        <v>1</v>
      </c>
      <c r="H2031" s="8">
        <v>1.39</v>
      </c>
      <c r="I2031" s="4">
        <v>1</v>
      </c>
    </row>
    <row r="2032" spans="1:9" x14ac:dyDescent="0.2">
      <c r="A2032" s="2">
        <v>19</v>
      </c>
      <c r="B2032" s="1" t="s">
        <v>221</v>
      </c>
      <c r="C2032" s="4">
        <v>2</v>
      </c>
      <c r="D2032" s="8">
        <v>1.44</v>
      </c>
      <c r="E2032" s="4">
        <v>1</v>
      </c>
      <c r="F2032" s="8">
        <v>1.67</v>
      </c>
      <c r="G2032" s="4">
        <v>1</v>
      </c>
      <c r="H2032" s="8">
        <v>1.39</v>
      </c>
      <c r="I2032" s="4">
        <v>0</v>
      </c>
    </row>
    <row r="2033" spans="1:9" x14ac:dyDescent="0.2">
      <c r="A2033" s="2">
        <v>19</v>
      </c>
      <c r="B2033" s="1" t="s">
        <v>225</v>
      </c>
      <c r="C2033" s="4">
        <v>2</v>
      </c>
      <c r="D2033" s="8">
        <v>1.44</v>
      </c>
      <c r="E2033" s="4">
        <v>1</v>
      </c>
      <c r="F2033" s="8">
        <v>1.67</v>
      </c>
      <c r="G2033" s="4">
        <v>1</v>
      </c>
      <c r="H2033" s="8">
        <v>1.39</v>
      </c>
      <c r="I2033" s="4">
        <v>0</v>
      </c>
    </row>
    <row r="2034" spans="1:9" x14ac:dyDescent="0.2">
      <c r="A2034" s="2">
        <v>19</v>
      </c>
      <c r="B2034" s="1" t="s">
        <v>229</v>
      </c>
      <c r="C2034" s="4">
        <v>2</v>
      </c>
      <c r="D2034" s="8">
        <v>1.44</v>
      </c>
      <c r="E2034" s="4">
        <v>2</v>
      </c>
      <c r="F2034" s="8">
        <v>3.33</v>
      </c>
      <c r="G2034" s="4">
        <v>0</v>
      </c>
      <c r="H2034" s="8">
        <v>0</v>
      </c>
      <c r="I2034" s="4">
        <v>0</v>
      </c>
    </row>
    <row r="2035" spans="1:9" x14ac:dyDescent="0.2">
      <c r="A2035" s="2">
        <v>19</v>
      </c>
      <c r="B2035" s="1" t="s">
        <v>230</v>
      </c>
      <c r="C2035" s="4">
        <v>2</v>
      </c>
      <c r="D2035" s="8">
        <v>1.44</v>
      </c>
      <c r="E2035" s="4">
        <v>2</v>
      </c>
      <c r="F2035" s="8">
        <v>3.33</v>
      </c>
      <c r="G2035" s="4">
        <v>0</v>
      </c>
      <c r="H2035" s="8">
        <v>0</v>
      </c>
      <c r="I2035" s="4">
        <v>0</v>
      </c>
    </row>
    <row r="2036" spans="1:9" x14ac:dyDescent="0.2">
      <c r="A2036" s="1"/>
      <c r="C2036" s="4"/>
      <c r="D2036" s="8"/>
      <c r="E2036" s="4"/>
      <c r="F2036" s="8"/>
      <c r="G2036" s="4"/>
      <c r="H2036" s="8"/>
      <c r="I2036" s="4"/>
    </row>
    <row r="2037" spans="1:9" x14ac:dyDescent="0.2">
      <c r="A2037" s="1" t="s">
        <v>84</v>
      </c>
      <c r="C2037" s="4"/>
      <c r="D2037" s="8"/>
      <c r="E2037" s="4"/>
      <c r="F2037" s="8"/>
      <c r="G2037" s="4"/>
      <c r="H2037" s="8"/>
      <c r="I2037" s="4"/>
    </row>
    <row r="2038" spans="1:9" x14ac:dyDescent="0.2">
      <c r="A2038" s="2">
        <v>1</v>
      </c>
      <c r="B2038" s="1" t="s">
        <v>214</v>
      </c>
      <c r="C2038" s="4">
        <v>13</v>
      </c>
      <c r="D2038" s="8">
        <v>9.92</v>
      </c>
      <c r="E2038" s="4">
        <v>6</v>
      </c>
      <c r="F2038" s="8">
        <v>11.76</v>
      </c>
      <c r="G2038" s="4">
        <v>7</v>
      </c>
      <c r="H2038" s="8">
        <v>10</v>
      </c>
      <c r="I2038" s="4">
        <v>0</v>
      </c>
    </row>
    <row r="2039" spans="1:9" x14ac:dyDescent="0.2">
      <c r="A2039" s="2">
        <v>2</v>
      </c>
      <c r="B2039" s="1" t="s">
        <v>213</v>
      </c>
      <c r="C2039" s="4">
        <v>11</v>
      </c>
      <c r="D2039" s="8">
        <v>8.4</v>
      </c>
      <c r="E2039" s="4">
        <v>1</v>
      </c>
      <c r="F2039" s="8">
        <v>1.96</v>
      </c>
      <c r="G2039" s="4">
        <v>10</v>
      </c>
      <c r="H2039" s="8">
        <v>14.29</v>
      </c>
      <c r="I2039" s="4">
        <v>0</v>
      </c>
    </row>
    <row r="2040" spans="1:9" x14ac:dyDescent="0.2">
      <c r="A2040" s="2">
        <v>2</v>
      </c>
      <c r="B2040" s="1" t="s">
        <v>227</v>
      </c>
      <c r="C2040" s="4">
        <v>11</v>
      </c>
      <c r="D2040" s="8">
        <v>8.4</v>
      </c>
      <c r="E2040" s="4">
        <v>9</v>
      </c>
      <c r="F2040" s="8">
        <v>17.649999999999999</v>
      </c>
      <c r="G2040" s="4">
        <v>2</v>
      </c>
      <c r="H2040" s="8">
        <v>2.86</v>
      </c>
      <c r="I2040" s="4">
        <v>0</v>
      </c>
    </row>
    <row r="2041" spans="1:9" x14ac:dyDescent="0.2">
      <c r="A2041" s="2">
        <v>4</v>
      </c>
      <c r="B2041" s="1" t="s">
        <v>223</v>
      </c>
      <c r="C2041" s="4">
        <v>10</v>
      </c>
      <c r="D2041" s="8">
        <v>7.63</v>
      </c>
      <c r="E2041" s="4">
        <v>3</v>
      </c>
      <c r="F2041" s="8">
        <v>5.88</v>
      </c>
      <c r="G2041" s="4">
        <v>7</v>
      </c>
      <c r="H2041" s="8">
        <v>10</v>
      </c>
      <c r="I2041" s="4">
        <v>0</v>
      </c>
    </row>
    <row r="2042" spans="1:9" x14ac:dyDescent="0.2">
      <c r="A2042" s="2">
        <v>4</v>
      </c>
      <c r="B2042" s="1" t="s">
        <v>232</v>
      </c>
      <c r="C2042" s="4">
        <v>10</v>
      </c>
      <c r="D2042" s="8">
        <v>7.63</v>
      </c>
      <c r="E2042" s="4">
        <v>0</v>
      </c>
      <c r="F2042" s="8">
        <v>0</v>
      </c>
      <c r="G2042" s="4">
        <v>6</v>
      </c>
      <c r="H2042" s="8">
        <v>8.57</v>
      </c>
      <c r="I2042" s="4">
        <v>0</v>
      </c>
    </row>
    <row r="2043" spans="1:9" x14ac:dyDescent="0.2">
      <c r="A2043" s="2">
        <v>6</v>
      </c>
      <c r="B2043" s="1" t="s">
        <v>224</v>
      </c>
      <c r="C2043" s="4">
        <v>8</v>
      </c>
      <c r="D2043" s="8">
        <v>6.11</v>
      </c>
      <c r="E2043" s="4">
        <v>4</v>
      </c>
      <c r="F2043" s="8">
        <v>7.84</v>
      </c>
      <c r="G2043" s="4">
        <v>2</v>
      </c>
      <c r="H2043" s="8">
        <v>2.86</v>
      </c>
      <c r="I2043" s="4">
        <v>0</v>
      </c>
    </row>
    <row r="2044" spans="1:9" x14ac:dyDescent="0.2">
      <c r="A2044" s="2">
        <v>7</v>
      </c>
      <c r="B2044" s="1" t="s">
        <v>228</v>
      </c>
      <c r="C2044" s="4">
        <v>7</v>
      </c>
      <c r="D2044" s="8">
        <v>5.34</v>
      </c>
      <c r="E2044" s="4">
        <v>7</v>
      </c>
      <c r="F2044" s="8">
        <v>13.73</v>
      </c>
      <c r="G2044" s="4">
        <v>0</v>
      </c>
      <c r="H2044" s="8">
        <v>0</v>
      </c>
      <c r="I2044" s="4">
        <v>0</v>
      </c>
    </row>
    <row r="2045" spans="1:9" x14ac:dyDescent="0.2">
      <c r="A2045" s="2">
        <v>8</v>
      </c>
      <c r="B2045" s="1" t="s">
        <v>221</v>
      </c>
      <c r="C2045" s="4">
        <v>6</v>
      </c>
      <c r="D2045" s="8">
        <v>4.58</v>
      </c>
      <c r="E2045" s="4">
        <v>3</v>
      </c>
      <c r="F2045" s="8">
        <v>5.88</v>
      </c>
      <c r="G2045" s="4">
        <v>3</v>
      </c>
      <c r="H2045" s="8">
        <v>4.29</v>
      </c>
      <c r="I2045" s="4">
        <v>0</v>
      </c>
    </row>
    <row r="2046" spans="1:9" x14ac:dyDescent="0.2">
      <c r="A2046" s="2">
        <v>9</v>
      </c>
      <c r="B2046" s="1" t="s">
        <v>215</v>
      </c>
      <c r="C2046" s="4">
        <v>5</v>
      </c>
      <c r="D2046" s="8">
        <v>3.82</v>
      </c>
      <c r="E2046" s="4">
        <v>1</v>
      </c>
      <c r="F2046" s="8">
        <v>1.96</v>
      </c>
      <c r="G2046" s="4">
        <v>4</v>
      </c>
      <c r="H2046" s="8">
        <v>5.71</v>
      </c>
      <c r="I2046" s="4">
        <v>0</v>
      </c>
    </row>
    <row r="2047" spans="1:9" x14ac:dyDescent="0.2">
      <c r="A2047" s="2">
        <v>9</v>
      </c>
      <c r="B2047" s="1" t="s">
        <v>230</v>
      </c>
      <c r="C2047" s="4">
        <v>5</v>
      </c>
      <c r="D2047" s="8">
        <v>3.82</v>
      </c>
      <c r="E2047" s="4">
        <v>3</v>
      </c>
      <c r="F2047" s="8">
        <v>5.88</v>
      </c>
      <c r="G2047" s="4">
        <v>0</v>
      </c>
      <c r="H2047" s="8">
        <v>0</v>
      </c>
      <c r="I2047" s="4">
        <v>0</v>
      </c>
    </row>
    <row r="2048" spans="1:9" x14ac:dyDescent="0.2">
      <c r="A2048" s="2">
        <v>9</v>
      </c>
      <c r="B2048" s="1" t="s">
        <v>231</v>
      </c>
      <c r="C2048" s="4">
        <v>5</v>
      </c>
      <c r="D2048" s="8">
        <v>3.82</v>
      </c>
      <c r="E2048" s="4">
        <v>4</v>
      </c>
      <c r="F2048" s="8">
        <v>7.84</v>
      </c>
      <c r="G2048" s="4">
        <v>1</v>
      </c>
      <c r="H2048" s="8">
        <v>1.43</v>
      </c>
      <c r="I2048" s="4">
        <v>0</v>
      </c>
    </row>
    <row r="2049" spans="1:9" x14ac:dyDescent="0.2">
      <c r="A2049" s="2">
        <v>12</v>
      </c>
      <c r="B2049" s="1" t="s">
        <v>217</v>
      </c>
      <c r="C2049" s="4">
        <v>3</v>
      </c>
      <c r="D2049" s="8">
        <v>2.29</v>
      </c>
      <c r="E2049" s="4">
        <v>0</v>
      </c>
      <c r="F2049" s="8">
        <v>0</v>
      </c>
      <c r="G2049" s="4">
        <v>3</v>
      </c>
      <c r="H2049" s="8">
        <v>4.29</v>
      </c>
      <c r="I2049" s="4">
        <v>0</v>
      </c>
    </row>
    <row r="2050" spans="1:9" x14ac:dyDescent="0.2">
      <c r="A2050" s="2">
        <v>12</v>
      </c>
      <c r="B2050" s="1" t="s">
        <v>220</v>
      </c>
      <c r="C2050" s="4">
        <v>3</v>
      </c>
      <c r="D2050" s="8">
        <v>2.29</v>
      </c>
      <c r="E2050" s="4">
        <v>2</v>
      </c>
      <c r="F2050" s="8">
        <v>3.92</v>
      </c>
      <c r="G2050" s="4">
        <v>1</v>
      </c>
      <c r="H2050" s="8">
        <v>1.43</v>
      </c>
      <c r="I2050" s="4">
        <v>0</v>
      </c>
    </row>
    <row r="2051" spans="1:9" x14ac:dyDescent="0.2">
      <c r="A2051" s="2">
        <v>12</v>
      </c>
      <c r="B2051" s="1" t="s">
        <v>222</v>
      </c>
      <c r="C2051" s="4">
        <v>3</v>
      </c>
      <c r="D2051" s="8">
        <v>2.29</v>
      </c>
      <c r="E2051" s="4">
        <v>1</v>
      </c>
      <c r="F2051" s="8">
        <v>1.96</v>
      </c>
      <c r="G2051" s="4">
        <v>2</v>
      </c>
      <c r="H2051" s="8">
        <v>2.86</v>
      </c>
      <c r="I2051" s="4">
        <v>0</v>
      </c>
    </row>
    <row r="2052" spans="1:9" x14ac:dyDescent="0.2">
      <c r="A2052" s="2">
        <v>15</v>
      </c>
      <c r="B2052" s="1" t="s">
        <v>241</v>
      </c>
      <c r="C2052" s="4">
        <v>2</v>
      </c>
      <c r="D2052" s="8">
        <v>1.53</v>
      </c>
      <c r="E2052" s="4">
        <v>1</v>
      </c>
      <c r="F2052" s="8">
        <v>1.96</v>
      </c>
      <c r="G2052" s="4">
        <v>1</v>
      </c>
      <c r="H2052" s="8">
        <v>1.43</v>
      </c>
      <c r="I2052" s="4">
        <v>0</v>
      </c>
    </row>
    <row r="2053" spans="1:9" x14ac:dyDescent="0.2">
      <c r="A2053" s="2">
        <v>15</v>
      </c>
      <c r="B2053" s="1" t="s">
        <v>262</v>
      </c>
      <c r="C2053" s="4">
        <v>2</v>
      </c>
      <c r="D2053" s="8">
        <v>1.53</v>
      </c>
      <c r="E2053" s="4">
        <v>0</v>
      </c>
      <c r="F2053" s="8">
        <v>0</v>
      </c>
      <c r="G2053" s="4">
        <v>2</v>
      </c>
      <c r="H2053" s="8">
        <v>2.86</v>
      </c>
      <c r="I2053" s="4">
        <v>0</v>
      </c>
    </row>
    <row r="2054" spans="1:9" x14ac:dyDescent="0.2">
      <c r="A2054" s="2">
        <v>15</v>
      </c>
      <c r="B2054" s="1" t="s">
        <v>254</v>
      </c>
      <c r="C2054" s="4">
        <v>2</v>
      </c>
      <c r="D2054" s="8">
        <v>1.53</v>
      </c>
      <c r="E2054" s="4">
        <v>0</v>
      </c>
      <c r="F2054" s="8">
        <v>0</v>
      </c>
      <c r="G2054" s="4">
        <v>2</v>
      </c>
      <c r="H2054" s="8">
        <v>2.86</v>
      </c>
      <c r="I2054" s="4">
        <v>0</v>
      </c>
    </row>
    <row r="2055" spans="1:9" x14ac:dyDescent="0.2">
      <c r="A2055" s="2">
        <v>15</v>
      </c>
      <c r="B2055" s="1" t="s">
        <v>246</v>
      </c>
      <c r="C2055" s="4">
        <v>2</v>
      </c>
      <c r="D2055" s="8">
        <v>1.53</v>
      </c>
      <c r="E2055" s="4">
        <v>0</v>
      </c>
      <c r="F2055" s="8">
        <v>0</v>
      </c>
      <c r="G2055" s="4">
        <v>2</v>
      </c>
      <c r="H2055" s="8">
        <v>2.86</v>
      </c>
      <c r="I2055" s="4">
        <v>0</v>
      </c>
    </row>
    <row r="2056" spans="1:9" x14ac:dyDescent="0.2">
      <c r="A2056" s="2">
        <v>15</v>
      </c>
      <c r="B2056" s="1" t="s">
        <v>225</v>
      </c>
      <c r="C2056" s="4">
        <v>2</v>
      </c>
      <c r="D2056" s="8">
        <v>1.53</v>
      </c>
      <c r="E2056" s="4">
        <v>0</v>
      </c>
      <c r="F2056" s="8">
        <v>0</v>
      </c>
      <c r="G2056" s="4">
        <v>2</v>
      </c>
      <c r="H2056" s="8">
        <v>2.86</v>
      </c>
      <c r="I2056" s="4">
        <v>0</v>
      </c>
    </row>
    <row r="2057" spans="1:9" x14ac:dyDescent="0.2">
      <c r="A2057" s="2">
        <v>15</v>
      </c>
      <c r="B2057" s="1" t="s">
        <v>226</v>
      </c>
      <c r="C2057" s="4">
        <v>2</v>
      </c>
      <c r="D2057" s="8">
        <v>1.53</v>
      </c>
      <c r="E2057" s="4">
        <v>0</v>
      </c>
      <c r="F2057" s="8">
        <v>0</v>
      </c>
      <c r="G2057" s="4">
        <v>2</v>
      </c>
      <c r="H2057" s="8">
        <v>2.86</v>
      </c>
      <c r="I2057" s="4">
        <v>0</v>
      </c>
    </row>
    <row r="2058" spans="1:9" x14ac:dyDescent="0.2">
      <c r="A2058" s="2">
        <v>15</v>
      </c>
      <c r="B2058" s="1" t="s">
        <v>239</v>
      </c>
      <c r="C2058" s="4">
        <v>2</v>
      </c>
      <c r="D2058" s="8">
        <v>1.53</v>
      </c>
      <c r="E2058" s="4">
        <v>1</v>
      </c>
      <c r="F2058" s="8">
        <v>1.96</v>
      </c>
      <c r="G2058" s="4">
        <v>1</v>
      </c>
      <c r="H2058" s="8">
        <v>1.43</v>
      </c>
      <c r="I2058" s="4">
        <v>0</v>
      </c>
    </row>
    <row r="2059" spans="1:9" x14ac:dyDescent="0.2">
      <c r="A2059" s="2">
        <v>15</v>
      </c>
      <c r="B2059" s="1" t="s">
        <v>229</v>
      </c>
      <c r="C2059" s="4">
        <v>2</v>
      </c>
      <c r="D2059" s="8">
        <v>1.53</v>
      </c>
      <c r="E2059" s="4">
        <v>2</v>
      </c>
      <c r="F2059" s="8">
        <v>3.92</v>
      </c>
      <c r="G2059" s="4">
        <v>0</v>
      </c>
      <c r="H2059" s="8">
        <v>0</v>
      </c>
      <c r="I2059" s="4">
        <v>0</v>
      </c>
    </row>
    <row r="2060" spans="1:9" x14ac:dyDescent="0.2">
      <c r="A2060" s="1"/>
      <c r="C2060" s="4"/>
      <c r="D2060" s="8"/>
      <c r="E2060" s="4"/>
      <c r="F2060" s="8"/>
      <c r="G2060" s="4"/>
      <c r="H2060" s="8"/>
      <c r="I2060" s="4"/>
    </row>
    <row r="2061" spans="1:9" x14ac:dyDescent="0.2">
      <c r="A2061" s="1" t="s">
        <v>85</v>
      </c>
      <c r="C2061" s="4"/>
      <c r="D2061" s="8"/>
      <c r="E2061" s="4"/>
      <c r="F2061" s="8"/>
      <c r="G2061" s="4"/>
      <c r="H2061" s="8"/>
      <c r="I2061" s="4"/>
    </row>
    <row r="2062" spans="1:9" x14ac:dyDescent="0.2">
      <c r="A2062" s="2">
        <v>1</v>
      </c>
      <c r="B2062" s="1" t="s">
        <v>228</v>
      </c>
      <c r="C2062" s="4">
        <v>12</v>
      </c>
      <c r="D2062" s="8">
        <v>19.350000000000001</v>
      </c>
      <c r="E2062" s="4">
        <v>10</v>
      </c>
      <c r="F2062" s="8">
        <v>32.26</v>
      </c>
      <c r="G2062" s="4">
        <v>0</v>
      </c>
      <c r="H2062" s="8">
        <v>0</v>
      </c>
      <c r="I2062" s="4">
        <v>2</v>
      </c>
    </row>
    <row r="2063" spans="1:9" x14ac:dyDescent="0.2">
      <c r="A2063" s="2">
        <v>2</v>
      </c>
      <c r="B2063" s="1" t="s">
        <v>214</v>
      </c>
      <c r="C2063" s="4">
        <v>6</v>
      </c>
      <c r="D2063" s="8">
        <v>9.68</v>
      </c>
      <c r="E2063" s="4">
        <v>5</v>
      </c>
      <c r="F2063" s="8">
        <v>16.13</v>
      </c>
      <c r="G2063" s="4">
        <v>1</v>
      </c>
      <c r="H2063" s="8">
        <v>4.76</v>
      </c>
      <c r="I2063" s="4">
        <v>0</v>
      </c>
    </row>
    <row r="2064" spans="1:9" x14ac:dyDescent="0.2">
      <c r="A2064" s="2">
        <v>2</v>
      </c>
      <c r="B2064" s="1" t="s">
        <v>223</v>
      </c>
      <c r="C2064" s="4">
        <v>6</v>
      </c>
      <c r="D2064" s="8">
        <v>9.68</v>
      </c>
      <c r="E2064" s="4">
        <v>5</v>
      </c>
      <c r="F2064" s="8">
        <v>16.13</v>
      </c>
      <c r="G2064" s="4">
        <v>1</v>
      </c>
      <c r="H2064" s="8">
        <v>4.76</v>
      </c>
      <c r="I2064" s="4">
        <v>0</v>
      </c>
    </row>
    <row r="2065" spans="1:9" x14ac:dyDescent="0.2">
      <c r="A2065" s="2">
        <v>4</v>
      </c>
      <c r="B2065" s="1" t="s">
        <v>213</v>
      </c>
      <c r="C2065" s="4">
        <v>4</v>
      </c>
      <c r="D2065" s="8">
        <v>6.45</v>
      </c>
      <c r="E2065" s="4">
        <v>1</v>
      </c>
      <c r="F2065" s="8">
        <v>3.23</v>
      </c>
      <c r="G2065" s="4">
        <v>3</v>
      </c>
      <c r="H2065" s="8">
        <v>14.29</v>
      </c>
      <c r="I2065" s="4">
        <v>0</v>
      </c>
    </row>
    <row r="2066" spans="1:9" x14ac:dyDescent="0.2">
      <c r="A2066" s="2">
        <v>4</v>
      </c>
      <c r="B2066" s="1" t="s">
        <v>221</v>
      </c>
      <c r="C2066" s="4">
        <v>4</v>
      </c>
      <c r="D2066" s="8">
        <v>6.45</v>
      </c>
      <c r="E2066" s="4">
        <v>1</v>
      </c>
      <c r="F2066" s="8">
        <v>3.23</v>
      </c>
      <c r="G2066" s="4">
        <v>3</v>
      </c>
      <c r="H2066" s="8">
        <v>14.29</v>
      </c>
      <c r="I2066" s="4">
        <v>0</v>
      </c>
    </row>
    <row r="2067" spans="1:9" x14ac:dyDescent="0.2">
      <c r="A2067" s="2">
        <v>4</v>
      </c>
      <c r="B2067" s="1" t="s">
        <v>232</v>
      </c>
      <c r="C2067" s="4">
        <v>4</v>
      </c>
      <c r="D2067" s="8">
        <v>6.45</v>
      </c>
      <c r="E2067" s="4">
        <v>0</v>
      </c>
      <c r="F2067" s="8">
        <v>0</v>
      </c>
      <c r="G2067" s="4">
        <v>3</v>
      </c>
      <c r="H2067" s="8">
        <v>14.29</v>
      </c>
      <c r="I2067" s="4">
        <v>0</v>
      </c>
    </row>
    <row r="2068" spans="1:9" x14ac:dyDescent="0.2">
      <c r="A2068" s="2">
        <v>7</v>
      </c>
      <c r="B2068" s="1" t="s">
        <v>249</v>
      </c>
      <c r="C2068" s="4">
        <v>3</v>
      </c>
      <c r="D2068" s="8">
        <v>4.84</v>
      </c>
      <c r="E2068" s="4">
        <v>1</v>
      </c>
      <c r="F2068" s="8">
        <v>3.23</v>
      </c>
      <c r="G2068" s="4">
        <v>1</v>
      </c>
      <c r="H2068" s="8">
        <v>4.76</v>
      </c>
      <c r="I2068" s="4">
        <v>0</v>
      </c>
    </row>
    <row r="2069" spans="1:9" x14ac:dyDescent="0.2">
      <c r="A2069" s="2">
        <v>8</v>
      </c>
      <c r="B2069" s="1" t="s">
        <v>215</v>
      </c>
      <c r="C2069" s="4">
        <v>2</v>
      </c>
      <c r="D2069" s="8">
        <v>3.23</v>
      </c>
      <c r="E2069" s="4">
        <v>2</v>
      </c>
      <c r="F2069" s="8">
        <v>6.45</v>
      </c>
      <c r="G2069" s="4">
        <v>0</v>
      </c>
      <c r="H2069" s="8">
        <v>0</v>
      </c>
      <c r="I2069" s="4">
        <v>0</v>
      </c>
    </row>
    <row r="2070" spans="1:9" x14ac:dyDescent="0.2">
      <c r="A2070" s="2">
        <v>8</v>
      </c>
      <c r="B2070" s="1" t="s">
        <v>241</v>
      </c>
      <c r="C2070" s="4">
        <v>2</v>
      </c>
      <c r="D2070" s="8">
        <v>3.23</v>
      </c>
      <c r="E2070" s="4">
        <v>2</v>
      </c>
      <c r="F2070" s="8">
        <v>6.45</v>
      </c>
      <c r="G2070" s="4">
        <v>0</v>
      </c>
      <c r="H2070" s="8">
        <v>0</v>
      </c>
      <c r="I2070" s="4">
        <v>0</v>
      </c>
    </row>
    <row r="2071" spans="1:9" x14ac:dyDescent="0.2">
      <c r="A2071" s="2">
        <v>8</v>
      </c>
      <c r="B2071" s="1" t="s">
        <v>220</v>
      </c>
      <c r="C2071" s="4">
        <v>2</v>
      </c>
      <c r="D2071" s="8">
        <v>3.23</v>
      </c>
      <c r="E2071" s="4">
        <v>2</v>
      </c>
      <c r="F2071" s="8">
        <v>6.45</v>
      </c>
      <c r="G2071" s="4">
        <v>0</v>
      </c>
      <c r="H2071" s="8">
        <v>0</v>
      </c>
      <c r="I2071" s="4">
        <v>0</v>
      </c>
    </row>
    <row r="2072" spans="1:9" x14ac:dyDescent="0.2">
      <c r="A2072" s="2">
        <v>8</v>
      </c>
      <c r="B2072" s="1" t="s">
        <v>222</v>
      </c>
      <c r="C2072" s="4">
        <v>2</v>
      </c>
      <c r="D2072" s="8">
        <v>3.23</v>
      </c>
      <c r="E2072" s="4">
        <v>0</v>
      </c>
      <c r="F2072" s="8">
        <v>0</v>
      </c>
      <c r="G2072" s="4">
        <v>2</v>
      </c>
      <c r="H2072" s="8">
        <v>9.52</v>
      </c>
      <c r="I2072" s="4">
        <v>0</v>
      </c>
    </row>
    <row r="2073" spans="1:9" x14ac:dyDescent="0.2">
      <c r="A2073" s="2">
        <v>8</v>
      </c>
      <c r="B2073" s="1" t="s">
        <v>224</v>
      </c>
      <c r="C2073" s="4">
        <v>2</v>
      </c>
      <c r="D2073" s="8">
        <v>3.23</v>
      </c>
      <c r="E2073" s="4">
        <v>0</v>
      </c>
      <c r="F2073" s="8">
        <v>0</v>
      </c>
      <c r="G2073" s="4">
        <v>1</v>
      </c>
      <c r="H2073" s="8">
        <v>4.76</v>
      </c>
      <c r="I2073" s="4">
        <v>0</v>
      </c>
    </row>
    <row r="2074" spans="1:9" x14ac:dyDescent="0.2">
      <c r="A2074" s="2">
        <v>8</v>
      </c>
      <c r="B2074" s="1" t="s">
        <v>247</v>
      </c>
      <c r="C2074" s="4">
        <v>2</v>
      </c>
      <c r="D2074" s="8">
        <v>3.23</v>
      </c>
      <c r="E2074" s="4">
        <v>0</v>
      </c>
      <c r="F2074" s="8">
        <v>0</v>
      </c>
      <c r="G2074" s="4">
        <v>0</v>
      </c>
      <c r="H2074" s="8">
        <v>0</v>
      </c>
      <c r="I2074" s="4">
        <v>0</v>
      </c>
    </row>
    <row r="2075" spans="1:9" x14ac:dyDescent="0.2">
      <c r="A2075" s="2">
        <v>8</v>
      </c>
      <c r="B2075" s="1" t="s">
        <v>250</v>
      </c>
      <c r="C2075" s="4">
        <v>2</v>
      </c>
      <c r="D2075" s="8">
        <v>3.23</v>
      </c>
      <c r="E2075" s="4">
        <v>0</v>
      </c>
      <c r="F2075" s="8">
        <v>0</v>
      </c>
      <c r="G2075" s="4">
        <v>0</v>
      </c>
      <c r="H2075" s="8">
        <v>0</v>
      </c>
      <c r="I2075" s="4">
        <v>0</v>
      </c>
    </row>
    <row r="2076" spans="1:9" x14ac:dyDescent="0.2">
      <c r="A2076" s="2">
        <v>15</v>
      </c>
      <c r="B2076" s="1" t="s">
        <v>252</v>
      </c>
      <c r="C2076" s="4">
        <v>1</v>
      </c>
      <c r="D2076" s="8">
        <v>1.61</v>
      </c>
      <c r="E2076" s="4">
        <v>0</v>
      </c>
      <c r="F2076" s="8">
        <v>0</v>
      </c>
      <c r="G2076" s="4">
        <v>1</v>
      </c>
      <c r="H2076" s="8">
        <v>4.76</v>
      </c>
      <c r="I2076" s="4">
        <v>0</v>
      </c>
    </row>
    <row r="2077" spans="1:9" x14ac:dyDescent="0.2">
      <c r="A2077" s="2">
        <v>15</v>
      </c>
      <c r="B2077" s="1" t="s">
        <v>264</v>
      </c>
      <c r="C2077" s="4">
        <v>1</v>
      </c>
      <c r="D2077" s="8">
        <v>1.61</v>
      </c>
      <c r="E2077" s="4">
        <v>0</v>
      </c>
      <c r="F2077" s="8">
        <v>0</v>
      </c>
      <c r="G2077" s="4">
        <v>1</v>
      </c>
      <c r="H2077" s="8">
        <v>4.76</v>
      </c>
      <c r="I2077" s="4">
        <v>0</v>
      </c>
    </row>
    <row r="2078" spans="1:9" x14ac:dyDescent="0.2">
      <c r="A2078" s="2">
        <v>15</v>
      </c>
      <c r="B2078" s="1" t="s">
        <v>276</v>
      </c>
      <c r="C2078" s="4">
        <v>1</v>
      </c>
      <c r="D2078" s="8">
        <v>1.61</v>
      </c>
      <c r="E2078" s="4">
        <v>0</v>
      </c>
      <c r="F2078" s="8">
        <v>0</v>
      </c>
      <c r="G2078" s="4">
        <v>1</v>
      </c>
      <c r="H2078" s="8">
        <v>4.76</v>
      </c>
      <c r="I2078" s="4">
        <v>0</v>
      </c>
    </row>
    <row r="2079" spans="1:9" x14ac:dyDescent="0.2">
      <c r="A2079" s="2">
        <v>15</v>
      </c>
      <c r="B2079" s="1" t="s">
        <v>255</v>
      </c>
      <c r="C2079" s="4">
        <v>1</v>
      </c>
      <c r="D2079" s="8">
        <v>1.61</v>
      </c>
      <c r="E2079" s="4">
        <v>0</v>
      </c>
      <c r="F2079" s="8">
        <v>0</v>
      </c>
      <c r="G2079" s="4">
        <v>0</v>
      </c>
      <c r="H2079" s="8">
        <v>0</v>
      </c>
      <c r="I2079" s="4">
        <v>0</v>
      </c>
    </row>
    <row r="2080" spans="1:9" x14ac:dyDescent="0.2">
      <c r="A2080" s="2">
        <v>15</v>
      </c>
      <c r="B2080" s="1" t="s">
        <v>235</v>
      </c>
      <c r="C2080" s="4">
        <v>1</v>
      </c>
      <c r="D2080" s="8">
        <v>1.61</v>
      </c>
      <c r="E2080" s="4">
        <v>0</v>
      </c>
      <c r="F2080" s="8">
        <v>0</v>
      </c>
      <c r="G2080" s="4">
        <v>1</v>
      </c>
      <c r="H2080" s="8">
        <v>4.76</v>
      </c>
      <c r="I2080" s="4">
        <v>0</v>
      </c>
    </row>
    <row r="2081" spans="1:9" x14ac:dyDescent="0.2">
      <c r="A2081" s="2">
        <v>15</v>
      </c>
      <c r="B2081" s="1" t="s">
        <v>248</v>
      </c>
      <c r="C2081" s="4">
        <v>1</v>
      </c>
      <c r="D2081" s="8">
        <v>1.61</v>
      </c>
      <c r="E2081" s="4">
        <v>0</v>
      </c>
      <c r="F2081" s="8">
        <v>0</v>
      </c>
      <c r="G2081" s="4">
        <v>1</v>
      </c>
      <c r="H2081" s="8">
        <v>4.76</v>
      </c>
      <c r="I2081" s="4">
        <v>0</v>
      </c>
    </row>
    <row r="2082" spans="1:9" x14ac:dyDescent="0.2">
      <c r="A2082" s="2">
        <v>15</v>
      </c>
      <c r="B2082" s="1" t="s">
        <v>217</v>
      </c>
      <c r="C2082" s="4">
        <v>1</v>
      </c>
      <c r="D2082" s="8">
        <v>1.61</v>
      </c>
      <c r="E2082" s="4">
        <v>0</v>
      </c>
      <c r="F2082" s="8">
        <v>0</v>
      </c>
      <c r="G2082" s="4">
        <v>1</v>
      </c>
      <c r="H2082" s="8">
        <v>4.76</v>
      </c>
      <c r="I2082" s="4">
        <v>0</v>
      </c>
    </row>
    <row r="2083" spans="1:9" x14ac:dyDescent="0.2">
      <c r="A2083" s="2">
        <v>15</v>
      </c>
      <c r="B2083" s="1" t="s">
        <v>219</v>
      </c>
      <c r="C2083" s="4">
        <v>1</v>
      </c>
      <c r="D2083" s="8">
        <v>1.61</v>
      </c>
      <c r="E2083" s="4">
        <v>1</v>
      </c>
      <c r="F2083" s="8">
        <v>3.23</v>
      </c>
      <c r="G2083" s="4">
        <v>0</v>
      </c>
      <c r="H2083" s="8">
        <v>0</v>
      </c>
      <c r="I2083" s="4">
        <v>0</v>
      </c>
    </row>
    <row r="2084" spans="1:9" x14ac:dyDescent="0.2">
      <c r="A2084" s="2">
        <v>15</v>
      </c>
      <c r="B2084" s="1" t="s">
        <v>227</v>
      </c>
      <c r="C2084" s="4">
        <v>1</v>
      </c>
      <c r="D2084" s="8">
        <v>1.61</v>
      </c>
      <c r="E2084" s="4">
        <v>1</v>
      </c>
      <c r="F2084" s="8">
        <v>3.23</v>
      </c>
      <c r="G2084" s="4">
        <v>0</v>
      </c>
      <c r="H2084" s="8">
        <v>0</v>
      </c>
      <c r="I2084" s="4">
        <v>0</v>
      </c>
    </row>
    <row r="2085" spans="1:9" x14ac:dyDescent="0.2">
      <c r="A2085" s="1"/>
      <c r="C2085" s="4"/>
      <c r="D2085" s="8"/>
      <c r="E2085" s="4"/>
      <c r="F2085" s="8"/>
      <c r="G2085" s="4"/>
      <c r="H2085" s="8"/>
      <c r="I2085" s="4"/>
    </row>
    <row r="2086" spans="1:9" x14ac:dyDescent="0.2">
      <c r="A2086" s="1" t="s">
        <v>86</v>
      </c>
      <c r="C2086" s="4"/>
      <c r="D2086" s="8"/>
      <c r="E2086" s="4"/>
      <c r="F2086" s="8"/>
      <c r="G2086" s="4"/>
      <c r="H2086" s="8"/>
      <c r="I2086" s="4"/>
    </row>
    <row r="2087" spans="1:9" x14ac:dyDescent="0.2">
      <c r="A2087" s="2">
        <v>1</v>
      </c>
      <c r="B2087" s="1" t="s">
        <v>228</v>
      </c>
      <c r="C2087" s="4">
        <v>12</v>
      </c>
      <c r="D2087" s="8">
        <v>8.57</v>
      </c>
      <c r="E2087" s="4">
        <v>10</v>
      </c>
      <c r="F2087" s="8">
        <v>16.670000000000002</v>
      </c>
      <c r="G2087" s="4">
        <v>2</v>
      </c>
      <c r="H2087" s="8">
        <v>2.74</v>
      </c>
      <c r="I2087" s="4">
        <v>0</v>
      </c>
    </row>
    <row r="2088" spans="1:9" x14ac:dyDescent="0.2">
      <c r="A2088" s="2">
        <v>2</v>
      </c>
      <c r="B2088" s="1" t="s">
        <v>227</v>
      </c>
      <c r="C2088" s="4">
        <v>11</v>
      </c>
      <c r="D2088" s="8">
        <v>7.86</v>
      </c>
      <c r="E2088" s="4">
        <v>10</v>
      </c>
      <c r="F2088" s="8">
        <v>16.670000000000002</v>
      </c>
      <c r="G2088" s="4">
        <v>1</v>
      </c>
      <c r="H2088" s="8">
        <v>1.37</v>
      </c>
      <c r="I2088" s="4">
        <v>0</v>
      </c>
    </row>
    <row r="2089" spans="1:9" x14ac:dyDescent="0.2">
      <c r="A2089" s="2">
        <v>3</v>
      </c>
      <c r="B2089" s="1" t="s">
        <v>221</v>
      </c>
      <c r="C2089" s="4">
        <v>10</v>
      </c>
      <c r="D2089" s="8">
        <v>7.14</v>
      </c>
      <c r="E2089" s="4">
        <v>4</v>
      </c>
      <c r="F2089" s="8">
        <v>6.67</v>
      </c>
      <c r="G2089" s="4">
        <v>6</v>
      </c>
      <c r="H2089" s="8">
        <v>8.2200000000000006</v>
      </c>
      <c r="I2089" s="4">
        <v>0</v>
      </c>
    </row>
    <row r="2090" spans="1:9" x14ac:dyDescent="0.2">
      <c r="A2090" s="2">
        <v>4</v>
      </c>
      <c r="B2090" s="1" t="s">
        <v>223</v>
      </c>
      <c r="C2090" s="4">
        <v>9</v>
      </c>
      <c r="D2090" s="8">
        <v>6.43</v>
      </c>
      <c r="E2090" s="4">
        <v>4</v>
      </c>
      <c r="F2090" s="8">
        <v>6.67</v>
      </c>
      <c r="G2090" s="4">
        <v>5</v>
      </c>
      <c r="H2090" s="8">
        <v>6.85</v>
      </c>
      <c r="I2090" s="4">
        <v>0</v>
      </c>
    </row>
    <row r="2091" spans="1:9" x14ac:dyDescent="0.2">
      <c r="A2091" s="2">
        <v>5</v>
      </c>
      <c r="B2091" s="1" t="s">
        <v>215</v>
      </c>
      <c r="C2091" s="4">
        <v>6</v>
      </c>
      <c r="D2091" s="8">
        <v>4.29</v>
      </c>
      <c r="E2091" s="4">
        <v>1</v>
      </c>
      <c r="F2091" s="8">
        <v>1.67</v>
      </c>
      <c r="G2091" s="4">
        <v>5</v>
      </c>
      <c r="H2091" s="8">
        <v>6.85</v>
      </c>
      <c r="I2091" s="4">
        <v>0</v>
      </c>
    </row>
    <row r="2092" spans="1:9" x14ac:dyDescent="0.2">
      <c r="A2092" s="2">
        <v>5</v>
      </c>
      <c r="B2092" s="1" t="s">
        <v>222</v>
      </c>
      <c r="C2092" s="4">
        <v>6</v>
      </c>
      <c r="D2092" s="8">
        <v>4.29</v>
      </c>
      <c r="E2092" s="4">
        <v>4</v>
      </c>
      <c r="F2092" s="8">
        <v>6.67</v>
      </c>
      <c r="G2092" s="4">
        <v>2</v>
      </c>
      <c r="H2092" s="8">
        <v>2.74</v>
      </c>
      <c r="I2092" s="4">
        <v>0</v>
      </c>
    </row>
    <row r="2093" spans="1:9" x14ac:dyDescent="0.2">
      <c r="A2093" s="2">
        <v>7</v>
      </c>
      <c r="B2093" s="1" t="s">
        <v>214</v>
      </c>
      <c r="C2093" s="4">
        <v>5</v>
      </c>
      <c r="D2093" s="8">
        <v>3.57</v>
      </c>
      <c r="E2093" s="4">
        <v>4</v>
      </c>
      <c r="F2093" s="8">
        <v>6.67</v>
      </c>
      <c r="G2093" s="4">
        <v>1</v>
      </c>
      <c r="H2093" s="8">
        <v>1.37</v>
      </c>
      <c r="I2093" s="4">
        <v>0</v>
      </c>
    </row>
    <row r="2094" spans="1:9" x14ac:dyDescent="0.2">
      <c r="A2094" s="2">
        <v>7</v>
      </c>
      <c r="B2094" s="1" t="s">
        <v>254</v>
      </c>
      <c r="C2094" s="4">
        <v>5</v>
      </c>
      <c r="D2094" s="8">
        <v>3.57</v>
      </c>
      <c r="E2094" s="4">
        <v>1</v>
      </c>
      <c r="F2094" s="8">
        <v>1.67</v>
      </c>
      <c r="G2094" s="4">
        <v>4</v>
      </c>
      <c r="H2094" s="8">
        <v>5.48</v>
      </c>
      <c r="I2094" s="4">
        <v>0</v>
      </c>
    </row>
    <row r="2095" spans="1:9" x14ac:dyDescent="0.2">
      <c r="A2095" s="2">
        <v>7</v>
      </c>
      <c r="B2095" s="1" t="s">
        <v>230</v>
      </c>
      <c r="C2095" s="4">
        <v>5</v>
      </c>
      <c r="D2095" s="8">
        <v>3.57</v>
      </c>
      <c r="E2095" s="4">
        <v>4</v>
      </c>
      <c r="F2095" s="8">
        <v>6.67</v>
      </c>
      <c r="G2095" s="4">
        <v>0</v>
      </c>
      <c r="H2095" s="8">
        <v>0</v>
      </c>
      <c r="I2095" s="4">
        <v>0</v>
      </c>
    </row>
    <row r="2096" spans="1:9" x14ac:dyDescent="0.2">
      <c r="A2096" s="2">
        <v>7</v>
      </c>
      <c r="B2096" s="1" t="s">
        <v>232</v>
      </c>
      <c r="C2096" s="4">
        <v>5</v>
      </c>
      <c r="D2096" s="8">
        <v>3.57</v>
      </c>
      <c r="E2096" s="4">
        <v>0</v>
      </c>
      <c r="F2096" s="8">
        <v>0</v>
      </c>
      <c r="G2096" s="4">
        <v>2</v>
      </c>
      <c r="H2096" s="8">
        <v>2.74</v>
      </c>
      <c r="I2096" s="4">
        <v>2</v>
      </c>
    </row>
    <row r="2097" spans="1:9" x14ac:dyDescent="0.2">
      <c r="A2097" s="2">
        <v>7</v>
      </c>
      <c r="B2097" s="1" t="s">
        <v>242</v>
      </c>
      <c r="C2097" s="4">
        <v>5</v>
      </c>
      <c r="D2097" s="8">
        <v>3.57</v>
      </c>
      <c r="E2097" s="4">
        <v>3</v>
      </c>
      <c r="F2097" s="8">
        <v>5</v>
      </c>
      <c r="G2097" s="4">
        <v>2</v>
      </c>
      <c r="H2097" s="8">
        <v>2.74</v>
      </c>
      <c r="I2097" s="4">
        <v>0</v>
      </c>
    </row>
    <row r="2098" spans="1:9" x14ac:dyDescent="0.2">
      <c r="A2098" s="2">
        <v>12</v>
      </c>
      <c r="B2098" s="1" t="s">
        <v>213</v>
      </c>
      <c r="C2098" s="4">
        <v>4</v>
      </c>
      <c r="D2098" s="8">
        <v>2.86</v>
      </c>
      <c r="E2098" s="4">
        <v>1</v>
      </c>
      <c r="F2098" s="8">
        <v>1.67</v>
      </c>
      <c r="G2098" s="4">
        <v>3</v>
      </c>
      <c r="H2098" s="8">
        <v>4.1100000000000003</v>
      </c>
      <c r="I2098" s="4">
        <v>0</v>
      </c>
    </row>
    <row r="2099" spans="1:9" x14ac:dyDescent="0.2">
      <c r="A2099" s="2">
        <v>12</v>
      </c>
      <c r="B2099" s="1" t="s">
        <v>224</v>
      </c>
      <c r="C2099" s="4">
        <v>4</v>
      </c>
      <c r="D2099" s="8">
        <v>2.86</v>
      </c>
      <c r="E2099" s="4">
        <v>1</v>
      </c>
      <c r="F2099" s="8">
        <v>1.67</v>
      </c>
      <c r="G2099" s="4">
        <v>3</v>
      </c>
      <c r="H2099" s="8">
        <v>4.1100000000000003</v>
      </c>
      <c r="I2099" s="4">
        <v>0</v>
      </c>
    </row>
    <row r="2100" spans="1:9" x14ac:dyDescent="0.2">
      <c r="A2100" s="2">
        <v>12</v>
      </c>
      <c r="B2100" s="1" t="s">
        <v>239</v>
      </c>
      <c r="C2100" s="4">
        <v>4</v>
      </c>
      <c r="D2100" s="8">
        <v>2.86</v>
      </c>
      <c r="E2100" s="4">
        <v>0</v>
      </c>
      <c r="F2100" s="8">
        <v>0</v>
      </c>
      <c r="G2100" s="4">
        <v>3</v>
      </c>
      <c r="H2100" s="8">
        <v>4.1100000000000003</v>
      </c>
      <c r="I2100" s="4">
        <v>0</v>
      </c>
    </row>
    <row r="2101" spans="1:9" x14ac:dyDescent="0.2">
      <c r="A2101" s="2">
        <v>15</v>
      </c>
      <c r="B2101" s="1" t="s">
        <v>241</v>
      </c>
      <c r="C2101" s="4">
        <v>3</v>
      </c>
      <c r="D2101" s="8">
        <v>2.14</v>
      </c>
      <c r="E2101" s="4">
        <v>0</v>
      </c>
      <c r="F2101" s="8">
        <v>0</v>
      </c>
      <c r="G2101" s="4">
        <v>3</v>
      </c>
      <c r="H2101" s="8">
        <v>4.1100000000000003</v>
      </c>
      <c r="I2101" s="4">
        <v>0</v>
      </c>
    </row>
    <row r="2102" spans="1:9" x14ac:dyDescent="0.2">
      <c r="A2102" s="2">
        <v>15</v>
      </c>
      <c r="B2102" s="1" t="s">
        <v>252</v>
      </c>
      <c r="C2102" s="4">
        <v>3</v>
      </c>
      <c r="D2102" s="8">
        <v>2.14</v>
      </c>
      <c r="E2102" s="4">
        <v>0</v>
      </c>
      <c r="F2102" s="8">
        <v>0</v>
      </c>
      <c r="G2102" s="4">
        <v>3</v>
      </c>
      <c r="H2102" s="8">
        <v>4.1100000000000003</v>
      </c>
      <c r="I2102" s="4">
        <v>0</v>
      </c>
    </row>
    <row r="2103" spans="1:9" x14ac:dyDescent="0.2">
      <c r="A2103" s="2">
        <v>15</v>
      </c>
      <c r="B2103" s="1" t="s">
        <v>218</v>
      </c>
      <c r="C2103" s="4">
        <v>3</v>
      </c>
      <c r="D2103" s="8">
        <v>2.14</v>
      </c>
      <c r="E2103" s="4">
        <v>0</v>
      </c>
      <c r="F2103" s="8">
        <v>0</v>
      </c>
      <c r="G2103" s="4">
        <v>3</v>
      </c>
      <c r="H2103" s="8">
        <v>4.1100000000000003</v>
      </c>
      <c r="I2103" s="4">
        <v>0</v>
      </c>
    </row>
    <row r="2104" spans="1:9" x14ac:dyDescent="0.2">
      <c r="A2104" s="2">
        <v>15</v>
      </c>
      <c r="B2104" s="1" t="s">
        <v>226</v>
      </c>
      <c r="C2104" s="4">
        <v>3</v>
      </c>
      <c r="D2104" s="8">
        <v>2.14</v>
      </c>
      <c r="E2104" s="4">
        <v>0</v>
      </c>
      <c r="F2104" s="8">
        <v>0</v>
      </c>
      <c r="G2104" s="4">
        <v>3</v>
      </c>
      <c r="H2104" s="8">
        <v>4.1100000000000003</v>
      </c>
      <c r="I2104" s="4">
        <v>0</v>
      </c>
    </row>
    <row r="2105" spans="1:9" x14ac:dyDescent="0.2">
      <c r="A2105" s="2">
        <v>15</v>
      </c>
      <c r="B2105" s="1" t="s">
        <v>243</v>
      </c>
      <c r="C2105" s="4">
        <v>3</v>
      </c>
      <c r="D2105" s="8">
        <v>2.14</v>
      </c>
      <c r="E2105" s="4">
        <v>2</v>
      </c>
      <c r="F2105" s="8">
        <v>3.33</v>
      </c>
      <c r="G2105" s="4">
        <v>1</v>
      </c>
      <c r="H2105" s="8">
        <v>1.37</v>
      </c>
      <c r="I2105" s="4">
        <v>0</v>
      </c>
    </row>
    <row r="2106" spans="1:9" x14ac:dyDescent="0.2">
      <c r="A2106" s="2">
        <v>15</v>
      </c>
      <c r="B2106" s="1" t="s">
        <v>231</v>
      </c>
      <c r="C2106" s="4">
        <v>3</v>
      </c>
      <c r="D2106" s="8">
        <v>2.14</v>
      </c>
      <c r="E2106" s="4">
        <v>3</v>
      </c>
      <c r="F2106" s="8">
        <v>5</v>
      </c>
      <c r="G2106" s="4">
        <v>0</v>
      </c>
      <c r="H2106" s="8">
        <v>0</v>
      </c>
      <c r="I2106" s="4">
        <v>0</v>
      </c>
    </row>
    <row r="2107" spans="1:9" x14ac:dyDescent="0.2">
      <c r="A2107" s="2">
        <v>15</v>
      </c>
      <c r="B2107" s="1" t="s">
        <v>234</v>
      </c>
      <c r="C2107" s="4">
        <v>3</v>
      </c>
      <c r="D2107" s="8">
        <v>2.14</v>
      </c>
      <c r="E2107" s="4">
        <v>0</v>
      </c>
      <c r="F2107" s="8">
        <v>0</v>
      </c>
      <c r="G2107" s="4">
        <v>3</v>
      </c>
      <c r="H2107" s="8">
        <v>4.1100000000000003</v>
      </c>
      <c r="I2107" s="4">
        <v>0</v>
      </c>
    </row>
    <row r="2108" spans="1:9" x14ac:dyDescent="0.2">
      <c r="A2108" s="1"/>
      <c r="C2108" s="4"/>
      <c r="D2108" s="8"/>
      <c r="E2108" s="4"/>
      <c r="F2108" s="8"/>
      <c r="G2108" s="4"/>
      <c r="H2108" s="8"/>
      <c r="I2108" s="4"/>
    </row>
    <row r="2109" spans="1:9" x14ac:dyDescent="0.2">
      <c r="A2109" s="1" t="s">
        <v>87</v>
      </c>
      <c r="C2109" s="4"/>
      <c r="D2109" s="8"/>
      <c r="E2109" s="4"/>
      <c r="F2109" s="8"/>
      <c r="G2109" s="4"/>
      <c r="H2109" s="8"/>
      <c r="I2109" s="4"/>
    </row>
    <row r="2110" spans="1:9" x14ac:dyDescent="0.2">
      <c r="A2110" s="2">
        <v>1</v>
      </c>
      <c r="B2110" s="1" t="s">
        <v>227</v>
      </c>
      <c r="C2110" s="4">
        <v>48</v>
      </c>
      <c r="D2110" s="8">
        <v>17.39</v>
      </c>
      <c r="E2110" s="4">
        <v>42</v>
      </c>
      <c r="F2110" s="8">
        <v>33.33</v>
      </c>
      <c r="G2110" s="4">
        <v>6</v>
      </c>
      <c r="H2110" s="8">
        <v>4.4400000000000004</v>
      </c>
      <c r="I2110" s="4">
        <v>0</v>
      </c>
    </row>
    <row r="2111" spans="1:9" x14ac:dyDescent="0.2">
      <c r="A2111" s="2">
        <v>2</v>
      </c>
      <c r="B2111" s="1" t="s">
        <v>223</v>
      </c>
      <c r="C2111" s="4">
        <v>23</v>
      </c>
      <c r="D2111" s="8">
        <v>8.33</v>
      </c>
      <c r="E2111" s="4">
        <v>9</v>
      </c>
      <c r="F2111" s="8">
        <v>7.14</v>
      </c>
      <c r="G2111" s="4">
        <v>14</v>
      </c>
      <c r="H2111" s="8">
        <v>10.37</v>
      </c>
      <c r="I2111" s="4">
        <v>0</v>
      </c>
    </row>
    <row r="2112" spans="1:9" x14ac:dyDescent="0.2">
      <c r="A2112" s="2">
        <v>3</v>
      </c>
      <c r="B2112" s="1" t="s">
        <v>228</v>
      </c>
      <c r="C2112" s="4">
        <v>22</v>
      </c>
      <c r="D2112" s="8">
        <v>7.97</v>
      </c>
      <c r="E2112" s="4">
        <v>20</v>
      </c>
      <c r="F2112" s="8">
        <v>15.87</v>
      </c>
      <c r="G2112" s="4">
        <v>1</v>
      </c>
      <c r="H2112" s="8">
        <v>0.74</v>
      </c>
      <c r="I2112" s="4">
        <v>1</v>
      </c>
    </row>
    <row r="2113" spans="1:9" x14ac:dyDescent="0.2">
      <c r="A2113" s="2">
        <v>4</v>
      </c>
      <c r="B2113" s="1" t="s">
        <v>224</v>
      </c>
      <c r="C2113" s="4">
        <v>20</v>
      </c>
      <c r="D2113" s="8">
        <v>7.25</v>
      </c>
      <c r="E2113" s="4">
        <v>9</v>
      </c>
      <c r="F2113" s="8">
        <v>7.14</v>
      </c>
      <c r="G2113" s="4">
        <v>10</v>
      </c>
      <c r="H2113" s="8">
        <v>7.41</v>
      </c>
      <c r="I2113" s="4">
        <v>0</v>
      </c>
    </row>
    <row r="2114" spans="1:9" x14ac:dyDescent="0.2">
      <c r="A2114" s="2">
        <v>5</v>
      </c>
      <c r="B2114" s="1" t="s">
        <v>214</v>
      </c>
      <c r="C2114" s="4">
        <v>18</v>
      </c>
      <c r="D2114" s="8">
        <v>6.52</v>
      </c>
      <c r="E2114" s="4">
        <v>7</v>
      </c>
      <c r="F2114" s="8">
        <v>5.56</v>
      </c>
      <c r="G2114" s="4">
        <v>11</v>
      </c>
      <c r="H2114" s="8">
        <v>8.15</v>
      </c>
      <c r="I2114" s="4">
        <v>0</v>
      </c>
    </row>
    <row r="2115" spans="1:9" x14ac:dyDescent="0.2">
      <c r="A2115" s="2">
        <v>6</v>
      </c>
      <c r="B2115" s="1" t="s">
        <v>221</v>
      </c>
      <c r="C2115" s="4">
        <v>17</v>
      </c>
      <c r="D2115" s="8">
        <v>6.16</v>
      </c>
      <c r="E2115" s="4">
        <v>8</v>
      </c>
      <c r="F2115" s="8">
        <v>6.35</v>
      </c>
      <c r="G2115" s="4">
        <v>8</v>
      </c>
      <c r="H2115" s="8">
        <v>5.93</v>
      </c>
      <c r="I2115" s="4">
        <v>1</v>
      </c>
    </row>
    <row r="2116" spans="1:9" x14ac:dyDescent="0.2">
      <c r="A2116" s="2">
        <v>7</v>
      </c>
      <c r="B2116" s="1" t="s">
        <v>213</v>
      </c>
      <c r="C2116" s="4">
        <v>11</v>
      </c>
      <c r="D2116" s="8">
        <v>3.99</v>
      </c>
      <c r="E2116" s="4">
        <v>0</v>
      </c>
      <c r="F2116" s="8">
        <v>0</v>
      </c>
      <c r="G2116" s="4">
        <v>11</v>
      </c>
      <c r="H2116" s="8">
        <v>8.15</v>
      </c>
      <c r="I2116" s="4">
        <v>0</v>
      </c>
    </row>
    <row r="2117" spans="1:9" x14ac:dyDescent="0.2">
      <c r="A2117" s="2">
        <v>7</v>
      </c>
      <c r="B2117" s="1" t="s">
        <v>232</v>
      </c>
      <c r="C2117" s="4">
        <v>11</v>
      </c>
      <c r="D2117" s="8">
        <v>3.99</v>
      </c>
      <c r="E2117" s="4">
        <v>0</v>
      </c>
      <c r="F2117" s="8">
        <v>0</v>
      </c>
      <c r="G2117" s="4">
        <v>6</v>
      </c>
      <c r="H2117" s="8">
        <v>4.4400000000000004</v>
      </c>
      <c r="I2117" s="4">
        <v>0</v>
      </c>
    </row>
    <row r="2118" spans="1:9" x14ac:dyDescent="0.2">
      <c r="A2118" s="2">
        <v>9</v>
      </c>
      <c r="B2118" s="1" t="s">
        <v>222</v>
      </c>
      <c r="C2118" s="4">
        <v>8</v>
      </c>
      <c r="D2118" s="8">
        <v>2.9</v>
      </c>
      <c r="E2118" s="4">
        <v>2</v>
      </c>
      <c r="F2118" s="8">
        <v>1.59</v>
      </c>
      <c r="G2118" s="4">
        <v>6</v>
      </c>
      <c r="H2118" s="8">
        <v>4.4400000000000004</v>
      </c>
      <c r="I2118" s="4">
        <v>0</v>
      </c>
    </row>
    <row r="2119" spans="1:9" x14ac:dyDescent="0.2">
      <c r="A2119" s="2">
        <v>10</v>
      </c>
      <c r="B2119" s="1" t="s">
        <v>220</v>
      </c>
      <c r="C2119" s="4">
        <v>7</v>
      </c>
      <c r="D2119" s="8">
        <v>2.54</v>
      </c>
      <c r="E2119" s="4">
        <v>5</v>
      </c>
      <c r="F2119" s="8">
        <v>3.97</v>
      </c>
      <c r="G2119" s="4">
        <v>2</v>
      </c>
      <c r="H2119" s="8">
        <v>1.48</v>
      </c>
      <c r="I2119" s="4">
        <v>0</v>
      </c>
    </row>
    <row r="2120" spans="1:9" x14ac:dyDescent="0.2">
      <c r="A2120" s="2">
        <v>10</v>
      </c>
      <c r="B2120" s="1" t="s">
        <v>225</v>
      </c>
      <c r="C2120" s="4">
        <v>7</v>
      </c>
      <c r="D2120" s="8">
        <v>2.54</v>
      </c>
      <c r="E2120" s="4">
        <v>5</v>
      </c>
      <c r="F2120" s="8">
        <v>3.97</v>
      </c>
      <c r="G2120" s="4">
        <v>2</v>
      </c>
      <c r="H2120" s="8">
        <v>1.48</v>
      </c>
      <c r="I2120" s="4">
        <v>0</v>
      </c>
    </row>
    <row r="2121" spans="1:9" x14ac:dyDescent="0.2">
      <c r="A2121" s="2">
        <v>12</v>
      </c>
      <c r="B2121" s="1" t="s">
        <v>218</v>
      </c>
      <c r="C2121" s="4">
        <v>6</v>
      </c>
      <c r="D2121" s="8">
        <v>2.17</v>
      </c>
      <c r="E2121" s="4">
        <v>1</v>
      </c>
      <c r="F2121" s="8">
        <v>0.79</v>
      </c>
      <c r="G2121" s="4">
        <v>5</v>
      </c>
      <c r="H2121" s="8">
        <v>3.7</v>
      </c>
      <c r="I2121" s="4">
        <v>0</v>
      </c>
    </row>
    <row r="2122" spans="1:9" x14ac:dyDescent="0.2">
      <c r="A2122" s="2">
        <v>13</v>
      </c>
      <c r="B2122" s="1" t="s">
        <v>215</v>
      </c>
      <c r="C2122" s="4">
        <v>5</v>
      </c>
      <c r="D2122" s="8">
        <v>1.81</v>
      </c>
      <c r="E2122" s="4">
        <v>2</v>
      </c>
      <c r="F2122" s="8">
        <v>1.59</v>
      </c>
      <c r="G2122" s="4">
        <v>3</v>
      </c>
      <c r="H2122" s="8">
        <v>2.2200000000000002</v>
      </c>
      <c r="I2122" s="4">
        <v>0</v>
      </c>
    </row>
    <row r="2123" spans="1:9" x14ac:dyDescent="0.2">
      <c r="A2123" s="2">
        <v>13</v>
      </c>
      <c r="B2123" s="1" t="s">
        <v>254</v>
      </c>
      <c r="C2123" s="4">
        <v>5</v>
      </c>
      <c r="D2123" s="8">
        <v>1.81</v>
      </c>
      <c r="E2123" s="4">
        <v>2</v>
      </c>
      <c r="F2123" s="8">
        <v>1.59</v>
      </c>
      <c r="G2123" s="4">
        <v>3</v>
      </c>
      <c r="H2123" s="8">
        <v>2.2200000000000002</v>
      </c>
      <c r="I2123" s="4">
        <v>0</v>
      </c>
    </row>
    <row r="2124" spans="1:9" x14ac:dyDescent="0.2">
      <c r="A2124" s="2">
        <v>13</v>
      </c>
      <c r="B2124" s="1" t="s">
        <v>231</v>
      </c>
      <c r="C2124" s="4">
        <v>5</v>
      </c>
      <c r="D2124" s="8">
        <v>1.81</v>
      </c>
      <c r="E2124" s="4">
        <v>3</v>
      </c>
      <c r="F2124" s="8">
        <v>2.38</v>
      </c>
      <c r="G2124" s="4">
        <v>2</v>
      </c>
      <c r="H2124" s="8">
        <v>1.48</v>
      </c>
      <c r="I2124" s="4">
        <v>0</v>
      </c>
    </row>
    <row r="2125" spans="1:9" x14ac:dyDescent="0.2">
      <c r="A2125" s="2">
        <v>13</v>
      </c>
      <c r="B2125" s="1" t="s">
        <v>240</v>
      </c>
      <c r="C2125" s="4">
        <v>5</v>
      </c>
      <c r="D2125" s="8">
        <v>1.81</v>
      </c>
      <c r="E2125" s="4">
        <v>1</v>
      </c>
      <c r="F2125" s="8">
        <v>0.79</v>
      </c>
      <c r="G2125" s="4">
        <v>4</v>
      </c>
      <c r="H2125" s="8">
        <v>2.96</v>
      </c>
      <c r="I2125" s="4">
        <v>0</v>
      </c>
    </row>
    <row r="2126" spans="1:9" x14ac:dyDescent="0.2">
      <c r="A2126" s="2">
        <v>17</v>
      </c>
      <c r="B2126" s="1" t="s">
        <v>253</v>
      </c>
      <c r="C2126" s="4">
        <v>4</v>
      </c>
      <c r="D2126" s="8">
        <v>1.45</v>
      </c>
      <c r="E2126" s="4">
        <v>0</v>
      </c>
      <c r="F2126" s="8">
        <v>0</v>
      </c>
      <c r="G2126" s="4">
        <v>4</v>
      </c>
      <c r="H2126" s="8">
        <v>2.96</v>
      </c>
      <c r="I2126" s="4">
        <v>0</v>
      </c>
    </row>
    <row r="2127" spans="1:9" x14ac:dyDescent="0.2">
      <c r="A2127" s="2">
        <v>17</v>
      </c>
      <c r="B2127" s="1" t="s">
        <v>217</v>
      </c>
      <c r="C2127" s="4">
        <v>4</v>
      </c>
      <c r="D2127" s="8">
        <v>1.45</v>
      </c>
      <c r="E2127" s="4">
        <v>0</v>
      </c>
      <c r="F2127" s="8">
        <v>0</v>
      </c>
      <c r="G2127" s="4">
        <v>4</v>
      </c>
      <c r="H2127" s="8">
        <v>2.96</v>
      </c>
      <c r="I2127" s="4">
        <v>0</v>
      </c>
    </row>
    <row r="2128" spans="1:9" x14ac:dyDescent="0.2">
      <c r="A2128" s="2">
        <v>17</v>
      </c>
      <c r="B2128" s="1" t="s">
        <v>226</v>
      </c>
      <c r="C2128" s="4">
        <v>4</v>
      </c>
      <c r="D2128" s="8">
        <v>1.45</v>
      </c>
      <c r="E2128" s="4">
        <v>1</v>
      </c>
      <c r="F2128" s="8">
        <v>0.79</v>
      </c>
      <c r="G2128" s="4">
        <v>2</v>
      </c>
      <c r="H2128" s="8">
        <v>1.48</v>
      </c>
      <c r="I2128" s="4">
        <v>0</v>
      </c>
    </row>
    <row r="2129" spans="1:9" x14ac:dyDescent="0.2">
      <c r="A2129" s="2">
        <v>17</v>
      </c>
      <c r="B2129" s="1" t="s">
        <v>229</v>
      </c>
      <c r="C2129" s="4">
        <v>4</v>
      </c>
      <c r="D2129" s="8">
        <v>1.45</v>
      </c>
      <c r="E2129" s="4">
        <v>1</v>
      </c>
      <c r="F2129" s="8">
        <v>0.79</v>
      </c>
      <c r="G2129" s="4">
        <v>3</v>
      </c>
      <c r="H2129" s="8">
        <v>2.2200000000000002</v>
      </c>
      <c r="I2129" s="4">
        <v>0</v>
      </c>
    </row>
    <row r="2130" spans="1:9" x14ac:dyDescent="0.2">
      <c r="A2130" s="2">
        <v>17</v>
      </c>
      <c r="B2130" s="1" t="s">
        <v>249</v>
      </c>
      <c r="C2130" s="4">
        <v>4</v>
      </c>
      <c r="D2130" s="8">
        <v>1.45</v>
      </c>
      <c r="E2130" s="4">
        <v>0</v>
      </c>
      <c r="F2130" s="8">
        <v>0</v>
      </c>
      <c r="G2130" s="4">
        <v>4</v>
      </c>
      <c r="H2130" s="8">
        <v>2.96</v>
      </c>
      <c r="I2130" s="4">
        <v>0</v>
      </c>
    </row>
    <row r="2131" spans="1:9" x14ac:dyDescent="0.2">
      <c r="A2131" s="1"/>
      <c r="C2131" s="4"/>
      <c r="D2131" s="8"/>
      <c r="E2131" s="4"/>
      <c r="F2131" s="8"/>
      <c r="G2131" s="4"/>
      <c r="H2131" s="8"/>
      <c r="I2131" s="4"/>
    </row>
    <row r="2132" spans="1:9" x14ac:dyDescent="0.2">
      <c r="A2132" s="1" t="s">
        <v>88</v>
      </c>
      <c r="C2132" s="4"/>
      <c r="D2132" s="8"/>
      <c r="E2132" s="4"/>
      <c r="F2132" s="8"/>
      <c r="G2132" s="4"/>
      <c r="H2132" s="8"/>
      <c r="I2132" s="4"/>
    </row>
    <row r="2133" spans="1:9" x14ac:dyDescent="0.2">
      <c r="A2133" s="2">
        <v>1</v>
      </c>
      <c r="B2133" s="1" t="s">
        <v>227</v>
      </c>
      <c r="C2133" s="4">
        <v>41</v>
      </c>
      <c r="D2133" s="8">
        <v>12.81</v>
      </c>
      <c r="E2133" s="4">
        <v>32</v>
      </c>
      <c r="F2133" s="8">
        <v>18.29</v>
      </c>
      <c r="G2133" s="4">
        <v>9</v>
      </c>
      <c r="H2133" s="8">
        <v>6.43</v>
      </c>
      <c r="I2133" s="4">
        <v>0</v>
      </c>
    </row>
    <row r="2134" spans="1:9" x14ac:dyDescent="0.2">
      <c r="A2134" s="2">
        <v>2</v>
      </c>
      <c r="B2134" s="1" t="s">
        <v>228</v>
      </c>
      <c r="C2134" s="4">
        <v>35</v>
      </c>
      <c r="D2134" s="8">
        <v>10.94</v>
      </c>
      <c r="E2134" s="4">
        <v>32</v>
      </c>
      <c r="F2134" s="8">
        <v>18.29</v>
      </c>
      <c r="G2134" s="4">
        <v>3</v>
      </c>
      <c r="H2134" s="8">
        <v>2.14</v>
      </c>
      <c r="I2134" s="4">
        <v>0</v>
      </c>
    </row>
    <row r="2135" spans="1:9" x14ac:dyDescent="0.2">
      <c r="A2135" s="2">
        <v>3</v>
      </c>
      <c r="B2135" s="1" t="s">
        <v>223</v>
      </c>
      <c r="C2135" s="4">
        <v>30</v>
      </c>
      <c r="D2135" s="8">
        <v>9.3800000000000008</v>
      </c>
      <c r="E2135" s="4">
        <v>11</v>
      </c>
      <c r="F2135" s="8">
        <v>6.29</v>
      </c>
      <c r="G2135" s="4">
        <v>19</v>
      </c>
      <c r="H2135" s="8">
        <v>13.57</v>
      </c>
      <c r="I2135" s="4">
        <v>0</v>
      </c>
    </row>
    <row r="2136" spans="1:9" x14ac:dyDescent="0.2">
      <c r="A2136" s="2">
        <v>4</v>
      </c>
      <c r="B2136" s="1" t="s">
        <v>224</v>
      </c>
      <c r="C2136" s="4">
        <v>24</v>
      </c>
      <c r="D2136" s="8">
        <v>7.5</v>
      </c>
      <c r="E2136" s="4">
        <v>20</v>
      </c>
      <c r="F2136" s="8">
        <v>11.43</v>
      </c>
      <c r="G2136" s="4">
        <v>3</v>
      </c>
      <c r="H2136" s="8">
        <v>2.14</v>
      </c>
      <c r="I2136" s="4">
        <v>0</v>
      </c>
    </row>
    <row r="2137" spans="1:9" x14ac:dyDescent="0.2">
      <c r="A2137" s="2">
        <v>5</v>
      </c>
      <c r="B2137" s="1" t="s">
        <v>213</v>
      </c>
      <c r="C2137" s="4">
        <v>19</v>
      </c>
      <c r="D2137" s="8">
        <v>5.94</v>
      </c>
      <c r="E2137" s="4">
        <v>6</v>
      </c>
      <c r="F2137" s="8">
        <v>3.43</v>
      </c>
      <c r="G2137" s="4">
        <v>13</v>
      </c>
      <c r="H2137" s="8">
        <v>9.2899999999999991</v>
      </c>
      <c r="I2137" s="4">
        <v>0</v>
      </c>
    </row>
    <row r="2138" spans="1:9" x14ac:dyDescent="0.2">
      <c r="A2138" s="2">
        <v>6</v>
      </c>
      <c r="B2138" s="1" t="s">
        <v>222</v>
      </c>
      <c r="C2138" s="4">
        <v>16</v>
      </c>
      <c r="D2138" s="8">
        <v>5</v>
      </c>
      <c r="E2138" s="4">
        <v>9</v>
      </c>
      <c r="F2138" s="8">
        <v>5.14</v>
      </c>
      <c r="G2138" s="4">
        <v>7</v>
      </c>
      <c r="H2138" s="8">
        <v>5</v>
      </c>
      <c r="I2138" s="4">
        <v>0</v>
      </c>
    </row>
    <row r="2139" spans="1:9" x14ac:dyDescent="0.2">
      <c r="A2139" s="2">
        <v>7</v>
      </c>
      <c r="B2139" s="1" t="s">
        <v>214</v>
      </c>
      <c r="C2139" s="4">
        <v>15</v>
      </c>
      <c r="D2139" s="8">
        <v>4.6900000000000004</v>
      </c>
      <c r="E2139" s="4">
        <v>6</v>
      </c>
      <c r="F2139" s="8">
        <v>3.43</v>
      </c>
      <c r="G2139" s="4">
        <v>9</v>
      </c>
      <c r="H2139" s="8">
        <v>6.43</v>
      </c>
      <c r="I2139" s="4">
        <v>0</v>
      </c>
    </row>
    <row r="2140" spans="1:9" x14ac:dyDescent="0.2">
      <c r="A2140" s="2">
        <v>8</v>
      </c>
      <c r="B2140" s="1" t="s">
        <v>221</v>
      </c>
      <c r="C2140" s="4">
        <v>12</v>
      </c>
      <c r="D2140" s="8">
        <v>3.75</v>
      </c>
      <c r="E2140" s="4">
        <v>7</v>
      </c>
      <c r="F2140" s="8">
        <v>4</v>
      </c>
      <c r="G2140" s="4">
        <v>4</v>
      </c>
      <c r="H2140" s="8">
        <v>2.86</v>
      </c>
      <c r="I2140" s="4">
        <v>1</v>
      </c>
    </row>
    <row r="2141" spans="1:9" x14ac:dyDescent="0.2">
      <c r="A2141" s="2">
        <v>9</v>
      </c>
      <c r="B2141" s="1" t="s">
        <v>240</v>
      </c>
      <c r="C2141" s="4">
        <v>10</v>
      </c>
      <c r="D2141" s="8">
        <v>3.13</v>
      </c>
      <c r="E2141" s="4">
        <v>5</v>
      </c>
      <c r="F2141" s="8">
        <v>2.86</v>
      </c>
      <c r="G2141" s="4">
        <v>5</v>
      </c>
      <c r="H2141" s="8">
        <v>3.57</v>
      </c>
      <c r="I2141" s="4">
        <v>0</v>
      </c>
    </row>
    <row r="2142" spans="1:9" x14ac:dyDescent="0.2">
      <c r="A2142" s="2">
        <v>10</v>
      </c>
      <c r="B2142" s="1" t="s">
        <v>215</v>
      </c>
      <c r="C2142" s="4">
        <v>9</v>
      </c>
      <c r="D2142" s="8">
        <v>2.81</v>
      </c>
      <c r="E2142" s="4">
        <v>3</v>
      </c>
      <c r="F2142" s="8">
        <v>1.71</v>
      </c>
      <c r="G2142" s="4">
        <v>6</v>
      </c>
      <c r="H2142" s="8">
        <v>4.29</v>
      </c>
      <c r="I2142" s="4">
        <v>0</v>
      </c>
    </row>
    <row r="2143" spans="1:9" x14ac:dyDescent="0.2">
      <c r="A2143" s="2">
        <v>10</v>
      </c>
      <c r="B2143" s="1" t="s">
        <v>231</v>
      </c>
      <c r="C2143" s="4">
        <v>9</v>
      </c>
      <c r="D2143" s="8">
        <v>2.81</v>
      </c>
      <c r="E2143" s="4">
        <v>8</v>
      </c>
      <c r="F2143" s="8">
        <v>4.57</v>
      </c>
      <c r="G2143" s="4">
        <v>1</v>
      </c>
      <c r="H2143" s="8">
        <v>0.71</v>
      </c>
      <c r="I2143" s="4">
        <v>0</v>
      </c>
    </row>
    <row r="2144" spans="1:9" x14ac:dyDescent="0.2">
      <c r="A2144" s="2">
        <v>12</v>
      </c>
      <c r="B2144" s="1" t="s">
        <v>230</v>
      </c>
      <c r="C2144" s="4">
        <v>7</v>
      </c>
      <c r="D2144" s="8">
        <v>2.19</v>
      </c>
      <c r="E2144" s="4">
        <v>5</v>
      </c>
      <c r="F2144" s="8">
        <v>2.86</v>
      </c>
      <c r="G2144" s="4">
        <v>1</v>
      </c>
      <c r="H2144" s="8">
        <v>0.71</v>
      </c>
      <c r="I2144" s="4">
        <v>0</v>
      </c>
    </row>
    <row r="2145" spans="1:9" x14ac:dyDescent="0.2">
      <c r="A2145" s="2">
        <v>13</v>
      </c>
      <c r="B2145" s="1" t="s">
        <v>220</v>
      </c>
      <c r="C2145" s="4">
        <v>6</v>
      </c>
      <c r="D2145" s="8">
        <v>1.88</v>
      </c>
      <c r="E2145" s="4">
        <v>5</v>
      </c>
      <c r="F2145" s="8">
        <v>2.86</v>
      </c>
      <c r="G2145" s="4">
        <v>1</v>
      </c>
      <c r="H2145" s="8">
        <v>0.71</v>
      </c>
      <c r="I2145" s="4">
        <v>0</v>
      </c>
    </row>
    <row r="2146" spans="1:9" x14ac:dyDescent="0.2">
      <c r="A2146" s="2">
        <v>13</v>
      </c>
      <c r="B2146" s="1" t="s">
        <v>232</v>
      </c>
      <c r="C2146" s="4">
        <v>6</v>
      </c>
      <c r="D2146" s="8">
        <v>1.88</v>
      </c>
      <c r="E2146" s="4">
        <v>0</v>
      </c>
      <c r="F2146" s="8">
        <v>0</v>
      </c>
      <c r="G2146" s="4">
        <v>6</v>
      </c>
      <c r="H2146" s="8">
        <v>4.29</v>
      </c>
      <c r="I2146" s="4">
        <v>0</v>
      </c>
    </row>
    <row r="2147" spans="1:9" x14ac:dyDescent="0.2">
      <c r="A2147" s="2">
        <v>15</v>
      </c>
      <c r="B2147" s="1" t="s">
        <v>216</v>
      </c>
      <c r="C2147" s="4">
        <v>5</v>
      </c>
      <c r="D2147" s="8">
        <v>1.56</v>
      </c>
      <c r="E2147" s="4">
        <v>1</v>
      </c>
      <c r="F2147" s="8">
        <v>0.56999999999999995</v>
      </c>
      <c r="G2147" s="4">
        <v>4</v>
      </c>
      <c r="H2147" s="8">
        <v>2.86</v>
      </c>
      <c r="I2147" s="4">
        <v>0</v>
      </c>
    </row>
    <row r="2148" spans="1:9" x14ac:dyDescent="0.2">
      <c r="A2148" s="2">
        <v>15</v>
      </c>
      <c r="B2148" s="1" t="s">
        <v>217</v>
      </c>
      <c r="C2148" s="4">
        <v>5</v>
      </c>
      <c r="D2148" s="8">
        <v>1.56</v>
      </c>
      <c r="E2148" s="4">
        <v>1</v>
      </c>
      <c r="F2148" s="8">
        <v>0.56999999999999995</v>
      </c>
      <c r="G2148" s="4">
        <v>4</v>
      </c>
      <c r="H2148" s="8">
        <v>2.86</v>
      </c>
      <c r="I2148" s="4">
        <v>0</v>
      </c>
    </row>
    <row r="2149" spans="1:9" x14ac:dyDescent="0.2">
      <c r="A2149" s="2">
        <v>15</v>
      </c>
      <c r="B2149" s="1" t="s">
        <v>218</v>
      </c>
      <c r="C2149" s="4">
        <v>5</v>
      </c>
      <c r="D2149" s="8">
        <v>1.56</v>
      </c>
      <c r="E2149" s="4">
        <v>2</v>
      </c>
      <c r="F2149" s="8">
        <v>1.1399999999999999</v>
      </c>
      <c r="G2149" s="4">
        <v>3</v>
      </c>
      <c r="H2149" s="8">
        <v>2.14</v>
      </c>
      <c r="I2149" s="4">
        <v>0</v>
      </c>
    </row>
    <row r="2150" spans="1:9" x14ac:dyDescent="0.2">
      <c r="A2150" s="2">
        <v>15</v>
      </c>
      <c r="B2150" s="1" t="s">
        <v>225</v>
      </c>
      <c r="C2150" s="4">
        <v>5</v>
      </c>
      <c r="D2150" s="8">
        <v>1.56</v>
      </c>
      <c r="E2150" s="4">
        <v>5</v>
      </c>
      <c r="F2150" s="8">
        <v>2.86</v>
      </c>
      <c r="G2150" s="4">
        <v>0</v>
      </c>
      <c r="H2150" s="8">
        <v>0</v>
      </c>
      <c r="I2150" s="4">
        <v>0</v>
      </c>
    </row>
    <row r="2151" spans="1:9" x14ac:dyDescent="0.2">
      <c r="A2151" s="2">
        <v>19</v>
      </c>
      <c r="B2151" s="1" t="s">
        <v>241</v>
      </c>
      <c r="C2151" s="4">
        <v>4</v>
      </c>
      <c r="D2151" s="8">
        <v>1.25</v>
      </c>
      <c r="E2151" s="4">
        <v>1</v>
      </c>
      <c r="F2151" s="8">
        <v>0.56999999999999995</v>
      </c>
      <c r="G2151" s="4">
        <v>3</v>
      </c>
      <c r="H2151" s="8">
        <v>2.14</v>
      </c>
      <c r="I2151" s="4">
        <v>0</v>
      </c>
    </row>
    <row r="2152" spans="1:9" x14ac:dyDescent="0.2">
      <c r="A2152" s="2">
        <v>19</v>
      </c>
      <c r="B2152" s="1" t="s">
        <v>226</v>
      </c>
      <c r="C2152" s="4">
        <v>4</v>
      </c>
      <c r="D2152" s="8">
        <v>1.25</v>
      </c>
      <c r="E2152" s="4">
        <v>1</v>
      </c>
      <c r="F2152" s="8">
        <v>0.56999999999999995</v>
      </c>
      <c r="G2152" s="4">
        <v>3</v>
      </c>
      <c r="H2152" s="8">
        <v>2.14</v>
      </c>
      <c r="I2152" s="4">
        <v>0</v>
      </c>
    </row>
    <row r="2153" spans="1:9" x14ac:dyDescent="0.2">
      <c r="A2153" s="2">
        <v>19</v>
      </c>
      <c r="B2153" s="1" t="s">
        <v>239</v>
      </c>
      <c r="C2153" s="4">
        <v>4</v>
      </c>
      <c r="D2153" s="8">
        <v>1.25</v>
      </c>
      <c r="E2153" s="4">
        <v>1</v>
      </c>
      <c r="F2153" s="8">
        <v>0.56999999999999995</v>
      </c>
      <c r="G2153" s="4">
        <v>2</v>
      </c>
      <c r="H2153" s="8">
        <v>1.43</v>
      </c>
      <c r="I2153" s="4">
        <v>0</v>
      </c>
    </row>
    <row r="2154" spans="1:9" x14ac:dyDescent="0.2">
      <c r="A2154" s="2">
        <v>19</v>
      </c>
      <c r="B2154" s="1" t="s">
        <v>229</v>
      </c>
      <c r="C2154" s="4">
        <v>4</v>
      </c>
      <c r="D2154" s="8">
        <v>1.25</v>
      </c>
      <c r="E2154" s="4">
        <v>0</v>
      </c>
      <c r="F2154" s="8">
        <v>0</v>
      </c>
      <c r="G2154" s="4">
        <v>4</v>
      </c>
      <c r="H2154" s="8">
        <v>2.86</v>
      </c>
      <c r="I2154" s="4">
        <v>0</v>
      </c>
    </row>
    <row r="2155" spans="1:9" x14ac:dyDescent="0.2">
      <c r="A2155" s="2">
        <v>19</v>
      </c>
      <c r="B2155" s="1" t="s">
        <v>234</v>
      </c>
      <c r="C2155" s="4">
        <v>4</v>
      </c>
      <c r="D2155" s="8">
        <v>1.25</v>
      </c>
      <c r="E2155" s="4">
        <v>1</v>
      </c>
      <c r="F2155" s="8">
        <v>0.56999999999999995</v>
      </c>
      <c r="G2155" s="4">
        <v>3</v>
      </c>
      <c r="H2155" s="8">
        <v>2.14</v>
      </c>
      <c r="I2155" s="4">
        <v>0</v>
      </c>
    </row>
    <row r="2156" spans="1:9" x14ac:dyDescent="0.2">
      <c r="A2156" s="1"/>
      <c r="C2156" s="4"/>
      <c r="D2156" s="8"/>
      <c r="E2156" s="4"/>
      <c r="F2156" s="8"/>
      <c r="G2156" s="4"/>
      <c r="H2156" s="8"/>
      <c r="I2156" s="4"/>
    </row>
    <row r="2157" spans="1:9" x14ac:dyDescent="0.2">
      <c r="A2157" s="1" t="s">
        <v>89</v>
      </c>
      <c r="C2157" s="4"/>
      <c r="D2157" s="8"/>
      <c r="E2157" s="4"/>
      <c r="F2157" s="8"/>
      <c r="G2157" s="4"/>
      <c r="H2157" s="8"/>
      <c r="I2157" s="4"/>
    </row>
    <row r="2158" spans="1:9" x14ac:dyDescent="0.2">
      <c r="A2158" s="2">
        <v>1</v>
      </c>
      <c r="B2158" s="1" t="s">
        <v>223</v>
      </c>
      <c r="C2158" s="4">
        <v>8</v>
      </c>
      <c r="D2158" s="8">
        <v>11.43</v>
      </c>
      <c r="E2158" s="4">
        <v>4</v>
      </c>
      <c r="F2158" s="8">
        <v>12.12</v>
      </c>
      <c r="G2158" s="4">
        <v>4</v>
      </c>
      <c r="H2158" s="8">
        <v>11.11</v>
      </c>
      <c r="I2158" s="4">
        <v>0</v>
      </c>
    </row>
    <row r="2159" spans="1:9" x14ac:dyDescent="0.2">
      <c r="A2159" s="2">
        <v>1</v>
      </c>
      <c r="B2159" s="1" t="s">
        <v>227</v>
      </c>
      <c r="C2159" s="4">
        <v>8</v>
      </c>
      <c r="D2159" s="8">
        <v>11.43</v>
      </c>
      <c r="E2159" s="4">
        <v>7</v>
      </c>
      <c r="F2159" s="8">
        <v>21.21</v>
      </c>
      <c r="G2159" s="4">
        <v>1</v>
      </c>
      <c r="H2159" s="8">
        <v>2.78</v>
      </c>
      <c r="I2159" s="4">
        <v>0</v>
      </c>
    </row>
    <row r="2160" spans="1:9" x14ac:dyDescent="0.2">
      <c r="A2160" s="2">
        <v>3</v>
      </c>
      <c r="B2160" s="1" t="s">
        <v>221</v>
      </c>
      <c r="C2160" s="4">
        <v>7</v>
      </c>
      <c r="D2160" s="8">
        <v>10</v>
      </c>
      <c r="E2160" s="4">
        <v>4</v>
      </c>
      <c r="F2160" s="8">
        <v>12.12</v>
      </c>
      <c r="G2160" s="4">
        <v>3</v>
      </c>
      <c r="H2160" s="8">
        <v>8.33</v>
      </c>
      <c r="I2160" s="4">
        <v>0</v>
      </c>
    </row>
    <row r="2161" spans="1:9" x14ac:dyDescent="0.2">
      <c r="A2161" s="2">
        <v>4</v>
      </c>
      <c r="B2161" s="1" t="s">
        <v>213</v>
      </c>
      <c r="C2161" s="4">
        <v>6</v>
      </c>
      <c r="D2161" s="8">
        <v>8.57</v>
      </c>
      <c r="E2161" s="4">
        <v>1</v>
      </c>
      <c r="F2161" s="8">
        <v>3.03</v>
      </c>
      <c r="G2161" s="4">
        <v>5</v>
      </c>
      <c r="H2161" s="8">
        <v>13.89</v>
      </c>
      <c r="I2161" s="4">
        <v>0</v>
      </c>
    </row>
    <row r="2162" spans="1:9" x14ac:dyDescent="0.2">
      <c r="A2162" s="2">
        <v>5</v>
      </c>
      <c r="B2162" s="1" t="s">
        <v>214</v>
      </c>
      <c r="C2162" s="4">
        <v>5</v>
      </c>
      <c r="D2162" s="8">
        <v>7.14</v>
      </c>
      <c r="E2162" s="4">
        <v>4</v>
      </c>
      <c r="F2162" s="8">
        <v>12.12</v>
      </c>
      <c r="G2162" s="4">
        <v>1</v>
      </c>
      <c r="H2162" s="8">
        <v>2.78</v>
      </c>
      <c r="I2162" s="4">
        <v>0</v>
      </c>
    </row>
    <row r="2163" spans="1:9" x14ac:dyDescent="0.2">
      <c r="A2163" s="2">
        <v>6</v>
      </c>
      <c r="B2163" s="1" t="s">
        <v>232</v>
      </c>
      <c r="C2163" s="4">
        <v>4</v>
      </c>
      <c r="D2163" s="8">
        <v>5.71</v>
      </c>
      <c r="E2163" s="4">
        <v>0</v>
      </c>
      <c r="F2163" s="8">
        <v>0</v>
      </c>
      <c r="G2163" s="4">
        <v>4</v>
      </c>
      <c r="H2163" s="8">
        <v>11.11</v>
      </c>
      <c r="I2163" s="4">
        <v>0</v>
      </c>
    </row>
    <row r="2164" spans="1:9" x14ac:dyDescent="0.2">
      <c r="A2164" s="2">
        <v>7</v>
      </c>
      <c r="B2164" s="1" t="s">
        <v>224</v>
      </c>
      <c r="C2164" s="4">
        <v>3</v>
      </c>
      <c r="D2164" s="8">
        <v>4.29</v>
      </c>
      <c r="E2164" s="4">
        <v>3</v>
      </c>
      <c r="F2164" s="8">
        <v>9.09</v>
      </c>
      <c r="G2164" s="4">
        <v>0</v>
      </c>
      <c r="H2164" s="8">
        <v>0</v>
      </c>
      <c r="I2164" s="4">
        <v>0</v>
      </c>
    </row>
    <row r="2165" spans="1:9" x14ac:dyDescent="0.2">
      <c r="A2165" s="2">
        <v>7</v>
      </c>
      <c r="B2165" s="1" t="s">
        <v>239</v>
      </c>
      <c r="C2165" s="4">
        <v>3</v>
      </c>
      <c r="D2165" s="8">
        <v>4.29</v>
      </c>
      <c r="E2165" s="4">
        <v>0</v>
      </c>
      <c r="F2165" s="8">
        <v>0</v>
      </c>
      <c r="G2165" s="4">
        <v>3</v>
      </c>
      <c r="H2165" s="8">
        <v>8.33</v>
      </c>
      <c r="I2165" s="4">
        <v>0</v>
      </c>
    </row>
    <row r="2166" spans="1:9" x14ac:dyDescent="0.2">
      <c r="A2166" s="2">
        <v>7</v>
      </c>
      <c r="B2166" s="1" t="s">
        <v>228</v>
      </c>
      <c r="C2166" s="4">
        <v>3</v>
      </c>
      <c r="D2166" s="8">
        <v>4.29</v>
      </c>
      <c r="E2166" s="4">
        <v>3</v>
      </c>
      <c r="F2166" s="8">
        <v>9.09</v>
      </c>
      <c r="G2166" s="4">
        <v>0</v>
      </c>
      <c r="H2166" s="8">
        <v>0</v>
      </c>
      <c r="I2166" s="4">
        <v>0</v>
      </c>
    </row>
    <row r="2167" spans="1:9" x14ac:dyDescent="0.2">
      <c r="A2167" s="2">
        <v>7</v>
      </c>
      <c r="B2167" s="1" t="s">
        <v>230</v>
      </c>
      <c r="C2167" s="4">
        <v>3</v>
      </c>
      <c r="D2167" s="8">
        <v>4.29</v>
      </c>
      <c r="E2167" s="4">
        <v>2</v>
      </c>
      <c r="F2167" s="8">
        <v>6.06</v>
      </c>
      <c r="G2167" s="4">
        <v>0</v>
      </c>
      <c r="H2167" s="8">
        <v>0</v>
      </c>
      <c r="I2167" s="4">
        <v>0</v>
      </c>
    </row>
    <row r="2168" spans="1:9" x14ac:dyDescent="0.2">
      <c r="A2168" s="2">
        <v>11</v>
      </c>
      <c r="B2168" s="1" t="s">
        <v>215</v>
      </c>
      <c r="C2168" s="4">
        <v>2</v>
      </c>
      <c r="D2168" s="8">
        <v>2.86</v>
      </c>
      <c r="E2168" s="4">
        <v>0</v>
      </c>
      <c r="F2168" s="8">
        <v>0</v>
      </c>
      <c r="G2168" s="4">
        <v>2</v>
      </c>
      <c r="H2168" s="8">
        <v>5.56</v>
      </c>
      <c r="I2168" s="4">
        <v>0</v>
      </c>
    </row>
    <row r="2169" spans="1:9" x14ac:dyDescent="0.2">
      <c r="A2169" s="2">
        <v>11</v>
      </c>
      <c r="B2169" s="1" t="s">
        <v>262</v>
      </c>
      <c r="C2169" s="4">
        <v>2</v>
      </c>
      <c r="D2169" s="8">
        <v>2.86</v>
      </c>
      <c r="E2169" s="4">
        <v>0</v>
      </c>
      <c r="F2169" s="8">
        <v>0</v>
      </c>
      <c r="G2169" s="4">
        <v>2</v>
      </c>
      <c r="H2169" s="8">
        <v>5.56</v>
      </c>
      <c r="I2169" s="4">
        <v>0</v>
      </c>
    </row>
    <row r="2170" spans="1:9" x14ac:dyDescent="0.2">
      <c r="A2170" s="2">
        <v>11</v>
      </c>
      <c r="B2170" s="1" t="s">
        <v>229</v>
      </c>
      <c r="C2170" s="4">
        <v>2</v>
      </c>
      <c r="D2170" s="8">
        <v>2.86</v>
      </c>
      <c r="E2170" s="4">
        <v>2</v>
      </c>
      <c r="F2170" s="8">
        <v>6.06</v>
      </c>
      <c r="G2170" s="4">
        <v>0</v>
      </c>
      <c r="H2170" s="8">
        <v>0</v>
      </c>
      <c r="I2170" s="4">
        <v>0</v>
      </c>
    </row>
    <row r="2171" spans="1:9" x14ac:dyDescent="0.2">
      <c r="A2171" s="2">
        <v>14</v>
      </c>
      <c r="B2171" s="1" t="s">
        <v>241</v>
      </c>
      <c r="C2171" s="4">
        <v>1</v>
      </c>
      <c r="D2171" s="8">
        <v>1.43</v>
      </c>
      <c r="E2171" s="4">
        <v>0</v>
      </c>
      <c r="F2171" s="8">
        <v>0</v>
      </c>
      <c r="G2171" s="4">
        <v>1</v>
      </c>
      <c r="H2171" s="8">
        <v>2.78</v>
      </c>
      <c r="I2171" s="4">
        <v>0</v>
      </c>
    </row>
    <row r="2172" spans="1:9" x14ac:dyDescent="0.2">
      <c r="A2172" s="2">
        <v>14</v>
      </c>
      <c r="B2172" s="1" t="s">
        <v>244</v>
      </c>
      <c r="C2172" s="4">
        <v>1</v>
      </c>
      <c r="D2172" s="8">
        <v>1.43</v>
      </c>
      <c r="E2172" s="4">
        <v>0</v>
      </c>
      <c r="F2172" s="8">
        <v>0</v>
      </c>
      <c r="G2172" s="4">
        <v>1</v>
      </c>
      <c r="H2172" s="8">
        <v>2.78</v>
      </c>
      <c r="I2172" s="4">
        <v>0</v>
      </c>
    </row>
    <row r="2173" spans="1:9" x14ac:dyDescent="0.2">
      <c r="A2173" s="2">
        <v>14</v>
      </c>
      <c r="B2173" s="1" t="s">
        <v>258</v>
      </c>
      <c r="C2173" s="4">
        <v>1</v>
      </c>
      <c r="D2173" s="8">
        <v>1.43</v>
      </c>
      <c r="E2173" s="4">
        <v>1</v>
      </c>
      <c r="F2173" s="8">
        <v>3.03</v>
      </c>
      <c r="G2173" s="4">
        <v>0</v>
      </c>
      <c r="H2173" s="8">
        <v>0</v>
      </c>
      <c r="I2173" s="4">
        <v>0</v>
      </c>
    </row>
    <row r="2174" spans="1:9" x14ac:dyDescent="0.2">
      <c r="A2174" s="2">
        <v>14</v>
      </c>
      <c r="B2174" s="1" t="s">
        <v>254</v>
      </c>
      <c r="C2174" s="4">
        <v>1</v>
      </c>
      <c r="D2174" s="8">
        <v>1.43</v>
      </c>
      <c r="E2174" s="4">
        <v>0</v>
      </c>
      <c r="F2174" s="8">
        <v>0</v>
      </c>
      <c r="G2174" s="4">
        <v>1</v>
      </c>
      <c r="H2174" s="8">
        <v>2.78</v>
      </c>
      <c r="I2174" s="4">
        <v>0</v>
      </c>
    </row>
    <row r="2175" spans="1:9" x14ac:dyDescent="0.2">
      <c r="A2175" s="2">
        <v>14</v>
      </c>
      <c r="B2175" s="1" t="s">
        <v>253</v>
      </c>
      <c r="C2175" s="4">
        <v>1</v>
      </c>
      <c r="D2175" s="8">
        <v>1.43</v>
      </c>
      <c r="E2175" s="4">
        <v>1</v>
      </c>
      <c r="F2175" s="8">
        <v>3.03</v>
      </c>
      <c r="G2175" s="4">
        <v>0</v>
      </c>
      <c r="H2175" s="8">
        <v>0</v>
      </c>
      <c r="I2175" s="4">
        <v>0</v>
      </c>
    </row>
    <row r="2176" spans="1:9" x14ac:dyDescent="0.2">
      <c r="A2176" s="2">
        <v>14</v>
      </c>
      <c r="B2176" s="1" t="s">
        <v>268</v>
      </c>
      <c r="C2176" s="4">
        <v>1</v>
      </c>
      <c r="D2176" s="8">
        <v>1.43</v>
      </c>
      <c r="E2176" s="4">
        <v>0</v>
      </c>
      <c r="F2176" s="8">
        <v>0</v>
      </c>
      <c r="G2176" s="4">
        <v>1</v>
      </c>
      <c r="H2176" s="8">
        <v>2.78</v>
      </c>
      <c r="I2176" s="4">
        <v>0</v>
      </c>
    </row>
    <row r="2177" spans="1:9" x14ac:dyDescent="0.2">
      <c r="A2177" s="2">
        <v>14</v>
      </c>
      <c r="B2177" s="1" t="s">
        <v>261</v>
      </c>
      <c r="C2177" s="4">
        <v>1</v>
      </c>
      <c r="D2177" s="8">
        <v>1.43</v>
      </c>
      <c r="E2177" s="4">
        <v>0</v>
      </c>
      <c r="F2177" s="8">
        <v>0</v>
      </c>
      <c r="G2177" s="4">
        <v>1</v>
      </c>
      <c r="H2177" s="8">
        <v>2.78</v>
      </c>
      <c r="I2177" s="4">
        <v>0</v>
      </c>
    </row>
    <row r="2178" spans="1:9" x14ac:dyDescent="0.2">
      <c r="A2178" s="2">
        <v>14</v>
      </c>
      <c r="B2178" s="1" t="s">
        <v>266</v>
      </c>
      <c r="C2178" s="4">
        <v>1</v>
      </c>
      <c r="D2178" s="8">
        <v>1.43</v>
      </c>
      <c r="E2178" s="4">
        <v>0</v>
      </c>
      <c r="F2178" s="8">
        <v>0</v>
      </c>
      <c r="G2178" s="4">
        <v>1</v>
      </c>
      <c r="H2178" s="8">
        <v>2.78</v>
      </c>
      <c r="I2178" s="4">
        <v>0</v>
      </c>
    </row>
    <row r="2179" spans="1:9" x14ac:dyDescent="0.2">
      <c r="A2179" s="2">
        <v>14</v>
      </c>
      <c r="B2179" s="1" t="s">
        <v>220</v>
      </c>
      <c r="C2179" s="4">
        <v>1</v>
      </c>
      <c r="D2179" s="8">
        <v>1.43</v>
      </c>
      <c r="E2179" s="4">
        <v>1</v>
      </c>
      <c r="F2179" s="8">
        <v>3.03</v>
      </c>
      <c r="G2179" s="4">
        <v>0</v>
      </c>
      <c r="H2179" s="8">
        <v>0</v>
      </c>
      <c r="I2179" s="4">
        <v>0</v>
      </c>
    </row>
    <row r="2180" spans="1:9" x14ac:dyDescent="0.2">
      <c r="A2180" s="2">
        <v>14</v>
      </c>
      <c r="B2180" s="1" t="s">
        <v>247</v>
      </c>
      <c r="C2180" s="4">
        <v>1</v>
      </c>
      <c r="D2180" s="8">
        <v>1.43</v>
      </c>
      <c r="E2180" s="4">
        <v>0</v>
      </c>
      <c r="F2180" s="8">
        <v>0</v>
      </c>
      <c r="G2180" s="4">
        <v>1</v>
      </c>
      <c r="H2180" s="8">
        <v>2.78</v>
      </c>
      <c r="I2180" s="4">
        <v>0</v>
      </c>
    </row>
    <row r="2181" spans="1:9" x14ac:dyDescent="0.2">
      <c r="A2181" s="2">
        <v>14</v>
      </c>
      <c r="B2181" s="1" t="s">
        <v>249</v>
      </c>
      <c r="C2181" s="4">
        <v>1</v>
      </c>
      <c r="D2181" s="8">
        <v>1.43</v>
      </c>
      <c r="E2181" s="4">
        <v>0</v>
      </c>
      <c r="F2181" s="8">
        <v>0</v>
      </c>
      <c r="G2181" s="4">
        <v>1</v>
      </c>
      <c r="H2181" s="8">
        <v>2.78</v>
      </c>
      <c r="I2181" s="4">
        <v>0</v>
      </c>
    </row>
    <row r="2182" spans="1:9" x14ac:dyDescent="0.2">
      <c r="A2182" s="2">
        <v>14</v>
      </c>
      <c r="B2182" s="1" t="s">
        <v>240</v>
      </c>
      <c r="C2182" s="4">
        <v>1</v>
      </c>
      <c r="D2182" s="8">
        <v>1.43</v>
      </c>
      <c r="E2182" s="4">
        <v>0</v>
      </c>
      <c r="F2182" s="8">
        <v>0</v>
      </c>
      <c r="G2182" s="4">
        <v>1</v>
      </c>
      <c r="H2182" s="8">
        <v>2.78</v>
      </c>
      <c r="I2182" s="4">
        <v>0</v>
      </c>
    </row>
    <row r="2183" spans="1:9" x14ac:dyDescent="0.2">
      <c r="A2183" s="2">
        <v>14</v>
      </c>
      <c r="B2183" s="1" t="s">
        <v>270</v>
      </c>
      <c r="C2183" s="4">
        <v>1</v>
      </c>
      <c r="D2183" s="8">
        <v>1.43</v>
      </c>
      <c r="E2183" s="4">
        <v>0</v>
      </c>
      <c r="F2183" s="8">
        <v>0</v>
      </c>
      <c r="G2183" s="4">
        <v>1</v>
      </c>
      <c r="H2183" s="8">
        <v>2.78</v>
      </c>
      <c r="I2183" s="4">
        <v>0</v>
      </c>
    </row>
    <row r="2184" spans="1:9" x14ac:dyDescent="0.2">
      <c r="A2184" s="2">
        <v>14</v>
      </c>
      <c r="B2184" s="1" t="s">
        <v>234</v>
      </c>
      <c r="C2184" s="4">
        <v>1</v>
      </c>
      <c r="D2184" s="8">
        <v>1.43</v>
      </c>
      <c r="E2184" s="4">
        <v>0</v>
      </c>
      <c r="F2184" s="8">
        <v>0</v>
      </c>
      <c r="G2184" s="4">
        <v>1</v>
      </c>
      <c r="H2184" s="8">
        <v>2.78</v>
      </c>
      <c r="I2184" s="4">
        <v>0</v>
      </c>
    </row>
    <row r="2185" spans="1:9" x14ac:dyDescent="0.2">
      <c r="A2185" s="1"/>
      <c r="C2185" s="4"/>
      <c r="D2185" s="8"/>
      <c r="E2185" s="4"/>
      <c r="F2185" s="8"/>
      <c r="G2185" s="4"/>
      <c r="H2185" s="8"/>
      <c r="I2185" s="4"/>
    </row>
    <row r="2186" spans="1:9" x14ac:dyDescent="0.2">
      <c r="A2186" s="1" t="s">
        <v>90</v>
      </c>
      <c r="C2186" s="4"/>
      <c r="D2186" s="8"/>
      <c r="E2186" s="4"/>
      <c r="F2186" s="8"/>
      <c r="G2186" s="4"/>
      <c r="H2186" s="8"/>
      <c r="I2186" s="4"/>
    </row>
    <row r="2187" spans="1:9" x14ac:dyDescent="0.2">
      <c r="A2187" s="2">
        <v>1</v>
      </c>
      <c r="B2187" s="1" t="s">
        <v>223</v>
      </c>
      <c r="C2187" s="4">
        <v>5</v>
      </c>
      <c r="D2187" s="8">
        <v>11.63</v>
      </c>
      <c r="E2187" s="4">
        <v>2</v>
      </c>
      <c r="F2187" s="8">
        <v>12.5</v>
      </c>
      <c r="G2187" s="4">
        <v>3</v>
      </c>
      <c r="H2187" s="8">
        <v>12</v>
      </c>
      <c r="I2187" s="4">
        <v>0</v>
      </c>
    </row>
    <row r="2188" spans="1:9" x14ac:dyDescent="0.2">
      <c r="A2188" s="2">
        <v>1</v>
      </c>
      <c r="B2188" s="1" t="s">
        <v>227</v>
      </c>
      <c r="C2188" s="4">
        <v>5</v>
      </c>
      <c r="D2188" s="8">
        <v>11.63</v>
      </c>
      <c r="E2188" s="4">
        <v>1</v>
      </c>
      <c r="F2188" s="8">
        <v>6.25</v>
      </c>
      <c r="G2188" s="4">
        <v>4</v>
      </c>
      <c r="H2188" s="8">
        <v>16</v>
      </c>
      <c r="I2188" s="4">
        <v>0</v>
      </c>
    </row>
    <row r="2189" spans="1:9" x14ac:dyDescent="0.2">
      <c r="A2189" s="2">
        <v>3</v>
      </c>
      <c r="B2189" s="1" t="s">
        <v>221</v>
      </c>
      <c r="C2189" s="4">
        <v>4</v>
      </c>
      <c r="D2189" s="8">
        <v>9.3000000000000007</v>
      </c>
      <c r="E2189" s="4">
        <v>0</v>
      </c>
      <c r="F2189" s="8">
        <v>0</v>
      </c>
      <c r="G2189" s="4">
        <v>4</v>
      </c>
      <c r="H2189" s="8">
        <v>16</v>
      </c>
      <c r="I2189" s="4">
        <v>0</v>
      </c>
    </row>
    <row r="2190" spans="1:9" x14ac:dyDescent="0.2">
      <c r="A2190" s="2">
        <v>4</v>
      </c>
      <c r="B2190" s="1" t="s">
        <v>213</v>
      </c>
      <c r="C2190" s="4">
        <v>3</v>
      </c>
      <c r="D2190" s="8">
        <v>6.98</v>
      </c>
      <c r="E2190" s="4">
        <v>0</v>
      </c>
      <c r="F2190" s="8">
        <v>0</v>
      </c>
      <c r="G2190" s="4">
        <v>3</v>
      </c>
      <c r="H2190" s="8">
        <v>12</v>
      </c>
      <c r="I2190" s="4">
        <v>0</v>
      </c>
    </row>
    <row r="2191" spans="1:9" x14ac:dyDescent="0.2">
      <c r="A2191" s="2">
        <v>4</v>
      </c>
      <c r="B2191" s="1" t="s">
        <v>228</v>
      </c>
      <c r="C2191" s="4">
        <v>3</v>
      </c>
      <c r="D2191" s="8">
        <v>6.98</v>
      </c>
      <c r="E2191" s="4">
        <v>3</v>
      </c>
      <c r="F2191" s="8">
        <v>18.75</v>
      </c>
      <c r="G2191" s="4">
        <v>0</v>
      </c>
      <c r="H2191" s="8">
        <v>0</v>
      </c>
      <c r="I2191" s="4">
        <v>0</v>
      </c>
    </row>
    <row r="2192" spans="1:9" x14ac:dyDescent="0.2">
      <c r="A2192" s="2">
        <v>4</v>
      </c>
      <c r="B2192" s="1" t="s">
        <v>230</v>
      </c>
      <c r="C2192" s="4">
        <v>3</v>
      </c>
      <c r="D2192" s="8">
        <v>6.98</v>
      </c>
      <c r="E2192" s="4">
        <v>2</v>
      </c>
      <c r="F2192" s="8">
        <v>12.5</v>
      </c>
      <c r="G2192" s="4">
        <v>0</v>
      </c>
      <c r="H2192" s="8">
        <v>0</v>
      </c>
      <c r="I2192" s="4">
        <v>0</v>
      </c>
    </row>
    <row r="2193" spans="1:9" x14ac:dyDescent="0.2">
      <c r="A2193" s="2">
        <v>7</v>
      </c>
      <c r="B2193" s="1" t="s">
        <v>214</v>
      </c>
      <c r="C2193" s="4">
        <v>2</v>
      </c>
      <c r="D2193" s="8">
        <v>4.6500000000000004</v>
      </c>
      <c r="E2193" s="4">
        <v>1</v>
      </c>
      <c r="F2193" s="8">
        <v>6.25</v>
      </c>
      <c r="G2193" s="4">
        <v>1</v>
      </c>
      <c r="H2193" s="8">
        <v>4</v>
      </c>
      <c r="I2193" s="4">
        <v>0</v>
      </c>
    </row>
    <row r="2194" spans="1:9" x14ac:dyDescent="0.2">
      <c r="A2194" s="2">
        <v>7</v>
      </c>
      <c r="B2194" s="1" t="s">
        <v>218</v>
      </c>
      <c r="C2194" s="4">
        <v>2</v>
      </c>
      <c r="D2194" s="8">
        <v>4.6500000000000004</v>
      </c>
      <c r="E2194" s="4">
        <v>1</v>
      </c>
      <c r="F2194" s="8">
        <v>6.25</v>
      </c>
      <c r="G2194" s="4">
        <v>1</v>
      </c>
      <c r="H2194" s="8">
        <v>4</v>
      </c>
      <c r="I2194" s="4">
        <v>0</v>
      </c>
    </row>
    <row r="2195" spans="1:9" x14ac:dyDescent="0.2">
      <c r="A2195" s="2">
        <v>7</v>
      </c>
      <c r="B2195" s="1" t="s">
        <v>240</v>
      </c>
      <c r="C2195" s="4">
        <v>2</v>
      </c>
      <c r="D2195" s="8">
        <v>4.6500000000000004</v>
      </c>
      <c r="E2195" s="4">
        <v>0</v>
      </c>
      <c r="F2195" s="8">
        <v>0</v>
      </c>
      <c r="G2195" s="4">
        <v>2</v>
      </c>
      <c r="H2195" s="8">
        <v>8</v>
      </c>
      <c r="I2195" s="4">
        <v>0</v>
      </c>
    </row>
    <row r="2196" spans="1:9" x14ac:dyDescent="0.2">
      <c r="A2196" s="2">
        <v>10</v>
      </c>
      <c r="B2196" s="1" t="s">
        <v>215</v>
      </c>
      <c r="C2196" s="4">
        <v>1</v>
      </c>
      <c r="D2196" s="8">
        <v>2.33</v>
      </c>
      <c r="E2196" s="4">
        <v>0</v>
      </c>
      <c r="F2196" s="8">
        <v>0</v>
      </c>
      <c r="G2196" s="4">
        <v>1</v>
      </c>
      <c r="H2196" s="8">
        <v>4</v>
      </c>
      <c r="I2196" s="4">
        <v>0</v>
      </c>
    </row>
    <row r="2197" spans="1:9" x14ac:dyDescent="0.2">
      <c r="A2197" s="2">
        <v>10</v>
      </c>
      <c r="B2197" s="1" t="s">
        <v>241</v>
      </c>
      <c r="C2197" s="4">
        <v>1</v>
      </c>
      <c r="D2197" s="8">
        <v>2.33</v>
      </c>
      <c r="E2197" s="4">
        <v>0</v>
      </c>
      <c r="F2197" s="8">
        <v>0</v>
      </c>
      <c r="G2197" s="4">
        <v>1</v>
      </c>
      <c r="H2197" s="8">
        <v>4</v>
      </c>
      <c r="I2197" s="4">
        <v>0</v>
      </c>
    </row>
    <row r="2198" spans="1:9" x14ac:dyDescent="0.2">
      <c r="A2198" s="2">
        <v>10</v>
      </c>
      <c r="B2198" s="1" t="s">
        <v>262</v>
      </c>
      <c r="C2198" s="4">
        <v>1</v>
      </c>
      <c r="D2198" s="8">
        <v>2.33</v>
      </c>
      <c r="E2198" s="4">
        <v>0</v>
      </c>
      <c r="F2198" s="8">
        <v>0</v>
      </c>
      <c r="G2198" s="4">
        <v>1</v>
      </c>
      <c r="H2198" s="8">
        <v>4</v>
      </c>
      <c r="I2198" s="4">
        <v>0</v>
      </c>
    </row>
    <row r="2199" spans="1:9" x14ac:dyDescent="0.2">
      <c r="A2199" s="2">
        <v>10</v>
      </c>
      <c r="B2199" s="1" t="s">
        <v>244</v>
      </c>
      <c r="C2199" s="4">
        <v>1</v>
      </c>
      <c r="D2199" s="8">
        <v>2.33</v>
      </c>
      <c r="E2199" s="4">
        <v>1</v>
      </c>
      <c r="F2199" s="8">
        <v>6.25</v>
      </c>
      <c r="G2199" s="4">
        <v>0</v>
      </c>
      <c r="H2199" s="8">
        <v>0</v>
      </c>
      <c r="I2199" s="4">
        <v>0</v>
      </c>
    </row>
    <row r="2200" spans="1:9" x14ac:dyDescent="0.2">
      <c r="A2200" s="2">
        <v>10</v>
      </c>
      <c r="B2200" s="1" t="s">
        <v>259</v>
      </c>
      <c r="C2200" s="4">
        <v>1</v>
      </c>
      <c r="D2200" s="8">
        <v>2.33</v>
      </c>
      <c r="E2200" s="4">
        <v>0</v>
      </c>
      <c r="F2200" s="8">
        <v>0</v>
      </c>
      <c r="G2200" s="4">
        <v>1</v>
      </c>
      <c r="H2200" s="8">
        <v>4</v>
      </c>
      <c r="I2200" s="4">
        <v>0</v>
      </c>
    </row>
    <row r="2201" spans="1:9" x14ac:dyDescent="0.2">
      <c r="A2201" s="2">
        <v>10</v>
      </c>
      <c r="B2201" s="1" t="s">
        <v>253</v>
      </c>
      <c r="C2201" s="4">
        <v>1</v>
      </c>
      <c r="D2201" s="8">
        <v>2.33</v>
      </c>
      <c r="E2201" s="4">
        <v>1</v>
      </c>
      <c r="F2201" s="8">
        <v>6.25</v>
      </c>
      <c r="G2201" s="4">
        <v>0</v>
      </c>
      <c r="H2201" s="8">
        <v>0</v>
      </c>
      <c r="I2201" s="4">
        <v>0</v>
      </c>
    </row>
    <row r="2202" spans="1:9" x14ac:dyDescent="0.2">
      <c r="A2202" s="2">
        <v>10</v>
      </c>
      <c r="B2202" s="1" t="s">
        <v>276</v>
      </c>
      <c r="C2202" s="4">
        <v>1</v>
      </c>
      <c r="D2202" s="8">
        <v>2.33</v>
      </c>
      <c r="E2202" s="4">
        <v>0</v>
      </c>
      <c r="F2202" s="8">
        <v>0</v>
      </c>
      <c r="G2202" s="4">
        <v>1</v>
      </c>
      <c r="H2202" s="8">
        <v>4</v>
      </c>
      <c r="I2202" s="4">
        <v>0</v>
      </c>
    </row>
    <row r="2203" spans="1:9" x14ac:dyDescent="0.2">
      <c r="A2203" s="2">
        <v>10</v>
      </c>
      <c r="B2203" s="1" t="s">
        <v>238</v>
      </c>
      <c r="C2203" s="4">
        <v>1</v>
      </c>
      <c r="D2203" s="8">
        <v>2.33</v>
      </c>
      <c r="E2203" s="4">
        <v>0</v>
      </c>
      <c r="F2203" s="8">
        <v>0</v>
      </c>
      <c r="G2203" s="4">
        <v>1</v>
      </c>
      <c r="H2203" s="8">
        <v>4</v>
      </c>
      <c r="I2203" s="4">
        <v>0</v>
      </c>
    </row>
    <row r="2204" spans="1:9" x14ac:dyDescent="0.2">
      <c r="A2204" s="2">
        <v>10</v>
      </c>
      <c r="B2204" s="1" t="s">
        <v>220</v>
      </c>
      <c r="C2204" s="4">
        <v>1</v>
      </c>
      <c r="D2204" s="8">
        <v>2.33</v>
      </c>
      <c r="E2204" s="4">
        <v>1</v>
      </c>
      <c r="F2204" s="8">
        <v>6.25</v>
      </c>
      <c r="G2204" s="4">
        <v>0</v>
      </c>
      <c r="H2204" s="8">
        <v>0</v>
      </c>
      <c r="I2204" s="4">
        <v>0</v>
      </c>
    </row>
    <row r="2205" spans="1:9" x14ac:dyDescent="0.2">
      <c r="A2205" s="2">
        <v>10</v>
      </c>
      <c r="B2205" s="1" t="s">
        <v>225</v>
      </c>
      <c r="C2205" s="4">
        <v>1</v>
      </c>
      <c r="D2205" s="8">
        <v>2.33</v>
      </c>
      <c r="E2205" s="4">
        <v>1</v>
      </c>
      <c r="F2205" s="8">
        <v>6.25</v>
      </c>
      <c r="G2205" s="4">
        <v>0</v>
      </c>
      <c r="H2205" s="8">
        <v>0</v>
      </c>
      <c r="I2205" s="4">
        <v>0</v>
      </c>
    </row>
    <row r="2206" spans="1:9" x14ac:dyDescent="0.2">
      <c r="A2206" s="2">
        <v>10</v>
      </c>
      <c r="B2206" s="1" t="s">
        <v>247</v>
      </c>
      <c r="C2206" s="4">
        <v>1</v>
      </c>
      <c r="D2206" s="8">
        <v>2.33</v>
      </c>
      <c r="E2206" s="4">
        <v>0</v>
      </c>
      <c r="F2206" s="8">
        <v>0</v>
      </c>
      <c r="G2206" s="4">
        <v>0</v>
      </c>
      <c r="H2206" s="8">
        <v>0</v>
      </c>
      <c r="I2206" s="4">
        <v>0</v>
      </c>
    </row>
    <row r="2207" spans="1:9" x14ac:dyDescent="0.2">
      <c r="A2207" s="2">
        <v>10</v>
      </c>
      <c r="B2207" s="1" t="s">
        <v>231</v>
      </c>
      <c r="C2207" s="4">
        <v>1</v>
      </c>
      <c r="D2207" s="8">
        <v>2.33</v>
      </c>
      <c r="E2207" s="4">
        <v>1</v>
      </c>
      <c r="F2207" s="8">
        <v>6.25</v>
      </c>
      <c r="G2207" s="4">
        <v>0</v>
      </c>
      <c r="H2207" s="8">
        <v>0</v>
      </c>
      <c r="I2207" s="4">
        <v>0</v>
      </c>
    </row>
    <row r="2208" spans="1:9" x14ac:dyDescent="0.2">
      <c r="A2208" s="2">
        <v>10</v>
      </c>
      <c r="B2208" s="1" t="s">
        <v>249</v>
      </c>
      <c r="C2208" s="4">
        <v>1</v>
      </c>
      <c r="D2208" s="8">
        <v>2.33</v>
      </c>
      <c r="E2208" s="4">
        <v>0</v>
      </c>
      <c r="F2208" s="8">
        <v>0</v>
      </c>
      <c r="G2208" s="4">
        <v>1</v>
      </c>
      <c r="H2208" s="8">
        <v>4</v>
      </c>
      <c r="I2208" s="4">
        <v>0</v>
      </c>
    </row>
    <row r="2209" spans="1:9" x14ac:dyDescent="0.2">
      <c r="A2209" s="2">
        <v>10</v>
      </c>
      <c r="B2209" s="1" t="s">
        <v>242</v>
      </c>
      <c r="C2209" s="4">
        <v>1</v>
      </c>
      <c r="D2209" s="8">
        <v>2.33</v>
      </c>
      <c r="E2209" s="4">
        <v>1</v>
      </c>
      <c r="F2209" s="8">
        <v>6.25</v>
      </c>
      <c r="G2209" s="4">
        <v>0</v>
      </c>
      <c r="H2209" s="8">
        <v>0</v>
      </c>
      <c r="I2209" s="4">
        <v>0</v>
      </c>
    </row>
    <row r="2210" spans="1:9" x14ac:dyDescent="0.2">
      <c r="A2210" s="1"/>
      <c r="C2210" s="4"/>
      <c r="D2210" s="8"/>
      <c r="E2210" s="4"/>
      <c r="F2210" s="8"/>
      <c r="G2210" s="4"/>
      <c r="H2210" s="8"/>
      <c r="I2210" s="4"/>
    </row>
    <row r="2211" spans="1:9" x14ac:dyDescent="0.2">
      <c r="A2211" s="1" t="s">
        <v>91</v>
      </c>
      <c r="C2211" s="4"/>
      <c r="D2211" s="8"/>
      <c r="E2211" s="4"/>
      <c r="F2211" s="8"/>
      <c r="G2211" s="4"/>
      <c r="H2211" s="8"/>
      <c r="I2211" s="4"/>
    </row>
    <row r="2212" spans="1:9" x14ac:dyDescent="0.2">
      <c r="A2212" s="2">
        <v>1</v>
      </c>
      <c r="B2212" s="1" t="s">
        <v>213</v>
      </c>
      <c r="C2212" s="4">
        <v>11</v>
      </c>
      <c r="D2212" s="8">
        <v>12.94</v>
      </c>
      <c r="E2212" s="4">
        <v>1</v>
      </c>
      <c r="F2212" s="8">
        <v>2.5</v>
      </c>
      <c r="G2212" s="4">
        <v>10</v>
      </c>
      <c r="H2212" s="8">
        <v>22.73</v>
      </c>
      <c r="I2212" s="4">
        <v>0</v>
      </c>
    </row>
    <row r="2213" spans="1:9" x14ac:dyDescent="0.2">
      <c r="A2213" s="2">
        <v>1</v>
      </c>
      <c r="B2213" s="1" t="s">
        <v>214</v>
      </c>
      <c r="C2213" s="4">
        <v>11</v>
      </c>
      <c r="D2213" s="8">
        <v>12.94</v>
      </c>
      <c r="E2213" s="4">
        <v>4</v>
      </c>
      <c r="F2213" s="8">
        <v>10</v>
      </c>
      <c r="G2213" s="4">
        <v>7</v>
      </c>
      <c r="H2213" s="8">
        <v>15.91</v>
      </c>
      <c r="I2213" s="4">
        <v>0</v>
      </c>
    </row>
    <row r="2214" spans="1:9" x14ac:dyDescent="0.2">
      <c r="A2214" s="2">
        <v>3</v>
      </c>
      <c r="B2214" s="1" t="s">
        <v>228</v>
      </c>
      <c r="C2214" s="4">
        <v>9</v>
      </c>
      <c r="D2214" s="8">
        <v>10.59</v>
      </c>
      <c r="E2214" s="4">
        <v>8</v>
      </c>
      <c r="F2214" s="8">
        <v>20</v>
      </c>
      <c r="G2214" s="4">
        <v>1</v>
      </c>
      <c r="H2214" s="8">
        <v>2.27</v>
      </c>
      <c r="I2214" s="4">
        <v>0</v>
      </c>
    </row>
    <row r="2215" spans="1:9" x14ac:dyDescent="0.2">
      <c r="A2215" s="2">
        <v>4</v>
      </c>
      <c r="B2215" s="1" t="s">
        <v>223</v>
      </c>
      <c r="C2215" s="4">
        <v>7</v>
      </c>
      <c r="D2215" s="8">
        <v>8.24</v>
      </c>
      <c r="E2215" s="4">
        <v>5</v>
      </c>
      <c r="F2215" s="8">
        <v>12.5</v>
      </c>
      <c r="G2215" s="4">
        <v>2</v>
      </c>
      <c r="H2215" s="8">
        <v>4.55</v>
      </c>
      <c r="I2215" s="4">
        <v>0</v>
      </c>
    </row>
    <row r="2216" spans="1:9" x14ac:dyDescent="0.2">
      <c r="A2216" s="2">
        <v>4</v>
      </c>
      <c r="B2216" s="1" t="s">
        <v>227</v>
      </c>
      <c r="C2216" s="4">
        <v>7</v>
      </c>
      <c r="D2216" s="8">
        <v>8.24</v>
      </c>
      <c r="E2216" s="4">
        <v>6</v>
      </c>
      <c r="F2216" s="8">
        <v>15</v>
      </c>
      <c r="G2216" s="4">
        <v>1</v>
      </c>
      <c r="H2216" s="8">
        <v>2.27</v>
      </c>
      <c r="I2216" s="4">
        <v>0</v>
      </c>
    </row>
    <row r="2217" spans="1:9" x14ac:dyDescent="0.2">
      <c r="A2217" s="2">
        <v>6</v>
      </c>
      <c r="B2217" s="1" t="s">
        <v>224</v>
      </c>
      <c r="C2217" s="4">
        <v>6</v>
      </c>
      <c r="D2217" s="8">
        <v>7.06</v>
      </c>
      <c r="E2217" s="4">
        <v>5</v>
      </c>
      <c r="F2217" s="8">
        <v>12.5</v>
      </c>
      <c r="G2217" s="4">
        <v>1</v>
      </c>
      <c r="H2217" s="8">
        <v>2.27</v>
      </c>
      <c r="I2217" s="4">
        <v>0</v>
      </c>
    </row>
    <row r="2218" spans="1:9" x14ac:dyDescent="0.2">
      <c r="A2218" s="2">
        <v>7</v>
      </c>
      <c r="B2218" s="1" t="s">
        <v>221</v>
      </c>
      <c r="C2218" s="4">
        <v>4</v>
      </c>
      <c r="D2218" s="8">
        <v>4.71</v>
      </c>
      <c r="E2218" s="4">
        <v>3</v>
      </c>
      <c r="F2218" s="8">
        <v>7.5</v>
      </c>
      <c r="G2218" s="4">
        <v>1</v>
      </c>
      <c r="H2218" s="8">
        <v>2.27</v>
      </c>
      <c r="I2218" s="4">
        <v>0</v>
      </c>
    </row>
    <row r="2219" spans="1:9" x14ac:dyDescent="0.2">
      <c r="A2219" s="2">
        <v>8</v>
      </c>
      <c r="B2219" s="1" t="s">
        <v>234</v>
      </c>
      <c r="C2219" s="4">
        <v>3</v>
      </c>
      <c r="D2219" s="8">
        <v>3.53</v>
      </c>
      <c r="E2219" s="4">
        <v>1</v>
      </c>
      <c r="F2219" s="8">
        <v>2.5</v>
      </c>
      <c r="G2219" s="4">
        <v>2</v>
      </c>
      <c r="H2219" s="8">
        <v>4.55</v>
      </c>
      <c r="I2219" s="4">
        <v>0</v>
      </c>
    </row>
    <row r="2220" spans="1:9" x14ac:dyDescent="0.2">
      <c r="A2220" s="2">
        <v>9</v>
      </c>
      <c r="B2220" s="1" t="s">
        <v>215</v>
      </c>
      <c r="C2220" s="4">
        <v>2</v>
      </c>
      <c r="D2220" s="8">
        <v>2.35</v>
      </c>
      <c r="E2220" s="4">
        <v>0</v>
      </c>
      <c r="F2220" s="8">
        <v>0</v>
      </c>
      <c r="G2220" s="4">
        <v>2</v>
      </c>
      <c r="H2220" s="8">
        <v>4.55</v>
      </c>
      <c r="I2220" s="4">
        <v>0</v>
      </c>
    </row>
    <row r="2221" spans="1:9" x14ac:dyDescent="0.2">
      <c r="A2221" s="2">
        <v>9</v>
      </c>
      <c r="B2221" s="1" t="s">
        <v>217</v>
      </c>
      <c r="C2221" s="4">
        <v>2</v>
      </c>
      <c r="D2221" s="8">
        <v>2.35</v>
      </c>
      <c r="E2221" s="4">
        <v>0</v>
      </c>
      <c r="F2221" s="8">
        <v>0</v>
      </c>
      <c r="G2221" s="4">
        <v>2</v>
      </c>
      <c r="H2221" s="8">
        <v>4.55</v>
      </c>
      <c r="I2221" s="4">
        <v>0</v>
      </c>
    </row>
    <row r="2222" spans="1:9" x14ac:dyDescent="0.2">
      <c r="A2222" s="2">
        <v>9</v>
      </c>
      <c r="B2222" s="1" t="s">
        <v>222</v>
      </c>
      <c r="C2222" s="4">
        <v>2</v>
      </c>
      <c r="D2222" s="8">
        <v>2.35</v>
      </c>
      <c r="E2222" s="4">
        <v>0</v>
      </c>
      <c r="F2222" s="8">
        <v>0</v>
      </c>
      <c r="G2222" s="4">
        <v>2</v>
      </c>
      <c r="H2222" s="8">
        <v>4.55</v>
      </c>
      <c r="I2222" s="4">
        <v>0</v>
      </c>
    </row>
    <row r="2223" spans="1:9" x14ac:dyDescent="0.2">
      <c r="A2223" s="2">
        <v>9</v>
      </c>
      <c r="B2223" s="1" t="s">
        <v>230</v>
      </c>
      <c r="C2223" s="4">
        <v>2</v>
      </c>
      <c r="D2223" s="8">
        <v>2.35</v>
      </c>
      <c r="E2223" s="4">
        <v>2</v>
      </c>
      <c r="F2223" s="8">
        <v>5</v>
      </c>
      <c r="G2223" s="4">
        <v>0</v>
      </c>
      <c r="H2223" s="8">
        <v>0</v>
      </c>
      <c r="I2223" s="4">
        <v>0</v>
      </c>
    </row>
    <row r="2224" spans="1:9" x14ac:dyDescent="0.2">
      <c r="A2224" s="2">
        <v>9</v>
      </c>
      <c r="B2224" s="1" t="s">
        <v>231</v>
      </c>
      <c r="C2224" s="4">
        <v>2</v>
      </c>
      <c r="D2224" s="8">
        <v>2.35</v>
      </c>
      <c r="E2224" s="4">
        <v>1</v>
      </c>
      <c r="F2224" s="8">
        <v>2.5</v>
      </c>
      <c r="G2224" s="4">
        <v>1</v>
      </c>
      <c r="H2224" s="8">
        <v>2.27</v>
      </c>
      <c r="I2224" s="4">
        <v>0</v>
      </c>
    </row>
    <row r="2225" spans="1:9" x14ac:dyDescent="0.2">
      <c r="A2225" s="2">
        <v>9</v>
      </c>
      <c r="B2225" s="1" t="s">
        <v>240</v>
      </c>
      <c r="C2225" s="4">
        <v>2</v>
      </c>
      <c r="D2225" s="8">
        <v>2.35</v>
      </c>
      <c r="E2225" s="4">
        <v>0</v>
      </c>
      <c r="F2225" s="8">
        <v>0</v>
      </c>
      <c r="G2225" s="4">
        <v>2</v>
      </c>
      <c r="H2225" s="8">
        <v>4.55</v>
      </c>
      <c r="I2225" s="4">
        <v>0</v>
      </c>
    </row>
    <row r="2226" spans="1:9" x14ac:dyDescent="0.2">
      <c r="A2226" s="2">
        <v>15</v>
      </c>
      <c r="B2226" s="1" t="s">
        <v>241</v>
      </c>
      <c r="C2226" s="4">
        <v>1</v>
      </c>
      <c r="D2226" s="8">
        <v>1.18</v>
      </c>
      <c r="E2226" s="4">
        <v>0</v>
      </c>
      <c r="F2226" s="8">
        <v>0</v>
      </c>
      <c r="G2226" s="4">
        <v>1</v>
      </c>
      <c r="H2226" s="8">
        <v>2.27</v>
      </c>
      <c r="I2226" s="4">
        <v>0</v>
      </c>
    </row>
    <row r="2227" spans="1:9" x14ac:dyDescent="0.2">
      <c r="A2227" s="2">
        <v>15</v>
      </c>
      <c r="B2227" s="1" t="s">
        <v>262</v>
      </c>
      <c r="C2227" s="4">
        <v>1</v>
      </c>
      <c r="D2227" s="8">
        <v>1.18</v>
      </c>
      <c r="E2227" s="4">
        <v>0</v>
      </c>
      <c r="F2227" s="8">
        <v>0</v>
      </c>
      <c r="G2227" s="4">
        <v>1</v>
      </c>
      <c r="H2227" s="8">
        <v>2.27</v>
      </c>
      <c r="I2227" s="4">
        <v>0</v>
      </c>
    </row>
    <row r="2228" spans="1:9" x14ac:dyDescent="0.2">
      <c r="A2228" s="2">
        <v>15</v>
      </c>
      <c r="B2228" s="1" t="s">
        <v>264</v>
      </c>
      <c r="C2228" s="4">
        <v>1</v>
      </c>
      <c r="D2228" s="8">
        <v>1.18</v>
      </c>
      <c r="E2228" s="4">
        <v>0</v>
      </c>
      <c r="F2228" s="8">
        <v>0</v>
      </c>
      <c r="G2228" s="4">
        <v>1</v>
      </c>
      <c r="H2228" s="8">
        <v>2.27</v>
      </c>
      <c r="I2228" s="4">
        <v>0</v>
      </c>
    </row>
    <row r="2229" spans="1:9" x14ac:dyDescent="0.2">
      <c r="A2229" s="2">
        <v>15</v>
      </c>
      <c r="B2229" s="1" t="s">
        <v>254</v>
      </c>
      <c r="C2229" s="4">
        <v>1</v>
      </c>
      <c r="D2229" s="8">
        <v>1.18</v>
      </c>
      <c r="E2229" s="4">
        <v>1</v>
      </c>
      <c r="F2229" s="8">
        <v>2.5</v>
      </c>
      <c r="G2229" s="4">
        <v>0</v>
      </c>
      <c r="H2229" s="8">
        <v>0</v>
      </c>
      <c r="I2229" s="4">
        <v>0</v>
      </c>
    </row>
    <row r="2230" spans="1:9" x14ac:dyDescent="0.2">
      <c r="A2230" s="2">
        <v>15</v>
      </c>
      <c r="B2230" s="1" t="s">
        <v>272</v>
      </c>
      <c r="C2230" s="4">
        <v>1</v>
      </c>
      <c r="D2230" s="8">
        <v>1.18</v>
      </c>
      <c r="E2230" s="4">
        <v>1</v>
      </c>
      <c r="F2230" s="8">
        <v>2.5</v>
      </c>
      <c r="G2230" s="4">
        <v>0</v>
      </c>
      <c r="H2230" s="8">
        <v>0</v>
      </c>
      <c r="I2230" s="4">
        <v>0</v>
      </c>
    </row>
    <row r="2231" spans="1:9" x14ac:dyDescent="0.2">
      <c r="A2231" s="2">
        <v>15</v>
      </c>
      <c r="B2231" s="1" t="s">
        <v>253</v>
      </c>
      <c r="C2231" s="4">
        <v>1</v>
      </c>
      <c r="D2231" s="8">
        <v>1.18</v>
      </c>
      <c r="E2231" s="4">
        <v>0</v>
      </c>
      <c r="F2231" s="8">
        <v>0</v>
      </c>
      <c r="G2231" s="4">
        <v>1</v>
      </c>
      <c r="H2231" s="8">
        <v>2.27</v>
      </c>
      <c r="I2231" s="4">
        <v>0</v>
      </c>
    </row>
    <row r="2232" spans="1:9" x14ac:dyDescent="0.2">
      <c r="A2232" s="2">
        <v>15</v>
      </c>
      <c r="B2232" s="1" t="s">
        <v>268</v>
      </c>
      <c r="C2232" s="4">
        <v>1</v>
      </c>
      <c r="D2232" s="8">
        <v>1.18</v>
      </c>
      <c r="E2232" s="4">
        <v>0</v>
      </c>
      <c r="F2232" s="8">
        <v>0</v>
      </c>
      <c r="G2232" s="4">
        <v>1</v>
      </c>
      <c r="H2232" s="8">
        <v>2.27</v>
      </c>
      <c r="I2232" s="4">
        <v>0</v>
      </c>
    </row>
    <row r="2233" spans="1:9" x14ac:dyDescent="0.2">
      <c r="A2233" s="2">
        <v>15</v>
      </c>
      <c r="B2233" s="1" t="s">
        <v>238</v>
      </c>
      <c r="C2233" s="4">
        <v>1</v>
      </c>
      <c r="D2233" s="8">
        <v>1.18</v>
      </c>
      <c r="E2233" s="4">
        <v>0</v>
      </c>
      <c r="F2233" s="8">
        <v>0</v>
      </c>
      <c r="G2233" s="4">
        <v>1</v>
      </c>
      <c r="H2233" s="8">
        <v>2.27</v>
      </c>
      <c r="I2233" s="4">
        <v>0</v>
      </c>
    </row>
    <row r="2234" spans="1:9" x14ac:dyDescent="0.2">
      <c r="A2234" s="2">
        <v>15</v>
      </c>
      <c r="B2234" s="1" t="s">
        <v>216</v>
      </c>
      <c r="C2234" s="4">
        <v>1</v>
      </c>
      <c r="D2234" s="8">
        <v>1.18</v>
      </c>
      <c r="E2234" s="4">
        <v>0</v>
      </c>
      <c r="F2234" s="8">
        <v>0</v>
      </c>
      <c r="G2234" s="4">
        <v>1</v>
      </c>
      <c r="H2234" s="8">
        <v>2.27</v>
      </c>
      <c r="I2234" s="4">
        <v>0</v>
      </c>
    </row>
    <row r="2235" spans="1:9" x14ac:dyDescent="0.2">
      <c r="A2235" s="2">
        <v>15</v>
      </c>
      <c r="B2235" s="1" t="s">
        <v>218</v>
      </c>
      <c r="C2235" s="4">
        <v>1</v>
      </c>
      <c r="D2235" s="8">
        <v>1.18</v>
      </c>
      <c r="E2235" s="4">
        <v>0</v>
      </c>
      <c r="F2235" s="8">
        <v>0</v>
      </c>
      <c r="G2235" s="4">
        <v>1</v>
      </c>
      <c r="H2235" s="8">
        <v>2.27</v>
      </c>
      <c r="I2235" s="4">
        <v>0</v>
      </c>
    </row>
    <row r="2236" spans="1:9" x14ac:dyDescent="0.2">
      <c r="A2236" s="2">
        <v>15</v>
      </c>
      <c r="B2236" s="1" t="s">
        <v>220</v>
      </c>
      <c r="C2236" s="4">
        <v>1</v>
      </c>
      <c r="D2236" s="8">
        <v>1.18</v>
      </c>
      <c r="E2236" s="4">
        <v>0</v>
      </c>
      <c r="F2236" s="8">
        <v>0</v>
      </c>
      <c r="G2236" s="4">
        <v>1</v>
      </c>
      <c r="H2236" s="8">
        <v>2.27</v>
      </c>
      <c r="I2236" s="4">
        <v>0</v>
      </c>
    </row>
    <row r="2237" spans="1:9" x14ac:dyDescent="0.2">
      <c r="A2237" s="2">
        <v>15</v>
      </c>
      <c r="B2237" s="1" t="s">
        <v>246</v>
      </c>
      <c r="C2237" s="4">
        <v>1</v>
      </c>
      <c r="D2237" s="8">
        <v>1.18</v>
      </c>
      <c r="E2237" s="4">
        <v>0</v>
      </c>
      <c r="F2237" s="8">
        <v>0</v>
      </c>
      <c r="G2237" s="4">
        <v>1</v>
      </c>
      <c r="H2237" s="8">
        <v>2.27</v>
      </c>
      <c r="I2237" s="4">
        <v>0</v>
      </c>
    </row>
    <row r="2238" spans="1:9" x14ac:dyDescent="0.2">
      <c r="A2238" s="2">
        <v>15</v>
      </c>
      <c r="B2238" s="1" t="s">
        <v>239</v>
      </c>
      <c r="C2238" s="4">
        <v>1</v>
      </c>
      <c r="D2238" s="8">
        <v>1.18</v>
      </c>
      <c r="E2238" s="4">
        <v>0</v>
      </c>
      <c r="F2238" s="8">
        <v>0</v>
      </c>
      <c r="G2238" s="4">
        <v>0</v>
      </c>
      <c r="H2238" s="8">
        <v>0</v>
      </c>
      <c r="I2238" s="4">
        <v>0</v>
      </c>
    </row>
    <row r="2239" spans="1:9" x14ac:dyDescent="0.2">
      <c r="A2239" s="2">
        <v>15</v>
      </c>
      <c r="B2239" s="1" t="s">
        <v>229</v>
      </c>
      <c r="C2239" s="4">
        <v>1</v>
      </c>
      <c r="D2239" s="8">
        <v>1.18</v>
      </c>
      <c r="E2239" s="4">
        <v>1</v>
      </c>
      <c r="F2239" s="8">
        <v>2.5</v>
      </c>
      <c r="G2239" s="4">
        <v>0</v>
      </c>
      <c r="H2239" s="8">
        <v>0</v>
      </c>
      <c r="I2239" s="4">
        <v>0</v>
      </c>
    </row>
    <row r="2240" spans="1:9" x14ac:dyDescent="0.2">
      <c r="A2240" s="2">
        <v>15</v>
      </c>
      <c r="B2240" s="1" t="s">
        <v>242</v>
      </c>
      <c r="C2240" s="4">
        <v>1</v>
      </c>
      <c r="D2240" s="8">
        <v>1.18</v>
      </c>
      <c r="E2240" s="4">
        <v>1</v>
      </c>
      <c r="F2240" s="8">
        <v>2.5</v>
      </c>
      <c r="G2240" s="4">
        <v>0</v>
      </c>
      <c r="H2240" s="8">
        <v>0</v>
      </c>
      <c r="I2240" s="4">
        <v>0</v>
      </c>
    </row>
    <row r="2241" spans="1:9" x14ac:dyDescent="0.2">
      <c r="A2241" s="1"/>
      <c r="C2241" s="4"/>
      <c r="D2241" s="8"/>
      <c r="E2241" s="4"/>
      <c r="F2241" s="8"/>
      <c r="G2241" s="4"/>
      <c r="H2241" s="8"/>
      <c r="I2241" s="4"/>
    </row>
    <row r="2242" spans="1:9" x14ac:dyDescent="0.2">
      <c r="A2242" s="1" t="s">
        <v>92</v>
      </c>
      <c r="C2242" s="4"/>
      <c r="D2242" s="8"/>
      <c r="E2242" s="4"/>
      <c r="F2242" s="8"/>
      <c r="G2242" s="4"/>
      <c r="H2242" s="8"/>
      <c r="I2242" s="4"/>
    </row>
    <row r="2243" spans="1:9" x14ac:dyDescent="0.2">
      <c r="A2243" s="2">
        <v>1</v>
      </c>
      <c r="B2243" s="1" t="s">
        <v>223</v>
      </c>
      <c r="C2243" s="4">
        <v>9</v>
      </c>
      <c r="D2243" s="8">
        <v>11.11</v>
      </c>
      <c r="E2243" s="4">
        <v>5</v>
      </c>
      <c r="F2243" s="8">
        <v>11.11</v>
      </c>
      <c r="G2243" s="4">
        <v>4</v>
      </c>
      <c r="H2243" s="8">
        <v>13.33</v>
      </c>
      <c r="I2243" s="4">
        <v>0</v>
      </c>
    </row>
    <row r="2244" spans="1:9" x14ac:dyDescent="0.2">
      <c r="A2244" s="2">
        <v>1</v>
      </c>
      <c r="B2244" s="1" t="s">
        <v>227</v>
      </c>
      <c r="C2244" s="4">
        <v>9</v>
      </c>
      <c r="D2244" s="8">
        <v>11.11</v>
      </c>
      <c r="E2244" s="4">
        <v>9</v>
      </c>
      <c r="F2244" s="8">
        <v>20</v>
      </c>
      <c r="G2244" s="4">
        <v>0</v>
      </c>
      <c r="H2244" s="8">
        <v>0</v>
      </c>
      <c r="I2244" s="4">
        <v>0</v>
      </c>
    </row>
    <row r="2245" spans="1:9" x14ac:dyDescent="0.2">
      <c r="A2245" s="2">
        <v>1</v>
      </c>
      <c r="B2245" s="1" t="s">
        <v>228</v>
      </c>
      <c r="C2245" s="4">
        <v>9</v>
      </c>
      <c r="D2245" s="8">
        <v>11.11</v>
      </c>
      <c r="E2245" s="4">
        <v>8</v>
      </c>
      <c r="F2245" s="8">
        <v>17.78</v>
      </c>
      <c r="G2245" s="4">
        <v>1</v>
      </c>
      <c r="H2245" s="8">
        <v>3.33</v>
      </c>
      <c r="I2245" s="4">
        <v>0</v>
      </c>
    </row>
    <row r="2246" spans="1:9" x14ac:dyDescent="0.2">
      <c r="A2246" s="2">
        <v>4</v>
      </c>
      <c r="B2246" s="1" t="s">
        <v>213</v>
      </c>
      <c r="C2246" s="4">
        <v>6</v>
      </c>
      <c r="D2246" s="8">
        <v>7.41</v>
      </c>
      <c r="E2246" s="4">
        <v>1</v>
      </c>
      <c r="F2246" s="8">
        <v>2.2200000000000002</v>
      </c>
      <c r="G2246" s="4">
        <v>5</v>
      </c>
      <c r="H2246" s="8">
        <v>16.670000000000002</v>
      </c>
      <c r="I2246" s="4">
        <v>0</v>
      </c>
    </row>
    <row r="2247" spans="1:9" x14ac:dyDescent="0.2">
      <c r="A2247" s="2">
        <v>4</v>
      </c>
      <c r="B2247" s="1" t="s">
        <v>214</v>
      </c>
      <c r="C2247" s="4">
        <v>6</v>
      </c>
      <c r="D2247" s="8">
        <v>7.41</v>
      </c>
      <c r="E2247" s="4">
        <v>3</v>
      </c>
      <c r="F2247" s="8">
        <v>6.67</v>
      </c>
      <c r="G2247" s="4">
        <v>3</v>
      </c>
      <c r="H2247" s="8">
        <v>10</v>
      </c>
      <c r="I2247" s="4">
        <v>0</v>
      </c>
    </row>
    <row r="2248" spans="1:9" x14ac:dyDescent="0.2">
      <c r="A2248" s="2">
        <v>4</v>
      </c>
      <c r="B2248" s="1" t="s">
        <v>230</v>
      </c>
      <c r="C2248" s="4">
        <v>6</v>
      </c>
      <c r="D2248" s="8">
        <v>7.41</v>
      </c>
      <c r="E2248" s="4">
        <v>5</v>
      </c>
      <c r="F2248" s="8">
        <v>11.11</v>
      </c>
      <c r="G2248" s="4">
        <v>0</v>
      </c>
      <c r="H2248" s="8">
        <v>0</v>
      </c>
      <c r="I2248" s="4">
        <v>0</v>
      </c>
    </row>
    <row r="2249" spans="1:9" x14ac:dyDescent="0.2">
      <c r="A2249" s="2">
        <v>7</v>
      </c>
      <c r="B2249" s="1" t="s">
        <v>220</v>
      </c>
      <c r="C2249" s="4">
        <v>5</v>
      </c>
      <c r="D2249" s="8">
        <v>6.17</v>
      </c>
      <c r="E2249" s="4">
        <v>3</v>
      </c>
      <c r="F2249" s="8">
        <v>6.67</v>
      </c>
      <c r="G2249" s="4">
        <v>2</v>
      </c>
      <c r="H2249" s="8">
        <v>6.67</v>
      </c>
      <c r="I2249" s="4">
        <v>0</v>
      </c>
    </row>
    <row r="2250" spans="1:9" x14ac:dyDescent="0.2">
      <c r="A2250" s="2">
        <v>7</v>
      </c>
      <c r="B2250" s="1" t="s">
        <v>222</v>
      </c>
      <c r="C2250" s="4">
        <v>5</v>
      </c>
      <c r="D2250" s="8">
        <v>6.17</v>
      </c>
      <c r="E2250" s="4">
        <v>4</v>
      </c>
      <c r="F2250" s="8">
        <v>8.89</v>
      </c>
      <c r="G2250" s="4">
        <v>1</v>
      </c>
      <c r="H2250" s="8">
        <v>3.33</v>
      </c>
      <c r="I2250" s="4">
        <v>0</v>
      </c>
    </row>
    <row r="2251" spans="1:9" x14ac:dyDescent="0.2">
      <c r="A2251" s="2">
        <v>9</v>
      </c>
      <c r="B2251" s="1" t="s">
        <v>215</v>
      </c>
      <c r="C2251" s="4">
        <v>3</v>
      </c>
      <c r="D2251" s="8">
        <v>3.7</v>
      </c>
      <c r="E2251" s="4">
        <v>0</v>
      </c>
      <c r="F2251" s="8">
        <v>0</v>
      </c>
      <c r="G2251" s="4">
        <v>3</v>
      </c>
      <c r="H2251" s="8">
        <v>10</v>
      </c>
      <c r="I2251" s="4">
        <v>0</v>
      </c>
    </row>
    <row r="2252" spans="1:9" x14ac:dyDescent="0.2">
      <c r="A2252" s="2">
        <v>9</v>
      </c>
      <c r="B2252" s="1" t="s">
        <v>221</v>
      </c>
      <c r="C2252" s="4">
        <v>3</v>
      </c>
      <c r="D2252" s="8">
        <v>3.7</v>
      </c>
      <c r="E2252" s="4">
        <v>1</v>
      </c>
      <c r="F2252" s="8">
        <v>2.2200000000000002</v>
      </c>
      <c r="G2252" s="4">
        <v>2</v>
      </c>
      <c r="H2252" s="8">
        <v>6.67</v>
      </c>
      <c r="I2252" s="4">
        <v>0</v>
      </c>
    </row>
    <row r="2253" spans="1:9" x14ac:dyDescent="0.2">
      <c r="A2253" s="2">
        <v>9</v>
      </c>
      <c r="B2253" s="1" t="s">
        <v>232</v>
      </c>
      <c r="C2253" s="4">
        <v>3</v>
      </c>
      <c r="D2253" s="8">
        <v>3.7</v>
      </c>
      <c r="E2253" s="4">
        <v>0</v>
      </c>
      <c r="F2253" s="8">
        <v>0</v>
      </c>
      <c r="G2253" s="4">
        <v>1</v>
      </c>
      <c r="H2253" s="8">
        <v>3.33</v>
      </c>
      <c r="I2253" s="4">
        <v>0</v>
      </c>
    </row>
    <row r="2254" spans="1:9" x14ac:dyDescent="0.2">
      <c r="A2254" s="2">
        <v>12</v>
      </c>
      <c r="B2254" s="1" t="s">
        <v>241</v>
      </c>
      <c r="C2254" s="4">
        <v>2</v>
      </c>
      <c r="D2254" s="8">
        <v>2.4700000000000002</v>
      </c>
      <c r="E2254" s="4">
        <v>1</v>
      </c>
      <c r="F2254" s="8">
        <v>2.2200000000000002</v>
      </c>
      <c r="G2254" s="4">
        <v>0</v>
      </c>
      <c r="H2254" s="8">
        <v>0</v>
      </c>
      <c r="I2254" s="4">
        <v>0</v>
      </c>
    </row>
    <row r="2255" spans="1:9" x14ac:dyDescent="0.2">
      <c r="A2255" s="2">
        <v>12</v>
      </c>
      <c r="B2255" s="1" t="s">
        <v>226</v>
      </c>
      <c r="C2255" s="4">
        <v>2</v>
      </c>
      <c r="D2255" s="8">
        <v>2.4700000000000002</v>
      </c>
      <c r="E2255" s="4">
        <v>1</v>
      </c>
      <c r="F2255" s="8">
        <v>2.2200000000000002</v>
      </c>
      <c r="G2255" s="4">
        <v>1</v>
      </c>
      <c r="H2255" s="8">
        <v>3.33</v>
      </c>
      <c r="I2255" s="4">
        <v>0</v>
      </c>
    </row>
    <row r="2256" spans="1:9" x14ac:dyDescent="0.2">
      <c r="A2256" s="2">
        <v>12</v>
      </c>
      <c r="B2256" s="1" t="s">
        <v>231</v>
      </c>
      <c r="C2256" s="4">
        <v>2</v>
      </c>
      <c r="D2256" s="8">
        <v>2.4700000000000002</v>
      </c>
      <c r="E2256" s="4">
        <v>1</v>
      </c>
      <c r="F2256" s="8">
        <v>2.2200000000000002</v>
      </c>
      <c r="G2256" s="4">
        <v>1</v>
      </c>
      <c r="H2256" s="8">
        <v>3.33</v>
      </c>
      <c r="I2256" s="4">
        <v>0</v>
      </c>
    </row>
    <row r="2257" spans="1:9" x14ac:dyDescent="0.2">
      <c r="A2257" s="2">
        <v>12</v>
      </c>
      <c r="B2257" s="1" t="s">
        <v>249</v>
      </c>
      <c r="C2257" s="4">
        <v>2</v>
      </c>
      <c r="D2257" s="8">
        <v>2.4700000000000002</v>
      </c>
      <c r="E2257" s="4">
        <v>0</v>
      </c>
      <c r="F2257" s="8">
        <v>0</v>
      </c>
      <c r="G2257" s="4">
        <v>1</v>
      </c>
      <c r="H2257" s="8">
        <v>3.33</v>
      </c>
      <c r="I2257" s="4">
        <v>0</v>
      </c>
    </row>
    <row r="2258" spans="1:9" x14ac:dyDescent="0.2">
      <c r="A2258" s="2">
        <v>16</v>
      </c>
      <c r="B2258" s="1" t="s">
        <v>251</v>
      </c>
      <c r="C2258" s="4">
        <v>1</v>
      </c>
      <c r="D2258" s="8">
        <v>1.23</v>
      </c>
      <c r="E2258" s="4">
        <v>0</v>
      </c>
      <c r="F2258" s="8">
        <v>0</v>
      </c>
      <c r="G2258" s="4">
        <v>1</v>
      </c>
      <c r="H2258" s="8">
        <v>3.33</v>
      </c>
      <c r="I2258" s="4">
        <v>0</v>
      </c>
    </row>
    <row r="2259" spans="1:9" x14ac:dyDescent="0.2">
      <c r="A2259" s="2">
        <v>16</v>
      </c>
      <c r="B2259" s="1" t="s">
        <v>252</v>
      </c>
      <c r="C2259" s="4">
        <v>1</v>
      </c>
      <c r="D2259" s="8">
        <v>1.23</v>
      </c>
      <c r="E2259" s="4">
        <v>1</v>
      </c>
      <c r="F2259" s="8">
        <v>2.2200000000000002</v>
      </c>
      <c r="G2259" s="4">
        <v>0</v>
      </c>
      <c r="H2259" s="8">
        <v>0</v>
      </c>
      <c r="I2259" s="4">
        <v>0</v>
      </c>
    </row>
    <row r="2260" spans="1:9" x14ac:dyDescent="0.2">
      <c r="A2260" s="2">
        <v>16</v>
      </c>
      <c r="B2260" s="1" t="s">
        <v>253</v>
      </c>
      <c r="C2260" s="4">
        <v>1</v>
      </c>
      <c r="D2260" s="8">
        <v>1.23</v>
      </c>
      <c r="E2260" s="4">
        <v>0</v>
      </c>
      <c r="F2260" s="8">
        <v>0</v>
      </c>
      <c r="G2260" s="4">
        <v>1</v>
      </c>
      <c r="H2260" s="8">
        <v>3.33</v>
      </c>
      <c r="I2260" s="4">
        <v>0</v>
      </c>
    </row>
    <row r="2261" spans="1:9" x14ac:dyDescent="0.2">
      <c r="A2261" s="2">
        <v>16</v>
      </c>
      <c r="B2261" s="1" t="s">
        <v>245</v>
      </c>
      <c r="C2261" s="4">
        <v>1</v>
      </c>
      <c r="D2261" s="8">
        <v>1.23</v>
      </c>
      <c r="E2261" s="4">
        <v>0</v>
      </c>
      <c r="F2261" s="8">
        <v>0</v>
      </c>
      <c r="G2261" s="4">
        <v>1</v>
      </c>
      <c r="H2261" s="8">
        <v>3.33</v>
      </c>
      <c r="I2261" s="4">
        <v>0</v>
      </c>
    </row>
    <row r="2262" spans="1:9" x14ac:dyDescent="0.2">
      <c r="A2262" s="2">
        <v>16</v>
      </c>
      <c r="B2262" s="1" t="s">
        <v>255</v>
      </c>
      <c r="C2262" s="4">
        <v>1</v>
      </c>
      <c r="D2262" s="8">
        <v>1.23</v>
      </c>
      <c r="E2262" s="4">
        <v>0</v>
      </c>
      <c r="F2262" s="8">
        <v>0</v>
      </c>
      <c r="G2262" s="4">
        <v>0</v>
      </c>
      <c r="H2262" s="8">
        <v>0</v>
      </c>
      <c r="I2262" s="4">
        <v>0</v>
      </c>
    </row>
    <row r="2263" spans="1:9" x14ac:dyDescent="0.2">
      <c r="A2263" s="2">
        <v>16</v>
      </c>
      <c r="B2263" s="1" t="s">
        <v>260</v>
      </c>
      <c r="C2263" s="4">
        <v>1</v>
      </c>
      <c r="D2263" s="8">
        <v>1.23</v>
      </c>
      <c r="E2263" s="4">
        <v>0</v>
      </c>
      <c r="F2263" s="8">
        <v>0</v>
      </c>
      <c r="G2263" s="4">
        <v>1</v>
      </c>
      <c r="H2263" s="8">
        <v>3.33</v>
      </c>
      <c r="I2263" s="4">
        <v>0</v>
      </c>
    </row>
    <row r="2264" spans="1:9" x14ac:dyDescent="0.2">
      <c r="A2264" s="2">
        <v>16</v>
      </c>
      <c r="B2264" s="1" t="s">
        <v>219</v>
      </c>
      <c r="C2264" s="4">
        <v>1</v>
      </c>
      <c r="D2264" s="8">
        <v>1.23</v>
      </c>
      <c r="E2264" s="4">
        <v>0</v>
      </c>
      <c r="F2264" s="8">
        <v>0</v>
      </c>
      <c r="G2264" s="4">
        <v>1</v>
      </c>
      <c r="H2264" s="8">
        <v>3.33</v>
      </c>
      <c r="I2264" s="4">
        <v>0</v>
      </c>
    </row>
    <row r="2265" spans="1:9" x14ac:dyDescent="0.2">
      <c r="A2265" s="2">
        <v>16</v>
      </c>
      <c r="B2265" s="1" t="s">
        <v>243</v>
      </c>
      <c r="C2265" s="4">
        <v>1</v>
      </c>
      <c r="D2265" s="8">
        <v>1.23</v>
      </c>
      <c r="E2265" s="4">
        <v>1</v>
      </c>
      <c r="F2265" s="8">
        <v>2.2200000000000002</v>
      </c>
      <c r="G2265" s="4">
        <v>0</v>
      </c>
      <c r="H2265" s="8">
        <v>0</v>
      </c>
      <c r="I2265" s="4">
        <v>0</v>
      </c>
    </row>
    <row r="2266" spans="1:9" x14ac:dyDescent="0.2">
      <c r="A2266" s="2">
        <v>16</v>
      </c>
      <c r="B2266" s="1" t="s">
        <v>247</v>
      </c>
      <c r="C2266" s="4">
        <v>1</v>
      </c>
      <c r="D2266" s="8">
        <v>1.23</v>
      </c>
      <c r="E2266" s="4">
        <v>1</v>
      </c>
      <c r="F2266" s="8">
        <v>2.2200000000000002</v>
      </c>
      <c r="G2266" s="4">
        <v>0</v>
      </c>
      <c r="H2266" s="8">
        <v>0</v>
      </c>
      <c r="I2266" s="4">
        <v>0</v>
      </c>
    </row>
    <row r="2267" spans="1:9" x14ac:dyDescent="0.2">
      <c r="A2267" s="1"/>
      <c r="C2267" s="4"/>
      <c r="D2267" s="8"/>
      <c r="E2267" s="4"/>
      <c r="F2267" s="8"/>
      <c r="G2267" s="4"/>
      <c r="H2267" s="8"/>
      <c r="I2267" s="4"/>
    </row>
    <row r="2268" spans="1:9" x14ac:dyDescent="0.2">
      <c r="A2268" s="1" t="s">
        <v>93</v>
      </c>
      <c r="C2268" s="4"/>
      <c r="D2268" s="8"/>
      <c r="E2268" s="4"/>
      <c r="F2268" s="8"/>
      <c r="G2268" s="4"/>
      <c r="H2268" s="8"/>
      <c r="I2268" s="4"/>
    </row>
    <row r="2269" spans="1:9" x14ac:dyDescent="0.2">
      <c r="A2269" s="2">
        <v>1</v>
      </c>
      <c r="B2269" s="1" t="s">
        <v>227</v>
      </c>
      <c r="C2269" s="4">
        <v>11</v>
      </c>
      <c r="D2269" s="8">
        <v>16.920000000000002</v>
      </c>
      <c r="E2269" s="4">
        <v>11</v>
      </c>
      <c r="F2269" s="8">
        <v>26.19</v>
      </c>
      <c r="G2269" s="4">
        <v>0</v>
      </c>
      <c r="H2269" s="8">
        <v>0</v>
      </c>
      <c r="I2269" s="4">
        <v>0</v>
      </c>
    </row>
    <row r="2270" spans="1:9" x14ac:dyDescent="0.2">
      <c r="A2270" s="2">
        <v>2</v>
      </c>
      <c r="B2270" s="1" t="s">
        <v>228</v>
      </c>
      <c r="C2270" s="4">
        <v>10</v>
      </c>
      <c r="D2270" s="8">
        <v>15.38</v>
      </c>
      <c r="E2270" s="4">
        <v>9</v>
      </c>
      <c r="F2270" s="8">
        <v>21.43</v>
      </c>
      <c r="G2270" s="4">
        <v>1</v>
      </c>
      <c r="H2270" s="8">
        <v>5</v>
      </c>
      <c r="I2270" s="4">
        <v>0</v>
      </c>
    </row>
    <row r="2271" spans="1:9" x14ac:dyDescent="0.2">
      <c r="A2271" s="2">
        <v>3</v>
      </c>
      <c r="B2271" s="1" t="s">
        <v>222</v>
      </c>
      <c r="C2271" s="4">
        <v>5</v>
      </c>
      <c r="D2271" s="8">
        <v>7.69</v>
      </c>
      <c r="E2271" s="4">
        <v>5</v>
      </c>
      <c r="F2271" s="8">
        <v>11.9</v>
      </c>
      <c r="G2271" s="4">
        <v>0</v>
      </c>
      <c r="H2271" s="8">
        <v>0</v>
      </c>
      <c r="I2271" s="4">
        <v>0</v>
      </c>
    </row>
    <row r="2272" spans="1:9" x14ac:dyDescent="0.2">
      <c r="A2272" s="2">
        <v>4</v>
      </c>
      <c r="B2272" s="1" t="s">
        <v>223</v>
      </c>
      <c r="C2272" s="4">
        <v>4</v>
      </c>
      <c r="D2272" s="8">
        <v>6.15</v>
      </c>
      <c r="E2272" s="4">
        <v>2</v>
      </c>
      <c r="F2272" s="8">
        <v>4.76</v>
      </c>
      <c r="G2272" s="4">
        <v>2</v>
      </c>
      <c r="H2272" s="8">
        <v>10</v>
      </c>
      <c r="I2272" s="4">
        <v>0</v>
      </c>
    </row>
    <row r="2273" spans="1:9" x14ac:dyDescent="0.2">
      <c r="A2273" s="2">
        <v>4</v>
      </c>
      <c r="B2273" s="1" t="s">
        <v>231</v>
      </c>
      <c r="C2273" s="4">
        <v>4</v>
      </c>
      <c r="D2273" s="8">
        <v>6.15</v>
      </c>
      <c r="E2273" s="4">
        <v>3</v>
      </c>
      <c r="F2273" s="8">
        <v>7.14</v>
      </c>
      <c r="G2273" s="4">
        <v>0</v>
      </c>
      <c r="H2273" s="8">
        <v>0</v>
      </c>
      <c r="I2273" s="4">
        <v>0</v>
      </c>
    </row>
    <row r="2274" spans="1:9" x14ac:dyDescent="0.2">
      <c r="A2274" s="2">
        <v>6</v>
      </c>
      <c r="B2274" s="1" t="s">
        <v>221</v>
      </c>
      <c r="C2274" s="4">
        <v>3</v>
      </c>
      <c r="D2274" s="8">
        <v>4.62</v>
      </c>
      <c r="E2274" s="4">
        <v>3</v>
      </c>
      <c r="F2274" s="8">
        <v>7.14</v>
      </c>
      <c r="G2274" s="4">
        <v>0</v>
      </c>
      <c r="H2274" s="8">
        <v>0</v>
      </c>
      <c r="I2274" s="4">
        <v>0</v>
      </c>
    </row>
    <row r="2275" spans="1:9" x14ac:dyDescent="0.2">
      <c r="A2275" s="2">
        <v>6</v>
      </c>
      <c r="B2275" s="1" t="s">
        <v>232</v>
      </c>
      <c r="C2275" s="4">
        <v>3</v>
      </c>
      <c r="D2275" s="8">
        <v>4.62</v>
      </c>
      <c r="E2275" s="4">
        <v>0</v>
      </c>
      <c r="F2275" s="8">
        <v>0</v>
      </c>
      <c r="G2275" s="4">
        <v>3</v>
      </c>
      <c r="H2275" s="8">
        <v>15</v>
      </c>
      <c r="I2275" s="4">
        <v>0</v>
      </c>
    </row>
    <row r="2276" spans="1:9" x14ac:dyDescent="0.2">
      <c r="A2276" s="2">
        <v>8</v>
      </c>
      <c r="B2276" s="1" t="s">
        <v>213</v>
      </c>
      <c r="C2276" s="4">
        <v>2</v>
      </c>
      <c r="D2276" s="8">
        <v>3.08</v>
      </c>
      <c r="E2276" s="4">
        <v>0</v>
      </c>
      <c r="F2276" s="8">
        <v>0</v>
      </c>
      <c r="G2276" s="4">
        <v>2</v>
      </c>
      <c r="H2276" s="8">
        <v>10</v>
      </c>
      <c r="I2276" s="4">
        <v>0</v>
      </c>
    </row>
    <row r="2277" spans="1:9" x14ac:dyDescent="0.2">
      <c r="A2277" s="2">
        <v>8</v>
      </c>
      <c r="B2277" s="1" t="s">
        <v>214</v>
      </c>
      <c r="C2277" s="4">
        <v>2</v>
      </c>
      <c r="D2277" s="8">
        <v>3.08</v>
      </c>
      <c r="E2277" s="4">
        <v>2</v>
      </c>
      <c r="F2277" s="8">
        <v>4.76</v>
      </c>
      <c r="G2277" s="4">
        <v>0</v>
      </c>
      <c r="H2277" s="8">
        <v>0</v>
      </c>
      <c r="I2277" s="4">
        <v>0</v>
      </c>
    </row>
    <row r="2278" spans="1:9" x14ac:dyDescent="0.2">
      <c r="A2278" s="2">
        <v>8</v>
      </c>
      <c r="B2278" s="1" t="s">
        <v>253</v>
      </c>
      <c r="C2278" s="4">
        <v>2</v>
      </c>
      <c r="D2278" s="8">
        <v>3.08</v>
      </c>
      <c r="E2278" s="4">
        <v>1</v>
      </c>
      <c r="F2278" s="8">
        <v>2.38</v>
      </c>
      <c r="G2278" s="4">
        <v>1</v>
      </c>
      <c r="H2278" s="8">
        <v>5</v>
      </c>
      <c r="I2278" s="4">
        <v>0</v>
      </c>
    </row>
    <row r="2279" spans="1:9" x14ac:dyDescent="0.2">
      <c r="A2279" s="2">
        <v>8</v>
      </c>
      <c r="B2279" s="1" t="s">
        <v>236</v>
      </c>
      <c r="C2279" s="4">
        <v>2</v>
      </c>
      <c r="D2279" s="8">
        <v>3.08</v>
      </c>
      <c r="E2279" s="4">
        <v>2</v>
      </c>
      <c r="F2279" s="8">
        <v>4.76</v>
      </c>
      <c r="G2279" s="4">
        <v>0</v>
      </c>
      <c r="H2279" s="8">
        <v>0</v>
      </c>
      <c r="I2279" s="4">
        <v>0</v>
      </c>
    </row>
    <row r="2280" spans="1:9" x14ac:dyDescent="0.2">
      <c r="A2280" s="2">
        <v>8</v>
      </c>
      <c r="B2280" s="1" t="s">
        <v>224</v>
      </c>
      <c r="C2280" s="4">
        <v>2</v>
      </c>
      <c r="D2280" s="8">
        <v>3.08</v>
      </c>
      <c r="E2280" s="4">
        <v>1</v>
      </c>
      <c r="F2280" s="8">
        <v>2.38</v>
      </c>
      <c r="G2280" s="4">
        <v>1</v>
      </c>
      <c r="H2280" s="8">
        <v>5</v>
      </c>
      <c r="I2280" s="4">
        <v>0</v>
      </c>
    </row>
    <row r="2281" spans="1:9" x14ac:dyDescent="0.2">
      <c r="A2281" s="2">
        <v>8</v>
      </c>
      <c r="B2281" s="1" t="s">
        <v>226</v>
      </c>
      <c r="C2281" s="4">
        <v>2</v>
      </c>
      <c r="D2281" s="8">
        <v>3.08</v>
      </c>
      <c r="E2281" s="4">
        <v>1</v>
      </c>
      <c r="F2281" s="8">
        <v>2.38</v>
      </c>
      <c r="G2281" s="4">
        <v>1</v>
      </c>
      <c r="H2281" s="8">
        <v>5</v>
      </c>
      <c r="I2281" s="4">
        <v>0</v>
      </c>
    </row>
    <row r="2282" spans="1:9" x14ac:dyDescent="0.2">
      <c r="A2282" s="2">
        <v>14</v>
      </c>
      <c r="B2282" s="1" t="s">
        <v>215</v>
      </c>
      <c r="C2282" s="4">
        <v>1</v>
      </c>
      <c r="D2282" s="8">
        <v>1.54</v>
      </c>
      <c r="E2282" s="4">
        <v>0</v>
      </c>
      <c r="F2282" s="8">
        <v>0</v>
      </c>
      <c r="G2282" s="4">
        <v>1</v>
      </c>
      <c r="H2282" s="8">
        <v>5</v>
      </c>
      <c r="I2282" s="4">
        <v>0</v>
      </c>
    </row>
    <row r="2283" spans="1:9" x14ac:dyDescent="0.2">
      <c r="A2283" s="2">
        <v>14</v>
      </c>
      <c r="B2283" s="1" t="s">
        <v>241</v>
      </c>
      <c r="C2283" s="4">
        <v>1</v>
      </c>
      <c r="D2283" s="8">
        <v>1.54</v>
      </c>
      <c r="E2283" s="4">
        <v>0</v>
      </c>
      <c r="F2283" s="8">
        <v>0</v>
      </c>
      <c r="G2283" s="4">
        <v>0</v>
      </c>
      <c r="H2283" s="8">
        <v>0</v>
      </c>
      <c r="I2283" s="4">
        <v>1</v>
      </c>
    </row>
    <row r="2284" spans="1:9" x14ac:dyDescent="0.2">
      <c r="A2284" s="2">
        <v>14</v>
      </c>
      <c r="B2284" s="1" t="s">
        <v>244</v>
      </c>
      <c r="C2284" s="4">
        <v>1</v>
      </c>
      <c r="D2284" s="8">
        <v>1.54</v>
      </c>
      <c r="E2284" s="4">
        <v>0</v>
      </c>
      <c r="F2284" s="8">
        <v>0</v>
      </c>
      <c r="G2284" s="4">
        <v>1</v>
      </c>
      <c r="H2284" s="8">
        <v>5</v>
      </c>
      <c r="I2284" s="4">
        <v>0</v>
      </c>
    </row>
    <row r="2285" spans="1:9" x14ac:dyDescent="0.2">
      <c r="A2285" s="2">
        <v>14</v>
      </c>
      <c r="B2285" s="1" t="s">
        <v>255</v>
      </c>
      <c r="C2285" s="4">
        <v>1</v>
      </c>
      <c r="D2285" s="8">
        <v>1.54</v>
      </c>
      <c r="E2285" s="4">
        <v>0</v>
      </c>
      <c r="F2285" s="8">
        <v>0</v>
      </c>
      <c r="G2285" s="4">
        <v>0</v>
      </c>
      <c r="H2285" s="8">
        <v>0</v>
      </c>
      <c r="I2285" s="4">
        <v>0</v>
      </c>
    </row>
    <row r="2286" spans="1:9" x14ac:dyDescent="0.2">
      <c r="A2286" s="2">
        <v>14</v>
      </c>
      <c r="B2286" s="1" t="s">
        <v>277</v>
      </c>
      <c r="C2286" s="4">
        <v>1</v>
      </c>
      <c r="D2286" s="8">
        <v>1.54</v>
      </c>
      <c r="E2286" s="4">
        <v>0</v>
      </c>
      <c r="F2286" s="8">
        <v>0</v>
      </c>
      <c r="G2286" s="4">
        <v>1</v>
      </c>
      <c r="H2286" s="8">
        <v>5</v>
      </c>
      <c r="I2286" s="4">
        <v>0</v>
      </c>
    </row>
    <row r="2287" spans="1:9" x14ac:dyDescent="0.2">
      <c r="A2287" s="2">
        <v>14</v>
      </c>
      <c r="B2287" s="1" t="s">
        <v>248</v>
      </c>
      <c r="C2287" s="4">
        <v>1</v>
      </c>
      <c r="D2287" s="8">
        <v>1.54</v>
      </c>
      <c r="E2287" s="4">
        <v>1</v>
      </c>
      <c r="F2287" s="8">
        <v>2.38</v>
      </c>
      <c r="G2287" s="4">
        <v>0</v>
      </c>
      <c r="H2287" s="8">
        <v>0</v>
      </c>
      <c r="I2287" s="4">
        <v>0</v>
      </c>
    </row>
    <row r="2288" spans="1:9" x14ac:dyDescent="0.2">
      <c r="A2288" s="2">
        <v>14</v>
      </c>
      <c r="B2288" s="1" t="s">
        <v>216</v>
      </c>
      <c r="C2288" s="4">
        <v>1</v>
      </c>
      <c r="D2288" s="8">
        <v>1.54</v>
      </c>
      <c r="E2288" s="4">
        <v>0</v>
      </c>
      <c r="F2288" s="8">
        <v>0</v>
      </c>
      <c r="G2288" s="4">
        <v>1</v>
      </c>
      <c r="H2288" s="8">
        <v>5</v>
      </c>
      <c r="I2288" s="4">
        <v>0</v>
      </c>
    </row>
    <row r="2289" spans="1:9" x14ac:dyDescent="0.2">
      <c r="A2289" s="2">
        <v>14</v>
      </c>
      <c r="B2289" s="1" t="s">
        <v>217</v>
      </c>
      <c r="C2289" s="4">
        <v>1</v>
      </c>
      <c r="D2289" s="8">
        <v>1.54</v>
      </c>
      <c r="E2289" s="4">
        <v>1</v>
      </c>
      <c r="F2289" s="8">
        <v>2.38</v>
      </c>
      <c r="G2289" s="4">
        <v>0</v>
      </c>
      <c r="H2289" s="8">
        <v>0</v>
      </c>
      <c r="I2289" s="4">
        <v>0</v>
      </c>
    </row>
    <row r="2290" spans="1:9" x14ac:dyDescent="0.2">
      <c r="A2290" s="2">
        <v>14</v>
      </c>
      <c r="B2290" s="1" t="s">
        <v>218</v>
      </c>
      <c r="C2290" s="4">
        <v>1</v>
      </c>
      <c r="D2290" s="8">
        <v>1.54</v>
      </c>
      <c r="E2290" s="4">
        <v>0</v>
      </c>
      <c r="F2290" s="8">
        <v>0</v>
      </c>
      <c r="G2290" s="4">
        <v>1</v>
      </c>
      <c r="H2290" s="8">
        <v>5</v>
      </c>
      <c r="I2290" s="4">
        <v>0</v>
      </c>
    </row>
    <row r="2291" spans="1:9" x14ac:dyDescent="0.2">
      <c r="A2291" s="2">
        <v>14</v>
      </c>
      <c r="B2291" s="1" t="s">
        <v>246</v>
      </c>
      <c r="C2291" s="4">
        <v>1</v>
      </c>
      <c r="D2291" s="8">
        <v>1.54</v>
      </c>
      <c r="E2291" s="4">
        <v>0</v>
      </c>
      <c r="F2291" s="8">
        <v>0</v>
      </c>
      <c r="G2291" s="4">
        <v>1</v>
      </c>
      <c r="H2291" s="8">
        <v>5</v>
      </c>
      <c r="I2291" s="4">
        <v>0</v>
      </c>
    </row>
    <row r="2292" spans="1:9" x14ac:dyDescent="0.2">
      <c r="A2292" s="2">
        <v>14</v>
      </c>
      <c r="B2292" s="1" t="s">
        <v>247</v>
      </c>
      <c r="C2292" s="4">
        <v>1</v>
      </c>
      <c r="D2292" s="8">
        <v>1.54</v>
      </c>
      <c r="E2292" s="4">
        <v>0</v>
      </c>
      <c r="F2292" s="8">
        <v>0</v>
      </c>
      <c r="G2292" s="4">
        <v>1</v>
      </c>
      <c r="H2292" s="8">
        <v>5</v>
      </c>
      <c r="I2292" s="4">
        <v>0</v>
      </c>
    </row>
    <row r="2293" spans="1:9" x14ac:dyDescent="0.2">
      <c r="A2293" s="2">
        <v>14</v>
      </c>
      <c r="B2293" s="1" t="s">
        <v>230</v>
      </c>
      <c r="C2293" s="4">
        <v>1</v>
      </c>
      <c r="D2293" s="8">
        <v>1.54</v>
      </c>
      <c r="E2293" s="4">
        <v>0</v>
      </c>
      <c r="F2293" s="8">
        <v>0</v>
      </c>
      <c r="G2293" s="4">
        <v>1</v>
      </c>
      <c r="H2293" s="8">
        <v>5</v>
      </c>
      <c r="I2293" s="4">
        <v>0</v>
      </c>
    </row>
    <row r="2294" spans="1:9" x14ac:dyDescent="0.2">
      <c r="A2294" s="2">
        <v>14</v>
      </c>
      <c r="B2294" s="1" t="s">
        <v>249</v>
      </c>
      <c r="C2294" s="4">
        <v>1</v>
      </c>
      <c r="D2294" s="8">
        <v>1.54</v>
      </c>
      <c r="E2294" s="4">
        <v>0</v>
      </c>
      <c r="F2294" s="8">
        <v>0</v>
      </c>
      <c r="G2294" s="4">
        <v>1</v>
      </c>
      <c r="H2294" s="8">
        <v>5</v>
      </c>
      <c r="I2294" s="4">
        <v>0</v>
      </c>
    </row>
    <row r="2295" spans="1:9" x14ac:dyDescent="0.2">
      <c r="A2295" s="1"/>
      <c r="C2295" s="4"/>
      <c r="D2295" s="8"/>
      <c r="E2295" s="4"/>
      <c r="F2295" s="8"/>
      <c r="G2295" s="4"/>
      <c r="H2295" s="8"/>
      <c r="I2295" s="4"/>
    </row>
    <row r="2296" spans="1:9" x14ac:dyDescent="0.2">
      <c r="A2296" s="1" t="s">
        <v>94</v>
      </c>
      <c r="C2296" s="4"/>
      <c r="D2296" s="8"/>
      <c r="E2296" s="4"/>
      <c r="F2296" s="8"/>
      <c r="G2296" s="4"/>
      <c r="H2296" s="8"/>
      <c r="I2296" s="4"/>
    </row>
    <row r="2297" spans="1:9" x14ac:dyDescent="0.2">
      <c r="A2297" s="2">
        <v>1</v>
      </c>
      <c r="B2297" s="1" t="s">
        <v>228</v>
      </c>
      <c r="C2297" s="4">
        <v>8</v>
      </c>
      <c r="D2297" s="8">
        <v>15.69</v>
      </c>
      <c r="E2297" s="4">
        <v>7</v>
      </c>
      <c r="F2297" s="8">
        <v>25</v>
      </c>
      <c r="G2297" s="4">
        <v>1</v>
      </c>
      <c r="H2297" s="8">
        <v>4.3499999999999996</v>
      </c>
      <c r="I2297" s="4">
        <v>0</v>
      </c>
    </row>
    <row r="2298" spans="1:9" x14ac:dyDescent="0.2">
      <c r="A2298" s="2">
        <v>2</v>
      </c>
      <c r="B2298" s="1" t="s">
        <v>213</v>
      </c>
      <c r="C2298" s="4">
        <v>6</v>
      </c>
      <c r="D2298" s="8">
        <v>11.76</v>
      </c>
      <c r="E2298" s="4">
        <v>1</v>
      </c>
      <c r="F2298" s="8">
        <v>3.57</v>
      </c>
      <c r="G2298" s="4">
        <v>5</v>
      </c>
      <c r="H2298" s="8">
        <v>21.74</v>
      </c>
      <c r="I2298" s="4">
        <v>0</v>
      </c>
    </row>
    <row r="2299" spans="1:9" x14ac:dyDescent="0.2">
      <c r="A2299" s="2">
        <v>3</v>
      </c>
      <c r="B2299" s="1" t="s">
        <v>223</v>
      </c>
      <c r="C2299" s="4">
        <v>5</v>
      </c>
      <c r="D2299" s="8">
        <v>9.8000000000000007</v>
      </c>
      <c r="E2299" s="4">
        <v>1</v>
      </c>
      <c r="F2299" s="8">
        <v>3.57</v>
      </c>
      <c r="G2299" s="4">
        <v>4</v>
      </c>
      <c r="H2299" s="8">
        <v>17.39</v>
      </c>
      <c r="I2299" s="4">
        <v>0</v>
      </c>
    </row>
    <row r="2300" spans="1:9" x14ac:dyDescent="0.2">
      <c r="A2300" s="2">
        <v>4</v>
      </c>
      <c r="B2300" s="1" t="s">
        <v>227</v>
      </c>
      <c r="C2300" s="4">
        <v>4</v>
      </c>
      <c r="D2300" s="8">
        <v>7.84</v>
      </c>
      <c r="E2300" s="4">
        <v>3</v>
      </c>
      <c r="F2300" s="8">
        <v>10.71</v>
      </c>
      <c r="G2300" s="4">
        <v>1</v>
      </c>
      <c r="H2300" s="8">
        <v>4.3499999999999996</v>
      </c>
      <c r="I2300" s="4">
        <v>0</v>
      </c>
    </row>
    <row r="2301" spans="1:9" x14ac:dyDescent="0.2">
      <c r="A2301" s="2">
        <v>5</v>
      </c>
      <c r="B2301" s="1" t="s">
        <v>214</v>
      </c>
      <c r="C2301" s="4">
        <v>3</v>
      </c>
      <c r="D2301" s="8">
        <v>5.88</v>
      </c>
      <c r="E2301" s="4">
        <v>1</v>
      </c>
      <c r="F2301" s="8">
        <v>3.57</v>
      </c>
      <c r="G2301" s="4">
        <v>2</v>
      </c>
      <c r="H2301" s="8">
        <v>8.6999999999999993</v>
      </c>
      <c r="I2301" s="4">
        <v>0</v>
      </c>
    </row>
    <row r="2302" spans="1:9" x14ac:dyDescent="0.2">
      <c r="A2302" s="2">
        <v>5</v>
      </c>
      <c r="B2302" s="1" t="s">
        <v>222</v>
      </c>
      <c r="C2302" s="4">
        <v>3</v>
      </c>
      <c r="D2302" s="8">
        <v>5.88</v>
      </c>
      <c r="E2302" s="4">
        <v>2</v>
      </c>
      <c r="F2302" s="8">
        <v>7.14</v>
      </c>
      <c r="G2302" s="4">
        <v>1</v>
      </c>
      <c r="H2302" s="8">
        <v>4.3499999999999996</v>
      </c>
      <c r="I2302" s="4">
        <v>0</v>
      </c>
    </row>
    <row r="2303" spans="1:9" x14ac:dyDescent="0.2">
      <c r="A2303" s="2">
        <v>5</v>
      </c>
      <c r="B2303" s="1" t="s">
        <v>231</v>
      </c>
      <c r="C2303" s="4">
        <v>3</v>
      </c>
      <c r="D2303" s="8">
        <v>5.88</v>
      </c>
      <c r="E2303" s="4">
        <v>3</v>
      </c>
      <c r="F2303" s="8">
        <v>10.71</v>
      </c>
      <c r="G2303" s="4">
        <v>0</v>
      </c>
      <c r="H2303" s="8">
        <v>0</v>
      </c>
      <c r="I2303" s="4">
        <v>0</v>
      </c>
    </row>
    <row r="2304" spans="1:9" x14ac:dyDescent="0.2">
      <c r="A2304" s="2">
        <v>5</v>
      </c>
      <c r="B2304" s="1" t="s">
        <v>240</v>
      </c>
      <c r="C2304" s="4">
        <v>3</v>
      </c>
      <c r="D2304" s="8">
        <v>5.88</v>
      </c>
      <c r="E2304" s="4">
        <v>1</v>
      </c>
      <c r="F2304" s="8">
        <v>3.57</v>
      </c>
      <c r="G2304" s="4">
        <v>2</v>
      </c>
      <c r="H2304" s="8">
        <v>8.6999999999999993</v>
      </c>
      <c r="I2304" s="4">
        <v>0</v>
      </c>
    </row>
    <row r="2305" spans="1:9" x14ac:dyDescent="0.2">
      <c r="A2305" s="2">
        <v>9</v>
      </c>
      <c r="B2305" s="1" t="s">
        <v>216</v>
      </c>
      <c r="C2305" s="4">
        <v>2</v>
      </c>
      <c r="D2305" s="8">
        <v>3.92</v>
      </c>
      <c r="E2305" s="4">
        <v>0</v>
      </c>
      <c r="F2305" s="8">
        <v>0</v>
      </c>
      <c r="G2305" s="4">
        <v>2</v>
      </c>
      <c r="H2305" s="8">
        <v>8.6999999999999993</v>
      </c>
      <c r="I2305" s="4">
        <v>0</v>
      </c>
    </row>
    <row r="2306" spans="1:9" x14ac:dyDescent="0.2">
      <c r="A2306" s="2">
        <v>9</v>
      </c>
      <c r="B2306" s="1" t="s">
        <v>219</v>
      </c>
      <c r="C2306" s="4">
        <v>2</v>
      </c>
      <c r="D2306" s="8">
        <v>3.92</v>
      </c>
      <c r="E2306" s="4">
        <v>0</v>
      </c>
      <c r="F2306" s="8">
        <v>0</v>
      </c>
      <c r="G2306" s="4">
        <v>2</v>
      </c>
      <c r="H2306" s="8">
        <v>8.6999999999999993</v>
      </c>
      <c r="I2306" s="4">
        <v>0</v>
      </c>
    </row>
    <row r="2307" spans="1:9" x14ac:dyDescent="0.2">
      <c r="A2307" s="2">
        <v>9</v>
      </c>
      <c r="B2307" s="1" t="s">
        <v>243</v>
      </c>
      <c r="C2307" s="4">
        <v>2</v>
      </c>
      <c r="D2307" s="8">
        <v>3.92</v>
      </c>
      <c r="E2307" s="4">
        <v>2</v>
      </c>
      <c r="F2307" s="8">
        <v>7.14</v>
      </c>
      <c r="G2307" s="4">
        <v>0</v>
      </c>
      <c r="H2307" s="8">
        <v>0</v>
      </c>
      <c r="I2307" s="4">
        <v>0</v>
      </c>
    </row>
    <row r="2308" spans="1:9" x14ac:dyDescent="0.2">
      <c r="A2308" s="2">
        <v>12</v>
      </c>
      <c r="B2308" s="1" t="s">
        <v>215</v>
      </c>
      <c r="C2308" s="4">
        <v>1</v>
      </c>
      <c r="D2308" s="8">
        <v>1.96</v>
      </c>
      <c r="E2308" s="4">
        <v>1</v>
      </c>
      <c r="F2308" s="8">
        <v>3.57</v>
      </c>
      <c r="G2308" s="4">
        <v>0</v>
      </c>
      <c r="H2308" s="8">
        <v>0</v>
      </c>
      <c r="I2308" s="4">
        <v>0</v>
      </c>
    </row>
    <row r="2309" spans="1:9" x14ac:dyDescent="0.2">
      <c r="A2309" s="2">
        <v>12</v>
      </c>
      <c r="B2309" s="1" t="s">
        <v>241</v>
      </c>
      <c r="C2309" s="4">
        <v>1</v>
      </c>
      <c r="D2309" s="8">
        <v>1.96</v>
      </c>
      <c r="E2309" s="4">
        <v>1</v>
      </c>
      <c r="F2309" s="8">
        <v>3.57</v>
      </c>
      <c r="G2309" s="4">
        <v>0</v>
      </c>
      <c r="H2309" s="8">
        <v>0</v>
      </c>
      <c r="I2309" s="4">
        <v>0</v>
      </c>
    </row>
    <row r="2310" spans="1:9" x14ac:dyDescent="0.2">
      <c r="A2310" s="2">
        <v>12</v>
      </c>
      <c r="B2310" s="1" t="s">
        <v>255</v>
      </c>
      <c r="C2310" s="4">
        <v>1</v>
      </c>
      <c r="D2310" s="8">
        <v>1.96</v>
      </c>
      <c r="E2310" s="4">
        <v>0</v>
      </c>
      <c r="F2310" s="8">
        <v>0</v>
      </c>
      <c r="G2310" s="4">
        <v>1</v>
      </c>
      <c r="H2310" s="8">
        <v>4.3499999999999996</v>
      </c>
      <c r="I2310" s="4">
        <v>0</v>
      </c>
    </row>
    <row r="2311" spans="1:9" x14ac:dyDescent="0.2">
      <c r="A2311" s="2">
        <v>12</v>
      </c>
      <c r="B2311" s="1" t="s">
        <v>238</v>
      </c>
      <c r="C2311" s="4">
        <v>1</v>
      </c>
      <c r="D2311" s="8">
        <v>1.96</v>
      </c>
      <c r="E2311" s="4">
        <v>0</v>
      </c>
      <c r="F2311" s="8">
        <v>0</v>
      </c>
      <c r="G2311" s="4">
        <v>1</v>
      </c>
      <c r="H2311" s="8">
        <v>4.3499999999999996</v>
      </c>
      <c r="I2311" s="4">
        <v>0</v>
      </c>
    </row>
    <row r="2312" spans="1:9" x14ac:dyDescent="0.2">
      <c r="A2312" s="2">
        <v>12</v>
      </c>
      <c r="B2312" s="1" t="s">
        <v>248</v>
      </c>
      <c r="C2312" s="4">
        <v>1</v>
      </c>
      <c r="D2312" s="8">
        <v>1.96</v>
      </c>
      <c r="E2312" s="4">
        <v>0</v>
      </c>
      <c r="F2312" s="8">
        <v>0</v>
      </c>
      <c r="G2312" s="4">
        <v>1</v>
      </c>
      <c r="H2312" s="8">
        <v>4.3499999999999996</v>
      </c>
      <c r="I2312" s="4">
        <v>0</v>
      </c>
    </row>
    <row r="2313" spans="1:9" x14ac:dyDescent="0.2">
      <c r="A2313" s="2">
        <v>12</v>
      </c>
      <c r="B2313" s="1" t="s">
        <v>220</v>
      </c>
      <c r="C2313" s="4">
        <v>1</v>
      </c>
      <c r="D2313" s="8">
        <v>1.96</v>
      </c>
      <c r="E2313" s="4">
        <v>1</v>
      </c>
      <c r="F2313" s="8">
        <v>3.57</v>
      </c>
      <c r="G2313" s="4">
        <v>0</v>
      </c>
      <c r="H2313" s="8">
        <v>0</v>
      </c>
      <c r="I2313" s="4">
        <v>0</v>
      </c>
    </row>
    <row r="2314" spans="1:9" x14ac:dyDescent="0.2">
      <c r="A2314" s="2">
        <v>12</v>
      </c>
      <c r="B2314" s="1" t="s">
        <v>221</v>
      </c>
      <c r="C2314" s="4">
        <v>1</v>
      </c>
      <c r="D2314" s="8">
        <v>1.96</v>
      </c>
      <c r="E2314" s="4">
        <v>1</v>
      </c>
      <c r="F2314" s="8">
        <v>3.57</v>
      </c>
      <c r="G2314" s="4">
        <v>0</v>
      </c>
      <c r="H2314" s="8">
        <v>0</v>
      </c>
      <c r="I2314" s="4">
        <v>0</v>
      </c>
    </row>
    <row r="2315" spans="1:9" x14ac:dyDescent="0.2">
      <c r="A2315" s="2">
        <v>12</v>
      </c>
      <c r="B2315" s="1" t="s">
        <v>225</v>
      </c>
      <c r="C2315" s="4">
        <v>1</v>
      </c>
      <c r="D2315" s="8">
        <v>1.96</v>
      </c>
      <c r="E2315" s="4">
        <v>1</v>
      </c>
      <c r="F2315" s="8">
        <v>3.57</v>
      </c>
      <c r="G2315" s="4">
        <v>0</v>
      </c>
      <c r="H2315" s="8">
        <v>0</v>
      </c>
      <c r="I2315" s="4">
        <v>0</v>
      </c>
    </row>
    <row r="2316" spans="1:9" x14ac:dyDescent="0.2">
      <c r="A2316" s="2">
        <v>12</v>
      </c>
      <c r="B2316" s="1" t="s">
        <v>226</v>
      </c>
      <c r="C2316" s="4">
        <v>1</v>
      </c>
      <c r="D2316" s="8">
        <v>1.96</v>
      </c>
      <c r="E2316" s="4">
        <v>1</v>
      </c>
      <c r="F2316" s="8">
        <v>3.57</v>
      </c>
      <c r="G2316" s="4">
        <v>0</v>
      </c>
      <c r="H2316" s="8">
        <v>0</v>
      </c>
      <c r="I2316" s="4">
        <v>0</v>
      </c>
    </row>
    <row r="2317" spans="1:9" x14ac:dyDescent="0.2">
      <c r="A2317" s="2">
        <v>12</v>
      </c>
      <c r="B2317" s="1" t="s">
        <v>247</v>
      </c>
      <c r="C2317" s="4">
        <v>1</v>
      </c>
      <c r="D2317" s="8">
        <v>1.96</v>
      </c>
      <c r="E2317" s="4">
        <v>1</v>
      </c>
      <c r="F2317" s="8">
        <v>3.57</v>
      </c>
      <c r="G2317" s="4">
        <v>0</v>
      </c>
      <c r="H2317" s="8">
        <v>0</v>
      </c>
      <c r="I2317" s="4">
        <v>0</v>
      </c>
    </row>
    <row r="2318" spans="1:9" x14ac:dyDescent="0.2">
      <c r="A2318" s="1"/>
      <c r="C2318" s="4"/>
      <c r="D2318" s="8"/>
      <c r="E2318" s="4"/>
      <c r="F2318" s="8"/>
      <c r="G2318" s="4"/>
      <c r="H2318" s="8"/>
      <c r="I2318" s="4"/>
    </row>
    <row r="2319" spans="1:9" x14ac:dyDescent="0.2">
      <c r="A2319" s="1" t="s">
        <v>95</v>
      </c>
      <c r="C2319" s="4"/>
      <c r="D2319" s="8"/>
      <c r="E2319" s="4"/>
      <c r="F2319" s="8"/>
      <c r="G2319" s="4"/>
      <c r="H2319" s="8"/>
      <c r="I2319" s="4"/>
    </row>
    <row r="2320" spans="1:9" x14ac:dyDescent="0.2">
      <c r="A2320" s="2">
        <v>1</v>
      </c>
      <c r="B2320" s="1" t="s">
        <v>223</v>
      </c>
      <c r="C2320" s="4">
        <v>8</v>
      </c>
      <c r="D2320" s="8">
        <v>20</v>
      </c>
      <c r="E2320" s="4">
        <v>5</v>
      </c>
      <c r="F2320" s="8">
        <v>20.83</v>
      </c>
      <c r="G2320" s="4">
        <v>3</v>
      </c>
      <c r="H2320" s="8">
        <v>23.08</v>
      </c>
      <c r="I2320" s="4">
        <v>0</v>
      </c>
    </row>
    <row r="2321" spans="1:9" x14ac:dyDescent="0.2">
      <c r="A2321" s="2">
        <v>2</v>
      </c>
      <c r="B2321" s="1" t="s">
        <v>227</v>
      </c>
      <c r="C2321" s="4">
        <v>6</v>
      </c>
      <c r="D2321" s="8">
        <v>15</v>
      </c>
      <c r="E2321" s="4">
        <v>6</v>
      </c>
      <c r="F2321" s="8">
        <v>25</v>
      </c>
      <c r="G2321" s="4">
        <v>0</v>
      </c>
      <c r="H2321" s="8">
        <v>0</v>
      </c>
      <c r="I2321" s="4">
        <v>0</v>
      </c>
    </row>
    <row r="2322" spans="1:9" x14ac:dyDescent="0.2">
      <c r="A2322" s="2">
        <v>3</v>
      </c>
      <c r="B2322" s="1" t="s">
        <v>213</v>
      </c>
      <c r="C2322" s="4">
        <v>5</v>
      </c>
      <c r="D2322" s="8">
        <v>12.5</v>
      </c>
      <c r="E2322" s="4">
        <v>1</v>
      </c>
      <c r="F2322" s="8">
        <v>4.17</v>
      </c>
      <c r="G2322" s="4">
        <v>4</v>
      </c>
      <c r="H2322" s="8">
        <v>30.77</v>
      </c>
      <c r="I2322" s="4">
        <v>0</v>
      </c>
    </row>
    <row r="2323" spans="1:9" x14ac:dyDescent="0.2">
      <c r="A2323" s="2">
        <v>3</v>
      </c>
      <c r="B2323" s="1" t="s">
        <v>228</v>
      </c>
      <c r="C2323" s="4">
        <v>5</v>
      </c>
      <c r="D2323" s="8">
        <v>12.5</v>
      </c>
      <c r="E2323" s="4">
        <v>5</v>
      </c>
      <c r="F2323" s="8">
        <v>20.83</v>
      </c>
      <c r="G2323" s="4">
        <v>0</v>
      </c>
      <c r="H2323" s="8">
        <v>0</v>
      </c>
      <c r="I2323" s="4">
        <v>0</v>
      </c>
    </row>
    <row r="2324" spans="1:9" x14ac:dyDescent="0.2">
      <c r="A2324" s="2">
        <v>5</v>
      </c>
      <c r="B2324" s="1" t="s">
        <v>231</v>
      </c>
      <c r="C2324" s="4">
        <v>3</v>
      </c>
      <c r="D2324" s="8">
        <v>7.5</v>
      </c>
      <c r="E2324" s="4">
        <v>3</v>
      </c>
      <c r="F2324" s="8">
        <v>12.5</v>
      </c>
      <c r="G2324" s="4">
        <v>0</v>
      </c>
      <c r="H2324" s="8">
        <v>0</v>
      </c>
      <c r="I2324" s="4">
        <v>0</v>
      </c>
    </row>
    <row r="2325" spans="1:9" x14ac:dyDescent="0.2">
      <c r="A2325" s="2">
        <v>6</v>
      </c>
      <c r="B2325" s="1" t="s">
        <v>221</v>
      </c>
      <c r="C2325" s="4">
        <v>2</v>
      </c>
      <c r="D2325" s="8">
        <v>5</v>
      </c>
      <c r="E2325" s="4">
        <v>1</v>
      </c>
      <c r="F2325" s="8">
        <v>4.17</v>
      </c>
      <c r="G2325" s="4">
        <v>1</v>
      </c>
      <c r="H2325" s="8">
        <v>7.69</v>
      </c>
      <c r="I2325" s="4">
        <v>0</v>
      </c>
    </row>
    <row r="2326" spans="1:9" x14ac:dyDescent="0.2">
      <c r="A2326" s="2">
        <v>6</v>
      </c>
      <c r="B2326" s="1" t="s">
        <v>242</v>
      </c>
      <c r="C2326" s="4">
        <v>2</v>
      </c>
      <c r="D2326" s="8">
        <v>5</v>
      </c>
      <c r="E2326" s="4">
        <v>1</v>
      </c>
      <c r="F2326" s="8">
        <v>4.17</v>
      </c>
      <c r="G2326" s="4">
        <v>1</v>
      </c>
      <c r="H2326" s="8">
        <v>7.69</v>
      </c>
      <c r="I2326" s="4">
        <v>0</v>
      </c>
    </row>
    <row r="2327" spans="1:9" x14ac:dyDescent="0.2">
      <c r="A2327" s="2">
        <v>8</v>
      </c>
      <c r="B2327" s="1" t="s">
        <v>273</v>
      </c>
      <c r="C2327" s="4">
        <v>1</v>
      </c>
      <c r="D2327" s="8">
        <v>2.5</v>
      </c>
      <c r="E2327" s="4">
        <v>1</v>
      </c>
      <c r="F2327" s="8">
        <v>4.17</v>
      </c>
      <c r="G2327" s="4">
        <v>0</v>
      </c>
      <c r="H2327" s="8">
        <v>0</v>
      </c>
      <c r="I2327" s="4">
        <v>0</v>
      </c>
    </row>
    <row r="2328" spans="1:9" x14ac:dyDescent="0.2">
      <c r="A2328" s="2">
        <v>8</v>
      </c>
      <c r="B2328" s="1" t="s">
        <v>214</v>
      </c>
      <c r="C2328" s="4">
        <v>1</v>
      </c>
      <c r="D2328" s="8">
        <v>2.5</v>
      </c>
      <c r="E2328" s="4">
        <v>1</v>
      </c>
      <c r="F2328" s="8">
        <v>4.17</v>
      </c>
      <c r="G2328" s="4">
        <v>0</v>
      </c>
      <c r="H2328" s="8">
        <v>0</v>
      </c>
      <c r="I2328" s="4">
        <v>0</v>
      </c>
    </row>
    <row r="2329" spans="1:9" x14ac:dyDescent="0.2">
      <c r="A2329" s="2">
        <v>8</v>
      </c>
      <c r="B2329" s="1" t="s">
        <v>255</v>
      </c>
      <c r="C2329" s="4">
        <v>1</v>
      </c>
      <c r="D2329" s="8">
        <v>2.5</v>
      </c>
      <c r="E2329" s="4">
        <v>0</v>
      </c>
      <c r="F2329" s="8">
        <v>0</v>
      </c>
      <c r="G2329" s="4">
        <v>0</v>
      </c>
      <c r="H2329" s="8">
        <v>0</v>
      </c>
      <c r="I2329" s="4">
        <v>0</v>
      </c>
    </row>
    <row r="2330" spans="1:9" x14ac:dyDescent="0.2">
      <c r="A2330" s="2">
        <v>8</v>
      </c>
      <c r="B2330" s="1" t="s">
        <v>238</v>
      </c>
      <c r="C2330" s="4">
        <v>1</v>
      </c>
      <c r="D2330" s="8">
        <v>2.5</v>
      </c>
      <c r="E2330" s="4">
        <v>0</v>
      </c>
      <c r="F2330" s="8">
        <v>0</v>
      </c>
      <c r="G2330" s="4">
        <v>1</v>
      </c>
      <c r="H2330" s="8">
        <v>7.69</v>
      </c>
      <c r="I2330" s="4">
        <v>0</v>
      </c>
    </row>
    <row r="2331" spans="1:9" x14ac:dyDescent="0.2">
      <c r="A2331" s="2">
        <v>8</v>
      </c>
      <c r="B2331" s="1" t="s">
        <v>222</v>
      </c>
      <c r="C2331" s="4">
        <v>1</v>
      </c>
      <c r="D2331" s="8">
        <v>2.5</v>
      </c>
      <c r="E2331" s="4">
        <v>0</v>
      </c>
      <c r="F2331" s="8">
        <v>0</v>
      </c>
      <c r="G2331" s="4">
        <v>1</v>
      </c>
      <c r="H2331" s="8">
        <v>7.69</v>
      </c>
      <c r="I2331" s="4">
        <v>0</v>
      </c>
    </row>
    <row r="2332" spans="1:9" x14ac:dyDescent="0.2">
      <c r="A2332" s="2">
        <v>8</v>
      </c>
      <c r="B2332" s="1" t="s">
        <v>224</v>
      </c>
      <c r="C2332" s="4">
        <v>1</v>
      </c>
      <c r="D2332" s="8">
        <v>2.5</v>
      </c>
      <c r="E2332" s="4">
        <v>0</v>
      </c>
      <c r="F2332" s="8">
        <v>0</v>
      </c>
      <c r="G2332" s="4">
        <v>1</v>
      </c>
      <c r="H2332" s="8">
        <v>7.69</v>
      </c>
      <c r="I2332" s="4">
        <v>0</v>
      </c>
    </row>
    <row r="2333" spans="1:9" x14ac:dyDescent="0.2">
      <c r="A2333" s="2">
        <v>8</v>
      </c>
      <c r="B2333" s="1" t="s">
        <v>246</v>
      </c>
      <c r="C2333" s="4">
        <v>1</v>
      </c>
      <c r="D2333" s="8">
        <v>2.5</v>
      </c>
      <c r="E2333" s="4">
        <v>0</v>
      </c>
      <c r="F2333" s="8">
        <v>0</v>
      </c>
      <c r="G2333" s="4">
        <v>1</v>
      </c>
      <c r="H2333" s="8">
        <v>7.69</v>
      </c>
      <c r="I2333" s="4">
        <v>0</v>
      </c>
    </row>
    <row r="2334" spans="1:9" x14ac:dyDescent="0.2">
      <c r="A2334" s="2">
        <v>8</v>
      </c>
      <c r="B2334" s="1" t="s">
        <v>232</v>
      </c>
      <c r="C2334" s="4">
        <v>1</v>
      </c>
      <c r="D2334" s="8">
        <v>2.5</v>
      </c>
      <c r="E2334" s="4">
        <v>0</v>
      </c>
      <c r="F2334" s="8">
        <v>0</v>
      </c>
      <c r="G2334" s="4">
        <v>0</v>
      </c>
      <c r="H2334" s="8">
        <v>0</v>
      </c>
      <c r="I2334" s="4">
        <v>0</v>
      </c>
    </row>
    <row r="2335" spans="1:9" x14ac:dyDescent="0.2">
      <c r="A2335" s="2">
        <v>8</v>
      </c>
      <c r="B2335" s="1" t="s">
        <v>250</v>
      </c>
      <c r="C2335" s="4">
        <v>1</v>
      </c>
      <c r="D2335" s="8">
        <v>2.5</v>
      </c>
      <c r="E2335" s="4">
        <v>0</v>
      </c>
      <c r="F2335" s="8">
        <v>0</v>
      </c>
      <c r="G2335" s="4">
        <v>0</v>
      </c>
      <c r="H2335" s="8">
        <v>0</v>
      </c>
      <c r="I2335" s="4">
        <v>0</v>
      </c>
    </row>
    <row r="2336" spans="1:9" x14ac:dyDescent="0.2">
      <c r="A2336" s="1"/>
      <c r="C2336" s="4"/>
      <c r="D2336" s="8"/>
      <c r="E2336" s="4"/>
      <c r="F2336" s="8"/>
      <c r="G2336" s="4"/>
      <c r="H2336" s="8"/>
      <c r="I2336" s="4"/>
    </row>
    <row r="2337" spans="1:9" x14ac:dyDescent="0.2">
      <c r="A2337" s="1" t="s">
        <v>96</v>
      </c>
      <c r="C2337" s="4"/>
      <c r="D2337" s="8"/>
      <c r="E2337" s="4"/>
      <c r="F2337" s="8"/>
      <c r="G2337" s="4"/>
      <c r="H2337" s="8"/>
      <c r="I2337" s="4"/>
    </row>
    <row r="2338" spans="1:9" x14ac:dyDescent="0.2">
      <c r="A2338" s="2">
        <v>1</v>
      </c>
      <c r="B2338" s="1" t="s">
        <v>227</v>
      </c>
      <c r="C2338" s="4">
        <v>18</v>
      </c>
      <c r="D2338" s="8">
        <v>17.48</v>
      </c>
      <c r="E2338" s="4">
        <v>18</v>
      </c>
      <c r="F2338" s="8">
        <v>30</v>
      </c>
      <c r="G2338" s="4">
        <v>0</v>
      </c>
      <c r="H2338" s="8">
        <v>0</v>
      </c>
      <c r="I2338" s="4">
        <v>0</v>
      </c>
    </row>
    <row r="2339" spans="1:9" x14ac:dyDescent="0.2">
      <c r="A2339" s="2">
        <v>2</v>
      </c>
      <c r="B2339" s="1" t="s">
        <v>223</v>
      </c>
      <c r="C2339" s="4">
        <v>10</v>
      </c>
      <c r="D2339" s="8">
        <v>9.7100000000000009</v>
      </c>
      <c r="E2339" s="4">
        <v>7</v>
      </c>
      <c r="F2339" s="8">
        <v>11.67</v>
      </c>
      <c r="G2339" s="4">
        <v>3</v>
      </c>
      <c r="H2339" s="8">
        <v>9.09</v>
      </c>
      <c r="I2339" s="4">
        <v>0</v>
      </c>
    </row>
    <row r="2340" spans="1:9" x14ac:dyDescent="0.2">
      <c r="A2340" s="2">
        <v>2</v>
      </c>
      <c r="B2340" s="1" t="s">
        <v>228</v>
      </c>
      <c r="C2340" s="4">
        <v>10</v>
      </c>
      <c r="D2340" s="8">
        <v>9.7100000000000009</v>
      </c>
      <c r="E2340" s="4">
        <v>10</v>
      </c>
      <c r="F2340" s="8">
        <v>16.670000000000002</v>
      </c>
      <c r="G2340" s="4">
        <v>0</v>
      </c>
      <c r="H2340" s="8">
        <v>0</v>
      </c>
      <c r="I2340" s="4">
        <v>0</v>
      </c>
    </row>
    <row r="2341" spans="1:9" x14ac:dyDescent="0.2">
      <c r="A2341" s="2">
        <v>4</v>
      </c>
      <c r="B2341" s="1" t="s">
        <v>214</v>
      </c>
      <c r="C2341" s="4">
        <v>8</v>
      </c>
      <c r="D2341" s="8">
        <v>7.77</v>
      </c>
      <c r="E2341" s="4">
        <v>5</v>
      </c>
      <c r="F2341" s="8">
        <v>8.33</v>
      </c>
      <c r="G2341" s="4">
        <v>3</v>
      </c>
      <c r="H2341" s="8">
        <v>9.09</v>
      </c>
      <c r="I2341" s="4">
        <v>0</v>
      </c>
    </row>
    <row r="2342" spans="1:9" x14ac:dyDescent="0.2">
      <c r="A2342" s="2">
        <v>5</v>
      </c>
      <c r="B2342" s="1" t="s">
        <v>221</v>
      </c>
      <c r="C2342" s="4">
        <v>7</v>
      </c>
      <c r="D2342" s="8">
        <v>6.8</v>
      </c>
      <c r="E2342" s="4">
        <v>4</v>
      </c>
      <c r="F2342" s="8">
        <v>6.67</v>
      </c>
      <c r="G2342" s="4">
        <v>3</v>
      </c>
      <c r="H2342" s="8">
        <v>9.09</v>
      </c>
      <c r="I2342" s="4">
        <v>0</v>
      </c>
    </row>
    <row r="2343" spans="1:9" x14ac:dyDescent="0.2">
      <c r="A2343" s="2">
        <v>5</v>
      </c>
      <c r="B2343" s="1" t="s">
        <v>230</v>
      </c>
      <c r="C2343" s="4">
        <v>7</v>
      </c>
      <c r="D2343" s="8">
        <v>6.8</v>
      </c>
      <c r="E2343" s="4">
        <v>3</v>
      </c>
      <c r="F2343" s="8">
        <v>5</v>
      </c>
      <c r="G2343" s="4">
        <v>0</v>
      </c>
      <c r="H2343" s="8">
        <v>0</v>
      </c>
      <c r="I2343" s="4">
        <v>0</v>
      </c>
    </row>
    <row r="2344" spans="1:9" x14ac:dyDescent="0.2">
      <c r="A2344" s="2">
        <v>7</v>
      </c>
      <c r="B2344" s="1" t="s">
        <v>234</v>
      </c>
      <c r="C2344" s="4">
        <v>5</v>
      </c>
      <c r="D2344" s="8">
        <v>4.8499999999999996</v>
      </c>
      <c r="E2344" s="4">
        <v>0</v>
      </c>
      <c r="F2344" s="8">
        <v>0</v>
      </c>
      <c r="G2344" s="4">
        <v>5</v>
      </c>
      <c r="H2344" s="8">
        <v>15.15</v>
      </c>
      <c r="I2344" s="4">
        <v>0</v>
      </c>
    </row>
    <row r="2345" spans="1:9" x14ac:dyDescent="0.2">
      <c r="A2345" s="2">
        <v>8</v>
      </c>
      <c r="B2345" s="1" t="s">
        <v>213</v>
      </c>
      <c r="C2345" s="4">
        <v>4</v>
      </c>
      <c r="D2345" s="8">
        <v>3.88</v>
      </c>
      <c r="E2345" s="4">
        <v>0</v>
      </c>
      <c r="F2345" s="8">
        <v>0</v>
      </c>
      <c r="G2345" s="4">
        <v>4</v>
      </c>
      <c r="H2345" s="8">
        <v>12.12</v>
      </c>
      <c r="I2345" s="4">
        <v>0</v>
      </c>
    </row>
    <row r="2346" spans="1:9" x14ac:dyDescent="0.2">
      <c r="A2346" s="2">
        <v>9</v>
      </c>
      <c r="B2346" s="1" t="s">
        <v>215</v>
      </c>
      <c r="C2346" s="4">
        <v>2</v>
      </c>
      <c r="D2346" s="8">
        <v>1.94</v>
      </c>
      <c r="E2346" s="4">
        <v>0</v>
      </c>
      <c r="F2346" s="8">
        <v>0</v>
      </c>
      <c r="G2346" s="4">
        <v>2</v>
      </c>
      <c r="H2346" s="8">
        <v>6.06</v>
      </c>
      <c r="I2346" s="4">
        <v>0</v>
      </c>
    </row>
    <row r="2347" spans="1:9" x14ac:dyDescent="0.2">
      <c r="A2347" s="2">
        <v>9</v>
      </c>
      <c r="B2347" s="1" t="s">
        <v>258</v>
      </c>
      <c r="C2347" s="4">
        <v>2</v>
      </c>
      <c r="D2347" s="8">
        <v>1.94</v>
      </c>
      <c r="E2347" s="4">
        <v>2</v>
      </c>
      <c r="F2347" s="8">
        <v>3.33</v>
      </c>
      <c r="G2347" s="4">
        <v>0</v>
      </c>
      <c r="H2347" s="8">
        <v>0</v>
      </c>
      <c r="I2347" s="4">
        <v>0</v>
      </c>
    </row>
    <row r="2348" spans="1:9" x14ac:dyDescent="0.2">
      <c r="A2348" s="2">
        <v>9</v>
      </c>
      <c r="B2348" s="1" t="s">
        <v>260</v>
      </c>
      <c r="C2348" s="4">
        <v>2</v>
      </c>
      <c r="D2348" s="8">
        <v>1.94</v>
      </c>
      <c r="E2348" s="4">
        <v>0</v>
      </c>
      <c r="F2348" s="8">
        <v>0</v>
      </c>
      <c r="G2348" s="4">
        <v>2</v>
      </c>
      <c r="H2348" s="8">
        <v>6.06</v>
      </c>
      <c r="I2348" s="4">
        <v>0</v>
      </c>
    </row>
    <row r="2349" spans="1:9" x14ac:dyDescent="0.2">
      <c r="A2349" s="2">
        <v>9</v>
      </c>
      <c r="B2349" s="1" t="s">
        <v>217</v>
      </c>
      <c r="C2349" s="4">
        <v>2</v>
      </c>
      <c r="D2349" s="8">
        <v>1.94</v>
      </c>
      <c r="E2349" s="4">
        <v>1</v>
      </c>
      <c r="F2349" s="8">
        <v>1.67</v>
      </c>
      <c r="G2349" s="4">
        <v>1</v>
      </c>
      <c r="H2349" s="8">
        <v>3.03</v>
      </c>
      <c r="I2349" s="4">
        <v>0</v>
      </c>
    </row>
    <row r="2350" spans="1:9" x14ac:dyDescent="0.2">
      <c r="A2350" s="2">
        <v>9</v>
      </c>
      <c r="B2350" s="1" t="s">
        <v>220</v>
      </c>
      <c r="C2350" s="4">
        <v>2</v>
      </c>
      <c r="D2350" s="8">
        <v>1.94</v>
      </c>
      <c r="E2350" s="4">
        <v>1</v>
      </c>
      <c r="F2350" s="8">
        <v>1.67</v>
      </c>
      <c r="G2350" s="4">
        <v>1</v>
      </c>
      <c r="H2350" s="8">
        <v>3.03</v>
      </c>
      <c r="I2350" s="4">
        <v>0</v>
      </c>
    </row>
    <row r="2351" spans="1:9" x14ac:dyDescent="0.2">
      <c r="A2351" s="2">
        <v>9</v>
      </c>
      <c r="B2351" s="1" t="s">
        <v>222</v>
      </c>
      <c r="C2351" s="4">
        <v>2</v>
      </c>
      <c r="D2351" s="8">
        <v>1.94</v>
      </c>
      <c r="E2351" s="4">
        <v>2</v>
      </c>
      <c r="F2351" s="8">
        <v>3.33</v>
      </c>
      <c r="G2351" s="4">
        <v>0</v>
      </c>
      <c r="H2351" s="8">
        <v>0</v>
      </c>
      <c r="I2351" s="4">
        <v>0</v>
      </c>
    </row>
    <row r="2352" spans="1:9" x14ac:dyDescent="0.2">
      <c r="A2352" s="2">
        <v>9</v>
      </c>
      <c r="B2352" s="1" t="s">
        <v>247</v>
      </c>
      <c r="C2352" s="4">
        <v>2</v>
      </c>
      <c r="D2352" s="8">
        <v>1.94</v>
      </c>
      <c r="E2352" s="4">
        <v>0</v>
      </c>
      <c r="F2352" s="8">
        <v>0</v>
      </c>
      <c r="G2352" s="4">
        <v>0</v>
      </c>
      <c r="H2352" s="8">
        <v>0</v>
      </c>
      <c r="I2352" s="4">
        <v>0</v>
      </c>
    </row>
    <row r="2353" spans="1:9" x14ac:dyDescent="0.2">
      <c r="A2353" s="2">
        <v>9</v>
      </c>
      <c r="B2353" s="1" t="s">
        <v>231</v>
      </c>
      <c r="C2353" s="4">
        <v>2</v>
      </c>
      <c r="D2353" s="8">
        <v>1.94</v>
      </c>
      <c r="E2353" s="4">
        <v>2</v>
      </c>
      <c r="F2353" s="8">
        <v>3.33</v>
      </c>
      <c r="G2353" s="4">
        <v>0</v>
      </c>
      <c r="H2353" s="8">
        <v>0</v>
      </c>
      <c r="I2353" s="4">
        <v>0</v>
      </c>
    </row>
    <row r="2354" spans="1:9" x14ac:dyDescent="0.2">
      <c r="A2354" s="2">
        <v>17</v>
      </c>
      <c r="B2354" s="1" t="s">
        <v>273</v>
      </c>
      <c r="C2354" s="4">
        <v>1</v>
      </c>
      <c r="D2354" s="8">
        <v>0.97</v>
      </c>
      <c r="E2354" s="4">
        <v>0</v>
      </c>
      <c r="F2354" s="8">
        <v>0</v>
      </c>
      <c r="G2354" s="4">
        <v>1</v>
      </c>
      <c r="H2354" s="8">
        <v>3.03</v>
      </c>
      <c r="I2354" s="4">
        <v>0</v>
      </c>
    </row>
    <row r="2355" spans="1:9" x14ac:dyDescent="0.2">
      <c r="A2355" s="2">
        <v>17</v>
      </c>
      <c r="B2355" s="1" t="s">
        <v>252</v>
      </c>
      <c r="C2355" s="4">
        <v>1</v>
      </c>
      <c r="D2355" s="8">
        <v>0.97</v>
      </c>
      <c r="E2355" s="4">
        <v>0</v>
      </c>
      <c r="F2355" s="8">
        <v>0</v>
      </c>
      <c r="G2355" s="4">
        <v>1</v>
      </c>
      <c r="H2355" s="8">
        <v>3.03</v>
      </c>
      <c r="I2355" s="4">
        <v>0</v>
      </c>
    </row>
    <row r="2356" spans="1:9" x14ac:dyDescent="0.2">
      <c r="A2356" s="2">
        <v>17</v>
      </c>
      <c r="B2356" s="1" t="s">
        <v>253</v>
      </c>
      <c r="C2356" s="4">
        <v>1</v>
      </c>
      <c r="D2356" s="8">
        <v>0.97</v>
      </c>
      <c r="E2356" s="4">
        <v>1</v>
      </c>
      <c r="F2356" s="8">
        <v>1.67</v>
      </c>
      <c r="G2356" s="4">
        <v>0</v>
      </c>
      <c r="H2356" s="8">
        <v>0</v>
      </c>
      <c r="I2356" s="4">
        <v>0</v>
      </c>
    </row>
    <row r="2357" spans="1:9" x14ac:dyDescent="0.2">
      <c r="A2357" s="2">
        <v>17</v>
      </c>
      <c r="B2357" s="1" t="s">
        <v>278</v>
      </c>
      <c r="C2357" s="4">
        <v>1</v>
      </c>
      <c r="D2357" s="8">
        <v>0.97</v>
      </c>
      <c r="E2357" s="4">
        <v>0</v>
      </c>
      <c r="F2357" s="8">
        <v>0</v>
      </c>
      <c r="G2357" s="4">
        <v>1</v>
      </c>
      <c r="H2357" s="8">
        <v>3.03</v>
      </c>
      <c r="I2357" s="4">
        <v>0</v>
      </c>
    </row>
    <row r="2358" spans="1:9" x14ac:dyDescent="0.2">
      <c r="A2358" s="2">
        <v>17</v>
      </c>
      <c r="B2358" s="1" t="s">
        <v>255</v>
      </c>
      <c r="C2358" s="4">
        <v>1</v>
      </c>
      <c r="D2358" s="8">
        <v>0.97</v>
      </c>
      <c r="E2358" s="4">
        <v>0</v>
      </c>
      <c r="F2358" s="8">
        <v>0</v>
      </c>
      <c r="G2358" s="4">
        <v>0</v>
      </c>
      <c r="H2358" s="8">
        <v>0</v>
      </c>
      <c r="I2358" s="4">
        <v>0</v>
      </c>
    </row>
    <row r="2359" spans="1:9" x14ac:dyDescent="0.2">
      <c r="A2359" s="2">
        <v>17</v>
      </c>
      <c r="B2359" s="1" t="s">
        <v>235</v>
      </c>
      <c r="C2359" s="4">
        <v>1</v>
      </c>
      <c r="D2359" s="8">
        <v>0.97</v>
      </c>
      <c r="E2359" s="4">
        <v>0</v>
      </c>
      <c r="F2359" s="8">
        <v>0</v>
      </c>
      <c r="G2359" s="4">
        <v>1</v>
      </c>
      <c r="H2359" s="8">
        <v>3.03</v>
      </c>
      <c r="I2359" s="4">
        <v>0</v>
      </c>
    </row>
    <row r="2360" spans="1:9" x14ac:dyDescent="0.2">
      <c r="A2360" s="2">
        <v>17</v>
      </c>
      <c r="B2360" s="1" t="s">
        <v>238</v>
      </c>
      <c r="C2360" s="4">
        <v>1</v>
      </c>
      <c r="D2360" s="8">
        <v>0.97</v>
      </c>
      <c r="E2360" s="4">
        <v>0</v>
      </c>
      <c r="F2360" s="8">
        <v>0</v>
      </c>
      <c r="G2360" s="4">
        <v>0</v>
      </c>
      <c r="H2360" s="8">
        <v>0</v>
      </c>
      <c r="I2360" s="4">
        <v>0</v>
      </c>
    </row>
    <row r="2361" spans="1:9" x14ac:dyDescent="0.2">
      <c r="A2361" s="2">
        <v>17</v>
      </c>
      <c r="B2361" s="1" t="s">
        <v>248</v>
      </c>
      <c r="C2361" s="4">
        <v>1</v>
      </c>
      <c r="D2361" s="8">
        <v>0.97</v>
      </c>
      <c r="E2361" s="4">
        <v>0</v>
      </c>
      <c r="F2361" s="8">
        <v>0</v>
      </c>
      <c r="G2361" s="4">
        <v>1</v>
      </c>
      <c r="H2361" s="8">
        <v>3.03</v>
      </c>
      <c r="I2361" s="4">
        <v>0</v>
      </c>
    </row>
    <row r="2362" spans="1:9" x14ac:dyDescent="0.2">
      <c r="A2362" s="2">
        <v>17</v>
      </c>
      <c r="B2362" s="1" t="s">
        <v>219</v>
      </c>
      <c r="C2362" s="4">
        <v>1</v>
      </c>
      <c r="D2362" s="8">
        <v>0.97</v>
      </c>
      <c r="E2362" s="4">
        <v>0</v>
      </c>
      <c r="F2362" s="8">
        <v>0</v>
      </c>
      <c r="G2362" s="4">
        <v>1</v>
      </c>
      <c r="H2362" s="8">
        <v>3.03</v>
      </c>
      <c r="I2362" s="4">
        <v>0</v>
      </c>
    </row>
    <row r="2363" spans="1:9" x14ac:dyDescent="0.2">
      <c r="A2363" s="2">
        <v>17</v>
      </c>
      <c r="B2363" s="1" t="s">
        <v>236</v>
      </c>
      <c r="C2363" s="4">
        <v>1</v>
      </c>
      <c r="D2363" s="8">
        <v>0.97</v>
      </c>
      <c r="E2363" s="4">
        <v>1</v>
      </c>
      <c r="F2363" s="8">
        <v>1.67</v>
      </c>
      <c r="G2363" s="4">
        <v>0</v>
      </c>
      <c r="H2363" s="8">
        <v>0</v>
      </c>
      <c r="I2363" s="4">
        <v>0</v>
      </c>
    </row>
    <row r="2364" spans="1:9" x14ac:dyDescent="0.2">
      <c r="A2364" s="2">
        <v>17</v>
      </c>
      <c r="B2364" s="1" t="s">
        <v>237</v>
      </c>
      <c r="C2364" s="4">
        <v>1</v>
      </c>
      <c r="D2364" s="8">
        <v>0.97</v>
      </c>
      <c r="E2364" s="4">
        <v>1</v>
      </c>
      <c r="F2364" s="8">
        <v>1.67</v>
      </c>
      <c r="G2364" s="4">
        <v>0</v>
      </c>
      <c r="H2364" s="8">
        <v>0</v>
      </c>
      <c r="I2364" s="4">
        <v>0</v>
      </c>
    </row>
    <row r="2365" spans="1:9" x14ac:dyDescent="0.2">
      <c r="A2365" s="2">
        <v>17</v>
      </c>
      <c r="B2365" s="1" t="s">
        <v>224</v>
      </c>
      <c r="C2365" s="4">
        <v>1</v>
      </c>
      <c r="D2365" s="8">
        <v>0.97</v>
      </c>
      <c r="E2365" s="4">
        <v>0</v>
      </c>
      <c r="F2365" s="8">
        <v>0</v>
      </c>
      <c r="G2365" s="4">
        <v>0</v>
      </c>
      <c r="H2365" s="8">
        <v>0</v>
      </c>
      <c r="I2365" s="4">
        <v>0</v>
      </c>
    </row>
    <row r="2366" spans="1:9" x14ac:dyDescent="0.2">
      <c r="A2366" s="2">
        <v>17</v>
      </c>
      <c r="B2366" s="1" t="s">
        <v>246</v>
      </c>
      <c r="C2366" s="4">
        <v>1</v>
      </c>
      <c r="D2366" s="8">
        <v>0.97</v>
      </c>
      <c r="E2366" s="4">
        <v>0</v>
      </c>
      <c r="F2366" s="8">
        <v>0</v>
      </c>
      <c r="G2366" s="4">
        <v>1</v>
      </c>
      <c r="H2366" s="8">
        <v>3.03</v>
      </c>
      <c r="I2366" s="4">
        <v>0</v>
      </c>
    </row>
    <row r="2367" spans="1:9" x14ac:dyDescent="0.2">
      <c r="A2367" s="2">
        <v>17</v>
      </c>
      <c r="B2367" s="1" t="s">
        <v>226</v>
      </c>
      <c r="C2367" s="4">
        <v>1</v>
      </c>
      <c r="D2367" s="8">
        <v>0.97</v>
      </c>
      <c r="E2367" s="4">
        <v>1</v>
      </c>
      <c r="F2367" s="8">
        <v>1.67</v>
      </c>
      <c r="G2367" s="4">
        <v>0</v>
      </c>
      <c r="H2367" s="8">
        <v>0</v>
      </c>
      <c r="I2367" s="4">
        <v>0</v>
      </c>
    </row>
    <row r="2368" spans="1:9" x14ac:dyDescent="0.2">
      <c r="A2368" s="2">
        <v>17</v>
      </c>
      <c r="B2368" s="1" t="s">
        <v>239</v>
      </c>
      <c r="C2368" s="4">
        <v>1</v>
      </c>
      <c r="D2368" s="8">
        <v>0.97</v>
      </c>
      <c r="E2368" s="4">
        <v>0</v>
      </c>
      <c r="F2368" s="8">
        <v>0</v>
      </c>
      <c r="G2368" s="4">
        <v>1</v>
      </c>
      <c r="H2368" s="8">
        <v>3.03</v>
      </c>
      <c r="I2368" s="4">
        <v>0</v>
      </c>
    </row>
    <row r="2369" spans="1:9" x14ac:dyDescent="0.2">
      <c r="A2369" s="2">
        <v>17</v>
      </c>
      <c r="B2369" s="1" t="s">
        <v>229</v>
      </c>
      <c r="C2369" s="4">
        <v>1</v>
      </c>
      <c r="D2369" s="8">
        <v>0.97</v>
      </c>
      <c r="E2369" s="4">
        <v>1</v>
      </c>
      <c r="F2369" s="8">
        <v>1.67</v>
      </c>
      <c r="G2369" s="4">
        <v>0</v>
      </c>
      <c r="H2369" s="8">
        <v>0</v>
      </c>
      <c r="I2369" s="4">
        <v>0</v>
      </c>
    </row>
    <row r="2370" spans="1:9" x14ac:dyDescent="0.2">
      <c r="A2370" s="2">
        <v>17</v>
      </c>
      <c r="B2370" s="1" t="s">
        <v>232</v>
      </c>
      <c r="C2370" s="4">
        <v>1</v>
      </c>
      <c r="D2370" s="8">
        <v>0.97</v>
      </c>
      <c r="E2370" s="4">
        <v>0</v>
      </c>
      <c r="F2370" s="8">
        <v>0</v>
      </c>
      <c r="G2370" s="4">
        <v>0</v>
      </c>
      <c r="H2370" s="8">
        <v>0</v>
      </c>
      <c r="I2370" s="4">
        <v>0</v>
      </c>
    </row>
    <row r="2371" spans="1:9" x14ac:dyDescent="0.2">
      <c r="A2371" s="2">
        <v>17</v>
      </c>
      <c r="B2371" s="1" t="s">
        <v>249</v>
      </c>
      <c r="C2371" s="4">
        <v>1</v>
      </c>
      <c r="D2371" s="8">
        <v>0.97</v>
      </c>
      <c r="E2371" s="4">
        <v>0</v>
      </c>
      <c r="F2371" s="8">
        <v>0</v>
      </c>
      <c r="G2371" s="4">
        <v>1</v>
      </c>
      <c r="H2371" s="8">
        <v>3.03</v>
      </c>
      <c r="I2371" s="4">
        <v>0</v>
      </c>
    </row>
    <row r="2372" spans="1:9" x14ac:dyDescent="0.2">
      <c r="A2372" s="1"/>
      <c r="C2372" s="4"/>
      <c r="D2372" s="8"/>
      <c r="E2372" s="4"/>
      <c r="F2372" s="8"/>
      <c r="G2372" s="4"/>
      <c r="H2372" s="8"/>
      <c r="I2372" s="4"/>
    </row>
    <row r="2373" spans="1:9" x14ac:dyDescent="0.2">
      <c r="A2373" s="1" t="s">
        <v>97</v>
      </c>
      <c r="C2373" s="4"/>
      <c r="D2373" s="8"/>
      <c r="E2373" s="4"/>
      <c r="F2373" s="8"/>
      <c r="G2373" s="4"/>
      <c r="H2373" s="8"/>
      <c r="I2373" s="4"/>
    </row>
    <row r="2374" spans="1:9" x14ac:dyDescent="0.2">
      <c r="A2374" s="2">
        <v>1</v>
      </c>
      <c r="B2374" s="1" t="s">
        <v>214</v>
      </c>
      <c r="C2374" s="4">
        <v>14</v>
      </c>
      <c r="D2374" s="8">
        <v>9.7899999999999991</v>
      </c>
      <c r="E2374" s="4">
        <v>7</v>
      </c>
      <c r="F2374" s="8">
        <v>10.14</v>
      </c>
      <c r="G2374" s="4">
        <v>7</v>
      </c>
      <c r="H2374" s="8">
        <v>10</v>
      </c>
      <c r="I2374" s="4">
        <v>0</v>
      </c>
    </row>
    <row r="2375" spans="1:9" x14ac:dyDescent="0.2">
      <c r="A2375" s="2">
        <v>2</v>
      </c>
      <c r="B2375" s="1" t="s">
        <v>213</v>
      </c>
      <c r="C2375" s="4">
        <v>13</v>
      </c>
      <c r="D2375" s="8">
        <v>9.09</v>
      </c>
      <c r="E2375" s="4">
        <v>2</v>
      </c>
      <c r="F2375" s="8">
        <v>2.9</v>
      </c>
      <c r="G2375" s="4">
        <v>11</v>
      </c>
      <c r="H2375" s="8">
        <v>15.71</v>
      </c>
      <c r="I2375" s="4">
        <v>0</v>
      </c>
    </row>
    <row r="2376" spans="1:9" x14ac:dyDescent="0.2">
      <c r="A2376" s="2">
        <v>3</v>
      </c>
      <c r="B2376" s="1" t="s">
        <v>227</v>
      </c>
      <c r="C2376" s="4">
        <v>12</v>
      </c>
      <c r="D2376" s="8">
        <v>8.39</v>
      </c>
      <c r="E2376" s="4">
        <v>10</v>
      </c>
      <c r="F2376" s="8">
        <v>14.49</v>
      </c>
      <c r="G2376" s="4">
        <v>2</v>
      </c>
      <c r="H2376" s="8">
        <v>2.86</v>
      </c>
      <c r="I2376" s="4">
        <v>0</v>
      </c>
    </row>
    <row r="2377" spans="1:9" x14ac:dyDescent="0.2">
      <c r="A2377" s="2">
        <v>4</v>
      </c>
      <c r="B2377" s="1" t="s">
        <v>223</v>
      </c>
      <c r="C2377" s="4">
        <v>10</v>
      </c>
      <c r="D2377" s="8">
        <v>6.99</v>
      </c>
      <c r="E2377" s="4">
        <v>5</v>
      </c>
      <c r="F2377" s="8">
        <v>7.25</v>
      </c>
      <c r="G2377" s="4">
        <v>5</v>
      </c>
      <c r="H2377" s="8">
        <v>7.14</v>
      </c>
      <c r="I2377" s="4">
        <v>0</v>
      </c>
    </row>
    <row r="2378" spans="1:9" x14ac:dyDescent="0.2">
      <c r="A2378" s="2">
        <v>5</v>
      </c>
      <c r="B2378" s="1" t="s">
        <v>228</v>
      </c>
      <c r="C2378" s="4">
        <v>8</v>
      </c>
      <c r="D2378" s="8">
        <v>5.59</v>
      </c>
      <c r="E2378" s="4">
        <v>8</v>
      </c>
      <c r="F2378" s="8">
        <v>11.59</v>
      </c>
      <c r="G2378" s="4">
        <v>0</v>
      </c>
      <c r="H2378" s="8">
        <v>0</v>
      </c>
      <c r="I2378" s="4">
        <v>0</v>
      </c>
    </row>
    <row r="2379" spans="1:9" x14ac:dyDescent="0.2">
      <c r="A2379" s="2">
        <v>6</v>
      </c>
      <c r="B2379" s="1" t="s">
        <v>215</v>
      </c>
      <c r="C2379" s="4">
        <v>7</v>
      </c>
      <c r="D2379" s="8">
        <v>4.9000000000000004</v>
      </c>
      <c r="E2379" s="4">
        <v>4</v>
      </c>
      <c r="F2379" s="8">
        <v>5.8</v>
      </c>
      <c r="G2379" s="4">
        <v>3</v>
      </c>
      <c r="H2379" s="8">
        <v>4.29</v>
      </c>
      <c r="I2379" s="4">
        <v>0</v>
      </c>
    </row>
    <row r="2380" spans="1:9" x14ac:dyDescent="0.2">
      <c r="A2380" s="2">
        <v>7</v>
      </c>
      <c r="B2380" s="1" t="s">
        <v>221</v>
      </c>
      <c r="C2380" s="4">
        <v>5</v>
      </c>
      <c r="D2380" s="8">
        <v>3.5</v>
      </c>
      <c r="E2380" s="4">
        <v>4</v>
      </c>
      <c r="F2380" s="8">
        <v>5.8</v>
      </c>
      <c r="G2380" s="4">
        <v>1</v>
      </c>
      <c r="H2380" s="8">
        <v>1.43</v>
      </c>
      <c r="I2380" s="4">
        <v>0</v>
      </c>
    </row>
    <row r="2381" spans="1:9" x14ac:dyDescent="0.2">
      <c r="A2381" s="2">
        <v>7</v>
      </c>
      <c r="B2381" s="1" t="s">
        <v>236</v>
      </c>
      <c r="C2381" s="4">
        <v>5</v>
      </c>
      <c r="D2381" s="8">
        <v>3.5</v>
      </c>
      <c r="E2381" s="4">
        <v>3</v>
      </c>
      <c r="F2381" s="8">
        <v>4.3499999999999996</v>
      </c>
      <c r="G2381" s="4">
        <v>2</v>
      </c>
      <c r="H2381" s="8">
        <v>2.86</v>
      </c>
      <c r="I2381" s="4">
        <v>0</v>
      </c>
    </row>
    <row r="2382" spans="1:9" x14ac:dyDescent="0.2">
      <c r="A2382" s="2">
        <v>7</v>
      </c>
      <c r="B2382" s="1" t="s">
        <v>231</v>
      </c>
      <c r="C2382" s="4">
        <v>5</v>
      </c>
      <c r="D2382" s="8">
        <v>3.5</v>
      </c>
      <c r="E2382" s="4">
        <v>4</v>
      </c>
      <c r="F2382" s="8">
        <v>5.8</v>
      </c>
      <c r="G2382" s="4">
        <v>1</v>
      </c>
      <c r="H2382" s="8">
        <v>1.43</v>
      </c>
      <c r="I2382" s="4">
        <v>0</v>
      </c>
    </row>
    <row r="2383" spans="1:9" x14ac:dyDescent="0.2">
      <c r="A2383" s="2">
        <v>7</v>
      </c>
      <c r="B2383" s="1" t="s">
        <v>232</v>
      </c>
      <c r="C2383" s="4">
        <v>5</v>
      </c>
      <c r="D2383" s="8">
        <v>3.5</v>
      </c>
      <c r="E2383" s="4">
        <v>0</v>
      </c>
      <c r="F2383" s="8">
        <v>0</v>
      </c>
      <c r="G2383" s="4">
        <v>5</v>
      </c>
      <c r="H2383" s="8">
        <v>7.14</v>
      </c>
      <c r="I2383" s="4">
        <v>0</v>
      </c>
    </row>
    <row r="2384" spans="1:9" x14ac:dyDescent="0.2">
      <c r="A2384" s="2">
        <v>11</v>
      </c>
      <c r="B2384" s="1" t="s">
        <v>241</v>
      </c>
      <c r="C2384" s="4">
        <v>4</v>
      </c>
      <c r="D2384" s="8">
        <v>2.8</v>
      </c>
      <c r="E2384" s="4">
        <v>1</v>
      </c>
      <c r="F2384" s="8">
        <v>1.45</v>
      </c>
      <c r="G2384" s="4">
        <v>3</v>
      </c>
      <c r="H2384" s="8">
        <v>4.29</v>
      </c>
      <c r="I2384" s="4">
        <v>0</v>
      </c>
    </row>
    <row r="2385" spans="1:9" x14ac:dyDescent="0.2">
      <c r="A2385" s="2">
        <v>11</v>
      </c>
      <c r="B2385" s="1" t="s">
        <v>229</v>
      </c>
      <c r="C2385" s="4">
        <v>4</v>
      </c>
      <c r="D2385" s="8">
        <v>2.8</v>
      </c>
      <c r="E2385" s="4">
        <v>1</v>
      </c>
      <c r="F2385" s="8">
        <v>1.45</v>
      </c>
      <c r="G2385" s="4">
        <v>2</v>
      </c>
      <c r="H2385" s="8">
        <v>2.86</v>
      </c>
      <c r="I2385" s="4">
        <v>0</v>
      </c>
    </row>
    <row r="2386" spans="1:9" x14ac:dyDescent="0.2">
      <c r="A2386" s="2">
        <v>11</v>
      </c>
      <c r="B2386" s="1" t="s">
        <v>242</v>
      </c>
      <c r="C2386" s="4">
        <v>4</v>
      </c>
      <c r="D2386" s="8">
        <v>2.8</v>
      </c>
      <c r="E2386" s="4">
        <v>2</v>
      </c>
      <c r="F2386" s="8">
        <v>2.9</v>
      </c>
      <c r="G2386" s="4">
        <v>2</v>
      </c>
      <c r="H2386" s="8">
        <v>2.86</v>
      </c>
      <c r="I2386" s="4">
        <v>0</v>
      </c>
    </row>
    <row r="2387" spans="1:9" x14ac:dyDescent="0.2">
      <c r="A2387" s="2">
        <v>14</v>
      </c>
      <c r="B2387" s="1" t="s">
        <v>254</v>
      </c>
      <c r="C2387" s="4">
        <v>3</v>
      </c>
      <c r="D2387" s="8">
        <v>2.1</v>
      </c>
      <c r="E2387" s="4">
        <v>0</v>
      </c>
      <c r="F2387" s="8">
        <v>0</v>
      </c>
      <c r="G2387" s="4">
        <v>3</v>
      </c>
      <c r="H2387" s="8">
        <v>4.29</v>
      </c>
      <c r="I2387" s="4">
        <v>0</v>
      </c>
    </row>
    <row r="2388" spans="1:9" x14ac:dyDescent="0.2">
      <c r="A2388" s="2">
        <v>14</v>
      </c>
      <c r="B2388" s="1" t="s">
        <v>216</v>
      </c>
      <c r="C2388" s="4">
        <v>3</v>
      </c>
      <c r="D2388" s="8">
        <v>2.1</v>
      </c>
      <c r="E2388" s="4">
        <v>1</v>
      </c>
      <c r="F2388" s="8">
        <v>1.45</v>
      </c>
      <c r="G2388" s="4">
        <v>2</v>
      </c>
      <c r="H2388" s="8">
        <v>2.86</v>
      </c>
      <c r="I2388" s="4">
        <v>0</v>
      </c>
    </row>
    <row r="2389" spans="1:9" x14ac:dyDescent="0.2">
      <c r="A2389" s="2">
        <v>14</v>
      </c>
      <c r="B2389" s="1" t="s">
        <v>217</v>
      </c>
      <c r="C2389" s="4">
        <v>3</v>
      </c>
      <c r="D2389" s="8">
        <v>2.1</v>
      </c>
      <c r="E2389" s="4">
        <v>3</v>
      </c>
      <c r="F2389" s="8">
        <v>4.3499999999999996</v>
      </c>
      <c r="G2389" s="4">
        <v>0</v>
      </c>
      <c r="H2389" s="8">
        <v>0</v>
      </c>
      <c r="I2389" s="4">
        <v>0</v>
      </c>
    </row>
    <row r="2390" spans="1:9" x14ac:dyDescent="0.2">
      <c r="A2390" s="2">
        <v>14</v>
      </c>
      <c r="B2390" s="1" t="s">
        <v>218</v>
      </c>
      <c r="C2390" s="4">
        <v>3</v>
      </c>
      <c r="D2390" s="8">
        <v>2.1</v>
      </c>
      <c r="E2390" s="4">
        <v>0</v>
      </c>
      <c r="F2390" s="8">
        <v>0</v>
      </c>
      <c r="G2390" s="4">
        <v>3</v>
      </c>
      <c r="H2390" s="8">
        <v>4.29</v>
      </c>
      <c r="I2390" s="4">
        <v>0</v>
      </c>
    </row>
    <row r="2391" spans="1:9" x14ac:dyDescent="0.2">
      <c r="A2391" s="2">
        <v>14</v>
      </c>
      <c r="B2391" s="1" t="s">
        <v>222</v>
      </c>
      <c r="C2391" s="4">
        <v>3</v>
      </c>
      <c r="D2391" s="8">
        <v>2.1</v>
      </c>
      <c r="E2391" s="4">
        <v>2</v>
      </c>
      <c r="F2391" s="8">
        <v>2.9</v>
      </c>
      <c r="G2391" s="4">
        <v>1</v>
      </c>
      <c r="H2391" s="8">
        <v>1.43</v>
      </c>
      <c r="I2391" s="4">
        <v>0</v>
      </c>
    </row>
    <row r="2392" spans="1:9" x14ac:dyDescent="0.2">
      <c r="A2392" s="2">
        <v>14</v>
      </c>
      <c r="B2392" s="1" t="s">
        <v>224</v>
      </c>
      <c r="C2392" s="4">
        <v>3</v>
      </c>
      <c r="D2392" s="8">
        <v>2.1</v>
      </c>
      <c r="E2392" s="4">
        <v>1</v>
      </c>
      <c r="F2392" s="8">
        <v>1.45</v>
      </c>
      <c r="G2392" s="4">
        <v>2</v>
      </c>
      <c r="H2392" s="8">
        <v>2.86</v>
      </c>
      <c r="I2392" s="4">
        <v>0</v>
      </c>
    </row>
    <row r="2393" spans="1:9" x14ac:dyDescent="0.2">
      <c r="A2393" s="2">
        <v>14</v>
      </c>
      <c r="B2393" s="1" t="s">
        <v>226</v>
      </c>
      <c r="C2393" s="4">
        <v>3</v>
      </c>
      <c r="D2393" s="8">
        <v>2.1</v>
      </c>
      <c r="E2393" s="4">
        <v>3</v>
      </c>
      <c r="F2393" s="8">
        <v>4.3499999999999996</v>
      </c>
      <c r="G2393" s="4">
        <v>0</v>
      </c>
      <c r="H2393" s="8">
        <v>0</v>
      </c>
      <c r="I2393" s="4">
        <v>0</v>
      </c>
    </row>
    <row r="2394" spans="1:9" x14ac:dyDescent="0.2">
      <c r="A2394" s="1"/>
      <c r="C2394" s="4"/>
      <c r="D2394" s="8"/>
      <c r="E2394" s="4"/>
      <c r="F2394" s="8"/>
      <c r="G2394" s="4"/>
      <c r="H2394" s="8"/>
      <c r="I2394" s="4"/>
    </row>
    <row r="2395" spans="1:9" x14ac:dyDescent="0.2">
      <c r="A2395" s="1" t="s">
        <v>98</v>
      </c>
      <c r="C2395" s="4"/>
      <c r="D2395" s="8"/>
      <c r="E2395" s="4"/>
      <c r="F2395" s="8"/>
      <c r="G2395" s="4"/>
      <c r="H2395" s="8"/>
      <c r="I2395" s="4"/>
    </row>
    <row r="2396" spans="1:9" x14ac:dyDescent="0.2">
      <c r="A2396" s="2">
        <v>1</v>
      </c>
      <c r="B2396" s="1" t="s">
        <v>227</v>
      </c>
      <c r="C2396" s="4">
        <v>19</v>
      </c>
      <c r="D2396" s="8">
        <v>10.61</v>
      </c>
      <c r="E2396" s="4">
        <v>12</v>
      </c>
      <c r="F2396" s="8">
        <v>18.46</v>
      </c>
      <c r="G2396" s="4">
        <v>7</v>
      </c>
      <c r="H2396" s="8">
        <v>6.54</v>
      </c>
      <c r="I2396" s="4">
        <v>0</v>
      </c>
    </row>
    <row r="2397" spans="1:9" x14ac:dyDescent="0.2">
      <c r="A2397" s="2">
        <v>1</v>
      </c>
      <c r="B2397" s="1" t="s">
        <v>228</v>
      </c>
      <c r="C2397" s="4">
        <v>19</v>
      </c>
      <c r="D2397" s="8">
        <v>10.61</v>
      </c>
      <c r="E2397" s="4">
        <v>14</v>
      </c>
      <c r="F2397" s="8">
        <v>21.54</v>
      </c>
      <c r="G2397" s="4">
        <v>5</v>
      </c>
      <c r="H2397" s="8">
        <v>4.67</v>
      </c>
      <c r="I2397" s="4">
        <v>0</v>
      </c>
    </row>
    <row r="2398" spans="1:9" x14ac:dyDescent="0.2">
      <c r="A2398" s="2">
        <v>3</v>
      </c>
      <c r="B2398" s="1" t="s">
        <v>214</v>
      </c>
      <c r="C2398" s="4">
        <v>14</v>
      </c>
      <c r="D2398" s="8">
        <v>7.82</v>
      </c>
      <c r="E2398" s="4">
        <v>4</v>
      </c>
      <c r="F2398" s="8">
        <v>6.15</v>
      </c>
      <c r="G2398" s="4">
        <v>10</v>
      </c>
      <c r="H2398" s="8">
        <v>9.35</v>
      </c>
      <c r="I2398" s="4">
        <v>0</v>
      </c>
    </row>
    <row r="2399" spans="1:9" x14ac:dyDescent="0.2">
      <c r="A2399" s="2">
        <v>4</v>
      </c>
      <c r="B2399" s="1" t="s">
        <v>223</v>
      </c>
      <c r="C2399" s="4">
        <v>13</v>
      </c>
      <c r="D2399" s="8">
        <v>7.26</v>
      </c>
      <c r="E2399" s="4">
        <v>5</v>
      </c>
      <c r="F2399" s="8">
        <v>7.69</v>
      </c>
      <c r="G2399" s="4">
        <v>8</v>
      </c>
      <c r="H2399" s="8">
        <v>7.48</v>
      </c>
      <c r="I2399" s="4">
        <v>0</v>
      </c>
    </row>
    <row r="2400" spans="1:9" x14ac:dyDescent="0.2">
      <c r="A2400" s="2">
        <v>5</v>
      </c>
      <c r="B2400" s="1" t="s">
        <v>213</v>
      </c>
      <c r="C2400" s="4">
        <v>11</v>
      </c>
      <c r="D2400" s="8">
        <v>6.15</v>
      </c>
      <c r="E2400" s="4">
        <v>1</v>
      </c>
      <c r="F2400" s="8">
        <v>1.54</v>
      </c>
      <c r="G2400" s="4">
        <v>10</v>
      </c>
      <c r="H2400" s="8">
        <v>9.35</v>
      </c>
      <c r="I2400" s="4">
        <v>0</v>
      </c>
    </row>
    <row r="2401" spans="1:9" x14ac:dyDescent="0.2">
      <c r="A2401" s="2">
        <v>6</v>
      </c>
      <c r="B2401" s="1" t="s">
        <v>230</v>
      </c>
      <c r="C2401" s="4">
        <v>10</v>
      </c>
      <c r="D2401" s="8">
        <v>5.59</v>
      </c>
      <c r="E2401" s="4">
        <v>4</v>
      </c>
      <c r="F2401" s="8">
        <v>6.15</v>
      </c>
      <c r="G2401" s="4">
        <v>4</v>
      </c>
      <c r="H2401" s="8">
        <v>3.74</v>
      </c>
      <c r="I2401" s="4">
        <v>0</v>
      </c>
    </row>
    <row r="2402" spans="1:9" x14ac:dyDescent="0.2">
      <c r="A2402" s="2">
        <v>7</v>
      </c>
      <c r="B2402" s="1" t="s">
        <v>221</v>
      </c>
      <c r="C2402" s="4">
        <v>8</v>
      </c>
      <c r="D2402" s="8">
        <v>4.47</v>
      </c>
      <c r="E2402" s="4">
        <v>2</v>
      </c>
      <c r="F2402" s="8">
        <v>3.08</v>
      </c>
      <c r="G2402" s="4">
        <v>6</v>
      </c>
      <c r="H2402" s="8">
        <v>5.61</v>
      </c>
      <c r="I2402" s="4">
        <v>0</v>
      </c>
    </row>
    <row r="2403" spans="1:9" x14ac:dyDescent="0.2">
      <c r="A2403" s="2">
        <v>7</v>
      </c>
      <c r="B2403" s="1" t="s">
        <v>232</v>
      </c>
      <c r="C2403" s="4">
        <v>8</v>
      </c>
      <c r="D2403" s="8">
        <v>4.47</v>
      </c>
      <c r="E2403" s="4">
        <v>1</v>
      </c>
      <c r="F2403" s="8">
        <v>1.54</v>
      </c>
      <c r="G2403" s="4">
        <v>5</v>
      </c>
      <c r="H2403" s="8">
        <v>4.67</v>
      </c>
      <c r="I2403" s="4">
        <v>0</v>
      </c>
    </row>
    <row r="2404" spans="1:9" x14ac:dyDescent="0.2">
      <c r="A2404" s="2">
        <v>9</v>
      </c>
      <c r="B2404" s="1" t="s">
        <v>215</v>
      </c>
      <c r="C2404" s="4">
        <v>7</v>
      </c>
      <c r="D2404" s="8">
        <v>3.91</v>
      </c>
      <c r="E2404" s="4">
        <v>2</v>
      </c>
      <c r="F2404" s="8">
        <v>3.08</v>
      </c>
      <c r="G2404" s="4">
        <v>5</v>
      </c>
      <c r="H2404" s="8">
        <v>4.67</v>
      </c>
      <c r="I2404" s="4">
        <v>0</v>
      </c>
    </row>
    <row r="2405" spans="1:9" x14ac:dyDescent="0.2">
      <c r="A2405" s="2">
        <v>9</v>
      </c>
      <c r="B2405" s="1" t="s">
        <v>258</v>
      </c>
      <c r="C2405" s="4">
        <v>7</v>
      </c>
      <c r="D2405" s="8">
        <v>3.91</v>
      </c>
      <c r="E2405" s="4">
        <v>2</v>
      </c>
      <c r="F2405" s="8">
        <v>3.08</v>
      </c>
      <c r="G2405" s="4">
        <v>5</v>
      </c>
      <c r="H2405" s="8">
        <v>4.67</v>
      </c>
      <c r="I2405" s="4">
        <v>0</v>
      </c>
    </row>
    <row r="2406" spans="1:9" x14ac:dyDescent="0.2">
      <c r="A2406" s="2">
        <v>11</v>
      </c>
      <c r="B2406" s="1" t="s">
        <v>231</v>
      </c>
      <c r="C2406" s="4">
        <v>6</v>
      </c>
      <c r="D2406" s="8">
        <v>3.35</v>
      </c>
      <c r="E2406" s="4">
        <v>5</v>
      </c>
      <c r="F2406" s="8">
        <v>7.69</v>
      </c>
      <c r="G2406" s="4">
        <v>1</v>
      </c>
      <c r="H2406" s="8">
        <v>0.93</v>
      </c>
      <c r="I2406" s="4">
        <v>0</v>
      </c>
    </row>
    <row r="2407" spans="1:9" x14ac:dyDescent="0.2">
      <c r="A2407" s="2">
        <v>12</v>
      </c>
      <c r="B2407" s="1" t="s">
        <v>224</v>
      </c>
      <c r="C2407" s="4">
        <v>5</v>
      </c>
      <c r="D2407" s="8">
        <v>2.79</v>
      </c>
      <c r="E2407" s="4">
        <v>2</v>
      </c>
      <c r="F2407" s="8">
        <v>3.08</v>
      </c>
      <c r="G2407" s="4">
        <v>3</v>
      </c>
      <c r="H2407" s="8">
        <v>2.8</v>
      </c>
      <c r="I2407" s="4">
        <v>0</v>
      </c>
    </row>
    <row r="2408" spans="1:9" x14ac:dyDescent="0.2">
      <c r="A2408" s="2">
        <v>12</v>
      </c>
      <c r="B2408" s="1" t="s">
        <v>246</v>
      </c>
      <c r="C2408" s="4">
        <v>5</v>
      </c>
      <c r="D2408" s="8">
        <v>2.79</v>
      </c>
      <c r="E2408" s="4">
        <v>1</v>
      </c>
      <c r="F2408" s="8">
        <v>1.54</v>
      </c>
      <c r="G2408" s="4">
        <v>4</v>
      </c>
      <c r="H2408" s="8">
        <v>3.74</v>
      </c>
      <c r="I2408" s="4">
        <v>0</v>
      </c>
    </row>
    <row r="2409" spans="1:9" x14ac:dyDescent="0.2">
      <c r="A2409" s="2">
        <v>12</v>
      </c>
      <c r="B2409" s="1" t="s">
        <v>229</v>
      </c>
      <c r="C2409" s="4">
        <v>5</v>
      </c>
      <c r="D2409" s="8">
        <v>2.79</v>
      </c>
      <c r="E2409" s="4">
        <v>2</v>
      </c>
      <c r="F2409" s="8">
        <v>3.08</v>
      </c>
      <c r="G2409" s="4">
        <v>2</v>
      </c>
      <c r="H2409" s="8">
        <v>1.87</v>
      </c>
      <c r="I2409" s="4">
        <v>0</v>
      </c>
    </row>
    <row r="2410" spans="1:9" x14ac:dyDescent="0.2">
      <c r="A2410" s="2">
        <v>15</v>
      </c>
      <c r="B2410" s="1" t="s">
        <v>220</v>
      </c>
      <c r="C2410" s="4">
        <v>4</v>
      </c>
      <c r="D2410" s="8">
        <v>2.23</v>
      </c>
      <c r="E2410" s="4">
        <v>0</v>
      </c>
      <c r="F2410" s="8">
        <v>0</v>
      </c>
      <c r="G2410" s="4">
        <v>4</v>
      </c>
      <c r="H2410" s="8">
        <v>3.74</v>
      </c>
      <c r="I2410" s="4">
        <v>0</v>
      </c>
    </row>
    <row r="2411" spans="1:9" x14ac:dyDescent="0.2">
      <c r="A2411" s="2">
        <v>16</v>
      </c>
      <c r="B2411" s="1" t="s">
        <v>253</v>
      </c>
      <c r="C2411" s="4">
        <v>3</v>
      </c>
      <c r="D2411" s="8">
        <v>1.68</v>
      </c>
      <c r="E2411" s="4">
        <v>0</v>
      </c>
      <c r="F2411" s="8">
        <v>0</v>
      </c>
      <c r="G2411" s="4">
        <v>3</v>
      </c>
      <c r="H2411" s="8">
        <v>2.8</v>
      </c>
      <c r="I2411" s="4">
        <v>0</v>
      </c>
    </row>
    <row r="2412" spans="1:9" x14ac:dyDescent="0.2">
      <c r="A2412" s="2">
        <v>16</v>
      </c>
      <c r="B2412" s="1" t="s">
        <v>233</v>
      </c>
      <c r="C2412" s="4">
        <v>3</v>
      </c>
      <c r="D2412" s="8">
        <v>1.68</v>
      </c>
      <c r="E2412" s="4">
        <v>0</v>
      </c>
      <c r="F2412" s="8">
        <v>0</v>
      </c>
      <c r="G2412" s="4">
        <v>3</v>
      </c>
      <c r="H2412" s="8">
        <v>2.8</v>
      </c>
      <c r="I2412" s="4">
        <v>0</v>
      </c>
    </row>
    <row r="2413" spans="1:9" x14ac:dyDescent="0.2">
      <c r="A2413" s="2">
        <v>16</v>
      </c>
      <c r="B2413" s="1" t="s">
        <v>226</v>
      </c>
      <c r="C2413" s="4">
        <v>3</v>
      </c>
      <c r="D2413" s="8">
        <v>1.68</v>
      </c>
      <c r="E2413" s="4">
        <v>1</v>
      </c>
      <c r="F2413" s="8">
        <v>1.54</v>
      </c>
      <c r="G2413" s="4">
        <v>2</v>
      </c>
      <c r="H2413" s="8">
        <v>1.87</v>
      </c>
      <c r="I2413" s="4">
        <v>0</v>
      </c>
    </row>
    <row r="2414" spans="1:9" x14ac:dyDescent="0.2">
      <c r="A2414" s="2">
        <v>16</v>
      </c>
      <c r="B2414" s="1" t="s">
        <v>240</v>
      </c>
      <c r="C2414" s="4">
        <v>3</v>
      </c>
      <c r="D2414" s="8">
        <v>1.68</v>
      </c>
      <c r="E2414" s="4">
        <v>1</v>
      </c>
      <c r="F2414" s="8">
        <v>1.54</v>
      </c>
      <c r="G2414" s="4">
        <v>2</v>
      </c>
      <c r="H2414" s="8">
        <v>1.87</v>
      </c>
      <c r="I2414" s="4">
        <v>0</v>
      </c>
    </row>
    <row r="2415" spans="1:9" x14ac:dyDescent="0.2">
      <c r="A2415" s="2">
        <v>20</v>
      </c>
      <c r="B2415" s="1" t="s">
        <v>241</v>
      </c>
      <c r="C2415" s="4">
        <v>2</v>
      </c>
      <c r="D2415" s="8">
        <v>1.1200000000000001</v>
      </c>
      <c r="E2415" s="4">
        <v>1</v>
      </c>
      <c r="F2415" s="8">
        <v>1.54</v>
      </c>
      <c r="G2415" s="4">
        <v>1</v>
      </c>
      <c r="H2415" s="8">
        <v>0.93</v>
      </c>
      <c r="I2415" s="4">
        <v>0</v>
      </c>
    </row>
    <row r="2416" spans="1:9" x14ac:dyDescent="0.2">
      <c r="A2416" s="2">
        <v>20</v>
      </c>
      <c r="B2416" s="1" t="s">
        <v>235</v>
      </c>
      <c r="C2416" s="4">
        <v>2</v>
      </c>
      <c r="D2416" s="8">
        <v>1.1200000000000001</v>
      </c>
      <c r="E2416" s="4">
        <v>1</v>
      </c>
      <c r="F2416" s="8">
        <v>1.54</v>
      </c>
      <c r="G2416" s="4">
        <v>1</v>
      </c>
      <c r="H2416" s="8">
        <v>0.93</v>
      </c>
      <c r="I2416" s="4">
        <v>0</v>
      </c>
    </row>
    <row r="2417" spans="1:9" x14ac:dyDescent="0.2">
      <c r="A2417" s="2">
        <v>20</v>
      </c>
      <c r="B2417" s="1" t="s">
        <v>218</v>
      </c>
      <c r="C2417" s="4">
        <v>2</v>
      </c>
      <c r="D2417" s="8">
        <v>1.1200000000000001</v>
      </c>
      <c r="E2417" s="4">
        <v>0</v>
      </c>
      <c r="F2417" s="8">
        <v>0</v>
      </c>
      <c r="G2417" s="4">
        <v>2</v>
      </c>
      <c r="H2417" s="8">
        <v>1.87</v>
      </c>
      <c r="I2417" s="4">
        <v>0</v>
      </c>
    </row>
    <row r="2418" spans="1:9" x14ac:dyDescent="0.2">
      <c r="A2418" s="2">
        <v>20</v>
      </c>
      <c r="B2418" s="1" t="s">
        <v>222</v>
      </c>
      <c r="C2418" s="4">
        <v>2</v>
      </c>
      <c r="D2418" s="8">
        <v>1.1200000000000001</v>
      </c>
      <c r="E2418" s="4">
        <v>1</v>
      </c>
      <c r="F2418" s="8">
        <v>1.54</v>
      </c>
      <c r="G2418" s="4">
        <v>1</v>
      </c>
      <c r="H2418" s="8">
        <v>0.93</v>
      </c>
      <c r="I2418" s="4">
        <v>0</v>
      </c>
    </row>
    <row r="2419" spans="1:9" x14ac:dyDescent="0.2">
      <c r="A2419" s="2">
        <v>20</v>
      </c>
      <c r="B2419" s="1" t="s">
        <v>236</v>
      </c>
      <c r="C2419" s="4">
        <v>2</v>
      </c>
      <c r="D2419" s="8">
        <v>1.1200000000000001</v>
      </c>
      <c r="E2419" s="4">
        <v>0</v>
      </c>
      <c r="F2419" s="8">
        <v>0</v>
      </c>
      <c r="G2419" s="4">
        <v>2</v>
      </c>
      <c r="H2419" s="8">
        <v>1.87</v>
      </c>
      <c r="I2419" s="4">
        <v>0</v>
      </c>
    </row>
    <row r="2420" spans="1:9" x14ac:dyDescent="0.2">
      <c r="A2420" s="2">
        <v>20</v>
      </c>
      <c r="B2420" s="1" t="s">
        <v>237</v>
      </c>
      <c r="C2420" s="4">
        <v>2</v>
      </c>
      <c r="D2420" s="8">
        <v>1.1200000000000001</v>
      </c>
      <c r="E2420" s="4">
        <v>0</v>
      </c>
      <c r="F2420" s="8">
        <v>0</v>
      </c>
      <c r="G2420" s="4">
        <v>2</v>
      </c>
      <c r="H2420" s="8">
        <v>1.87</v>
      </c>
      <c r="I2420" s="4">
        <v>0</v>
      </c>
    </row>
    <row r="2421" spans="1:9" x14ac:dyDescent="0.2">
      <c r="A2421" s="2">
        <v>20</v>
      </c>
      <c r="B2421" s="1" t="s">
        <v>225</v>
      </c>
      <c r="C2421" s="4">
        <v>2</v>
      </c>
      <c r="D2421" s="8">
        <v>1.1200000000000001</v>
      </c>
      <c r="E2421" s="4">
        <v>1</v>
      </c>
      <c r="F2421" s="8">
        <v>1.54</v>
      </c>
      <c r="G2421" s="4">
        <v>1</v>
      </c>
      <c r="H2421" s="8">
        <v>0.93</v>
      </c>
      <c r="I2421" s="4">
        <v>0</v>
      </c>
    </row>
    <row r="2422" spans="1:9" x14ac:dyDescent="0.2">
      <c r="A2422" s="2">
        <v>20</v>
      </c>
      <c r="B2422" s="1" t="s">
        <v>242</v>
      </c>
      <c r="C2422" s="4">
        <v>2</v>
      </c>
      <c r="D2422" s="8">
        <v>1.1200000000000001</v>
      </c>
      <c r="E2422" s="4">
        <v>1</v>
      </c>
      <c r="F2422" s="8">
        <v>1.54</v>
      </c>
      <c r="G2422" s="4">
        <v>1</v>
      </c>
      <c r="H2422" s="8">
        <v>0.93</v>
      </c>
      <c r="I2422" s="4">
        <v>0</v>
      </c>
    </row>
    <row r="2423" spans="1:9" x14ac:dyDescent="0.2">
      <c r="A2423" s="2">
        <v>20</v>
      </c>
      <c r="B2423" s="1" t="s">
        <v>250</v>
      </c>
      <c r="C2423" s="4">
        <v>2</v>
      </c>
      <c r="D2423" s="8">
        <v>1.1200000000000001</v>
      </c>
      <c r="E2423" s="4">
        <v>0</v>
      </c>
      <c r="F2423" s="8">
        <v>0</v>
      </c>
      <c r="G2423" s="4">
        <v>0</v>
      </c>
      <c r="H2423" s="8">
        <v>0</v>
      </c>
      <c r="I2423" s="4">
        <v>0</v>
      </c>
    </row>
    <row r="2424" spans="1:9" x14ac:dyDescent="0.2">
      <c r="A2424" s="1"/>
      <c r="C2424" s="4"/>
      <c r="D2424" s="8"/>
      <c r="E2424" s="4"/>
      <c r="F2424" s="8"/>
      <c r="G2424" s="4"/>
      <c r="H2424" s="8"/>
      <c r="I2424" s="4"/>
    </row>
    <row r="2425" spans="1:9" x14ac:dyDescent="0.2">
      <c r="A2425" s="1" t="s">
        <v>99</v>
      </c>
      <c r="C2425" s="4"/>
      <c r="D2425" s="8"/>
      <c r="E2425" s="4"/>
      <c r="F2425" s="8"/>
      <c r="G2425" s="4"/>
      <c r="H2425" s="8"/>
      <c r="I2425" s="4"/>
    </row>
    <row r="2426" spans="1:9" x14ac:dyDescent="0.2">
      <c r="A2426" s="2">
        <v>1</v>
      </c>
      <c r="B2426" s="1" t="s">
        <v>223</v>
      </c>
      <c r="C2426" s="4">
        <v>14</v>
      </c>
      <c r="D2426" s="8">
        <v>9.2100000000000009</v>
      </c>
      <c r="E2426" s="4">
        <v>9</v>
      </c>
      <c r="F2426" s="8">
        <v>12.33</v>
      </c>
      <c r="G2426" s="4">
        <v>5</v>
      </c>
      <c r="H2426" s="8">
        <v>7.14</v>
      </c>
      <c r="I2426" s="4">
        <v>0</v>
      </c>
    </row>
    <row r="2427" spans="1:9" x14ac:dyDescent="0.2">
      <c r="A2427" s="2">
        <v>2</v>
      </c>
      <c r="B2427" s="1" t="s">
        <v>221</v>
      </c>
      <c r="C2427" s="4">
        <v>11</v>
      </c>
      <c r="D2427" s="8">
        <v>7.24</v>
      </c>
      <c r="E2427" s="4">
        <v>6</v>
      </c>
      <c r="F2427" s="8">
        <v>8.2200000000000006</v>
      </c>
      <c r="G2427" s="4">
        <v>5</v>
      </c>
      <c r="H2427" s="8">
        <v>7.14</v>
      </c>
      <c r="I2427" s="4">
        <v>0</v>
      </c>
    </row>
    <row r="2428" spans="1:9" x14ac:dyDescent="0.2">
      <c r="A2428" s="2">
        <v>2</v>
      </c>
      <c r="B2428" s="1" t="s">
        <v>224</v>
      </c>
      <c r="C2428" s="4">
        <v>11</v>
      </c>
      <c r="D2428" s="8">
        <v>7.24</v>
      </c>
      <c r="E2428" s="4">
        <v>10</v>
      </c>
      <c r="F2428" s="8">
        <v>13.7</v>
      </c>
      <c r="G2428" s="4">
        <v>1</v>
      </c>
      <c r="H2428" s="8">
        <v>1.43</v>
      </c>
      <c r="I2428" s="4">
        <v>0</v>
      </c>
    </row>
    <row r="2429" spans="1:9" x14ac:dyDescent="0.2">
      <c r="A2429" s="2">
        <v>2</v>
      </c>
      <c r="B2429" s="1" t="s">
        <v>227</v>
      </c>
      <c r="C2429" s="4">
        <v>11</v>
      </c>
      <c r="D2429" s="8">
        <v>7.24</v>
      </c>
      <c r="E2429" s="4">
        <v>10</v>
      </c>
      <c r="F2429" s="8">
        <v>13.7</v>
      </c>
      <c r="G2429" s="4">
        <v>1</v>
      </c>
      <c r="H2429" s="8">
        <v>1.43</v>
      </c>
      <c r="I2429" s="4">
        <v>0</v>
      </c>
    </row>
    <row r="2430" spans="1:9" x14ac:dyDescent="0.2">
      <c r="A2430" s="2">
        <v>5</v>
      </c>
      <c r="B2430" s="1" t="s">
        <v>228</v>
      </c>
      <c r="C2430" s="4">
        <v>10</v>
      </c>
      <c r="D2430" s="8">
        <v>6.58</v>
      </c>
      <c r="E2430" s="4">
        <v>9</v>
      </c>
      <c r="F2430" s="8">
        <v>12.33</v>
      </c>
      <c r="G2430" s="4">
        <v>1</v>
      </c>
      <c r="H2430" s="8">
        <v>1.43</v>
      </c>
      <c r="I2430" s="4">
        <v>0</v>
      </c>
    </row>
    <row r="2431" spans="1:9" x14ac:dyDescent="0.2">
      <c r="A2431" s="2">
        <v>6</v>
      </c>
      <c r="B2431" s="1" t="s">
        <v>213</v>
      </c>
      <c r="C2431" s="4">
        <v>9</v>
      </c>
      <c r="D2431" s="8">
        <v>5.92</v>
      </c>
      <c r="E2431" s="4">
        <v>1</v>
      </c>
      <c r="F2431" s="8">
        <v>1.37</v>
      </c>
      <c r="G2431" s="4">
        <v>8</v>
      </c>
      <c r="H2431" s="8">
        <v>11.43</v>
      </c>
      <c r="I2431" s="4">
        <v>0</v>
      </c>
    </row>
    <row r="2432" spans="1:9" x14ac:dyDescent="0.2">
      <c r="A2432" s="2">
        <v>7</v>
      </c>
      <c r="B2432" s="1" t="s">
        <v>214</v>
      </c>
      <c r="C2432" s="4">
        <v>8</v>
      </c>
      <c r="D2432" s="8">
        <v>5.26</v>
      </c>
      <c r="E2432" s="4">
        <v>3</v>
      </c>
      <c r="F2432" s="8">
        <v>4.1100000000000003</v>
      </c>
      <c r="G2432" s="4">
        <v>5</v>
      </c>
      <c r="H2432" s="8">
        <v>7.14</v>
      </c>
      <c r="I2432" s="4">
        <v>0</v>
      </c>
    </row>
    <row r="2433" spans="1:9" x14ac:dyDescent="0.2">
      <c r="A2433" s="2">
        <v>8</v>
      </c>
      <c r="B2433" s="1" t="s">
        <v>236</v>
      </c>
      <c r="C2433" s="4">
        <v>6</v>
      </c>
      <c r="D2433" s="8">
        <v>3.95</v>
      </c>
      <c r="E2433" s="4">
        <v>3</v>
      </c>
      <c r="F2433" s="8">
        <v>4.1100000000000003</v>
      </c>
      <c r="G2433" s="4">
        <v>3</v>
      </c>
      <c r="H2433" s="8">
        <v>4.29</v>
      </c>
      <c r="I2433" s="4">
        <v>0</v>
      </c>
    </row>
    <row r="2434" spans="1:9" x14ac:dyDescent="0.2">
      <c r="A2434" s="2">
        <v>8</v>
      </c>
      <c r="B2434" s="1" t="s">
        <v>230</v>
      </c>
      <c r="C2434" s="4">
        <v>6</v>
      </c>
      <c r="D2434" s="8">
        <v>3.95</v>
      </c>
      <c r="E2434" s="4">
        <v>2</v>
      </c>
      <c r="F2434" s="8">
        <v>2.74</v>
      </c>
      <c r="G2434" s="4">
        <v>3</v>
      </c>
      <c r="H2434" s="8">
        <v>4.29</v>
      </c>
      <c r="I2434" s="4">
        <v>0</v>
      </c>
    </row>
    <row r="2435" spans="1:9" x14ac:dyDescent="0.2">
      <c r="A2435" s="2">
        <v>8</v>
      </c>
      <c r="B2435" s="1" t="s">
        <v>232</v>
      </c>
      <c r="C2435" s="4">
        <v>6</v>
      </c>
      <c r="D2435" s="8">
        <v>3.95</v>
      </c>
      <c r="E2435" s="4">
        <v>0</v>
      </c>
      <c r="F2435" s="8">
        <v>0</v>
      </c>
      <c r="G2435" s="4">
        <v>3</v>
      </c>
      <c r="H2435" s="8">
        <v>4.29</v>
      </c>
      <c r="I2435" s="4">
        <v>0</v>
      </c>
    </row>
    <row r="2436" spans="1:9" x14ac:dyDescent="0.2">
      <c r="A2436" s="2">
        <v>11</v>
      </c>
      <c r="B2436" s="1" t="s">
        <v>217</v>
      </c>
      <c r="C2436" s="4">
        <v>5</v>
      </c>
      <c r="D2436" s="8">
        <v>3.29</v>
      </c>
      <c r="E2436" s="4">
        <v>2</v>
      </c>
      <c r="F2436" s="8">
        <v>2.74</v>
      </c>
      <c r="G2436" s="4">
        <v>3</v>
      </c>
      <c r="H2436" s="8">
        <v>4.29</v>
      </c>
      <c r="I2436" s="4">
        <v>0</v>
      </c>
    </row>
    <row r="2437" spans="1:9" x14ac:dyDescent="0.2">
      <c r="A2437" s="2">
        <v>11</v>
      </c>
      <c r="B2437" s="1" t="s">
        <v>226</v>
      </c>
      <c r="C2437" s="4">
        <v>5</v>
      </c>
      <c r="D2437" s="8">
        <v>3.29</v>
      </c>
      <c r="E2437" s="4">
        <v>4</v>
      </c>
      <c r="F2437" s="8">
        <v>5.48</v>
      </c>
      <c r="G2437" s="4">
        <v>0</v>
      </c>
      <c r="H2437" s="8">
        <v>0</v>
      </c>
      <c r="I2437" s="4">
        <v>0</v>
      </c>
    </row>
    <row r="2438" spans="1:9" x14ac:dyDescent="0.2">
      <c r="A2438" s="2">
        <v>11</v>
      </c>
      <c r="B2438" s="1" t="s">
        <v>247</v>
      </c>
      <c r="C2438" s="4">
        <v>5</v>
      </c>
      <c r="D2438" s="8">
        <v>3.29</v>
      </c>
      <c r="E2438" s="4">
        <v>0</v>
      </c>
      <c r="F2438" s="8">
        <v>0</v>
      </c>
      <c r="G2438" s="4">
        <v>3</v>
      </c>
      <c r="H2438" s="8">
        <v>4.29</v>
      </c>
      <c r="I2438" s="4">
        <v>0</v>
      </c>
    </row>
    <row r="2439" spans="1:9" x14ac:dyDescent="0.2">
      <c r="A2439" s="2">
        <v>14</v>
      </c>
      <c r="B2439" s="1" t="s">
        <v>264</v>
      </c>
      <c r="C2439" s="4">
        <v>4</v>
      </c>
      <c r="D2439" s="8">
        <v>2.63</v>
      </c>
      <c r="E2439" s="4">
        <v>0</v>
      </c>
      <c r="F2439" s="8">
        <v>0</v>
      </c>
      <c r="G2439" s="4">
        <v>4</v>
      </c>
      <c r="H2439" s="8">
        <v>5.71</v>
      </c>
      <c r="I2439" s="4">
        <v>0</v>
      </c>
    </row>
    <row r="2440" spans="1:9" x14ac:dyDescent="0.2">
      <c r="A2440" s="2">
        <v>14</v>
      </c>
      <c r="B2440" s="1" t="s">
        <v>254</v>
      </c>
      <c r="C2440" s="4">
        <v>4</v>
      </c>
      <c r="D2440" s="8">
        <v>2.63</v>
      </c>
      <c r="E2440" s="4">
        <v>0</v>
      </c>
      <c r="F2440" s="8">
        <v>0</v>
      </c>
      <c r="G2440" s="4">
        <v>4</v>
      </c>
      <c r="H2440" s="8">
        <v>5.71</v>
      </c>
      <c r="I2440" s="4">
        <v>0</v>
      </c>
    </row>
    <row r="2441" spans="1:9" x14ac:dyDescent="0.2">
      <c r="A2441" s="2">
        <v>14</v>
      </c>
      <c r="B2441" s="1" t="s">
        <v>222</v>
      </c>
      <c r="C2441" s="4">
        <v>4</v>
      </c>
      <c r="D2441" s="8">
        <v>2.63</v>
      </c>
      <c r="E2441" s="4">
        <v>3</v>
      </c>
      <c r="F2441" s="8">
        <v>4.1100000000000003</v>
      </c>
      <c r="G2441" s="4">
        <v>1</v>
      </c>
      <c r="H2441" s="8">
        <v>1.43</v>
      </c>
      <c r="I2441" s="4">
        <v>0</v>
      </c>
    </row>
    <row r="2442" spans="1:9" x14ac:dyDescent="0.2">
      <c r="A2442" s="2">
        <v>14</v>
      </c>
      <c r="B2442" s="1" t="s">
        <v>246</v>
      </c>
      <c r="C2442" s="4">
        <v>4</v>
      </c>
      <c r="D2442" s="8">
        <v>2.63</v>
      </c>
      <c r="E2442" s="4">
        <v>0</v>
      </c>
      <c r="F2442" s="8">
        <v>0</v>
      </c>
      <c r="G2442" s="4">
        <v>4</v>
      </c>
      <c r="H2442" s="8">
        <v>5.71</v>
      </c>
      <c r="I2442" s="4">
        <v>0</v>
      </c>
    </row>
    <row r="2443" spans="1:9" x14ac:dyDescent="0.2">
      <c r="A2443" s="2">
        <v>14</v>
      </c>
      <c r="B2443" s="1" t="s">
        <v>243</v>
      </c>
      <c r="C2443" s="4">
        <v>4</v>
      </c>
      <c r="D2443" s="8">
        <v>2.63</v>
      </c>
      <c r="E2443" s="4">
        <v>3</v>
      </c>
      <c r="F2443" s="8">
        <v>4.1100000000000003</v>
      </c>
      <c r="G2443" s="4">
        <v>1</v>
      </c>
      <c r="H2443" s="8">
        <v>1.43</v>
      </c>
      <c r="I2443" s="4">
        <v>0</v>
      </c>
    </row>
    <row r="2444" spans="1:9" x14ac:dyDescent="0.2">
      <c r="A2444" s="2">
        <v>19</v>
      </c>
      <c r="B2444" s="1" t="s">
        <v>215</v>
      </c>
      <c r="C2444" s="4">
        <v>3</v>
      </c>
      <c r="D2444" s="8">
        <v>1.97</v>
      </c>
      <c r="E2444" s="4">
        <v>1</v>
      </c>
      <c r="F2444" s="8">
        <v>1.37</v>
      </c>
      <c r="G2444" s="4">
        <v>2</v>
      </c>
      <c r="H2444" s="8">
        <v>2.86</v>
      </c>
      <c r="I2444" s="4">
        <v>0</v>
      </c>
    </row>
    <row r="2445" spans="1:9" x14ac:dyDescent="0.2">
      <c r="A2445" s="2">
        <v>19</v>
      </c>
      <c r="B2445" s="1" t="s">
        <v>231</v>
      </c>
      <c r="C2445" s="4">
        <v>3</v>
      </c>
      <c r="D2445" s="8">
        <v>1.97</v>
      </c>
      <c r="E2445" s="4">
        <v>3</v>
      </c>
      <c r="F2445" s="8">
        <v>4.1100000000000003</v>
      </c>
      <c r="G2445" s="4">
        <v>0</v>
      </c>
      <c r="H2445" s="8">
        <v>0</v>
      </c>
      <c r="I2445" s="4">
        <v>0</v>
      </c>
    </row>
    <row r="2446" spans="1:9" x14ac:dyDescent="0.2">
      <c r="A2446" s="1"/>
      <c r="C2446" s="4"/>
      <c r="D2446" s="8"/>
      <c r="E2446" s="4"/>
      <c r="F2446" s="8"/>
      <c r="G2446" s="4"/>
      <c r="H2446" s="8"/>
      <c r="I2446" s="4"/>
    </row>
    <row r="2447" spans="1:9" x14ac:dyDescent="0.2">
      <c r="A2447" s="1" t="s">
        <v>100</v>
      </c>
      <c r="C2447" s="4"/>
      <c r="D2447" s="8"/>
      <c r="E2447" s="4"/>
      <c r="F2447" s="8"/>
      <c r="G2447" s="4"/>
      <c r="H2447" s="8"/>
      <c r="I2447" s="4"/>
    </row>
    <row r="2448" spans="1:9" x14ac:dyDescent="0.2">
      <c r="A2448" s="2">
        <v>1</v>
      </c>
      <c r="B2448" s="1" t="s">
        <v>223</v>
      </c>
      <c r="C2448" s="4">
        <v>10</v>
      </c>
      <c r="D2448" s="8">
        <v>10.75</v>
      </c>
      <c r="E2448" s="4">
        <v>4</v>
      </c>
      <c r="F2448" s="8">
        <v>10</v>
      </c>
      <c r="G2448" s="4">
        <v>6</v>
      </c>
      <c r="H2448" s="8">
        <v>13.04</v>
      </c>
      <c r="I2448" s="4">
        <v>0</v>
      </c>
    </row>
    <row r="2449" spans="1:9" x14ac:dyDescent="0.2">
      <c r="A2449" s="2">
        <v>2</v>
      </c>
      <c r="B2449" s="1" t="s">
        <v>213</v>
      </c>
      <c r="C2449" s="4">
        <v>9</v>
      </c>
      <c r="D2449" s="8">
        <v>9.68</v>
      </c>
      <c r="E2449" s="4">
        <v>1</v>
      </c>
      <c r="F2449" s="8">
        <v>2.5</v>
      </c>
      <c r="G2449" s="4">
        <v>8</v>
      </c>
      <c r="H2449" s="8">
        <v>17.39</v>
      </c>
      <c r="I2449" s="4">
        <v>0</v>
      </c>
    </row>
    <row r="2450" spans="1:9" x14ac:dyDescent="0.2">
      <c r="A2450" s="2">
        <v>3</v>
      </c>
      <c r="B2450" s="1" t="s">
        <v>214</v>
      </c>
      <c r="C2450" s="4">
        <v>8</v>
      </c>
      <c r="D2450" s="8">
        <v>8.6</v>
      </c>
      <c r="E2450" s="4">
        <v>4</v>
      </c>
      <c r="F2450" s="8">
        <v>10</v>
      </c>
      <c r="G2450" s="4">
        <v>4</v>
      </c>
      <c r="H2450" s="8">
        <v>8.6999999999999993</v>
      </c>
      <c r="I2450" s="4">
        <v>0</v>
      </c>
    </row>
    <row r="2451" spans="1:9" x14ac:dyDescent="0.2">
      <c r="A2451" s="2">
        <v>4</v>
      </c>
      <c r="B2451" s="1" t="s">
        <v>228</v>
      </c>
      <c r="C2451" s="4">
        <v>7</v>
      </c>
      <c r="D2451" s="8">
        <v>7.53</v>
      </c>
      <c r="E2451" s="4">
        <v>7</v>
      </c>
      <c r="F2451" s="8">
        <v>17.5</v>
      </c>
      <c r="G2451" s="4">
        <v>0</v>
      </c>
      <c r="H2451" s="8">
        <v>0</v>
      </c>
      <c r="I2451" s="4">
        <v>0</v>
      </c>
    </row>
    <row r="2452" spans="1:9" x14ac:dyDescent="0.2">
      <c r="A2452" s="2">
        <v>5</v>
      </c>
      <c r="B2452" s="1" t="s">
        <v>215</v>
      </c>
      <c r="C2452" s="4">
        <v>5</v>
      </c>
      <c r="D2452" s="8">
        <v>5.38</v>
      </c>
      <c r="E2452" s="4">
        <v>3</v>
      </c>
      <c r="F2452" s="8">
        <v>7.5</v>
      </c>
      <c r="G2452" s="4">
        <v>2</v>
      </c>
      <c r="H2452" s="8">
        <v>4.3499999999999996</v>
      </c>
      <c r="I2452" s="4">
        <v>0</v>
      </c>
    </row>
    <row r="2453" spans="1:9" x14ac:dyDescent="0.2">
      <c r="A2453" s="2">
        <v>5</v>
      </c>
      <c r="B2453" s="1" t="s">
        <v>227</v>
      </c>
      <c r="C2453" s="4">
        <v>5</v>
      </c>
      <c r="D2453" s="8">
        <v>5.38</v>
      </c>
      <c r="E2453" s="4">
        <v>2</v>
      </c>
      <c r="F2453" s="8">
        <v>5</v>
      </c>
      <c r="G2453" s="4">
        <v>3</v>
      </c>
      <c r="H2453" s="8">
        <v>6.52</v>
      </c>
      <c r="I2453" s="4">
        <v>0</v>
      </c>
    </row>
    <row r="2454" spans="1:9" x14ac:dyDescent="0.2">
      <c r="A2454" s="2">
        <v>5</v>
      </c>
      <c r="B2454" s="1" t="s">
        <v>231</v>
      </c>
      <c r="C2454" s="4">
        <v>5</v>
      </c>
      <c r="D2454" s="8">
        <v>5.38</v>
      </c>
      <c r="E2454" s="4">
        <v>5</v>
      </c>
      <c r="F2454" s="8">
        <v>12.5</v>
      </c>
      <c r="G2454" s="4">
        <v>0</v>
      </c>
      <c r="H2454" s="8">
        <v>0</v>
      </c>
      <c r="I2454" s="4">
        <v>0</v>
      </c>
    </row>
    <row r="2455" spans="1:9" x14ac:dyDescent="0.2">
      <c r="A2455" s="2">
        <v>8</v>
      </c>
      <c r="B2455" s="1" t="s">
        <v>221</v>
      </c>
      <c r="C2455" s="4">
        <v>4</v>
      </c>
      <c r="D2455" s="8">
        <v>4.3</v>
      </c>
      <c r="E2455" s="4">
        <v>2</v>
      </c>
      <c r="F2455" s="8">
        <v>5</v>
      </c>
      <c r="G2455" s="4">
        <v>2</v>
      </c>
      <c r="H2455" s="8">
        <v>4.3499999999999996</v>
      </c>
      <c r="I2455" s="4">
        <v>0</v>
      </c>
    </row>
    <row r="2456" spans="1:9" x14ac:dyDescent="0.2">
      <c r="A2456" s="2">
        <v>8</v>
      </c>
      <c r="B2456" s="1" t="s">
        <v>236</v>
      </c>
      <c r="C2456" s="4">
        <v>4</v>
      </c>
      <c r="D2456" s="8">
        <v>4.3</v>
      </c>
      <c r="E2456" s="4">
        <v>1</v>
      </c>
      <c r="F2456" s="8">
        <v>2.5</v>
      </c>
      <c r="G2456" s="4">
        <v>3</v>
      </c>
      <c r="H2456" s="8">
        <v>6.52</v>
      </c>
      <c r="I2456" s="4">
        <v>0</v>
      </c>
    </row>
    <row r="2457" spans="1:9" x14ac:dyDescent="0.2">
      <c r="A2457" s="2">
        <v>10</v>
      </c>
      <c r="B2457" s="1" t="s">
        <v>222</v>
      </c>
      <c r="C2457" s="4">
        <v>3</v>
      </c>
      <c r="D2457" s="8">
        <v>3.23</v>
      </c>
      <c r="E2457" s="4">
        <v>1</v>
      </c>
      <c r="F2457" s="8">
        <v>2.5</v>
      </c>
      <c r="G2457" s="4">
        <v>2</v>
      </c>
      <c r="H2457" s="8">
        <v>4.3499999999999996</v>
      </c>
      <c r="I2457" s="4">
        <v>0</v>
      </c>
    </row>
    <row r="2458" spans="1:9" x14ac:dyDescent="0.2">
      <c r="A2458" s="2">
        <v>11</v>
      </c>
      <c r="B2458" s="1" t="s">
        <v>244</v>
      </c>
      <c r="C2458" s="4">
        <v>2</v>
      </c>
      <c r="D2458" s="8">
        <v>2.15</v>
      </c>
      <c r="E2458" s="4">
        <v>0</v>
      </c>
      <c r="F2458" s="8">
        <v>0</v>
      </c>
      <c r="G2458" s="4">
        <v>2</v>
      </c>
      <c r="H2458" s="8">
        <v>4.3499999999999996</v>
      </c>
      <c r="I2458" s="4">
        <v>0</v>
      </c>
    </row>
    <row r="2459" spans="1:9" x14ac:dyDescent="0.2">
      <c r="A2459" s="2">
        <v>11</v>
      </c>
      <c r="B2459" s="1" t="s">
        <v>254</v>
      </c>
      <c r="C2459" s="4">
        <v>2</v>
      </c>
      <c r="D2459" s="8">
        <v>2.15</v>
      </c>
      <c r="E2459" s="4">
        <v>0</v>
      </c>
      <c r="F2459" s="8">
        <v>0</v>
      </c>
      <c r="G2459" s="4">
        <v>2</v>
      </c>
      <c r="H2459" s="8">
        <v>4.3499999999999996</v>
      </c>
      <c r="I2459" s="4">
        <v>0</v>
      </c>
    </row>
    <row r="2460" spans="1:9" x14ac:dyDescent="0.2">
      <c r="A2460" s="2">
        <v>11</v>
      </c>
      <c r="B2460" s="1" t="s">
        <v>217</v>
      </c>
      <c r="C2460" s="4">
        <v>2</v>
      </c>
      <c r="D2460" s="8">
        <v>2.15</v>
      </c>
      <c r="E2460" s="4">
        <v>0</v>
      </c>
      <c r="F2460" s="8">
        <v>0</v>
      </c>
      <c r="G2460" s="4">
        <v>2</v>
      </c>
      <c r="H2460" s="8">
        <v>4.3499999999999996</v>
      </c>
      <c r="I2460" s="4">
        <v>0</v>
      </c>
    </row>
    <row r="2461" spans="1:9" x14ac:dyDescent="0.2">
      <c r="A2461" s="2">
        <v>11</v>
      </c>
      <c r="B2461" s="1" t="s">
        <v>224</v>
      </c>
      <c r="C2461" s="4">
        <v>2</v>
      </c>
      <c r="D2461" s="8">
        <v>2.15</v>
      </c>
      <c r="E2461" s="4">
        <v>0</v>
      </c>
      <c r="F2461" s="8">
        <v>0</v>
      </c>
      <c r="G2461" s="4">
        <v>1</v>
      </c>
      <c r="H2461" s="8">
        <v>2.17</v>
      </c>
      <c r="I2461" s="4">
        <v>0</v>
      </c>
    </row>
    <row r="2462" spans="1:9" x14ac:dyDescent="0.2">
      <c r="A2462" s="2">
        <v>11</v>
      </c>
      <c r="B2462" s="1" t="s">
        <v>226</v>
      </c>
      <c r="C2462" s="4">
        <v>2</v>
      </c>
      <c r="D2462" s="8">
        <v>2.15</v>
      </c>
      <c r="E2462" s="4">
        <v>1</v>
      </c>
      <c r="F2462" s="8">
        <v>2.5</v>
      </c>
      <c r="G2462" s="4">
        <v>0</v>
      </c>
      <c r="H2462" s="8">
        <v>0</v>
      </c>
      <c r="I2462" s="4">
        <v>0</v>
      </c>
    </row>
    <row r="2463" spans="1:9" x14ac:dyDescent="0.2">
      <c r="A2463" s="2">
        <v>11</v>
      </c>
      <c r="B2463" s="1" t="s">
        <v>229</v>
      </c>
      <c r="C2463" s="4">
        <v>2</v>
      </c>
      <c r="D2463" s="8">
        <v>2.15</v>
      </c>
      <c r="E2463" s="4">
        <v>2</v>
      </c>
      <c r="F2463" s="8">
        <v>5</v>
      </c>
      <c r="G2463" s="4">
        <v>0</v>
      </c>
      <c r="H2463" s="8">
        <v>0</v>
      </c>
      <c r="I2463" s="4">
        <v>0</v>
      </c>
    </row>
    <row r="2464" spans="1:9" x14ac:dyDescent="0.2">
      <c r="A2464" s="2">
        <v>11</v>
      </c>
      <c r="B2464" s="1" t="s">
        <v>247</v>
      </c>
      <c r="C2464" s="4">
        <v>2</v>
      </c>
      <c r="D2464" s="8">
        <v>2.15</v>
      </c>
      <c r="E2464" s="4">
        <v>0</v>
      </c>
      <c r="F2464" s="8">
        <v>0</v>
      </c>
      <c r="G2464" s="4">
        <v>0</v>
      </c>
      <c r="H2464" s="8">
        <v>0</v>
      </c>
      <c r="I2464" s="4">
        <v>0</v>
      </c>
    </row>
    <row r="2465" spans="1:9" x14ac:dyDescent="0.2">
      <c r="A2465" s="2">
        <v>11</v>
      </c>
      <c r="B2465" s="1" t="s">
        <v>230</v>
      </c>
      <c r="C2465" s="4">
        <v>2</v>
      </c>
      <c r="D2465" s="8">
        <v>2.15</v>
      </c>
      <c r="E2465" s="4">
        <v>1</v>
      </c>
      <c r="F2465" s="8">
        <v>2.5</v>
      </c>
      <c r="G2465" s="4">
        <v>0</v>
      </c>
      <c r="H2465" s="8">
        <v>0</v>
      </c>
      <c r="I2465" s="4">
        <v>0</v>
      </c>
    </row>
    <row r="2466" spans="1:9" x14ac:dyDescent="0.2">
      <c r="A2466" s="2">
        <v>19</v>
      </c>
      <c r="B2466" s="1" t="s">
        <v>241</v>
      </c>
      <c r="C2466" s="4">
        <v>1</v>
      </c>
      <c r="D2466" s="8">
        <v>1.08</v>
      </c>
      <c r="E2466" s="4">
        <v>0</v>
      </c>
      <c r="F2466" s="8">
        <v>0</v>
      </c>
      <c r="G2466" s="4">
        <v>1</v>
      </c>
      <c r="H2466" s="8">
        <v>2.17</v>
      </c>
      <c r="I2466" s="4">
        <v>0</v>
      </c>
    </row>
    <row r="2467" spans="1:9" x14ac:dyDescent="0.2">
      <c r="A2467" s="2">
        <v>19</v>
      </c>
      <c r="B2467" s="1" t="s">
        <v>258</v>
      </c>
      <c r="C2467" s="4">
        <v>1</v>
      </c>
      <c r="D2467" s="8">
        <v>1.08</v>
      </c>
      <c r="E2467" s="4">
        <v>1</v>
      </c>
      <c r="F2467" s="8">
        <v>2.5</v>
      </c>
      <c r="G2467" s="4">
        <v>0</v>
      </c>
      <c r="H2467" s="8">
        <v>0</v>
      </c>
      <c r="I2467" s="4">
        <v>0</v>
      </c>
    </row>
    <row r="2468" spans="1:9" x14ac:dyDescent="0.2">
      <c r="A2468" s="2">
        <v>19</v>
      </c>
      <c r="B2468" s="1" t="s">
        <v>272</v>
      </c>
      <c r="C2468" s="4">
        <v>1</v>
      </c>
      <c r="D2468" s="8">
        <v>1.08</v>
      </c>
      <c r="E2468" s="4">
        <v>0</v>
      </c>
      <c r="F2468" s="8">
        <v>0</v>
      </c>
      <c r="G2468" s="4">
        <v>1</v>
      </c>
      <c r="H2468" s="8">
        <v>2.17</v>
      </c>
      <c r="I2468" s="4">
        <v>0</v>
      </c>
    </row>
    <row r="2469" spans="1:9" x14ac:dyDescent="0.2">
      <c r="A2469" s="2">
        <v>19</v>
      </c>
      <c r="B2469" s="1" t="s">
        <v>253</v>
      </c>
      <c r="C2469" s="4">
        <v>1</v>
      </c>
      <c r="D2469" s="8">
        <v>1.08</v>
      </c>
      <c r="E2469" s="4">
        <v>0</v>
      </c>
      <c r="F2469" s="8">
        <v>0</v>
      </c>
      <c r="G2469" s="4">
        <v>1</v>
      </c>
      <c r="H2469" s="8">
        <v>2.17</v>
      </c>
      <c r="I2469" s="4">
        <v>0</v>
      </c>
    </row>
    <row r="2470" spans="1:9" x14ac:dyDescent="0.2">
      <c r="A2470" s="2">
        <v>19</v>
      </c>
      <c r="B2470" s="1" t="s">
        <v>255</v>
      </c>
      <c r="C2470" s="4">
        <v>1</v>
      </c>
      <c r="D2470" s="8">
        <v>1.08</v>
      </c>
      <c r="E2470" s="4">
        <v>0</v>
      </c>
      <c r="F2470" s="8">
        <v>0</v>
      </c>
      <c r="G2470" s="4">
        <v>0</v>
      </c>
      <c r="H2470" s="8">
        <v>0</v>
      </c>
      <c r="I2470" s="4">
        <v>0</v>
      </c>
    </row>
    <row r="2471" spans="1:9" x14ac:dyDescent="0.2">
      <c r="A2471" s="2">
        <v>19</v>
      </c>
      <c r="B2471" s="1" t="s">
        <v>277</v>
      </c>
      <c r="C2471" s="4">
        <v>1</v>
      </c>
      <c r="D2471" s="8">
        <v>1.08</v>
      </c>
      <c r="E2471" s="4">
        <v>1</v>
      </c>
      <c r="F2471" s="8">
        <v>2.5</v>
      </c>
      <c r="G2471" s="4">
        <v>0</v>
      </c>
      <c r="H2471" s="8">
        <v>0</v>
      </c>
      <c r="I2471" s="4">
        <v>0</v>
      </c>
    </row>
    <row r="2472" spans="1:9" x14ac:dyDescent="0.2">
      <c r="A2472" s="2">
        <v>19</v>
      </c>
      <c r="B2472" s="1" t="s">
        <v>248</v>
      </c>
      <c r="C2472" s="4">
        <v>1</v>
      </c>
      <c r="D2472" s="8">
        <v>1.08</v>
      </c>
      <c r="E2472" s="4">
        <v>1</v>
      </c>
      <c r="F2472" s="8">
        <v>2.5</v>
      </c>
      <c r="G2472" s="4">
        <v>0</v>
      </c>
      <c r="H2472" s="8">
        <v>0</v>
      </c>
      <c r="I2472" s="4">
        <v>0</v>
      </c>
    </row>
    <row r="2473" spans="1:9" x14ac:dyDescent="0.2">
      <c r="A2473" s="2">
        <v>19</v>
      </c>
      <c r="B2473" s="1" t="s">
        <v>216</v>
      </c>
      <c r="C2473" s="4">
        <v>1</v>
      </c>
      <c r="D2473" s="8">
        <v>1.08</v>
      </c>
      <c r="E2473" s="4">
        <v>0</v>
      </c>
      <c r="F2473" s="8">
        <v>0</v>
      </c>
      <c r="G2473" s="4">
        <v>1</v>
      </c>
      <c r="H2473" s="8">
        <v>2.17</v>
      </c>
      <c r="I2473" s="4">
        <v>0</v>
      </c>
    </row>
    <row r="2474" spans="1:9" x14ac:dyDescent="0.2">
      <c r="A2474" s="2">
        <v>19</v>
      </c>
      <c r="B2474" s="1" t="s">
        <v>218</v>
      </c>
      <c r="C2474" s="4">
        <v>1</v>
      </c>
      <c r="D2474" s="8">
        <v>1.08</v>
      </c>
      <c r="E2474" s="4">
        <v>0</v>
      </c>
      <c r="F2474" s="8">
        <v>0</v>
      </c>
      <c r="G2474" s="4">
        <v>1</v>
      </c>
      <c r="H2474" s="8">
        <v>2.17</v>
      </c>
      <c r="I2474" s="4">
        <v>0</v>
      </c>
    </row>
    <row r="2475" spans="1:9" x14ac:dyDescent="0.2">
      <c r="A2475" s="2">
        <v>19</v>
      </c>
      <c r="B2475" s="1" t="s">
        <v>219</v>
      </c>
      <c r="C2475" s="4">
        <v>1</v>
      </c>
      <c r="D2475" s="8">
        <v>1.08</v>
      </c>
      <c r="E2475" s="4">
        <v>0</v>
      </c>
      <c r="F2475" s="8">
        <v>0</v>
      </c>
      <c r="G2475" s="4">
        <v>1</v>
      </c>
      <c r="H2475" s="8">
        <v>2.17</v>
      </c>
      <c r="I2475" s="4">
        <v>0</v>
      </c>
    </row>
    <row r="2476" spans="1:9" x14ac:dyDescent="0.2">
      <c r="A2476" s="2">
        <v>19</v>
      </c>
      <c r="B2476" s="1" t="s">
        <v>220</v>
      </c>
      <c r="C2476" s="4">
        <v>1</v>
      </c>
      <c r="D2476" s="8">
        <v>1.08</v>
      </c>
      <c r="E2476" s="4">
        <v>1</v>
      </c>
      <c r="F2476" s="8">
        <v>2.5</v>
      </c>
      <c r="G2476" s="4">
        <v>0</v>
      </c>
      <c r="H2476" s="8">
        <v>0</v>
      </c>
      <c r="I2476" s="4">
        <v>0</v>
      </c>
    </row>
    <row r="2477" spans="1:9" x14ac:dyDescent="0.2">
      <c r="A2477" s="2">
        <v>19</v>
      </c>
      <c r="B2477" s="1" t="s">
        <v>246</v>
      </c>
      <c r="C2477" s="4">
        <v>1</v>
      </c>
      <c r="D2477" s="8">
        <v>1.08</v>
      </c>
      <c r="E2477" s="4">
        <v>1</v>
      </c>
      <c r="F2477" s="8">
        <v>2.5</v>
      </c>
      <c r="G2477" s="4">
        <v>0</v>
      </c>
      <c r="H2477" s="8">
        <v>0</v>
      </c>
      <c r="I2477" s="4">
        <v>0</v>
      </c>
    </row>
    <row r="2478" spans="1:9" x14ac:dyDescent="0.2">
      <c r="A2478" s="2">
        <v>19</v>
      </c>
      <c r="B2478" s="1" t="s">
        <v>225</v>
      </c>
      <c r="C2478" s="4">
        <v>1</v>
      </c>
      <c r="D2478" s="8">
        <v>1.08</v>
      </c>
      <c r="E2478" s="4">
        <v>1</v>
      </c>
      <c r="F2478" s="8">
        <v>2.5</v>
      </c>
      <c r="G2478" s="4">
        <v>0</v>
      </c>
      <c r="H2478" s="8">
        <v>0</v>
      </c>
      <c r="I2478" s="4">
        <v>0</v>
      </c>
    </row>
    <row r="2479" spans="1:9" x14ac:dyDescent="0.2">
      <c r="A2479" s="2">
        <v>19</v>
      </c>
      <c r="B2479" s="1" t="s">
        <v>239</v>
      </c>
      <c r="C2479" s="4">
        <v>1</v>
      </c>
      <c r="D2479" s="8">
        <v>1.08</v>
      </c>
      <c r="E2479" s="4">
        <v>0</v>
      </c>
      <c r="F2479" s="8">
        <v>0</v>
      </c>
      <c r="G2479" s="4">
        <v>1</v>
      </c>
      <c r="H2479" s="8">
        <v>2.17</v>
      </c>
      <c r="I2479" s="4">
        <v>0</v>
      </c>
    </row>
    <row r="2480" spans="1:9" x14ac:dyDescent="0.2">
      <c r="A2480" s="2">
        <v>19</v>
      </c>
      <c r="B2480" s="1" t="s">
        <v>232</v>
      </c>
      <c r="C2480" s="4">
        <v>1</v>
      </c>
      <c r="D2480" s="8">
        <v>1.08</v>
      </c>
      <c r="E2480" s="4">
        <v>0</v>
      </c>
      <c r="F2480" s="8">
        <v>0</v>
      </c>
      <c r="G2480" s="4">
        <v>1</v>
      </c>
      <c r="H2480" s="8">
        <v>2.17</v>
      </c>
      <c r="I2480" s="4">
        <v>0</v>
      </c>
    </row>
    <row r="2481" spans="1:9" x14ac:dyDescent="0.2">
      <c r="A2481" s="2">
        <v>19</v>
      </c>
      <c r="B2481" s="1" t="s">
        <v>240</v>
      </c>
      <c r="C2481" s="4">
        <v>1</v>
      </c>
      <c r="D2481" s="8">
        <v>1.08</v>
      </c>
      <c r="E2481" s="4">
        <v>0</v>
      </c>
      <c r="F2481" s="8">
        <v>0</v>
      </c>
      <c r="G2481" s="4">
        <v>1</v>
      </c>
      <c r="H2481" s="8">
        <v>2.17</v>
      </c>
      <c r="I2481" s="4">
        <v>0</v>
      </c>
    </row>
    <row r="2482" spans="1:9" x14ac:dyDescent="0.2">
      <c r="A2482" s="2">
        <v>19</v>
      </c>
      <c r="B2482" s="1" t="s">
        <v>270</v>
      </c>
      <c r="C2482" s="4">
        <v>1</v>
      </c>
      <c r="D2482" s="8">
        <v>1.08</v>
      </c>
      <c r="E2482" s="4">
        <v>0</v>
      </c>
      <c r="F2482" s="8">
        <v>0</v>
      </c>
      <c r="G2482" s="4">
        <v>0</v>
      </c>
      <c r="H2482" s="8">
        <v>0</v>
      </c>
      <c r="I2482" s="4">
        <v>1</v>
      </c>
    </row>
    <row r="2483" spans="1:9" x14ac:dyDescent="0.2">
      <c r="A2483" s="1"/>
      <c r="C2483" s="4"/>
      <c r="D2483" s="8"/>
      <c r="E2483" s="4"/>
      <c r="F2483" s="8"/>
      <c r="G2483" s="4"/>
      <c r="H2483" s="8"/>
      <c r="I2483" s="4"/>
    </row>
    <row r="2484" spans="1:9" x14ac:dyDescent="0.2">
      <c r="A2484" s="1" t="s">
        <v>101</v>
      </c>
      <c r="C2484" s="4"/>
      <c r="D2484" s="8"/>
      <c r="E2484" s="4"/>
      <c r="F2484" s="8"/>
      <c r="G2484" s="4"/>
      <c r="H2484" s="8"/>
      <c r="I2484" s="4"/>
    </row>
    <row r="2485" spans="1:9" x14ac:dyDescent="0.2">
      <c r="A2485" s="2">
        <v>1</v>
      </c>
      <c r="B2485" s="1" t="s">
        <v>227</v>
      </c>
      <c r="C2485" s="4">
        <v>9</v>
      </c>
      <c r="D2485" s="8">
        <v>12.5</v>
      </c>
      <c r="E2485" s="4">
        <v>8</v>
      </c>
      <c r="F2485" s="8">
        <v>22.86</v>
      </c>
      <c r="G2485" s="4">
        <v>1</v>
      </c>
      <c r="H2485" s="8">
        <v>2.94</v>
      </c>
      <c r="I2485" s="4">
        <v>0</v>
      </c>
    </row>
    <row r="2486" spans="1:9" x14ac:dyDescent="0.2">
      <c r="A2486" s="2">
        <v>2</v>
      </c>
      <c r="B2486" s="1" t="s">
        <v>228</v>
      </c>
      <c r="C2486" s="4">
        <v>6</v>
      </c>
      <c r="D2486" s="8">
        <v>8.33</v>
      </c>
      <c r="E2486" s="4">
        <v>6</v>
      </c>
      <c r="F2486" s="8">
        <v>17.14</v>
      </c>
      <c r="G2486" s="4">
        <v>0</v>
      </c>
      <c r="H2486" s="8">
        <v>0</v>
      </c>
      <c r="I2486" s="4">
        <v>0</v>
      </c>
    </row>
    <row r="2487" spans="1:9" x14ac:dyDescent="0.2">
      <c r="A2487" s="2">
        <v>3</v>
      </c>
      <c r="B2487" s="1" t="s">
        <v>213</v>
      </c>
      <c r="C2487" s="4">
        <v>5</v>
      </c>
      <c r="D2487" s="8">
        <v>6.94</v>
      </c>
      <c r="E2487" s="4">
        <v>0</v>
      </c>
      <c r="F2487" s="8">
        <v>0</v>
      </c>
      <c r="G2487" s="4">
        <v>5</v>
      </c>
      <c r="H2487" s="8">
        <v>14.71</v>
      </c>
      <c r="I2487" s="4">
        <v>0</v>
      </c>
    </row>
    <row r="2488" spans="1:9" x14ac:dyDescent="0.2">
      <c r="A2488" s="2">
        <v>3</v>
      </c>
      <c r="B2488" s="1" t="s">
        <v>214</v>
      </c>
      <c r="C2488" s="4">
        <v>5</v>
      </c>
      <c r="D2488" s="8">
        <v>6.94</v>
      </c>
      <c r="E2488" s="4">
        <v>2</v>
      </c>
      <c r="F2488" s="8">
        <v>5.71</v>
      </c>
      <c r="G2488" s="4">
        <v>3</v>
      </c>
      <c r="H2488" s="8">
        <v>8.82</v>
      </c>
      <c r="I2488" s="4">
        <v>0</v>
      </c>
    </row>
    <row r="2489" spans="1:9" x14ac:dyDescent="0.2">
      <c r="A2489" s="2">
        <v>3</v>
      </c>
      <c r="B2489" s="1" t="s">
        <v>223</v>
      </c>
      <c r="C2489" s="4">
        <v>5</v>
      </c>
      <c r="D2489" s="8">
        <v>6.94</v>
      </c>
      <c r="E2489" s="4">
        <v>0</v>
      </c>
      <c r="F2489" s="8">
        <v>0</v>
      </c>
      <c r="G2489" s="4">
        <v>5</v>
      </c>
      <c r="H2489" s="8">
        <v>14.71</v>
      </c>
      <c r="I2489" s="4">
        <v>0</v>
      </c>
    </row>
    <row r="2490" spans="1:9" x14ac:dyDescent="0.2">
      <c r="A2490" s="2">
        <v>6</v>
      </c>
      <c r="B2490" s="1" t="s">
        <v>221</v>
      </c>
      <c r="C2490" s="4">
        <v>3</v>
      </c>
      <c r="D2490" s="8">
        <v>4.17</v>
      </c>
      <c r="E2490" s="4">
        <v>2</v>
      </c>
      <c r="F2490" s="8">
        <v>5.71</v>
      </c>
      <c r="G2490" s="4">
        <v>1</v>
      </c>
      <c r="H2490" s="8">
        <v>2.94</v>
      </c>
      <c r="I2490" s="4">
        <v>0</v>
      </c>
    </row>
    <row r="2491" spans="1:9" x14ac:dyDescent="0.2">
      <c r="A2491" s="2">
        <v>6</v>
      </c>
      <c r="B2491" s="1" t="s">
        <v>236</v>
      </c>
      <c r="C2491" s="4">
        <v>3</v>
      </c>
      <c r="D2491" s="8">
        <v>4.17</v>
      </c>
      <c r="E2491" s="4">
        <v>3</v>
      </c>
      <c r="F2491" s="8">
        <v>8.57</v>
      </c>
      <c r="G2491" s="4">
        <v>0</v>
      </c>
      <c r="H2491" s="8">
        <v>0</v>
      </c>
      <c r="I2491" s="4">
        <v>0</v>
      </c>
    </row>
    <row r="2492" spans="1:9" x14ac:dyDescent="0.2">
      <c r="A2492" s="2">
        <v>6</v>
      </c>
      <c r="B2492" s="1" t="s">
        <v>231</v>
      </c>
      <c r="C2492" s="4">
        <v>3</v>
      </c>
      <c r="D2492" s="8">
        <v>4.17</v>
      </c>
      <c r="E2492" s="4">
        <v>3</v>
      </c>
      <c r="F2492" s="8">
        <v>8.57</v>
      </c>
      <c r="G2492" s="4">
        <v>0</v>
      </c>
      <c r="H2492" s="8">
        <v>0</v>
      </c>
      <c r="I2492" s="4">
        <v>0</v>
      </c>
    </row>
    <row r="2493" spans="1:9" x14ac:dyDescent="0.2">
      <c r="A2493" s="2">
        <v>9</v>
      </c>
      <c r="B2493" s="1" t="s">
        <v>215</v>
      </c>
      <c r="C2493" s="4">
        <v>2</v>
      </c>
      <c r="D2493" s="8">
        <v>2.78</v>
      </c>
      <c r="E2493" s="4">
        <v>1</v>
      </c>
      <c r="F2493" s="8">
        <v>2.86</v>
      </c>
      <c r="G2493" s="4">
        <v>1</v>
      </c>
      <c r="H2493" s="8">
        <v>2.94</v>
      </c>
      <c r="I2493" s="4">
        <v>0</v>
      </c>
    </row>
    <row r="2494" spans="1:9" x14ac:dyDescent="0.2">
      <c r="A2494" s="2">
        <v>9</v>
      </c>
      <c r="B2494" s="1" t="s">
        <v>241</v>
      </c>
      <c r="C2494" s="4">
        <v>2</v>
      </c>
      <c r="D2494" s="8">
        <v>2.78</v>
      </c>
      <c r="E2494" s="4">
        <v>2</v>
      </c>
      <c r="F2494" s="8">
        <v>5.71</v>
      </c>
      <c r="G2494" s="4">
        <v>0</v>
      </c>
      <c r="H2494" s="8">
        <v>0</v>
      </c>
      <c r="I2494" s="4">
        <v>0</v>
      </c>
    </row>
    <row r="2495" spans="1:9" x14ac:dyDescent="0.2">
      <c r="A2495" s="2">
        <v>9</v>
      </c>
      <c r="B2495" s="1" t="s">
        <v>254</v>
      </c>
      <c r="C2495" s="4">
        <v>2</v>
      </c>
      <c r="D2495" s="8">
        <v>2.78</v>
      </c>
      <c r="E2495" s="4">
        <v>0</v>
      </c>
      <c r="F2495" s="8">
        <v>0</v>
      </c>
      <c r="G2495" s="4">
        <v>2</v>
      </c>
      <c r="H2495" s="8">
        <v>5.88</v>
      </c>
      <c r="I2495" s="4">
        <v>0</v>
      </c>
    </row>
    <row r="2496" spans="1:9" x14ac:dyDescent="0.2">
      <c r="A2496" s="2">
        <v>9</v>
      </c>
      <c r="B2496" s="1" t="s">
        <v>268</v>
      </c>
      <c r="C2496" s="4">
        <v>2</v>
      </c>
      <c r="D2496" s="8">
        <v>2.78</v>
      </c>
      <c r="E2496" s="4">
        <v>0</v>
      </c>
      <c r="F2496" s="8">
        <v>0</v>
      </c>
      <c r="G2496" s="4">
        <v>2</v>
      </c>
      <c r="H2496" s="8">
        <v>5.88</v>
      </c>
      <c r="I2496" s="4">
        <v>0</v>
      </c>
    </row>
    <row r="2497" spans="1:9" x14ac:dyDescent="0.2">
      <c r="A2497" s="2">
        <v>9</v>
      </c>
      <c r="B2497" s="1" t="s">
        <v>255</v>
      </c>
      <c r="C2497" s="4">
        <v>2</v>
      </c>
      <c r="D2497" s="8">
        <v>2.78</v>
      </c>
      <c r="E2497" s="4">
        <v>0</v>
      </c>
      <c r="F2497" s="8">
        <v>0</v>
      </c>
      <c r="G2497" s="4">
        <v>1</v>
      </c>
      <c r="H2497" s="8">
        <v>2.94</v>
      </c>
      <c r="I2497" s="4">
        <v>0</v>
      </c>
    </row>
    <row r="2498" spans="1:9" x14ac:dyDescent="0.2">
      <c r="A2498" s="2">
        <v>9</v>
      </c>
      <c r="B2498" s="1" t="s">
        <v>217</v>
      </c>
      <c r="C2498" s="4">
        <v>2</v>
      </c>
      <c r="D2498" s="8">
        <v>2.78</v>
      </c>
      <c r="E2498" s="4">
        <v>1</v>
      </c>
      <c r="F2498" s="8">
        <v>2.86</v>
      </c>
      <c r="G2498" s="4">
        <v>1</v>
      </c>
      <c r="H2498" s="8">
        <v>2.94</v>
      </c>
      <c r="I2498" s="4">
        <v>0</v>
      </c>
    </row>
    <row r="2499" spans="1:9" x14ac:dyDescent="0.2">
      <c r="A2499" s="2">
        <v>9</v>
      </c>
      <c r="B2499" s="1" t="s">
        <v>220</v>
      </c>
      <c r="C2499" s="4">
        <v>2</v>
      </c>
      <c r="D2499" s="8">
        <v>2.78</v>
      </c>
      <c r="E2499" s="4">
        <v>2</v>
      </c>
      <c r="F2499" s="8">
        <v>5.71</v>
      </c>
      <c r="G2499" s="4">
        <v>0</v>
      </c>
      <c r="H2499" s="8">
        <v>0</v>
      </c>
      <c r="I2499" s="4">
        <v>0</v>
      </c>
    </row>
    <row r="2500" spans="1:9" x14ac:dyDescent="0.2">
      <c r="A2500" s="2">
        <v>9</v>
      </c>
      <c r="B2500" s="1" t="s">
        <v>226</v>
      </c>
      <c r="C2500" s="4">
        <v>2</v>
      </c>
      <c r="D2500" s="8">
        <v>2.78</v>
      </c>
      <c r="E2500" s="4">
        <v>1</v>
      </c>
      <c r="F2500" s="8">
        <v>2.86</v>
      </c>
      <c r="G2500" s="4">
        <v>1</v>
      </c>
      <c r="H2500" s="8">
        <v>2.94</v>
      </c>
      <c r="I2500" s="4">
        <v>0</v>
      </c>
    </row>
    <row r="2501" spans="1:9" x14ac:dyDescent="0.2">
      <c r="A2501" s="2">
        <v>9</v>
      </c>
      <c r="B2501" s="1" t="s">
        <v>229</v>
      </c>
      <c r="C2501" s="4">
        <v>2</v>
      </c>
      <c r="D2501" s="8">
        <v>2.78</v>
      </c>
      <c r="E2501" s="4">
        <v>0</v>
      </c>
      <c r="F2501" s="8">
        <v>0</v>
      </c>
      <c r="G2501" s="4">
        <v>2</v>
      </c>
      <c r="H2501" s="8">
        <v>5.88</v>
      </c>
      <c r="I2501" s="4">
        <v>0</v>
      </c>
    </row>
    <row r="2502" spans="1:9" x14ac:dyDescent="0.2">
      <c r="A2502" s="2">
        <v>9</v>
      </c>
      <c r="B2502" s="1" t="s">
        <v>240</v>
      </c>
      <c r="C2502" s="4">
        <v>2</v>
      </c>
      <c r="D2502" s="8">
        <v>2.78</v>
      </c>
      <c r="E2502" s="4">
        <v>0</v>
      </c>
      <c r="F2502" s="8">
        <v>0</v>
      </c>
      <c r="G2502" s="4">
        <v>2</v>
      </c>
      <c r="H2502" s="8">
        <v>5.88</v>
      </c>
      <c r="I2502" s="4">
        <v>0</v>
      </c>
    </row>
    <row r="2503" spans="1:9" x14ac:dyDescent="0.2">
      <c r="A2503" s="2">
        <v>19</v>
      </c>
      <c r="B2503" s="1" t="s">
        <v>244</v>
      </c>
      <c r="C2503" s="4">
        <v>1</v>
      </c>
      <c r="D2503" s="8">
        <v>1.39</v>
      </c>
      <c r="E2503" s="4">
        <v>0</v>
      </c>
      <c r="F2503" s="8">
        <v>0</v>
      </c>
      <c r="G2503" s="4">
        <v>1</v>
      </c>
      <c r="H2503" s="8">
        <v>2.94</v>
      </c>
      <c r="I2503" s="4">
        <v>0</v>
      </c>
    </row>
    <row r="2504" spans="1:9" x14ac:dyDescent="0.2">
      <c r="A2504" s="2">
        <v>19</v>
      </c>
      <c r="B2504" s="1" t="s">
        <v>272</v>
      </c>
      <c r="C2504" s="4">
        <v>1</v>
      </c>
      <c r="D2504" s="8">
        <v>1.39</v>
      </c>
      <c r="E2504" s="4">
        <v>1</v>
      </c>
      <c r="F2504" s="8">
        <v>2.86</v>
      </c>
      <c r="G2504" s="4">
        <v>0</v>
      </c>
      <c r="H2504" s="8">
        <v>0</v>
      </c>
      <c r="I2504" s="4">
        <v>0</v>
      </c>
    </row>
    <row r="2505" spans="1:9" x14ac:dyDescent="0.2">
      <c r="A2505" s="2">
        <v>19</v>
      </c>
      <c r="B2505" s="1" t="s">
        <v>238</v>
      </c>
      <c r="C2505" s="4">
        <v>1</v>
      </c>
      <c r="D2505" s="8">
        <v>1.39</v>
      </c>
      <c r="E2505" s="4">
        <v>0</v>
      </c>
      <c r="F2505" s="8">
        <v>0</v>
      </c>
      <c r="G2505" s="4">
        <v>1</v>
      </c>
      <c r="H2505" s="8">
        <v>2.94</v>
      </c>
      <c r="I2505" s="4">
        <v>0</v>
      </c>
    </row>
    <row r="2506" spans="1:9" x14ac:dyDescent="0.2">
      <c r="A2506" s="2">
        <v>19</v>
      </c>
      <c r="B2506" s="1" t="s">
        <v>248</v>
      </c>
      <c r="C2506" s="4">
        <v>1</v>
      </c>
      <c r="D2506" s="8">
        <v>1.39</v>
      </c>
      <c r="E2506" s="4">
        <v>0</v>
      </c>
      <c r="F2506" s="8">
        <v>0</v>
      </c>
      <c r="G2506" s="4">
        <v>1</v>
      </c>
      <c r="H2506" s="8">
        <v>2.94</v>
      </c>
      <c r="I2506" s="4">
        <v>0</v>
      </c>
    </row>
    <row r="2507" spans="1:9" x14ac:dyDescent="0.2">
      <c r="A2507" s="2">
        <v>19</v>
      </c>
      <c r="B2507" s="1" t="s">
        <v>216</v>
      </c>
      <c r="C2507" s="4">
        <v>1</v>
      </c>
      <c r="D2507" s="8">
        <v>1.39</v>
      </c>
      <c r="E2507" s="4">
        <v>0</v>
      </c>
      <c r="F2507" s="8">
        <v>0</v>
      </c>
      <c r="G2507" s="4">
        <v>1</v>
      </c>
      <c r="H2507" s="8">
        <v>2.94</v>
      </c>
      <c r="I2507" s="4">
        <v>0</v>
      </c>
    </row>
    <row r="2508" spans="1:9" x14ac:dyDescent="0.2">
      <c r="A2508" s="2">
        <v>19</v>
      </c>
      <c r="B2508" s="1" t="s">
        <v>222</v>
      </c>
      <c r="C2508" s="4">
        <v>1</v>
      </c>
      <c r="D2508" s="8">
        <v>1.39</v>
      </c>
      <c r="E2508" s="4">
        <v>1</v>
      </c>
      <c r="F2508" s="8">
        <v>2.86</v>
      </c>
      <c r="G2508" s="4">
        <v>0</v>
      </c>
      <c r="H2508" s="8">
        <v>0</v>
      </c>
      <c r="I2508" s="4">
        <v>0</v>
      </c>
    </row>
    <row r="2509" spans="1:9" x14ac:dyDescent="0.2">
      <c r="A2509" s="2">
        <v>19</v>
      </c>
      <c r="B2509" s="1" t="s">
        <v>225</v>
      </c>
      <c r="C2509" s="4">
        <v>1</v>
      </c>
      <c r="D2509" s="8">
        <v>1.39</v>
      </c>
      <c r="E2509" s="4">
        <v>1</v>
      </c>
      <c r="F2509" s="8">
        <v>2.86</v>
      </c>
      <c r="G2509" s="4">
        <v>0</v>
      </c>
      <c r="H2509" s="8">
        <v>0</v>
      </c>
      <c r="I2509" s="4">
        <v>0</v>
      </c>
    </row>
    <row r="2510" spans="1:9" x14ac:dyDescent="0.2">
      <c r="A2510" s="2">
        <v>19</v>
      </c>
      <c r="B2510" s="1" t="s">
        <v>247</v>
      </c>
      <c r="C2510" s="4">
        <v>1</v>
      </c>
      <c r="D2510" s="8">
        <v>1.39</v>
      </c>
      <c r="E2510" s="4">
        <v>0</v>
      </c>
      <c r="F2510" s="8">
        <v>0</v>
      </c>
      <c r="G2510" s="4">
        <v>0</v>
      </c>
      <c r="H2510" s="8">
        <v>0</v>
      </c>
      <c r="I2510" s="4">
        <v>1</v>
      </c>
    </row>
    <row r="2511" spans="1:9" x14ac:dyDescent="0.2">
      <c r="A2511" s="2">
        <v>19</v>
      </c>
      <c r="B2511" s="1" t="s">
        <v>230</v>
      </c>
      <c r="C2511" s="4">
        <v>1</v>
      </c>
      <c r="D2511" s="8">
        <v>1.39</v>
      </c>
      <c r="E2511" s="4">
        <v>1</v>
      </c>
      <c r="F2511" s="8">
        <v>2.86</v>
      </c>
      <c r="G2511" s="4">
        <v>0</v>
      </c>
      <c r="H2511" s="8">
        <v>0</v>
      </c>
      <c r="I2511" s="4">
        <v>0</v>
      </c>
    </row>
    <row r="2512" spans="1:9" x14ac:dyDescent="0.2">
      <c r="A2512" s="2">
        <v>19</v>
      </c>
      <c r="B2512" s="1" t="s">
        <v>232</v>
      </c>
      <c r="C2512" s="4">
        <v>1</v>
      </c>
      <c r="D2512" s="8">
        <v>1.39</v>
      </c>
      <c r="E2512" s="4">
        <v>0</v>
      </c>
      <c r="F2512" s="8">
        <v>0</v>
      </c>
      <c r="G2512" s="4">
        <v>0</v>
      </c>
      <c r="H2512" s="8">
        <v>0</v>
      </c>
      <c r="I2512" s="4">
        <v>0</v>
      </c>
    </row>
    <row r="2513" spans="1:9" x14ac:dyDescent="0.2">
      <c r="A2513" s="2">
        <v>19</v>
      </c>
      <c r="B2513" s="1" t="s">
        <v>249</v>
      </c>
      <c r="C2513" s="4">
        <v>1</v>
      </c>
      <c r="D2513" s="8">
        <v>1.39</v>
      </c>
      <c r="E2513" s="4">
        <v>0</v>
      </c>
      <c r="F2513" s="8">
        <v>0</v>
      </c>
      <c r="G2513" s="4">
        <v>1</v>
      </c>
      <c r="H2513" s="8">
        <v>2.94</v>
      </c>
      <c r="I2513" s="4">
        <v>0</v>
      </c>
    </row>
    <row r="2514" spans="1:9" x14ac:dyDescent="0.2">
      <c r="A2514" s="2">
        <v>19</v>
      </c>
      <c r="B2514" s="1" t="s">
        <v>242</v>
      </c>
      <c r="C2514" s="4">
        <v>1</v>
      </c>
      <c r="D2514" s="8">
        <v>1.39</v>
      </c>
      <c r="E2514" s="4">
        <v>0</v>
      </c>
      <c r="F2514" s="8">
        <v>0</v>
      </c>
      <c r="G2514" s="4">
        <v>1</v>
      </c>
      <c r="H2514" s="8">
        <v>2.94</v>
      </c>
      <c r="I2514" s="4">
        <v>0</v>
      </c>
    </row>
    <row r="2515" spans="1:9" x14ac:dyDescent="0.2">
      <c r="A2515" s="2">
        <v>19</v>
      </c>
      <c r="B2515" s="1" t="s">
        <v>234</v>
      </c>
      <c r="C2515" s="4">
        <v>1</v>
      </c>
      <c r="D2515" s="8">
        <v>1.39</v>
      </c>
      <c r="E2515" s="4">
        <v>0</v>
      </c>
      <c r="F2515" s="8">
        <v>0</v>
      </c>
      <c r="G2515" s="4">
        <v>1</v>
      </c>
      <c r="H2515" s="8">
        <v>2.94</v>
      </c>
      <c r="I2515" s="4">
        <v>0</v>
      </c>
    </row>
    <row r="2516" spans="1:9" x14ac:dyDescent="0.2">
      <c r="A2516" s="1"/>
      <c r="C2516" s="4"/>
      <c r="D2516" s="8"/>
      <c r="E2516" s="4"/>
      <c r="F2516" s="8"/>
      <c r="G2516" s="4"/>
      <c r="H2516" s="8"/>
      <c r="I2516" s="4"/>
    </row>
    <row r="2517" spans="1:9" x14ac:dyDescent="0.2">
      <c r="A2517" s="1" t="s">
        <v>102</v>
      </c>
      <c r="C2517" s="4"/>
      <c r="D2517" s="8"/>
      <c r="E2517" s="4"/>
      <c r="F2517" s="8"/>
      <c r="G2517" s="4"/>
      <c r="H2517" s="8"/>
      <c r="I2517" s="4"/>
    </row>
    <row r="2518" spans="1:9" x14ac:dyDescent="0.2">
      <c r="A2518" s="2">
        <v>1</v>
      </c>
      <c r="B2518" s="1" t="s">
        <v>227</v>
      </c>
      <c r="C2518" s="4">
        <v>19</v>
      </c>
      <c r="D2518" s="8">
        <v>14.84</v>
      </c>
      <c r="E2518" s="4">
        <v>16</v>
      </c>
      <c r="F2518" s="8">
        <v>21.92</v>
      </c>
      <c r="G2518" s="4">
        <v>3</v>
      </c>
      <c r="H2518" s="8">
        <v>6.12</v>
      </c>
      <c r="I2518" s="4">
        <v>0</v>
      </c>
    </row>
    <row r="2519" spans="1:9" x14ac:dyDescent="0.2">
      <c r="A2519" s="2">
        <v>2</v>
      </c>
      <c r="B2519" s="1" t="s">
        <v>223</v>
      </c>
      <c r="C2519" s="4">
        <v>13</v>
      </c>
      <c r="D2519" s="8">
        <v>10.16</v>
      </c>
      <c r="E2519" s="4">
        <v>6</v>
      </c>
      <c r="F2519" s="8">
        <v>8.2200000000000006</v>
      </c>
      <c r="G2519" s="4">
        <v>7</v>
      </c>
      <c r="H2519" s="8">
        <v>14.29</v>
      </c>
      <c r="I2519" s="4">
        <v>0</v>
      </c>
    </row>
    <row r="2520" spans="1:9" x14ac:dyDescent="0.2">
      <c r="A2520" s="2">
        <v>3</v>
      </c>
      <c r="B2520" s="1" t="s">
        <v>228</v>
      </c>
      <c r="C2520" s="4">
        <v>12</v>
      </c>
      <c r="D2520" s="8">
        <v>9.3800000000000008</v>
      </c>
      <c r="E2520" s="4">
        <v>11</v>
      </c>
      <c r="F2520" s="8">
        <v>15.07</v>
      </c>
      <c r="G2520" s="4">
        <v>1</v>
      </c>
      <c r="H2520" s="8">
        <v>2.04</v>
      </c>
      <c r="I2520" s="4">
        <v>0</v>
      </c>
    </row>
    <row r="2521" spans="1:9" x14ac:dyDescent="0.2">
      <c r="A2521" s="2">
        <v>4</v>
      </c>
      <c r="B2521" s="1" t="s">
        <v>221</v>
      </c>
      <c r="C2521" s="4">
        <v>9</v>
      </c>
      <c r="D2521" s="8">
        <v>7.03</v>
      </c>
      <c r="E2521" s="4">
        <v>7</v>
      </c>
      <c r="F2521" s="8">
        <v>9.59</v>
      </c>
      <c r="G2521" s="4">
        <v>1</v>
      </c>
      <c r="H2521" s="8">
        <v>2.04</v>
      </c>
      <c r="I2521" s="4">
        <v>1</v>
      </c>
    </row>
    <row r="2522" spans="1:9" x14ac:dyDescent="0.2">
      <c r="A2522" s="2">
        <v>4</v>
      </c>
      <c r="B2522" s="1" t="s">
        <v>243</v>
      </c>
      <c r="C2522" s="4">
        <v>9</v>
      </c>
      <c r="D2522" s="8">
        <v>7.03</v>
      </c>
      <c r="E2522" s="4">
        <v>6</v>
      </c>
      <c r="F2522" s="8">
        <v>8.2200000000000006</v>
      </c>
      <c r="G2522" s="4">
        <v>3</v>
      </c>
      <c r="H2522" s="8">
        <v>6.12</v>
      </c>
      <c r="I2522" s="4">
        <v>0</v>
      </c>
    </row>
    <row r="2523" spans="1:9" x14ac:dyDescent="0.2">
      <c r="A2523" s="2">
        <v>6</v>
      </c>
      <c r="B2523" s="1" t="s">
        <v>232</v>
      </c>
      <c r="C2523" s="4">
        <v>5</v>
      </c>
      <c r="D2523" s="8">
        <v>3.91</v>
      </c>
      <c r="E2523" s="4">
        <v>0</v>
      </c>
      <c r="F2523" s="8">
        <v>0</v>
      </c>
      <c r="G2523" s="4">
        <v>4</v>
      </c>
      <c r="H2523" s="8">
        <v>8.16</v>
      </c>
      <c r="I2523" s="4">
        <v>0</v>
      </c>
    </row>
    <row r="2524" spans="1:9" x14ac:dyDescent="0.2">
      <c r="A2524" s="2">
        <v>7</v>
      </c>
      <c r="B2524" s="1" t="s">
        <v>213</v>
      </c>
      <c r="C2524" s="4">
        <v>4</v>
      </c>
      <c r="D2524" s="8">
        <v>3.13</v>
      </c>
      <c r="E2524" s="4">
        <v>0</v>
      </c>
      <c r="F2524" s="8">
        <v>0</v>
      </c>
      <c r="G2524" s="4">
        <v>4</v>
      </c>
      <c r="H2524" s="8">
        <v>8.16</v>
      </c>
      <c r="I2524" s="4">
        <v>0</v>
      </c>
    </row>
    <row r="2525" spans="1:9" x14ac:dyDescent="0.2">
      <c r="A2525" s="2">
        <v>7</v>
      </c>
      <c r="B2525" s="1" t="s">
        <v>214</v>
      </c>
      <c r="C2525" s="4">
        <v>4</v>
      </c>
      <c r="D2525" s="8">
        <v>3.13</v>
      </c>
      <c r="E2525" s="4">
        <v>3</v>
      </c>
      <c r="F2525" s="8">
        <v>4.1100000000000003</v>
      </c>
      <c r="G2525" s="4">
        <v>1</v>
      </c>
      <c r="H2525" s="8">
        <v>2.04</v>
      </c>
      <c r="I2525" s="4">
        <v>0</v>
      </c>
    </row>
    <row r="2526" spans="1:9" x14ac:dyDescent="0.2">
      <c r="A2526" s="2">
        <v>7</v>
      </c>
      <c r="B2526" s="1" t="s">
        <v>241</v>
      </c>
      <c r="C2526" s="4">
        <v>4</v>
      </c>
      <c r="D2526" s="8">
        <v>3.13</v>
      </c>
      <c r="E2526" s="4">
        <v>1</v>
      </c>
      <c r="F2526" s="8">
        <v>1.37</v>
      </c>
      <c r="G2526" s="4">
        <v>3</v>
      </c>
      <c r="H2526" s="8">
        <v>6.12</v>
      </c>
      <c r="I2526" s="4">
        <v>0</v>
      </c>
    </row>
    <row r="2527" spans="1:9" x14ac:dyDescent="0.2">
      <c r="A2527" s="2">
        <v>7</v>
      </c>
      <c r="B2527" s="1" t="s">
        <v>222</v>
      </c>
      <c r="C2527" s="4">
        <v>4</v>
      </c>
      <c r="D2527" s="8">
        <v>3.13</v>
      </c>
      <c r="E2527" s="4">
        <v>2</v>
      </c>
      <c r="F2527" s="8">
        <v>2.74</v>
      </c>
      <c r="G2527" s="4">
        <v>2</v>
      </c>
      <c r="H2527" s="8">
        <v>4.08</v>
      </c>
      <c r="I2527" s="4">
        <v>0</v>
      </c>
    </row>
    <row r="2528" spans="1:9" x14ac:dyDescent="0.2">
      <c r="A2528" s="2">
        <v>7</v>
      </c>
      <c r="B2528" s="1" t="s">
        <v>230</v>
      </c>
      <c r="C2528" s="4">
        <v>4</v>
      </c>
      <c r="D2528" s="8">
        <v>3.13</v>
      </c>
      <c r="E2528" s="4">
        <v>2</v>
      </c>
      <c r="F2528" s="8">
        <v>2.74</v>
      </c>
      <c r="G2528" s="4">
        <v>0</v>
      </c>
      <c r="H2528" s="8">
        <v>0</v>
      </c>
      <c r="I2528" s="4">
        <v>0</v>
      </c>
    </row>
    <row r="2529" spans="1:9" x14ac:dyDescent="0.2">
      <c r="A2529" s="2">
        <v>7</v>
      </c>
      <c r="B2529" s="1" t="s">
        <v>231</v>
      </c>
      <c r="C2529" s="4">
        <v>4</v>
      </c>
      <c r="D2529" s="8">
        <v>3.13</v>
      </c>
      <c r="E2529" s="4">
        <v>4</v>
      </c>
      <c r="F2529" s="8">
        <v>5.48</v>
      </c>
      <c r="G2529" s="4">
        <v>0</v>
      </c>
      <c r="H2529" s="8">
        <v>0</v>
      </c>
      <c r="I2529" s="4">
        <v>0</v>
      </c>
    </row>
    <row r="2530" spans="1:9" x14ac:dyDescent="0.2">
      <c r="A2530" s="2">
        <v>13</v>
      </c>
      <c r="B2530" s="1" t="s">
        <v>254</v>
      </c>
      <c r="C2530" s="4">
        <v>3</v>
      </c>
      <c r="D2530" s="8">
        <v>2.34</v>
      </c>
      <c r="E2530" s="4">
        <v>0</v>
      </c>
      <c r="F2530" s="8">
        <v>0</v>
      </c>
      <c r="G2530" s="4">
        <v>3</v>
      </c>
      <c r="H2530" s="8">
        <v>6.12</v>
      </c>
      <c r="I2530" s="4">
        <v>0</v>
      </c>
    </row>
    <row r="2531" spans="1:9" x14ac:dyDescent="0.2">
      <c r="A2531" s="2">
        <v>13</v>
      </c>
      <c r="B2531" s="1" t="s">
        <v>234</v>
      </c>
      <c r="C2531" s="4">
        <v>3</v>
      </c>
      <c r="D2531" s="8">
        <v>2.34</v>
      </c>
      <c r="E2531" s="4">
        <v>0</v>
      </c>
      <c r="F2531" s="8">
        <v>0</v>
      </c>
      <c r="G2531" s="4">
        <v>3</v>
      </c>
      <c r="H2531" s="8">
        <v>6.12</v>
      </c>
      <c r="I2531" s="4">
        <v>0</v>
      </c>
    </row>
    <row r="2532" spans="1:9" x14ac:dyDescent="0.2">
      <c r="A2532" s="2">
        <v>15</v>
      </c>
      <c r="B2532" s="1" t="s">
        <v>215</v>
      </c>
      <c r="C2532" s="4">
        <v>2</v>
      </c>
      <c r="D2532" s="8">
        <v>1.56</v>
      </c>
      <c r="E2532" s="4">
        <v>1</v>
      </c>
      <c r="F2532" s="8">
        <v>1.37</v>
      </c>
      <c r="G2532" s="4">
        <v>1</v>
      </c>
      <c r="H2532" s="8">
        <v>2.04</v>
      </c>
      <c r="I2532" s="4">
        <v>0</v>
      </c>
    </row>
    <row r="2533" spans="1:9" x14ac:dyDescent="0.2">
      <c r="A2533" s="2">
        <v>15</v>
      </c>
      <c r="B2533" s="1" t="s">
        <v>262</v>
      </c>
      <c r="C2533" s="4">
        <v>2</v>
      </c>
      <c r="D2533" s="8">
        <v>1.56</v>
      </c>
      <c r="E2533" s="4">
        <v>0</v>
      </c>
      <c r="F2533" s="8">
        <v>0</v>
      </c>
      <c r="G2533" s="4">
        <v>2</v>
      </c>
      <c r="H2533" s="8">
        <v>4.08</v>
      </c>
      <c r="I2533" s="4">
        <v>0</v>
      </c>
    </row>
    <row r="2534" spans="1:9" x14ac:dyDescent="0.2">
      <c r="A2534" s="2">
        <v>15</v>
      </c>
      <c r="B2534" s="1" t="s">
        <v>244</v>
      </c>
      <c r="C2534" s="4">
        <v>2</v>
      </c>
      <c r="D2534" s="8">
        <v>1.56</v>
      </c>
      <c r="E2534" s="4">
        <v>0</v>
      </c>
      <c r="F2534" s="8">
        <v>0</v>
      </c>
      <c r="G2534" s="4">
        <v>2</v>
      </c>
      <c r="H2534" s="8">
        <v>4.08</v>
      </c>
      <c r="I2534" s="4">
        <v>0</v>
      </c>
    </row>
    <row r="2535" spans="1:9" x14ac:dyDescent="0.2">
      <c r="A2535" s="2">
        <v>15</v>
      </c>
      <c r="B2535" s="1" t="s">
        <v>258</v>
      </c>
      <c r="C2535" s="4">
        <v>2</v>
      </c>
      <c r="D2535" s="8">
        <v>1.56</v>
      </c>
      <c r="E2535" s="4">
        <v>2</v>
      </c>
      <c r="F2535" s="8">
        <v>2.74</v>
      </c>
      <c r="G2535" s="4">
        <v>0</v>
      </c>
      <c r="H2535" s="8">
        <v>0</v>
      </c>
      <c r="I2535" s="4">
        <v>0</v>
      </c>
    </row>
    <row r="2536" spans="1:9" x14ac:dyDescent="0.2">
      <c r="A2536" s="2">
        <v>15</v>
      </c>
      <c r="B2536" s="1" t="s">
        <v>219</v>
      </c>
      <c r="C2536" s="4">
        <v>2</v>
      </c>
      <c r="D2536" s="8">
        <v>1.56</v>
      </c>
      <c r="E2536" s="4">
        <v>1</v>
      </c>
      <c r="F2536" s="8">
        <v>1.37</v>
      </c>
      <c r="G2536" s="4">
        <v>1</v>
      </c>
      <c r="H2536" s="8">
        <v>2.04</v>
      </c>
      <c r="I2536" s="4">
        <v>0</v>
      </c>
    </row>
    <row r="2537" spans="1:9" x14ac:dyDescent="0.2">
      <c r="A2537" s="2">
        <v>15</v>
      </c>
      <c r="B2537" s="1" t="s">
        <v>220</v>
      </c>
      <c r="C2537" s="4">
        <v>2</v>
      </c>
      <c r="D2537" s="8">
        <v>1.56</v>
      </c>
      <c r="E2537" s="4">
        <v>2</v>
      </c>
      <c r="F2537" s="8">
        <v>2.74</v>
      </c>
      <c r="G2537" s="4">
        <v>0</v>
      </c>
      <c r="H2537" s="8">
        <v>0</v>
      </c>
      <c r="I2537" s="4">
        <v>0</v>
      </c>
    </row>
    <row r="2538" spans="1:9" x14ac:dyDescent="0.2">
      <c r="A2538" s="2">
        <v>15</v>
      </c>
      <c r="B2538" s="1" t="s">
        <v>224</v>
      </c>
      <c r="C2538" s="4">
        <v>2</v>
      </c>
      <c r="D2538" s="8">
        <v>1.56</v>
      </c>
      <c r="E2538" s="4">
        <v>2</v>
      </c>
      <c r="F2538" s="8">
        <v>2.74</v>
      </c>
      <c r="G2538" s="4">
        <v>0</v>
      </c>
      <c r="H2538" s="8">
        <v>0</v>
      </c>
      <c r="I2538" s="4">
        <v>0</v>
      </c>
    </row>
    <row r="2539" spans="1:9" x14ac:dyDescent="0.2">
      <c r="A2539" s="2">
        <v>15</v>
      </c>
      <c r="B2539" s="1" t="s">
        <v>246</v>
      </c>
      <c r="C2539" s="4">
        <v>2</v>
      </c>
      <c r="D2539" s="8">
        <v>1.56</v>
      </c>
      <c r="E2539" s="4">
        <v>1</v>
      </c>
      <c r="F2539" s="8">
        <v>1.37</v>
      </c>
      <c r="G2539" s="4">
        <v>1</v>
      </c>
      <c r="H2539" s="8">
        <v>2.04</v>
      </c>
      <c r="I2539" s="4">
        <v>0</v>
      </c>
    </row>
    <row r="2540" spans="1:9" x14ac:dyDescent="0.2">
      <c r="A2540" s="2">
        <v>15</v>
      </c>
      <c r="B2540" s="1" t="s">
        <v>225</v>
      </c>
      <c r="C2540" s="4">
        <v>2</v>
      </c>
      <c r="D2540" s="8">
        <v>1.56</v>
      </c>
      <c r="E2540" s="4">
        <v>1</v>
      </c>
      <c r="F2540" s="8">
        <v>1.37</v>
      </c>
      <c r="G2540" s="4">
        <v>0</v>
      </c>
      <c r="H2540" s="8">
        <v>0</v>
      </c>
      <c r="I2540" s="4">
        <v>1</v>
      </c>
    </row>
    <row r="2541" spans="1:9" x14ac:dyDescent="0.2">
      <c r="A2541" s="2">
        <v>15</v>
      </c>
      <c r="B2541" s="1" t="s">
        <v>226</v>
      </c>
      <c r="C2541" s="4">
        <v>2</v>
      </c>
      <c r="D2541" s="8">
        <v>1.56</v>
      </c>
      <c r="E2541" s="4">
        <v>1</v>
      </c>
      <c r="F2541" s="8">
        <v>1.37</v>
      </c>
      <c r="G2541" s="4">
        <v>1</v>
      </c>
      <c r="H2541" s="8">
        <v>2.04</v>
      </c>
      <c r="I2541" s="4">
        <v>0</v>
      </c>
    </row>
    <row r="2542" spans="1:9" x14ac:dyDescent="0.2">
      <c r="A2542" s="2">
        <v>15</v>
      </c>
      <c r="B2542" s="1" t="s">
        <v>249</v>
      </c>
      <c r="C2542" s="4">
        <v>2</v>
      </c>
      <c r="D2542" s="8">
        <v>1.56</v>
      </c>
      <c r="E2542" s="4">
        <v>0</v>
      </c>
      <c r="F2542" s="8">
        <v>0</v>
      </c>
      <c r="G2542" s="4">
        <v>2</v>
      </c>
      <c r="H2542" s="8">
        <v>4.08</v>
      </c>
      <c r="I2542" s="4">
        <v>0</v>
      </c>
    </row>
    <row r="2543" spans="1:9" x14ac:dyDescent="0.2">
      <c r="A2543" s="1"/>
      <c r="C2543" s="4"/>
      <c r="D2543" s="8"/>
      <c r="E2543" s="4"/>
      <c r="F2543" s="8"/>
      <c r="G2543" s="4"/>
      <c r="H2543" s="8"/>
      <c r="I2543" s="4"/>
    </row>
    <row r="2544" spans="1:9" x14ac:dyDescent="0.2">
      <c r="A2544" s="1" t="s">
        <v>103</v>
      </c>
      <c r="C2544" s="4"/>
      <c r="D2544" s="8"/>
      <c r="E2544" s="4"/>
      <c r="F2544" s="8"/>
      <c r="G2544" s="4"/>
      <c r="H2544" s="8"/>
      <c r="I2544" s="4"/>
    </row>
    <row r="2545" spans="1:9" x14ac:dyDescent="0.2">
      <c r="A2545" s="2">
        <v>1</v>
      </c>
      <c r="B2545" s="1" t="s">
        <v>258</v>
      </c>
      <c r="C2545" s="4">
        <v>16</v>
      </c>
      <c r="D2545" s="8">
        <v>10.32</v>
      </c>
      <c r="E2545" s="4">
        <v>8</v>
      </c>
      <c r="F2545" s="8">
        <v>9.76</v>
      </c>
      <c r="G2545" s="4">
        <v>8</v>
      </c>
      <c r="H2545" s="8">
        <v>11.76</v>
      </c>
      <c r="I2545" s="4">
        <v>0</v>
      </c>
    </row>
    <row r="2546" spans="1:9" x14ac:dyDescent="0.2">
      <c r="A2546" s="2">
        <v>2</v>
      </c>
      <c r="B2546" s="1" t="s">
        <v>227</v>
      </c>
      <c r="C2546" s="4">
        <v>14</v>
      </c>
      <c r="D2546" s="8">
        <v>9.0299999999999994</v>
      </c>
      <c r="E2546" s="4">
        <v>11</v>
      </c>
      <c r="F2546" s="8">
        <v>13.41</v>
      </c>
      <c r="G2546" s="4">
        <v>3</v>
      </c>
      <c r="H2546" s="8">
        <v>4.41</v>
      </c>
      <c r="I2546" s="4">
        <v>0</v>
      </c>
    </row>
    <row r="2547" spans="1:9" x14ac:dyDescent="0.2">
      <c r="A2547" s="2">
        <v>3</v>
      </c>
      <c r="B2547" s="1" t="s">
        <v>221</v>
      </c>
      <c r="C2547" s="4">
        <v>11</v>
      </c>
      <c r="D2547" s="8">
        <v>7.1</v>
      </c>
      <c r="E2547" s="4">
        <v>8</v>
      </c>
      <c r="F2547" s="8">
        <v>9.76</v>
      </c>
      <c r="G2547" s="4">
        <v>3</v>
      </c>
      <c r="H2547" s="8">
        <v>4.41</v>
      </c>
      <c r="I2547" s="4">
        <v>0</v>
      </c>
    </row>
    <row r="2548" spans="1:9" x14ac:dyDescent="0.2">
      <c r="A2548" s="2">
        <v>3</v>
      </c>
      <c r="B2548" s="1" t="s">
        <v>223</v>
      </c>
      <c r="C2548" s="4">
        <v>11</v>
      </c>
      <c r="D2548" s="8">
        <v>7.1</v>
      </c>
      <c r="E2548" s="4">
        <v>9</v>
      </c>
      <c r="F2548" s="8">
        <v>10.98</v>
      </c>
      <c r="G2548" s="4">
        <v>2</v>
      </c>
      <c r="H2548" s="8">
        <v>2.94</v>
      </c>
      <c r="I2548" s="4">
        <v>0</v>
      </c>
    </row>
    <row r="2549" spans="1:9" x14ac:dyDescent="0.2">
      <c r="A2549" s="2">
        <v>5</v>
      </c>
      <c r="B2549" s="1" t="s">
        <v>228</v>
      </c>
      <c r="C2549" s="4">
        <v>9</v>
      </c>
      <c r="D2549" s="8">
        <v>5.81</v>
      </c>
      <c r="E2549" s="4">
        <v>9</v>
      </c>
      <c r="F2549" s="8">
        <v>10.98</v>
      </c>
      <c r="G2549" s="4">
        <v>0</v>
      </c>
      <c r="H2549" s="8">
        <v>0</v>
      </c>
      <c r="I2549" s="4">
        <v>0</v>
      </c>
    </row>
    <row r="2550" spans="1:9" x14ac:dyDescent="0.2">
      <c r="A2550" s="2">
        <v>6</v>
      </c>
      <c r="B2550" s="1" t="s">
        <v>213</v>
      </c>
      <c r="C2550" s="4">
        <v>8</v>
      </c>
      <c r="D2550" s="8">
        <v>5.16</v>
      </c>
      <c r="E2550" s="4">
        <v>0</v>
      </c>
      <c r="F2550" s="8">
        <v>0</v>
      </c>
      <c r="G2550" s="4">
        <v>8</v>
      </c>
      <c r="H2550" s="8">
        <v>11.76</v>
      </c>
      <c r="I2550" s="4">
        <v>0</v>
      </c>
    </row>
    <row r="2551" spans="1:9" x14ac:dyDescent="0.2">
      <c r="A2551" s="2">
        <v>7</v>
      </c>
      <c r="B2551" s="1" t="s">
        <v>220</v>
      </c>
      <c r="C2551" s="4">
        <v>6</v>
      </c>
      <c r="D2551" s="8">
        <v>3.87</v>
      </c>
      <c r="E2551" s="4">
        <v>5</v>
      </c>
      <c r="F2551" s="8">
        <v>6.1</v>
      </c>
      <c r="G2551" s="4">
        <v>1</v>
      </c>
      <c r="H2551" s="8">
        <v>1.47</v>
      </c>
      <c r="I2551" s="4">
        <v>0</v>
      </c>
    </row>
    <row r="2552" spans="1:9" x14ac:dyDescent="0.2">
      <c r="A2552" s="2">
        <v>8</v>
      </c>
      <c r="B2552" s="1" t="s">
        <v>244</v>
      </c>
      <c r="C2552" s="4">
        <v>5</v>
      </c>
      <c r="D2552" s="8">
        <v>3.23</v>
      </c>
      <c r="E2552" s="4">
        <v>2</v>
      </c>
      <c r="F2552" s="8">
        <v>2.44</v>
      </c>
      <c r="G2552" s="4">
        <v>3</v>
      </c>
      <c r="H2552" s="8">
        <v>4.41</v>
      </c>
      <c r="I2552" s="4">
        <v>0</v>
      </c>
    </row>
    <row r="2553" spans="1:9" x14ac:dyDescent="0.2">
      <c r="A2553" s="2">
        <v>8</v>
      </c>
      <c r="B2553" s="1" t="s">
        <v>236</v>
      </c>
      <c r="C2553" s="4">
        <v>5</v>
      </c>
      <c r="D2553" s="8">
        <v>3.23</v>
      </c>
      <c r="E2553" s="4">
        <v>2</v>
      </c>
      <c r="F2553" s="8">
        <v>2.44</v>
      </c>
      <c r="G2553" s="4">
        <v>3</v>
      </c>
      <c r="H2553" s="8">
        <v>4.41</v>
      </c>
      <c r="I2553" s="4">
        <v>0</v>
      </c>
    </row>
    <row r="2554" spans="1:9" x14ac:dyDescent="0.2">
      <c r="A2554" s="2">
        <v>10</v>
      </c>
      <c r="B2554" s="1" t="s">
        <v>215</v>
      </c>
      <c r="C2554" s="4">
        <v>4</v>
      </c>
      <c r="D2554" s="8">
        <v>2.58</v>
      </c>
      <c r="E2554" s="4">
        <v>0</v>
      </c>
      <c r="F2554" s="8">
        <v>0</v>
      </c>
      <c r="G2554" s="4">
        <v>4</v>
      </c>
      <c r="H2554" s="8">
        <v>5.88</v>
      </c>
      <c r="I2554" s="4">
        <v>0</v>
      </c>
    </row>
    <row r="2555" spans="1:9" x14ac:dyDescent="0.2">
      <c r="A2555" s="2">
        <v>10</v>
      </c>
      <c r="B2555" s="1" t="s">
        <v>241</v>
      </c>
      <c r="C2555" s="4">
        <v>4</v>
      </c>
      <c r="D2555" s="8">
        <v>2.58</v>
      </c>
      <c r="E2555" s="4">
        <v>4</v>
      </c>
      <c r="F2555" s="8">
        <v>4.88</v>
      </c>
      <c r="G2555" s="4">
        <v>0</v>
      </c>
      <c r="H2555" s="8">
        <v>0</v>
      </c>
      <c r="I2555" s="4">
        <v>0</v>
      </c>
    </row>
    <row r="2556" spans="1:9" x14ac:dyDescent="0.2">
      <c r="A2556" s="2">
        <v>10</v>
      </c>
      <c r="B2556" s="1" t="s">
        <v>253</v>
      </c>
      <c r="C2556" s="4">
        <v>4</v>
      </c>
      <c r="D2556" s="8">
        <v>2.58</v>
      </c>
      <c r="E2556" s="4">
        <v>2</v>
      </c>
      <c r="F2556" s="8">
        <v>2.44</v>
      </c>
      <c r="G2556" s="4">
        <v>2</v>
      </c>
      <c r="H2556" s="8">
        <v>2.94</v>
      </c>
      <c r="I2556" s="4">
        <v>0</v>
      </c>
    </row>
    <row r="2557" spans="1:9" x14ac:dyDescent="0.2">
      <c r="A2557" s="2">
        <v>10</v>
      </c>
      <c r="B2557" s="1" t="s">
        <v>225</v>
      </c>
      <c r="C2557" s="4">
        <v>4</v>
      </c>
      <c r="D2557" s="8">
        <v>2.58</v>
      </c>
      <c r="E2557" s="4">
        <v>3</v>
      </c>
      <c r="F2557" s="8">
        <v>3.66</v>
      </c>
      <c r="G2557" s="4">
        <v>1</v>
      </c>
      <c r="H2557" s="8">
        <v>1.47</v>
      </c>
      <c r="I2557" s="4">
        <v>0</v>
      </c>
    </row>
    <row r="2558" spans="1:9" x14ac:dyDescent="0.2">
      <c r="A2558" s="2">
        <v>10</v>
      </c>
      <c r="B2558" s="1" t="s">
        <v>243</v>
      </c>
      <c r="C2558" s="4">
        <v>4</v>
      </c>
      <c r="D2558" s="8">
        <v>2.58</v>
      </c>
      <c r="E2558" s="4">
        <v>2</v>
      </c>
      <c r="F2558" s="8">
        <v>2.44</v>
      </c>
      <c r="G2558" s="4">
        <v>2</v>
      </c>
      <c r="H2558" s="8">
        <v>2.94</v>
      </c>
      <c r="I2558" s="4">
        <v>0</v>
      </c>
    </row>
    <row r="2559" spans="1:9" x14ac:dyDescent="0.2">
      <c r="A2559" s="2">
        <v>15</v>
      </c>
      <c r="B2559" s="1" t="s">
        <v>214</v>
      </c>
      <c r="C2559" s="4">
        <v>3</v>
      </c>
      <c r="D2559" s="8">
        <v>1.94</v>
      </c>
      <c r="E2559" s="4">
        <v>1</v>
      </c>
      <c r="F2559" s="8">
        <v>1.22</v>
      </c>
      <c r="G2559" s="4">
        <v>2</v>
      </c>
      <c r="H2559" s="8">
        <v>2.94</v>
      </c>
      <c r="I2559" s="4">
        <v>0</v>
      </c>
    </row>
    <row r="2560" spans="1:9" x14ac:dyDescent="0.2">
      <c r="A2560" s="2">
        <v>15</v>
      </c>
      <c r="B2560" s="1" t="s">
        <v>218</v>
      </c>
      <c r="C2560" s="4">
        <v>3</v>
      </c>
      <c r="D2560" s="8">
        <v>1.94</v>
      </c>
      <c r="E2560" s="4">
        <v>0</v>
      </c>
      <c r="F2560" s="8">
        <v>0</v>
      </c>
      <c r="G2560" s="4">
        <v>3</v>
      </c>
      <c r="H2560" s="8">
        <v>4.41</v>
      </c>
      <c r="I2560" s="4">
        <v>0</v>
      </c>
    </row>
    <row r="2561" spans="1:9" x14ac:dyDescent="0.2">
      <c r="A2561" s="2">
        <v>15</v>
      </c>
      <c r="B2561" s="1" t="s">
        <v>219</v>
      </c>
      <c r="C2561" s="4">
        <v>3</v>
      </c>
      <c r="D2561" s="8">
        <v>1.94</v>
      </c>
      <c r="E2561" s="4">
        <v>0</v>
      </c>
      <c r="F2561" s="8">
        <v>0</v>
      </c>
      <c r="G2561" s="4">
        <v>3</v>
      </c>
      <c r="H2561" s="8">
        <v>4.41</v>
      </c>
      <c r="I2561" s="4">
        <v>0</v>
      </c>
    </row>
    <row r="2562" spans="1:9" x14ac:dyDescent="0.2">
      <c r="A2562" s="2">
        <v>15</v>
      </c>
      <c r="B2562" s="1" t="s">
        <v>222</v>
      </c>
      <c r="C2562" s="4">
        <v>3</v>
      </c>
      <c r="D2562" s="8">
        <v>1.94</v>
      </c>
      <c r="E2562" s="4">
        <v>1</v>
      </c>
      <c r="F2562" s="8">
        <v>1.22</v>
      </c>
      <c r="G2562" s="4">
        <v>2</v>
      </c>
      <c r="H2562" s="8">
        <v>2.94</v>
      </c>
      <c r="I2562" s="4">
        <v>0</v>
      </c>
    </row>
    <row r="2563" spans="1:9" x14ac:dyDescent="0.2">
      <c r="A2563" s="2">
        <v>15</v>
      </c>
      <c r="B2563" s="1" t="s">
        <v>230</v>
      </c>
      <c r="C2563" s="4">
        <v>3</v>
      </c>
      <c r="D2563" s="8">
        <v>1.94</v>
      </c>
      <c r="E2563" s="4">
        <v>3</v>
      </c>
      <c r="F2563" s="8">
        <v>3.66</v>
      </c>
      <c r="G2563" s="4">
        <v>0</v>
      </c>
      <c r="H2563" s="8">
        <v>0</v>
      </c>
      <c r="I2563" s="4">
        <v>0</v>
      </c>
    </row>
    <row r="2564" spans="1:9" x14ac:dyDescent="0.2">
      <c r="A2564" s="2">
        <v>15</v>
      </c>
      <c r="B2564" s="1" t="s">
        <v>231</v>
      </c>
      <c r="C2564" s="4">
        <v>3</v>
      </c>
      <c r="D2564" s="8">
        <v>1.94</v>
      </c>
      <c r="E2564" s="4">
        <v>3</v>
      </c>
      <c r="F2564" s="8">
        <v>3.66</v>
      </c>
      <c r="G2564" s="4">
        <v>0</v>
      </c>
      <c r="H2564" s="8">
        <v>0</v>
      </c>
      <c r="I2564" s="4">
        <v>0</v>
      </c>
    </row>
    <row r="2565" spans="1:9" x14ac:dyDescent="0.2">
      <c r="A2565" s="2">
        <v>15</v>
      </c>
      <c r="B2565" s="1" t="s">
        <v>232</v>
      </c>
      <c r="C2565" s="4">
        <v>3</v>
      </c>
      <c r="D2565" s="8">
        <v>1.94</v>
      </c>
      <c r="E2565" s="4">
        <v>0</v>
      </c>
      <c r="F2565" s="8">
        <v>0</v>
      </c>
      <c r="G2565" s="4">
        <v>3</v>
      </c>
      <c r="H2565" s="8">
        <v>4.41</v>
      </c>
      <c r="I2565" s="4">
        <v>0</v>
      </c>
    </row>
    <row r="2566" spans="1:9" x14ac:dyDescent="0.2">
      <c r="A2566" s="1"/>
      <c r="C2566" s="4"/>
      <c r="D2566" s="8"/>
      <c r="E2566" s="4"/>
      <c r="F2566" s="8"/>
      <c r="G2566" s="4"/>
      <c r="H2566" s="8"/>
      <c r="I2566" s="4"/>
    </row>
    <row r="2567" spans="1:9" x14ac:dyDescent="0.2">
      <c r="A2567" s="1" t="s">
        <v>104</v>
      </c>
      <c r="C2567" s="4"/>
      <c r="D2567" s="8"/>
      <c r="E2567" s="4"/>
      <c r="F2567" s="8"/>
      <c r="G2567" s="4"/>
      <c r="H2567" s="8"/>
      <c r="I2567" s="4"/>
    </row>
    <row r="2568" spans="1:9" x14ac:dyDescent="0.2">
      <c r="A2568" s="2">
        <v>1</v>
      </c>
      <c r="B2568" s="1" t="s">
        <v>243</v>
      </c>
      <c r="C2568" s="4">
        <v>36</v>
      </c>
      <c r="D2568" s="8">
        <v>14.29</v>
      </c>
      <c r="E2568" s="4">
        <v>30</v>
      </c>
      <c r="F2568" s="8">
        <v>18.63</v>
      </c>
      <c r="G2568" s="4">
        <v>6</v>
      </c>
      <c r="H2568" s="8">
        <v>7.14</v>
      </c>
      <c r="I2568" s="4">
        <v>0</v>
      </c>
    </row>
    <row r="2569" spans="1:9" x14ac:dyDescent="0.2">
      <c r="A2569" s="2">
        <v>1</v>
      </c>
      <c r="B2569" s="1" t="s">
        <v>227</v>
      </c>
      <c r="C2569" s="4">
        <v>36</v>
      </c>
      <c r="D2569" s="8">
        <v>14.29</v>
      </c>
      <c r="E2569" s="4">
        <v>32</v>
      </c>
      <c r="F2569" s="8">
        <v>19.88</v>
      </c>
      <c r="G2569" s="4">
        <v>4</v>
      </c>
      <c r="H2569" s="8">
        <v>4.76</v>
      </c>
      <c r="I2569" s="4">
        <v>0</v>
      </c>
    </row>
    <row r="2570" spans="1:9" x14ac:dyDescent="0.2">
      <c r="A2570" s="2">
        <v>3</v>
      </c>
      <c r="B2570" s="1" t="s">
        <v>228</v>
      </c>
      <c r="C2570" s="4">
        <v>23</v>
      </c>
      <c r="D2570" s="8">
        <v>9.1300000000000008</v>
      </c>
      <c r="E2570" s="4">
        <v>19</v>
      </c>
      <c r="F2570" s="8">
        <v>11.8</v>
      </c>
      <c r="G2570" s="4">
        <v>3</v>
      </c>
      <c r="H2570" s="8">
        <v>3.57</v>
      </c>
      <c r="I2570" s="4">
        <v>0</v>
      </c>
    </row>
    <row r="2571" spans="1:9" x14ac:dyDescent="0.2">
      <c r="A2571" s="2">
        <v>4</v>
      </c>
      <c r="B2571" s="1" t="s">
        <v>221</v>
      </c>
      <c r="C2571" s="4">
        <v>21</v>
      </c>
      <c r="D2571" s="8">
        <v>8.33</v>
      </c>
      <c r="E2571" s="4">
        <v>17</v>
      </c>
      <c r="F2571" s="8">
        <v>10.56</v>
      </c>
      <c r="G2571" s="4">
        <v>4</v>
      </c>
      <c r="H2571" s="8">
        <v>4.76</v>
      </c>
      <c r="I2571" s="4">
        <v>0</v>
      </c>
    </row>
    <row r="2572" spans="1:9" x14ac:dyDescent="0.2">
      <c r="A2572" s="2">
        <v>5</v>
      </c>
      <c r="B2572" s="1" t="s">
        <v>223</v>
      </c>
      <c r="C2572" s="4">
        <v>19</v>
      </c>
      <c r="D2572" s="8">
        <v>7.54</v>
      </c>
      <c r="E2572" s="4">
        <v>14</v>
      </c>
      <c r="F2572" s="8">
        <v>8.6999999999999993</v>
      </c>
      <c r="G2572" s="4">
        <v>5</v>
      </c>
      <c r="H2572" s="8">
        <v>5.95</v>
      </c>
      <c r="I2572" s="4">
        <v>0</v>
      </c>
    </row>
    <row r="2573" spans="1:9" x14ac:dyDescent="0.2">
      <c r="A2573" s="2">
        <v>6</v>
      </c>
      <c r="B2573" s="1" t="s">
        <v>230</v>
      </c>
      <c r="C2573" s="4">
        <v>9</v>
      </c>
      <c r="D2573" s="8">
        <v>3.57</v>
      </c>
      <c r="E2573" s="4">
        <v>6</v>
      </c>
      <c r="F2573" s="8">
        <v>3.73</v>
      </c>
      <c r="G2573" s="4">
        <v>0</v>
      </c>
      <c r="H2573" s="8">
        <v>0</v>
      </c>
      <c r="I2573" s="4">
        <v>0</v>
      </c>
    </row>
    <row r="2574" spans="1:9" x14ac:dyDescent="0.2">
      <c r="A2574" s="2">
        <v>7</v>
      </c>
      <c r="B2574" s="1" t="s">
        <v>213</v>
      </c>
      <c r="C2574" s="4">
        <v>8</v>
      </c>
      <c r="D2574" s="8">
        <v>3.17</v>
      </c>
      <c r="E2574" s="4">
        <v>1</v>
      </c>
      <c r="F2574" s="8">
        <v>0.62</v>
      </c>
      <c r="G2574" s="4">
        <v>7</v>
      </c>
      <c r="H2574" s="8">
        <v>8.33</v>
      </c>
      <c r="I2574" s="4">
        <v>0</v>
      </c>
    </row>
    <row r="2575" spans="1:9" x14ac:dyDescent="0.2">
      <c r="A2575" s="2">
        <v>7</v>
      </c>
      <c r="B2575" s="1" t="s">
        <v>222</v>
      </c>
      <c r="C2575" s="4">
        <v>8</v>
      </c>
      <c r="D2575" s="8">
        <v>3.17</v>
      </c>
      <c r="E2575" s="4">
        <v>4</v>
      </c>
      <c r="F2575" s="8">
        <v>2.48</v>
      </c>
      <c r="G2575" s="4">
        <v>4</v>
      </c>
      <c r="H2575" s="8">
        <v>4.76</v>
      </c>
      <c r="I2575" s="4">
        <v>0</v>
      </c>
    </row>
    <row r="2576" spans="1:9" x14ac:dyDescent="0.2">
      <c r="A2576" s="2">
        <v>9</v>
      </c>
      <c r="B2576" s="1" t="s">
        <v>215</v>
      </c>
      <c r="C2576" s="4">
        <v>7</v>
      </c>
      <c r="D2576" s="8">
        <v>2.78</v>
      </c>
      <c r="E2576" s="4">
        <v>1</v>
      </c>
      <c r="F2576" s="8">
        <v>0.62</v>
      </c>
      <c r="G2576" s="4">
        <v>6</v>
      </c>
      <c r="H2576" s="8">
        <v>7.14</v>
      </c>
      <c r="I2576" s="4">
        <v>0</v>
      </c>
    </row>
    <row r="2577" spans="1:9" x14ac:dyDescent="0.2">
      <c r="A2577" s="2">
        <v>9</v>
      </c>
      <c r="B2577" s="1" t="s">
        <v>224</v>
      </c>
      <c r="C2577" s="4">
        <v>7</v>
      </c>
      <c r="D2577" s="8">
        <v>2.78</v>
      </c>
      <c r="E2577" s="4">
        <v>5</v>
      </c>
      <c r="F2577" s="8">
        <v>3.11</v>
      </c>
      <c r="G2577" s="4">
        <v>2</v>
      </c>
      <c r="H2577" s="8">
        <v>2.38</v>
      </c>
      <c r="I2577" s="4">
        <v>0</v>
      </c>
    </row>
    <row r="2578" spans="1:9" x14ac:dyDescent="0.2">
      <c r="A2578" s="2">
        <v>11</v>
      </c>
      <c r="B2578" s="1" t="s">
        <v>214</v>
      </c>
      <c r="C2578" s="4">
        <v>6</v>
      </c>
      <c r="D2578" s="8">
        <v>2.38</v>
      </c>
      <c r="E2578" s="4">
        <v>3</v>
      </c>
      <c r="F2578" s="8">
        <v>1.86</v>
      </c>
      <c r="G2578" s="4">
        <v>3</v>
      </c>
      <c r="H2578" s="8">
        <v>3.57</v>
      </c>
      <c r="I2578" s="4">
        <v>0</v>
      </c>
    </row>
    <row r="2579" spans="1:9" x14ac:dyDescent="0.2">
      <c r="A2579" s="2">
        <v>11</v>
      </c>
      <c r="B2579" s="1" t="s">
        <v>226</v>
      </c>
      <c r="C2579" s="4">
        <v>6</v>
      </c>
      <c r="D2579" s="8">
        <v>2.38</v>
      </c>
      <c r="E2579" s="4">
        <v>4</v>
      </c>
      <c r="F2579" s="8">
        <v>2.48</v>
      </c>
      <c r="G2579" s="4">
        <v>2</v>
      </c>
      <c r="H2579" s="8">
        <v>2.38</v>
      </c>
      <c r="I2579" s="4">
        <v>0</v>
      </c>
    </row>
    <row r="2580" spans="1:9" x14ac:dyDescent="0.2">
      <c r="A2580" s="2">
        <v>13</v>
      </c>
      <c r="B2580" s="1" t="s">
        <v>218</v>
      </c>
      <c r="C2580" s="4">
        <v>5</v>
      </c>
      <c r="D2580" s="8">
        <v>1.98</v>
      </c>
      <c r="E2580" s="4">
        <v>0</v>
      </c>
      <c r="F2580" s="8">
        <v>0</v>
      </c>
      <c r="G2580" s="4">
        <v>5</v>
      </c>
      <c r="H2580" s="8">
        <v>5.95</v>
      </c>
      <c r="I2580" s="4">
        <v>0</v>
      </c>
    </row>
    <row r="2581" spans="1:9" x14ac:dyDescent="0.2">
      <c r="A2581" s="2">
        <v>13</v>
      </c>
      <c r="B2581" s="1" t="s">
        <v>229</v>
      </c>
      <c r="C2581" s="4">
        <v>5</v>
      </c>
      <c r="D2581" s="8">
        <v>1.98</v>
      </c>
      <c r="E2581" s="4">
        <v>5</v>
      </c>
      <c r="F2581" s="8">
        <v>3.11</v>
      </c>
      <c r="G2581" s="4">
        <v>0</v>
      </c>
      <c r="H2581" s="8">
        <v>0</v>
      </c>
      <c r="I2581" s="4">
        <v>0</v>
      </c>
    </row>
    <row r="2582" spans="1:9" x14ac:dyDescent="0.2">
      <c r="A2582" s="2">
        <v>13</v>
      </c>
      <c r="B2582" s="1" t="s">
        <v>231</v>
      </c>
      <c r="C2582" s="4">
        <v>5</v>
      </c>
      <c r="D2582" s="8">
        <v>1.98</v>
      </c>
      <c r="E2582" s="4">
        <v>5</v>
      </c>
      <c r="F2582" s="8">
        <v>3.11</v>
      </c>
      <c r="G2582" s="4">
        <v>0</v>
      </c>
      <c r="H2582" s="8">
        <v>0</v>
      </c>
      <c r="I2582" s="4">
        <v>0</v>
      </c>
    </row>
    <row r="2583" spans="1:9" x14ac:dyDescent="0.2">
      <c r="A2583" s="2">
        <v>16</v>
      </c>
      <c r="B2583" s="1" t="s">
        <v>232</v>
      </c>
      <c r="C2583" s="4">
        <v>4</v>
      </c>
      <c r="D2583" s="8">
        <v>1.59</v>
      </c>
      <c r="E2583" s="4">
        <v>0</v>
      </c>
      <c r="F2583" s="8">
        <v>0</v>
      </c>
      <c r="G2583" s="4">
        <v>4</v>
      </c>
      <c r="H2583" s="8">
        <v>4.76</v>
      </c>
      <c r="I2583" s="4">
        <v>0</v>
      </c>
    </row>
    <row r="2584" spans="1:9" x14ac:dyDescent="0.2">
      <c r="A2584" s="2">
        <v>16</v>
      </c>
      <c r="B2584" s="1" t="s">
        <v>240</v>
      </c>
      <c r="C2584" s="4">
        <v>4</v>
      </c>
      <c r="D2584" s="8">
        <v>1.59</v>
      </c>
      <c r="E2584" s="4">
        <v>1</v>
      </c>
      <c r="F2584" s="8">
        <v>0.62</v>
      </c>
      <c r="G2584" s="4">
        <v>3</v>
      </c>
      <c r="H2584" s="8">
        <v>3.57</v>
      </c>
      <c r="I2584" s="4">
        <v>0</v>
      </c>
    </row>
    <row r="2585" spans="1:9" x14ac:dyDescent="0.2">
      <c r="A2585" s="2">
        <v>18</v>
      </c>
      <c r="B2585" s="1" t="s">
        <v>258</v>
      </c>
      <c r="C2585" s="4">
        <v>3</v>
      </c>
      <c r="D2585" s="8">
        <v>1.19</v>
      </c>
      <c r="E2585" s="4">
        <v>2</v>
      </c>
      <c r="F2585" s="8">
        <v>1.24</v>
      </c>
      <c r="G2585" s="4">
        <v>1</v>
      </c>
      <c r="H2585" s="8">
        <v>1.19</v>
      </c>
      <c r="I2585" s="4">
        <v>0</v>
      </c>
    </row>
    <row r="2586" spans="1:9" x14ac:dyDescent="0.2">
      <c r="A2586" s="2">
        <v>18</v>
      </c>
      <c r="B2586" s="1" t="s">
        <v>245</v>
      </c>
      <c r="C2586" s="4">
        <v>3</v>
      </c>
      <c r="D2586" s="8">
        <v>1.19</v>
      </c>
      <c r="E2586" s="4">
        <v>0</v>
      </c>
      <c r="F2586" s="8">
        <v>0</v>
      </c>
      <c r="G2586" s="4">
        <v>3</v>
      </c>
      <c r="H2586" s="8">
        <v>3.57</v>
      </c>
      <c r="I2586" s="4">
        <v>0</v>
      </c>
    </row>
    <row r="2587" spans="1:9" x14ac:dyDescent="0.2">
      <c r="A2587" s="2">
        <v>18</v>
      </c>
      <c r="B2587" s="1" t="s">
        <v>219</v>
      </c>
      <c r="C2587" s="4">
        <v>3</v>
      </c>
      <c r="D2587" s="8">
        <v>1.19</v>
      </c>
      <c r="E2587" s="4">
        <v>0</v>
      </c>
      <c r="F2587" s="8">
        <v>0</v>
      </c>
      <c r="G2587" s="4">
        <v>3</v>
      </c>
      <c r="H2587" s="8">
        <v>3.57</v>
      </c>
      <c r="I2587" s="4">
        <v>0</v>
      </c>
    </row>
    <row r="2588" spans="1:9" x14ac:dyDescent="0.2">
      <c r="A2588" s="2">
        <v>18</v>
      </c>
      <c r="B2588" s="1" t="s">
        <v>236</v>
      </c>
      <c r="C2588" s="4">
        <v>3</v>
      </c>
      <c r="D2588" s="8">
        <v>1.19</v>
      </c>
      <c r="E2588" s="4">
        <v>0</v>
      </c>
      <c r="F2588" s="8">
        <v>0</v>
      </c>
      <c r="G2588" s="4">
        <v>3</v>
      </c>
      <c r="H2588" s="8">
        <v>3.57</v>
      </c>
      <c r="I2588" s="4">
        <v>0</v>
      </c>
    </row>
    <row r="2589" spans="1:9" x14ac:dyDescent="0.2">
      <c r="A2589" s="2">
        <v>18</v>
      </c>
      <c r="B2589" s="1" t="s">
        <v>246</v>
      </c>
      <c r="C2589" s="4">
        <v>3</v>
      </c>
      <c r="D2589" s="8">
        <v>1.19</v>
      </c>
      <c r="E2589" s="4">
        <v>1</v>
      </c>
      <c r="F2589" s="8">
        <v>0.62</v>
      </c>
      <c r="G2589" s="4">
        <v>2</v>
      </c>
      <c r="H2589" s="8">
        <v>2.38</v>
      </c>
      <c r="I2589" s="4">
        <v>0</v>
      </c>
    </row>
    <row r="2590" spans="1:9" x14ac:dyDescent="0.2">
      <c r="A2590" s="1"/>
      <c r="C2590" s="4"/>
      <c r="D2590" s="8"/>
      <c r="E2590" s="4"/>
      <c r="F2590" s="8"/>
      <c r="G2590" s="4"/>
      <c r="H2590" s="8"/>
      <c r="I2590" s="4"/>
    </row>
    <row r="2591" spans="1:9" x14ac:dyDescent="0.2">
      <c r="A2591" s="1" t="s">
        <v>105</v>
      </c>
      <c r="C2591" s="4"/>
      <c r="D2591" s="8"/>
      <c r="E2591" s="4"/>
      <c r="F2591" s="8"/>
      <c r="G2591" s="4"/>
      <c r="H2591" s="8"/>
      <c r="I2591" s="4"/>
    </row>
    <row r="2592" spans="1:9" x14ac:dyDescent="0.2">
      <c r="A2592" s="2">
        <v>1</v>
      </c>
      <c r="B2592" s="1" t="s">
        <v>227</v>
      </c>
      <c r="C2592" s="4">
        <v>57</v>
      </c>
      <c r="D2592" s="8">
        <v>20.28</v>
      </c>
      <c r="E2592" s="4">
        <v>52</v>
      </c>
      <c r="F2592" s="8">
        <v>26.67</v>
      </c>
      <c r="G2592" s="4">
        <v>5</v>
      </c>
      <c r="H2592" s="8">
        <v>6.17</v>
      </c>
      <c r="I2592" s="4">
        <v>0</v>
      </c>
    </row>
    <row r="2593" spans="1:9" x14ac:dyDescent="0.2">
      <c r="A2593" s="2">
        <v>2</v>
      </c>
      <c r="B2593" s="1" t="s">
        <v>224</v>
      </c>
      <c r="C2593" s="4">
        <v>38</v>
      </c>
      <c r="D2593" s="8">
        <v>13.52</v>
      </c>
      <c r="E2593" s="4">
        <v>36</v>
      </c>
      <c r="F2593" s="8">
        <v>18.46</v>
      </c>
      <c r="G2593" s="4">
        <v>2</v>
      </c>
      <c r="H2593" s="8">
        <v>2.4700000000000002</v>
      </c>
      <c r="I2593" s="4">
        <v>0</v>
      </c>
    </row>
    <row r="2594" spans="1:9" x14ac:dyDescent="0.2">
      <c r="A2594" s="2">
        <v>3</v>
      </c>
      <c r="B2594" s="1" t="s">
        <v>228</v>
      </c>
      <c r="C2594" s="4">
        <v>28</v>
      </c>
      <c r="D2594" s="8">
        <v>9.9600000000000009</v>
      </c>
      <c r="E2594" s="4">
        <v>26</v>
      </c>
      <c r="F2594" s="8">
        <v>13.33</v>
      </c>
      <c r="G2594" s="4">
        <v>2</v>
      </c>
      <c r="H2594" s="8">
        <v>2.4700000000000002</v>
      </c>
      <c r="I2594" s="4">
        <v>0</v>
      </c>
    </row>
    <row r="2595" spans="1:9" x14ac:dyDescent="0.2">
      <c r="A2595" s="2">
        <v>4</v>
      </c>
      <c r="B2595" s="1" t="s">
        <v>223</v>
      </c>
      <c r="C2595" s="4">
        <v>22</v>
      </c>
      <c r="D2595" s="8">
        <v>7.83</v>
      </c>
      <c r="E2595" s="4">
        <v>11</v>
      </c>
      <c r="F2595" s="8">
        <v>5.64</v>
      </c>
      <c r="G2595" s="4">
        <v>11</v>
      </c>
      <c r="H2595" s="8">
        <v>13.58</v>
      </c>
      <c r="I2595" s="4">
        <v>0</v>
      </c>
    </row>
    <row r="2596" spans="1:9" x14ac:dyDescent="0.2">
      <c r="A2596" s="2">
        <v>5</v>
      </c>
      <c r="B2596" s="1" t="s">
        <v>243</v>
      </c>
      <c r="C2596" s="4">
        <v>15</v>
      </c>
      <c r="D2596" s="8">
        <v>5.34</v>
      </c>
      <c r="E2596" s="4">
        <v>12</v>
      </c>
      <c r="F2596" s="8">
        <v>6.15</v>
      </c>
      <c r="G2596" s="4">
        <v>3</v>
      </c>
      <c r="H2596" s="8">
        <v>3.7</v>
      </c>
      <c r="I2596" s="4">
        <v>0</v>
      </c>
    </row>
    <row r="2597" spans="1:9" x14ac:dyDescent="0.2">
      <c r="A2597" s="2">
        <v>6</v>
      </c>
      <c r="B2597" s="1" t="s">
        <v>221</v>
      </c>
      <c r="C2597" s="4">
        <v>11</v>
      </c>
      <c r="D2597" s="8">
        <v>3.91</v>
      </c>
      <c r="E2597" s="4">
        <v>7</v>
      </c>
      <c r="F2597" s="8">
        <v>3.59</v>
      </c>
      <c r="G2597" s="4">
        <v>4</v>
      </c>
      <c r="H2597" s="8">
        <v>4.9400000000000004</v>
      </c>
      <c r="I2597" s="4">
        <v>0</v>
      </c>
    </row>
    <row r="2598" spans="1:9" x14ac:dyDescent="0.2">
      <c r="A2598" s="2">
        <v>6</v>
      </c>
      <c r="B2598" s="1" t="s">
        <v>222</v>
      </c>
      <c r="C2598" s="4">
        <v>11</v>
      </c>
      <c r="D2598" s="8">
        <v>3.91</v>
      </c>
      <c r="E2598" s="4">
        <v>5</v>
      </c>
      <c r="F2598" s="8">
        <v>2.56</v>
      </c>
      <c r="G2598" s="4">
        <v>6</v>
      </c>
      <c r="H2598" s="8">
        <v>7.41</v>
      </c>
      <c r="I2598" s="4">
        <v>0</v>
      </c>
    </row>
    <row r="2599" spans="1:9" x14ac:dyDescent="0.2">
      <c r="A2599" s="2">
        <v>8</v>
      </c>
      <c r="B2599" s="1" t="s">
        <v>231</v>
      </c>
      <c r="C2599" s="4">
        <v>10</v>
      </c>
      <c r="D2599" s="8">
        <v>3.56</v>
      </c>
      <c r="E2599" s="4">
        <v>9</v>
      </c>
      <c r="F2599" s="8">
        <v>4.62</v>
      </c>
      <c r="G2599" s="4">
        <v>1</v>
      </c>
      <c r="H2599" s="8">
        <v>1.23</v>
      </c>
      <c r="I2599" s="4">
        <v>0</v>
      </c>
    </row>
    <row r="2600" spans="1:9" x14ac:dyDescent="0.2">
      <c r="A2600" s="2">
        <v>9</v>
      </c>
      <c r="B2600" s="1" t="s">
        <v>220</v>
      </c>
      <c r="C2600" s="4">
        <v>9</v>
      </c>
      <c r="D2600" s="8">
        <v>3.2</v>
      </c>
      <c r="E2600" s="4">
        <v>5</v>
      </c>
      <c r="F2600" s="8">
        <v>2.56</v>
      </c>
      <c r="G2600" s="4">
        <v>4</v>
      </c>
      <c r="H2600" s="8">
        <v>4.9400000000000004</v>
      </c>
      <c r="I2600" s="4">
        <v>0</v>
      </c>
    </row>
    <row r="2601" spans="1:9" x14ac:dyDescent="0.2">
      <c r="A2601" s="2">
        <v>10</v>
      </c>
      <c r="B2601" s="1" t="s">
        <v>213</v>
      </c>
      <c r="C2601" s="4">
        <v>8</v>
      </c>
      <c r="D2601" s="8">
        <v>2.85</v>
      </c>
      <c r="E2601" s="4">
        <v>1</v>
      </c>
      <c r="F2601" s="8">
        <v>0.51</v>
      </c>
      <c r="G2601" s="4">
        <v>7</v>
      </c>
      <c r="H2601" s="8">
        <v>8.64</v>
      </c>
      <c r="I2601" s="4">
        <v>0</v>
      </c>
    </row>
    <row r="2602" spans="1:9" x14ac:dyDescent="0.2">
      <c r="A2602" s="2">
        <v>11</v>
      </c>
      <c r="B2602" s="1" t="s">
        <v>236</v>
      </c>
      <c r="C2602" s="4">
        <v>7</v>
      </c>
      <c r="D2602" s="8">
        <v>2.4900000000000002</v>
      </c>
      <c r="E2602" s="4">
        <v>4</v>
      </c>
      <c r="F2602" s="8">
        <v>2.0499999999999998</v>
      </c>
      <c r="G2602" s="4">
        <v>3</v>
      </c>
      <c r="H2602" s="8">
        <v>3.7</v>
      </c>
      <c r="I2602" s="4">
        <v>0</v>
      </c>
    </row>
    <row r="2603" spans="1:9" x14ac:dyDescent="0.2">
      <c r="A2603" s="2">
        <v>12</v>
      </c>
      <c r="B2603" s="1" t="s">
        <v>230</v>
      </c>
      <c r="C2603" s="4">
        <v>6</v>
      </c>
      <c r="D2603" s="8">
        <v>2.14</v>
      </c>
      <c r="E2603" s="4">
        <v>3</v>
      </c>
      <c r="F2603" s="8">
        <v>1.54</v>
      </c>
      <c r="G2603" s="4">
        <v>1</v>
      </c>
      <c r="H2603" s="8">
        <v>1.23</v>
      </c>
      <c r="I2603" s="4">
        <v>0</v>
      </c>
    </row>
    <row r="2604" spans="1:9" x14ac:dyDescent="0.2">
      <c r="A2604" s="2">
        <v>13</v>
      </c>
      <c r="B2604" s="1" t="s">
        <v>214</v>
      </c>
      <c r="C2604" s="4">
        <v>5</v>
      </c>
      <c r="D2604" s="8">
        <v>1.78</v>
      </c>
      <c r="E2604" s="4">
        <v>3</v>
      </c>
      <c r="F2604" s="8">
        <v>1.54</v>
      </c>
      <c r="G2604" s="4">
        <v>2</v>
      </c>
      <c r="H2604" s="8">
        <v>2.4700000000000002</v>
      </c>
      <c r="I2604" s="4">
        <v>0</v>
      </c>
    </row>
    <row r="2605" spans="1:9" x14ac:dyDescent="0.2">
      <c r="A2605" s="2">
        <v>13</v>
      </c>
      <c r="B2605" s="1" t="s">
        <v>232</v>
      </c>
      <c r="C2605" s="4">
        <v>5</v>
      </c>
      <c r="D2605" s="8">
        <v>1.78</v>
      </c>
      <c r="E2605" s="4">
        <v>0</v>
      </c>
      <c r="F2605" s="8">
        <v>0</v>
      </c>
      <c r="G2605" s="4">
        <v>3</v>
      </c>
      <c r="H2605" s="8">
        <v>3.7</v>
      </c>
      <c r="I2605" s="4">
        <v>0</v>
      </c>
    </row>
    <row r="2606" spans="1:9" x14ac:dyDescent="0.2">
      <c r="A2606" s="2">
        <v>15</v>
      </c>
      <c r="B2606" s="1" t="s">
        <v>225</v>
      </c>
      <c r="C2606" s="4">
        <v>4</v>
      </c>
      <c r="D2606" s="8">
        <v>1.42</v>
      </c>
      <c r="E2606" s="4">
        <v>3</v>
      </c>
      <c r="F2606" s="8">
        <v>1.54</v>
      </c>
      <c r="G2606" s="4">
        <v>1</v>
      </c>
      <c r="H2606" s="8">
        <v>1.23</v>
      </c>
      <c r="I2606" s="4">
        <v>0</v>
      </c>
    </row>
    <row r="2607" spans="1:9" x14ac:dyDescent="0.2">
      <c r="A2607" s="2">
        <v>15</v>
      </c>
      <c r="B2607" s="1" t="s">
        <v>226</v>
      </c>
      <c r="C2607" s="4">
        <v>4</v>
      </c>
      <c r="D2607" s="8">
        <v>1.42</v>
      </c>
      <c r="E2607" s="4">
        <v>3</v>
      </c>
      <c r="F2607" s="8">
        <v>1.54</v>
      </c>
      <c r="G2607" s="4">
        <v>1</v>
      </c>
      <c r="H2607" s="8">
        <v>1.23</v>
      </c>
      <c r="I2607" s="4">
        <v>0</v>
      </c>
    </row>
    <row r="2608" spans="1:9" x14ac:dyDescent="0.2">
      <c r="A2608" s="2">
        <v>17</v>
      </c>
      <c r="B2608" s="1" t="s">
        <v>215</v>
      </c>
      <c r="C2608" s="4">
        <v>3</v>
      </c>
      <c r="D2608" s="8">
        <v>1.07</v>
      </c>
      <c r="E2608" s="4">
        <v>0</v>
      </c>
      <c r="F2608" s="8">
        <v>0</v>
      </c>
      <c r="G2608" s="4">
        <v>3</v>
      </c>
      <c r="H2608" s="8">
        <v>3.7</v>
      </c>
      <c r="I2608" s="4">
        <v>0</v>
      </c>
    </row>
    <row r="2609" spans="1:9" x14ac:dyDescent="0.2">
      <c r="A2609" s="2">
        <v>17</v>
      </c>
      <c r="B2609" s="1" t="s">
        <v>241</v>
      </c>
      <c r="C2609" s="4">
        <v>3</v>
      </c>
      <c r="D2609" s="8">
        <v>1.07</v>
      </c>
      <c r="E2609" s="4">
        <v>1</v>
      </c>
      <c r="F2609" s="8">
        <v>0.51</v>
      </c>
      <c r="G2609" s="4">
        <v>2</v>
      </c>
      <c r="H2609" s="8">
        <v>2.4700000000000002</v>
      </c>
      <c r="I2609" s="4">
        <v>0</v>
      </c>
    </row>
    <row r="2610" spans="1:9" x14ac:dyDescent="0.2">
      <c r="A2610" s="2">
        <v>17</v>
      </c>
      <c r="B2610" s="1" t="s">
        <v>248</v>
      </c>
      <c r="C2610" s="4">
        <v>3</v>
      </c>
      <c r="D2610" s="8">
        <v>1.07</v>
      </c>
      <c r="E2610" s="4">
        <v>2</v>
      </c>
      <c r="F2610" s="8">
        <v>1.03</v>
      </c>
      <c r="G2610" s="4">
        <v>1</v>
      </c>
      <c r="H2610" s="8">
        <v>1.23</v>
      </c>
      <c r="I2610" s="4">
        <v>0</v>
      </c>
    </row>
    <row r="2611" spans="1:9" x14ac:dyDescent="0.2">
      <c r="A2611" s="2">
        <v>17</v>
      </c>
      <c r="B2611" s="1" t="s">
        <v>216</v>
      </c>
      <c r="C2611" s="4">
        <v>3</v>
      </c>
      <c r="D2611" s="8">
        <v>1.07</v>
      </c>
      <c r="E2611" s="4">
        <v>1</v>
      </c>
      <c r="F2611" s="8">
        <v>0.51</v>
      </c>
      <c r="G2611" s="4">
        <v>2</v>
      </c>
      <c r="H2611" s="8">
        <v>2.4700000000000002</v>
      </c>
      <c r="I2611" s="4">
        <v>0</v>
      </c>
    </row>
    <row r="2612" spans="1:9" x14ac:dyDescent="0.2">
      <c r="A2612" s="2">
        <v>17</v>
      </c>
      <c r="B2612" s="1" t="s">
        <v>242</v>
      </c>
      <c r="C2612" s="4">
        <v>3</v>
      </c>
      <c r="D2612" s="8">
        <v>1.07</v>
      </c>
      <c r="E2612" s="4">
        <v>2</v>
      </c>
      <c r="F2612" s="8">
        <v>1.03</v>
      </c>
      <c r="G2612" s="4">
        <v>1</v>
      </c>
      <c r="H2612" s="8">
        <v>1.23</v>
      </c>
      <c r="I2612" s="4">
        <v>0</v>
      </c>
    </row>
    <row r="2613" spans="1:9" x14ac:dyDescent="0.2">
      <c r="A2613" s="1"/>
      <c r="C2613" s="4"/>
      <c r="D2613" s="8"/>
      <c r="E2613" s="4"/>
      <c r="F2613" s="8"/>
      <c r="G2613" s="4"/>
      <c r="H2613" s="8"/>
      <c r="I2613" s="4"/>
    </row>
    <row r="2614" spans="1:9" x14ac:dyDescent="0.2">
      <c r="A2614" s="1" t="s">
        <v>106</v>
      </c>
      <c r="C2614" s="4"/>
      <c r="D2614" s="8"/>
      <c r="E2614" s="4"/>
      <c r="F2614" s="8"/>
      <c r="G2614" s="4"/>
      <c r="H2614" s="8"/>
      <c r="I2614" s="4"/>
    </row>
    <row r="2615" spans="1:9" x14ac:dyDescent="0.2">
      <c r="A2615" s="2">
        <v>1</v>
      </c>
      <c r="B2615" s="1" t="s">
        <v>227</v>
      </c>
      <c r="C2615" s="4">
        <v>20</v>
      </c>
      <c r="D2615" s="8">
        <v>18.87</v>
      </c>
      <c r="E2615" s="4">
        <v>18</v>
      </c>
      <c r="F2615" s="8">
        <v>24.66</v>
      </c>
      <c r="G2615" s="4">
        <v>2</v>
      </c>
      <c r="H2615" s="8">
        <v>6.67</v>
      </c>
      <c r="I2615" s="4">
        <v>0</v>
      </c>
    </row>
    <row r="2616" spans="1:9" x14ac:dyDescent="0.2">
      <c r="A2616" s="2">
        <v>2</v>
      </c>
      <c r="B2616" s="1" t="s">
        <v>243</v>
      </c>
      <c r="C2616" s="4">
        <v>19</v>
      </c>
      <c r="D2616" s="8">
        <v>17.920000000000002</v>
      </c>
      <c r="E2616" s="4">
        <v>16</v>
      </c>
      <c r="F2616" s="8">
        <v>21.92</v>
      </c>
      <c r="G2616" s="4">
        <v>3</v>
      </c>
      <c r="H2616" s="8">
        <v>10</v>
      </c>
      <c r="I2616" s="4">
        <v>0</v>
      </c>
    </row>
    <row r="2617" spans="1:9" x14ac:dyDescent="0.2">
      <c r="A2617" s="2">
        <v>3</v>
      </c>
      <c r="B2617" s="1" t="s">
        <v>221</v>
      </c>
      <c r="C2617" s="4">
        <v>9</v>
      </c>
      <c r="D2617" s="8">
        <v>8.49</v>
      </c>
      <c r="E2617" s="4">
        <v>8</v>
      </c>
      <c r="F2617" s="8">
        <v>10.96</v>
      </c>
      <c r="G2617" s="4">
        <v>1</v>
      </c>
      <c r="H2617" s="8">
        <v>3.33</v>
      </c>
      <c r="I2617" s="4">
        <v>0</v>
      </c>
    </row>
    <row r="2618" spans="1:9" x14ac:dyDescent="0.2">
      <c r="A2618" s="2">
        <v>3</v>
      </c>
      <c r="B2618" s="1" t="s">
        <v>228</v>
      </c>
      <c r="C2618" s="4">
        <v>9</v>
      </c>
      <c r="D2618" s="8">
        <v>8.49</v>
      </c>
      <c r="E2618" s="4">
        <v>9</v>
      </c>
      <c r="F2618" s="8">
        <v>12.33</v>
      </c>
      <c r="G2618" s="4">
        <v>0</v>
      </c>
      <c r="H2618" s="8">
        <v>0</v>
      </c>
      <c r="I2618" s="4">
        <v>0</v>
      </c>
    </row>
    <row r="2619" spans="1:9" x14ac:dyDescent="0.2">
      <c r="A2619" s="2">
        <v>5</v>
      </c>
      <c r="B2619" s="1" t="s">
        <v>223</v>
      </c>
      <c r="C2619" s="4">
        <v>6</v>
      </c>
      <c r="D2619" s="8">
        <v>5.66</v>
      </c>
      <c r="E2619" s="4">
        <v>5</v>
      </c>
      <c r="F2619" s="8">
        <v>6.85</v>
      </c>
      <c r="G2619" s="4">
        <v>1</v>
      </c>
      <c r="H2619" s="8">
        <v>3.33</v>
      </c>
      <c r="I2619" s="4">
        <v>0</v>
      </c>
    </row>
    <row r="2620" spans="1:9" x14ac:dyDescent="0.2">
      <c r="A2620" s="2">
        <v>6</v>
      </c>
      <c r="B2620" s="1" t="s">
        <v>230</v>
      </c>
      <c r="C2620" s="4">
        <v>5</v>
      </c>
      <c r="D2620" s="8">
        <v>4.72</v>
      </c>
      <c r="E2620" s="4">
        <v>3</v>
      </c>
      <c r="F2620" s="8">
        <v>4.1100000000000003</v>
      </c>
      <c r="G2620" s="4">
        <v>1</v>
      </c>
      <c r="H2620" s="8">
        <v>3.33</v>
      </c>
      <c r="I2620" s="4">
        <v>0</v>
      </c>
    </row>
    <row r="2621" spans="1:9" x14ac:dyDescent="0.2">
      <c r="A2621" s="2">
        <v>7</v>
      </c>
      <c r="B2621" s="1" t="s">
        <v>219</v>
      </c>
      <c r="C2621" s="4">
        <v>4</v>
      </c>
      <c r="D2621" s="8">
        <v>3.77</v>
      </c>
      <c r="E2621" s="4">
        <v>0</v>
      </c>
      <c r="F2621" s="8">
        <v>0</v>
      </c>
      <c r="G2621" s="4">
        <v>4</v>
      </c>
      <c r="H2621" s="8">
        <v>13.33</v>
      </c>
      <c r="I2621" s="4">
        <v>0</v>
      </c>
    </row>
    <row r="2622" spans="1:9" x14ac:dyDescent="0.2">
      <c r="A2622" s="2">
        <v>8</v>
      </c>
      <c r="B2622" s="1" t="s">
        <v>213</v>
      </c>
      <c r="C2622" s="4">
        <v>3</v>
      </c>
      <c r="D2622" s="8">
        <v>2.83</v>
      </c>
      <c r="E2622" s="4">
        <v>1</v>
      </c>
      <c r="F2622" s="8">
        <v>1.37</v>
      </c>
      <c r="G2622" s="4">
        <v>2</v>
      </c>
      <c r="H2622" s="8">
        <v>6.67</v>
      </c>
      <c r="I2622" s="4">
        <v>0</v>
      </c>
    </row>
    <row r="2623" spans="1:9" x14ac:dyDescent="0.2">
      <c r="A2623" s="2">
        <v>8</v>
      </c>
      <c r="B2623" s="1" t="s">
        <v>214</v>
      </c>
      <c r="C2623" s="4">
        <v>3</v>
      </c>
      <c r="D2623" s="8">
        <v>2.83</v>
      </c>
      <c r="E2623" s="4">
        <v>2</v>
      </c>
      <c r="F2623" s="8">
        <v>2.74</v>
      </c>
      <c r="G2623" s="4">
        <v>1</v>
      </c>
      <c r="H2623" s="8">
        <v>3.33</v>
      </c>
      <c r="I2623" s="4">
        <v>0</v>
      </c>
    </row>
    <row r="2624" spans="1:9" x14ac:dyDescent="0.2">
      <c r="A2624" s="2">
        <v>8</v>
      </c>
      <c r="B2624" s="1" t="s">
        <v>215</v>
      </c>
      <c r="C2624" s="4">
        <v>3</v>
      </c>
      <c r="D2624" s="8">
        <v>2.83</v>
      </c>
      <c r="E2624" s="4">
        <v>0</v>
      </c>
      <c r="F2624" s="8">
        <v>0</v>
      </c>
      <c r="G2624" s="4">
        <v>3</v>
      </c>
      <c r="H2624" s="8">
        <v>10</v>
      </c>
      <c r="I2624" s="4">
        <v>0</v>
      </c>
    </row>
    <row r="2625" spans="1:9" x14ac:dyDescent="0.2">
      <c r="A2625" s="2">
        <v>8</v>
      </c>
      <c r="B2625" s="1" t="s">
        <v>239</v>
      </c>
      <c r="C2625" s="4">
        <v>3</v>
      </c>
      <c r="D2625" s="8">
        <v>2.83</v>
      </c>
      <c r="E2625" s="4">
        <v>0</v>
      </c>
      <c r="F2625" s="8">
        <v>0</v>
      </c>
      <c r="G2625" s="4">
        <v>3</v>
      </c>
      <c r="H2625" s="8">
        <v>10</v>
      </c>
      <c r="I2625" s="4">
        <v>0</v>
      </c>
    </row>
    <row r="2626" spans="1:9" x14ac:dyDescent="0.2">
      <c r="A2626" s="2">
        <v>8</v>
      </c>
      <c r="B2626" s="1" t="s">
        <v>240</v>
      </c>
      <c r="C2626" s="4">
        <v>3</v>
      </c>
      <c r="D2626" s="8">
        <v>2.83</v>
      </c>
      <c r="E2626" s="4">
        <v>2</v>
      </c>
      <c r="F2626" s="8">
        <v>2.74</v>
      </c>
      <c r="G2626" s="4">
        <v>1</v>
      </c>
      <c r="H2626" s="8">
        <v>3.33</v>
      </c>
      <c r="I2626" s="4">
        <v>0</v>
      </c>
    </row>
    <row r="2627" spans="1:9" x14ac:dyDescent="0.2">
      <c r="A2627" s="2">
        <v>13</v>
      </c>
      <c r="B2627" s="1" t="s">
        <v>222</v>
      </c>
      <c r="C2627" s="4">
        <v>2</v>
      </c>
      <c r="D2627" s="8">
        <v>1.89</v>
      </c>
      <c r="E2627" s="4">
        <v>2</v>
      </c>
      <c r="F2627" s="8">
        <v>2.74</v>
      </c>
      <c r="G2627" s="4">
        <v>0</v>
      </c>
      <c r="H2627" s="8">
        <v>0</v>
      </c>
      <c r="I2627" s="4">
        <v>0</v>
      </c>
    </row>
    <row r="2628" spans="1:9" x14ac:dyDescent="0.2">
      <c r="A2628" s="2">
        <v>13</v>
      </c>
      <c r="B2628" s="1" t="s">
        <v>233</v>
      </c>
      <c r="C2628" s="4">
        <v>2</v>
      </c>
      <c r="D2628" s="8">
        <v>1.89</v>
      </c>
      <c r="E2628" s="4">
        <v>0</v>
      </c>
      <c r="F2628" s="8">
        <v>0</v>
      </c>
      <c r="G2628" s="4">
        <v>2</v>
      </c>
      <c r="H2628" s="8">
        <v>6.67</v>
      </c>
      <c r="I2628" s="4">
        <v>0</v>
      </c>
    </row>
    <row r="2629" spans="1:9" x14ac:dyDescent="0.2">
      <c r="A2629" s="2">
        <v>13</v>
      </c>
      <c r="B2629" s="1" t="s">
        <v>224</v>
      </c>
      <c r="C2629" s="4">
        <v>2</v>
      </c>
      <c r="D2629" s="8">
        <v>1.89</v>
      </c>
      <c r="E2629" s="4">
        <v>2</v>
      </c>
      <c r="F2629" s="8">
        <v>2.74</v>
      </c>
      <c r="G2629" s="4">
        <v>0</v>
      </c>
      <c r="H2629" s="8">
        <v>0</v>
      </c>
      <c r="I2629" s="4">
        <v>0</v>
      </c>
    </row>
    <row r="2630" spans="1:9" x14ac:dyDescent="0.2">
      <c r="A2630" s="2">
        <v>13</v>
      </c>
      <c r="B2630" s="1" t="s">
        <v>231</v>
      </c>
      <c r="C2630" s="4">
        <v>2</v>
      </c>
      <c r="D2630" s="8">
        <v>1.89</v>
      </c>
      <c r="E2630" s="4">
        <v>2</v>
      </c>
      <c r="F2630" s="8">
        <v>2.74</v>
      </c>
      <c r="G2630" s="4">
        <v>0</v>
      </c>
      <c r="H2630" s="8">
        <v>0</v>
      </c>
      <c r="I2630" s="4">
        <v>0</v>
      </c>
    </row>
    <row r="2631" spans="1:9" x14ac:dyDescent="0.2">
      <c r="A2631" s="2">
        <v>17</v>
      </c>
      <c r="B2631" s="1" t="s">
        <v>241</v>
      </c>
      <c r="C2631" s="4">
        <v>1</v>
      </c>
      <c r="D2631" s="8">
        <v>0.94</v>
      </c>
      <c r="E2631" s="4">
        <v>1</v>
      </c>
      <c r="F2631" s="8">
        <v>1.37</v>
      </c>
      <c r="G2631" s="4">
        <v>0</v>
      </c>
      <c r="H2631" s="8">
        <v>0</v>
      </c>
      <c r="I2631" s="4">
        <v>0</v>
      </c>
    </row>
    <row r="2632" spans="1:9" x14ac:dyDescent="0.2">
      <c r="A2632" s="2">
        <v>17</v>
      </c>
      <c r="B2632" s="1" t="s">
        <v>262</v>
      </c>
      <c r="C2632" s="4">
        <v>1</v>
      </c>
      <c r="D2632" s="8">
        <v>0.94</v>
      </c>
      <c r="E2632" s="4">
        <v>0</v>
      </c>
      <c r="F2632" s="8">
        <v>0</v>
      </c>
      <c r="G2632" s="4">
        <v>1</v>
      </c>
      <c r="H2632" s="8">
        <v>3.33</v>
      </c>
      <c r="I2632" s="4">
        <v>0</v>
      </c>
    </row>
    <row r="2633" spans="1:9" x14ac:dyDescent="0.2">
      <c r="A2633" s="2">
        <v>17</v>
      </c>
      <c r="B2633" s="1" t="s">
        <v>244</v>
      </c>
      <c r="C2633" s="4">
        <v>1</v>
      </c>
      <c r="D2633" s="8">
        <v>0.94</v>
      </c>
      <c r="E2633" s="4">
        <v>0</v>
      </c>
      <c r="F2633" s="8">
        <v>0</v>
      </c>
      <c r="G2633" s="4">
        <v>1</v>
      </c>
      <c r="H2633" s="8">
        <v>3.33</v>
      </c>
      <c r="I2633" s="4">
        <v>0</v>
      </c>
    </row>
    <row r="2634" spans="1:9" x14ac:dyDescent="0.2">
      <c r="A2634" s="2">
        <v>17</v>
      </c>
      <c r="B2634" s="1" t="s">
        <v>268</v>
      </c>
      <c r="C2634" s="4">
        <v>1</v>
      </c>
      <c r="D2634" s="8">
        <v>0.94</v>
      </c>
      <c r="E2634" s="4">
        <v>1</v>
      </c>
      <c r="F2634" s="8">
        <v>1.37</v>
      </c>
      <c r="G2634" s="4">
        <v>0</v>
      </c>
      <c r="H2634" s="8">
        <v>0</v>
      </c>
      <c r="I2634" s="4">
        <v>0</v>
      </c>
    </row>
    <row r="2635" spans="1:9" x14ac:dyDescent="0.2">
      <c r="A2635" s="2">
        <v>17</v>
      </c>
      <c r="B2635" s="1" t="s">
        <v>255</v>
      </c>
      <c r="C2635" s="4">
        <v>1</v>
      </c>
      <c r="D2635" s="8">
        <v>0.94</v>
      </c>
      <c r="E2635" s="4">
        <v>0</v>
      </c>
      <c r="F2635" s="8">
        <v>0</v>
      </c>
      <c r="G2635" s="4">
        <v>0</v>
      </c>
      <c r="H2635" s="8">
        <v>0</v>
      </c>
      <c r="I2635" s="4">
        <v>0</v>
      </c>
    </row>
    <row r="2636" spans="1:9" x14ac:dyDescent="0.2">
      <c r="A2636" s="2">
        <v>17</v>
      </c>
      <c r="B2636" s="1" t="s">
        <v>235</v>
      </c>
      <c r="C2636" s="4">
        <v>1</v>
      </c>
      <c r="D2636" s="8">
        <v>0.94</v>
      </c>
      <c r="E2636" s="4">
        <v>0</v>
      </c>
      <c r="F2636" s="8">
        <v>0</v>
      </c>
      <c r="G2636" s="4">
        <v>1</v>
      </c>
      <c r="H2636" s="8">
        <v>3.33</v>
      </c>
      <c r="I2636" s="4">
        <v>0</v>
      </c>
    </row>
    <row r="2637" spans="1:9" x14ac:dyDescent="0.2">
      <c r="A2637" s="2">
        <v>17</v>
      </c>
      <c r="B2637" s="1" t="s">
        <v>217</v>
      </c>
      <c r="C2637" s="4">
        <v>1</v>
      </c>
      <c r="D2637" s="8">
        <v>0.94</v>
      </c>
      <c r="E2637" s="4">
        <v>0</v>
      </c>
      <c r="F2637" s="8">
        <v>0</v>
      </c>
      <c r="G2637" s="4">
        <v>1</v>
      </c>
      <c r="H2637" s="8">
        <v>3.33</v>
      </c>
      <c r="I2637" s="4">
        <v>0</v>
      </c>
    </row>
    <row r="2638" spans="1:9" x14ac:dyDescent="0.2">
      <c r="A2638" s="2">
        <v>17</v>
      </c>
      <c r="B2638" s="1" t="s">
        <v>220</v>
      </c>
      <c r="C2638" s="4">
        <v>1</v>
      </c>
      <c r="D2638" s="8">
        <v>0.94</v>
      </c>
      <c r="E2638" s="4">
        <v>1</v>
      </c>
      <c r="F2638" s="8">
        <v>1.37</v>
      </c>
      <c r="G2638" s="4">
        <v>0</v>
      </c>
      <c r="H2638" s="8">
        <v>0</v>
      </c>
      <c r="I2638" s="4">
        <v>0</v>
      </c>
    </row>
    <row r="2639" spans="1:9" x14ac:dyDescent="0.2">
      <c r="A2639" s="2">
        <v>17</v>
      </c>
      <c r="B2639" s="1" t="s">
        <v>236</v>
      </c>
      <c r="C2639" s="4">
        <v>1</v>
      </c>
      <c r="D2639" s="8">
        <v>0.94</v>
      </c>
      <c r="E2639" s="4">
        <v>0</v>
      </c>
      <c r="F2639" s="8">
        <v>0</v>
      </c>
      <c r="G2639" s="4">
        <v>1</v>
      </c>
      <c r="H2639" s="8">
        <v>3.33</v>
      </c>
      <c r="I2639" s="4">
        <v>0</v>
      </c>
    </row>
    <row r="2640" spans="1:9" x14ac:dyDescent="0.2">
      <c r="A2640" s="2">
        <v>17</v>
      </c>
      <c r="B2640" s="1" t="s">
        <v>247</v>
      </c>
      <c r="C2640" s="4">
        <v>1</v>
      </c>
      <c r="D2640" s="8">
        <v>0.94</v>
      </c>
      <c r="E2640" s="4">
        <v>0</v>
      </c>
      <c r="F2640" s="8">
        <v>0</v>
      </c>
      <c r="G2640" s="4">
        <v>0</v>
      </c>
      <c r="H2640" s="8">
        <v>0</v>
      </c>
      <c r="I2640" s="4">
        <v>0</v>
      </c>
    </row>
    <row r="2641" spans="1:9" x14ac:dyDescent="0.2">
      <c r="A2641" s="2">
        <v>17</v>
      </c>
      <c r="B2641" s="1" t="s">
        <v>242</v>
      </c>
      <c r="C2641" s="4">
        <v>1</v>
      </c>
      <c r="D2641" s="8">
        <v>0.94</v>
      </c>
      <c r="E2641" s="4">
        <v>0</v>
      </c>
      <c r="F2641" s="8">
        <v>0</v>
      </c>
      <c r="G2641" s="4">
        <v>1</v>
      </c>
      <c r="H2641" s="8">
        <v>3.33</v>
      </c>
      <c r="I2641" s="4">
        <v>0</v>
      </c>
    </row>
    <row r="2642" spans="1:9" x14ac:dyDescent="0.2">
      <c r="A2642" s="1"/>
      <c r="C2642" s="4"/>
      <c r="D2642" s="8"/>
      <c r="E2642" s="4"/>
      <c r="F2642" s="8"/>
      <c r="G2642" s="4"/>
      <c r="H2642" s="8"/>
      <c r="I2642" s="4"/>
    </row>
    <row r="2643" spans="1:9" x14ac:dyDescent="0.2">
      <c r="A2643" s="1" t="s">
        <v>107</v>
      </c>
      <c r="C2643" s="4"/>
      <c r="D2643" s="8"/>
      <c r="E2643" s="4"/>
      <c r="F2643" s="8"/>
      <c r="G2643" s="4"/>
      <c r="H2643" s="8"/>
      <c r="I2643" s="4"/>
    </row>
    <row r="2644" spans="1:9" x14ac:dyDescent="0.2">
      <c r="A2644" s="2">
        <v>1</v>
      </c>
      <c r="B2644" s="1" t="s">
        <v>227</v>
      </c>
      <c r="C2644" s="4">
        <v>18</v>
      </c>
      <c r="D2644" s="8">
        <v>24.66</v>
      </c>
      <c r="E2644" s="4">
        <v>16</v>
      </c>
      <c r="F2644" s="8">
        <v>43.24</v>
      </c>
      <c r="G2644" s="4">
        <v>1</v>
      </c>
      <c r="H2644" s="8">
        <v>3.33</v>
      </c>
      <c r="I2644" s="4">
        <v>1</v>
      </c>
    </row>
    <row r="2645" spans="1:9" x14ac:dyDescent="0.2">
      <c r="A2645" s="2">
        <v>2</v>
      </c>
      <c r="B2645" s="1" t="s">
        <v>223</v>
      </c>
      <c r="C2645" s="4">
        <v>6</v>
      </c>
      <c r="D2645" s="8">
        <v>8.2200000000000006</v>
      </c>
      <c r="E2645" s="4">
        <v>3</v>
      </c>
      <c r="F2645" s="8">
        <v>8.11</v>
      </c>
      <c r="G2645" s="4">
        <v>3</v>
      </c>
      <c r="H2645" s="8">
        <v>10</v>
      </c>
      <c r="I2645" s="4">
        <v>0</v>
      </c>
    </row>
    <row r="2646" spans="1:9" x14ac:dyDescent="0.2">
      <c r="A2646" s="2">
        <v>3</v>
      </c>
      <c r="B2646" s="1" t="s">
        <v>228</v>
      </c>
      <c r="C2646" s="4">
        <v>5</v>
      </c>
      <c r="D2646" s="8">
        <v>6.85</v>
      </c>
      <c r="E2646" s="4">
        <v>5</v>
      </c>
      <c r="F2646" s="8">
        <v>13.51</v>
      </c>
      <c r="G2646" s="4">
        <v>0</v>
      </c>
      <c r="H2646" s="8">
        <v>0</v>
      </c>
      <c r="I2646" s="4">
        <v>0</v>
      </c>
    </row>
    <row r="2647" spans="1:9" x14ac:dyDescent="0.2">
      <c r="A2647" s="2">
        <v>4</v>
      </c>
      <c r="B2647" s="1" t="s">
        <v>213</v>
      </c>
      <c r="C2647" s="4">
        <v>4</v>
      </c>
      <c r="D2647" s="8">
        <v>5.48</v>
      </c>
      <c r="E2647" s="4">
        <v>0</v>
      </c>
      <c r="F2647" s="8">
        <v>0</v>
      </c>
      <c r="G2647" s="4">
        <v>4</v>
      </c>
      <c r="H2647" s="8">
        <v>13.33</v>
      </c>
      <c r="I2647" s="4">
        <v>0</v>
      </c>
    </row>
    <row r="2648" spans="1:9" x14ac:dyDescent="0.2">
      <c r="A2648" s="2">
        <v>4</v>
      </c>
      <c r="B2648" s="1" t="s">
        <v>221</v>
      </c>
      <c r="C2648" s="4">
        <v>4</v>
      </c>
      <c r="D2648" s="8">
        <v>5.48</v>
      </c>
      <c r="E2648" s="4">
        <v>2</v>
      </c>
      <c r="F2648" s="8">
        <v>5.41</v>
      </c>
      <c r="G2648" s="4">
        <v>2</v>
      </c>
      <c r="H2648" s="8">
        <v>6.67</v>
      </c>
      <c r="I2648" s="4">
        <v>0</v>
      </c>
    </row>
    <row r="2649" spans="1:9" x14ac:dyDescent="0.2">
      <c r="A2649" s="2">
        <v>6</v>
      </c>
      <c r="B2649" s="1" t="s">
        <v>214</v>
      </c>
      <c r="C2649" s="4">
        <v>3</v>
      </c>
      <c r="D2649" s="8">
        <v>4.1100000000000003</v>
      </c>
      <c r="E2649" s="4">
        <v>2</v>
      </c>
      <c r="F2649" s="8">
        <v>5.41</v>
      </c>
      <c r="G2649" s="4">
        <v>1</v>
      </c>
      <c r="H2649" s="8">
        <v>3.33</v>
      </c>
      <c r="I2649" s="4">
        <v>0</v>
      </c>
    </row>
    <row r="2650" spans="1:9" x14ac:dyDescent="0.2">
      <c r="A2650" s="2">
        <v>6</v>
      </c>
      <c r="B2650" s="1" t="s">
        <v>241</v>
      </c>
      <c r="C2650" s="4">
        <v>3</v>
      </c>
      <c r="D2650" s="8">
        <v>4.1100000000000003</v>
      </c>
      <c r="E2650" s="4">
        <v>1</v>
      </c>
      <c r="F2650" s="8">
        <v>2.7</v>
      </c>
      <c r="G2650" s="4">
        <v>2</v>
      </c>
      <c r="H2650" s="8">
        <v>6.67</v>
      </c>
      <c r="I2650" s="4">
        <v>0</v>
      </c>
    </row>
    <row r="2651" spans="1:9" x14ac:dyDescent="0.2">
      <c r="A2651" s="2">
        <v>6</v>
      </c>
      <c r="B2651" s="1" t="s">
        <v>255</v>
      </c>
      <c r="C2651" s="4">
        <v>3</v>
      </c>
      <c r="D2651" s="8">
        <v>4.1100000000000003</v>
      </c>
      <c r="E2651" s="4">
        <v>0</v>
      </c>
      <c r="F2651" s="8">
        <v>0</v>
      </c>
      <c r="G2651" s="4">
        <v>1</v>
      </c>
      <c r="H2651" s="8">
        <v>3.33</v>
      </c>
      <c r="I2651" s="4">
        <v>0</v>
      </c>
    </row>
    <row r="2652" spans="1:9" x14ac:dyDescent="0.2">
      <c r="A2652" s="2">
        <v>9</v>
      </c>
      <c r="B2652" s="1" t="s">
        <v>215</v>
      </c>
      <c r="C2652" s="4">
        <v>2</v>
      </c>
      <c r="D2652" s="8">
        <v>2.74</v>
      </c>
      <c r="E2652" s="4">
        <v>0</v>
      </c>
      <c r="F2652" s="8">
        <v>0</v>
      </c>
      <c r="G2652" s="4">
        <v>2</v>
      </c>
      <c r="H2652" s="8">
        <v>6.67</v>
      </c>
      <c r="I2652" s="4">
        <v>0</v>
      </c>
    </row>
    <row r="2653" spans="1:9" x14ac:dyDescent="0.2">
      <c r="A2653" s="2">
        <v>9</v>
      </c>
      <c r="B2653" s="1" t="s">
        <v>261</v>
      </c>
      <c r="C2653" s="4">
        <v>2</v>
      </c>
      <c r="D2653" s="8">
        <v>2.74</v>
      </c>
      <c r="E2653" s="4">
        <v>0</v>
      </c>
      <c r="F2653" s="8">
        <v>0</v>
      </c>
      <c r="G2653" s="4">
        <v>2</v>
      </c>
      <c r="H2653" s="8">
        <v>6.67</v>
      </c>
      <c r="I2653" s="4">
        <v>0</v>
      </c>
    </row>
    <row r="2654" spans="1:9" x14ac:dyDescent="0.2">
      <c r="A2654" s="2">
        <v>9</v>
      </c>
      <c r="B2654" s="1" t="s">
        <v>233</v>
      </c>
      <c r="C2654" s="4">
        <v>2</v>
      </c>
      <c r="D2654" s="8">
        <v>2.74</v>
      </c>
      <c r="E2654" s="4">
        <v>0</v>
      </c>
      <c r="F2654" s="8">
        <v>0</v>
      </c>
      <c r="G2654" s="4">
        <v>2</v>
      </c>
      <c r="H2654" s="8">
        <v>6.67</v>
      </c>
      <c r="I2654" s="4">
        <v>0</v>
      </c>
    </row>
    <row r="2655" spans="1:9" x14ac:dyDescent="0.2">
      <c r="A2655" s="2">
        <v>9</v>
      </c>
      <c r="B2655" s="1" t="s">
        <v>239</v>
      </c>
      <c r="C2655" s="4">
        <v>2</v>
      </c>
      <c r="D2655" s="8">
        <v>2.74</v>
      </c>
      <c r="E2655" s="4">
        <v>0</v>
      </c>
      <c r="F2655" s="8">
        <v>0</v>
      </c>
      <c r="G2655" s="4">
        <v>2</v>
      </c>
      <c r="H2655" s="8">
        <v>6.67</v>
      </c>
      <c r="I2655" s="4">
        <v>0</v>
      </c>
    </row>
    <row r="2656" spans="1:9" x14ac:dyDescent="0.2">
      <c r="A2656" s="2">
        <v>9</v>
      </c>
      <c r="B2656" s="1" t="s">
        <v>229</v>
      </c>
      <c r="C2656" s="4">
        <v>2</v>
      </c>
      <c r="D2656" s="8">
        <v>2.74</v>
      </c>
      <c r="E2656" s="4">
        <v>0</v>
      </c>
      <c r="F2656" s="8">
        <v>0</v>
      </c>
      <c r="G2656" s="4">
        <v>0</v>
      </c>
      <c r="H2656" s="8">
        <v>0</v>
      </c>
      <c r="I2656" s="4">
        <v>0</v>
      </c>
    </row>
    <row r="2657" spans="1:9" x14ac:dyDescent="0.2">
      <c r="A2657" s="2">
        <v>9</v>
      </c>
      <c r="B2657" s="1" t="s">
        <v>247</v>
      </c>
      <c r="C2657" s="4">
        <v>2</v>
      </c>
      <c r="D2657" s="8">
        <v>2.74</v>
      </c>
      <c r="E2657" s="4">
        <v>1</v>
      </c>
      <c r="F2657" s="8">
        <v>2.7</v>
      </c>
      <c r="G2657" s="4">
        <v>1</v>
      </c>
      <c r="H2657" s="8">
        <v>3.33</v>
      </c>
      <c r="I2657" s="4">
        <v>0</v>
      </c>
    </row>
    <row r="2658" spans="1:9" x14ac:dyDescent="0.2">
      <c r="A2658" s="2">
        <v>9</v>
      </c>
      <c r="B2658" s="1" t="s">
        <v>231</v>
      </c>
      <c r="C2658" s="4">
        <v>2</v>
      </c>
      <c r="D2658" s="8">
        <v>2.74</v>
      </c>
      <c r="E2658" s="4">
        <v>2</v>
      </c>
      <c r="F2658" s="8">
        <v>5.41</v>
      </c>
      <c r="G2658" s="4">
        <v>0</v>
      </c>
      <c r="H2658" s="8">
        <v>0</v>
      </c>
      <c r="I2658" s="4">
        <v>0</v>
      </c>
    </row>
    <row r="2659" spans="1:9" x14ac:dyDescent="0.2">
      <c r="A2659" s="2">
        <v>9</v>
      </c>
      <c r="B2659" s="1" t="s">
        <v>234</v>
      </c>
      <c r="C2659" s="4">
        <v>2</v>
      </c>
      <c r="D2659" s="8">
        <v>2.74</v>
      </c>
      <c r="E2659" s="4">
        <v>0</v>
      </c>
      <c r="F2659" s="8">
        <v>0</v>
      </c>
      <c r="G2659" s="4">
        <v>2</v>
      </c>
      <c r="H2659" s="8">
        <v>6.67</v>
      </c>
      <c r="I2659" s="4">
        <v>0</v>
      </c>
    </row>
    <row r="2660" spans="1:9" x14ac:dyDescent="0.2">
      <c r="A2660" s="2">
        <v>17</v>
      </c>
      <c r="B2660" s="1" t="s">
        <v>273</v>
      </c>
      <c r="C2660" s="4">
        <v>1</v>
      </c>
      <c r="D2660" s="8">
        <v>1.37</v>
      </c>
      <c r="E2660" s="4">
        <v>0</v>
      </c>
      <c r="F2660" s="8">
        <v>0</v>
      </c>
      <c r="G2660" s="4">
        <v>1</v>
      </c>
      <c r="H2660" s="8">
        <v>3.33</v>
      </c>
      <c r="I2660" s="4">
        <v>0</v>
      </c>
    </row>
    <row r="2661" spans="1:9" x14ac:dyDescent="0.2">
      <c r="A2661" s="2">
        <v>17</v>
      </c>
      <c r="B2661" s="1" t="s">
        <v>279</v>
      </c>
      <c r="C2661" s="4">
        <v>1</v>
      </c>
      <c r="D2661" s="8">
        <v>1.37</v>
      </c>
      <c r="E2661" s="4">
        <v>1</v>
      </c>
      <c r="F2661" s="8">
        <v>2.7</v>
      </c>
      <c r="G2661" s="4">
        <v>0</v>
      </c>
      <c r="H2661" s="8">
        <v>0</v>
      </c>
      <c r="I2661" s="4">
        <v>0</v>
      </c>
    </row>
    <row r="2662" spans="1:9" x14ac:dyDescent="0.2">
      <c r="A2662" s="2">
        <v>17</v>
      </c>
      <c r="B2662" s="1" t="s">
        <v>254</v>
      </c>
      <c r="C2662" s="4">
        <v>1</v>
      </c>
      <c r="D2662" s="8">
        <v>1.37</v>
      </c>
      <c r="E2662" s="4">
        <v>0</v>
      </c>
      <c r="F2662" s="8">
        <v>0</v>
      </c>
      <c r="G2662" s="4">
        <v>1</v>
      </c>
      <c r="H2662" s="8">
        <v>3.33</v>
      </c>
      <c r="I2662" s="4">
        <v>0</v>
      </c>
    </row>
    <row r="2663" spans="1:9" x14ac:dyDescent="0.2">
      <c r="A2663" s="2">
        <v>17</v>
      </c>
      <c r="B2663" s="1" t="s">
        <v>268</v>
      </c>
      <c r="C2663" s="4">
        <v>1</v>
      </c>
      <c r="D2663" s="8">
        <v>1.37</v>
      </c>
      <c r="E2663" s="4">
        <v>1</v>
      </c>
      <c r="F2663" s="8">
        <v>2.7</v>
      </c>
      <c r="G2663" s="4">
        <v>0</v>
      </c>
      <c r="H2663" s="8">
        <v>0</v>
      </c>
      <c r="I2663" s="4">
        <v>0</v>
      </c>
    </row>
    <row r="2664" spans="1:9" x14ac:dyDescent="0.2">
      <c r="A2664" s="2">
        <v>17</v>
      </c>
      <c r="B2664" s="1" t="s">
        <v>248</v>
      </c>
      <c r="C2664" s="4">
        <v>1</v>
      </c>
      <c r="D2664" s="8">
        <v>1.37</v>
      </c>
      <c r="E2664" s="4">
        <v>1</v>
      </c>
      <c r="F2664" s="8">
        <v>2.7</v>
      </c>
      <c r="G2664" s="4">
        <v>0</v>
      </c>
      <c r="H2664" s="8">
        <v>0</v>
      </c>
      <c r="I2664" s="4">
        <v>0</v>
      </c>
    </row>
    <row r="2665" spans="1:9" x14ac:dyDescent="0.2">
      <c r="A2665" s="2">
        <v>17</v>
      </c>
      <c r="B2665" s="1" t="s">
        <v>274</v>
      </c>
      <c r="C2665" s="4">
        <v>1</v>
      </c>
      <c r="D2665" s="8">
        <v>1.37</v>
      </c>
      <c r="E2665" s="4">
        <v>1</v>
      </c>
      <c r="F2665" s="8">
        <v>2.7</v>
      </c>
      <c r="G2665" s="4">
        <v>0</v>
      </c>
      <c r="H2665" s="8">
        <v>0</v>
      </c>
      <c r="I2665" s="4">
        <v>0</v>
      </c>
    </row>
    <row r="2666" spans="1:9" x14ac:dyDescent="0.2">
      <c r="A2666" s="2">
        <v>17</v>
      </c>
      <c r="B2666" s="1" t="s">
        <v>219</v>
      </c>
      <c r="C2666" s="4">
        <v>1</v>
      </c>
      <c r="D2666" s="8">
        <v>1.37</v>
      </c>
      <c r="E2666" s="4">
        <v>0</v>
      </c>
      <c r="F2666" s="8">
        <v>0</v>
      </c>
      <c r="G2666" s="4">
        <v>1</v>
      </c>
      <c r="H2666" s="8">
        <v>3.33</v>
      </c>
      <c r="I2666" s="4">
        <v>0</v>
      </c>
    </row>
    <row r="2667" spans="1:9" x14ac:dyDescent="0.2">
      <c r="A2667" s="2">
        <v>17</v>
      </c>
      <c r="B2667" s="1" t="s">
        <v>226</v>
      </c>
      <c r="C2667" s="4">
        <v>1</v>
      </c>
      <c r="D2667" s="8">
        <v>1.37</v>
      </c>
      <c r="E2667" s="4">
        <v>1</v>
      </c>
      <c r="F2667" s="8">
        <v>2.7</v>
      </c>
      <c r="G2667" s="4">
        <v>0</v>
      </c>
      <c r="H2667" s="8">
        <v>0</v>
      </c>
      <c r="I2667" s="4">
        <v>0</v>
      </c>
    </row>
    <row r="2668" spans="1:9" x14ac:dyDescent="0.2">
      <c r="A2668" s="2">
        <v>17</v>
      </c>
      <c r="B2668" s="1" t="s">
        <v>232</v>
      </c>
      <c r="C2668" s="4">
        <v>1</v>
      </c>
      <c r="D2668" s="8">
        <v>1.37</v>
      </c>
      <c r="E2668" s="4">
        <v>0</v>
      </c>
      <c r="F2668" s="8">
        <v>0</v>
      </c>
      <c r="G2668" s="4">
        <v>1</v>
      </c>
      <c r="H2668" s="8">
        <v>3.33</v>
      </c>
      <c r="I2668" s="4">
        <v>0</v>
      </c>
    </row>
    <row r="2669" spans="1:9" x14ac:dyDescent="0.2">
      <c r="A2669" s="2">
        <v>17</v>
      </c>
      <c r="B2669" s="1" t="s">
        <v>242</v>
      </c>
      <c r="C2669" s="4">
        <v>1</v>
      </c>
      <c r="D2669" s="8">
        <v>1.37</v>
      </c>
      <c r="E2669" s="4">
        <v>0</v>
      </c>
      <c r="F2669" s="8">
        <v>0</v>
      </c>
      <c r="G2669" s="4">
        <v>1</v>
      </c>
      <c r="H2669" s="8">
        <v>3.33</v>
      </c>
      <c r="I2669" s="4">
        <v>0</v>
      </c>
    </row>
    <row r="2670" spans="1:9" x14ac:dyDescent="0.2">
      <c r="A2670" s="2">
        <v>17</v>
      </c>
      <c r="B2670" s="1" t="s">
        <v>270</v>
      </c>
      <c r="C2670" s="4">
        <v>1</v>
      </c>
      <c r="D2670" s="8">
        <v>1.37</v>
      </c>
      <c r="E2670" s="4">
        <v>0</v>
      </c>
      <c r="F2670" s="8">
        <v>0</v>
      </c>
      <c r="G2670" s="4">
        <v>0</v>
      </c>
      <c r="H2670" s="8">
        <v>0</v>
      </c>
      <c r="I2670" s="4">
        <v>1</v>
      </c>
    </row>
    <row r="2671" spans="1:9" x14ac:dyDescent="0.2">
      <c r="A2671" s="1"/>
      <c r="C2671" s="4"/>
      <c r="D2671" s="8"/>
      <c r="E2671" s="4"/>
      <c r="F2671" s="8"/>
      <c r="G2671" s="4"/>
      <c r="H2671" s="8"/>
      <c r="I2671" s="4"/>
    </row>
    <row r="2672" spans="1:9" x14ac:dyDescent="0.2">
      <c r="A2672" s="1" t="s">
        <v>108</v>
      </c>
      <c r="C2672" s="4"/>
      <c r="D2672" s="8"/>
      <c r="E2672" s="4"/>
      <c r="F2672" s="8"/>
      <c r="G2672" s="4"/>
      <c r="H2672" s="8"/>
      <c r="I2672" s="4"/>
    </row>
    <row r="2673" spans="1:9" x14ac:dyDescent="0.2">
      <c r="A2673" s="2">
        <v>1</v>
      </c>
      <c r="B2673" s="1" t="s">
        <v>227</v>
      </c>
      <c r="C2673" s="4">
        <v>10</v>
      </c>
      <c r="D2673" s="8">
        <v>18.18</v>
      </c>
      <c r="E2673" s="4">
        <v>5</v>
      </c>
      <c r="F2673" s="8">
        <v>21.74</v>
      </c>
      <c r="G2673" s="4">
        <v>5</v>
      </c>
      <c r="H2673" s="8">
        <v>22.73</v>
      </c>
      <c r="I2673" s="4">
        <v>0</v>
      </c>
    </row>
    <row r="2674" spans="1:9" x14ac:dyDescent="0.2">
      <c r="A2674" s="2">
        <v>2</v>
      </c>
      <c r="B2674" s="1" t="s">
        <v>243</v>
      </c>
      <c r="C2674" s="4">
        <v>5</v>
      </c>
      <c r="D2674" s="8">
        <v>9.09</v>
      </c>
      <c r="E2674" s="4">
        <v>1</v>
      </c>
      <c r="F2674" s="8">
        <v>4.3499999999999996</v>
      </c>
      <c r="G2674" s="4">
        <v>4</v>
      </c>
      <c r="H2674" s="8">
        <v>18.18</v>
      </c>
      <c r="I2674" s="4">
        <v>0</v>
      </c>
    </row>
    <row r="2675" spans="1:9" x14ac:dyDescent="0.2">
      <c r="A2675" s="2">
        <v>3</v>
      </c>
      <c r="B2675" s="1" t="s">
        <v>223</v>
      </c>
      <c r="C2675" s="4">
        <v>4</v>
      </c>
      <c r="D2675" s="8">
        <v>7.27</v>
      </c>
      <c r="E2675" s="4">
        <v>2</v>
      </c>
      <c r="F2675" s="8">
        <v>8.6999999999999993</v>
      </c>
      <c r="G2675" s="4">
        <v>2</v>
      </c>
      <c r="H2675" s="8">
        <v>9.09</v>
      </c>
      <c r="I2675" s="4">
        <v>0</v>
      </c>
    </row>
    <row r="2676" spans="1:9" x14ac:dyDescent="0.2">
      <c r="A2676" s="2">
        <v>3</v>
      </c>
      <c r="B2676" s="1" t="s">
        <v>228</v>
      </c>
      <c r="C2676" s="4">
        <v>4</v>
      </c>
      <c r="D2676" s="8">
        <v>7.27</v>
      </c>
      <c r="E2676" s="4">
        <v>4</v>
      </c>
      <c r="F2676" s="8">
        <v>17.39</v>
      </c>
      <c r="G2676" s="4">
        <v>0</v>
      </c>
      <c r="H2676" s="8">
        <v>0</v>
      </c>
      <c r="I2676" s="4">
        <v>0</v>
      </c>
    </row>
    <row r="2677" spans="1:9" x14ac:dyDescent="0.2">
      <c r="A2677" s="2">
        <v>3</v>
      </c>
      <c r="B2677" s="1" t="s">
        <v>232</v>
      </c>
      <c r="C2677" s="4">
        <v>4</v>
      </c>
      <c r="D2677" s="8">
        <v>7.27</v>
      </c>
      <c r="E2677" s="4">
        <v>0</v>
      </c>
      <c r="F2677" s="8">
        <v>0</v>
      </c>
      <c r="G2677" s="4">
        <v>0</v>
      </c>
      <c r="H2677" s="8">
        <v>0</v>
      </c>
      <c r="I2677" s="4">
        <v>0</v>
      </c>
    </row>
    <row r="2678" spans="1:9" x14ac:dyDescent="0.2">
      <c r="A2678" s="2">
        <v>6</v>
      </c>
      <c r="B2678" s="1" t="s">
        <v>240</v>
      </c>
      <c r="C2678" s="4">
        <v>3</v>
      </c>
      <c r="D2678" s="8">
        <v>5.45</v>
      </c>
      <c r="E2678" s="4">
        <v>2</v>
      </c>
      <c r="F2678" s="8">
        <v>8.6999999999999993</v>
      </c>
      <c r="G2678" s="4">
        <v>1</v>
      </c>
      <c r="H2678" s="8">
        <v>4.55</v>
      </c>
      <c r="I2678" s="4">
        <v>0</v>
      </c>
    </row>
    <row r="2679" spans="1:9" x14ac:dyDescent="0.2">
      <c r="A2679" s="2">
        <v>7</v>
      </c>
      <c r="B2679" s="1" t="s">
        <v>255</v>
      </c>
      <c r="C2679" s="4">
        <v>2</v>
      </c>
      <c r="D2679" s="8">
        <v>3.64</v>
      </c>
      <c r="E2679" s="4">
        <v>0</v>
      </c>
      <c r="F2679" s="8">
        <v>0</v>
      </c>
      <c r="G2679" s="4">
        <v>0</v>
      </c>
      <c r="H2679" s="8">
        <v>0</v>
      </c>
      <c r="I2679" s="4">
        <v>0</v>
      </c>
    </row>
    <row r="2680" spans="1:9" x14ac:dyDescent="0.2">
      <c r="A2680" s="2">
        <v>7</v>
      </c>
      <c r="B2680" s="1" t="s">
        <v>216</v>
      </c>
      <c r="C2680" s="4">
        <v>2</v>
      </c>
      <c r="D2680" s="8">
        <v>3.64</v>
      </c>
      <c r="E2680" s="4">
        <v>1</v>
      </c>
      <c r="F2680" s="8">
        <v>4.3499999999999996</v>
      </c>
      <c r="G2680" s="4">
        <v>1</v>
      </c>
      <c r="H2680" s="8">
        <v>4.55</v>
      </c>
      <c r="I2680" s="4">
        <v>0</v>
      </c>
    </row>
    <row r="2681" spans="1:9" x14ac:dyDescent="0.2">
      <c r="A2681" s="2">
        <v>7</v>
      </c>
      <c r="B2681" s="1" t="s">
        <v>221</v>
      </c>
      <c r="C2681" s="4">
        <v>2</v>
      </c>
      <c r="D2681" s="8">
        <v>3.64</v>
      </c>
      <c r="E2681" s="4">
        <v>1</v>
      </c>
      <c r="F2681" s="8">
        <v>4.3499999999999996</v>
      </c>
      <c r="G2681" s="4">
        <v>1</v>
      </c>
      <c r="H2681" s="8">
        <v>4.55</v>
      </c>
      <c r="I2681" s="4">
        <v>0</v>
      </c>
    </row>
    <row r="2682" spans="1:9" x14ac:dyDescent="0.2">
      <c r="A2682" s="2">
        <v>7</v>
      </c>
      <c r="B2682" s="1" t="s">
        <v>225</v>
      </c>
      <c r="C2682" s="4">
        <v>2</v>
      </c>
      <c r="D2682" s="8">
        <v>3.64</v>
      </c>
      <c r="E2682" s="4">
        <v>1</v>
      </c>
      <c r="F2682" s="8">
        <v>4.3499999999999996</v>
      </c>
      <c r="G2682" s="4">
        <v>1</v>
      </c>
      <c r="H2682" s="8">
        <v>4.55</v>
      </c>
      <c r="I2682" s="4">
        <v>0</v>
      </c>
    </row>
    <row r="2683" spans="1:9" x14ac:dyDescent="0.2">
      <c r="A2683" s="2">
        <v>7</v>
      </c>
      <c r="B2683" s="1" t="s">
        <v>230</v>
      </c>
      <c r="C2683" s="4">
        <v>2</v>
      </c>
      <c r="D2683" s="8">
        <v>3.64</v>
      </c>
      <c r="E2683" s="4">
        <v>0</v>
      </c>
      <c r="F2683" s="8">
        <v>0</v>
      </c>
      <c r="G2683" s="4">
        <v>0</v>
      </c>
      <c r="H2683" s="8">
        <v>0</v>
      </c>
      <c r="I2683" s="4">
        <v>0</v>
      </c>
    </row>
    <row r="2684" spans="1:9" x14ac:dyDescent="0.2">
      <c r="A2684" s="2">
        <v>7</v>
      </c>
      <c r="B2684" s="1" t="s">
        <v>231</v>
      </c>
      <c r="C2684" s="4">
        <v>2</v>
      </c>
      <c r="D2684" s="8">
        <v>3.64</v>
      </c>
      <c r="E2684" s="4">
        <v>1</v>
      </c>
      <c r="F2684" s="8">
        <v>4.3499999999999996</v>
      </c>
      <c r="G2684" s="4">
        <v>0</v>
      </c>
      <c r="H2684" s="8">
        <v>0</v>
      </c>
      <c r="I2684" s="4">
        <v>0</v>
      </c>
    </row>
    <row r="2685" spans="1:9" x14ac:dyDescent="0.2">
      <c r="A2685" s="2">
        <v>13</v>
      </c>
      <c r="B2685" s="1" t="s">
        <v>214</v>
      </c>
      <c r="C2685" s="4">
        <v>1</v>
      </c>
      <c r="D2685" s="8">
        <v>1.82</v>
      </c>
      <c r="E2685" s="4">
        <v>0</v>
      </c>
      <c r="F2685" s="8">
        <v>0</v>
      </c>
      <c r="G2685" s="4">
        <v>1</v>
      </c>
      <c r="H2685" s="8">
        <v>4.55</v>
      </c>
      <c r="I2685" s="4">
        <v>0</v>
      </c>
    </row>
    <row r="2686" spans="1:9" x14ac:dyDescent="0.2">
      <c r="A2686" s="2">
        <v>13</v>
      </c>
      <c r="B2686" s="1" t="s">
        <v>215</v>
      </c>
      <c r="C2686" s="4">
        <v>1</v>
      </c>
      <c r="D2686" s="8">
        <v>1.82</v>
      </c>
      <c r="E2686" s="4">
        <v>1</v>
      </c>
      <c r="F2686" s="8">
        <v>4.3499999999999996</v>
      </c>
      <c r="G2686" s="4">
        <v>0</v>
      </c>
      <c r="H2686" s="8">
        <v>0</v>
      </c>
      <c r="I2686" s="4">
        <v>0</v>
      </c>
    </row>
    <row r="2687" spans="1:9" x14ac:dyDescent="0.2">
      <c r="A2687" s="2">
        <v>13</v>
      </c>
      <c r="B2687" s="1" t="s">
        <v>241</v>
      </c>
      <c r="C2687" s="4">
        <v>1</v>
      </c>
      <c r="D2687" s="8">
        <v>1.82</v>
      </c>
      <c r="E2687" s="4">
        <v>0</v>
      </c>
      <c r="F2687" s="8">
        <v>0</v>
      </c>
      <c r="G2687" s="4">
        <v>1</v>
      </c>
      <c r="H2687" s="8">
        <v>4.55</v>
      </c>
      <c r="I2687" s="4">
        <v>0</v>
      </c>
    </row>
    <row r="2688" spans="1:9" x14ac:dyDescent="0.2">
      <c r="A2688" s="2">
        <v>13</v>
      </c>
      <c r="B2688" s="1" t="s">
        <v>244</v>
      </c>
      <c r="C2688" s="4">
        <v>1</v>
      </c>
      <c r="D2688" s="8">
        <v>1.82</v>
      </c>
      <c r="E2688" s="4">
        <v>0</v>
      </c>
      <c r="F2688" s="8">
        <v>0</v>
      </c>
      <c r="G2688" s="4">
        <v>1</v>
      </c>
      <c r="H2688" s="8">
        <v>4.55</v>
      </c>
      <c r="I2688" s="4">
        <v>0</v>
      </c>
    </row>
    <row r="2689" spans="1:9" x14ac:dyDescent="0.2">
      <c r="A2689" s="2">
        <v>13</v>
      </c>
      <c r="B2689" s="1" t="s">
        <v>252</v>
      </c>
      <c r="C2689" s="4">
        <v>1</v>
      </c>
      <c r="D2689" s="8">
        <v>1.82</v>
      </c>
      <c r="E2689" s="4">
        <v>0</v>
      </c>
      <c r="F2689" s="8">
        <v>0</v>
      </c>
      <c r="G2689" s="4">
        <v>1</v>
      </c>
      <c r="H2689" s="8">
        <v>4.55</v>
      </c>
      <c r="I2689" s="4">
        <v>0</v>
      </c>
    </row>
    <row r="2690" spans="1:9" x14ac:dyDescent="0.2">
      <c r="A2690" s="2">
        <v>13</v>
      </c>
      <c r="B2690" s="1" t="s">
        <v>268</v>
      </c>
      <c r="C2690" s="4">
        <v>1</v>
      </c>
      <c r="D2690" s="8">
        <v>1.82</v>
      </c>
      <c r="E2690" s="4">
        <v>1</v>
      </c>
      <c r="F2690" s="8">
        <v>4.3499999999999996</v>
      </c>
      <c r="G2690" s="4">
        <v>0</v>
      </c>
      <c r="H2690" s="8">
        <v>0</v>
      </c>
      <c r="I2690" s="4">
        <v>0</v>
      </c>
    </row>
    <row r="2691" spans="1:9" x14ac:dyDescent="0.2">
      <c r="A2691" s="2">
        <v>13</v>
      </c>
      <c r="B2691" s="1" t="s">
        <v>274</v>
      </c>
      <c r="C2691" s="4">
        <v>1</v>
      </c>
      <c r="D2691" s="8">
        <v>1.82</v>
      </c>
      <c r="E2691" s="4">
        <v>1</v>
      </c>
      <c r="F2691" s="8">
        <v>4.3499999999999996</v>
      </c>
      <c r="G2691" s="4">
        <v>0</v>
      </c>
      <c r="H2691" s="8">
        <v>0</v>
      </c>
      <c r="I2691" s="4">
        <v>0</v>
      </c>
    </row>
    <row r="2692" spans="1:9" x14ac:dyDescent="0.2">
      <c r="A2692" s="2">
        <v>13</v>
      </c>
      <c r="B2692" s="1" t="s">
        <v>237</v>
      </c>
      <c r="C2692" s="4">
        <v>1</v>
      </c>
      <c r="D2692" s="8">
        <v>1.82</v>
      </c>
      <c r="E2692" s="4">
        <v>0</v>
      </c>
      <c r="F2692" s="8">
        <v>0</v>
      </c>
      <c r="G2692" s="4">
        <v>1</v>
      </c>
      <c r="H2692" s="8">
        <v>4.55</v>
      </c>
      <c r="I2692" s="4">
        <v>0</v>
      </c>
    </row>
    <row r="2693" spans="1:9" x14ac:dyDescent="0.2">
      <c r="A2693" s="2">
        <v>13</v>
      </c>
      <c r="B2693" s="1" t="s">
        <v>224</v>
      </c>
      <c r="C2693" s="4">
        <v>1</v>
      </c>
      <c r="D2693" s="8">
        <v>1.82</v>
      </c>
      <c r="E2693" s="4">
        <v>0</v>
      </c>
      <c r="F2693" s="8">
        <v>0</v>
      </c>
      <c r="G2693" s="4">
        <v>0</v>
      </c>
      <c r="H2693" s="8">
        <v>0</v>
      </c>
      <c r="I2693" s="4">
        <v>0</v>
      </c>
    </row>
    <row r="2694" spans="1:9" x14ac:dyDescent="0.2">
      <c r="A2694" s="2">
        <v>13</v>
      </c>
      <c r="B2694" s="1" t="s">
        <v>246</v>
      </c>
      <c r="C2694" s="4">
        <v>1</v>
      </c>
      <c r="D2694" s="8">
        <v>1.82</v>
      </c>
      <c r="E2694" s="4">
        <v>0</v>
      </c>
      <c r="F2694" s="8">
        <v>0</v>
      </c>
      <c r="G2694" s="4">
        <v>1</v>
      </c>
      <c r="H2694" s="8">
        <v>4.55</v>
      </c>
      <c r="I2694" s="4">
        <v>0</v>
      </c>
    </row>
    <row r="2695" spans="1:9" x14ac:dyDescent="0.2">
      <c r="A2695" s="2">
        <v>13</v>
      </c>
      <c r="B2695" s="1" t="s">
        <v>239</v>
      </c>
      <c r="C2695" s="4">
        <v>1</v>
      </c>
      <c r="D2695" s="8">
        <v>1.82</v>
      </c>
      <c r="E2695" s="4">
        <v>1</v>
      </c>
      <c r="F2695" s="8">
        <v>4.3499999999999996</v>
      </c>
      <c r="G2695" s="4">
        <v>0</v>
      </c>
      <c r="H2695" s="8">
        <v>0</v>
      </c>
      <c r="I2695" s="4">
        <v>0</v>
      </c>
    </row>
    <row r="2696" spans="1:9" x14ac:dyDescent="0.2">
      <c r="A2696" s="2">
        <v>13</v>
      </c>
      <c r="B2696" s="1" t="s">
        <v>247</v>
      </c>
      <c r="C2696" s="4">
        <v>1</v>
      </c>
      <c r="D2696" s="8">
        <v>1.82</v>
      </c>
      <c r="E2696" s="4">
        <v>1</v>
      </c>
      <c r="F2696" s="8">
        <v>4.3499999999999996</v>
      </c>
      <c r="G2696" s="4">
        <v>0</v>
      </c>
      <c r="H2696" s="8">
        <v>0</v>
      </c>
      <c r="I2696" s="4">
        <v>0</v>
      </c>
    </row>
    <row r="2697" spans="1:9" x14ac:dyDescent="0.2">
      <c r="A2697" s="2">
        <v>13</v>
      </c>
      <c r="B2697" s="1" t="s">
        <v>249</v>
      </c>
      <c r="C2697" s="4">
        <v>1</v>
      </c>
      <c r="D2697" s="8">
        <v>1.82</v>
      </c>
      <c r="E2697" s="4">
        <v>0</v>
      </c>
      <c r="F2697" s="8">
        <v>0</v>
      </c>
      <c r="G2697" s="4">
        <v>1</v>
      </c>
      <c r="H2697" s="8">
        <v>4.55</v>
      </c>
      <c r="I2697" s="4">
        <v>0</v>
      </c>
    </row>
    <row r="2698" spans="1:9" x14ac:dyDescent="0.2">
      <c r="A2698" s="1"/>
      <c r="C2698" s="4"/>
      <c r="D2698" s="8"/>
      <c r="E2698" s="4"/>
      <c r="F2698" s="8"/>
      <c r="G2698" s="4"/>
      <c r="H2698" s="8"/>
      <c r="I2698" s="4"/>
    </row>
    <row r="2699" spans="1:9" x14ac:dyDescent="0.2">
      <c r="A2699" s="1" t="s">
        <v>109</v>
      </c>
      <c r="C2699" s="4"/>
      <c r="D2699" s="8"/>
      <c r="E2699" s="4"/>
      <c r="F2699" s="8"/>
      <c r="G2699" s="4"/>
      <c r="H2699" s="8"/>
      <c r="I2699" s="4"/>
    </row>
    <row r="2700" spans="1:9" x14ac:dyDescent="0.2">
      <c r="A2700" s="2">
        <v>1</v>
      </c>
      <c r="B2700" s="1" t="s">
        <v>227</v>
      </c>
      <c r="C2700" s="4">
        <v>14</v>
      </c>
      <c r="D2700" s="8">
        <v>14.43</v>
      </c>
      <c r="E2700" s="4">
        <v>10</v>
      </c>
      <c r="F2700" s="8">
        <v>17.239999999999998</v>
      </c>
      <c r="G2700" s="4">
        <v>4</v>
      </c>
      <c r="H2700" s="8">
        <v>12.12</v>
      </c>
      <c r="I2700" s="4">
        <v>0</v>
      </c>
    </row>
    <row r="2701" spans="1:9" x14ac:dyDescent="0.2">
      <c r="A2701" s="2">
        <v>2</v>
      </c>
      <c r="B2701" s="1" t="s">
        <v>221</v>
      </c>
      <c r="C2701" s="4">
        <v>12</v>
      </c>
      <c r="D2701" s="8">
        <v>12.37</v>
      </c>
      <c r="E2701" s="4">
        <v>7</v>
      </c>
      <c r="F2701" s="8">
        <v>12.07</v>
      </c>
      <c r="G2701" s="4">
        <v>5</v>
      </c>
      <c r="H2701" s="8">
        <v>15.15</v>
      </c>
      <c r="I2701" s="4">
        <v>0</v>
      </c>
    </row>
    <row r="2702" spans="1:9" x14ac:dyDescent="0.2">
      <c r="A2702" s="2">
        <v>3</v>
      </c>
      <c r="B2702" s="1" t="s">
        <v>228</v>
      </c>
      <c r="C2702" s="4">
        <v>11</v>
      </c>
      <c r="D2702" s="8">
        <v>11.34</v>
      </c>
      <c r="E2702" s="4">
        <v>11</v>
      </c>
      <c r="F2702" s="8">
        <v>18.97</v>
      </c>
      <c r="G2702" s="4">
        <v>0</v>
      </c>
      <c r="H2702" s="8">
        <v>0</v>
      </c>
      <c r="I2702" s="4">
        <v>0</v>
      </c>
    </row>
    <row r="2703" spans="1:9" x14ac:dyDescent="0.2">
      <c r="A2703" s="2">
        <v>4</v>
      </c>
      <c r="B2703" s="1" t="s">
        <v>223</v>
      </c>
      <c r="C2703" s="4">
        <v>10</v>
      </c>
      <c r="D2703" s="8">
        <v>10.31</v>
      </c>
      <c r="E2703" s="4">
        <v>6</v>
      </c>
      <c r="F2703" s="8">
        <v>10.34</v>
      </c>
      <c r="G2703" s="4">
        <v>4</v>
      </c>
      <c r="H2703" s="8">
        <v>12.12</v>
      </c>
      <c r="I2703" s="4">
        <v>0</v>
      </c>
    </row>
    <row r="2704" spans="1:9" x14ac:dyDescent="0.2">
      <c r="A2704" s="2">
        <v>5</v>
      </c>
      <c r="B2704" s="1" t="s">
        <v>222</v>
      </c>
      <c r="C2704" s="4">
        <v>6</v>
      </c>
      <c r="D2704" s="8">
        <v>6.19</v>
      </c>
      <c r="E2704" s="4">
        <v>5</v>
      </c>
      <c r="F2704" s="8">
        <v>8.6199999999999992</v>
      </c>
      <c r="G2704" s="4">
        <v>1</v>
      </c>
      <c r="H2704" s="8">
        <v>3.03</v>
      </c>
      <c r="I2704" s="4">
        <v>0</v>
      </c>
    </row>
    <row r="2705" spans="1:9" x14ac:dyDescent="0.2">
      <c r="A2705" s="2">
        <v>6</v>
      </c>
      <c r="B2705" s="1" t="s">
        <v>230</v>
      </c>
      <c r="C2705" s="4">
        <v>4</v>
      </c>
      <c r="D2705" s="8">
        <v>4.12</v>
      </c>
      <c r="E2705" s="4">
        <v>2</v>
      </c>
      <c r="F2705" s="8">
        <v>3.45</v>
      </c>
      <c r="G2705" s="4">
        <v>0</v>
      </c>
      <c r="H2705" s="8">
        <v>0</v>
      </c>
      <c r="I2705" s="4">
        <v>0</v>
      </c>
    </row>
    <row r="2706" spans="1:9" x14ac:dyDescent="0.2">
      <c r="A2706" s="2">
        <v>6</v>
      </c>
      <c r="B2706" s="1" t="s">
        <v>231</v>
      </c>
      <c r="C2706" s="4">
        <v>4</v>
      </c>
      <c r="D2706" s="8">
        <v>4.12</v>
      </c>
      <c r="E2706" s="4">
        <v>4</v>
      </c>
      <c r="F2706" s="8">
        <v>6.9</v>
      </c>
      <c r="G2706" s="4">
        <v>0</v>
      </c>
      <c r="H2706" s="8">
        <v>0</v>
      </c>
      <c r="I2706" s="4">
        <v>0</v>
      </c>
    </row>
    <row r="2707" spans="1:9" x14ac:dyDescent="0.2">
      <c r="A2707" s="2">
        <v>8</v>
      </c>
      <c r="B2707" s="1" t="s">
        <v>220</v>
      </c>
      <c r="C2707" s="4">
        <v>3</v>
      </c>
      <c r="D2707" s="8">
        <v>3.09</v>
      </c>
      <c r="E2707" s="4">
        <v>1</v>
      </c>
      <c r="F2707" s="8">
        <v>1.72</v>
      </c>
      <c r="G2707" s="4">
        <v>2</v>
      </c>
      <c r="H2707" s="8">
        <v>6.06</v>
      </c>
      <c r="I2707" s="4">
        <v>0</v>
      </c>
    </row>
    <row r="2708" spans="1:9" x14ac:dyDescent="0.2">
      <c r="A2708" s="2">
        <v>8</v>
      </c>
      <c r="B2708" s="1" t="s">
        <v>234</v>
      </c>
      <c r="C2708" s="4">
        <v>3</v>
      </c>
      <c r="D2708" s="8">
        <v>3.09</v>
      </c>
      <c r="E2708" s="4">
        <v>1</v>
      </c>
      <c r="F2708" s="8">
        <v>1.72</v>
      </c>
      <c r="G2708" s="4">
        <v>2</v>
      </c>
      <c r="H2708" s="8">
        <v>6.06</v>
      </c>
      <c r="I2708" s="4">
        <v>0</v>
      </c>
    </row>
    <row r="2709" spans="1:9" x14ac:dyDescent="0.2">
      <c r="A2709" s="2">
        <v>10</v>
      </c>
      <c r="B2709" s="1" t="s">
        <v>213</v>
      </c>
      <c r="C2709" s="4">
        <v>2</v>
      </c>
      <c r="D2709" s="8">
        <v>2.06</v>
      </c>
      <c r="E2709" s="4">
        <v>1</v>
      </c>
      <c r="F2709" s="8">
        <v>1.72</v>
      </c>
      <c r="G2709" s="4">
        <v>1</v>
      </c>
      <c r="H2709" s="8">
        <v>3.03</v>
      </c>
      <c r="I2709" s="4">
        <v>0</v>
      </c>
    </row>
    <row r="2710" spans="1:9" x14ac:dyDescent="0.2">
      <c r="A2710" s="2">
        <v>10</v>
      </c>
      <c r="B2710" s="1" t="s">
        <v>214</v>
      </c>
      <c r="C2710" s="4">
        <v>2</v>
      </c>
      <c r="D2710" s="8">
        <v>2.06</v>
      </c>
      <c r="E2710" s="4">
        <v>1</v>
      </c>
      <c r="F2710" s="8">
        <v>1.72</v>
      </c>
      <c r="G2710" s="4">
        <v>1</v>
      </c>
      <c r="H2710" s="8">
        <v>3.03</v>
      </c>
      <c r="I2710" s="4">
        <v>0</v>
      </c>
    </row>
    <row r="2711" spans="1:9" x14ac:dyDescent="0.2">
      <c r="A2711" s="2">
        <v>10</v>
      </c>
      <c r="B2711" s="1" t="s">
        <v>244</v>
      </c>
      <c r="C2711" s="4">
        <v>2</v>
      </c>
      <c r="D2711" s="8">
        <v>2.06</v>
      </c>
      <c r="E2711" s="4">
        <v>0</v>
      </c>
      <c r="F2711" s="8">
        <v>0</v>
      </c>
      <c r="G2711" s="4">
        <v>2</v>
      </c>
      <c r="H2711" s="8">
        <v>6.06</v>
      </c>
      <c r="I2711" s="4">
        <v>0</v>
      </c>
    </row>
    <row r="2712" spans="1:9" x14ac:dyDescent="0.2">
      <c r="A2712" s="2">
        <v>10</v>
      </c>
      <c r="B2712" s="1" t="s">
        <v>277</v>
      </c>
      <c r="C2712" s="4">
        <v>2</v>
      </c>
      <c r="D2712" s="8">
        <v>2.06</v>
      </c>
      <c r="E2712" s="4">
        <v>1</v>
      </c>
      <c r="F2712" s="8">
        <v>1.72</v>
      </c>
      <c r="G2712" s="4">
        <v>1</v>
      </c>
      <c r="H2712" s="8">
        <v>3.03</v>
      </c>
      <c r="I2712" s="4">
        <v>0</v>
      </c>
    </row>
    <row r="2713" spans="1:9" x14ac:dyDescent="0.2">
      <c r="A2713" s="2">
        <v>10</v>
      </c>
      <c r="B2713" s="1" t="s">
        <v>248</v>
      </c>
      <c r="C2713" s="4">
        <v>2</v>
      </c>
      <c r="D2713" s="8">
        <v>2.06</v>
      </c>
      <c r="E2713" s="4">
        <v>1</v>
      </c>
      <c r="F2713" s="8">
        <v>1.72</v>
      </c>
      <c r="G2713" s="4">
        <v>1</v>
      </c>
      <c r="H2713" s="8">
        <v>3.03</v>
      </c>
      <c r="I2713" s="4">
        <v>0</v>
      </c>
    </row>
    <row r="2714" spans="1:9" x14ac:dyDescent="0.2">
      <c r="A2714" s="2">
        <v>10</v>
      </c>
      <c r="B2714" s="1" t="s">
        <v>256</v>
      </c>
      <c r="C2714" s="4">
        <v>2</v>
      </c>
      <c r="D2714" s="8">
        <v>2.06</v>
      </c>
      <c r="E2714" s="4">
        <v>0</v>
      </c>
      <c r="F2714" s="8">
        <v>0</v>
      </c>
      <c r="G2714" s="4">
        <v>1</v>
      </c>
      <c r="H2714" s="8">
        <v>3.03</v>
      </c>
      <c r="I2714" s="4">
        <v>0</v>
      </c>
    </row>
    <row r="2715" spans="1:9" x14ac:dyDescent="0.2">
      <c r="A2715" s="2">
        <v>10</v>
      </c>
      <c r="B2715" s="1" t="s">
        <v>226</v>
      </c>
      <c r="C2715" s="4">
        <v>2</v>
      </c>
      <c r="D2715" s="8">
        <v>2.06</v>
      </c>
      <c r="E2715" s="4">
        <v>2</v>
      </c>
      <c r="F2715" s="8">
        <v>3.45</v>
      </c>
      <c r="G2715" s="4">
        <v>0</v>
      </c>
      <c r="H2715" s="8">
        <v>0</v>
      </c>
      <c r="I2715" s="4">
        <v>0</v>
      </c>
    </row>
    <row r="2716" spans="1:9" x14ac:dyDescent="0.2">
      <c r="A2716" s="2">
        <v>10</v>
      </c>
      <c r="B2716" s="1" t="s">
        <v>229</v>
      </c>
      <c r="C2716" s="4">
        <v>2</v>
      </c>
      <c r="D2716" s="8">
        <v>2.06</v>
      </c>
      <c r="E2716" s="4">
        <v>1</v>
      </c>
      <c r="F2716" s="8">
        <v>1.72</v>
      </c>
      <c r="G2716" s="4">
        <v>1</v>
      </c>
      <c r="H2716" s="8">
        <v>3.03</v>
      </c>
      <c r="I2716" s="4">
        <v>0</v>
      </c>
    </row>
    <row r="2717" spans="1:9" x14ac:dyDescent="0.2">
      <c r="A2717" s="2">
        <v>18</v>
      </c>
      <c r="B2717" s="1" t="s">
        <v>215</v>
      </c>
      <c r="C2717" s="4">
        <v>1</v>
      </c>
      <c r="D2717" s="8">
        <v>1.03</v>
      </c>
      <c r="E2717" s="4">
        <v>0</v>
      </c>
      <c r="F2717" s="8">
        <v>0</v>
      </c>
      <c r="G2717" s="4">
        <v>1</v>
      </c>
      <c r="H2717" s="8">
        <v>3.03</v>
      </c>
      <c r="I2717" s="4">
        <v>0</v>
      </c>
    </row>
    <row r="2718" spans="1:9" x14ac:dyDescent="0.2">
      <c r="A2718" s="2">
        <v>18</v>
      </c>
      <c r="B2718" s="1" t="s">
        <v>241</v>
      </c>
      <c r="C2718" s="4">
        <v>1</v>
      </c>
      <c r="D2718" s="8">
        <v>1.03</v>
      </c>
      <c r="E2718" s="4">
        <v>0</v>
      </c>
      <c r="F2718" s="8">
        <v>0</v>
      </c>
      <c r="G2718" s="4">
        <v>1</v>
      </c>
      <c r="H2718" s="8">
        <v>3.03</v>
      </c>
      <c r="I2718" s="4">
        <v>0</v>
      </c>
    </row>
    <row r="2719" spans="1:9" x14ac:dyDescent="0.2">
      <c r="A2719" s="2">
        <v>18</v>
      </c>
      <c r="B2719" s="1" t="s">
        <v>258</v>
      </c>
      <c r="C2719" s="4">
        <v>1</v>
      </c>
      <c r="D2719" s="8">
        <v>1.03</v>
      </c>
      <c r="E2719" s="4">
        <v>1</v>
      </c>
      <c r="F2719" s="8">
        <v>1.72</v>
      </c>
      <c r="G2719" s="4">
        <v>0</v>
      </c>
      <c r="H2719" s="8">
        <v>0</v>
      </c>
      <c r="I2719" s="4">
        <v>0</v>
      </c>
    </row>
    <row r="2720" spans="1:9" x14ac:dyDescent="0.2">
      <c r="A2720" s="2">
        <v>18</v>
      </c>
      <c r="B2720" s="1" t="s">
        <v>253</v>
      </c>
      <c r="C2720" s="4">
        <v>1</v>
      </c>
      <c r="D2720" s="8">
        <v>1.03</v>
      </c>
      <c r="E2720" s="4">
        <v>0</v>
      </c>
      <c r="F2720" s="8">
        <v>0</v>
      </c>
      <c r="G2720" s="4">
        <v>1</v>
      </c>
      <c r="H2720" s="8">
        <v>3.03</v>
      </c>
      <c r="I2720" s="4">
        <v>0</v>
      </c>
    </row>
    <row r="2721" spans="1:9" x14ac:dyDescent="0.2">
      <c r="A2721" s="2">
        <v>18</v>
      </c>
      <c r="B2721" s="1" t="s">
        <v>268</v>
      </c>
      <c r="C2721" s="4">
        <v>1</v>
      </c>
      <c r="D2721" s="8">
        <v>1.03</v>
      </c>
      <c r="E2721" s="4">
        <v>1</v>
      </c>
      <c r="F2721" s="8">
        <v>1.72</v>
      </c>
      <c r="G2721" s="4">
        <v>0</v>
      </c>
      <c r="H2721" s="8">
        <v>0</v>
      </c>
      <c r="I2721" s="4">
        <v>0</v>
      </c>
    </row>
    <row r="2722" spans="1:9" x14ac:dyDescent="0.2">
      <c r="A2722" s="2">
        <v>18</v>
      </c>
      <c r="B2722" s="1" t="s">
        <v>255</v>
      </c>
      <c r="C2722" s="4">
        <v>1</v>
      </c>
      <c r="D2722" s="8">
        <v>1.03</v>
      </c>
      <c r="E2722" s="4">
        <v>0</v>
      </c>
      <c r="F2722" s="8">
        <v>0</v>
      </c>
      <c r="G2722" s="4">
        <v>0</v>
      </c>
      <c r="H2722" s="8">
        <v>0</v>
      </c>
      <c r="I2722" s="4">
        <v>0</v>
      </c>
    </row>
    <row r="2723" spans="1:9" x14ac:dyDescent="0.2">
      <c r="A2723" s="2">
        <v>18</v>
      </c>
      <c r="B2723" s="1" t="s">
        <v>238</v>
      </c>
      <c r="C2723" s="4">
        <v>1</v>
      </c>
      <c r="D2723" s="8">
        <v>1.03</v>
      </c>
      <c r="E2723" s="4">
        <v>0</v>
      </c>
      <c r="F2723" s="8">
        <v>0</v>
      </c>
      <c r="G2723" s="4">
        <v>0</v>
      </c>
      <c r="H2723" s="8">
        <v>0</v>
      </c>
      <c r="I2723" s="4">
        <v>0</v>
      </c>
    </row>
    <row r="2724" spans="1:9" x14ac:dyDescent="0.2">
      <c r="A2724" s="2">
        <v>18</v>
      </c>
      <c r="B2724" s="1" t="s">
        <v>217</v>
      </c>
      <c r="C2724" s="4">
        <v>1</v>
      </c>
      <c r="D2724" s="8">
        <v>1.03</v>
      </c>
      <c r="E2724" s="4">
        <v>0</v>
      </c>
      <c r="F2724" s="8">
        <v>0</v>
      </c>
      <c r="G2724" s="4">
        <v>1</v>
      </c>
      <c r="H2724" s="8">
        <v>3.03</v>
      </c>
      <c r="I2724" s="4">
        <v>0</v>
      </c>
    </row>
    <row r="2725" spans="1:9" x14ac:dyDescent="0.2">
      <c r="A2725" s="2">
        <v>18</v>
      </c>
      <c r="B2725" s="1" t="s">
        <v>218</v>
      </c>
      <c r="C2725" s="4">
        <v>1</v>
      </c>
      <c r="D2725" s="8">
        <v>1.03</v>
      </c>
      <c r="E2725" s="4">
        <v>0</v>
      </c>
      <c r="F2725" s="8">
        <v>0</v>
      </c>
      <c r="G2725" s="4">
        <v>1</v>
      </c>
      <c r="H2725" s="8">
        <v>3.03</v>
      </c>
      <c r="I2725" s="4">
        <v>0</v>
      </c>
    </row>
    <row r="2726" spans="1:9" x14ac:dyDescent="0.2">
      <c r="A2726" s="2">
        <v>18</v>
      </c>
      <c r="B2726" s="1" t="s">
        <v>243</v>
      </c>
      <c r="C2726" s="4">
        <v>1</v>
      </c>
      <c r="D2726" s="8">
        <v>1.03</v>
      </c>
      <c r="E2726" s="4">
        <v>1</v>
      </c>
      <c r="F2726" s="8">
        <v>1.72</v>
      </c>
      <c r="G2726" s="4">
        <v>0</v>
      </c>
      <c r="H2726" s="8">
        <v>0</v>
      </c>
      <c r="I2726" s="4">
        <v>0</v>
      </c>
    </row>
    <row r="2727" spans="1:9" x14ac:dyDescent="0.2">
      <c r="A2727" s="2">
        <v>18</v>
      </c>
      <c r="B2727" s="1" t="s">
        <v>232</v>
      </c>
      <c r="C2727" s="4">
        <v>1</v>
      </c>
      <c r="D2727" s="8">
        <v>1.03</v>
      </c>
      <c r="E2727" s="4">
        <v>0</v>
      </c>
      <c r="F2727" s="8">
        <v>0</v>
      </c>
      <c r="G2727" s="4">
        <v>0</v>
      </c>
      <c r="H2727" s="8">
        <v>0</v>
      </c>
      <c r="I2727" s="4">
        <v>0</v>
      </c>
    </row>
    <row r="2728" spans="1:9" x14ac:dyDescent="0.2">
      <c r="A2728" s="2">
        <v>18</v>
      </c>
      <c r="B2728" s="1" t="s">
        <v>249</v>
      </c>
      <c r="C2728" s="4">
        <v>1</v>
      </c>
      <c r="D2728" s="8">
        <v>1.03</v>
      </c>
      <c r="E2728" s="4">
        <v>0</v>
      </c>
      <c r="F2728" s="8">
        <v>0</v>
      </c>
      <c r="G2728" s="4">
        <v>1</v>
      </c>
      <c r="H2728" s="8">
        <v>3.03</v>
      </c>
      <c r="I2728" s="4">
        <v>0</v>
      </c>
    </row>
    <row r="2729" spans="1:9" x14ac:dyDescent="0.2">
      <c r="A2729" s="2">
        <v>18</v>
      </c>
      <c r="B2729" s="1" t="s">
        <v>240</v>
      </c>
      <c r="C2729" s="4">
        <v>1</v>
      </c>
      <c r="D2729" s="8">
        <v>1.03</v>
      </c>
      <c r="E2729" s="4">
        <v>0</v>
      </c>
      <c r="F2729" s="8">
        <v>0</v>
      </c>
      <c r="G2729" s="4">
        <v>1</v>
      </c>
      <c r="H2729" s="8">
        <v>3.03</v>
      </c>
      <c r="I2729" s="4">
        <v>0</v>
      </c>
    </row>
    <row r="2730" spans="1:9" x14ac:dyDescent="0.2">
      <c r="A2730" s="2">
        <v>18</v>
      </c>
      <c r="B2730" s="1" t="s">
        <v>242</v>
      </c>
      <c r="C2730" s="4">
        <v>1</v>
      </c>
      <c r="D2730" s="8">
        <v>1.03</v>
      </c>
      <c r="E2730" s="4">
        <v>1</v>
      </c>
      <c r="F2730" s="8">
        <v>1.72</v>
      </c>
      <c r="G2730" s="4">
        <v>0</v>
      </c>
      <c r="H2730" s="8">
        <v>0</v>
      </c>
      <c r="I2730" s="4">
        <v>0</v>
      </c>
    </row>
    <row r="2731" spans="1:9" x14ac:dyDescent="0.2">
      <c r="A2731" s="1"/>
      <c r="C2731" s="4"/>
      <c r="D2731" s="8"/>
      <c r="E2731" s="4"/>
      <c r="F2731" s="8"/>
      <c r="G2731" s="4"/>
      <c r="H2731" s="8"/>
      <c r="I2731" s="4"/>
    </row>
    <row r="2732" spans="1:9" x14ac:dyDescent="0.2">
      <c r="A2732" s="1" t="s">
        <v>110</v>
      </c>
      <c r="C2732" s="4"/>
      <c r="D2732" s="8"/>
      <c r="E2732" s="4"/>
      <c r="F2732" s="8"/>
      <c r="G2732" s="4"/>
      <c r="H2732" s="8"/>
      <c r="I2732" s="4"/>
    </row>
    <row r="2733" spans="1:9" x14ac:dyDescent="0.2">
      <c r="A2733" s="2">
        <v>1</v>
      </c>
      <c r="B2733" s="1" t="s">
        <v>223</v>
      </c>
      <c r="C2733" s="4">
        <v>11</v>
      </c>
      <c r="D2733" s="8">
        <v>13.92</v>
      </c>
      <c r="E2733" s="4">
        <v>5</v>
      </c>
      <c r="F2733" s="8">
        <v>10.64</v>
      </c>
      <c r="G2733" s="4">
        <v>6</v>
      </c>
      <c r="H2733" s="8">
        <v>27.27</v>
      </c>
      <c r="I2733" s="4">
        <v>0</v>
      </c>
    </row>
    <row r="2734" spans="1:9" x14ac:dyDescent="0.2">
      <c r="A2734" s="2">
        <v>1</v>
      </c>
      <c r="B2734" s="1" t="s">
        <v>227</v>
      </c>
      <c r="C2734" s="4">
        <v>11</v>
      </c>
      <c r="D2734" s="8">
        <v>13.92</v>
      </c>
      <c r="E2734" s="4">
        <v>10</v>
      </c>
      <c r="F2734" s="8">
        <v>21.28</v>
      </c>
      <c r="G2734" s="4">
        <v>1</v>
      </c>
      <c r="H2734" s="8">
        <v>4.55</v>
      </c>
      <c r="I2734" s="4">
        <v>0</v>
      </c>
    </row>
    <row r="2735" spans="1:9" x14ac:dyDescent="0.2">
      <c r="A2735" s="2">
        <v>3</v>
      </c>
      <c r="B2735" s="1" t="s">
        <v>213</v>
      </c>
      <c r="C2735" s="4">
        <v>6</v>
      </c>
      <c r="D2735" s="8">
        <v>7.59</v>
      </c>
      <c r="E2735" s="4">
        <v>3</v>
      </c>
      <c r="F2735" s="8">
        <v>6.38</v>
      </c>
      <c r="G2735" s="4">
        <v>3</v>
      </c>
      <c r="H2735" s="8">
        <v>13.64</v>
      </c>
      <c r="I2735" s="4">
        <v>0</v>
      </c>
    </row>
    <row r="2736" spans="1:9" x14ac:dyDescent="0.2">
      <c r="A2736" s="2">
        <v>3</v>
      </c>
      <c r="B2736" s="1" t="s">
        <v>221</v>
      </c>
      <c r="C2736" s="4">
        <v>6</v>
      </c>
      <c r="D2736" s="8">
        <v>7.59</v>
      </c>
      <c r="E2736" s="4">
        <v>6</v>
      </c>
      <c r="F2736" s="8">
        <v>12.77</v>
      </c>
      <c r="G2736" s="4">
        <v>0</v>
      </c>
      <c r="H2736" s="8">
        <v>0</v>
      </c>
      <c r="I2736" s="4">
        <v>0</v>
      </c>
    </row>
    <row r="2737" spans="1:9" x14ac:dyDescent="0.2">
      <c r="A2737" s="2">
        <v>5</v>
      </c>
      <c r="B2737" s="1" t="s">
        <v>222</v>
      </c>
      <c r="C2737" s="4">
        <v>4</v>
      </c>
      <c r="D2737" s="8">
        <v>5.0599999999999996</v>
      </c>
      <c r="E2737" s="4">
        <v>2</v>
      </c>
      <c r="F2737" s="8">
        <v>4.26</v>
      </c>
      <c r="G2737" s="4">
        <v>2</v>
      </c>
      <c r="H2737" s="8">
        <v>9.09</v>
      </c>
      <c r="I2737" s="4">
        <v>0</v>
      </c>
    </row>
    <row r="2738" spans="1:9" x14ac:dyDescent="0.2">
      <c r="A2738" s="2">
        <v>5</v>
      </c>
      <c r="B2738" s="1" t="s">
        <v>228</v>
      </c>
      <c r="C2738" s="4">
        <v>4</v>
      </c>
      <c r="D2738" s="8">
        <v>5.0599999999999996</v>
      </c>
      <c r="E2738" s="4">
        <v>4</v>
      </c>
      <c r="F2738" s="8">
        <v>8.51</v>
      </c>
      <c r="G2738" s="4">
        <v>0</v>
      </c>
      <c r="H2738" s="8">
        <v>0</v>
      </c>
      <c r="I2738" s="4">
        <v>0</v>
      </c>
    </row>
    <row r="2739" spans="1:9" x14ac:dyDescent="0.2">
      <c r="A2739" s="2">
        <v>5</v>
      </c>
      <c r="B2739" s="1" t="s">
        <v>231</v>
      </c>
      <c r="C2739" s="4">
        <v>4</v>
      </c>
      <c r="D2739" s="8">
        <v>5.0599999999999996</v>
      </c>
      <c r="E2739" s="4">
        <v>3</v>
      </c>
      <c r="F2739" s="8">
        <v>6.38</v>
      </c>
      <c r="G2739" s="4">
        <v>1</v>
      </c>
      <c r="H2739" s="8">
        <v>4.55</v>
      </c>
      <c r="I2739" s="4">
        <v>0</v>
      </c>
    </row>
    <row r="2740" spans="1:9" x14ac:dyDescent="0.2">
      <c r="A2740" s="2">
        <v>8</v>
      </c>
      <c r="B2740" s="1" t="s">
        <v>255</v>
      </c>
      <c r="C2740" s="4">
        <v>3</v>
      </c>
      <c r="D2740" s="8">
        <v>3.8</v>
      </c>
      <c r="E2740" s="4">
        <v>0</v>
      </c>
      <c r="F2740" s="8">
        <v>0</v>
      </c>
      <c r="G2740" s="4">
        <v>0</v>
      </c>
      <c r="H2740" s="8">
        <v>0</v>
      </c>
      <c r="I2740" s="4">
        <v>0</v>
      </c>
    </row>
    <row r="2741" spans="1:9" x14ac:dyDescent="0.2">
      <c r="A2741" s="2">
        <v>8</v>
      </c>
      <c r="B2741" s="1" t="s">
        <v>230</v>
      </c>
      <c r="C2741" s="4">
        <v>3</v>
      </c>
      <c r="D2741" s="8">
        <v>3.8</v>
      </c>
      <c r="E2741" s="4">
        <v>3</v>
      </c>
      <c r="F2741" s="8">
        <v>6.38</v>
      </c>
      <c r="G2741" s="4">
        <v>0</v>
      </c>
      <c r="H2741" s="8">
        <v>0</v>
      </c>
      <c r="I2741" s="4">
        <v>0</v>
      </c>
    </row>
    <row r="2742" spans="1:9" x14ac:dyDescent="0.2">
      <c r="A2742" s="2">
        <v>10</v>
      </c>
      <c r="B2742" s="1" t="s">
        <v>214</v>
      </c>
      <c r="C2742" s="4">
        <v>2</v>
      </c>
      <c r="D2742" s="8">
        <v>2.5299999999999998</v>
      </c>
      <c r="E2742" s="4">
        <v>1</v>
      </c>
      <c r="F2742" s="8">
        <v>2.13</v>
      </c>
      <c r="G2742" s="4">
        <v>1</v>
      </c>
      <c r="H2742" s="8">
        <v>4.55</v>
      </c>
      <c r="I2742" s="4">
        <v>0</v>
      </c>
    </row>
    <row r="2743" spans="1:9" x14ac:dyDescent="0.2">
      <c r="A2743" s="2">
        <v>10</v>
      </c>
      <c r="B2743" s="1" t="s">
        <v>215</v>
      </c>
      <c r="C2743" s="4">
        <v>2</v>
      </c>
      <c r="D2743" s="8">
        <v>2.5299999999999998</v>
      </c>
      <c r="E2743" s="4">
        <v>0</v>
      </c>
      <c r="F2743" s="8">
        <v>0</v>
      </c>
      <c r="G2743" s="4">
        <v>2</v>
      </c>
      <c r="H2743" s="8">
        <v>9.09</v>
      </c>
      <c r="I2743" s="4">
        <v>0</v>
      </c>
    </row>
    <row r="2744" spans="1:9" x14ac:dyDescent="0.2">
      <c r="A2744" s="2">
        <v>10</v>
      </c>
      <c r="B2744" s="1" t="s">
        <v>261</v>
      </c>
      <c r="C2744" s="4">
        <v>2</v>
      </c>
      <c r="D2744" s="8">
        <v>2.5299999999999998</v>
      </c>
      <c r="E2744" s="4">
        <v>0</v>
      </c>
      <c r="F2744" s="8">
        <v>0</v>
      </c>
      <c r="G2744" s="4">
        <v>1</v>
      </c>
      <c r="H2744" s="8">
        <v>4.55</v>
      </c>
      <c r="I2744" s="4">
        <v>1</v>
      </c>
    </row>
    <row r="2745" spans="1:9" x14ac:dyDescent="0.2">
      <c r="A2745" s="2">
        <v>10</v>
      </c>
      <c r="B2745" s="1" t="s">
        <v>220</v>
      </c>
      <c r="C2745" s="4">
        <v>2</v>
      </c>
      <c r="D2745" s="8">
        <v>2.5299999999999998</v>
      </c>
      <c r="E2745" s="4">
        <v>1</v>
      </c>
      <c r="F2745" s="8">
        <v>2.13</v>
      </c>
      <c r="G2745" s="4">
        <v>1</v>
      </c>
      <c r="H2745" s="8">
        <v>4.55</v>
      </c>
      <c r="I2745" s="4">
        <v>0</v>
      </c>
    </row>
    <row r="2746" spans="1:9" x14ac:dyDescent="0.2">
      <c r="A2746" s="2">
        <v>10</v>
      </c>
      <c r="B2746" s="1" t="s">
        <v>226</v>
      </c>
      <c r="C2746" s="4">
        <v>2</v>
      </c>
      <c r="D2746" s="8">
        <v>2.5299999999999998</v>
      </c>
      <c r="E2746" s="4">
        <v>1</v>
      </c>
      <c r="F2746" s="8">
        <v>2.13</v>
      </c>
      <c r="G2746" s="4">
        <v>0</v>
      </c>
      <c r="H2746" s="8">
        <v>0</v>
      </c>
      <c r="I2746" s="4">
        <v>0</v>
      </c>
    </row>
    <row r="2747" spans="1:9" x14ac:dyDescent="0.2">
      <c r="A2747" s="2">
        <v>15</v>
      </c>
      <c r="B2747" s="1" t="s">
        <v>241</v>
      </c>
      <c r="C2747" s="4">
        <v>1</v>
      </c>
      <c r="D2747" s="8">
        <v>1.27</v>
      </c>
      <c r="E2747" s="4">
        <v>1</v>
      </c>
      <c r="F2747" s="8">
        <v>2.13</v>
      </c>
      <c r="G2747" s="4">
        <v>0</v>
      </c>
      <c r="H2747" s="8">
        <v>0</v>
      </c>
      <c r="I2747" s="4">
        <v>0</v>
      </c>
    </row>
    <row r="2748" spans="1:9" x14ac:dyDescent="0.2">
      <c r="A2748" s="2">
        <v>15</v>
      </c>
      <c r="B2748" s="1" t="s">
        <v>262</v>
      </c>
      <c r="C2748" s="4">
        <v>1</v>
      </c>
      <c r="D2748" s="8">
        <v>1.27</v>
      </c>
      <c r="E2748" s="4">
        <v>0</v>
      </c>
      <c r="F2748" s="8">
        <v>0</v>
      </c>
      <c r="G2748" s="4">
        <v>0</v>
      </c>
      <c r="H2748" s="8">
        <v>0</v>
      </c>
      <c r="I2748" s="4">
        <v>1</v>
      </c>
    </row>
    <row r="2749" spans="1:9" x14ac:dyDescent="0.2">
      <c r="A2749" s="2">
        <v>15</v>
      </c>
      <c r="B2749" s="1" t="s">
        <v>251</v>
      </c>
      <c r="C2749" s="4">
        <v>1</v>
      </c>
      <c r="D2749" s="8">
        <v>1.27</v>
      </c>
      <c r="E2749" s="4">
        <v>0</v>
      </c>
      <c r="F2749" s="8">
        <v>0</v>
      </c>
      <c r="G2749" s="4">
        <v>1</v>
      </c>
      <c r="H2749" s="8">
        <v>4.55</v>
      </c>
      <c r="I2749" s="4">
        <v>0</v>
      </c>
    </row>
    <row r="2750" spans="1:9" x14ac:dyDescent="0.2">
      <c r="A2750" s="2">
        <v>15</v>
      </c>
      <c r="B2750" s="1" t="s">
        <v>258</v>
      </c>
      <c r="C2750" s="4">
        <v>1</v>
      </c>
      <c r="D2750" s="8">
        <v>1.27</v>
      </c>
      <c r="E2750" s="4">
        <v>1</v>
      </c>
      <c r="F2750" s="8">
        <v>2.13</v>
      </c>
      <c r="G2750" s="4">
        <v>0</v>
      </c>
      <c r="H2750" s="8">
        <v>0</v>
      </c>
      <c r="I2750" s="4">
        <v>0</v>
      </c>
    </row>
    <row r="2751" spans="1:9" x14ac:dyDescent="0.2">
      <c r="A2751" s="2">
        <v>15</v>
      </c>
      <c r="B2751" s="1" t="s">
        <v>253</v>
      </c>
      <c r="C2751" s="4">
        <v>1</v>
      </c>
      <c r="D2751" s="8">
        <v>1.27</v>
      </c>
      <c r="E2751" s="4">
        <v>1</v>
      </c>
      <c r="F2751" s="8">
        <v>2.13</v>
      </c>
      <c r="G2751" s="4">
        <v>0</v>
      </c>
      <c r="H2751" s="8">
        <v>0</v>
      </c>
      <c r="I2751" s="4">
        <v>0</v>
      </c>
    </row>
    <row r="2752" spans="1:9" x14ac:dyDescent="0.2">
      <c r="A2752" s="2">
        <v>15</v>
      </c>
      <c r="B2752" s="1" t="s">
        <v>235</v>
      </c>
      <c r="C2752" s="4">
        <v>1</v>
      </c>
      <c r="D2752" s="8">
        <v>1.27</v>
      </c>
      <c r="E2752" s="4">
        <v>1</v>
      </c>
      <c r="F2752" s="8">
        <v>2.13</v>
      </c>
      <c r="G2752" s="4">
        <v>0</v>
      </c>
      <c r="H2752" s="8">
        <v>0</v>
      </c>
      <c r="I2752" s="4">
        <v>0</v>
      </c>
    </row>
    <row r="2753" spans="1:9" x14ac:dyDescent="0.2">
      <c r="A2753" s="2">
        <v>15</v>
      </c>
      <c r="B2753" s="1" t="s">
        <v>216</v>
      </c>
      <c r="C2753" s="4">
        <v>1</v>
      </c>
      <c r="D2753" s="8">
        <v>1.27</v>
      </c>
      <c r="E2753" s="4">
        <v>0</v>
      </c>
      <c r="F2753" s="8">
        <v>0</v>
      </c>
      <c r="G2753" s="4">
        <v>1</v>
      </c>
      <c r="H2753" s="8">
        <v>4.55</v>
      </c>
      <c r="I2753" s="4">
        <v>0</v>
      </c>
    </row>
    <row r="2754" spans="1:9" x14ac:dyDescent="0.2">
      <c r="A2754" s="2">
        <v>15</v>
      </c>
      <c r="B2754" s="1" t="s">
        <v>219</v>
      </c>
      <c r="C2754" s="4">
        <v>1</v>
      </c>
      <c r="D2754" s="8">
        <v>1.27</v>
      </c>
      <c r="E2754" s="4">
        <v>0</v>
      </c>
      <c r="F2754" s="8">
        <v>0</v>
      </c>
      <c r="G2754" s="4">
        <v>1</v>
      </c>
      <c r="H2754" s="8">
        <v>4.55</v>
      </c>
      <c r="I2754" s="4">
        <v>0</v>
      </c>
    </row>
    <row r="2755" spans="1:9" x14ac:dyDescent="0.2">
      <c r="A2755" s="2">
        <v>15</v>
      </c>
      <c r="B2755" s="1" t="s">
        <v>236</v>
      </c>
      <c r="C2755" s="4">
        <v>1</v>
      </c>
      <c r="D2755" s="8">
        <v>1.27</v>
      </c>
      <c r="E2755" s="4">
        <v>1</v>
      </c>
      <c r="F2755" s="8">
        <v>2.13</v>
      </c>
      <c r="G2755" s="4">
        <v>0</v>
      </c>
      <c r="H2755" s="8">
        <v>0</v>
      </c>
      <c r="I2755" s="4">
        <v>0</v>
      </c>
    </row>
    <row r="2756" spans="1:9" x14ac:dyDescent="0.2">
      <c r="A2756" s="2">
        <v>15</v>
      </c>
      <c r="B2756" s="1" t="s">
        <v>224</v>
      </c>
      <c r="C2756" s="4">
        <v>1</v>
      </c>
      <c r="D2756" s="8">
        <v>1.27</v>
      </c>
      <c r="E2756" s="4">
        <v>1</v>
      </c>
      <c r="F2756" s="8">
        <v>2.13</v>
      </c>
      <c r="G2756" s="4">
        <v>0</v>
      </c>
      <c r="H2756" s="8">
        <v>0</v>
      </c>
      <c r="I2756" s="4">
        <v>0</v>
      </c>
    </row>
    <row r="2757" spans="1:9" x14ac:dyDescent="0.2">
      <c r="A2757" s="2">
        <v>15</v>
      </c>
      <c r="B2757" s="1" t="s">
        <v>246</v>
      </c>
      <c r="C2757" s="4">
        <v>1</v>
      </c>
      <c r="D2757" s="8">
        <v>1.27</v>
      </c>
      <c r="E2757" s="4">
        <v>1</v>
      </c>
      <c r="F2757" s="8">
        <v>2.13</v>
      </c>
      <c r="G2757" s="4">
        <v>0</v>
      </c>
      <c r="H2757" s="8">
        <v>0</v>
      </c>
      <c r="I2757" s="4">
        <v>0</v>
      </c>
    </row>
    <row r="2758" spans="1:9" x14ac:dyDescent="0.2">
      <c r="A2758" s="2">
        <v>15</v>
      </c>
      <c r="B2758" s="1" t="s">
        <v>243</v>
      </c>
      <c r="C2758" s="4">
        <v>1</v>
      </c>
      <c r="D2758" s="8">
        <v>1.27</v>
      </c>
      <c r="E2758" s="4">
        <v>0</v>
      </c>
      <c r="F2758" s="8">
        <v>0</v>
      </c>
      <c r="G2758" s="4">
        <v>0</v>
      </c>
      <c r="H2758" s="8">
        <v>0</v>
      </c>
      <c r="I2758" s="4">
        <v>0</v>
      </c>
    </row>
    <row r="2759" spans="1:9" x14ac:dyDescent="0.2">
      <c r="A2759" s="2">
        <v>15</v>
      </c>
      <c r="B2759" s="1" t="s">
        <v>247</v>
      </c>
      <c r="C2759" s="4">
        <v>1</v>
      </c>
      <c r="D2759" s="8">
        <v>1.27</v>
      </c>
      <c r="E2759" s="4">
        <v>0</v>
      </c>
      <c r="F2759" s="8">
        <v>0</v>
      </c>
      <c r="G2759" s="4">
        <v>1</v>
      </c>
      <c r="H2759" s="8">
        <v>4.55</v>
      </c>
      <c r="I2759" s="4">
        <v>0</v>
      </c>
    </row>
    <row r="2760" spans="1:9" x14ac:dyDescent="0.2">
      <c r="A2760" s="2">
        <v>15</v>
      </c>
      <c r="B2760" s="1" t="s">
        <v>232</v>
      </c>
      <c r="C2760" s="4">
        <v>1</v>
      </c>
      <c r="D2760" s="8">
        <v>1.27</v>
      </c>
      <c r="E2760" s="4">
        <v>0</v>
      </c>
      <c r="F2760" s="8">
        <v>0</v>
      </c>
      <c r="G2760" s="4">
        <v>0</v>
      </c>
      <c r="H2760" s="8">
        <v>0</v>
      </c>
      <c r="I2760" s="4">
        <v>0</v>
      </c>
    </row>
    <row r="2761" spans="1:9" x14ac:dyDescent="0.2">
      <c r="A2761" s="2">
        <v>15</v>
      </c>
      <c r="B2761" s="1" t="s">
        <v>249</v>
      </c>
      <c r="C2761" s="4">
        <v>1</v>
      </c>
      <c r="D2761" s="8">
        <v>1.27</v>
      </c>
      <c r="E2761" s="4">
        <v>0</v>
      </c>
      <c r="F2761" s="8">
        <v>0</v>
      </c>
      <c r="G2761" s="4">
        <v>0</v>
      </c>
      <c r="H2761" s="8">
        <v>0</v>
      </c>
      <c r="I2761" s="4">
        <v>0</v>
      </c>
    </row>
    <row r="2762" spans="1:9" x14ac:dyDescent="0.2">
      <c r="A2762" s="2">
        <v>15</v>
      </c>
      <c r="B2762" s="1" t="s">
        <v>240</v>
      </c>
      <c r="C2762" s="4">
        <v>1</v>
      </c>
      <c r="D2762" s="8">
        <v>1.27</v>
      </c>
      <c r="E2762" s="4">
        <v>1</v>
      </c>
      <c r="F2762" s="8">
        <v>2.13</v>
      </c>
      <c r="G2762" s="4">
        <v>0</v>
      </c>
      <c r="H2762" s="8">
        <v>0</v>
      </c>
      <c r="I2762" s="4">
        <v>0</v>
      </c>
    </row>
    <row r="2763" spans="1:9" x14ac:dyDescent="0.2">
      <c r="A2763" s="2">
        <v>15</v>
      </c>
      <c r="B2763" s="1" t="s">
        <v>270</v>
      </c>
      <c r="C2763" s="4">
        <v>1</v>
      </c>
      <c r="D2763" s="8">
        <v>1.27</v>
      </c>
      <c r="E2763" s="4">
        <v>0</v>
      </c>
      <c r="F2763" s="8">
        <v>0</v>
      </c>
      <c r="G2763" s="4">
        <v>0</v>
      </c>
      <c r="H2763" s="8">
        <v>0</v>
      </c>
      <c r="I2763" s="4">
        <v>1</v>
      </c>
    </row>
    <row r="2764" spans="1:9" x14ac:dyDescent="0.2">
      <c r="A2764" s="1"/>
      <c r="C2764" s="4"/>
      <c r="D2764" s="8"/>
      <c r="E2764" s="4"/>
      <c r="F2764" s="8"/>
      <c r="G2764" s="4"/>
      <c r="H2764" s="8"/>
      <c r="I2764" s="4"/>
    </row>
    <row r="2765" spans="1:9" x14ac:dyDescent="0.2">
      <c r="A2765" s="1" t="s">
        <v>111</v>
      </c>
      <c r="C2765" s="4"/>
      <c r="D2765" s="8"/>
      <c r="E2765" s="4"/>
      <c r="F2765" s="8"/>
      <c r="G2765" s="4"/>
      <c r="H2765" s="8"/>
      <c r="I2765" s="4"/>
    </row>
    <row r="2766" spans="1:9" x14ac:dyDescent="0.2">
      <c r="A2766" s="2">
        <v>1</v>
      </c>
      <c r="B2766" s="1" t="s">
        <v>227</v>
      </c>
      <c r="C2766" s="4">
        <v>18</v>
      </c>
      <c r="D2766" s="8">
        <v>13.95</v>
      </c>
      <c r="E2766" s="4">
        <v>18</v>
      </c>
      <c r="F2766" s="8">
        <v>27.69</v>
      </c>
      <c r="G2766" s="4">
        <v>0</v>
      </c>
      <c r="H2766" s="8">
        <v>0</v>
      </c>
      <c r="I2766" s="4">
        <v>0</v>
      </c>
    </row>
    <row r="2767" spans="1:9" x14ac:dyDescent="0.2">
      <c r="A2767" s="2">
        <v>2</v>
      </c>
      <c r="B2767" s="1" t="s">
        <v>213</v>
      </c>
      <c r="C2767" s="4">
        <v>12</v>
      </c>
      <c r="D2767" s="8">
        <v>9.3000000000000007</v>
      </c>
      <c r="E2767" s="4">
        <v>2</v>
      </c>
      <c r="F2767" s="8">
        <v>3.08</v>
      </c>
      <c r="G2767" s="4">
        <v>10</v>
      </c>
      <c r="H2767" s="8">
        <v>17.54</v>
      </c>
      <c r="I2767" s="4">
        <v>0</v>
      </c>
    </row>
    <row r="2768" spans="1:9" x14ac:dyDescent="0.2">
      <c r="A2768" s="2">
        <v>3</v>
      </c>
      <c r="B2768" s="1" t="s">
        <v>228</v>
      </c>
      <c r="C2768" s="4">
        <v>11</v>
      </c>
      <c r="D2768" s="8">
        <v>8.5299999999999994</v>
      </c>
      <c r="E2768" s="4">
        <v>10</v>
      </c>
      <c r="F2768" s="8">
        <v>15.38</v>
      </c>
      <c r="G2768" s="4">
        <v>1</v>
      </c>
      <c r="H2768" s="8">
        <v>1.75</v>
      </c>
      <c r="I2768" s="4">
        <v>0</v>
      </c>
    </row>
    <row r="2769" spans="1:9" x14ac:dyDescent="0.2">
      <c r="A2769" s="2">
        <v>4</v>
      </c>
      <c r="B2769" s="1" t="s">
        <v>223</v>
      </c>
      <c r="C2769" s="4">
        <v>10</v>
      </c>
      <c r="D2769" s="8">
        <v>7.75</v>
      </c>
      <c r="E2769" s="4">
        <v>6</v>
      </c>
      <c r="F2769" s="8">
        <v>9.23</v>
      </c>
      <c r="G2769" s="4">
        <v>4</v>
      </c>
      <c r="H2769" s="8">
        <v>7.02</v>
      </c>
      <c r="I2769" s="4">
        <v>0</v>
      </c>
    </row>
    <row r="2770" spans="1:9" x14ac:dyDescent="0.2">
      <c r="A2770" s="2">
        <v>5</v>
      </c>
      <c r="B2770" s="1" t="s">
        <v>241</v>
      </c>
      <c r="C2770" s="4">
        <v>6</v>
      </c>
      <c r="D2770" s="8">
        <v>4.6500000000000004</v>
      </c>
      <c r="E2770" s="4">
        <v>5</v>
      </c>
      <c r="F2770" s="8">
        <v>7.69</v>
      </c>
      <c r="G2770" s="4">
        <v>1</v>
      </c>
      <c r="H2770" s="8">
        <v>1.75</v>
      </c>
      <c r="I2770" s="4">
        <v>0</v>
      </c>
    </row>
    <row r="2771" spans="1:9" x14ac:dyDescent="0.2">
      <c r="A2771" s="2">
        <v>5</v>
      </c>
      <c r="B2771" s="1" t="s">
        <v>221</v>
      </c>
      <c r="C2771" s="4">
        <v>6</v>
      </c>
      <c r="D2771" s="8">
        <v>4.6500000000000004</v>
      </c>
      <c r="E2771" s="4">
        <v>5</v>
      </c>
      <c r="F2771" s="8">
        <v>7.69</v>
      </c>
      <c r="G2771" s="4">
        <v>1</v>
      </c>
      <c r="H2771" s="8">
        <v>1.75</v>
      </c>
      <c r="I2771" s="4">
        <v>0</v>
      </c>
    </row>
    <row r="2772" spans="1:9" x14ac:dyDescent="0.2">
      <c r="A2772" s="2">
        <v>5</v>
      </c>
      <c r="B2772" s="1" t="s">
        <v>247</v>
      </c>
      <c r="C2772" s="4">
        <v>6</v>
      </c>
      <c r="D2772" s="8">
        <v>4.6500000000000004</v>
      </c>
      <c r="E2772" s="4">
        <v>0</v>
      </c>
      <c r="F2772" s="8">
        <v>0</v>
      </c>
      <c r="G2772" s="4">
        <v>6</v>
      </c>
      <c r="H2772" s="8">
        <v>10.53</v>
      </c>
      <c r="I2772" s="4">
        <v>0</v>
      </c>
    </row>
    <row r="2773" spans="1:9" x14ac:dyDescent="0.2">
      <c r="A2773" s="2">
        <v>8</v>
      </c>
      <c r="B2773" s="1" t="s">
        <v>244</v>
      </c>
      <c r="C2773" s="4">
        <v>5</v>
      </c>
      <c r="D2773" s="8">
        <v>3.88</v>
      </c>
      <c r="E2773" s="4">
        <v>1</v>
      </c>
      <c r="F2773" s="8">
        <v>1.54</v>
      </c>
      <c r="G2773" s="4">
        <v>4</v>
      </c>
      <c r="H2773" s="8">
        <v>7.02</v>
      </c>
      <c r="I2773" s="4">
        <v>0</v>
      </c>
    </row>
    <row r="2774" spans="1:9" x14ac:dyDescent="0.2">
      <c r="A2774" s="2">
        <v>8</v>
      </c>
      <c r="B2774" s="1" t="s">
        <v>230</v>
      </c>
      <c r="C2774" s="4">
        <v>5</v>
      </c>
      <c r="D2774" s="8">
        <v>3.88</v>
      </c>
      <c r="E2774" s="4">
        <v>3</v>
      </c>
      <c r="F2774" s="8">
        <v>4.62</v>
      </c>
      <c r="G2774" s="4">
        <v>0</v>
      </c>
      <c r="H2774" s="8">
        <v>0</v>
      </c>
      <c r="I2774" s="4">
        <v>0</v>
      </c>
    </row>
    <row r="2775" spans="1:9" x14ac:dyDescent="0.2">
      <c r="A2775" s="2">
        <v>10</v>
      </c>
      <c r="B2775" s="1" t="s">
        <v>263</v>
      </c>
      <c r="C2775" s="4">
        <v>3</v>
      </c>
      <c r="D2775" s="8">
        <v>2.33</v>
      </c>
      <c r="E2775" s="4">
        <v>0</v>
      </c>
      <c r="F2775" s="8">
        <v>0</v>
      </c>
      <c r="G2775" s="4">
        <v>3</v>
      </c>
      <c r="H2775" s="8">
        <v>5.26</v>
      </c>
      <c r="I2775" s="4">
        <v>0</v>
      </c>
    </row>
    <row r="2776" spans="1:9" x14ac:dyDescent="0.2">
      <c r="A2776" s="2">
        <v>10</v>
      </c>
      <c r="B2776" s="1" t="s">
        <v>216</v>
      </c>
      <c r="C2776" s="4">
        <v>3</v>
      </c>
      <c r="D2776" s="8">
        <v>2.33</v>
      </c>
      <c r="E2776" s="4">
        <v>0</v>
      </c>
      <c r="F2776" s="8">
        <v>0</v>
      </c>
      <c r="G2776" s="4">
        <v>3</v>
      </c>
      <c r="H2776" s="8">
        <v>5.26</v>
      </c>
      <c r="I2776" s="4">
        <v>0</v>
      </c>
    </row>
    <row r="2777" spans="1:9" x14ac:dyDescent="0.2">
      <c r="A2777" s="2">
        <v>10</v>
      </c>
      <c r="B2777" s="1" t="s">
        <v>224</v>
      </c>
      <c r="C2777" s="4">
        <v>3</v>
      </c>
      <c r="D2777" s="8">
        <v>2.33</v>
      </c>
      <c r="E2777" s="4">
        <v>1</v>
      </c>
      <c r="F2777" s="8">
        <v>1.54</v>
      </c>
      <c r="G2777" s="4">
        <v>2</v>
      </c>
      <c r="H2777" s="8">
        <v>3.51</v>
      </c>
      <c r="I2777" s="4">
        <v>0</v>
      </c>
    </row>
    <row r="2778" spans="1:9" x14ac:dyDescent="0.2">
      <c r="A2778" s="2">
        <v>10</v>
      </c>
      <c r="B2778" s="1" t="s">
        <v>231</v>
      </c>
      <c r="C2778" s="4">
        <v>3</v>
      </c>
      <c r="D2778" s="8">
        <v>2.33</v>
      </c>
      <c r="E2778" s="4">
        <v>3</v>
      </c>
      <c r="F2778" s="8">
        <v>4.62</v>
      </c>
      <c r="G2778" s="4">
        <v>0</v>
      </c>
      <c r="H2778" s="8">
        <v>0</v>
      </c>
      <c r="I2778" s="4">
        <v>0</v>
      </c>
    </row>
    <row r="2779" spans="1:9" x14ac:dyDescent="0.2">
      <c r="A2779" s="2">
        <v>10</v>
      </c>
      <c r="B2779" s="1" t="s">
        <v>232</v>
      </c>
      <c r="C2779" s="4">
        <v>3</v>
      </c>
      <c r="D2779" s="8">
        <v>2.33</v>
      </c>
      <c r="E2779" s="4">
        <v>0</v>
      </c>
      <c r="F2779" s="8">
        <v>0</v>
      </c>
      <c r="G2779" s="4">
        <v>0</v>
      </c>
      <c r="H2779" s="8">
        <v>0</v>
      </c>
      <c r="I2779" s="4">
        <v>0</v>
      </c>
    </row>
    <row r="2780" spans="1:9" x14ac:dyDescent="0.2">
      <c r="A2780" s="2">
        <v>15</v>
      </c>
      <c r="B2780" s="1" t="s">
        <v>214</v>
      </c>
      <c r="C2780" s="4">
        <v>2</v>
      </c>
      <c r="D2780" s="8">
        <v>1.55</v>
      </c>
      <c r="E2780" s="4">
        <v>0</v>
      </c>
      <c r="F2780" s="8">
        <v>0</v>
      </c>
      <c r="G2780" s="4">
        <v>2</v>
      </c>
      <c r="H2780" s="8">
        <v>3.51</v>
      </c>
      <c r="I2780" s="4">
        <v>0</v>
      </c>
    </row>
    <row r="2781" spans="1:9" x14ac:dyDescent="0.2">
      <c r="A2781" s="2">
        <v>15</v>
      </c>
      <c r="B2781" s="1" t="s">
        <v>262</v>
      </c>
      <c r="C2781" s="4">
        <v>2</v>
      </c>
      <c r="D2781" s="8">
        <v>1.55</v>
      </c>
      <c r="E2781" s="4">
        <v>0</v>
      </c>
      <c r="F2781" s="8">
        <v>0</v>
      </c>
      <c r="G2781" s="4">
        <v>2</v>
      </c>
      <c r="H2781" s="8">
        <v>3.51</v>
      </c>
      <c r="I2781" s="4">
        <v>0</v>
      </c>
    </row>
    <row r="2782" spans="1:9" x14ac:dyDescent="0.2">
      <c r="A2782" s="2">
        <v>15</v>
      </c>
      <c r="B2782" s="1" t="s">
        <v>255</v>
      </c>
      <c r="C2782" s="4">
        <v>2</v>
      </c>
      <c r="D2782" s="8">
        <v>1.55</v>
      </c>
      <c r="E2782" s="4">
        <v>0</v>
      </c>
      <c r="F2782" s="8">
        <v>0</v>
      </c>
      <c r="G2782" s="4">
        <v>2</v>
      </c>
      <c r="H2782" s="8">
        <v>3.51</v>
      </c>
      <c r="I2782" s="4">
        <v>0</v>
      </c>
    </row>
    <row r="2783" spans="1:9" x14ac:dyDescent="0.2">
      <c r="A2783" s="2">
        <v>15</v>
      </c>
      <c r="B2783" s="1" t="s">
        <v>277</v>
      </c>
      <c r="C2783" s="4">
        <v>2</v>
      </c>
      <c r="D2783" s="8">
        <v>1.55</v>
      </c>
      <c r="E2783" s="4">
        <v>1</v>
      </c>
      <c r="F2783" s="8">
        <v>1.54</v>
      </c>
      <c r="G2783" s="4">
        <v>1</v>
      </c>
      <c r="H2783" s="8">
        <v>1.75</v>
      </c>
      <c r="I2783" s="4">
        <v>0</v>
      </c>
    </row>
    <row r="2784" spans="1:9" x14ac:dyDescent="0.2">
      <c r="A2784" s="2">
        <v>15</v>
      </c>
      <c r="B2784" s="1" t="s">
        <v>261</v>
      </c>
      <c r="C2784" s="4">
        <v>2</v>
      </c>
      <c r="D2784" s="8">
        <v>1.55</v>
      </c>
      <c r="E2784" s="4">
        <v>0</v>
      </c>
      <c r="F2784" s="8">
        <v>0</v>
      </c>
      <c r="G2784" s="4">
        <v>2</v>
      </c>
      <c r="H2784" s="8">
        <v>3.51</v>
      </c>
      <c r="I2784" s="4">
        <v>0</v>
      </c>
    </row>
    <row r="2785" spans="1:9" x14ac:dyDescent="0.2">
      <c r="A2785" s="2">
        <v>15</v>
      </c>
      <c r="B2785" s="1" t="s">
        <v>222</v>
      </c>
      <c r="C2785" s="4">
        <v>2</v>
      </c>
      <c r="D2785" s="8">
        <v>1.55</v>
      </c>
      <c r="E2785" s="4">
        <v>1</v>
      </c>
      <c r="F2785" s="8">
        <v>1.54</v>
      </c>
      <c r="G2785" s="4">
        <v>1</v>
      </c>
      <c r="H2785" s="8">
        <v>1.75</v>
      </c>
      <c r="I2785" s="4">
        <v>0</v>
      </c>
    </row>
    <row r="2786" spans="1:9" x14ac:dyDescent="0.2">
      <c r="A2786" s="2">
        <v>15</v>
      </c>
      <c r="B2786" s="1" t="s">
        <v>256</v>
      </c>
      <c r="C2786" s="4">
        <v>2</v>
      </c>
      <c r="D2786" s="8">
        <v>1.55</v>
      </c>
      <c r="E2786" s="4">
        <v>0</v>
      </c>
      <c r="F2786" s="8">
        <v>0</v>
      </c>
      <c r="G2786" s="4">
        <v>1</v>
      </c>
      <c r="H2786" s="8">
        <v>1.75</v>
      </c>
      <c r="I2786" s="4">
        <v>0</v>
      </c>
    </row>
    <row r="2787" spans="1:9" x14ac:dyDescent="0.2">
      <c r="A2787" s="2">
        <v>15</v>
      </c>
      <c r="B2787" s="1" t="s">
        <v>225</v>
      </c>
      <c r="C2787" s="4">
        <v>2</v>
      </c>
      <c r="D2787" s="8">
        <v>1.55</v>
      </c>
      <c r="E2787" s="4">
        <v>1</v>
      </c>
      <c r="F2787" s="8">
        <v>1.54</v>
      </c>
      <c r="G2787" s="4">
        <v>1</v>
      </c>
      <c r="H2787" s="8">
        <v>1.75</v>
      </c>
      <c r="I2787" s="4">
        <v>0</v>
      </c>
    </row>
    <row r="2788" spans="1:9" x14ac:dyDescent="0.2">
      <c r="A2788" s="2">
        <v>15</v>
      </c>
      <c r="B2788" s="1" t="s">
        <v>243</v>
      </c>
      <c r="C2788" s="4">
        <v>2</v>
      </c>
      <c r="D2788" s="8">
        <v>1.55</v>
      </c>
      <c r="E2788" s="4">
        <v>0</v>
      </c>
      <c r="F2788" s="8">
        <v>0</v>
      </c>
      <c r="G2788" s="4">
        <v>2</v>
      </c>
      <c r="H2788" s="8">
        <v>3.51</v>
      </c>
      <c r="I2788" s="4">
        <v>0</v>
      </c>
    </row>
    <row r="2789" spans="1:9" x14ac:dyDescent="0.2">
      <c r="A2789" s="2">
        <v>15</v>
      </c>
      <c r="B2789" s="1" t="s">
        <v>229</v>
      </c>
      <c r="C2789" s="4">
        <v>2</v>
      </c>
      <c r="D2789" s="8">
        <v>1.55</v>
      </c>
      <c r="E2789" s="4">
        <v>1</v>
      </c>
      <c r="F2789" s="8">
        <v>1.54</v>
      </c>
      <c r="G2789" s="4">
        <v>1</v>
      </c>
      <c r="H2789" s="8">
        <v>1.75</v>
      </c>
      <c r="I2789" s="4">
        <v>0</v>
      </c>
    </row>
    <row r="2790" spans="1:9" x14ac:dyDescent="0.2">
      <c r="A2790" s="2">
        <v>15</v>
      </c>
      <c r="B2790" s="1" t="s">
        <v>242</v>
      </c>
      <c r="C2790" s="4">
        <v>2</v>
      </c>
      <c r="D2790" s="8">
        <v>1.55</v>
      </c>
      <c r="E2790" s="4">
        <v>2</v>
      </c>
      <c r="F2790" s="8">
        <v>3.08</v>
      </c>
      <c r="G2790" s="4">
        <v>0</v>
      </c>
      <c r="H2790" s="8">
        <v>0</v>
      </c>
      <c r="I2790" s="4">
        <v>0</v>
      </c>
    </row>
    <row r="2791" spans="1:9" x14ac:dyDescent="0.2">
      <c r="A2791" s="1"/>
      <c r="C2791" s="4"/>
      <c r="D2791" s="8"/>
      <c r="E2791" s="4"/>
      <c r="F2791" s="8"/>
      <c r="G2791" s="4"/>
      <c r="H2791" s="8"/>
      <c r="I2791" s="4"/>
    </row>
    <row r="2792" spans="1:9" x14ac:dyDescent="0.2">
      <c r="A2792" s="1" t="s">
        <v>112</v>
      </c>
      <c r="C2792" s="4"/>
      <c r="D2792" s="8"/>
      <c r="E2792" s="4"/>
      <c r="F2792" s="8"/>
      <c r="G2792" s="4"/>
      <c r="H2792" s="8"/>
      <c r="I2792" s="4"/>
    </row>
    <row r="2793" spans="1:9" x14ac:dyDescent="0.2">
      <c r="A2793" s="2">
        <v>1</v>
      </c>
      <c r="B2793" s="1" t="s">
        <v>223</v>
      </c>
      <c r="C2793" s="4">
        <v>20</v>
      </c>
      <c r="D2793" s="8">
        <v>14.18</v>
      </c>
      <c r="E2793" s="4">
        <v>10</v>
      </c>
      <c r="F2793" s="8">
        <v>12.66</v>
      </c>
      <c r="G2793" s="4">
        <v>10</v>
      </c>
      <c r="H2793" s="8">
        <v>17.54</v>
      </c>
      <c r="I2793" s="4">
        <v>0</v>
      </c>
    </row>
    <row r="2794" spans="1:9" x14ac:dyDescent="0.2">
      <c r="A2794" s="2">
        <v>2</v>
      </c>
      <c r="B2794" s="1" t="s">
        <v>227</v>
      </c>
      <c r="C2794" s="4">
        <v>17</v>
      </c>
      <c r="D2794" s="8">
        <v>12.06</v>
      </c>
      <c r="E2794" s="4">
        <v>16</v>
      </c>
      <c r="F2794" s="8">
        <v>20.25</v>
      </c>
      <c r="G2794" s="4">
        <v>1</v>
      </c>
      <c r="H2794" s="8">
        <v>1.75</v>
      </c>
      <c r="I2794" s="4">
        <v>0</v>
      </c>
    </row>
    <row r="2795" spans="1:9" x14ac:dyDescent="0.2">
      <c r="A2795" s="2">
        <v>3</v>
      </c>
      <c r="B2795" s="1" t="s">
        <v>228</v>
      </c>
      <c r="C2795" s="4">
        <v>13</v>
      </c>
      <c r="D2795" s="8">
        <v>9.2200000000000006</v>
      </c>
      <c r="E2795" s="4">
        <v>12</v>
      </c>
      <c r="F2795" s="8">
        <v>15.19</v>
      </c>
      <c r="G2795" s="4">
        <v>1</v>
      </c>
      <c r="H2795" s="8">
        <v>1.75</v>
      </c>
      <c r="I2795" s="4">
        <v>0</v>
      </c>
    </row>
    <row r="2796" spans="1:9" x14ac:dyDescent="0.2">
      <c r="A2796" s="2">
        <v>4</v>
      </c>
      <c r="B2796" s="1" t="s">
        <v>213</v>
      </c>
      <c r="C2796" s="4">
        <v>12</v>
      </c>
      <c r="D2796" s="8">
        <v>8.51</v>
      </c>
      <c r="E2796" s="4">
        <v>1</v>
      </c>
      <c r="F2796" s="8">
        <v>1.27</v>
      </c>
      <c r="G2796" s="4">
        <v>11</v>
      </c>
      <c r="H2796" s="8">
        <v>19.3</v>
      </c>
      <c r="I2796" s="4">
        <v>0</v>
      </c>
    </row>
    <row r="2797" spans="1:9" x14ac:dyDescent="0.2">
      <c r="A2797" s="2">
        <v>5</v>
      </c>
      <c r="B2797" s="1" t="s">
        <v>221</v>
      </c>
      <c r="C2797" s="4">
        <v>10</v>
      </c>
      <c r="D2797" s="8">
        <v>7.09</v>
      </c>
      <c r="E2797" s="4">
        <v>7</v>
      </c>
      <c r="F2797" s="8">
        <v>8.86</v>
      </c>
      <c r="G2797" s="4">
        <v>3</v>
      </c>
      <c r="H2797" s="8">
        <v>5.26</v>
      </c>
      <c r="I2797" s="4">
        <v>0</v>
      </c>
    </row>
    <row r="2798" spans="1:9" x14ac:dyDescent="0.2">
      <c r="A2798" s="2">
        <v>6</v>
      </c>
      <c r="B2798" s="1" t="s">
        <v>215</v>
      </c>
      <c r="C2798" s="4">
        <v>5</v>
      </c>
      <c r="D2798" s="8">
        <v>3.55</v>
      </c>
      <c r="E2798" s="4">
        <v>1</v>
      </c>
      <c r="F2798" s="8">
        <v>1.27</v>
      </c>
      <c r="G2798" s="4">
        <v>4</v>
      </c>
      <c r="H2798" s="8">
        <v>7.02</v>
      </c>
      <c r="I2798" s="4">
        <v>0</v>
      </c>
    </row>
    <row r="2799" spans="1:9" x14ac:dyDescent="0.2">
      <c r="A2799" s="2">
        <v>6</v>
      </c>
      <c r="B2799" s="1" t="s">
        <v>222</v>
      </c>
      <c r="C2799" s="4">
        <v>5</v>
      </c>
      <c r="D2799" s="8">
        <v>3.55</v>
      </c>
      <c r="E2799" s="4">
        <v>3</v>
      </c>
      <c r="F2799" s="8">
        <v>3.8</v>
      </c>
      <c r="G2799" s="4">
        <v>2</v>
      </c>
      <c r="H2799" s="8">
        <v>3.51</v>
      </c>
      <c r="I2799" s="4">
        <v>0</v>
      </c>
    </row>
    <row r="2800" spans="1:9" x14ac:dyDescent="0.2">
      <c r="A2800" s="2">
        <v>6</v>
      </c>
      <c r="B2800" s="1" t="s">
        <v>243</v>
      </c>
      <c r="C2800" s="4">
        <v>5</v>
      </c>
      <c r="D2800" s="8">
        <v>3.55</v>
      </c>
      <c r="E2800" s="4">
        <v>3</v>
      </c>
      <c r="F2800" s="8">
        <v>3.8</v>
      </c>
      <c r="G2800" s="4">
        <v>2</v>
      </c>
      <c r="H2800" s="8">
        <v>3.51</v>
      </c>
      <c r="I2800" s="4">
        <v>0</v>
      </c>
    </row>
    <row r="2801" spans="1:9" x14ac:dyDescent="0.2">
      <c r="A2801" s="2">
        <v>9</v>
      </c>
      <c r="B2801" s="1" t="s">
        <v>241</v>
      </c>
      <c r="C2801" s="4">
        <v>4</v>
      </c>
      <c r="D2801" s="8">
        <v>2.84</v>
      </c>
      <c r="E2801" s="4">
        <v>1</v>
      </c>
      <c r="F2801" s="8">
        <v>1.27</v>
      </c>
      <c r="G2801" s="4">
        <v>3</v>
      </c>
      <c r="H2801" s="8">
        <v>5.26</v>
      </c>
      <c r="I2801" s="4">
        <v>0</v>
      </c>
    </row>
    <row r="2802" spans="1:9" x14ac:dyDescent="0.2">
      <c r="A2802" s="2">
        <v>10</v>
      </c>
      <c r="B2802" s="1" t="s">
        <v>214</v>
      </c>
      <c r="C2802" s="4">
        <v>3</v>
      </c>
      <c r="D2802" s="8">
        <v>2.13</v>
      </c>
      <c r="E2802" s="4">
        <v>2</v>
      </c>
      <c r="F2802" s="8">
        <v>2.5299999999999998</v>
      </c>
      <c r="G2802" s="4">
        <v>1</v>
      </c>
      <c r="H2802" s="8">
        <v>1.75</v>
      </c>
      <c r="I2802" s="4">
        <v>0</v>
      </c>
    </row>
    <row r="2803" spans="1:9" x14ac:dyDescent="0.2">
      <c r="A2803" s="2">
        <v>10</v>
      </c>
      <c r="B2803" s="1" t="s">
        <v>262</v>
      </c>
      <c r="C2803" s="4">
        <v>3</v>
      </c>
      <c r="D2803" s="8">
        <v>2.13</v>
      </c>
      <c r="E2803" s="4">
        <v>1</v>
      </c>
      <c r="F2803" s="8">
        <v>1.27</v>
      </c>
      <c r="G2803" s="4">
        <v>2</v>
      </c>
      <c r="H2803" s="8">
        <v>3.51</v>
      </c>
      <c r="I2803" s="4">
        <v>0</v>
      </c>
    </row>
    <row r="2804" spans="1:9" x14ac:dyDescent="0.2">
      <c r="A2804" s="2">
        <v>10</v>
      </c>
      <c r="B2804" s="1" t="s">
        <v>254</v>
      </c>
      <c r="C2804" s="4">
        <v>3</v>
      </c>
      <c r="D2804" s="8">
        <v>2.13</v>
      </c>
      <c r="E2804" s="4">
        <v>0</v>
      </c>
      <c r="F2804" s="8">
        <v>0</v>
      </c>
      <c r="G2804" s="4">
        <v>3</v>
      </c>
      <c r="H2804" s="8">
        <v>5.26</v>
      </c>
      <c r="I2804" s="4">
        <v>0</v>
      </c>
    </row>
    <row r="2805" spans="1:9" x14ac:dyDescent="0.2">
      <c r="A2805" s="2">
        <v>10</v>
      </c>
      <c r="B2805" s="1" t="s">
        <v>220</v>
      </c>
      <c r="C2805" s="4">
        <v>3</v>
      </c>
      <c r="D2805" s="8">
        <v>2.13</v>
      </c>
      <c r="E2805" s="4">
        <v>3</v>
      </c>
      <c r="F2805" s="8">
        <v>3.8</v>
      </c>
      <c r="G2805" s="4">
        <v>0</v>
      </c>
      <c r="H2805" s="8">
        <v>0</v>
      </c>
      <c r="I2805" s="4">
        <v>0</v>
      </c>
    </row>
    <row r="2806" spans="1:9" x14ac:dyDescent="0.2">
      <c r="A2806" s="2">
        <v>10</v>
      </c>
      <c r="B2806" s="1" t="s">
        <v>230</v>
      </c>
      <c r="C2806" s="4">
        <v>3</v>
      </c>
      <c r="D2806" s="8">
        <v>2.13</v>
      </c>
      <c r="E2806" s="4">
        <v>2</v>
      </c>
      <c r="F2806" s="8">
        <v>2.5299999999999998</v>
      </c>
      <c r="G2806" s="4">
        <v>0</v>
      </c>
      <c r="H2806" s="8">
        <v>0</v>
      </c>
      <c r="I2806" s="4">
        <v>0</v>
      </c>
    </row>
    <row r="2807" spans="1:9" x14ac:dyDescent="0.2">
      <c r="A2807" s="2">
        <v>10</v>
      </c>
      <c r="B2807" s="1" t="s">
        <v>234</v>
      </c>
      <c r="C2807" s="4">
        <v>3</v>
      </c>
      <c r="D2807" s="8">
        <v>2.13</v>
      </c>
      <c r="E2807" s="4">
        <v>0</v>
      </c>
      <c r="F2807" s="8">
        <v>0</v>
      </c>
      <c r="G2807" s="4">
        <v>1</v>
      </c>
      <c r="H2807" s="8">
        <v>1.75</v>
      </c>
      <c r="I2807" s="4">
        <v>1</v>
      </c>
    </row>
    <row r="2808" spans="1:9" x14ac:dyDescent="0.2">
      <c r="A2808" s="2">
        <v>16</v>
      </c>
      <c r="B2808" s="1" t="s">
        <v>244</v>
      </c>
      <c r="C2808" s="4">
        <v>2</v>
      </c>
      <c r="D2808" s="8">
        <v>1.42</v>
      </c>
      <c r="E2808" s="4">
        <v>1</v>
      </c>
      <c r="F2808" s="8">
        <v>1.27</v>
      </c>
      <c r="G2808" s="4">
        <v>1</v>
      </c>
      <c r="H2808" s="8">
        <v>1.75</v>
      </c>
      <c r="I2808" s="4">
        <v>0</v>
      </c>
    </row>
    <row r="2809" spans="1:9" x14ac:dyDescent="0.2">
      <c r="A2809" s="2">
        <v>16</v>
      </c>
      <c r="B2809" s="1" t="s">
        <v>252</v>
      </c>
      <c r="C2809" s="4">
        <v>2</v>
      </c>
      <c r="D2809" s="8">
        <v>1.42</v>
      </c>
      <c r="E2809" s="4">
        <v>1</v>
      </c>
      <c r="F2809" s="8">
        <v>1.27</v>
      </c>
      <c r="G2809" s="4">
        <v>1</v>
      </c>
      <c r="H2809" s="8">
        <v>1.75</v>
      </c>
      <c r="I2809" s="4">
        <v>0</v>
      </c>
    </row>
    <row r="2810" spans="1:9" x14ac:dyDescent="0.2">
      <c r="A2810" s="2">
        <v>16</v>
      </c>
      <c r="B2810" s="1" t="s">
        <v>248</v>
      </c>
      <c r="C2810" s="4">
        <v>2</v>
      </c>
      <c r="D2810" s="8">
        <v>1.42</v>
      </c>
      <c r="E2810" s="4">
        <v>1</v>
      </c>
      <c r="F2810" s="8">
        <v>1.27</v>
      </c>
      <c r="G2810" s="4">
        <v>1</v>
      </c>
      <c r="H2810" s="8">
        <v>1.75</v>
      </c>
      <c r="I2810" s="4">
        <v>0</v>
      </c>
    </row>
    <row r="2811" spans="1:9" x14ac:dyDescent="0.2">
      <c r="A2811" s="2">
        <v>16</v>
      </c>
      <c r="B2811" s="1" t="s">
        <v>224</v>
      </c>
      <c r="C2811" s="4">
        <v>2</v>
      </c>
      <c r="D2811" s="8">
        <v>1.42</v>
      </c>
      <c r="E2811" s="4">
        <v>2</v>
      </c>
      <c r="F2811" s="8">
        <v>2.5299999999999998</v>
      </c>
      <c r="G2811" s="4">
        <v>0</v>
      </c>
      <c r="H2811" s="8">
        <v>0</v>
      </c>
      <c r="I2811" s="4">
        <v>0</v>
      </c>
    </row>
    <row r="2812" spans="1:9" x14ac:dyDescent="0.2">
      <c r="A2812" s="2">
        <v>16</v>
      </c>
      <c r="B2812" s="1" t="s">
        <v>225</v>
      </c>
      <c r="C2812" s="4">
        <v>2</v>
      </c>
      <c r="D2812" s="8">
        <v>1.42</v>
      </c>
      <c r="E2812" s="4">
        <v>2</v>
      </c>
      <c r="F2812" s="8">
        <v>2.5299999999999998</v>
      </c>
      <c r="G2812" s="4">
        <v>0</v>
      </c>
      <c r="H2812" s="8">
        <v>0</v>
      </c>
      <c r="I2812" s="4">
        <v>0</v>
      </c>
    </row>
    <row r="2813" spans="1:9" x14ac:dyDescent="0.2">
      <c r="A2813" s="2">
        <v>16</v>
      </c>
      <c r="B2813" s="1" t="s">
        <v>239</v>
      </c>
      <c r="C2813" s="4">
        <v>2</v>
      </c>
      <c r="D2813" s="8">
        <v>1.42</v>
      </c>
      <c r="E2813" s="4">
        <v>0</v>
      </c>
      <c r="F2813" s="8">
        <v>0</v>
      </c>
      <c r="G2813" s="4">
        <v>2</v>
      </c>
      <c r="H2813" s="8">
        <v>3.51</v>
      </c>
      <c r="I2813" s="4">
        <v>0</v>
      </c>
    </row>
    <row r="2814" spans="1:9" x14ac:dyDescent="0.2">
      <c r="A2814" s="2">
        <v>16</v>
      </c>
      <c r="B2814" s="1" t="s">
        <v>229</v>
      </c>
      <c r="C2814" s="4">
        <v>2</v>
      </c>
      <c r="D2814" s="8">
        <v>1.42</v>
      </c>
      <c r="E2814" s="4">
        <v>2</v>
      </c>
      <c r="F2814" s="8">
        <v>2.5299999999999998</v>
      </c>
      <c r="G2814" s="4">
        <v>0</v>
      </c>
      <c r="H2814" s="8">
        <v>0</v>
      </c>
      <c r="I2814" s="4">
        <v>0</v>
      </c>
    </row>
    <row r="2815" spans="1:9" x14ac:dyDescent="0.2">
      <c r="A2815" s="2">
        <v>16</v>
      </c>
      <c r="B2815" s="1" t="s">
        <v>232</v>
      </c>
      <c r="C2815" s="4">
        <v>2</v>
      </c>
      <c r="D2815" s="8">
        <v>1.42</v>
      </c>
      <c r="E2815" s="4">
        <v>0</v>
      </c>
      <c r="F2815" s="8">
        <v>0</v>
      </c>
      <c r="G2815" s="4">
        <v>1</v>
      </c>
      <c r="H2815" s="8">
        <v>1.75</v>
      </c>
      <c r="I2815" s="4">
        <v>0</v>
      </c>
    </row>
    <row r="2816" spans="1:9" x14ac:dyDescent="0.2">
      <c r="A2816" s="1"/>
      <c r="C2816" s="4"/>
      <c r="D2816" s="8"/>
      <c r="E2816" s="4"/>
      <c r="F2816" s="8"/>
      <c r="G2816" s="4"/>
      <c r="H2816" s="8"/>
      <c r="I2816" s="4"/>
    </row>
    <row r="2817" spans="1:9" x14ac:dyDescent="0.2">
      <c r="A2817" s="1" t="s">
        <v>113</v>
      </c>
      <c r="C2817" s="4"/>
      <c r="D2817" s="8"/>
      <c r="E2817" s="4"/>
      <c r="F2817" s="8"/>
      <c r="G2817" s="4"/>
      <c r="H2817" s="8"/>
      <c r="I2817" s="4"/>
    </row>
    <row r="2818" spans="1:9" x14ac:dyDescent="0.2">
      <c r="A2818" s="2">
        <v>1</v>
      </c>
      <c r="B2818" s="1" t="s">
        <v>221</v>
      </c>
      <c r="C2818" s="4">
        <v>4</v>
      </c>
      <c r="D2818" s="8">
        <v>12.9</v>
      </c>
      <c r="E2818" s="4">
        <v>2</v>
      </c>
      <c r="F2818" s="8">
        <v>22.22</v>
      </c>
      <c r="G2818" s="4">
        <v>2</v>
      </c>
      <c r="H2818" s="8">
        <v>11.11</v>
      </c>
      <c r="I2818" s="4">
        <v>0</v>
      </c>
    </row>
    <row r="2819" spans="1:9" x14ac:dyDescent="0.2">
      <c r="A2819" s="2">
        <v>1</v>
      </c>
      <c r="B2819" s="1" t="s">
        <v>227</v>
      </c>
      <c r="C2819" s="4">
        <v>4</v>
      </c>
      <c r="D2819" s="8">
        <v>12.9</v>
      </c>
      <c r="E2819" s="4">
        <v>4</v>
      </c>
      <c r="F2819" s="8">
        <v>44.44</v>
      </c>
      <c r="G2819" s="4">
        <v>0</v>
      </c>
      <c r="H2819" s="8">
        <v>0</v>
      </c>
      <c r="I2819" s="4">
        <v>0</v>
      </c>
    </row>
    <row r="2820" spans="1:9" x14ac:dyDescent="0.2">
      <c r="A2820" s="2">
        <v>3</v>
      </c>
      <c r="B2820" s="1" t="s">
        <v>213</v>
      </c>
      <c r="C2820" s="4">
        <v>3</v>
      </c>
      <c r="D2820" s="8">
        <v>9.68</v>
      </c>
      <c r="E2820" s="4">
        <v>0</v>
      </c>
      <c r="F2820" s="8">
        <v>0</v>
      </c>
      <c r="G2820" s="4">
        <v>3</v>
      </c>
      <c r="H2820" s="8">
        <v>16.670000000000002</v>
      </c>
      <c r="I2820" s="4">
        <v>0</v>
      </c>
    </row>
    <row r="2821" spans="1:9" x14ac:dyDescent="0.2">
      <c r="A2821" s="2">
        <v>3</v>
      </c>
      <c r="B2821" s="1" t="s">
        <v>223</v>
      </c>
      <c r="C2821" s="4">
        <v>3</v>
      </c>
      <c r="D2821" s="8">
        <v>9.68</v>
      </c>
      <c r="E2821" s="4">
        <v>0</v>
      </c>
      <c r="F2821" s="8">
        <v>0</v>
      </c>
      <c r="G2821" s="4">
        <v>3</v>
      </c>
      <c r="H2821" s="8">
        <v>16.670000000000002</v>
      </c>
      <c r="I2821" s="4">
        <v>0</v>
      </c>
    </row>
    <row r="2822" spans="1:9" x14ac:dyDescent="0.2">
      <c r="A2822" s="2">
        <v>5</v>
      </c>
      <c r="B2822" s="1" t="s">
        <v>241</v>
      </c>
      <c r="C2822" s="4">
        <v>2</v>
      </c>
      <c r="D2822" s="8">
        <v>6.45</v>
      </c>
      <c r="E2822" s="4">
        <v>1</v>
      </c>
      <c r="F2822" s="8">
        <v>11.11</v>
      </c>
      <c r="G2822" s="4">
        <v>1</v>
      </c>
      <c r="H2822" s="8">
        <v>5.56</v>
      </c>
      <c r="I2822" s="4">
        <v>0</v>
      </c>
    </row>
    <row r="2823" spans="1:9" x14ac:dyDescent="0.2">
      <c r="A2823" s="2">
        <v>5</v>
      </c>
      <c r="B2823" s="1" t="s">
        <v>255</v>
      </c>
      <c r="C2823" s="4">
        <v>2</v>
      </c>
      <c r="D2823" s="8">
        <v>6.45</v>
      </c>
      <c r="E2823" s="4">
        <v>0</v>
      </c>
      <c r="F2823" s="8">
        <v>0</v>
      </c>
      <c r="G2823" s="4">
        <v>1</v>
      </c>
      <c r="H2823" s="8">
        <v>5.56</v>
      </c>
      <c r="I2823" s="4">
        <v>0</v>
      </c>
    </row>
    <row r="2824" spans="1:9" x14ac:dyDescent="0.2">
      <c r="A2824" s="2">
        <v>5</v>
      </c>
      <c r="B2824" s="1" t="s">
        <v>238</v>
      </c>
      <c r="C2824" s="4">
        <v>2</v>
      </c>
      <c r="D2824" s="8">
        <v>6.45</v>
      </c>
      <c r="E2824" s="4">
        <v>0</v>
      </c>
      <c r="F2824" s="8">
        <v>0</v>
      </c>
      <c r="G2824" s="4">
        <v>2</v>
      </c>
      <c r="H2824" s="8">
        <v>11.11</v>
      </c>
      <c r="I2824" s="4">
        <v>0</v>
      </c>
    </row>
    <row r="2825" spans="1:9" x14ac:dyDescent="0.2">
      <c r="A2825" s="2">
        <v>5</v>
      </c>
      <c r="B2825" s="1" t="s">
        <v>243</v>
      </c>
      <c r="C2825" s="4">
        <v>2</v>
      </c>
      <c r="D2825" s="8">
        <v>6.45</v>
      </c>
      <c r="E2825" s="4">
        <v>0</v>
      </c>
      <c r="F2825" s="8">
        <v>0</v>
      </c>
      <c r="G2825" s="4">
        <v>2</v>
      </c>
      <c r="H2825" s="8">
        <v>11.11</v>
      </c>
      <c r="I2825" s="4">
        <v>0</v>
      </c>
    </row>
    <row r="2826" spans="1:9" x14ac:dyDescent="0.2">
      <c r="A2826" s="2">
        <v>9</v>
      </c>
      <c r="B2826" s="1" t="s">
        <v>215</v>
      </c>
      <c r="C2826" s="4">
        <v>1</v>
      </c>
      <c r="D2826" s="8">
        <v>3.23</v>
      </c>
      <c r="E2826" s="4">
        <v>0</v>
      </c>
      <c r="F2826" s="8">
        <v>0</v>
      </c>
      <c r="G2826" s="4">
        <v>1</v>
      </c>
      <c r="H2826" s="8">
        <v>5.56</v>
      </c>
      <c r="I2826" s="4">
        <v>0</v>
      </c>
    </row>
    <row r="2827" spans="1:9" x14ac:dyDescent="0.2">
      <c r="A2827" s="2">
        <v>9</v>
      </c>
      <c r="B2827" s="1" t="s">
        <v>244</v>
      </c>
      <c r="C2827" s="4">
        <v>1</v>
      </c>
      <c r="D2827" s="8">
        <v>3.23</v>
      </c>
      <c r="E2827" s="4">
        <v>0</v>
      </c>
      <c r="F2827" s="8">
        <v>0</v>
      </c>
      <c r="G2827" s="4">
        <v>1</v>
      </c>
      <c r="H2827" s="8">
        <v>5.56</v>
      </c>
      <c r="I2827" s="4">
        <v>0</v>
      </c>
    </row>
    <row r="2828" spans="1:9" x14ac:dyDescent="0.2">
      <c r="A2828" s="2">
        <v>9</v>
      </c>
      <c r="B2828" s="1" t="s">
        <v>280</v>
      </c>
      <c r="C2828" s="4">
        <v>1</v>
      </c>
      <c r="D2828" s="8">
        <v>3.23</v>
      </c>
      <c r="E2828" s="4">
        <v>0</v>
      </c>
      <c r="F2828" s="8">
        <v>0</v>
      </c>
      <c r="G2828" s="4">
        <v>1</v>
      </c>
      <c r="H2828" s="8">
        <v>5.56</v>
      </c>
      <c r="I2828" s="4">
        <v>0</v>
      </c>
    </row>
    <row r="2829" spans="1:9" x14ac:dyDescent="0.2">
      <c r="A2829" s="2">
        <v>9</v>
      </c>
      <c r="B2829" s="1" t="s">
        <v>220</v>
      </c>
      <c r="C2829" s="4">
        <v>1</v>
      </c>
      <c r="D2829" s="8">
        <v>3.23</v>
      </c>
      <c r="E2829" s="4">
        <v>1</v>
      </c>
      <c r="F2829" s="8">
        <v>11.11</v>
      </c>
      <c r="G2829" s="4">
        <v>0</v>
      </c>
      <c r="H2829" s="8">
        <v>0</v>
      </c>
      <c r="I2829" s="4">
        <v>0</v>
      </c>
    </row>
    <row r="2830" spans="1:9" x14ac:dyDescent="0.2">
      <c r="A2830" s="2">
        <v>9</v>
      </c>
      <c r="B2830" s="1" t="s">
        <v>228</v>
      </c>
      <c r="C2830" s="4">
        <v>1</v>
      </c>
      <c r="D2830" s="8">
        <v>3.23</v>
      </c>
      <c r="E2830" s="4">
        <v>1</v>
      </c>
      <c r="F2830" s="8">
        <v>11.11</v>
      </c>
      <c r="G2830" s="4">
        <v>0</v>
      </c>
      <c r="H2830" s="8">
        <v>0</v>
      </c>
      <c r="I2830" s="4">
        <v>0</v>
      </c>
    </row>
    <row r="2831" spans="1:9" x14ac:dyDescent="0.2">
      <c r="A2831" s="2">
        <v>9</v>
      </c>
      <c r="B2831" s="1" t="s">
        <v>247</v>
      </c>
      <c r="C2831" s="4">
        <v>1</v>
      </c>
      <c r="D2831" s="8">
        <v>3.23</v>
      </c>
      <c r="E2831" s="4">
        <v>0</v>
      </c>
      <c r="F2831" s="8">
        <v>0</v>
      </c>
      <c r="G2831" s="4">
        <v>0</v>
      </c>
      <c r="H2831" s="8">
        <v>0</v>
      </c>
      <c r="I2831" s="4">
        <v>0</v>
      </c>
    </row>
    <row r="2832" spans="1:9" x14ac:dyDescent="0.2">
      <c r="A2832" s="2">
        <v>9</v>
      </c>
      <c r="B2832" s="1" t="s">
        <v>230</v>
      </c>
      <c r="C2832" s="4">
        <v>1</v>
      </c>
      <c r="D2832" s="8">
        <v>3.23</v>
      </c>
      <c r="E2832" s="4">
        <v>0</v>
      </c>
      <c r="F2832" s="8">
        <v>0</v>
      </c>
      <c r="G2832" s="4">
        <v>0</v>
      </c>
      <c r="H2832" s="8">
        <v>0</v>
      </c>
      <c r="I2832" s="4">
        <v>0</v>
      </c>
    </row>
    <row r="2833" spans="1:9" x14ac:dyDescent="0.2">
      <c r="A2833" s="2">
        <v>9</v>
      </c>
      <c r="B2833" s="1" t="s">
        <v>232</v>
      </c>
      <c r="C2833" s="4">
        <v>1</v>
      </c>
      <c r="D2833" s="8">
        <v>3.23</v>
      </c>
      <c r="E2833" s="4">
        <v>0</v>
      </c>
      <c r="F2833" s="8">
        <v>0</v>
      </c>
      <c r="G2833" s="4">
        <v>0</v>
      </c>
      <c r="H2833" s="8">
        <v>0</v>
      </c>
      <c r="I2833" s="4">
        <v>0</v>
      </c>
    </row>
    <row r="2834" spans="1:9" x14ac:dyDescent="0.2">
      <c r="A2834" s="2">
        <v>9</v>
      </c>
      <c r="B2834" s="1" t="s">
        <v>240</v>
      </c>
      <c r="C2834" s="4">
        <v>1</v>
      </c>
      <c r="D2834" s="8">
        <v>3.23</v>
      </c>
      <c r="E2834" s="4">
        <v>0</v>
      </c>
      <c r="F2834" s="8">
        <v>0</v>
      </c>
      <c r="G2834" s="4">
        <v>1</v>
      </c>
      <c r="H2834" s="8">
        <v>5.56</v>
      </c>
      <c r="I2834" s="4">
        <v>0</v>
      </c>
    </row>
    <row r="2835" spans="1:9" x14ac:dyDescent="0.2">
      <c r="A2835" s="1"/>
      <c r="C2835" s="4"/>
      <c r="D2835" s="8"/>
      <c r="E2835" s="4"/>
      <c r="F2835" s="8"/>
      <c r="G2835" s="4"/>
      <c r="H2835" s="8"/>
      <c r="I2835" s="4"/>
    </row>
    <row r="2836" spans="1:9" x14ac:dyDescent="0.2">
      <c r="A2836" s="1" t="s">
        <v>114</v>
      </c>
      <c r="C2836" s="4"/>
      <c r="D2836" s="8"/>
      <c r="E2836" s="4"/>
      <c r="F2836" s="8"/>
      <c r="G2836" s="4"/>
      <c r="H2836" s="8"/>
      <c r="I2836" s="4"/>
    </row>
    <row r="2837" spans="1:9" x14ac:dyDescent="0.2">
      <c r="A2837" s="2">
        <v>1</v>
      </c>
      <c r="B2837" s="1" t="s">
        <v>223</v>
      </c>
      <c r="C2837" s="4">
        <v>7</v>
      </c>
      <c r="D2837" s="8">
        <v>10.45</v>
      </c>
      <c r="E2837" s="4">
        <v>2</v>
      </c>
      <c r="F2837" s="8">
        <v>6.06</v>
      </c>
      <c r="G2837" s="4">
        <v>5</v>
      </c>
      <c r="H2837" s="8">
        <v>15.63</v>
      </c>
      <c r="I2837" s="4">
        <v>0</v>
      </c>
    </row>
    <row r="2838" spans="1:9" x14ac:dyDescent="0.2">
      <c r="A2838" s="2">
        <v>1</v>
      </c>
      <c r="B2838" s="1" t="s">
        <v>227</v>
      </c>
      <c r="C2838" s="4">
        <v>7</v>
      </c>
      <c r="D2838" s="8">
        <v>10.45</v>
      </c>
      <c r="E2838" s="4">
        <v>7</v>
      </c>
      <c r="F2838" s="8">
        <v>21.21</v>
      </c>
      <c r="G2838" s="4">
        <v>0</v>
      </c>
      <c r="H2838" s="8">
        <v>0</v>
      </c>
      <c r="I2838" s="4">
        <v>0</v>
      </c>
    </row>
    <row r="2839" spans="1:9" x14ac:dyDescent="0.2">
      <c r="A2839" s="2">
        <v>3</v>
      </c>
      <c r="B2839" s="1" t="s">
        <v>228</v>
      </c>
      <c r="C2839" s="4">
        <v>5</v>
      </c>
      <c r="D2839" s="8">
        <v>7.46</v>
      </c>
      <c r="E2839" s="4">
        <v>5</v>
      </c>
      <c r="F2839" s="8">
        <v>15.15</v>
      </c>
      <c r="G2839" s="4">
        <v>0</v>
      </c>
      <c r="H2839" s="8">
        <v>0</v>
      </c>
      <c r="I2839" s="4">
        <v>0</v>
      </c>
    </row>
    <row r="2840" spans="1:9" x14ac:dyDescent="0.2">
      <c r="A2840" s="2">
        <v>4</v>
      </c>
      <c r="B2840" s="1" t="s">
        <v>244</v>
      </c>
      <c r="C2840" s="4">
        <v>4</v>
      </c>
      <c r="D2840" s="8">
        <v>5.97</v>
      </c>
      <c r="E2840" s="4">
        <v>4</v>
      </c>
      <c r="F2840" s="8">
        <v>12.12</v>
      </c>
      <c r="G2840" s="4">
        <v>0</v>
      </c>
      <c r="H2840" s="8">
        <v>0</v>
      </c>
      <c r="I2840" s="4">
        <v>0</v>
      </c>
    </row>
    <row r="2841" spans="1:9" x14ac:dyDescent="0.2">
      <c r="A2841" s="2">
        <v>4</v>
      </c>
      <c r="B2841" s="1" t="s">
        <v>254</v>
      </c>
      <c r="C2841" s="4">
        <v>4</v>
      </c>
      <c r="D2841" s="8">
        <v>5.97</v>
      </c>
      <c r="E2841" s="4">
        <v>0</v>
      </c>
      <c r="F2841" s="8">
        <v>0</v>
      </c>
      <c r="G2841" s="4">
        <v>4</v>
      </c>
      <c r="H2841" s="8">
        <v>12.5</v>
      </c>
      <c r="I2841" s="4">
        <v>0</v>
      </c>
    </row>
    <row r="2842" spans="1:9" x14ac:dyDescent="0.2">
      <c r="A2842" s="2">
        <v>6</v>
      </c>
      <c r="B2842" s="1" t="s">
        <v>221</v>
      </c>
      <c r="C2842" s="4">
        <v>3</v>
      </c>
      <c r="D2842" s="8">
        <v>4.4800000000000004</v>
      </c>
      <c r="E2842" s="4">
        <v>1</v>
      </c>
      <c r="F2842" s="8">
        <v>3.03</v>
      </c>
      <c r="G2842" s="4">
        <v>2</v>
      </c>
      <c r="H2842" s="8">
        <v>6.25</v>
      </c>
      <c r="I2842" s="4">
        <v>0</v>
      </c>
    </row>
    <row r="2843" spans="1:9" x14ac:dyDescent="0.2">
      <c r="A2843" s="2">
        <v>6</v>
      </c>
      <c r="B2843" s="1" t="s">
        <v>222</v>
      </c>
      <c r="C2843" s="4">
        <v>3</v>
      </c>
      <c r="D2843" s="8">
        <v>4.4800000000000004</v>
      </c>
      <c r="E2843" s="4">
        <v>1</v>
      </c>
      <c r="F2843" s="8">
        <v>3.03</v>
      </c>
      <c r="G2843" s="4">
        <v>2</v>
      </c>
      <c r="H2843" s="8">
        <v>6.25</v>
      </c>
      <c r="I2843" s="4">
        <v>0</v>
      </c>
    </row>
    <row r="2844" spans="1:9" x14ac:dyDescent="0.2">
      <c r="A2844" s="2">
        <v>8</v>
      </c>
      <c r="B2844" s="1" t="s">
        <v>213</v>
      </c>
      <c r="C2844" s="4">
        <v>2</v>
      </c>
      <c r="D2844" s="8">
        <v>2.99</v>
      </c>
      <c r="E2844" s="4">
        <v>0</v>
      </c>
      <c r="F2844" s="8">
        <v>0</v>
      </c>
      <c r="G2844" s="4">
        <v>2</v>
      </c>
      <c r="H2844" s="8">
        <v>6.25</v>
      </c>
      <c r="I2844" s="4">
        <v>0</v>
      </c>
    </row>
    <row r="2845" spans="1:9" x14ac:dyDescent="0.2">
      <c r="A2845" s="2">
        <v>8</v>
      </c>
      <c r="B2845" s="1" t="s">
        <v>220</v>
      </c>
      <c r="C2845" s="4">
        <v>2</v>
      </c>
      <c r="D2845" s="8">
        <v>2.99</v>
      </c>
      <c r="E2845" s="4">
        <v>2</v>
      </c>
      <c r="F2845" s="8">
        <v>6.06</v>
      </c>
      <c r="G2845" s="4">
        <v>0</v>
      </c>
      <c r="H2845" s="8">
        <v>0</v>
      </c>
      <c r="I2845" s="4">
        <v>0</v>
      </c>
    </row>
    <row r="2846" spans="1:9" x14ac:dyDescent="0.2">
      <c r="A2846" s="2">
        <v>8</v>
      </c>
      <c r="B2846" s="1" t="s">
        <v>236</v>
      </c>
      <c r="C2846" s="4">
        <v>2</v>
      </c>
      <c r="D2846" s="8">
        <v>2.99</v>
      </c>
      <c r="E2846" s="4">
        <v>2</v>
      </c>
      <c r="F2846" s="8">
        <v>6.06</v>
      </c>
      <c r="G2846" s="4">
        <v>0</v>
      </c>
      <c r="H2846" s="8">
        <v>0</v>
      </c>
      <c r="I2846" s="4">
        <v>0</v>
      </c>
    </row>
    <row r="2847" spans="1:9" x14ac:dyDescent="0.2">
      <c r="A2847" s="2">
        <v>8</v>
      </c>
      <c r="B2847" s="1" t="s">
        <v>224</v>
      </c>
      <c r="C2847" s="4">
        <v>2</v>
      </c>
      <c r="D2847" s="8">
        <v>2.99</v>
      </c>
      <c r="E2847" s="4">
        <v>0</v>
      </c>
      <c r="F2847" s="8">
        <v>0</v>
      </c>
      <c r="G2847" s="4">
        <v>2</v>
      </c>
      <c r="H2847" s="8">
        <v>6.25</v>
      </c>
      <c r="I2847" s="4">
        <v>0</v>
      </c>
    </row>
    <row r="2848" spans="1:9" x14ac:dyDescent="0.2">
      <c r="A2848" s="2">
        <v>8</v>
      </c>
      <c r="B2848" s="1" t="s">
        <v>246</v>
      </c>
      <c r="C2848" s="4">
        <v>2</v>
      </c>
      <c r="D2848" s="8">
        <v>2.99</v>
      </c>
      <c r="E2848" s="4">
        <v>1</v>
      </c>
      <c r="F2848" s="8">
        <v>3.03</v>
      </c>
      <c r="G2848" s="4">
        <v>1</v>
      </c>
      <c r="H2848" s="8">
        <v>3.13</v>
      </c>
      <c r="I2848" s="4">
        <v>0</v>
      </c>
    </row>
    <row r="2849" spans="1:9" x14ac:dyDescent="0.2">
      <c r="A2849" s="2">
        <v>8</v>
      </c>
      <c r="B2849" s="1" t="s">
        <v>226</v>
      </c>
      <c r="C2849" s="4">
        <v>2</v>
      </c>
      <c r="D2849" s="8">
        <v>2.99</v>
      </c>
      <c r="E2849" s="4">
        <v>1</v>
      </c>
      <c r="F2849" s="8">
        <v>3.03</v>
      </c>
      <c r="G2849" s="4">
        <v>1</v>
      </c>
      <c r="H2849" s="8">
        <v>3.13</v>
      </c>
      <c r="I2849" s="4">
        <v>0</v>
      </c>
    </row>
    <row r="2850" spans="1:9" x14ac:dyDescent="0.2">
      <c r="A2850" s="2">
        <v>8</v>
      </c>
      <c r="B2850" s="1" t="s">
        <v>230</v>
      </c>
      <c r="C2850" s="4">
        <v>2</v>
      </c>
      <c r="D2850" s="8">
        <v>2.99</v>
      </c>
      <c r="E2850" s="4">
        <v>0</v>
      </c>
      <c r="F2850" s="8">
        <v>0</v>
      </c>
      <c r="G2850" s="4">
        <v>1</v>
      </c>
      <c r="H2850" s="8">
        <v>3.13</v>
      </c>
      <c r="I2850" s="4">
        <v>0</v>
      </c>
    </row>
    <row r="2851" spans="1:9" x14ac:dyDescent="0.2">
      <c r="A2851" s="2">
        <v>15</v>
      </c>
      <c r="B2851" s="1" t="s">
        <v>214</v>
      </c>
      <c r="C2851" s="4">
        <v>1</v>
      </c>
      <c r="D2851" s="8">
        <v>1.49</v>
      </c>
      <c r="E2851" s="4">
        <v>1</v>
      </c>
      <c r="F2851" s="8">
        <v>3.03</v>
      </c>
      <c r="G2851" s="4">
        <v>0</v>
      </c>
      <c r="H2851" s="8">
        <v>0</v>
      </c>
      <c r="I2851" s="4">
        <v>0</v>
      </c>
    </row>
    <row r="2852" spans="1:9" x14ac:dyDescent="0.2">
      <c r="A2852" s="2">
        <v>15</v>
      </c>
      <c r="B2852" s="1" t="s">
        <v>215</v>
      </c>
      <c r="C2852" s="4">
        <v>1</v>
      </c>
      <c r="D2852" s="8">
        <v>1.49</v>
      </c>
      <c r="E2852" s="4">
        <v>0</v>
      </c>
      <c r="F2852" s="8">
        <v>0</v>
      </c>
      <c r="G2852" s="4">
        <v>1</v>
      </c>
      <c r="H2852" s="8">
        <v>3.13</v>
      </c>
      <c r="I2852" s="4">
        <v>0</v>
      </c>
    </row>
    <row r="2853" spans="1:9" x14ac:dyDescent="0.2">
      <c r="A2853" s="2">
        <v>15</v>
      </c>
      <c r="B2853" s="1" t="s">
        <v>241</v>
      </c>
      <c r="C2853" s="4">
        <v>1</v>
      </c>
      <c r="D2853" s="8">
        <v>1.49</v>
      </c>
      <c r="E2853" s="4">
        <v>0</v>
      </c>
      <c r="F2853" s="8">
        <v>0</v>
      </c>
      <c r="G2853" s="4">
        <v>1</v>
      </c>
      <c r="H2853" s="8">
        <v>3.13</v>
      </c>
      <c r="I2853" s="4">
        <v>0</v>
      </c>
    </row>
    <row r="2854" spans="1:9" x14ac:dyDescent="0.2">
      <c r="A2854" s="2">
        <v>15</v>
      </c>
      <c r="B2854" s="1" t="s">
        <v>262</v>
      </c>
      <c r="C2854" s="4">
        <v>1</v>
      </c>
      <c r="D2854" s="8">
        <v>1.49</v>
      </c>
      <c r="E2854" s="4">
        <v>0</v>
      </c>
      <c r="F2854" s="8">
        <v>0</v>
      </c>
      <c r="G2854" s="4">
        <v>1</v>
      </c>
      <c r="H2854" s="8">
        <v>3.13</v>
      </c>
      <c r="I2854" s="4">
        <v>0</v>
      </c>
    </row>
    <row r="2855" spans="1:9" x14ac:dyDescent="0.2">
      <c r="A2855" s="2">
        <v>15</v>
      </c>
      <c r="B2855" s="1" t="s">
        <v>253</v>
      </c>
      <c r="C2855" s="4">
        <v>1</v>
      </c>
      <c r="D2855" s="8">
        <v>1.49</v>
      </c>
      <c r="E2855" s="4">
        <v>1</v>
      </c>
      <c r="F2855" s="8">
        <v>3.03</v>
      </c>
      <c r="G2855" s="4">
        <v>0</v>
      </c>
      <c r="H2855" s="8">
        <v>0</v>
      </c>
      <c r="I2855" s="4">
        <v>0</v>
      </c>
    </row>
    <row r="2856" spans="1:9" x14ac:dyDescent="0.2">
      <c r="A2856" s="2">
        <v>15</v>
      </c>
      <c r="B2856" s="1" t="s">
        <v>255</v>
      </c>
      <c r="C2856" s="4">
        <v>1</v>
      </c>
      <c r="D2856" s="8">
        <v>1.49</v>
      </c>
      <c r="E2856" s="4">
        <v>0</v>
      </c>
      <c r="F2856" s="8">
        <v>0</v>
      </c>
      <c r="G2856" s="4">
        <v>1</v>
      </c>
      <c r="H2856" s="8">
        <v>3.13</v>
      </c>
      <c r="I2856" s="4">
        <v>0</v>
      </c>
    </row>
    <row r="2857" spans="1:9" x14ac:dyDescent="0.2">
      <c r="A2857" s="2">
        <v>15</v>
      </c>
      <c r="B2857" s="1" t="s">
        <v>248</v>
      </c>
      <c r="C2857" s="4">
        <v>1</v>
      </c>
      <c r="D2857" s="8">
        <v>1.49</v>
      </c>
      <c r="E2857" s="4">
        <v>0</v>
      </c>
      <c r="F2857" s="8">
        <v>0</v>
      </c>
      <c r="G2857" s="4">
        <v>1</v>
      </c>
      <c r="H2857" s="8">
        <v>3.13</v>
      </c>
      <c r="I2857" s="4">
        <v>0</v>
      </c>
    </row>
    <row r="2858" spans="1:9" x14ac:dyDescent="0.2">
      <c r="A2858" s="2">
        <v>15</v>
      </c>
      <c r="B2858" s="1" t="s">
        <v>261</v>
      </c>
      <c r="C2858" s="4">
        <v>1</v>
      </c>
      <c r="D2858" s="8">
        <v>1.49</v>
      </c>
      <c r="E2858" s="4">
        <v>0</v>
      </c>
      <c r="F2858" s="8">
        <v>0</v>
      </c>
      <c r="G2858" s="4">
        <v>0</v>
      </c>
      <c r="H2858" s="8">
        <v>0</v>
      </c>
      <c r="I2858" s="4">
        <v>1</v>
      </c>
    </row>
    <row r="2859" spans="1:9" x14ac:dyDescent="0.2">
      <c r="A2859" s="2">
        <v>15</v>
      </c>
      <c r="B2859" s="1" t="s">
        <v>216</v>
      </c>
      <c r="C2859" s="4">
        <v>1</v>
      </c>
      <c r="D2859" s="8">
        <v>1.49</v>
      </c>
      <c r="E2859" s="4">
        <v>1</v>
      </c>
      <c r="F2859" s="8">
        <v>3.03</v>
      </c>
      <c r="G2859" s="4">
        <v>0</v>
      </c>
      <c r="H2859" s="8">
        <v>0</v>
      </c>
      <c r="I2859" s="4">
        <v>0</v>
      </c>
    </row>
    <row r="2860" spans="1:9" x14ac:dyDescent="0.2">
      <c r="A2860" s="2">
        <v>15</v>
      </c>
      <c r="B2860" s="1" t="s">
        <v>218</v>
      </c>
      <c r="C2860" s="4">
        <v>1</v>
      </c>
      <c r="D2860" s="8">
        <v>1.49</v>
      </c>
      <c r="E2860" s="4">
        <v>1</v>
      </c>
      <c r="F2860" s="8">
        <v>3.03</v>
      </c>
      <c r="G2860" s="4">
        <v>0</v>
      </c>
      <c r="H2860" s="8">
        <v>0</v>
      </c>
      <c r="I2860" s="4">
        <v>0</v>
      </c>
    </row>
    <row r="2861" spans="1:9" x14ac:dyDescent="0.2">
      <c r="A2861" s="2">
        <v>15</v>
      </c>
      <c r="B2861" s="1" t="s">
        <v>219</v>
      </c>
      <c r="C2861" s="4">
        <v>1</v>
      </c>
      <c r="D2861" s="8">
        <v>1.49</v>
      </c>
      <c r="E2861" s="4">
        <v>1</v>
      </c>
      <c r="F2861" s="8">
        <v>3.03</v>
      </c>
      <c r="G2861" s="4">
        <v>0</v>
      </c>
      <c r="H2861" s="8">
        <v>0</v>
      </c>
      <c r="I2861" s="4">
        <v>0</v>
      </c>
    </row>
    <row r="2862" spans="1:9" x14ac:dyDescent="0.2">
      <c r="A2862" s="2">
        <v>15</v>
      </c>
      <c r="B2862" s="1" t="s">
        <v>237</v>
      </c>
      <c r="C2862" s="4">
        <v>1</v>
      </c>
      <c r="D2862" s="8">
        <v>1.49</v>
      </c>
      <c r="E2862" s="4">
        <v>0</v>
      </c>
      <c r="F2862" s="8">
        <v>0</v>
      </c>
      <c r="G2862" s="4">
        <v>1</v>
      </c>
      <c r="H2862" s="8">
        <v>3.13</v>
      </c>
      <c r="I2862" s="4">
        <v>0</v>
      </c>
    </row>
    <row r="2863" spans="1:9" x14ac:dyDescent="0.2">
      <c r="A2863" s="2">
        <v>15</v>
      </c>
      <c r="B2863" s="1" t="s">
        <v>256</v>
      </c>
      <c r="C2863" s="4">
        <v>1</v>
      </c>
      <c r="D2863" s="8">
        <v>1.49</v>
      </c>
      <c r="E2863" s="4">
        <v>0</v>
      </c>
      <c r="F2863" s="8">
        <v>0</v>
      </c>
      <c r="G2863" s="4">
        <v>1</v>
      </c>
      <c r="H2863" s="8">
        <v>3.13</v>
      </c>
      <c r="I2863" s="4">
        <v>0</v>
      </c>
    </row>
    <row r="2864" spans="1:9" x14ac:dyDescent="0.2">
      <c r="A2864" s="2">
        <v>15</v>
      </c>
      <c r="B2864" s="1" t="s">
        <v>243</v>
      </c>
      <c r="C2864" s="4">
        <v>1</v>
      </c>
      <c r="D2864" s="8">
        <v>1.49</v>
      </c>
      <c r="E2864" s="4">
        <v>0</v>
      </c>
      <c r="F2864" s="8">
        <v>0</v>
      </c>
      <c r="G2864" s="4">
        <v>1</v>
      </c>
      <c r="H2864" s="8">
        <v>3.13</v>
      </c>
      <c r="I2864" s="4">
        <v>0</v>
      </c>
    </row>
    <row r="2865" spans="1:9" x14ac:dyDescent="0.2">
      <c r="A2865" s="2">
        <v>15</v>
      </c>
      <c r="B2865" s="1" t="s">
        <v>239</v>
      </c>
      <c r="C2865" s="4">
        <v>1</v>
      </c>
      <c r="D2865" s="8">
        <v>1.49</v>
      </c>
      <c r="E2865" s="4">
        <v>0</v>
      </c>
      <c r="F2865" s="8">
        <v>0</v>
      </c>
      <c r="G2865" s="4">
        <v>1</v>
      </c>
      <c r="H2865" s="8">
        <v>3.13</v>
      </c>
      <c r="I2865" s="4">
        <v>0</v>
      </c>
    </row>
    <row r="2866" spans="1:9" x14ac:dyDescent="0.2">
      <c r="A2866" s="2">
        <v>15</v>
      </c>
      <c r="B2866" s="1" t="s">
        <v>229</v>
      </c>
      <c r="C2866" s="4">
        <v>1</v>
      </c>
      <c r="D2866" s="8">
        <v>1.49</v>
      </c>
      <c r="E2866" s="4">
        <v>1</v>
      </c>
      <c r="F2866" s="8">
        <v>3.03</v>
      </c>
      <c r="G2866" s="4">
        <v>0</v>
      </c>
      <c r="H2866" s="8">
        <v>0</v>
      </c>
      <c r="I2866" s="4">
        <v>0</v>
      </c>
    </row>
    <row r="2867" spans="1:9" x14ac:dyDescent="0.2">
      <c r="A2867" s="2">
        <v>15</v>
      </c>
      <c r="B2867" s="1" t="s">
        <v>247</v>
      </c>
      <c r="C2867" s="4">
        <v>1</v>
      </c>
      <c r="D2867" s="8">
        <v>1.49</v>
      </c>
      <c r="E2867" s="4">
        <v>0</v>
      </c>
      <c r="F2867" s="8">
        <v>0</v>
      </c>
      <c r="G2867" s="4">
        <v>1</v>
      </c>
      <c r="H2867" s="8">
        <v>3.13</v>
      </c>
      <c r="I2867" s="4">
        <v>0</v>
      </c>
    </row>
    <row r="2868" spans="1:9" x14ac:dyDescent="0.2">
      <c r="A2868" s="2">
        <v>15</v>
      </c>
      <c r="B2868" s="1" t="s">
        <v>231</v>
      </c>
      <c r="C2868" s="4">
        <v>1</v>
      </c>
      <c r="D2868" s="8">
        <v>1.49</v>
      </c>
      <c r="E2868" s="4">
        <v>0</v>
      </c>
      <c r="F2868" s="8">
        <v>0</v>
      </c>
      <c r="G2868" s="4">
        <v>1</v>
      </c>
      <c r="H2868" s="8">
        <v>3.13</v>
      </c>
      <c r="I2868" s="4">
        <v>0</v>
      </c>
    </row>
    <row r="2869" spans="1:9" x14ac:dyDescent="0.2">
      <c r="A2869" s="2">
        <v>15</v>
      </c>
      <c r="B2869" s="1" t="s">
        <v>240</v>
      </c>
      <c r="C2869" s="4">
        <v>1</v>
      </c>
      <c r="D2869" s="8">
        <v>1.49</v>
      </c>
      <c r="E2869" s="4">
        <v>1</v>
      </c>
      <c r="F2869" s="8">
        <v>3.03</v>
      </c>
      <c r="G2869" s="4">
        <v>0</v>
      </c>
      <c r="H2869" s="8">
        <v>0</v>
      </c>
      <c r="I2869" s="4">
        <v>0</v>
      </c>
    </row>
    <row r="2870" spans="1:9" x14ac:dyDescent="0.2">
      <c r="A2870" s="2">
        <v>15</v>
      </c>
      <c r="B2870" s="1" t="s">
        <v>234</v>
      </c>
      <c r="C2870" s="4">
        <v>1</v>
      </c>
      <c r="D2870" s="8">
        <v>1.49</v>
      </c>
      <c r="E2870" s="4">
        <v>0</v>
      </c>
      <c r="F2870" s="8">
        <v>0</v>
      </c>
      <c r="G2870" s="4">
        <v>1</v>
      </c>
      <c r="H2870" s="8">
        <v>3.13</v>
      </c>
      <c r="I2870" s="4">
        <v>0</v>
      </c>
    </row>
    <row r="2871" spans="1:9" x14ac:dyDescent="0.2">
      <c r="A2871" s="1"/>
      <c r="C2871" s="4"/>
      <c r="D2871" s="8"/>
      <c r="E2871" s="4"/>
      <c r="F2871" s="8"/>
      <c r="G2871" s="4"/>
      <c r="H2871" s="8"/>
      <c r="I2871" s="4"/>
    </row>
    <row r="2872" spans="1:9" x14ac:dyDescent="0.2">
      <c r="A2872" s="1" t="s">
        <v>115</v>
      </c>
      <c r="C2872" s="4"/>
      <c r="D2872" s="8"/>
      <c r="E2872" s="4"/>
      <c r="F2872" s="8"/>
      <c r="G2872" s="4"/>
      <c r="H2872" s="8"/>
      <c r="I2872" s="4"/>
    </row>
    <row r="2873" spans="1:9" x14ac:dyDescent="0.2">
      <c r="A2873" s="2">
        <v>1</v>
      </c>
      <c r="B2873" s="1" t="s">
        <v>241</v>
      </c>
      <c r="C2873" s="4">
        <v>7</v>
      </c>
      <c r="D2873" s="8">
        <v>14.89</v>
      </c>
      <c r="E2873" s="4">
        <v>3</v>
      </c>
      <c r="F2873" s="8">
        <v>13.64</v>
      </c>
      <c r="G2873" s="4">
        <v>4</v>
      </c>
      <c r="H2873" s="8">
        <v>20</v>
      </c>
      <c r="I2873" s="4">
        <v>0</v>
      </c>
    </row>
    <row r="2874" spans="1:9" x14ac:dyDescent="0.2">
      <c r="A2874" s="2">
        <v>1</v>
      </c>
      <c r="B2874" s="1" t="s">
        <v>223</v>
      </c>
      <c r="C2874" s="4">
        <v>7</v>
      </c>
      <c r="D2874" s="8">
        <v>14.89</v>
      </c>
      <c r="E2874" s="4">
        <v>5</v>
      </c>
      <c r="F2874" s="8">
        <v>22.73</v>
      </c>
      <c r="G2874" s="4">
        <v>2</v>
      </c>
      <c r="H2874" s="8">
        <v>10</v>
      </c>
      <c r="I2874" s="4">
        <v>0</v>
      </c>
    </row>
    <row r="2875" spans="1:9" x14ac:dyDescent="0.2">
      <c r="A2875" s="2">
        <v>3</v>
      </c>
      <c r="B2875" s="1" t="s">
        <v>227</v>
      </c>
      <c r="C2875" s="4">
        <v>4</v>
      </c>
      <c r="D2875" s="8">
        <v>8.51</v>
      </c>
      <c r="E2875" s="4">
        <v>3</v>
      </c>
      <c r="F2875" s="8">
        <v>13.64</v>
      </c>
      <c r="G2875" s="4">
        <v>0</v>
      </c>
      <c r="H2875" s="8">
        <v>0</v>
      </c>
      <c r="I2875" s="4">
        <v>1</v>
      </c>
    </row>
    <row r="2876" spans="1:9" x14ac:dyDescent="0.2">
      <c r="A2876" s="2">
        <v>4</v>
      </c>
      <c r="B2876" s="1" t="s">
        <v>213</v>
      </c>
      <c r="C2876" s="4">
        <v>2</v>
      </c>
      <c r="D2876" s="8">
        <v>4.26</v>
      </c>
      <c r="E2876" s="4">
        <v>0</v>
      </c>
      <c r="F2876" s="8">
        <v>0</v>
      </c>
      <c r="G2876" s="4">
        <v>2</v>
      </c>
      <c r="H2876" s="8">
        <v>10</v>
      </c>
      <c r="I2876" s="4">
        <v>0</v>
      </c>
    </row>
    <row r="2877" spans="1:9" x14ac:dyDescent="0.2">
      <c r="A2877" s="2">
        <v>4</v>
      </c>
      <c r="B2877" s="1" t="s">
        <v>214</v>
      </c>
      <c r="C2877" s="4">
        <v>2</v>
      </c>
      <c r="D2877" s="8">
        <v>4.26</v>
      </c>
      <c r="E2877" s="4">
        <v>1</v>
      </c>
      <c r="F2877" s="8">
        <v>4.55</v>
      </c>
      <c r="G2877" s="4">
        <v>1</v>
      </c>
      <c r="H2877" s="8">
        <v>5</v>
      </c>
      <c r="I2877" s="4">
        <v>0</v>
      </c>
    </row>
    <row r="2878" spans="1:9" x14ac:dyDescent="0.2">
      <c r="A2878" s="2">
        <v>4</v>
      </c>
      <c r="B2878" s="1" t="s">
        <v>255</v>
      </c>
      <c r="C2878" s="4">
        <v>2</v>
      </c>
      <c r="D2878" s="8">
        <v>4.26</v>
      </c>
      <c r="E2878" s="4">
        <v>0</v>
      </c>
      <c r="F2878" s="8">
        <v>0</v>
      </c>
      <c r="G2878" s="4">
        <v>1</v>
      </c>
      <c r="H2878" s="8">
        <v>5</v>
      </c>
      <c r="I2878" s="4">
        <v>0</v>
      </c>
    </row>
    <row r="2879" spans="1:9" x14ac:dyDescent="0.2">
      <c r="A2879" s="2">
        <v>4</v>
      </c>
      <c r="B2879" s="1" t="s">
        <v>221</v>
      </c>
      <c r="C2879" s="4">
        <v>2</v>
      </c>
      <c r="D2879" s="8">
        <v>4.26</v>
      </c>
      <c r="E2879" s="4">
        <v>1</v>
      </c>
      <c r="F2879" s="8">
        <v>4.55</v>
      </c>
      <c r="G2879" s="4">
        <v>1</v>
      </c>
      <c r="H2879" s="8">
        <v>5</v>
      </c>
      <c r="I2879" s="4">
        <v>0</v>
      </c>
    </row>
    <row r="2880" spans="1:9" x14ac:dyDescent="0.2">
      <c r="A2880" s="2">
        <v>4</v>
      </c>
      <c r="B2880" s="1" t="s">
        <v>243</v>
      </c>
      <c r="C2880" s="4">
        <v>2</v>
      </c>
      <c r="D2880" s="8">
        <v>4.26</v>
      </c>
      <c r="E2880" s="4">
        <v>1</v>
      </c>
      <c r="F2880" s="8">
        <v>4.55</v>
      </c>
      <c r="G2880" s="4">
        <v>1</v>
      </c>
      <c r="H2880" s="8">
        <v>5</v>
      </c>
      <c r="I2880" s="4">
        <v>0</v>
      </c>
    </row>
    <row r="2881" spans="1:9" x14ac:dyDescent="0.2">
      <c r="A2881" s="2">
        <v>4</v>
      </c>
      <c r="B2881" s="1" t="s">
        <v>228</v>
      </c>
      <c r="C2881" s="4">
        <v>2</v>
      </c>
      <c r="D2881" s="8">
        <v>4.26</v>
      </c>
      <c r="E2881" s="4">
        <v>2</v>
      </c>
      <c r="F2881" s="8">
        <v>9.09</v>
      </c>
      <c r="G2881" s="4">
        <v>0</v>
      </c>
      <c r="H2881" s="8">
        <v>0</v>
      </c>
      <c r="I2881" s="4">
        <v>0</v>
      </c>
    </row>
    <row r="2882" spans="1:9" x14ac:dyDescent="0.2">
      <c r="A2882" s="2">
        <v>4</v>
      </c>
      <c r="B2882" s="1" t="s">
        <v>240</v>
      </c>
      <c r="C2882" s="4">
        <v>2</v>
      </c>
      <c r="D2882" s="8">
        <v>4.26</v>
      </c>
      <c r="E2882" s="4">
        <v>0</v>
      </c>
      <c r="F2882" s="8">
        <v>0</v>
      </c>
      <c r="G2882" s="4">
        <v>2</v>
      </c>
      <c r="H2882" s="8">
        <v>10</v>
      </c>
      <c r="I2882" s="4">
        <v>0</v>
      </c>
    </row>
    <row r="2883" spans="1:9" x14ac:dyDescent="0.2">
      <c r="A2883" s="2">
        <v>11</v>
      </c>
      <c r="B2883" s="1" t="s">
        <v>215</v>
      </c>
      <c r="C2883" s="4">
        <v>1</v>
      </c>
      <c r="D2883" s="8">
        <v>2.13</v>
      </c>
      <c r="E2883" s="4">
        <v>1</v>
      </c>
      <c r="F2883" s="8">
        <v>4.55</v>
      </c>
      <c r="G2883" s="4">
        <v>0</v>
      </c>
      <c r="H2883" s="8">
        <v>0</v>
      </c>
      <c r="I2883" s="4">
        <v>0</v>
      </c>
    </row>
    <row r="2884" spans="1:9" x14ac:dyDescent="0.2">
      <c r="A2884" s="2">
        <v>11</v>
      </c>
      <c r="B2884" s="1" t="s">
        <v>262</v>
      </c>
      <c r="C2884" s="4">
        <v>1</v>
      </c>
      <c r="D2884" s="8">
        <v>2.13</v>
      </c>
      <c r="E2884" s="4">
        <v>0</v>
      </c>
      <c r="F2884" s="8">
        <v>0</v>
      </c>
      <c r="G2884" s="4">
        <v>1</v>
      </c>
      <c r="H2884" s="8">
        <v>5</v>
      </c>
      <c r="I2884" s="4">
        <v>0</v>
      </c>
    </row>
    <row r="2885" spans="1:9" x14ac:dyDescent="0.2">
      <c r="A2885" s="2">
        <v>11</v>
      </c>
      <c r="B2885" s="1" t="s">
        <v>244</v>
      </c>
      <c r="C2885" s="4">
        <v>1</v>
      </c>
      <c r="D2885" s="8">
        <v>2.13</v>
      </c>
      <c r="E2885" s="4">
        <v>0</v>
      </c>
      <c r="F2885" s="8">
        <v>0</v>
      </c>
      <c r="G2885" s="4">
        <v>1</v>
      </c>
      <c r="H2885" s="8">
        <v>5</v>
      </c>
      <c r="I2885" s="4">
        <v>0</v>
      </c>
    </row>
    <row r="2886" spans="1:9" x14ac:dyDescent="0.2">
      <c r="A2886" s="2">
        <v>11</v>
      </c>
      <c r="B2886" s="1" t="s">
        <v>245</v>
      </c>
      <c r="C2886" s="4">
        <v>1</v>
      </c>
      <c r="D2886" s="8">
        <v>2.13</v>
      </c>
      <c r="E2886" s="4">
        <v>1</v>
      </c>
      <c r="F2886" s="8">
        <v>4.55</v>
      </c>
      <c r="G2886" s="4">
        <v>0</v>
      </c>
      <c r="H2886" s="8">
        <v>0</v>
      </c>
      <c r="I2886" s="4">
        <v>0</v>
      </c>
    </row>
    <row r="2887" spans="1:9" x14ac:dyDescent="0.2">
      <c r="A2887" s="2">
        <v>11</v>
      </c>
      <c r="B2887" s="1" t="s">
        <v>248</v>
      </c>
      <c r="C2887" s="4">
        <v>1</v>
      </c>
      <c r="D2887" s="8">
        <v>2.13</v>
      </c>
      <c r="E2887" s="4">
        <v>1</v>
      </c>
      <c r="F2887" s="8">
        <v>4.55</v>
      </c>
      <c r="G2887" s="4">
        <v>0</v>
      </c>
      <c r="H2887" s="8">
        <v>0</v>
      </c>
      <c r="I2887" s="4">
        <v>0</v>
      </c>
    </row>
    <row r="2888" spans="1:9" x14ac:dyDescent="0.2">
      <c r="A2888" s="2">
        <v>11</v>
      </c>
      <c r="B2888" s="1" t="s">
        <v>274</v>
      </c>
      <c r="C2888" s="4">
        <v>1</v>
      </c>
      <c r="D2888" s="8">
        <v>2.13</v>
      </c>
      <c r="E2888" s="4">
        <v>0</v>
      </c>
      <c r="F2888" s="8">
        <v>0</v>
      </c>
      <c r="G2888" s="4">
        <v>1</v>
      </c>
      <c r="H2888" s="8">
        <v>5</v>
      </c>
      <c r="I2888" s="4">
        <v>0</v>
      </c>
    </row>
    <row r="2889" spans="1:9" x14ac:dyDescent="0.2">
      <c r="A2889" s="2">
        <v>11</v>
      </c>
      <c r="B2889" s="1" t="s">
        <v>261</v>
      </c>
      <c r="C2889" s="4">
        <v>1</v>
      </c>
      <c r="D2889" s="8">
        <v>2.13</v>
      </c>
      <c r="E2889" s="4">
        <v>0</v>
      </c>
      <c r="F2889" s="8">
        <v>0</v>
      </c>
      <c r="G2889" s="4">
        <v>0</v>
      </c>
      <c r="H2889" s="8">
        <v>0</v>
      </c>
      <c r="I2889" s="4">
        <v>1</v>
      </c>
    </row>
    <row r="2890" spans="1:9" x14ac:dyDescent="0.2">
      <c r="A2890" s="2">
        <v>11</v>
      </c>
      <c r="B2890" s="1" t="s">
        <v>220</v>
      </c>
      <c r="C2890" s="4">
        <v>1</v>
      </c>
      <c r="D2890" s="8">
        <v>2.13</v>
      </c>
      <c r="E2890" s="4">
        <v>1</v>
      </c>
      <c r="F2890" s="8">
        <v>4.55</v>
      </c>
      <c r="G2890" s="4">
        <v>0</v>
      </c>
      <c r="H2890" s="8">
        <v>0</v>
      </c>
      <c r="I2890" s="4">
        <v>0</v>
      </c>
    </row>
    <row r="2891" spans="1:9" x14ac:dyDescent="0.2">
      <c r="A2891" s="2">
        <v>11</v>
      </c>
      <c r="B2891" s="1" t="s">
        <v>222</v>
      </c>
      <c r="C2891" s="4">
        <v>1</v>
      </c>
      <c r="D2891" s="8">
        <v>2.13</v>
      </c>
      <c r="E2891" s="4">
        <v>1</v>
      </c>
      <c r="F2891" s="8">
        <v>4.55</v>
      </c>
      <c r="G2891" s="4">
        <v>0</v>
      </c>
      <c r="H2891" s="8">
        <v>0</v>
      </c>
      <c r="I2891" s="4">
        <v>0</v>
      </c>
    </row>
    <row r="2892" spans="1:9" x14ac:dyDescent="0.2">
      <c r="A2892" s="2">
        <v>11</v>
      </c>
      <c r="B2892" s="1" t="s">
        <v>224</v>
      </c>
      <c r="C2892" s="4">
        <v>1</v>
      </c>
      <c r="D2892" s="8">
        <v>2.13</v>
      </c>
      <c r="E2892" s="4">
        <v>0</v>
      </c>
      <c r="F2892" s="8">
        <v>0</v>
      </c>
      <c r="G2892" s="4">
        <v>0</v>
      </c>
      <c r="H2892" s="8">
        <v>0</v>
      </c>
      <c r="I2892" s="4">
        <v>0</v>
      </c>
    </row>
    <row r="2893" spans="1:9" x14ac:dyDescent="0.2">
      <c r="A2893" s="2">
        <v>11</v>
      </c>
      <c r="B2893" s="1" t="s">
        <v>246</v>
      </c>
      <c r="C2893" s="4">
        <v>1</v>
      </c>
      <c r="D2893" s="8">
        <v>2.13</v>
      </c>
      <c r="E2893" s="4">
        <v>0</v>
      </c>
      <c r="F2893" s="8">
        <v>0</v>
      </c>
      <c r="G2893" s="4">
        <v>1</v>
      </c>
      <c r="H2893" s="8">
        <v>5</v>
      </c>
      <c r="I2893" s="4">
        <v>0</v>
      </c>
    </row>
    <row r="2894" spans="1:9" x14ac:dyDescent="0.2">
      <c r="A2894" s="2">
        <v>11</v>
      </c>
      <c r="B2894" s="1" t="s">
        <v>225</v>
      </c>
      <c r="C2894" s="4">
        <v>1</v>
      </c>
      <c r="D2894" s="8">
        <v>2.13</v>
      </c>
      <c r="E2894" s="4">
        <v>1</v>
      </c>
      <c r="F2894" s="8">
        <v>4.55</v>
      </c>
      <c r="G2894" s="4">
        <v>0</v>
      </c>
      <c r="H2894" s="8">
        <v>0</v>
      </c>
      <c r="I2894" s="4">
        <v>0</v>
      </c>
    </row>
    <row r="2895" spans="1:9" x14ac:dyDescent="0.2">
      <c r="A2895" s="2">
        <v>11</v>
      </c>
      <c r="B2895" s="1" t="s">
        <v>239</v>
      </c>
      <c r="C2895" s="4">
        <v>1</v>
      </c>
      <c r="D2895" s="8">
        <v>2.13</v>
      </c>
      <c r="E2895" s="4">
        <v>0</v>
      </c>
      <c r="F2895" s="8">
        <v>0</v>
      </c>
      <c r="G2895" s="4">
        <v>1</v>
      </c>
      <c r="H2895" s="8">
        <v>5</v>
      </c>
      <c r="I2895" s="4">
        <v>0</v>
      </c>
    </row>
    <row r="2896" spans="1:9" x14ac:dyDescent="0.2">
      <c r="A2896" s="2">
        <v>11</v>
      </c>
      <c r="B2896" s="1" t="s">
        <v>247</v>
      </c>
      <c r="C2896" s="4">
        <v>1</v>
      </c>
      <c r="D2896" s="8">
        <v>2.13</v>
      </c>
      <c r="E2896" s="4">
        <v>0</v>
      </c>
      <c r="F2896" s="8">
        <v>0</v>
      </c>
      <c r="G2896" s="4">
        <v>1</v>
      </c>
      <c r="H2896" s="8">
        <v>5</v>
      </c>
      <c r="I2896" s="4">
        <v>0</v>
      </c>
    </row>
    <row r="2897" spans="1:9" x14ac:dyDescent="0.2">
      <c r="A2897" s="2">
        <v>11</v>
      </c>
      <c r="B2897" s="1" t="s">
        <v>231</v>
      </c>
      <c r="C2897" s="4">
        <v>1</v>
      </c>
      <c r="D2897" s="8">
        <v>2.13</v>
      </c>
      <c r="E2897" s="4">
        <v>0</v>
      </c>
      <c r="F2897" s="8">
        <v>0</v>
      </c>
      <c r="G2897" s="4">
        <v>0</v>
      </c>
      <c r="H2897" s="8">
        <v>0</v>
      </c>
      <c r="I2897" s="4">
        <v>1</v>
      </c>
    </row>
    <row r="2898" spans="1:9" x14ac:dyDescent="0.2">
      <c r="A2898" s="1"/>
      <c r="C2898" s="4"/>
      <c r="D2898" s="8"/>
      <c r="E2898" s="4"/>
      <c r="F2898" s="8"/>
      <c r="G2898" s="4"/>
      <c r="H2898" s="8"/>
      <c r="I2898" s="4"/>
    </row>
    <row r="2899" spans="1:9" x14ac:dyDescent="0.2">
      <c r="A2899" s="1" t="s">
        <v>116</v>
      </c>
      <c r="C2899" s="4"/>
      <c r="D2899" s="8"/>
      <c r="E2899" s="4"/>
      <c r="F2899" s="8"/>
      <c r="G2899" s="4"/>
      <c r="H2899" s="8"/>
      <c r="I2899" s="4"/>
    </row>
    <row r="2900" spans="1:9" x14ac:dyDescent="0.2">
      <c r="A2900" s="2">
        <v>1</v>
      </c>
      <c r="B2900" s="1" t="s">
        <v>227</v>
      </c>
      <c r="C2900" s="4">
        <v>19</v>
      </c>
      <c r="D2900" s="8">
        <v>13.1</v>
      </c>
      <c r="E2900" s="4">
        <v>17</v>
      </c>
      <c r="F2900" s="8">
        <v>21.25</v>
      </c>
      <c r="G2900" s="4">
        <v>2</v>
      </c>
      <c r="H2900" s="8">
        <v>3.64</v>
      </c>
      <c r="I2900" s="4">
        <v>0</v>
      </c>
    </row>
    <row r="2901" spans="1:9" x14ac:dyDescent="0.2">
      <c r="A2901" s="2">
        <v>2</v>
      </c>
      <c r="B2901" s="1" t="s">
        <v>221</v>
      </c>
      <c r="C2901" s="4">
        <v>15</v>
      </c>
      <c r="D2901" s="8">
        <v>10.34</v>
      </c>
      <c r="E2901" s="4">
        <v>10</v>
      </c>
      <c r="F2901" s="8">
        <v>12.5</v>
      </c>
      <c r="G2901" s="4">
        <v>5</v>
      </c>
      <c r="H2901" s="8">
        <v>9.09</v>
      </c>
      <c r="I2901" s="4">
        <v>0</v>
      </c>
    </row>
    <row r="2902" spans="1:9" x14ac:dyDescent="0.2">
      <c r="A2902" s="2">
        <v>2</v>
      </c>
      <c r="B2902" s="1" t="s">
        <v>223</v>
      </c>
      <c r="C2902" s="4">
        <v>15</v>
      </c>
      <c r="D2902" s="8">
        <v>10.34</v>
      </c>
      <c r="E2902" s="4">
        <v>5</v>
      </c>
      <c r="F2902" s="8">
        <v>6.25</v>
      </c>
      <c r="G2902" s="4">
        <v>10</v>
      </c>
      <c r="H2902" s="8">
        <v>18.18</v>
      </c>
      <c r="I2902" s="4">
        <v>0</v>
      </c>
    </row>
    <row r="2903" spans="1:9" x14ac:dyDescent="0.2">
      <c r="A2903" s="2">
        <v>4</v>
      </c>
      <c r="B2903" s="1" t="s">
        <v>214</v>
      </c>
      <c r="C2903" s="4">
        <v>12</v>
      </c>
      <c r="D2903" s="8">
        <v>8.2799999999999994</v>
      </c>
      <c r="E2903" s="4">
        <v>7</v>
      </c>
      <c r="F2903" s="8">
        <v>8.75</v>
      </c>
      <c r="G2903" s="4">
        <v>5</v>
      </c>
      <c r="H2903" s="8">
        <v>9.09</v>
      </c>
      <c r="I2903" s="4">
        <v>0</v>
      </c>
    </row>
    <row r="2904" spans="1:9" x14ac:dyDescent="0.2">
      <c r="A2904" s="2">
        <v>4</v>
      </c>
      <c r="B2904" s="1" t="s">
        <v>228</v>
      </c>
      <c r="C2904" s="4">
        <v>12</v>
      </c>
      <c r="D2904" s="8">
        <v>8.2799999999999994</v>
      </c>
      <c r="E2904" s="4">
        <v>12</v>
      </c>
      <c r="F2904" s="8">
        <v>15</v>
      </c>
      <c r="G2904" s="4">
        <v>0</v>
      </c>
      <c r="H2904" s="8">
        <v>0</v>
      </c>
      <c r="I2904" s="4">
        <v>0</v>
      </c>
    </row>
    <row r="2905" spans="1:9" x14ac:dyDescent="0.2">
      <c r="A2905" s="2">
        <v>6</v>
      </c>
      <c r="B2905" s="1" t="s">
        <v>243</v>
      </c>
      <c r="C2905" s="4">
        <v>8</v>
      </c>
      <c r="D2905" s="8">
        <v>5.52</v>
      </c>
      <c r="E2905" s="4">
        <v>6</v>
      </c>
      <c r="F2905" s="8">
        <v>7.5</v>
      </c>
      <c r="G2905" s="4">
        <v>2</v>
      </c>
      <c r="H2905" s="8">
        <v>3.64</v>
      </c>
      <c r="I2905" s="4">
        <v>0</v>
      </c>
    </row>
    <row r="2906" spans="1:9" x14ac:dyDescent="0.2">
      <c r="A2906" s="2">
        <v>7</v>
      </c>
      <c r="B2906" s="1" t="s">
        <v>213</v>
      </c>
      <c r="C2906" s="4">
        <v>7</v>
      </c>
      <c r="D2906" s="8">
        <v>4.83</v>
      </c>
      <c r="E2906" s="4">
        <v>3</v>
      </c>
      <c r="F2906" s="8">
        <v>3.75</v>
      </c>
      <c r="G2906" s="4">
        <v>4</v>
      </c>
      <c r="H2906" s="8">
        <v>7.27</v>
      </c>
      <c r="I2906" s="4">
        <v>0</v>
      </c>
    </row>
    <row r="2907" spans="1:9" x14ac:dyDescent="0.2">
      <c r="A2907" s="2">
        <v>8</v>
      </c>
      <c r="B2907" s="1" t="s">
        <v>241</v>
      </c>
      <c r="C2907" s="4">
        <v>5</v>
      </c>
      <c r="D2907" s="8">
        <v>3.45</v>
      </c>
      <c r="E2907" s="4">
        <v>2</v>
      </c>
      <c r="F2907" s="8">
        <v>2.5</v>
      </c>
      <c r="G2907" s="4">
        <v>3</v>
      </c>
      <c r="H2907" s="8">
        <v>5.45</v>
      </c>
      <c r="I2907" s="4">
        <v>0</v>
      </c>
    </row>
    <row r="2908" spans="1:9" x14ac:dyDescent="0.2">
      <c r="A2908" s="2">
        <v>8</v>
      </c>
      <c r="B2908" s="1" t="s">
        <v>232</v>
      </c>
      <c r="C2908" s="4">
        <v>5</v>
      </c>
      <c r="D2908" s="8">
        <v>3.45</v>
      </c>
      <c r="E2908" s="4">
        <v>0</v>
      </c>
      <c r="F2908" s="8">
        <v>0</v>
      </c>
      <c r="G2908" s="4">
        <v>3</v>
      </c>
      <c r="H2908" s="8">
        <v>5.45</v>
      </c>
      <c r="I2908" s="4">
        <v>0</v>
      </c>
    </row>
    <row r="2909" spans="1:9" x14ac:dyDescent="0.2">
      <c r="A2909" s="2">
        <v>10</v>
      </c>
      <c r="B2909" s="1" t="s">
        <v>222</v>
      </c>
      <c r="C2909" s="4">
        <v>4</v>
      </c>
      <c r="D2909" s="8">
        <v>2.76</v>
      </c>
      <c r="E2909" s="4">
        <v>3</v>
      </c>
      <c r="F2909" s="8">
        <v>3.75</v>
      </c>
      <c r="G2909" s="4">
        <v>1</v>
      </c>
      <c r="H2909" s="8">
        <v>1.82</v>
      </c>
      <c r="I2909" s="4">
        <v>0</v>
      </c>
    </row>
    <row r="2910" spans="1:9" x14ac:dyDescent="0.2">
      <c r="A2910" s="2">
        <v>10</v>
      </c>
      <c r="B2910" s="1" t="s">
        <v>247</v>
      </c>
      <c r="C2910" s="4">
        <v>4</v>
      </c>
      <c r="D2910" s="8">
        <v>2.76</v>
      </c>
      <c r="E2910" s="4">
        <v>0</v>
      </c>
      <c r="F2910" s="8">
        <v>0</v>
      </c>
      <c r="G2910" s="4">
        <v>0</v>
      </c>
      <c r="H2910" s="8">
        <v>0</v>
      </c>
      <c r="I2910" s="4">
        <v>0</v>
      </c>
    </row>
    <row r="2911" spans="1:9" x14ac:dyDescent="0.2">
      <c r="A2911" s="2">
        <v>10</v>
      </c>
      <c r="B2911" s="1" t="s">
        <v>230</v>
      </c>
      <c r="C2911" s="4">
        <v>4</v>
      </c>
      <c r="D2911" s="8">
        <v>2.76</v>
      </c>
      <c r="E2911" s="4">
        <v>2</v>
      </c>
      <c r="F2911" s="8">
        <v>2.5</v>
      </c>
      <c r="G2911" s="4">
        <v>0</v>
      </c>
      <c r="H2911" s="8">
        <v>0</v>
      </c>
      <c r="I2911" s="4">
        <v>0</v>
      </c>
    </row>
    <row r="2912" spans="1:9" x14ac:dyDescent="0.2">
      <c r="A2912" s="2">
        <v>13</v>
      </c>
      <c r="B2912" s="1" t="s">
        <v>216</v>
      </c>
      <c r="C2912" s="4">
        <v>3</v>
      </c>
      <c r="D2912" s="8">
        <v>2.0699999999999998</v>
      </c>
      <c r="E2912" s="4">
        <v>1</v>
      </c>
      <c r="F2912" s="8">
        <v>1.25</v>
      </c>
      <c r="G2912" s="4">
        <v>2</v>
      </c>
      <c r="H2912" s="8">
        <v>3.64</v>
      </c>
      <c r="I2912" s="4">
        <v>0</v>
      </c>
    </row>
    <row r="2913" spans="1:9" x14ac:dyDescent="0.2">
      <c r="A2913" s="2">
        <v>13</v>
      </c>
      <c r="B2913" s="1" t="s">
        <v>224</v>
      </c>
      <c r="C2913" s="4">
        <v>3</v>
      </c>
      <c r="D2913" s="8">
        <v>2.0699999999999998</v>
      </c>
      <c r="E2913" s="4">
        <v>3</v>
      </c>
      <c r="F2913" s="8">
        <v>3.75</v>
      </c>
      <c r="G2913" s="4">
        <v>0</v>
      </c>
      <c r="H2913" s="8">
        <v>0</v>
      </c>
      <c r="I2913" s="4">
        <v>0</v>
      </c>
    </row>
    <row r="2914" spans="1:9" x14ac:dyDescent="0.2">
      <c r="A2914" s="2">
        <v>13</v>
      </c>
      <c r="B2914" s="1" t="s">
        <v>240</v>
      </c>
      <c r="C2914" s="4">
        <v>3</v>
      </c>
      <c r="D2914" s="8">
        <v>2.0699999999999998</v>
      </c>
      <c r="E2914" s="4">
        <v>2</v>
      </c>
      <c r="F2914" s="8">
        <v>2.5</v>
      </c>
      <c r="G2914" s="4">
        <v>1</v>
      </c>
      <c r="H2914" s="8">
        <v>1.82</v>
      </c>
      <c r="I2914" s="4">
        <v>0</v>
      </c>
    </row>
    <row r="2915" spans="1:9" x14ac:dyDescent="0.2">
      <c r="A2915" s="2">
        <v>16</v>
      </c>
      <c r="B2915" s="1" t="s">
        <v>273</v>
      </c>
      <c r="C2915" s="4">
        <v>2</v>
      </c>
      <c r="D2915" s="8">
        <v>1.38</v>
      </c>
      <c r="E2915" s="4">
        <v>0</v>
      </c>
      <c r="F2915" s="8">
        <v>0</v>
      </c>
      <c r="G2915" s="4">
        <v>1</v>
      </c>
      <c r="H2915" s="8">
        <v>1.82</v>
      </c>
      <c r="I2915" s="4">
        <v>0</v>
      </c>
    </row>
    <row r="2916" spans="1:9" x14ac:dyDescent="0.2">
      <c r="A2916" s="2">
        <v>16</v>
      </c>
      <c r="B2916" s="1" t="s">
        <v>215</v>
      </c>
      <c r="C2916" s="4">
        <v>2</v>
      </c>
      <c r="D2916" s="8">
        <v>1.38</v>
      </c>
      <c r="E2916" s="4">
        <v>0</v>
      </c>
      <c r="F2916" s="8">
        <v>0</v>
      </c>
      <c r="G2916" s="4">
        <v>2</v>
      </c>
      <c r="H2916" s="8">
        <v>3.64</v>
      </c>
      <c r="I2916" s="4">
        <v>0</v>
      </c>
    </row>
    <row r="2917" spans="1:9" x14ac:dyDescent="0.2">
      <c r="A2917" s="2">
        <v>16</v>
      </c>
      <c r="B2917" s="1" t="s">
        <v>252</v>
      </c>
      <c r="C2917" s="4">
        <v>2</v>
      </c>
      <c r="D2917" s="8">
        <v>1.38</v>
      </c>
      <c r="E2917" s="4">
        <v>1</v>
      </c>
      <c r="F2917" s="8">
        <v>1.25</v>
      </c>
      <c r="G2917" s="4">
        <v>1</v>
      </c>
      <c r="H2917" s="8">
        <v>1.82</v>
      </c>
      <c r="I2917" s="4">
        <v>0</v>
      </c>
    </row>
    <row r="2918" spans="1:9" x14ac:dyDescent="0.2">
      <c r="A2918" s="2">
        <v>16</v>
      </c>
      <c r="B2918" s="1" t="s">
        <v>257</v>
      </c>
      <c r="C2918" s="4">
        <v>2</v>
      </c>
      <c r="D2918" s="8">
        <v>1.38</v>
      </c>
      <c r="E2918" s="4">
        <v>0</v>
      </c>
      <c r="F2918" s="8">
        <v>0</v>
      </c>
      <c r="G2918" s="4">
        <v>2</v>
      </c>
      <c r="H2918" s="8">
        <v>3.64</v>
      </c>
      <c r="I2918" s="4">
        <v>0</v>
      </c>
    </row>
    <row r="2919" spans="1:9" x14ac:dyDescent="0.2">
      <c r="A2919" s="2">
        <v>16</v>
      </c>
      <c r="B2919" s="1" t="s">
        <v>220</v>
      </c>
      <c r="C2919" s="4">
        <v>2</v>
      </c>
      <c r="D2919" s="8">
        <v>1.38</v>
      </c>
      <c r="E2919" s="4">
        <v>1</v>
      </c>
      <c r="F2919" s="8">
        <v>1.25</v>
      </c>
      <c r="G2919" s="4">
        <v>1</v>
      </c>
      <c r="H2919" s="8">
        <v>1.82</v>
      </c>
      <c r="I2919" s="4">
        <v>0</v>
      </c>
    </row>
    <row r="2920" spans="1:9" x14ac:dyDescent="0.2">
      <c r="A2920" s="2">
        <v>16</v>
      </c>
      <c r="B2920" s="1" t="s">
        <v>229</v>
      </c>
      <c r="C2920" s="4">
        <v>2</v>
      </c>
      <c r="D2920" s="8">
        <v>1.38</v>
      </c>
      <c r="E2920" s="4">
        <v>2</v>
      </c>
      <c r="F2920" s="8">
        <v>2.5</v>
      </c>
      <c r="G2920" s="4">
        <v>0</v>
      </c>
      <c r="H2920" s="8">
        <v>0</v>
      </c>
      <c r="I2920" s="4">
        <v>0</v>
      </c>
    </row>
    <row r="2921" spans="1:9" x14ac:dyDescent="0.2">
      <c r="A2921" s="2">
        <v>16</v>
      </c>
      <c r="B2921" s="1" t="s">
        <v>231</v>
      </c>
      <c r="C2921" s="4">
        <v>2</v>
      </c>
      <c r="D2921" s="8">
        <v>1.38</v>
      </c>
      <c r="E2921" s="4">
        <v>2</v>
      </c>
      <c r="F2921" s="8">
        <v>2.5</v>
      </c>
      <c r="G2921" s="4">
        <v>0</v>
      </c>
      <c r="H2921" s="8">
        <v>0</v>
      </c>
      <c r="I2921" s="4">
        <v>0</v>
      </c>
    </row>
    <row r="2922" spans="1:9" x14ac:dyDescent="0.2">
      <c r="A2922" s="1"/>
      <c r="C2922" s="4"/>
      <c r="D2922" s="8"/>
      <c r="E2922" s="4"/>
      <c r="F2922" s="8"/>
      <c r="G2922" s="4"/>
      <c r="H2922" s="8"/>
      <c r="I2922" s="4"/>
    </row>
    <row r="2923" spans="1:9" x14ac:dyDescent="0.2">
      <c r="A2923" s="1" t="s">
        <v>117</v>
      </c>
      <c r="C2923" s="4"/>
      <c r="D2923" s="8"/>
      <c r="E2923" s="4"/>
      <c r="F2923" s="8"/>
      <c r="G2923" s="4"/>
      <c r="H2923" s="8"/>
      <c r="I2923" s="4"/>
    </row>
    <row r="2924" spans="1:9" x14ac:dyDescent="0.2">
      <c r="A2924" s="2">
        <v>1</v>
      </c>
      <c r="B2924" s="1" t="s">
        <v>214</v>
      </c>
      <c r="C2924" s="4">
        <v>9</v>
      </c>
      <c r="D2924" s="8">
        <v>12.16</v>
      </c>
      <c r="E2924" s="4">
        <v>4</v>
      </c>
      <c r="F2924" s="8">
        <v>10.53</v>
      </c>
      <c r="G2924" s="4">
        <v>5</v>
      </c>
      <c r="H2924" s="8">
        <v>18.52</v>
      </c>
      <c r="I2924" s="4">
        <v>0</v>
      </c>
    </row>
    <row r="2925" spans="1:9" x14ac:dyDescent="0.2">
      <c r="A2925" s="2">
        <v>1</v>
      </c>
      <c r="B2925" s="1" t="s">
        <v>223</v>
      </c>
      <c r="C2925" s="4">
        <v>9</v>
      </c>
      <c r="D2925" s="8">
        <v>12.16</v>
      </c>
      <c r="E2925" s="4">
        <v>5</v>
      </c>
      <c r="F2925" s="8">
        <v>13.16</v>
      </c>
      <c r="G2925" s="4">
        <v>4</v>
      </c>
      <c r="H2925" s="8">
        <v>14.81</v>
      </c>
      <c r="I2925" s="4">
        <v>0</v>
      </c>
    </row>
    <row r="2926" spans="1:9" x14ac:dyDescent="0.2">
      <c r="A2926" s="2">
        <v>3</v>
      </c>
      <c r="B2926" s="1" t="s">
        <v>221</v>
      </c>
      <c r="C2926" s="4">
        <v>8</v>
      </c>
      <c r="D2926" s="8">
        <v>10.81</v>
      </c>
      <c r="E2926" s="4">
        <v>3</v>
      </c>
      <c r="F2926" s="8">
        <v>7.89</v>
      </c>
      <c r="G2926" s="4">
        <v>5</v>
      </c>
      <c r="H2926" s="8">
        <v>18.52</v>
      </c>
      <c r="I2926" s="4">
        <v>0</v>
      </c>
    </row>
    <row r="2927" spans="1:9" x14ac:dyDescent="0.2">
      <c r="A2927" s="2">
        <v>4</v>
      </c>
      <c r="B2927" s="1" t="s">
        <v>227</v>
      </c>
      <c r="C2927" s="4">
        <v>7</v>
      </c>
      <c r="D2927" s="8">
        <v>9.4600000000000009</v>
      </c>
      <c r="E2927" s="4">
        <v>7</v>
      </c>
      <c r="F2927" s="8">
        <v>18.420000000000002</v>
      </c>
      <c r="G2927" s="4">
        <v>0</v>
      </c>
      <c r="H2927" s="8">
        <v>0</v>
      </c>
      <c r="I2927" s="4">
        <v>0</v>
      </c>
    </row>
    <row r="2928" spans="1:9" x14ac:dyDescent="0.2">
      <c r="A2928" s="2">
        <v>5</v>
      </c>
      <c r="B2928" s="1" t="s">
        <v>228</v>
      </c>
      <c r="C2928" s="4">
        <v>5</v>
      </c>
      <c r="D2928" s="8">
        <v>6.76</v>
      </c>
      <c r="E2928" s="4">
        <v>5</v>
      </c>
      <c r="F2928" s="8">
        <v>13.16</v>
      </c>
      <c r="G2928" s="4">
        <v>0</v>
      </c>
      <c r="H2928" s="8">
        <v>0</v>
      </c>
      <c r="I2928" s="4">
        <v>0</v>
      </c>
    </row>
    <row r="2929" spans="1:9" x14ac:dyDescent="0.2">
      <c r="A2929" s="2">
        <v>5</v>
      </c>
      <c r="B2929" s="1" t="s">
        <v>230</v>
      </c>
      <c r="C2929" s="4">
        <v>5</v>
      </c>
      <c r="D2929" s="8">
        <v>6.76</v>
      </c>
      <c r="E2929" s="4">
        <v>5</v>
      </c>
      <c r="F2929" s="8">
        <v>13.16</v>
      </c>
      <c r="G2929" s="4">
        <v>0</v>
      </c>
      <c r="H2929" s="8">
        <v>0</v>
      </c>
      <c r="I2929" s="4">
        <v>0</v>
      </c>
    </row>
    <row r="2930" spans="1:9" x14ac:dyDescent="0.2">
      <c r="A2930" s="2">
        <v>7</v>
      </c>
      <c r="B2930" s="1" t="s">
        <v>215</v>
      </c>
      <c r="C2930" s="4">
        <v>4</v>
      </c>
      <c r="D2930" s="8">
        <v>5.41</v>
      </c>
      <c r="E2930" s="4">
        <v>2</v>
      </c>
      <c r="F2930" s="8">
        <v>5.26</v>
      </c>
      <c r="G2930" s="4">
        <v>2</v>
      </c>
      <c r="H2930" s="8">
        <v>7.41</v>
      </c>
      <c r="I2930" s="4">
        <v>0</v>
      </c>
    </row>
    <row r="2931" spans="1:9" x14ac:dyDescent="0.2">
      <c r="A2931" s="2">
        <v>8</v>
      </c>
      <c r="B2931" s="1" t="s">
        <v>213</v>
      </c>
      <c r="C2931" s="4">
        <v>3</v>
      </c>
      <c r="D2931" s="8">
        <v>4.05</v>
      </c>
      <c r="E2931" s="4">
        <v>1</v>
      </c>
      <c r="F2931" s="8">
        <v>2.63</v>
      </c>
      <c r="G2931" s="4">
        <v>2</v>
      </c>
      <c r="H2931" s="8">
        <v>7.41</v>
      </c>
      <c r="I2931" s="4">
        <v>0</v>
      </c>
    </row>
    <row r="2932" spans="1:9" x14ac:dyDescent="0.2">
      <c r="A2932" s="2">
        <v>8</v>
      </c>
      <c r="B2932" s="1" t="s">
        <v>248</v>
      </c>
      <c r="C2932" s="4">
        <v>3</v>
      </c>
      <c r="D2932" s="8">
        <v>4.05</v>
      </c>
      <c r="E2932" s="4">
        <v>2</v>
      </c>
      <c r="F2932" s="8">
        <v>5.26</v>
      </c>
      <c r="G2932" s="4">
        <v>1</v>
      </c>
      <c r="H2932" s="8">
        <v>3.7</v>
      </c>
      <c r="I2932" s="4">
        <v>0</v>
      </c>
    </row>
    <row r="2933" spans="1:9" x14ac:dyDescent="0.2">
      <c r="A2933" s="2">
        <v>8</v>
      </c>
      <c r="B2933" s="1" t="s">
        <v>243</v>
      </c>
      <c r="C2933" s="4">
        <v>3</v>
      </c>
      <c r="D2933" s="8">
        <v>4.05</v>
      </c>
      <c r="E2933" s="4">
        <v>3</v>
      </c>
      <c r="F2933" s="8">
        <v>7.89</v>
      </c>
      <c r="G2933" s="4">
        <v>0</v>
      </c>
      <c r="H2933" s="8">
        <v>0</v>
      </c>
      <c r="I2933" s="4">
        <v>0</v>
      </c>
    </row>
    <row r="2934" spans="1:9" x14ac:dyDescent="0.2">
      <c r="A2934" s="2">
        <v>8</v>
      </c>
      <c r="B2934" s="1" t="s">
        <v>232</v>
      </c>
      <c r="C2934" s="4">
        <v>3</v>
      </c>
      <c r="D2934" s="8">
        <v>4.05</v>
      </c>
      <c r="E2934" s="4">
        <v>0</v>
      </c>
      <c r="F2934" s="8">
        <v>0</v>
      </c>
      <c r="G2934" s="4">
        <v>0</v>
      </c>
      <c r="H2934" s="8">
        <v>0</v>
      </c>
      <c r="I2934" s="4">
        <v>0</v>
      </c>
    </row>
    <row r="2935" spans="1:9" x14ac:dyDescent="0.2">
      <c r="A2935" s="2">
        <v>12</v>
      </c>
      <c r="B2935" s="1" t="s">
        <v>241</v>
      </c>
      <c r="C2935" s="4">
        <v>2</v>
      </c>
      <c r="D2935" s="8">
        <v>2.7</v>
      </c>
      <c r="E2935" s="4">
        <v>0</v>
      </c>
      <c r="F2935" s="8">
        <v>0</v>
      </c>
      <c r="G2935" s="4">
        <v>2</v>
      </c>
      <c r="H2935" s="8">
        <v>7.41</v>
      </c>
      <c r="I2935" s="4">
        <v>0</v>
      </c>
    </row>
    <row r="2936" spans="1:9" x14ac:dyDescent="0.2">
      <c r="A2936" s="2">
        <v>12</v>
      </c>
      <c r="B2936" s="1" t="s">
        <v>255</v>
      </c>
      <c r="C2936" s="4">
        <v>2</v>
      </c>
      <c r="D2936" s="8">
        <v>2.7</v>
      </c>
      <c r="E2936" s="4">
        <v>0</v>
      </c>
      <c r="F2936" s="8">
        <v>0</v>
      </c>
      <c r="G2936" s="4">
        <v>0</v>
      </c>
      <c r="H2936" s="8">
        <v>0</v>
      </c>
      <c r="I2936" s="4">
        <v>0</v>
      </c>
    </row>
    <row r="2937" spans="1:9" x14ac:dyDescent="0.2">
      <c r="A2937" s="2">
        <v>12</v>
      </c>
      <c r="B2937" s="1" t="s">
        <v>238</v>
      </c>
      <c r="C2937" s="4">
        <v>2</v>
      </c>
      <c r="D2937" s="8">
        <v>2.7</v>
      </c>
      <c r="E2937" s="4">
        <v>0</v>
      </c>
      <c r="F2937" s="8">
        <v>0</v>
      </c>
      <c r="G2937" s="4">
        <v>2</v>
      </c>
      <c r="H2937" s="8">
        <v>7.41</v>
      </c>
      <c r="I2937" s="4">
        <v>0</v>
      </c>
    </row>
    <row r="2938" spans="1:9" x14ac:dyDescent="0.2">
      <c r="A2938" s="2">
        <v>12</v>
      </c>
      <c r="B2938" s="1" t="s">
        <v>261</v>
      </c>
      <c r="C2938" s="4">
        <v>2</v>
      </c>
      <c r="D2938" s="8">
        <v>2.7</v>
      </c>
      <c r="E2938" s="4">
        <v>0</v>
      </c>
      <c r="F2938" s="8">
        <v>0</v>
      </c>
      <c r="G2938" s="4">
        <v>1</v>
      </c>
      <c r="H2938" s="8">
        <v>3.7</v>
      </c>
      <c r="I2938" s="4">
        <v>1</v>
      </c>
    </row>
    <row r="2939" spans="1:9" x14ac:dyDescent="0.2">
      <c r="A2939" s="2">
        <v>12</v>
      </c>
      <c r="B2939" s="1" t="s">
        <v>224</v>
      </c>
      <c r="C2939" s="4">
        <v>2</v>
      </c>
      <c r="D2939" s="8">
        <v>2.7</v>
      </c>
      <c r="E2939" s="4">
        <v>0</v>
      </c>
      <c r="F2939" s="8">
        <v>0</v>
      </c>
      <c r="G2939" s="4">
        <v>2</v>
      </c>
      <c r="H2939" s="8">
        <v>7.41</v>
      </c>
      <c r="I2939" s="4">
        <v>0</v>
      </c>
    </row>
    <row r="2940" spans="1:9" x14ac:dyDescent="0.2">
      <c r="A2940" s="2">
        <v>12</v>
      </c>
      <c r="B2940" s="1" t="s">
        <v>231</v>
      </c>
      <c r="C2940" s="4">
        <v>2</v>
      </c>
      <c r="D2940" s="8">
        <v>2.7</v>
      </c>
      <c r="E2940" s="4">
        <v>0</v>
      </c>
      <c r="F2940" s="8">
        <v>0</v>
      </c>
      <c r="G2940" s="4">
        <v>0</v>
      </c>
      <c r="H2940" s="8">
        <v>0</v>
      </c>
      <c r="I2940" s="4">
        <v>0</v>
      </c>
    </row>
    <row r="2941" spans="1:9" x14ac:dyDescent="0.2">
      <c r="A2941" s="2">
        <v>18</v>
      </c>
      <c r="B2941" s="1" t="s">
        <v>222</v>
      </c>
      <c r="C2941" s="4">
        <v>1</v>
      </c>
      <c r="D2941" s="8">
        <v>1.35</v>
      </c>
      <c r="E2941" s="4">
        <v>1</v>
      </c>
      <c r="F2941" s="8">
        <v>2.63</v>
      </c>
      <c r="G2941" s="4">
        <v>0</v>
      </c>
      <c r="H2941" s="8">
        <v>0</v>
      </c>
      <c r="I2941" s="4">
        <v>0</v>
      </c>
    </row>
    <row r="2942" spans="1:9" x14ac:dyDescent="0.2">
      <c r="A2942" s="2">
        <v>18</v>
      </c>
      <c r="B2942" s="1" t="s">
        <v>239</v>
      </c>
      <c r="C2942" s="4">
        <v>1</v>
      </c>
      <c r="D2942" s="8">
        <v>1.35</v>
      </c>
      <c r="E2942" s="4">
        <v>0</v>
      </c>
      <c r="F2942" s="8">
        <v>0</v>
      </c>
      <c r="G2942" s="4">
        <v>1</v>
      </c>
      <c r="H2942" s="8">
        <v>3.7</v>
      </c>
      <c r="I2942" s="4">
        <v>0</v>
      </c>
    </row>
    <row r="2943" spans="1:9" x14ac:dyDescent="0.2">
      <c r="A2943" s="2">
        <v>18</v>
      </c>
      <c r="B2943" s="1" t="s">
        <v>247</v>
      </c>
      <c r="C2943" s="4">
        <v>1</v>
      </c>
      <c r="D2943" s="8">
        <v>1.35</v>
      </c>
      <c r="E2943" s="4">
        <v>0</v>
      </c>
      <c r="F2943" s="8">
        <v>0</v>
      </c>
      <c r="G2943" s="4">
        <v>0</v>
      </c>
      <c r="H2943" s="8">
        <v>0</v>
      </c>
      <c r="I2943" s="4">
        <v>0</v>
      </c>
    </row>
    <row r="2944" spans="1:9" x14ac:dyDescent="0.2">
      <c r="A2944" s="1"/>
      <c r="C2944" s="4"/>
      <c r="D2944" s="8"/>
      <c r="E2944" s="4"/>
      <c r="F2944" s="8"/>
      <c r="G2944" s="4"/>
      <c r="H2944" s="8"/>
      <c r="I2944" s="4"/>
    </row>
    <row r="2945" spans="1:9" x14ac:dyDescent="0.2">
      <c r="A2945" s="1" t="s">
        <v>118</v>
      </c>
      <c r="C2945" s="4"/>
      <c r="D2945" s="8"/>
      <c r="E2945" s="4"/>
      <c r="F2945" s="8"/>
      <c r="G2945" s="4"/>
      <c r="H2945" s="8"/>
      <c r="I2945" s="4"/>
    </row>
    <row r="2946" spans="1:9" x14ac:dyDescent="0.2">
      <c r="A2946" s="2">
        <v>1</v>
      </c>
      <c r="B2946" s="1" t="s">
        <v>227</v>
      </c>
      <c r="C2946" s="4">
        <v>15</v>
      </c>
      <c r="D2946" s="8">
        <v>15.63</v>
      </c>
      <c r="E2946" s="4">
        <v>14</v>
      </c>
      <c r="F2946" s="8">
        <v>28.57</v>
      </c>
      <c r="G2946" s="4">
        <v>1</v>
      </c>
      <c r="H2946" s="8">
        <v>2.27</v>
      </c>
      <c r="I2946" s="4">
        <v>0</v>
      </c>
    </row>
    <row r="2947" spans="1:9" x14ac:dyDescent="0.2">
      <c r="A2947" s="2">
        <v>2</v>
      </c>
      <c r="B2947" s="1" t="s">
        <v>213</v>
      </c>
      <c r="C2947" s="4">
        <v>11</v>
      </c>
      <c r="D2947" s="8">
        <v>11.46</v>
      </c>
      <c r="E2947" s="4">
        <v>2</v>
      </c>
      <c r="F2947" s="8">
        <v>4.08</v>
      </c>
      <c r="G2947" s="4">
        <v>9</v>
      </c>
      <c r="H2947" s="8">
        <v>20.45</v>
      </c>
      <c r="I2947" s="4">
        <v>0</v>
      </c>
    </row>
    <row r="2948" spans="1:9" x14ac:dyDescent="0.2">
      <c r="A2948" s="2">
        <v>3</v>
      </c>
      <c r="B2948" s="1" t="s">
        <v>223</v>
      </c>
      <c r="C2948" s="4">
        <v>10</v>
      </c>
      <c r="D2948" s="8">
        <v>10.42</v>
      </c>
      <c r="E2948" s="4">
        <v>3</v>
      </c>
      <c r="F2948" s="8">
        <v>6.12</v>
      </c>
      <c r="G2948" s="4">
        <v>7</v>
      </c>
      <c r="H2948" s="8">
        <v>15.91</v>
      </c>
      <c r="I2948" s="4">
        <v>0</v>
      </c>
    </row>
    <row r="2949" spans="1:9" x14ac:dyDescent="0.2">
      <c r="A2949" s="2">
        <v>4</v>
      </c>
      <c r="B2949" s="1" t="s">
        <v>228</v>
      </c>
      <c r="C2949" s="4">
        <v>9</v>
      </c>
      <c r="D2949" s="8">
        <v>9.3800000000000008</v>
      </c>
      <c r="E2949" s="4">
        <v>9</v>
      </c>
      <c r="F2949" s="8">
        <v>18.37</v>
      </c>
      <c r="G2949" s="4">
        <v>0</v>
      </c>
      <c r="H2949" s="8">
        <v>0</v>
      </c>
      <c r="I2949" s="4">
        <v>0</v>
      </c>
    </row>
    <row r="2950" spans="1:9" x14ac:dyDescent="0.2">
      <c r="A2950" s="2">
        <v>5</v>
      </c>
      <c r="B2950" s="1" t="s">
        <v>214</v>
      </c>
      <c r="C2950" s="4">
        <v>4</v>
      </c>
      <c r="D2950" s="8">
        <v>4.17</v>
      </c>
      <c r="E2950" s="4">
        <v>3</v>
      </c>
      <c r="F2950" s="8">
        <v>6.12</v>
      </c>
      <c r="G2950" s="4">
        <v>1</v>
      </c>
      <c r="H2950" s="8">
        <v>2.27</v>
      </c>
      <c r="I2950" s="4">
        <v>0</v>
      </c>
    </row>
    <row r="2951" spans="1:9" x14ac:dyDescent="0.2">
      <c r="A2951" s="2">
        <v>5</v>
      </c>
      <c r="B2951" s="1" t="s">
        <v>221</v>
      </c>
      <c r="C2951" s="4">
        <v>4</v>
      </c>
      <c r="D2951" s="8">
        <v>4.17</v>
      </c>
      <c r="E2951" s="4">
        <v>0</v>
      </c>
      <c r="F2951" s="8">
        <v>0</v>
      </c>
      <c r="G2951" s="4">
        <v>4</v>
      </c>
      <c r="H2951" s="8">
        <v>9.09</v>
      </c>
      <c r="I2951" s="4">
        <v>0</v>
      </c>
    </row>
    <row r="2952" spans="1:9" x14ac:dyDescent="0.2">
      <c r="A2952" s="2">
        <v>5</v>
      </c>
      <c r="B2952" s="1" t="s">
        <v>243</v>
      </c>
      <c r="C2952" s="4">
        <v>4</v>
      </c>
      <c r="D2952" s="8">
        <v>4.17</v>
      </c>
      <c r="E2952" s="4">
        <v>3</v>
      </c>
      <c r="F2952" s="8">
        <v>6.12</v>
      </c>
      <c r="G2952" s="4">
        <v>1</v>
      </c>
      <c r="H2952" s="8">
        <v>2.27</v>
      </c>
      <c r="I2952" s="4">
        <v>0</v>
      </c>
    </row>
    <row r="2953" spans="1:9" x14ac:dyDescent="0.2">
      <c r="A2953" s="2">
        <v>8</v>
      </c>
      <c r="B2953" s="1" t="s">
        <v>215</v>
      </c>
      <c r="C2953" s="4">
        <v>2</v>
      </c>
      <c r="D2953" s="8">
        <v>2.08</v>
      </c>
      <c r="E2953" s="4">
        <v>0</v>
      </c>
      <c r="F2953" s="8">
        <v>0</v>
      </c>
      <c r="G2953" s="4">
        <v>2</v>
      </c>
      <c r="H2953" s="8">
        <v>4.55</v>
      </c>
      <c r="I2953" s="4">
        <v>0</v>
      </c>
    </row>
    <row r="2954" spans="1:9" x14ac:dyDescent="0.2">
      <c r="A2954" s="2">
        <v>8</v>
      </c>
      <c r="B2954" s="1" t="s">
        <v>241</v>
      </c>
      <c r="C2954" s="4">
        <v>2</v>
      </c>
      <c r="D2954" s="8">
        <v>2.08</v>
      </c>
      <c r="E2954" s="4">
        <v>1</v>
      </c>
      <c r="F2954" s="8">
        <v>2.04</v>
      </c>
      <c r="G2954" s="4">
        <v>1</v>
      </c>
      <c r="H2954" s="8">
        <v>2.27</v>
      </c>
      <c r="I2954" s="4">
        <v>0</v>
      </c>
    </row>
    <row r="2955" spans="1:9" x14ac:dyDescent="0.2">
      <c r="A2955" s="2">
        <v>8</v>
      </c>
      <c r="B2955" s="1" t="s">
        <v>244</v>
      </c>
      <c r="C2955" s="4">
        <v>2</v>
      </c>
      <c r="D2955" s="8">
        <v>2.08</v>
      </c>
      <c r="E2955" s="4">
        <v>0</v>
      </c>
      <c r="F2955" s="8">
        <v>0</v>
      </c>
      <c r="G2955" s="4">
        <v>2</v>
      </c>
      <c r="H2955" s="8">
        <v>4.55</v>
      </c>
      <c r="I2955" s="4">
        <v>0</v>
      </c>
    </row>
    <row r="2956" spans="1:9" x14ac:dyDescent="0.2">
      <c r="A2956" s="2">
        <v>8</v>
      </c>
      <c r="B2956" s="1" t="s">
        <v>265</v>
      </c>
      <c r="C2956" s="4">
        <v>2</v>
      </c>
      <c r="D2956" s="8">
        <v>2.08</v>
      </c>
      <c r="E2956" s="4">
        <v>0</v>
      </c>
      <c r="F2956" s="8">
        <v>0</v>
      </c>
      <c r="G2956" s="4">
        <v>1</v>
      </c>
      <c r="H2956" s="8">
        <v>2.27</v>
      </c>
      <c r="I2956" s="4">
        <v>0</v>
      </c>
    </row>
    <row r="2957" spans="1:9" x14ac:dyDescent="0.2">
      <c r="A2957" s="2">
        <v>8</v>
      </c>
      <c r="B2957" s="1" t="s">
        <v>261</v>
      </c>
      <c r="C2957" s="4">
        <v>2</v>
      </c>
      <c r="D2957" s="8">
        <v>2.08</v>
      </c>
      <c r="E2957" s="4">
        <v>0</v>
      </c>
      <c r="F2957" s="8">
        <v>0</v>
      </c>
      <c r="G2957" s="4">
        <v>2</v>
      </c>
      <c r="H2957" s="8">
        <v>4.55</v>
      </c>
      <c r="I2957" s="4">
        <v>0</v>
      </c>
    </row>
    <row r="2958" spans="1:9" x14ac:dyDescent="0.2">
      <c r="A2958" s="2">
        <v>8</v>
      </c>
      <c r="B2958" s="1" t="s">
        <v>216</v>
      </c>
      <c r="C2958" s="4">
        <v>2</v>
      </c>
      <c r="D2958" s="8">
        <v>2.08</v>
      </c>
      <c r="E2958" s="4">
        <v>0</v>
      </c>
      <c r="F2958" s="8">
        <v>0</v>
      </c>
      <c r="G2958" s="4">
        <v>2</v>
      </c>
      <c r="H2958" s="8">
        <v>4.55</v>
      </c>
      <c r="I2958" s="4">
        <v>0</v>
      </c>
    </row>
    <row r="2959" spans="1:9" x14ac:dyDescent="0.2">
      <c r="A2959" s="2">
        <v>8</v>
      </c>
      <c r="B2959" s="1" t="s">
        <v>220</v>
      </c>
      <c r="C2959" s="4">
        <v>2</v>
      </c>
      <c r="D2959" s="8">
        <v>2.08</v>
      </c>
      <c r="E2959" s="4">
        <v>2</v>
      </c>
      <c r="F2959" s="8">
        <v>4.08</v>
      </c>
      <c r="G2959" s="4">
        <v>0</v>
      </c>
      <c r="H2959" s="8">
        <v>0</v>
      </c>
      <c r="I2959" s="4">
        <v>0</v>
      </c>
    </row>
    <row r="2960" spans="1:9" x14ac:dyDescent="0.2">
      <c r="A2960" s="2">
        <v>8</v>
      </c>
      <c r="B2960" s="1" t="s">
        <v>222</v>
      </c>
      <c r="C2960" s="4">
        <v>2</v>
      </c>
      <c r="D2960" s="8">
        <v>2.08</v>
      </c>
      <c r="E2960" s="4">
        <v>2</v>
      </c>
      <c r="F2960" s="8">
        <v>4.08</v>
      </c>
      <c r="G2960" s="4">
        <v>0</v>
      </c>
      <c r="H2960" s="8">
        <v>0</v>
      </c>
      <c r="I2960" s="4">
        <v>0</v>
      </c>
    </row>
    <row r="2961" spans="1:9" x14ac:dyDescent="0.2">
      <c r="A2961" s="2">
        <v>8</v>
      </c>
      <c r="B2961" s="1" t="s">
        <v>224</v>
      </c>
      <c r="C2961" s="4">
        <v>2</v>
      </c>
      <c r="D2961" s="8">
        <v>2.08</v>
      </c>
      <c r="E2961" s="4">
        <v>2</v>
      </c>
      <c r="F2961" s="8">
        <v>4.08</v>
      </c>
      <c r="G2961" s="4">
        <v>0</v>
      </c>
      <c r="H2961" s="8">
        <v>0</v>
      </c>
      <c r="I2961" s="4">
        <v>0</v>
      </c>
    </row>
    <row r="2962" spans="1:9" x14ac:dyDescent="0.2">
      <c r="A2962" s="2">
        <v>8</v>
      </c>
      <c r="B2962" s="1" t="s">
        <v>240</v>
      </c>
      <c r="C2962" s="4">
        <v>2</v>
      </c>
      <c r="D2962" s="8">
        <v>2.08</v>
      </c>
      <c r="E2962" s="4">
        <v>0</v>
      </c>
      <c r="F2962" s="8">
        <v>0</v>
      </c>
      <c r="G2962" s="4">
        <v>2</v>
      </c>
      <c r="H2962" s="8">
        <v>4.55</v>
      </c>
      <c r="I2962" s="4">
        <v>0</v>
      </c>
    </row>
    <row r="2963" spans="1:9" x14ac:dyDescent="0.2">
      <c r="A2963" s="2">
        <v>8</v>
      </c>
      <c r="B2963" s="1" t="s">
        <v>234</v>
      </c>
      <c r="C2963" s="4">
        <v>2</v>
      </c>
      <c r="D2963" s="8">
        <v>2.08</v>
      </c>
      <c r="E2963" s="4">
        <v>1</v>
      </c>
      <c r="F2963" s="8">
        <v>2.04</v>
      </c>
      <c r="G2963" s="4">
        <v>1</v>
      </c>
      <c r="H2963" s="8">
        <v>2.27</v>
      </c>
      <c r="I2963" s="4">
        <v>0</v>
      </c>
    </row>
    <row r="2964" spans="1:9" x14ac:dyDescent="0.2">
      <c r="A2964" s="2">
        <v>19</v>
      </c>
      <c r="B2964" s="1" t="s">
        <v>262</v>
      </c>
      <c r="C2964" s="4">
        <v>1</v>
      </c>
      <c r="D2964" s="8">
        <v>1.04</v>
      </c>
      <c r="E2964" s="4">
        <v>0</v>
      </c>
      <c r="F2964" s="8">
        <v>0</v>
      </c>
      <c r="G2964" s="4">
        <v>1</v>
      </c>
      <c r="H2964" s="8">
        <v>2.27</v>
      </c>
      <c r="I2964" s="4">
        <v>0</v>
      </c>
    </row>
    <row r="2965" spans="1:9" x14ac:dyDescent="0.2">
      <c r="A2965" s="2">
        <v>19</v>
      </c>
      <c r="B2965" s="1" t="s">
        <v>252</v>
      </c>
      <c r="C2965" s="4">
        <v>1</v>
      </c>
      <c r="D2965" s="8">
        <v>1.04</v>
      </c>
      <c r="E2965" s="4">
        <v>0</v>
      </c>
      <c r="F2965" s="8">
        <v>0</v>
      </c>
      <c r="G2965" s="4">
        <v>1</v>
      </c>
      <c r="H2965" s="8">
        <v>2.27</v>
      </c>
      <c r="I2965" s="4">
        <v>0</v>
      </c>
    </row>
    <row r="2966" spans="1:9" x14ac:dyDescent="0.2">
      <c r="A2966" s="2">
        <v>19</v>
      </c>
      <c r="B2966" s="1" t="s">
        <v>264</v>
      </c>
      <c r="C2966" s="4">
        <v>1</v>
      </c>
      <c r="D2966" s="8">
        <v>1.04</v>
      </c>
      <c r="E2966" s="4">
        <v>0</v>
      </c>
      <c r="F2966" s="8">
        <v>0</v>
      </c>
      <c r="G2966" s="4">
        <v>1</v>
      </c>
      <c r="H2966" s="8">
        <v>2.27</v>
      </c>
      <c r="I2966" s="4">
        <v>0</v>
      </c>
    </row>
    <row r="2967" spans="1:9" x14ac:dyDescent="0.2">
      <c r="A2967" s="2">
        <v>19</v>
      </c>
      <c r="B2967" s="1" t="s">
        <v>257</v>
      </c>
      <c r="C2967" s="4">
        <v>1</v>
      </c>
      <c r="D2967" s="8">
        <v>1.04</v>
      </c>
      <c r="E2967" s="4">
        <v>0</v>
      </c>
      <c r="F2967" s="8">
        <v>0</v>
      </c>
      <c r="G2967" s="4">
        <v>1</v>
      </c>
      <c r="H2967" s="8">
        <v>2.27</v>
      </c>
      <c r="I2967" s="4">
        <v>0</v>
      </c>
    </row>
    <row r="2968" spans="1:9" x14ac:dyDescent="0.2">
      <c r="A2968" s="2">
        <v>19</v>
      </c>
      <c r="B2968" s="1" t="s">
        <v>255</v>
      </c>
      <c r="C2968" s="4">
        <v>1</v>
      </c>
      <c r="D2968" s="8">
        <v>1.04</v>
      </c>
      <c r="E2968" s="4">
        <v>0</v>
      </c>
      <c r="F2968" s="8">
        <v>0</v>
      </c>
      <c r="G2968" s="4">
        <v>0</v>
      </c>
      <c r="H2968" s="8">
        <v>0</v>
      </c>
      <c r="I2968" s="4">
        <v>0</v>
      </c>
    </row>
    <row r="2969" spans="1:9" x14ac:dyDescent="0.2">
      <c r="A2969" s="2">
        <v>19</v>
      </c>
      <c r="B2969" s="1" t="s">
        <v>277</v>
      </c>
      <c r="C2969" s="4">
        <v>1</v>
      </c>
      <c r="D2969" s="8">
        <v>1.04</v>
      </c>
      <c r="E2969" s="4">
        <v>1</v>
      </c>
      <c r="F2969" s="8">
        <v>2.04</v>
      </c>
      <c r="G2969" s="4">
        <v>0</v>
      </c>
      <c r="H2969" s="8">
        <v>0</v>
      </c>
      <c r="I2969" s="4">
        <v>0</v>
      </c>
    </row>
    <row r="2970" spans="1:9" x14ac:dyDescent="0.2">
      <c r="A2970" s="2">
        <v>19</v>
      </c>
      <c r="B2970" s="1" t="s">
        <v>248</v>
      </c>
      <c r="C2970" s="4">
        <v>1</v>
      </c>
      <c r="D2970" s="8">
        <v>1.04</v>
      </c>
      <c r="E2970" s="4">
        <v>1</v>
      </c>
      <c r="F2970" s="8">
        <v>2.04</v>
      </c>
      <c r="G2970" s="4">
        <v>0</v>
      </c>
      <c r="H2970" s="8">
        <v>0</v>
      </c>
      <c r="I2970" s="4">
        <v>0</v>
      </c>
    </row>
    <row r="2971" spans="1:9" x14ac:dyDescent="0.2">
      <c r="A2971" s="2">
        <v>19</v>
      </c>
      <c r="B2971" s="1" t="s">
        <v>217</v>
      </c>
      <c r="C2971" s="4">
        <v>1</v>
      </c>
      <c r="D2971" s="8">
        <v>1.04</v>
      </c>
      <c r="E2971" s="4">
        <v>0</v>
      </c>
      <c r="F2971" s="8">
        <v>0</v>
      </c>
      <c r="G2971" s="4">
        <v>1</v>
      </c>
      <c r="H2971" s="8">
        <v>2.27</v>
      </c>
      <c r="I2971" s="4">
        <v>0</v>
      </c>
    </row>
    <row r="2972" spans="1:9" x14ac:dyDescent="0.2">
      <c r="A2972" s="2">
        <v>19</v>
      </c>
      <c r="B2972" s="1" t="s">
        <v>218</v>
      </c>
      <c r="C2972" s="4">
        <v>1</v>
      </c>
      <c r="D2972" s="8">
        <v>1.04</v>
      </c>
      <c r="E2972" s="4">
        <v>0</v>
      </c>
      <c r="F2972" s="8">
        <v>0</v>
      </c>
      <c r="G2972" s="4">
        <v>1</v>
      </c>
      <c r="H2972" s="8">
        <v>2.27</v>
      </c>
      <c r="I2972" s="4">
        <v>0</v>
      </c>
    </row>
    <row r="2973" spans="1:9" x14ac:dyDescent="0.2">
      <c r="A2973" s="2">
        <v>19</v>
      </c>
      <c r="B2973" s="1" t="s">
        <v>219</v>
      </c>
      <c r="C2973" s="4">
        <v>1</v>
      </c>
      <c r="D2973" s="8">
        <v>1.04</v>
      </c>
      <c r="E2973" s="4">
        <v>1</v>
      </c>
      <c r="F2973" s="8">
        <v>2.04</v>
      </c>
      <c r="G2973" s="4">
        <v>0</v>
      </c>
      <c r="H2973" s="8">
        <v>0</v>
      </c>
      <c r="I2973" s="4">
        <v>0</v>
      </c>
    </row>
    <row r="2974" spans="1:9" x14ac:dyDescent="0.2">
      <c r="A2974" s="2">
        <v>19</v>
      </c>
      <c r="B2974" s="1" t="s">
        <v>246</v>
      </c>
      <c r="C2974" s="4">
        <v>1</v>
      </c>
      <c r="D2974" s="8">
        <v>1.04</v>
      </c>
      <c r="E2974" s="4">
        <v>1</v>
      </c>
      <c r="F2974" s="8">
        <v>2.04</v>
      </c>
      <c r="G2974" s="4">
        <v>0</v>
      </c>
      <c r="H2974" s="8">
        <v>0</v>
      </c>
      <c r="I2974" s="4">
        <v>0</v>
      </c>
    </row>
    <row r="2975" spans="1:9" x14ac:dyDescent="0.2">
      <c r="A2975" s="2">
        <v>19</v>
      </c>
      <c r="B2975" s="1" t="s">
        <v>226</v>
      </c>
      <c r="C2975" s="4">
        <v>1</v>
      </c>
      <c r="D2975" s="8">
        <v>1.04</v>
      </c>
      <c r="E2975" s="4">
        <v>0</v>
      </c>
      <c r="F2975" s="8">
        <v>0</v>
      </c>
      <c r="G2975" s="4">
        <v>1</v>
      </c>
      <c r="H2975" s="8">
        <v>2.27</v>
      </c>
      <c r="I2975" s="4">
        <v>0</v>
      </c>
    </row>
    <row r="2976" spans="1:9" x14ac:dyDescent="0.2">
      <c r="A2976" s="2">
        <v>19</v>
      </c>
      <c r="B2976" s="1" t="s">
        <v>239</v>
      </c>
      <c r="C2976" s="4">
        <v>1</v>
      </c>
      <c r="D2976" s="8">
        <v>1.04</v>
      </c>
      <c r="E2976" s="4">
        <v>0</v>
      </c>
      <c r="F2976" s="8">
        <v>0</v>
      </c>
      <c r="G2976" s="4">
        <v>0</v>
      </c>
      <c r="H2976" s="8">
        <v>0</v>
      </c>
      <c r="I2976" s="4">
        <v>0</v>
      </c>
    </row>
    <row r="2977" spans="1:9" x14ac:dyDescent="0.2">
      <c r="A2977" s="2">
        <v>19</v>
      </c>
      <c r="B2977" s="1" t="s">
        <v>229</v>
      </c>
      <c r="C2977" s="4">
        <v>1</v>
      </c>
      <c r="D2977" s="8">
        <v>1.04</v>
      </c>
      <c r="E2977" s="4">
        <v>1</v>
      </c>
      <c r="F2977" s="8">
        <v>2.04</v>
      </c>
      <c r="G2977" s="4">
        <v>0</v>
      </c>
      <c r="H2977" s="8">
        <v>0</v>
      </c>
      <c r="I2977" s="4">
        <v>0</v>
      </c>
    </row>
    <row r="2978" spans="1:9" x14ac:dyDescent="0.2">
      <c r="A2978" s="2">
        <v>19</v>
      </c>
      <c r="B2978" s="1" t="s">
        <v>231</v>
      </c>
      <c r="C2978" s="4">
        <v>1</v>
      </c>
      <c r="D2978" s="8">
        <v>1.04</v>
      </c>
      <c r="E2978" s="4">
        <v>1</v>
      </c>
      <c r="F2978" s="8">
        <v>2.04</v>
      </c>
      <c r="G2978" s="4">
        <v>0</v>
      </c>
      <c r="H2978" s="8">
        <v>0</v>
      </c>
      <c r="I2978" s="4">
        <v>0</v>
      </c>
    </row>
    <row r="2979" spans="1:9" x14ac:dyDescent="0.2">
      <c r="A2979" s="2">
        <v>19</v>
      </c>
      <c r="B2979" s="1" t="s">
        <v>249</v>
      </c>
      <c r="C2979" s="4">
        <v>1</v>
      </c>
      <c r="D2979" s="8">
        <v>1.04</v>
      </c>
      <c r="E2979" s="4">
        <v>0</v>
      </c>
      <c r="F2979" s="8">
        <v>0</v>
      </c>
      <c r="G2979" s="4">
        <v>1</v>
      </c>
      <c r="H2979" s="8">
        <v>2.27</v>
      </c>
      <c r="I2979" s="4">
        <v>0</v>
      </c>
    </row>
    <row r="2980" spans="1:9" x14ac:dyDescent="0.2">
      <c r="A2980" s="2">
        <v>19</v>
      </c>
      <c r="B2980" s="1" t="s">
        <v>242</v>
      </c>
      <c r="C2980" s="4">
        <v>1</v>
      </c>
      <c r="D2980" s="8">
        <v>1.04</v>
      </c>
      <c r="E2980" s="4">
        <v>1</v>
      </c>
      <c r="F2980" s="8">
        <v>2.04</v>
      </c>
      <c r="G2980" s="4">
        <v>0</v>
      </c>
      <c r="H2980" s="8">
        <v>0</v>
      </c>
      <c r="I2980" s="4">
        <v>0</v>
      </c>
    </row>
    <row r="2981" spans="1:9" x14ac:dyDescent="0.2">
      <c r="A2981" s="1"/>
      <c r="C2981" s="4"/>
      <c r="D2981" s="8"/>
      <c r="E2981" s="4"/>
      <c r="F2981" s="8"/>
      <c r="G2981" s="4"/>
      <c r="H2981" s="8"/>
      <c r="I2981" s="4"/>
    </row>
    <row r="2982" spans="1:9" x14ac:dyDescent="0.2">
      <c r="A2982" s="1" t="s">
        <v>119</v>
      </c>
      <c r="C2982" s="4"/>
      <c r="D2982" s="8"/>
      <c r="E2982" s="4"/>
      <c r="F2982" s="8"/>
      <c r="G2982" s="4"/>
      <c r="H2982" s="8"/>
      <c r="I2982" s="4"/>
    </row>
    <row r="2983" spans="1:9" x14ac:dyDescent="0.2">
      <c r="A2983" s="2">
        <v>1</v>
      </c>
      <c r="B2983" s="1" t="s">
        <v>227</v>
      </c>
      <c r="C2983" s="4">
        <v>50</v>
      </c>
      <c r="D2983" s="8">
        <v>16.670000000000002</v>
      </c>
      <c r="E2983" s="4">
        <v>47</v>
      </c>
      <c r="F2983" s="8">
        <v>25.27</v>
      </c>
      <c r="G2983" s="4">
        <v>3</v>
      </c>
      <c r="H2983" s="8">
        <v>3.03</v>
      </c>
      <c r="I2983" s="4">
        <v>0</v>
      </c>
    </row>
    <row r="2984" spans="1:9" x14ac:dyDescent="0.2">
      <c r="A2984" s="2">
        <v>2</v>
      </c>
      <c r="B2984" s="1" t="s">
        <v>228</v>
      </c>
      <c r="C2984" s="4">
        <v>27</v>
      </c>
      <c r="D2984" s="8">
        <v>9</v>
      </c>
      <c r="E2984" s="4">
        <v>27</v>
      </c>
      <c r="F2984" s="8">
        <v>14.52</v>
      </c>
      <c r="G2984" s="4">
        <v>0</v>
      </c>
      <c r="H2984" s="8">
        <v>0</v>
      </c>
      <c r="I2984" s="4">
        <v>0</v>
      </c>
    </row>
    <row r="2985" spans="1:9" x14ac:dyDescent="0.2">
      <c r="A2985" s="2">
        <v>3</v>
      </c>
      <c r="B2985" s="1" t="s">
        <v>221</v>
      </c>
      <c r="C2985" s="4">
        <v>22</v>
      </c>
      <c r="D2985" s="8">
        <v>7.33</v>
      </c>
      <c r="E2985" s="4">
        <v>12</v>
      </c>
      <c r="F2985" s="8">
        <v>6.45</v>
      </c>
      <c r="G2985" s="4">
        <v>10</v>
      </c>
      <c r="H2985" s="8">
        <v>10.1</v>
      </c>
      <c r="I2985" s="4">
        <v>0</v>
      </c>
    </row>
    <row r="2986" spans="1:9" x14ac:dyDescent="0.2">
      <c r="A2986" s="2">
        <v>3</v>
      </c>
      <c r="B2986" s="1" t="s">
        <v>223</v>
      </c>
      <c r="C2986" s="4">
        <v>22</v>
      </c>
      <c r="D2986" s="8">
        <v>7.33</v>
      </c>
      <c r="E2986" s="4">
        <v>10</v>
      </c>
      <c r="F2986" s="8">
        <v>5.38</v>
      </c>
      <c r="G2986" s="4">
        <v>12</v>
      </c>
      <c r="H2986" s="8">
        <v>12.12</v>
      </c>
      <c r="I2986" s="4">
        <v>0</v>
      </c>
    </row>
    <row r="2987" spans="1:9" x14ac:dyDescent="0.2">
      <c r="A2987" s="2">
        <v>5</v>
      </c>
      <c r="B2987" s="1" t="s">
        <v>243</v>
      </c>
      <c r="C2987" s="4">
        <v>19</v>
      </c>
      <c r="D2987" s="8">
        <v>6.33</v>
      </c>
      <c r="E2987" s="4">
        <v>17</v>
      </c>
      <c r="F2987" s="8">
        <v>9.14</v>
      </c>
      <c r="G2987" s="4">
        <v>2</v>
      </c>
      <c r="H2987" s="8">
        <v>2.02</v>
      </c>
      <c r="I2987" s="4">
        <v>0</v>
      </c>
    </row>
    <row r="2988" spans="1:9" x14ac:dyDescent="0.2">
      <c r="A2988" s="2">
        <v>6</v>
      </c>
      <c r="B2988" s="1" t="s">
        <v>214</v>
      </c>
      <c r="C2988" s="4">
        <v>18</v>
      </c>
      <c r="D2988" s="8">
        <v>6</v>
      </c>
      <c r="E2988" s="4">
        <v>12</v>
      </c>
      <c r="F2988" s="8">
        <v>6.45</v>
      </c>
      <c r="G2988" s="4">
        <v>6</v>
      </c>
      <c r="H2988" s="8">
        <v>6.06</v>
      </c>
      <c r="I2988" s="4">
        <v>0</v>
      </c>
    </row>
    <row r="2989" spans="1:9" x14ac:dyDescent="0.2">
      <c r="A2989" s="2">
        <v>7</v>
      </c>
      <c r="B2989" s="1" t="s">
        <v>224</v>
      </c>
      <c r="C2989" s="4">
        <v>15</v>
      </c>
      <c r="D2989" s="8">
        <v>5</v>
      </c>
      <c r="E2989" s="4">
        <v>13</v>
      </c>
      <c r="F2989" s="8">
        <v>6.99</v>
      </c>
      <c r="G2989" s="4">
        <v>1</v>
      </c>
      <c r="H2989" s="8">
        <v>1.01</v>
      </c>
      <c r="I2989" s="4">
        <v>0</v>
      </c>
    </row>
    <row r="2990" spans="1:9" x14ac:dyDescent="0.2">
      <c r="A2990" s="2">
        <v>8</v>
      </c>
      <c r="B2990" s="1" t="s">
        <v>213</v>
      </c>
      <c r="C2990" s="4">
        <v>13</v>
      </c>
      <c r="D2990" s="8">
        <v>4.33</v>
      </c>
      <c r="E2990" s="4">
        <v>5</v>
      </c>
      <c r="F2990" s="8">
        <v>2.69</v>
      </c>
      <c r="G2990" s="4">
        <v>8</v>
      </c>
      <c r="H2990" s="8">
        <v>8.08</v>
      </c>
      <c r="I2990" s="4">
        <v>0</v>
      </c>
    </row>
    <row r="2991" spans="1:9" x14ac:dyDescent="0.2">
      <c r="A2991" s="2">
        <v>9</v>
      </c>
      <c r="B2991" s="1" t="s">
        <v>215</v>
      </c>
      <c r="C2991" s="4">
        <v>9</v>
      </c>
      <c r="D2991" s="8">
        <v>3</v>
      </c>
      <c r="E2991" s="4">
        <v>5</v>
      </c>
      <c r="F2991" s="8">
        <v>2.69</v>
      </c>
      <c r="G2991" s="4">
        <v>4</v>
      </c>
      <c r="H2991" s="8">
        <v>4.04</v>
      </c>
      <c r="I2991" s="4">
        <v>0</v>
      </c>
    </row>
    <row r="2992" spans="1:9" x14ac:dyDescent="0.2">
      <c r="A2992" s="2">
        <v>10</v>
      </c>
      <c r="B2992" s="1" t="s">
        <v>241</v>
      </c>
      <c r="C2992" s="4">
        <v>7</v>
      </c>
      <c r="D2992" s="8">
        <v>2.33</v>
      </c>
      <c r="E2992" s="4">
        <v>1</v>
      </c>
      <c r="F2992" s="8">
        <v>0.54</v>
      </c>
      <c r="G2992" s="4">
        <v>6</v>
      </c>
      <c r="H2992" s="8">
        <v>6.06</v>
      </c>
      <c r="I2992" s="4">
        <v>0</v>
      </c>
    </row>
    <row r="2993" spans="1:9" x14ac:dyDescent="0.2">
      <c r="A2993" s="2">
        <v>10</v>
      </c>
      <c r="B2993" s="1" t="s">
        <v>217</v>
      </c>
      <c r="C2993" s="4">
        <v>7</v>
      </c>
      <c r="D2993" s="8">
        <v>2.33</v>
      </c>
      <c r="E2993" s="4">
        <v>2</v>
      </c>
      <c r="F2993" s="8">
        <v>1.08</v>
      </c>
      <c r="G2993" s="4">
        <v>5</v>
      </c>
      <c r="H2993" s="8">
        <v>5.05</v>
      </c>
      <c r="I2993" s="4">
        <v>0</v>
      </c>
    </row>
    <row r="2994" spans="1:9" x14ac:dyDescent="0.2">
      <c r="A2994" s="2">
        <v>10</v>
      </c>
      <c r="B2994" s="1" t="s">
        <v>220</v>
      </c>
      <c r="C2994" s="4">
        <v>7</v>
      </c>
      <c r="D2994" s="8">
        <v>2.33</v>
      </c>
      <c r="E2994" s="4">
        <v>4</v>
      </c>
      <c r="F2994" s="8">
        <v>2.15</v>
      </c>
      <c r="G2994" s="4">
        <v>3</v>
      </c>
      <c r="H2994" s="8">
        <v>3.03</v>
      </c>
      <c r="I2994" s="4">
        <v>0</v>
      </c>
    </row>
    <row r="2995" spans="1:9" x14ac:dyDescent="0.2">
      <c r="A2995" s="2">
        <v>13</v>
      </c>
      <c r="B2995" s="1" t="s">
        <v>230</v>
      </c>
      <c r="C2995" s="4">
        <v>6</v>
      </c>
      <c r="D2995" s="8">
        <v>2</v>
      </c>
      <c r="E2995" s="4">
        <v>3</v>
      </c>
      <c r="F2995" s="8">
        <v>1.61</v>
      </c>
      <c r="G2995" s="4">
        <v>1</v>
      </c>
      <c r="H2995" s="8">
        <v>1.01</v>
      </c>
      <c r="I2995" s="4">
        <v>0</v>
      </c>
    </row>
    <row r="2996" spans="1:9" x14ac:dyDescent="0.2">
      <c r="A2996" s="2">
        <v>13</v>
      </c>
      <c r="B2996" s="1" t="s">
        <v>231</v>
      </c>
      <c r="C2996" s="4">
        <v>6</v>
      </c>
      <c r="D2996" s="8">
        <v>2</v>
      </c>
      <c r="E2996" s="4">
        <v>6</v>
      </c>
      <c r="F2996" s="8">
        <v>3.23</v>
      </c>
      <c r="G2996" s="4">
        <v>0</v>
      </c>
      <c r="H2996" s="8">
        <v>0</v>
      </c>
      <c r="I2996" s="4">
        <v>0</v>
      </c>
    </row>
    <row r="2997" spans="1:9" x14ac:dyDescent="0.2">
      <c r="A2997" s="2">
        <v>15</v>
      </c>
      <c r="B2997" s="1" t="s">
        <v>222</v>
      </c>
      <c r="C2997" s="4">
        <v>5</v>
      </c>
      <c r="D2997" s="8">
        <v>1.67</v>
      </c>
      <c r="E2997" s="4">
        <v>2</v>
      </c>
      <c r="F2997" s="8">
        <v>1.08</v>
      </c>
      <c r="G2997" s="4">
        <v>3</v>
      </c>
      <c r="H2997" s="8">
        <v>3.03</v>
      </c>
      <c r="I2997" s="4">
        <v>0</v>
      </c>
    </row>
    <row r="2998" spans="1:9" x14ac:dyDescent="0.2">
      <c r="A2998" s="2">
        <v>15</v>
      </c>
      <c r="B2998" s="1" t="s">
        <v>232</v>
      </c>
      <c r="C2998" s="4">
        <v>5</v>
      </c>
      <c r="D2998" s="8">
        <v>1.67</v>
      </c>
      <c r="E2998" s="4">
        <v>0</v>
      </c>
      <c r="F2998" s="8">
        <v>0</v>
      </c>
      <c r="G2998" s="4">
        <v>1</v>
      </c>
      <c r="H2998" s="8">
        <v>1.01</v>
      </c>
      <c r="I2998" s="4">
        <v>1</v>
      </c>
    </row>
    <row r="2999" spans="1:9" x14ac:dyDescent="0.2">
      <c r="A2999" s="2">
        <v>17</v>
      </c>
      <c r="B2999" s="1" t="s">
        <v>246</v>
      </c>
      <c r="C2999" s="4">
        <v>4</v>
      </c>
      <c r="D2999" s="8">
        <v>1.33</v>
      </c>
      <c r="E2999" s="4">
        <v>2</v>
      </c>
      <c r="F2999" s="8">
        <v>1.08</v>
      </c>
      <c r="G2999" s="4">
        <v>2</v>
      </c>
      <c r="H2999" s="8">
        <v>2.02</v>
      </c>
      <c r="I2999" s="4">
        <v>0</v>
      </c>
    </row>
    <row r="3000" spans="1:9" x14ac:dyDescent="0.2">
      <c r="A3000" s="2">
        <v>17</v>
      </c>
      <c r="B3000" s="1" t="s">
        <v>225</v>
      </c>
      <c r="C3000" s="4">
        <v>4</v>
      </c>
      <c r="D3000" s="8">
        <v>1.33</v>
      </c>
      <c r="E3000" s="4">
        <v>4</v>
      </c>
      <c r="F3000" s="8">
        <v>2.15</v>
      </c>
      <c r="G3000" s="4">
        <v>0</v>
      </c>
      <c r="H3000" s="8">
        <v>0</v>
      </c>
      <c r="I3000" s="4">
        <v>0</v>
      </c>
    </row>
    <row r="3001" spans="1:9" x14ac:dyDescent="0.2">
      <c r="A3001" s="2">
        <v>17</v>
      </c>
      <c r="B3001" s="1" t="s">
        <v>226</v>
      </c>
      <c r="C3001" s="4">
        <v>4</v>
      </c>
      <c r="D3001" s="8">
        <v>1.33</v>
      </c>
      <c r="E3001" s="4">
        <v>2</v>
      </c>
      <c r="F3001" s="8">
        <v>1.08</v>
      </c>
      <c r="G3001" s="4">
        <v>1</v>
      </c>
      <c r="H3001" s="8">
        <v>1.01</v>
      </c>
      <c r="I3001" s="4">
        <v>0</v>
      </c>
    </row>
    <row r="3002" spans="1:9" x14ac:dyDescent="0.2">
      <c r="A3002" s="2">
        <v>17</v>
      </c>
      <c r="B3002" s="1" t="s">
        <v>247</v>
      </c>
      <c r="C3002" s="4">
        <v>4</v>
      </c>
      <c r="D3002" s="8">
        <v>1.33</v>
      </c>
      <c r="E3002" s="4">
        <v>1</v>
      </c>
      <c r="F3002" s="8">
        <v>0.54</v>
      </c>
      <c r="G3002" s="4">
        <v>0</v>
      </c>
      <c r="H3002" s="8">
        <v>0</v>
      </c>
      <c r="I3002" s="4">
        <v>0</v>
      </c>
    </row>
    <row r="3003" spans="1:9" x14ac:dyDescent="0.2">
      <c r="A3003" s="2">
        <v>17</v>
      </c>
      <c r="B3003" s="1" t="s">
        <v>240</v>
      </c>
      <c r="C3003" s="4">
        <v>4</v>
      </c>
      <c r="D3003" s="8">
        <v>1.33</v>
      </c>
      <c r="E3003" s="4">
        <v>0</v>
      </c>
      <c r="F3003" s="8">
        <v>0</v>
      </c>
      <c r="G3003" s="4">
        <v>4</v>
      </c>
      <c r="H3003" s="8">
        <v>4.04</v>
      </c>
      <c r="I3003" s="4">
        <v>0</v>
      </c>
    </row>
    <row r="3004" spans="1:9" x14ac:dyDescent="0.2">
      <c r="A3004" s="2">
        <v>17</v>
      </c>
      <c r="B3004" s="1" t="s">
        <v>242</v>
      </c>
      <c r="C3004" s="4">
        <v>4</v>
      </c>
      <c r="D3004" s="8">
        <v>1.33</v>
      </c>
      <c r="E3004" s="4">
        <v>1</v>
      </c>
      <c r="F3004" s="8">
        <v>0.54</v>
      </c>
      <c r="G3004" s="4">
        <v>3</v>
      </c>
      <c r="H3004" s="8">
        <v>3.03</v>
      </c>
      <c r="I3004" s="4">
        <v>0</v>
      </c>
    </row>
    <row r="3005" spans="1:9" x14ac:dyDescent="0.2">
      <c r="A3005" s="2">
        <v>17</v>
      </c>
      <c r="B3005" s="1" t="s">
        <v>234</v>
      </c>
      <c r="C3005" s="4">
        <v>4</v>
      </c>
      <c r="D3005" s="8">
        <v>1.33</v>
      </c>
      <c r="E3005" s="4">
        <v>0</v>
      </c>
      <c r="F3005" s="8">
        <v>0</v>
      </c>
      <c r="G3005" s="4">
        <v>4</v>
      </c>
      <c r="H3005" s="8">
        <v>4.04</v>
      </c>
      <c r="I3005" s="4">
        <v>0</v>
      </c>
    </row>
    <row r="3006" spans="1:9" x14ac:dyDescent="0.2">
      <c r="A3006" s="1"/>
      <c r="C3006" s="4"/>
      <c r="D3006" s="8"/>
      <c r="E3006" s="4"/>
      <c r="F3006" s="8"/>
      <c r="G3006" s="4"/>
      <c r="H3006" s="8"/>
      <c r="I3006" s="4"/>
    </row>
    <row r="3007" spans="1:9" x14ac:dyDescent="0.2">
      <c r="A3007" s="1" t="s">
        <v>120</v>
      </c>
      <c r="C3007" s="4"/>
      <c r="D3007" s="8"/>
      <c r="E3007" s="4"/>
      <c r="F3007" s="8"/>
      <c r="G3007" s="4"/>
      <c r="H3007" s="8"/>
      <c r="I3007" s="4"/>
    </row>
    <row r="3008" spans="1:9" x14ac:dyDescent="0.2">
      <c r="A3008" s="2">
        <v>1</v>
      </c>
      <c r="B3008" s="1" t="s">
        <v>213</v>
      </c>
      <c r="C3008" s="4">
        <v>7</v>
      </c>
      <c r="D3008" s="8">
        <v>23.33</v>
      </c>
      <c r="E3008" s="4">
        <v>3</v>
      </c>
      <c r="F3008" s="8">
        <v>20</v>
      </c>
      <c r="G3008" s="4">
        <v>4</v>
      </c>
      <c r="H3008" s="8">
        <v>36.36</v>
      </c>
      <c r="I3008" s="4">
        <v>0</v>
      </c>
    </row>
    <row r="3009" spans="1:9" x14ac:dyDescent="0.2">
      <c r="A3009" s="2">
        <v>2</v>
      </c>
      <c r="B3009" s="1" t="s">
        <v>227</v>
      </c>
      <c r="C3009" s="4">
        <v>4</v>
      </c>
      <c r="D3009" s="8">
        <v>13.33</v>
      </c>
      <c r="E3009" s="4">
        <v>4</v>
      </c>
      <c r="F3009" s="8">
        <v>26.67</v>
      </c>
      <c r="G3009" s="4">
        <v>0</v>
      </c>
      <c r="H3009" s="8">
        <v>0</v>
      </c>
      <c r="I3009" s="4">
        <v>0</v>
      </c>
    </row>
    <row r="3010" spans="1:9" x14ac:dyDescent="0.2">
      <c r="A3010" s="2">
        <v>3</v>
      </c>
      <c r="B3010" s="1" t="s">
        <v>223</v>
      </c>
      <c r="C3010" s="4">
        <v>3</v>
      </c>
      <c r="D3010" s="8">
        <v>10</v>
      </c>
      <c r="E3010" s="4">
        <v>1</v>
      </c>
      <c r="F3010" s="8">
        <v>6.67</v>
      </c>
      <c r="G3010" s="4">
        <v>2</v>
      </c>
      <c r="H3010" s="8">
        <v>18.18</v>
      </c>
      <c r="I3010" s="4">
        <v>0</v>
      </c>
    </row>
    <row r="3011" spans="1:9" x14ac:dyDescent="0.2">
      <c r="A3011" s="2">
        <v>4</v>
      </c>
      <c r="B3011" s="1" t="s">
        <v>256</v>
      </c>
      <c r="C3011" s="4">
        <v>2</v>
      </c>
      <c r="D3011" s="8">
        <v>6.67</v>
      </c>
      <c r="E3011" s="4">
        <v>0</v>
      </c>
      <c r="F3011" s="8">
        <v>0</v>
      </c>
      <c r="G3011" s="4">
        <v>0</v>
      </c>
      <c r="H3011" s="8">
        <v>0</v>
      </c>
      <c r="I3011" s="4">
        <v>0</v>
      </c>
    </row>
    <row r="3012" spans="1:9" x14ac:dyDescent="0.2">
      <c r="A3012" s="2">
        <v>4</v>
      </c>
      <c r="B3012" s="1" t="s">
        <v>228</v>
      </c>
      <c r="C3012" s="4">
        <v>2</v>
      </c>
      <c r="D3012" s="8">
        <v>6.67</v>
      </c>
      <c r="E3012" s="4">
        <v>2</v>
      </c>
      <c r="F3012" s="8">
        <v>13.33</v>
      </c>
      <c r="G3012" s="4">
        <v>0</v>
      </c>
      <c r="H3012" s="8">
        <v>0</v>
      </c>
      <c r="I3012" s="4">
        <v>0</v>
      </c>
    </row>
    <row r="3013" spans="1:9" x14ac:dyDescent="0.2">
      <c r="A3013" s="2">
        <v>4</v>
      </c>
      <c r="B3013" s="1" t="s">
        <v>231</v>
      </c>
      <c r="C3013" s="4">
        <v>2</v>
      </c>
      <c r="D3013" s="8">
        <v>6.67</v>
      </c>
      <c r="E3013" s="4">
        <v>1</v>
      </c>
      <c r="F3013" s="8">
        <v>6.67</v>
      </c>
      <c r="G3013" s="4">
        <v>0</v>
      </c>
      <c r="H3013" s="8">
        <v>0</v>
      </c>
      <c r="I3013" s="4">
        <v>0</v>
      </c>
    </row>
    <row r="3014" spans="1:9" x14ac:dyDescent="0.2">
      <c r="A3014" s="2">
        <v>7</v>
      </c>
      <c r="B3014" s="1" t="s">
        <v>215</v>
      </c>
      <c r="C3014" s="4">
        <v>1</v>
      </c>
      <c r="D3014" s="8">
        <v>3.33</v>
      </c>
      <c r="E3014" s="4">
        <v>1</v>
      </c>
      <c r="F3014" s="8">
        <v>6.67</v>
      </c>
      <c r="G3014" s="4">
        <v>0</v>
      </c>
      <c r="H3014" s="8">
        <v>0</v>
      </c>
      <c r="I3014" s="4">
        <v>0</v>
      </c>
    </row>
    <row r="3015" spans="1:9" x14ac:dyDescent="0.2">
      <c r="A3015" s="2">
        <v>7</v>
      </c>
      <c r="B3015" s="1" t="s">
        <v>241</v>
      </c>
      <c r="C3015" s="4">
        <v>1</v>
      </c>
      <c r="D3015" s="8">
        <v>3.33</v>
      </c>
      <c r="E3015" s="4">
        <v>1</v>
      </c>
      <c r="F3015" s="8">
        <v>6.67</v>
      </c>
      <c r="G3015" s="4">
        <v>0</v>
      </c>
      <c r="H3015" s="8">
        <v>0</v>
      </c>
      <c r="I3015" s="4">
        <v>0</v>
      </c>
    </row>
    <row r="3016" spans="1:9" x14ac:dyDescent="0.2">
      <c r="A3016" s="2">
        <v>7</v>
      </c>
      <c r="B3016" s="1" t="s">
        <v>252</v>
      </c>
      <c r="C3016" s="4">
        <v>1</v>
      </c>
      <c r="D3016" s="8">
        <v>3.33</v>
      </c>
      <c r="E3016" s="4">
        <v>1</v>
      </c>
      <c r="F3016" s="8">
        <v>6.67</v>
      </c>
      <c r="G3016" s="4">
        <v>0</v>
      </c>
      <c r="H3016" s="8">
        <v>0</v>
      </c>
      <c r="I3016" s="4">
        <v>0</v>
      </c>
    </row>
    <row r="3017" spans="1:9" x14ac:dyDescent="0.2">
      <c r="A3017" s="2">
        <v>7</v>
      </c>
      <c r="B3017" s="1" t="s">
        <v>255</v>
      </c>
      <c r="C3017" s="4">
        <v>1</v>
      </c>
      <c r="D3017" s="8">
        <v>3.33</v>
      </c>
      <c r="E3017" s="4">
        <v>0</v>
      </c>
      <c r="F3017" s="8">
        <v>0</v>
      </c>
      <c r="G3017" s="4">
        <v>0</v>
      </c>
      <c r="H3017" s="8">
        <v>0</v>
      </c>
      <c r="I3017" s="4">
        <v>0</v>
      </c>
    </row>
    <row r="3018" spans="1:9" x14ac:dyDescent="0.2">
      <c r="A3018" s="2">
        <v>7</v>
      </c>
      <c r="B3018" s="1" t="s">
        <v>238</v>
      </c>
      <c r="C3018" s="4">
        <v>1</v>
      </c>
      <c r="D3018" s="8">
        <v>3.33</v>
      </c>
      <c r="E3018" s="4">
        <v>0</v>
      </c>
      <c r="F3018" s="8">
        <v>0</v>
      </c>
      <c r="G3018" s="4">
        <v>1</v>
      </c>
      <c r="H3018" s="8">
        <v>9.09</v>
      </c>
      <c r="I3018" s="4">
        <v>0</v>
      </c>
    </row>
    <row r="3019" spans="1:9" x14ac:dyDescent="0.2">
      <c r="A3019" s="2">
        <v>7</v>
      </c>
      <c r="B3019" s="1" t="s">
        <v>248</v>
      </c>
      <c r="C3019" s="4">
        <v>1</v>
      </c>
      <c r="D3019" s="8">
        <v>3.33</v>
      </c>
      <c r="E3019" s="4">
        <v>0</v>
      </c>
      <c r="F3019" s="8">
        <v>0</v>
      </c>
      <c r="G3019" s="4">
        <v>1</v>
      </c>
      <c r="H3019" s="8">
        <v>9.09</v>
      </c>
      <c r="I3019" s="4">
        <v>0</v>
      </c>
    </row>
    <row r="3020" spans="1:9" x14ac:dyDescent="0.2">
      <c r="A3020" s="2">
        <v>7</v>
      </c>
      <c r="B3020" s="1" t="s">
        <v>221</v>
      </c>
      <c r="C3020" s="4">
        <v>1</v>
      </c>
      <c r="D3020" s="8">
        <v>3.33</v>
      </c>
      <c r="E3020" s="4">
        <v>0</v>
      </c>
      <c r="F3020" s="8">
        <v>0</v>
      </c>
      <c r="G3020" s="4">
        <v>1</v>
      </c>
      <c r="H3020" s="8">
        <v>9.09</v>
      </c>
      <c r="I3020" s="4">
        <v>0</v>
      </c>
    </row>
    <row r="3021" spans="1:9" x14ac:dyDescent="0.2">
      <c r="A3021" s="2">
        <v>7</v>
      </c>
      <c r="B3021" s="1" t="s">
        <v>239</v>
      </c>
      <c r="C3021" s="4">
        <v>1</v>
      </c>
      <c r="D3021" s="8">
        <v>3.33</v>
      </c>
      <c r="E3021" s="4">
        <v>1</v>
      </c>
      <c r="F3021" s="8">
        <v>6.67</v>
      </c>
      <c r="G3021" s="4">
        <v>0</v>
      </c>
      <c r="H3021" s="8">
        <v>0</v>
      </c>
      <c r="I3021" s="4">
        <v>0</v>
      </c>
    </row>
    <row r="3022" spans="1:9" x14ac:dyDescent="0.2">
      <c r="A3022" s="2">
        <v>7</v>
      </c>
      <c r="B3022" s="1" t="s">
        <v>232</v>
      </c>
      <c r="C3022" s="4">
        <v>1</v>
      </c>
      <c r="D3022" s="8">
        <v>3.33</v>
      </c>
      <c r="E3022" s="4">
        <v>0</v>
      </c>
      <c r="F3022" s="8">
        <v>0</v>
      </c>
      <c r="G3022" s="4">
        <v>1</v>
      </c>
      <c r="H3022" s="8">
        <v>9.09</v>
      </c>
      <c r="I3022" s="4">
        <v>0</v>
      </c>
    </row>
    <row r="3023" spans="1:9" x14ac:dyDescent="0.2">
      <c r="A3023" s="2">
        <v>7</v>
      </c>
      <c r="B3023" s="1" t="s">
        <v>240</v>
      </c>
      <c r="C3023" s="4">
        <v>1</v>
      </c>
      <c r="D3023" s="8">
        <v>3.33</v>
      </c>
      <c r="E3023" s="4">
        <v>0</v>
      </c>
      <c r="F3023" s="8">
        <v>0</v>
      </c>
      <c r="G3023" s="4">
        <v>1</v>
      </c>
      <c r="H3023" s="8">
        <v>9.09</v>
      </c>
      <c r="I3023" s="4">
        <v>0</v>
      </c>
    </row>
    <row r="3024" spans="1:9" x14ac:dyDescent="0.2">
      <c r="A3024" s="1"/>
      <c r="C3024" s="4"/>
      <c r="D3024" s="8"/>
      <c r="E3024" s="4"/>
      <c r="F3024" s="8"/>
      <c r="G3024" s="4"/>
      <c r="H3024" s="8"/>
      <c r="I3024" s="4"/>
    </row>
    <row r="3025" spans="1:9" x14ac:dyDescent="0.2">
      <c r="A3025" s="1" t="s">
        <v>121</v>
      </c>
      <c r="C3025" s="4"/>
      <c r="D3025" s="8"/>
      <c r="E3025" s="4"/>
      <c r="F3025" s="8"/>
      <c r="G3025" s="4"/>
      <c r="H3025" s="8"/>
      <c r="I3025" s="4"/>
    </row>
    <row r="3026" spans="1:9" x14ac:dyDescent="0.2">
      <c r="A3026" s="2">
        <v>1</v>
      </c>
      <c r="B3026" s="1" t="s">
        <v>227</v>
      </c>
      <c r="C3026" s="4">
        <v>12</v>
      </c>
      <c r="D3026" s="8">
        <v>13.04</v>
      </c>
      <c r="E3026" s="4">
        <v>10</v>
      </c>
      <c r="F3026" s="8">
        <v>16.95</v>
      </c>
      <c r="G3026" s="4">
        <v>2</v>
      </c>
      <c r="H3026" s="8">
        <v>6.45</v>
      </c>
      <c r="I3026" s="4">
        <v>0</v>
      </c>
    </row>
    <row r="3027" spans="1:9" x14ac:dyDescent="0.2">
      <c r="A3027" s="2">
        <v>2</v>
      </c>
      <c r="B3027" s="1" t="s">
        <v>223</v>
      </c>
      <c r="C3027" s="4">
        <v>10</v>
      </c>
      <c r="D3027" s="8">
        <v>10.87</v>
      </c>
      <c r="E3027" s="4">
        <v>7</v>
      </c>
      <c r="F3027" s="8">
        <v>11.86</v>
      </c>
      <c r="G3027" s="4">
        <v>3</v>
      </c>
      <c r="H3027" s="8">
        <v>9.68</v>
      </c>
      <c r="I3027" s="4">
        <v>0</v>
      </c>
    </row>
    <row r="3028" spans="1:9" x14ac:dyDescent="0.2">
      <c r="A3028" s="2">
        <v>3</v>
      </c>
      <c r="B3028" s="1" t="s">
        <v>228</v>
      </c>
      <c r="C3028" s="4">
        <v>9</v>
      </c>
      <c r="D3028" s="8">
        <v>9.7799999999999994</v>
      </c>
      <c r="E3028" s="4">
        <v>9</v>
      </c>
      <c r="F3028" s="8">
        <v>15.25</v>
      </c>
      <c r="G3028" s="4">
        <v>0</v>
      </c>
      <c r="H3028" s="8">
        <v>0</v>
      </c>
      <c r="I3028" s="4">
        <v>0</v>
      </c>
    </row>
    <row r="3029" spans="1:9" x14ac:dyDescent="0.2">
      <c r="A3029" s="2">
        <v>4</v>
      </c>
      <c r="B3029" s="1" t="s">
        <v>214</v>
      </c>
      <c r="C3029" s="4">
        <v>7</v>
      </c>
      <c r="D3029" s="8">
        <v>7.61</v>
      </c>
      <c r="E3029" s="4">
        <v>5</v>
      </c>
      <c r="F3029" s="8">
        <v>8.4700000000000006</v>
      </c>
      <c r="G3029" s="4">
        <v>2</v>
      </c>
      <c r="H3029" s="8">
        <v>6.45</v>
      </c>
      <c r="I3029" s="4">
        <v>0</v>
      </c>
    </row>
    <row r="3030" spans="1:9" x14ac:dyDescent="0.2">
      <c r="A3030" s="2">
        <v>5</v>
      </c>
      <c r="B3030" s="1" t="s">
        <v>213</v>
      </c>
      <c r="C3030" s="4">
        <v>5</v>
      </c>
      <c r="D3030" s="8">
        <v>5.43</v>
      </c>
      <c r="E3030" s="4">
        <v>1</v>
      </c>
      <c r="F3030" s="8">
        <v>1.69</v>
      </c>
      <c r="G3030" s="4">
        <v>4</v>
      </c>
      <c r="H3030" s="8">
        <v>12.9</v>
      </c>
      <c r="I3030" s="4">
        <v>0</v>
      </c>
    </row>
    <row r="3031" spans="1:9" x14ac:dyDescent="0.2">
      <c r="A3031" s="2">
        <v>5</v>
      </c>
      <c r="B3031" s="1" t="s">
        <v>221</v>
      </c>
      <c r="C3031" s="4">
        <v>5</v>
      </c>
      <c r="D3031" s="8">
        <v>5.43</v>
      </c>
      <c r="E3031" s="4">
        <v>3</v>
      </c>
      <c r="F3031" s="8">
        <v>5.08</v>
      </c>
      <c r="G3031" s="4">
        <v>2</v>
      </c>
      <c r="H3031" s="8">
        <v>6.45</v>
      </c>
      <c r="I3031" s="4">
        <v>0</v>
      </c>
    </row>
    <row r="3032" spans="1:9" x14ac:dyDescent="0.2">
      <c r="A3032" s="2">
        <v>5</v>
      </c>
      <c r="B3032" s="1" t="s">
        <v>222</v>
      </c>
      <c r="C3032" s="4">
        <v>5</v>
      </c>
      <c r="D3032" s="8">
        <v>5.43</v>
      </c>
      <c r="E3032" s="4">
        <v>4</v>
      </c>
      <c r="F3032" s="8">
        <v>6.78</v>
      </c>
      <c r="G3032" s="4">
        <v>1</v>
      </c>
      <c r="H3032" s="8">
        <v>3.23</v>
      </c>
      <c r="I3032" s="4">
        <v>0</v>
      </c>
    </row>
    <row r="3033" spans="1:9" x14ac:dyDescent="0.2">
      <c r="A3033" s="2">
        <v>8</v>
      </c>
      <c r="B3033" s="1" t="s">
        <v>254</v>
      </c>
      <c r="C3033" s="4">
        <v>2</v>
      </c>
      <c r="D3033" s="8">
        <v>2.17</v>
      </c>
      <c r="E3033" s="4">
        <v>0</v>
      </c>
      <c r="F3033" s="8">
        <v>0</v>
      </c>
      <c r="G3033" s="4">
        <v>2</v>
      </c>
      <c r="H3033" s="8">
        <v>6.45</v>
      </c>
      <c r="I3033" s="4">
        <v>0</v>
      </c>
    </row>
    <row r="3034" spans="1:9" x14ac:dyDescent="0.2">
      <c r="A3034" s="2">
        <v>8</v>
      </c>
      <c r="B3034" s="1" t="s">
        <v>248</v>
      </c>
      <c r="C3034" s="4">
        <v>2</v>
      </c>
      <c r="D3034" s="8">
        <v>2.17</v>
      </c>
      <c r="E3034" s="4">
        <v>2</v>
      </c>
      <c r="F3034" s="8">
        <v>3.39</v>
      </c>
      <c r="G3034" s="4">
        <v>0</v>
      </c>
      <c r="H3034" s="8">
        <v>0</v>
      </c>
      <c r="I3034" s="4">
        <v>0</v>
      </c>
    </row>
    <row r="3035" spans="1:9" x14ac:dyDescent="0.2">
      <c r="A3035" s="2">
        <v>8</v>
      </c>
      <c r="B3035" s="1" t="s">
        <v>217</v>
      </c>
      <c r="C3035" s="4">
        <v>2</v>
      </c>
      <c r="D3035" s="8">
        <v>2.17</v>
      </c>
      <c r="E3035" s="4">
        <v>1</v>
      </c>
      <c r="F3035" s="8">
        <v>1.69</v>
      </c>
      <c r="G3035" s="4">
        <v>1</v>
      </c>
      <c r="H3035" s="8">
        <v>3.23</v>
      </c>
      <c r="I3035" s="4">
        <v>0</v>
      </c>
    </row>
    <row r="3036" spans="1:9" x14ac:dyDescent="0.2">
      <c r="A3036" s="2">
        <v>8</v>
      </c>
      <c r="B3036" s="1" t="s">
        <v>220</v>
      </c>
      <c r="C3036" s="4">
        <v>2</v>
      </c>
      <c r="D3036" s="8">
        <v>2.17</v>
      </c>
      <c r="E3036" s="4">
        <v>2</v>
      </c>
      <c r="F3036" s="8">
        <v>3.39</v>
      </c>
      <c r="G3036" s="4">
        <v>0</v>
      </c>
      <c r="H3036" s="8">
        <v>0</v>
      </c>
      <c r="I3036" s="4">
        <v>0</v>
      </c>
    </row>
    <row r="3037" spans="1:9" x14ac:dyDescent="0.2">
      <c r="A3037" s="2">
        <v>8</v>
      </c>
      <c r="B3037" s="1" t="s">
        <v>225</v>
      </c>
      <c r="C3037" s="4">
        <v>2</v>
      </c>
      <c r="D3037" s="8">
        <v>2.17</v>
      </c>
      <c r="E3037" s="4">
        <v>1</v>
      </c>
      <c r="F3037" s="8">
        <v>1.69</v>
      </c>
      <c r="G3037" s="4">
        <v>1</v>
      </c>
      <c r="H3037" s="8">
        <v>3.23</v>
      </c>
      <c r="I3037" s="4">
        <v>0</v>
      </c>
    </row>
    <row r="3038" spans="1:9" x14ac:dyDescent="0.2">
      <c r="A3038" s="2">
        <v>8</v>
      </c>
      <c r="B3038" s="1" t="s">
        <v>226</v>
      </c>
      <c r="C3038" s="4">
        <v>2</v>
      </c>
      <c r="D3038" s="8">
        <v>2.17</v>
      </c>
      <c r="E3038" s="4">
        <v>0</v>
      </c>
      <c r="F3038" s="8">
        <v>0</v>
      </c>
      <c r="G3038" s="4">
        <v>2</v>
      </c>
      <c r="H3038" s="8">
        <v>6.45</v>
      </c>
      <c r="I3038" s="4">
        <v>0</v>
      </c>
    </row>
    <row r="3039" spans="1:9" x14ac:dyDescent="0.2">
      <c r="A3039" s="2">
        <v>8</v>
      </c>
      <c r="B3039" s="1" t="s">
        <v>229</v>
      </c>
      <c r="C3039" s="4">
        <v>2</v>
      </c>
      <c r="D3039" s="8">
        <v>2.17</v>
      </c>
      <c r="E3039" s="4">
        <v>2</v>
      </c>
      <c r="F3039" s="8">
        <v>3.39</v>
      </c>
      <c r="G3039" s="4">
        <v>0</v>
      </c>
      <c r="H3039" s="8">
        <v>0</v>
      </c>
      <c r="I3039" s="4">
        <v>0</v>
      </c>
    </row>
    <row r="3040" spans="1:9" x14ac:dyDescent="0.2">
      <c r="A3040" s="2">
        <v>8</v>
      </c>
      <c r="B3040" s="1" t="s">
        <v>247</v>
      </c>
      <c r="C3040" s="4">
        <v>2</v>
      </c>
      <c r="D3040" s="8">
        <v>2.17</v>
      </c>
      <c r="E3040" s="4">
        <v>1</v>
      </c>
      <c r="F3040" s="8">
        <v>1.69</v>
      </c>
      <c r="G3040" s="4">
        <v>0</v>
      </c>
      <c r="H3040" s="8">
        <v>0</v>
      </c>
      <c r="I3040" s="4">
        <v>0</v>
      </c>
    </row>
    <row r="3041" spans="1:9" x14ac:dyDescent="0.2">
      <c r="A3041" s="2">
        <v>8</v>
      </c>
      <c r="B3041" s="1" t="s">
        <v>230</v>
      </c>
      <c r="C3041" s="4">
        <v>2</v>
      </c>
      <c r="D3041" s="8">
        <v>2.17</v>
      </c>
      <c r="E3041" s="4">
        <v>2</v>
      </c>
      <c r="F3041" s="8">
        <v>3.39</v>
      </c>
      <c r="G3041" s="4">
        <v>0</v>
      </c>
      <c r="H3041" s="8">
        <v>0</v>
      </c>
      <c r="I3041" s="4">
        <v>0</v>
      </c>
    </row>
    <row r="3042" spans="1:9" x14ac:dyDescent="0.2">
      <c r="A3042" s="2">
        <v>8</v>
      </c>
      <c r="B3042" s="1" t="s">
        <v>249</v>
      </c>
      <c r="C3042" s="4">
        <v>2</v>
      </c>
      <c r="D3042" s="8">
        <v>2.17</v>
      </c>
      <c r="E3042" s="4">
        <v>1</v>
      </c>
      <c r="F3042" s="8">
        <v>1.69</v>
      </c>
      <c r="G3042" s="4">
        <v>1</v>
      </c>
      <c r="H3042" s="8">
        <v>3.23</v>
      </c>
      <c r="I3042" s="4">
        <v>0</v>
      </c>
    </row>
    <row r="3043" spans="1:9" x14ac:dyDescent="0.2">
      <c r="A3043" s="2">
        <v>8</v>
      </c>
      <c r="B3043" s="1" t="s">
        <v>240</v>
      </c>
      <c r="C3043" s="4">
        <v>2</v>
      </c>
      <c r="D3043" s="8">
        <v>2.17</v>
      </c>
      <c r="E3043" s="4">
        <v>2</v>
      </c>
      <c r="F3043" s="8">
        <v>3.39</v>
      </c>
      <c r="G3043" s="4">
        <v>0</v>
      </c>
      <c r="H3043" s="8">
        <v>0</v>
      </c>
      <c r="I3043" s="4">
        <v>0</v>
      </c>
    </row>
    <row r="3044" spans="1:9" x14ac:dyDescent="0.2">
      <c r="A3044" s="2">
        <v>19</v>
      </c>
      <c r="B3044" s="1" t="s">
        <v>215</v>
      </c>
      <c r="C3044" s="4">
        <v>1</v>
      </c>
      <c r="D3044" s="8">
        <v>1.0900000000000001</v>
      </c>
      <c r="E3044" s="4">
        <v>0</v>
      </c>
      <c r="F3044" s="8">
        <v>0</v>
      </c>
      <c r="G3044" s="4">
        <v>1</v>
      </c>
      <c r="H3044" s="8">
        <v>3.23</v>
      </c>
      <c r="I3044" s="4">
        <v>0</v>
      </c>
    </row>
    <row r="3045" spans="1:9" x14ac:dyDescent="0.2">
      <c r="A3045" s="2">
        <v>19</v>
      </c>
      <c r="B3045" s="1" t="s">
        <v>241</v>
      </c>
      <c r="C3045" s="4">
        <v>1</v>
      </c>
      <c r="D3045" s="8">
        <v>1.0900000000000001</v>
      </c>
      <c r="E3045" s="4">
        <v>0</v>
      </c>
      <c r="F3045" s="8">
        <v>0</v>
      </c>
      <c r="G3045" s="4">
        <v>1</v>
      </c>
      <c r="H3045" s="8">
        <v>3.23</v>
      </c>
      <c r="I3045" s="4">
        <v>0</v>
      </c>
    </row>
    <row r="3046" spans="1:9" x14ac:dyDescent="0.2">
      <c r="A3046" s="2">
        <v>19</v>
      </c>
      <c r="B3046" s="1" t="s">
        <v>262</v>
      </c>
      <c r="C3046" s="4">
        <v>1</v>
      </c>
      <c r="D3046" s="8">
        <v>1.0900000000000001</v>
      </c>
      <c r="E3046" s="4">
        <v>0</v>
      </c>
      <c r="F3046" s="8">
        <v>0</v>
      </c>
      <c r="G3046" s="4">
        <v>1</v>
      </c>
      <c r="H3046" s="8">
        <v>3.23</v>
      </c>
      <c r="I3046" s="4">
        <v>0</v>
      </c>
    </row>
    <row r="3047" spans="1:9" x14ac:dyDescent="0.2">
      <c r="A3047" s="2">
        <v>19</v>
      </c>
      <c r="B3047" s="1" t="s">
        <v>264</v>
      </c>
      <c r="C3047" s="4">
        <v>1</v>
      </c>
      <c r="D3047" s="8">
        <v>1.0900000000000001</v>
      </c>
      <c r="E3047" s="4">
        <v>0</v>
      </c>
      <c r="F3047" s="8">
        <v>0</v>
      </c>
      <c r="G3047" s="4">
        <v>1</v>
      </c>
      <c r="H3047" s="8">
        <v>3.23</v>
      </c>
      <c r="I3047" s="4">
        <v>0</v>
      </c>
    </row>
    <row r="3048" spans="1:9" x14ac:dyDescent="0.2">
      <c r="A3048" s="2">
        <v>19</v>
      </c>
      <c r="B3048" s="1" t="s">
        <v>253</v>
      </c>
      <c r="C3048" s="4">
        <v>1</v>
      </c>
      <c r="D3048" s="8">
        <v>1.0900000000000001</v>
      </c>
      <c r="E3048" s="4">
        <v>1</v>
      </c>
      <c r="F3048" s="8">
        <v>1.69</v>
      </c>
      <c r="G3048" s="4">
        <v>0</v>
      </c>
      <c r="H3048" s="8">
        <v>0</v>
      </c>
      <c r="I3048" s="4">
        <v>0</v>
      </c>
    </row>
    <row r="3049" spans="1:9" x14ac:dyDescent="0.2">
      <c r="A3049" s="2">
        <v>19</v>
      </c>
      <c r="B3049" s="1" t="s">
        <v>255</v>
      </c>
      <c r="C3049" s="4">
        <v>1</v>
      </c>
      <c r="D3049" s="8">
        <v>1.0900000000000001</v>
      </c>
      <c r="E3049" s="4">
        <v>0</v>
      </c>
      <c r="F3049" s="8">
        <v>0</v>
      </c>
      <c r="G3049" s="4">
        <v>1</v>
      </c>
      <c r="H3049" s="8">
        <v>3.23</v>
      </c>
      <c r="I3049" s="4">
        <v>0</v>
      </c>
    </row>
    <row r="3050" spans="1:9" x14ac:dyDescent="0.2">
      <c r="A3050" s="2">
        <v>19</v>
      </c>
      <c r="B3050" s="1" t="s">
        <v>238</v>
      </c>
      <c r="C3050" s="4">
        <v>1</v>
      </c>
      <c r="D3050" s="8">
        <v>1.0900000000000001</v>
      </c>
      <c r="E3050" s="4">
        <v>0</v>
      </c>
      <c r="F3050" s="8">
        <v>0</v>
      </c>
      <c r="G3050" s="4">
        <v>1</v>
      </c>
      <c r="H3050" s="8">
        <v>3.23</v>
      </c>
      <c r="I3050" s="4">
        <v>0</v>
      </c>
    </row>
    <row r="3051" spans="1:9" x14ac:dyDescent="0.2">
      <c r="A3051" s="2">
        <v>19</v>
      </c>
      <c r="B3051" s="1" t="s">
        <v>219</v>
      </c>
      <c r="C3051" s="4">
        <v>1</v>
      </c>
      <c r="D3051" s="8">
        <v>1.0900000000000001</v>
      </c>
      <c r="E3051" s="4">
        <v>0</v>
      </c>
      <c r="F3051" s="8">
        <v>0</v>
      </c>
      <c r="G3051" s="4">
        <v>1</v>
      </c>
      <c r="H3051" s="8">
        <v>3.23</v>
      </c>
      <c r="I3051" s="4">
        <v>0</v>
      </c>
    </row>
    <row r="3052" spans="1:9" x14ac:dyDescent="0.2">
      <c r="A3052" s="2">
        <v>19</v>
      </c>
      <c r="B3052" s="1" t="s">
        <v>237</v>
      </c>
      <c r="C3052" s="4">
        <v>1</v>
      </c>
      <c r="D3052" s="8">
        <v>1.0900000000000001</v>
      </c>
      <c r="E3052" s="4">
        <v>0</v>
      </c>
      <c r="F3052" s="8">
        <v>0</v>
      </c>
      <c r="G3052" s="4">
        <v>1</v>
      </c>
      <c r="H3052" s="8">
        <v>3.23</v>
      </c>
      <c r="I3052" s="4">
        <v>0</v>
      </c>
    </row>
    <row r="3053" spans="1:9" x14ac:dyDescent="0.2">
      <c r="A3053" s="2">
        <v>19</v>
      </c>
      <c r="B3053" s="1" t="s">
        <v>224</v>
      </c>
      <c r="C3053" s="4">
        <v>1</v>
      </c>
      <c r="D3053" s="8">
        <v>1.0900000000000001</v>
      </c>
      <c r="E3053" s="4">
        <v>1</v>
      </c>
      <c r="F3053" s="8">
        <v>1.69</v>
      </c>
      <c r="G3053" s="4">
        <v>0</v>
      </c>
      <c r="H3053" s="8">
        <v>0</v>
      </c>
      <c r="I3053" s="4">
        <v>0</v>
      </c>
    </row>
    <row r="3054" spans="1:9" x14ac:dyDescent="0.2">
      <c r="A3054" s="2">
        <v>19</v>
      </c>
      <c r="B3054" s="1" t="s">
        <v>246</v>
      </c>
      <c r="C3054" s="4">
        <v>1</v>
      </c>
      <c r="D3054" s="8">
        <v>1.0900000000000001</v>
      </c>
      <c r="E3054" s="4">
        <v>0</v>
      </c>
      <c r="F3054" s="8">
        <v>0</v>
      </c>
      <c r="G3054" s="4">
        <v>1</v>
      </c>
      <c r="H3054" s="8">
        <v>3.23</v>
      </c>
      <c r="I3054" s="4">
        <v>0</v>
      </c>
    </row>
    <row r="3055" spans="1:9" x14ac:dyDescent="0.2">
      <c r="A3055" s="2">
        <v>19</v>
      </c>
      <c r="B3055" s="1" t="s">
        <v>243</v>
      </c>
      <c r="C3055" s="4">
        <v>1</v>
      </c>
      <c r="D3055" s="8">
        <v>1.0900000000000001</v>
      </c>
      <c r="E3055" s="4">
        <v>1</v>
      </c>
      <c r="F3055" s="8">
        <v>1.69</v>
      </c>
      <c r="G3055" s="4">
        <v>0</v>
      </c>
      <c r="H3055" s="8">
        <v>0</v>
      </c>
      <c r="I3055" s="4">
        <v>0</v>
      </c>
    </row>
    <row r="3056" spans="1:9" x14ac:dyDescent="0.2">
      <c r="A3056" s="2">
        <v>19</v>
      </c>
      <c r="B3056" s="1" t="s">
        <v>239</v>
      </c>
      <c r="C3056" s="4">
        <v>1</v>
      </c>
      <c r="D3056" s="8">
        <v>1.0900000000000001</v>
      </c>
      <c r="E3056" s="4">
        <v>0</v>
      </c>
      <c r="F3056" s="8">
        <v>0</v>
      </c>
      <c r="G3056" s="4">
        <v>0</v>
      </c>
      <c r="H3056" s="8">
        <v>0</v>
      </c>
      <c r="I3056" s="4">
        <v>0</v>
      </c>
    </row>
    <row r="3057" spans="1:9" x14ac:dyDescent="0.2">
      <c r="A3057" s="2">
        <v>19</v>
      </c>
      <c r="B3057" s="1" t="s">
        <v>231</v>
      </c>
      <c r="C3057" s="4">
        <v>1</v>
      </c>
      <c r="D3057" s="8">
        <v>1.0900000000000001</v>
      </c>
      <c r="E3057" s="4">
        <v>1</v>
      </c>
      <c r="F3057" s="8">
        <v>1.69</v>
      </c>
      <c r="G3057" s="4">
        <v>0</v>
      </c>
      <c r="H3057" s="8">
        <v>0</v>
      </c>
      <c r="I3057" s="4">
        <v>0</v>
      </c>
    </row>
    <row r="3058" spans="1:9" x14ac:dyDescent="0.2">
      <c r="A3058" s="2">
        <v>19</v>
      </c>
      <c r="B3058" s="1" t="s">
        <v>232</v>
      </c>
      <c r="C3058" s="4">
        <v>1</v>
      </c>
      <c r="D3058" s="8">
        <v>1.0900000000000001</v>
      </c>
      <c r="E3058" s="4">
        <v>0</v>
      </c>
      <c r="F3058" s="8">
        <v>0</v>
      </c>
      <c r="G3058" s="4">
        <v>1</v>
      </c>
      <c r="H3058" s="8">
        <v>3.23</v>
      </c>
      <c r="I3058" s="4">
        <v>0</v>
      </c>
    </row>
    <row r="3059" spans="1:9" x14ac:dyDescent="0.2">
      <c r="A3059" s="2">
        <v>19</v>
      </c>
      <c r="B3059" s="1" t="s">
        <v>242</v>
      </c>
      <c r="C3059" s="4">
        <v>1</v>
      </c>
      <c r="D3059" s="8">
        <v>1.0900000000000001</v>
      </c>
      <c r="E3059" s="4">
        <v>1</v>
      </c>
      <c r="F3059" s="8">
        <v>1.69</v>
      </c>
      <c r="G3059" s="4">
        <v>0</v>
      </c>
      <c r="H3059" s="8">
        <v>0</v>
      </c>
      <c r="I3059" s="4">
        <v>0</v>
      </c>
    </row>
    <row r="3060" spans="1:9" x14ac:dyDescent="0.2">
      <c r="A3060" s="2">
        <v>19</v>
      </c>
      <c r="B3060" s="1" t="s">
        <v>234</v>
      </c>
      <c r="C3060" s="4">
        <v>1</v>
      </c>
      <c r="D3060" s="8">
        <v>1.0900000000000001</v>
      </c>
      <c r="E3060" s="4">
        <v>1</v>
      </c>
      <c r="F3060" s="8">
        <v>1.69</v>
      </c>
      <c r="G3060" s="4">
        <v>0</v>
      </c>
      <c r="H3060" s="8">
        <v>0</v>
      </c>
      <c r="I3060" s="4">
        <v>0</v>
      </c>
    </row>
    <row r="3061" spans="1:9" x14ac:dyDescent="0.2">
      <c r="A3061" s="1"/>
      <c r="C3061" s="4"/>
      <c r="D3061" s="8"/>
      <c r="E3061" s="4"/>
      <c r="F3061" s="8"/>
      <c r="G3061" s="4"/>
      <c r="H3061" s="8"/>
      <c r="I3061" s="4"/>
    </row>
    <row r="3062" spans="1:9" x14ac:dyDescent="0.2">
      <c r="A3062" s="1" t="s">
        <v>122</v>
      </c>
      <c r="C3062" s="4"/>
      <c r="D3062" s="8"/>
      <c r="E3062" s="4"/>
      <c r="F3062" s="8"/>
      <c r="G3062" s="4"/>
      <c r="H3062" s="8"/>
      <c r="I3062" s="4"/>
    </row>
    <row r="3063" spans="1:9" x14ac:dyDescent="0.2">
      <c r="A3063" s="2">
        <v>1</v>
      </c>
      <c r="B3063" s="1" t="s">
        <v>227</v>
      </c>
      <c r="C3063" s="4">
        <v>18</v>
      </c>
      <c r="D3063" s="8">
        <v>16.510000000000002</v>
      </c>
      <c r="E3063" s="4">
        <v>18</v>
      </c>
      <c r="F3063" s="8">
        <v>31.03</v>
      </c>
      <c r="G3063" s="4">
        <v>0</v>
      </c>
      <c r="H3063" s="8">
        <v>0</v>
      </c>
      <c r="I3063" s="4">
        <v>0</v>
      </c>
    </row>
    <row r="3064" spans="1:9" x14ac:dyDescent="0.2">
      <c r="A3064" s="2">
        <v>2</v>
      </c>
      <c r="B3064" s="1" t="s">
        <v>228</v>
      </c>
      <c r="C3064" s="4">
        <v>13</v>
      </c>
      <c r="D3064" s="8">
        <v>11.93</v>
      </c>
      <c r="E3064" s="4">
        <v>13</v>
      </c>
      <c r="F3064" s="8">
        <v>22.41</v>
      </c>
      <c r="G3064" s="4">
        <v>0</v>
      </c>
      <c r="H3064" s="8">
        <v>0</v>
      </c>
      <c r="I3064" s="4">
        <v>0</v>
      </c>
    </row>
    <row r="3065" spans="1:9" x14ac:dyDescent="0.2">
      <c r="A3065" s="2">
        <v>3</v>
      </c>
      <c r="B3065" s="1" t="s">
        <v>221</v>
      </c>
      <c r="C3065" s="4">
        <v>11</v>
      </c>
      <c r="D3065" s="8">
        <v>10.09</v>
      </c>
      <c r="E3065" s="4">
        <v>6</v>
      </c>
      <c r="F3065" s="8">
        <v>10.34</v>
      </c>
      <c r="G3065" s="4">
        <v>5</v>
      </c>
      <c r="H3065" s="8">
        <v>11.9</v>
      </c>
      <c r="I3065" s="4">
        <v>0</v>
      </c>
    </row>
    <row r="3066" spans="1:9" x14ac:dyDescent="0.2">
      <c r="A3066" s="2">
        <v>4</v>
      </c>
      <c r="B3066" s="1" t="s">
        <v>223</v>
      </c>
      <c r="C3066" s="4">
        <v>9</v>
      </c>
      <c r="D3066" s="8">
        <v>8.26</v>
      </c>
      <c r="E3066" s="4">
        <v>3</v>
      </c>
      <c r="F3066" s="8">
        <v>5.17</v>
      </c>
      <c r="G3066" s="4">
        <v>6</v>
      </c>
      <c r="H3066" s="8">
        <v>14.29</v>
      </c>
      <c r="I3066" s="4">
        <v>0</v>
      </c>
    </row>
    <row r="3067" spans="1:9" x14ac:dyDescent="0.2">
      <c r="A3067" s="2">
        <v>5</v>
      </c>
      <c r="B3067" s="1" t="s">
        <v>214</v>
      </c>
      <c r="C3067" s="4">
        <v>6</v>
      </c>
      <c r="D3067" s="8">
        <v>5.5</v>
      </c>
      <c r="E3067" s="4">
        <v>3</v>
      </c>
      <c r="F3067" s="8">
        <v>5.17</v>
      </c>
      <c r="G3067" s="4">
        <v>3</v>
      </c>
      <c r="H3067" s="8">
        <v>7.14</v>
      </c>
      <c r="I3067" s="4">
        <v>0</v>
      </c>
    </row>
    <row r="3068" spans="1:9" x14ac:dyDescent="0.2">
      <c r="A3068" s="2">
        <v>5</v>
      </c>
      <c r="B3068" s="1" t="s">
        <v>222</v>
      </c>
      <c r="C3068" s="4">
        <v>6</v>
      </c>
      <c r="D3068" s="8">
        <v>5.5</v>
      </c>
      <c r="E3068" s="4">
        <v>1</v>
      </c>
      <c r="F3068" s="8">
        <v>1.72</v>
      </c>
      <c r="G3068" s="4">
        <v>5</v>
      </c>
      <c r="H3068" s="8">
        <v>11.9</v>
      </c>
      <c r="I3068" s="4">
        <v>0</v>
      </c>
    </row>
    <row r="3069" spans="1:9" x14ac:dyDescent="0.2">
      <c r="A3069" s="2">
        <v>7</v>
      </c>
      <c r="B3069" s="1" t="s">
        <v>213</v>
      </c>
      <c r="C3069" s="4">
        <v>5</v>
      </c>
      <c r="D3069" s="8">
        <v>4.59</v>
      </c>
      <c r="E3069" s="4">
        <v>0</v>
      </c>
      <c r="F3069" s="8">
        <v>0</v>
      </c>
      <c r="G3069" s="4">
        <v>5</v>
      </c>
      <c r="H3069" s="8">
        <v>11.9</v>
      </c>
      <c r="I3069" s="4">
        <v>0</v>
      </c>
    </row>
    <row r="3070" spans="1:9" x14ac:dyDescent="0.2">
      <c r="A3070" s="2">
        <v>7</v>
      </c>
      <c r="B3070" s="1" t="s">
        <v>224</v>
      </c>
      <c r="C3070" s="4">
        <v>5</v>
      </c>
      <c r="D3070" s="8">
        <v>4.59</v>
      </c>
      <c r="E3070" s="4">
        <v>4</v>
      </c>
      <c r="F3070" s="8">
        <v>6.9</v>
      </c>
      <c r="G3070" s="4">
        <v>1</v>
      </c>
      <c r="H3070" s="8">
        <v>2.38</v>
      </c>
      <c r="I3070" s="4">
        <v>0</v>
      </c>
    </row>
    <row r="3071" spans="1:9" x14ac:dyDescent="0.2">
      <c r="A3071" s="2">
        <v>7</v>
      </c>
      <c r="B3071" s="1" t="s">
        <v>243</v>
      </c>
      <c r="C3071" s="4">
        <v>5</v>
      </c>
      <c r="D3071" s="8">
        <v>4.59</v>
      </c>
      <c r="E3071" s="4">
        <v>4</v>
      </c>
      <c r="F3071" s="8">
        <v>6.9</v>
      </c>
      <c r="G3071" s="4">
        <v>1</v>
      </c>
      <c r="H3071" s="8">
        <v>2.38</v>
      </c>
      <c r="I3071" s="4">
        <v>0</v>
      </c>
    </row>
    <row r="3072" spans="1:9" x14ac:dyDescent="0.2">
      <c r="A3072" s="2">
        <v>10</v>
      </c>
      <c r="B3072" s="1" t="s">
        <v>232</v>
      </c>
      <c r="C3072" s="4">
        <v>4</v>
      </c>
      <c r="D3072" s="8">
        <v>3.67</v>
      </c>
      <c r="E3072" s="4">
        <v>0</v>
      </c>
      <c r="F3072" s="8">
        <v>0</v>
      </c>
      <c r="G3072" s="4">
        <v>0</v>
      </c>
      <c r="H3072" s="8">
        <v>0</v>
      </c>
      <c r="I3072" s="4">
        <v>0</v>
      </c>
    </row>
    <row r="3073" spans="1:9" x14ac:dyDescent="0.2">
      <c r="A3073" s="2">
        <v>11</v>
      </c>
      <c r="B3073" s="1" t="s">
        <v>255</v>
      </c>
      <c r="C3073" s="4">
        <v>2</v>
      </c>
      <c r="D3073" s="8">
        <v>1.83</v>
      </c>
      <c r="E3073" s="4">
        <v>0</v>
      </c>
      <c r="F3073" s="8">
        <v>0</v>
      </c>
      <c r="G3073" s="4">
        <v>0</v>
      </c>
      <c r="H3073" s="8">
        <v>0</v>
      </c>
      <c r="I3073" s="4">
        <v>0</v>
      </c>
    </row>
    <row r="3074" spans="1:9" x14ac:dyDescent="0.2">
      <c r="A3074" s="2">
        <v>11</v>
      </c>
      <c r="B3074" s="1" t="s">
        <v>220</v>
      </c>
      <c r="C3074" s="4">
        <v>2</v>
      </c>
      <c r="D3074" s="8">
        <v>1.83</v>
      </c>
      <c r="E3074" s="4">
        <v>2</v>
      </c>
      <c r="F3074" s="8">
        <v>3.45</v>
      </c>
      <c r="G3074" s="4">
        <v>0</v>
      </c>
      <c r="H3074" s="8">
        <v>0</v>
      </c>
      <c r="I3074" s="4">
        <v>0</v>
      </c>
    </row>
    <row r="3075" spans="1:9" x14ac:dyDescent="0.2">
      <c r="A3075" s="2">
        <v>11</v>
      </c>
      <c r="B3075" s="1" t="s">
        <v>236</v>
      </c>
      <c r="C3075" s="4">
        <v>2</v>
      </c>
      <c r="D3075" s="8">
        <v>1.83</v>
      </c>
      <c r="E3075" s="4">
        <v>0</v>
      </c>
      <c r="F3075" s="8">
        <v>0</v>
      </c>
      <c r="G3075" s="4">
        <v>2</v>
      </c>
      <c r="H3075" s="8">
        <v>4.76</v>
      </c>
      <c r="I3075" s="4">
        <v>0</v>
      </c>
    </row>
    <row r="3076" spans="1:9" x14ac:dyDescent="0.2">
      <c r="A3076" s="2">
        <v>11</v>
      </c>
      <c r="B3076" s="1" t="s">
        <v>247</v>
      </c>
      <c r="C3076" s="4">
        <v>2</v>
      </c>
      <c r="D3076" s="8">
        <v>1.83</v>
      </c>
      <c r="E3076" s="4">
        <v>0</v>
      </c>
      <c r="F3076" s="8">
        <v>0</v>
      </c>
      <c r="G3076" s="4">
        <v>0</v>
      </c>
      <c r="H3076" s="8">
        <v>0</v>
      </c>
      <c r="I3076" s="4">
        <v>0</v>
      </c>
    </row>
    <row r="3077" spans="1:9" x14ac:dyDescent="0.2">
      <c r="A3077" s="2">
        <v>11</v>
      </c>
      <c r="B3077" s="1" t="s">
        <v>230</v>
      </c>
      <c r="C3077" s="4">
        <v>2</v>
      </c>
      <c r="D3077" s="8">
        <v>1.83</v>
      </c>
      <c r="E3077" s="4">
        <v>0</v>
      </c>
      <c r="F3077" s="8">
        <v>0</v>
      </c>
      <c r="G3077" s="4">
        <v>1</v>
      </c>
      <c r="H3077" s="8">
        <v>2.38</v>
      </c>
      <c r="I3077" s="4">
        <v>0</v>
      </c>
    </row>
    <row r="3078" spans="1:9" x14ac:dyDescent="0.2">
      <c r="A3078" s="2">
        <v>16</v>
      </c>
      <c r="B3078" s="1" t="s">
        <v>215</v>
      </c>
      <c r="C3078" s="4">
        <v>1</v>
      </c>
      <c r="D3078" s="8">
        <v>0.92</v>
      </c>
      <c r="E3078" s="4">
        <v>0</v>
      </c>
      <c r="F3078" s="8">
        <v>0</v>
      </c>
      <c r="G3078" s="4">
        <v>1</v>
      </c>
      <c r="H3078" s="8">
        <v>2.38</v>
      </c>
      <c r="I3078" s="4">
        <v>0</v>
      </c>
    </row>
    <row r="3079" spans="1:9" x14ac:dyDescent="0.2">
      <c r="A3079" s="2">
        <v>16</v>
      </c>
      <c r="B3079" s="1" t="s">
        <v>241</v>
      </c>
      <c r="C3079" s="4">
        <v>1</v>
      </c>
      <c r="D3079" s="8">
        <v>0.92</v>
      </c>
      <c r="E3079" s="4">
        <v>0</v>
      </c>
      <c r="F3079" s="8">
        <v>0</v>
      </c>
      <c r="G3079" s="4">
        <v>1</v>
      </c>
      <c r="H3079" s="8">
        <v>2.38</v>
      </c>
      <c r="I3079" s="4">
        <v>0</v>
      </c>
    </row>
    <row r="3080" spans="1:9" x14ac:dyDescent="0.2">
      <c r="A3080" s="2">
        <v>16</v>
      </c>
      <c r="B3080" s="1" t="s">
        <v>262</v>
      </c>
      <c r="C3080" s="4">
        <v>1</v>
      </c>
      <c r="D3080" s="8">
        <v>0.92</v>
      </c>
      <c r="E3080" s="4">
        <v>0</v>
      </c>
      <c r="F3080" s="8">
        <v>0</v>
      </c>
      <c r="G3080" s="4">
        <v>1</v>
      </c>
      <c r="H3080" s="8">
        <v>2.38</v>
      </c>
      <c r="I3080" s="4">
        <v>0</v>
      </c>
    </row>
    <row r="3081" spans="1:9" x14ac:dyDescent="0.2">
      <c r="A3081" s="2">
        <v>16</v>
      </c>
      <c r="B3081" s="1" t="s">
        <v>252</v>
      </c>
      <c r="C3081" s="4">
        <v>1</v>
      </c>
      <c r="D3081" s="8">
        <v>0.92</v>
      </c>
      <c r="E3081" s="4">
        <v>0</v>
      </c>
      <c r="F3081" s="8">
        <v>0</v>
      </c>
      <c r="G3081" s="4">
        <v>1</v>
      </c>
      <c r="H3081" s="8">
        <v>2.38</v>
      </c>
      <c r="I3081" s="4">
        <v>0</v>
      </c>
    </row>
    <row r="3082" spans="1:9" x14ac:dyDescent="0.2">
      <c r="A3082" s="2">
        <v>16</v>
      </c>
      <c r="B3082" s="1" t="s">
        <v>277</v>
      </c>
      <c r="C3082" s="4">
        <v>1</v>
      </c>
      <c r="D3082" s="8">
        <v>0.92</v>
      </c>
      <c r="E3082" s="4">
        <v>0</v>
      </c>
      <c r="F3082" s="8">
        <v>0</v>
      </c>
      <c r="G3082" s="4">
        <v>1</v>
      </c>
      <c r="H3082" s="8">
        <v>2.38</v>
      </c>
      <c r="I3082" s="4">
        <v>0</v>
      </c>
    </row>
    <row r="3083" spans="1:9" x14ac:dyDescent="0.2">
      <c r="A3083" s="2">
        <v>16</v>
      </c>
      <c r="B3083" s="1" t="s">
        <v>238</v>
      </c>
      <c r="C3083" s="4">
        <v>1</v>
      </c>
      <c r="D3083" s="8">
        <v>0.92</v>
      </c>
      <c r="E3083" s="4">
        <v>0</v>
      </c>
      <c r="F3083" s="8">
        <v>0</v>
      </c>
      <c r="G3083" s="4">
        <v>1</v>
      </c>
      <c r="H3083" s="8">
        <v>2.38</v>
      </c>
      <c r="I3083" s="4">
        <v>0</v>
      </c>
    </row>
    <row r="3084" spans="1:9" x14ac:dyDescent="0.2">
      <c r="A3084" s="2">
        <v>16</v>
      </c>
      <c r="B3084" s="1" t="s">
        <v>248</v>
      </c>
      <c r="C3084" s="4">
        <v>1</v>
      </c>
      <c r="D3084" s="8">
        <v>0.92</v>
      </c>
      <c r="E3084" s="4">
        <v>0</v>
      </c>
      <c r="F3084" s="8">
        <v>0</v>
      </c>
      <c r="G3084" s="4">
        <v>1</v>
      </c>
      <c r="H3084" s="8">
        <v>2.38</v>
      </c>
      <c r="I3084" s="4">
        <v>0</v>
      </c>
    </row>
    <row r="3085" spans="1:9" x14ac:dyDescent="0.2">
      <c r="A3085" s="2">
        <v>16</v>
      </c>
      <c r="B3085" s="1" t="s">
        <v>218</v>
      </c>
      <c r="C3085" s="4">
        <v>1</v>
      </c>
      <c r="D3085" s="8">
        <v>0.92</v>
      </c>
      <c r="E3085" s="4">
        <v>0</v>
      </c>
      <c r="F3085" s="8">
        <v>0</v>
      </c>
      <c r="G3085" s="4">
        <v>1</v>
      </c>
      <c r="H3085" s="8">
        <v>2.38</v>
      </c>
      <c r="I3085" s="4">
        <v>0</v>
      </c>
    </row>
    <row r="3086" spans="1:9" x14ac:dyDescent="0.2">
      <c r="A3086" s="2">
        <v>16</v>
      </c>
      <c r="B3086" s="1" t="s">
        <v>237</v>
      </c>
      <c r="C3086" s="4">
        <v>1</v>
      </c>
      <c r="D3086" s="8">
        <v>0.92</v>
      </c>
      <c r="E3086" s="4">
        <v>0</v>
      </c>
      <c r="F3086" s="8">
        <v>0</v>
      </c>
      <c r="G3086" s="4">
        <v>1</v>
      </c>
      <c r="H3086" s="8">
        <v>2.38</v>
      </c>
      <c r="I3086" s="4">
        <v>0</v>
      </c>
    </row>
    <row r="3087" spans="1:9" x14ac:dyDescent="0.2">
      <c r="A3087" s="2">
        <v>16</v>
      </c>
      <c r="B3087" s="1" t="s">
        <v>233</v>
      </c>
      <c r="C3087" s="4">
        <v>1</v>
      </c>
      <c r="D3087" s="8">
        <v>0.92</v>
      </c>
      <c r="E3087" s="4">
        <v>0</v>
      </c>
      <c r="F3087" s="8">
        <v>0</v>
      </c>
      <c r="G3087" s="4">
        <v>1</v>
      </c>
      <c r="H3087" s="8">
        <v>2.38</v>
      </c>
      <c r="I3087" s="4">
        <v>0</v>
      </c>
    </row>
    <row r="3088" spans="1:9" x14ac:dyDescent="0.2">
      <c r="A3088" s="2">
        <v>16</v>
      </c>
      <c r="B3088" s="1" t="s">
        <v>246</v>
      </c>
      <c r="C3088" s="4">
        <v>1</v>
      </c>
      <c r="D3088" s="8">
        <v>0.92</v>
      </c>
      <c r="E3088" s="4">
        <v>0</v>
      </c>
      <c r="F3088" s="8">
        <v>0</v>
      </c>
      <c r="G3088" s="4">
        <v>1</v>
      </c>
      <c r="H3088" s="8">
        <v>2.38</v>
      </c>
      <c r="I3088" s="4">
        <v>0</v>
      </c>
    </row>
    <row r="3089" spans="1:9" x14ac:dyDescent="0.2">
      <c r="A3089" s="2">
        <v>16</v>
      </c>
      <c r="B3089" s="1" t="s">
        <v>225</v>
      </c>
      <c r="C3089" s="4">
        <v>1</v>
      </c>
      <c r="D3089" s="8">
        <v>0.92</v>
      </c>
      <c r="E3089" s="4">
        <v>0</v>
      </c>
      <c r="F3089" s="8">
        <v>0</v>
      </c>
      <c r="G3089" s="4">
        <v>1</v>
      </c>
      <c r="H3089" s="8">
        <v>2.38</v>
      </c>
      <c r="I3089" s="4">
        <v>0</v>
      </c>
    </row>
    <row r="3090" spans="1:9" x14ac:dyDescent="0.2">
      <c r="A3090" s="2">
        <v>16</v>
      </c>
      <c r="B3090" s="1" t="s">
        <v>226</v>
      </c>
      <c r="C3090" s="4">
        <v>1</v>
      </c>
      <c r="D3090" s="8">
        <v>0.92</v>
      </c>
      <c r="E3090" s="4">
        <v>1</v>
      </c>
      <c r="F3090" s="8">
        <v>1.72</v>
      </c>
      <c r="G3090" s="4">
        <v>0</v>
      </c>
      <c r="H3090" s="8">
        <v>0</v>
      </c>
      <c r="I3090" s="4">
        <v>0</v>
      </c>
    </row>
    <row r="3091" spans="1:9" x14ac:dyDescent="0.2">
      <c r="A3091" s="2">
        <v>16</v>
      </c>
      <c r="B3091" s="1" t="s">
        <v>239</v>
      </c>
      <c r="C3091" s="4">
        <v>1</v>
      </c>
      <c r="D3091" s="8">
        <v>0.92</v>
      </c>
      <c r="E3091" s="4">
        <v>1</v>
      </c>
      <c r="F3091" s="8">
        <v>1.72</v>
      </c>
      <c r="G3091" s="4">
        <v>0</v>
      </c>
      <c r="H3091" s="8">
        <v>0</v>
      </c>
      <c r="I3091" s="4">
        <v>0</v>
      </c>
    </row>
    <row r="3092" spans="1:9" x14ac:dyDescent="0.2">
      <c r="A3092" s="2">
        <v>16</v>
      </c>
      <c r="B3092" s="1" t="s">
        <v>240</v>
      </c>
      <c r="C3092" s="4">
        <v>1</v>
      </c>
      <c r="D3092" s="8">
        <v>0.92</v>
      </c>
      <c r="E3092" s="4">
        <v>1</v>
      </c>
      <c r="F3092" s="8">
        <v>1.72</v>
      </c>
      <c r="G3092" s="4">
        <v>0</v>
      </c>
      <c r="H3092" s="8">
        <v>0</v>
      </c>
      <c r="I3092" s="4">
        <v>0</v>
      </c>
    </row>
    <row r="3093" spans="1:9" x14ac:dyDescent="0.2">
      <c r="A3093" s="2">
        <v>16</v>
      </c>
      <c r="B3093" s="1" t="s">
        <v>242</v>
      </c>
      <c r="C3093" s="4">
        <v>1</v>
      </c>
      <c r="D3093" s="8">
        <v>0.92</v>
      </c>
      <c r="E3093" s="4">
        <v>1</v>
      </c>
      <c r="F3093" s="8">
        <v>1.72</v>
      </c>
      <c r="G3093" s="4">
        <v>0</v>
      </c>
      <c r="H3093" s="8">
        <v>0</v>
      </c>
      <c r="I3093" s="4">
        <v>0</v>
      </c>
    </row>
    <row r="3094" spans="1:9" x14ac:dyDescent="0.2">
      <c r="A3094" s="2">
        <v>16</v>
      </c>
      <c r="B3094" s="1" t="s">
        <v>234</v>
      </c>
      <c r="C3094" s="4">
        <v>1</v>
      </c>
      <c r="D3094" s="8">
        <v>0.92</v>
      </c>
      <c r="E3094" s="4">
        <v>0</v>
      </c>
      <c r="F3094" s="8">
        <v>0</v>
      </c>
      <c r="G3094" s="4">
        <v>1</v>
      </c>
      <c r="H3094" s="8">
        <v>2.38</v>
      </c>
      <c r="I3094" s="4">
        <v>0</v>
      </c>
    </row>
    <row r="3095" spans="1:9" x14ac:dyDescent="0.2">
      <c r="A3095" s="1"/>
      <c r="C3095" s="4"/>
      <c r="D3095" s="8"/>
      <c r="E3095" s="4"/>
      <c r="F3095" s="8"/>
      <c r="G3095" s="4"/>
      <c r="H3095" s="8"/>
      <c r="I3095" s="4"/>
    </row>
    <row r="3096" spans="1:9" x14ac:dyDescent="0.2">
      <c r="A3096" s="1" t="s">
        <v>123</v>
      </c>
      <c r="C3096" s="4"/>
      <c r="D3096" s="8"/>
      <c r="E3096" s="4"/>
      <c r="F3096" s="8"/>
      <c r="G3096" s="4"/>
      <c r="H3096" s="8"/>
      <c r="I3096" s="4"/>
    </row>
    <row r="3097" spans="1:9" x14ac:dyDescent="0.2">
      <c r="A3097" s="2">
        <v>1</v>
      </c>
      <c r="B3097" s="1" t="s">
        <v>221</v>
      </c>
      <c r="C3097" s="4">
        <v>5</v>
      </c>
      <c r="D3097" s="8">
        <v>12.82</v>
      </c>
      <c r="E3097" s="4">
        <v>1</v>
      </c>
      <c r="F3097" s="8">
        <v>9.09</v>
      </c>
      <c r="G3097" s="4">
        <v>4</v>
      </c>
      <c r="H3097" s="8">
        <v>15.38</v>
      </c>
      <c r="I3097" s="4">
        <v>0</v>
      </c>
    </row>
    <row r="3098" spans="1:9" x14ac:dyDescent="0.2">
      <c r="A3098" s="2">
        <v>2</v>
      </c>
      <c r="B3098" s="1" t="s">
        <v>213</v>
      </c>
      <c r="C3098" s="4">
        <v>4</v>
      </c>
      <c r="D3098" s="8">
        <v>10.26</v>
      </c>
      <c r="E3098" s="4">
        <v>1</v>
      </c>
      <c r="F3098" s="8">
        <v>9.09</v>
      </c>
      <c r="G3098" s="4">
        <v>3</v>
      </c>
      <c r="H3098" s="8">
        <v>11.54</v>
      </c>
      <c r="I3098" s="4">
        <v>0</v>
      </c>
    </row>
    <row r="3099" spans="1:9" x14ac:dyDescent="0.2">
      <c r="A3099" s="2">
        <v>2</v>
      </c>
      <c r="B3099" s="1" t="s">
        <v>223</v>
      </c>
      <c r="C3099" s="4">
        <v>4</v>
      </c>
      <c r="D3099" s="8">
        <v>10.26</v>
      </c>
      <c r="E3099" s="4">
        <v>0</v>
      </c>
      <c r="F3099" s="8">
        <v>0</v>
      </c>
      <c r="G3099" s="4">
        <v>4</v>
      </c>
      <c r="H3099" s="8">
        <v>15.38</v>
      </c>
      <c r="I3099" s="4">
        <v>0</v>
      </c>
    </row>
    <row r="3100" spans="1:9" x14ac:dyDescent="0.2">
      <c r="A3100" s="2">
        <v>2</v>
      </c>
      <c r="B3100" s="1" t="s">
        <v>227</v>
      </c>
      <c r="C3100" s="4">
        <v>4</v>
      </c>
      <c r="D3100" s="8">
        <v>10.26</v>
      </c>
      <c r="E3100" s="4">
        <v>4</v>
      </c>
      <c r="F3100" s="8">
        <v>36.36</v>
      </c>
      <c r="G3100" s="4">
        <v>0</v>
      </c>
      <c r="H3100" s="8">
        <v>0</v>
      </c>
      <c r="I3100" s="4">
        <v>0</v>
      </c>
    </row>
    <row r="3101" spans="1:9" x14ac:dyDescent="0.2">
      <c r="A3101" s="2">
        <v>5</v>
      </c>
      <c r="B3101" s="1" t="s">
        <v>262</v>
      </c>
      <c r="C3101" s="4">
        <v>3</v>
      </c>
      <c r="D3101" s="8">
        <v>7.69</v>
      </c>
      <c r="E3101" s="4">
        <v>0</v>
      </c>
      <c r="F3101" s="8">
        <v>0</v>
      </c>
      <c r="G3101" s="4">
        <v>3</v>
      </c>
      <c r="H3101" s="8">
        <v>11.54</v>
      </c>
      <c r="I3101" s="4">
        <v>0</v>
      </c>
    </row>
    <row r="3102" spans="1:9" x14ac:dyDescent="0.2">
      <c r="A3102" s="2">
        <v>5</v>
      </c>
      <c r="B3102" s="1" t="s">
        <v>228</v>
      </c>
      <c r="C3102" s="4">
        <v>3</v>
      </c>
      <c r="D3102" s="8">
        <v>7.69</v>
      </c>
      <c r="E3102" s="4">
        <v>2</v>
      </c>
      <c r="F3102" s="8">
        <v>18.18</v>
      </c>
      <c r="G3102" s="4">
        <v>1</v>
      </c>
      <c r="H3102" s="8">
        <v>3.85</v>
      </c>
      <c r="I3102" s="4">
        <v>0</v>
      </c>
    </row>
    <row r="3103" spans="1:9" x14ac:dyDescent="0.2">
      <c r="A3103" s="2">
        <v>7</v>
      </c>
      <c r="B3103" s="1" t="s">
        <v>241</v>
      </c>
      <c r="C3103" s="4">
        <v>2</v>
      </c>
      <c r="D3103" s="8">
        <v>5.13</v>
      </c>
      <c r="E3103" s="4">
        <v>1</v>
      </c>
      <c r="F3103" s="8">
        <v>9.09</v>
      </c>
      <c r="G3103" s="4">
        <v>1</v>
      </c>
      <c r="H3103" s="8">
        <v>3.85</v>
      </c>
      <c r="I3103" s="4">
        <v>0</v>
      </c>
    </row>
    <row r="3104" spans="1:9" x14ac:dyDescent="0.2">
      <c r="A3104" s="2">
        <v>7</v>
      </c>
      <c r="B3104" s="1" t="s">
        <v>220</v>
      </c>
      <c r="C3104" s="4">
        <v>2</v>
      </c>
      <c r="D3104" s="8">
        <v>5.13</v>
      </c>
      <c r="E3104" s="4">
        <v>1</v>
      </c>
      <c r="F3104" s="8">
        <v>9.09</v>
      </c>
      <c r="G3104" s="4">
        <v>1</v>
      </c>
      <c r="H3104" s="8">
        <v>3.85</v>
      </c>
      <c r="I3104" s="4">
        <v>0</v>
      </c>
    </row>
    <row r="3105" spans="1:9" x14ac:dyDescent="0.2">
      <c r="A3105" s="2">
        <v>7</v>
      </c>
      <c r="B3105" s="1" t="s">
        <v>243</v>
      </c>
      <c r="C3105" s="4">
        <v>2</v>
      </c>
      <c r="D3105" s="8">
        <v>5.13</v>
      </c>
      <c r="E3105" s="4">
        <v>1</v>
      </c>
      <c r="F3105" s="8">
        <v>9.09</v>
      </c>
      <c r="G3105" s="4">
        <v>1</v>
      </c>
      <c r="H3105" s="8">
        <v>3.85</v>
      </c>
      <c r="I3105" s="4">
        <v>0</v>
      </c>
    </row>
    <row r="3106" spans="1:9" x14ac:dyDescent="0.2">
      <c r="A3106" s="2">
        <v>7</v>
      </c>
      <c r="B3106" s="1" t="s">
        <v>249</v>
      </c>
      <c r="C3106" s="4">
        <v>2</v>
      </c>
      <c r="D3106" s="8">
        <v>5.13</v>
      </c>
      <c r="E3106" s="4">
        <v>0</v>
      </c>
      <c r="F3106" s="8">
        <v>0</v>
      </c>
      <c r="G3106" s="4">
        <v>2</v>
      </c>
      <c r="H3106" s="8">
        <v>7.69</v>
      </c>
      <c r="I3106" s="4">
        <v>0</v>
      </c>
    </row>
    <row r="3107" spans="1:9" x14ac:dyDescent="0.2">
      <c r="A3107" s="2">
        <v>11</v>
      </c>
      <c r="B3107" s="1" t="s">
        <v>255</v>
      </c>
      <c r="C3107" s="4">
        <v>1</v>
      </c>
      <c r="D3107" s="8">
        <v>2.56</v>
      </c>
      <c r="E3107" s="4">
        <v>0</v>
      </c>
      <c r="F3107" s="8">
        <v>0</v>
      </c>
      <c r="G3107" s="4">
        <v>0</v>
      </c>
      <c r="H3107" s="8">
        <v>0</v>
      </c>
      <c r="I3107" s="4">
        <v>0</v>
      </c>
    </row>
    <row r="3108" spans="1:9" x14ac:dyDescent="0.2">
      <c r="A3108" s="2">
        <v>11</v>
      </c>
      <c r="B3108" s="1" t="s">
        <v>238</v>
      </c>
      <c r="C3108" s="4">
        <v>1</v>
      </c>
      <c r="D3108" s="8">
        <v>2.56</v>
      </c>
      <c r="E3108" s="4">
        <v>0</v>
      </c>
      <c r="F3108" s="8">
        <v>0</v>
      </c>
      <c r="G3108" s="4">
        <v>1</v>
      </c>
      <c r="H3108" s="8">
        <v>3.85</v>
      </c>
      <c r="I3108" s="4">
        <v>0</v>
      </c>
    </row>
    <row r="3109" spans="1:9" x14ac:dyDescent="0.2">
      <c r="A3109" s="2">
        <v>11</v>
      </c>
      <c r="B3109" s="1" t="s">
        <v>226</v>
      </c>
      <c r="C3109" s="4">
        <v>1</v>
      </c>
      <c r="D3109" s="8">
        <v>2.56</v>
      </c>
      <c r="E3109" s="4">
        <v>0</v>
      </c>
      <c r="F3109" s="8">
        <v>0</v>
      </c>
      <c r="G3109" s="4">
        <v>1</v>
      </c>
      <c r="H3109" s="8">
        <v>3.85</v>
      </c>
      <c r="I3109" s="4">
        <v>0</v>
      </c>
    </row>
    <row r="3110" spans="1:9" x14ac:dyDescent="0.2">
      <c r="A3110" s="2">
        <v>11</v>
      </c>
      <c r="B3110" s="1" t="s">
        <v>239</v>
      </c>
      <c r="C3110" s="4">
        <v>1</v>
      </c>
      <c r="D3110" s="8">
        <v>2.56</v>
      </c>
      <c r="E3110" s="4">
        <v>0</v>
      </c>
      <c r="F3110" s="8">
        <v>0</v>
      </c>
      <c r="G3110" s="4">
        <v>0</v>
      </c>
      <c r="H3110" s="8">
        <v>0</v>
      </c>
      <c r="I3110" s="4">
        <v>0</v>
      </c>
    </row>
    <row r="3111" spans="1:9" x14ac:dyDescent="0.2">
      <c r="A3111" s="2">
        <v>11</v>
      </c>
      <c r="B3111" s="1" t="s">
        <v>232</v>
      </c>
      <c r="C3111" s="4">
        <v>1</v>
      </c>
      <c r="D3111" s="8">
        <v>2.56</v>
      </c>
      <c r="E3111" s="4">
        <v>0</v>
      </c>
      <c r="F3111" s="8">
        <v>0</v>
      </c>
      <c r="G3111" s="4">
        <v>1</v>
      </c>
      <c r="H3111" s="8">
        <v>3.85</v>
      </c>
      <c r="I3111" s="4">
        <v>0</v>
      </c>
    </row>
    <row r="3112" spans="1:9" x14ac:dyDescent="0.2">
      <c r="A3112" s="2">
        <v>11</v>
      </c>
      <c r="B3112" s="1" t="s">
        <v>240</v>
      </c>
      <c r="C3112" s="4">
        <v>1</v>
      </c>
      <c r="D3112" s="8">
        <v>2.56</v>
      </c>
      <c r="E3112" s="4">
        <v>0</v>
      </c>
      <c r="F3112" s="8">
        <v>0</v>
      </c>
      <c r="G3112" s="4">
        <v>1</v>
      </c>
      <c r="H3112" s="8">
        <v>3.85</v>
      </c>
      <c r="I3112" s="4">
        <v>0</v>
      </c>
    </row>
    <row r="3113" spans="1:9" x14ac:dyDescent="0.2">
      <c r="A3113" s="2">
        <v>11</v>
      </c>
      <c r="B3113" s="1" t="s">
        <v>270</v>
      </c>
      <c r="C3113" s="4">
        <v>1</v>
      </c>
      <c r="D3113" s="8">
        <v>2.56</v>
      </c>
      <c r="E3113" s="4">
        <v>0</v>
      </c>
      <c r="F3113" s="8">
        <v>0</v>
      </c>
      <c r="G3113" s="4">
        <v>1</v>
      </c>
      <c r="H3113" s="8">
        <v>3.85</v>
      </c>
      <c r="I3113" s="4">
        <v>0</v>
      </c>
    </row>
    <row r="3114" spans="1:9" x14ac:dyDescent="0.2">
      <c r="A3114" s="2">
        <v>11</v>
      </c>
      <c r="B3114" s="1" t="s">
        <v>234</v>
      </c>
      <c r="C3114" s="4">
        <v>1</v>
      </c>
      <c r="D3114" s="8">
        <v>2.56</v>
      </c>
      <c r="E3114" s="4">
        <v>0</v>
      </c>
      <c r="F3114" s="8">
        <v>0</v>
      </c>
      <c r="G3114" s="4">
        <v>1</v>
      </c>
      <c r="H3114" s="8">
        <v>3.85</v>
      </c>
      <c r="I3114" s="4">
        <v>0</v>
      </c>
    </row>
    <row r="3115" spans="1:9" x14ac:dyDescent="0.2">
      <c r="A3115" s="1"/>
      <c r="C3115" s="4"/>
      <c r="D3115" s="8"/>
      <c r="E3115" s="4"/>
      <c r="F3115" s="8"/>
      <c r="G3115" s="4"/>
      <c r="H3115" s="8"/>
      <c r="I3115" s="4"/>
    </row>
    <row r="3116" spans="1:9" x14ac:dyDescent="0.2">
      <c r="A3116" s="1" t="s">
        <v>124</v>
      </c>
      <c r="C3116" s="4"/>
      <c r="D3116" s="8"/>
      <c r="E3116" s="4"/>
      <c r="F3116" s="8"/>
      <c r="G3116" s="4"/>
      <c r="H3116" s="8"/>
      <c r="I3116" s="4"/>
    </row>
    <row r="3117" spans="1:9" x14ac:dyDescent="0.2">
      <c r="A3117" s="2">
        <v>1</v>
      </c>
      <c r="B3117" s="1" t="s">
        <v>223</v>
      </c>
      <c r="C3117" s="4">
        <v>11</v>
      </c>
      <c r="D3117" s="8">
        <v>11</v>
      </c>
      <c r="E3117" s="4">
        <v>3</v>
      </c>
      <c r="F3117" s="8">
        <v>6.52</v>
      </c>
      <c r="G3117" s="4">
        <v>8</v>
      </c>
      <c r="H3117" s="8">
        <v>17.02</v>
      </c>
      <c r="I3117" s="4">
        <v>0</v>
      </c>
    </row>
    <row r="3118" spans="1:9" x14ac:dyDescent="0.2">
      <c r="A3118" s="2">
        <v>1</v>
      </c>
      <c r="B3118" s="1" t="s">
        <v>227</v>
      </c>
      <c r="C3118" s="4">
        <v>11</v>
      </c>
      <c r="D3118" s="8">
        <v>11</v>
      </c>
      <c r="E3118" s="4">
        <v>8</v>
      </c>
      <c r="F3118" s="8">
        <v>17.39</v>
      </c>
      <c r="G3118" s="4">
        <v>3</v>
      </c>
      <c r="H3118" s="8">
        <v>6.38</v>
      </c>
      <c r="I3118" s="4">
        <v>0</v>
      </c>
    </row>
    <row r="3119" spans="1:9" x14ac:dyDescent="0.2">
      <c r="A3119" s="2">
        <v>3</v>
      </c>
      <c r="B3119" s="1" t="s">
        <v>224</v>
      </c>
      <c r="C3119" s="4">
        <v>10</v>
      </c>
      <c r="D3119" s="8">
        <v>10</v>
      </c>
      <c r="E3119" s="4">
        <v>9</v>
      </c>
      <c r="F3119" s="8">
        <v>19.57</v>
      </c>
      <c r="G3119" s="4">
        <v>1</v>
      </c>
      <c r="H3119" s="8">
        <v>2.13</v>
      </c>
      <c r="I3119" s="4">
        <v>0</v>
      </c>
    </row>
    <row r="3120" spans="1:9" x14ac:dyDescent="0.2">
      <c r="A3120" s="2">
        <v>3</v>
      </c>
      <c r="B3120" s="1" t="s">
        <v>228</v>
      </c>
      <c r="C3120" s="4">
        <v>10</v>
      </c>
      <c r="D3120" s="8">
        <v>10</v>
      </c>
      <c r="E3120" s="4">
        <v>9</v>
      </c>
      <c r="F3120" s="8">
        <v>19.57</v>
      </c>
      <c r="G3120" s="4">
        <v>0</v>
      </c>
      <c r="H3120" s="8">
        <v>0</v>
      </c>
      <c r="I3120" s="4">
        <v>0</v>
      </c>
    </row>
    <row r="3121" spans="1:9" x14ac:dyDescent="0.2">
      <c r="A3121" s="2">
        <v>5</v>
      </c>
      <c r="B3121" s="1" t="s">
        <v>215</v>
      </c>
      <c r="C3121" s="4">
        <v>6</v>
      </c>
      <c r="D3121" s="8">
        <v>6</v>
      </c>
      <c r="E3121" s="4">
        <v>1</v>
      </c>
      <c r="F3121" s="8">
        <v>2.17</v>
      </c>
      <c r="G3121" s="4">
        <v>5</v>
      </c>
      <c r="H3121" s="8">
        <v>10.64</v>
      </c>
      <c r="I3121" s="4">
        <v>0</v>
      </c>
    </row>
    <row r="3122" spans="1:9" x14ac:dyDescent="0.2">
      <c r="A3122" s="2">
        <v>6</v>
      </c>
      <c r="B3122" s="1" t="s">
        <v>213</v>
      </c>
      <c r="C3122" s="4">
        <v>5</v>
      </c>
      <c r="D3122" s="8">
        <v>5</v>
      </c>
      <c r="E3122" s="4">
        <v>1</v>
      </c>
      <c r="F3122" s="8">
        <v>2.17</v>
      </c>
      <c r="G3122" s="4">
        <v>4</v>
      </c>
      <c r="H3122" s="8">
        <v>8.51</v>
      </c>
      <c r="I3122" s="4">
        <v>0</v>
      </c>
    </row>
    <row r="3123" spans="1:9" x14ac:dyDescent="0.2">
      <c r="A3123" s="2">
        <v>7</v>
      </c>
      <c r="B3123" s="1" t="s">
        <v>221</v>
      </c>
      <c r="C3123" s="4">
        <v>4</v>
      </c>
      <c r="D3123" s="8">
        <v>4</v>
      </c>
      <c r="E3123" s="4">
        <v>4</v>
      </c>
      <c r="F3123" s="8">
        <v>8.6999999999999993</v>
      </c>
      <c r="G3123" s="4">
        <v>0</v>
      </c>
      <c r="H3123" s="8">
        <v>0</v>
      </c>
      <c r="I3123" s="4">
        <v>0</v>
      </c>
    </row>
    <row r="3124" spans="1:9" x14ac:dyDescent="0.2">
      <c r="A3124" s="2">
        <v>7</v>
      </c>
      <c r="B3124" s="1" t="s">
        <v>230</v>
      </c>
      <c r="C3124" s="4">
        <v>4</v>
      </c>
      <c r="D3124" s="8">
        <v>4</v>
      </c>
      <c r="E3124" s="4">
        <v>1</v>
      </c>
      <c r="F3124" s="8">
        <v>2.17</v>
      </c>
      <c r="G3124" s="4">
        <v>0</v>
      </c>
      <c r="H3124" s="8">
        <v>0</v>
      </c>
      <c r="I3124" s="4">
        <v>0</v>
      </c>
    </row>
    <row r="3125" spans="1:9" x14ac:dyDescent="0.2">
      <c r="A3125" s="2">
        <v>9</v>
      </c>
      <c r="B3125" s="1" t="s">
        <v>217</v>
      </c>
      <c r="C3125" s="4">
        <v>3</v>
      </c>
      <c r="D3125" s="8">
        <v>3</v>
      </c>
      <c r="E3125" s="4">
        <v>0</v>
      </c>
      <c r="F3125" s="8">
        <v>0</v>
      </c>
      <c r="G3125" s="4">
        <v>3</v>
      </c>
      <c r="H3125" s="8">
        <v>6.38</v>
      </c>
      <c r="I3125" s="4">
        <v>0</v>
      </c>
    </row>
    <row r="3126" spans="1:9" x14ac:dyDescent="0.2">
      <c r="A3126" s="2">
        <v>9</v>
      </c>
      <c r="B3126" s="1" t="s">
        <v>243</v>
      </c>
      <c r="C3126" s="4">
        <v>3</v>
      </c>
      <c r="D3126" s="8">
        <v>3</v>
      </c>
      <c r="E3126" s="4">
        <v>2</v>
      </c>
      <c r="F3126" s="8">
        <v>4.3499999999999996</v>
      </c>
      <c r="G3126" s="4">
        <v>1</v>
      </c>
      <c r="H3126" s="8">
        <v>2.13</v>
      </c>
      <c r="I3126" s="4">
        <v>0</v>
      </c>
    </row>
    <row r="3127" spans="1:9" x14ac:dyDescent="0.2">
      <c r="A3127" s="2">
        <v>9</v>
      </c>
      <c r="B3127" s="1" t="s">
        <v>249</v>
      </c>
      <c r="C3127" s="4">
        <v>3</v>
      </c>
      <c r="D3127" s="8">
        <v>3</v>
      </c>
      <c r="E3127" s="4">
        <v>0</v>
      </c>
      <c r="F3127" s="8">
        <v>0</v>
      </c>
      <c r="G3127" s="4">
        <v>3</v>
      </c>
      <c r="H3127" s="8">
        <v>6.38</v>
      </c>
      <c r="I3127" s="4">
        <v>0</v>
      </c>
    </row>
    <row r="3128" spans="1:9" x14ac:dyDescent="0.2">
      <c r="A3128" s="2">
        <v>12</v>
      </c>
      <c r="B3128" s="1" t="s">
        <v>214</v>
      </c>
      <c r="C3128" s="4">
        <v>2</v>
      </c>
      <c r="D3128" s="8">
        <v>2</v>
      </c>
      <c r="E3128" s="4">
        <v>1</v>
      </c>
      <c r="F3128" s="8">
        <v>2.17</v>
      </c>
      <c r="G3128" s="4">
        <v>1</v>
      </c>
      <c r="H3128" s="8">
        <v>2.13</v>
      </c>
      <c r="I3128" s="4">
        <v>0</v>
      </c>
    </row>
    <row r="3129" spans="1:9" x14ac:dyDescent="0.2">
      <c r="A3129" s="2">
        <v>12</v>
      </c>
      <c r="B3129" s="1" t="s">
        <v>241</v>
      </c>
      <c r="C3129" s="4">
        <v>2</v>
      </c>
      <c r="D3129" s="8">
        <v>2</v>
      </c>
      <c r="E3129" s="4">
        <v>0</v>
      </c>
      <c r="F3129" s="8">
        <v>0</v>
      </c>
      <c r="G3129" s="4">
        <v>2</v>
      </c>
      <c r="H3129" s="8">
        <v>4.26</v>
      </c>
      <c r="I3129" s="4">
        <v>0</v>
      </c>
    </row>
    <row r="3130" spans="1:9" x14ac:dyDescent="0.2">
      <c r="A3130" s="2">
        <v>12</v>
      </c>
      <c r="B3130" s="1" t="s">
        <v>254</v>
      </c>
      <c r="C3130" s="4">
        <v>2</v>
      </c>
      <c r="D3130" s="8">
        <v>2</v>
      </c>
      <c r="E3130" s="4">
        <v>0</v>
      </c>
      <c r="F3130" s="8">
        <v>0</v>
      </c>
      <c r="G3130" s="4">
        <v>2</v>
      </c>
      <c r="H3130" s="8">
        <v>4.26</v>
      </c>
      <c r="I3130" s="4">
        <v>0</v>
      </c>
    </row>
    <row r="3131" spans="1:9" x14ac:dyDescent="0.2">
      <c r="A3131" s="2">
        <v>12</v>
      </c>
      <c r="B3131" s="1" t="s">
        <v>218</v>
      </c>
      <c r="C3131" s="4">
        <v>2</v>
      </c>
      <c r="D3131" s="8">
        <v>2</v>
      </c>
      <c r="E3131" s="4">
        <v>0</v>
      </c>
      <c r="F3131" s="8">
        <v>0</v>
      </c>
      <c r="G3131" s="4">
        <v>2</v>
      </c>
      <c r="H3131" s="8">
        <v>4.26</v>
      </c>
      <c r="I3131" s="4">
        <v>0</v>
      </c>
    </row>
    <row r="3132" spans="1:9" x14ac:dyDescent="0.2">
      <c r="A3132" s="2">
        <v>12</v>
      </c>
      <c r="B3132" s="1" t="s">
        <v>236</v>
      </c>
      <c r="C3132" s="4">
        <v>2</v>
      </c>
      <c r="D3132" s="8">
        <v>2</v>
      </c>
      <c r="E3132" s="4">
        <v>0</v>
      </c>
      <c r="F3132" s="8">
        <v>0</v>
      </c>
      <c r="G3132" s="4">
        <v>2</v>
      </c>
      <c r="H3132" s="8">
        <v>4.26</v>
      </c>
      <c r="I3132" s="4">
        <v>0</v>
      </c>
    </row>
    <row r="3133" spans="1:9" x14ac:dyDescent="0.2">
      <c r="A3133" s="2">
        <v>12</v>
      </c>
      <c r="B3133" s="1" t="s">
        <v>229</v>
      </c>
      <c r="C3133" s="4">
        <v>2</v>
      </c>
      <c r="D3133" s="8">
        <v>2</v>
      </c>
      <c r="E3133" s="4">
        <v>2</v>
      </c>
      <c r="F3133" s="8">
        <v>4.3499999999999996</v>
      </c>
      <c r="G3133" s="4">
        <v>0</v>
      </c>
      <c r="H3133" s="8">
        <v>0</v>
      </c>
      <c r="I3133" s="4">
        <v>0</v>
      </c>
    </row>
    <row r="3134" spans="1:9" x14ac:dyDescent="0.2">
      <c r="A3134" s="2">
        <v>12</v>
      </c>
      <c r="B3134" s="1" t="s">
        <v>231</v>
      </c>
      <c r="C3134" s="4">
        <v>2</v>
      </c>
      <c r="D3134" s="8">
        <v>2</v>
      </c>
      <c r="E3134" s="4">
        <v>2</v>
      </c>
      <c r="F3134" s="8">
        <v>4.3499999999999996</v>
      </c>
      <c r="G3134" s="4">
        <v>0</v>
      </c>
      <c r="H3134" s="8">
        <v>0</v>
      </c>
      <c r="I3134" s="4">
        <v>0</v>
      </c>
    </row>
    <row r="3135" spans="1:9" x14ac:dyDescent="0.2">
      <c r="A3135" s="2">
        <v>19</v>
      </c>
      <c r="B3135" s="1" t="s">
        <v>258</v>
      </c>
      <c r="C3135" s="4">
        <v>1</v>
      </c>
      <c r="D3135" s="8">
        <v>1</v>
      </c>
      <c r="E3135" s="4">
        <v>1</v>
      </c>
      <c r="F3135" s="8">
        <v>2.17</v>
      </c>
      <c r="G3135" s="4">
        <v>0</v>
      </c>
      <c r="H3135" s="8">
        <v>0</v>
      </c>
      <c r="I3135" s="4">
        <v>0</v>
      </c>
    </row>
    <row r="3136" spans="1:9" x14ac:dyDescent="0.2">
      <c r="A3136" s="2">
        <v>19</v>
      </c>
      <c r="B3136" s="1" t="s">
        <v>255</v>
      </c>
      <c r="C3136" s="4">
        <v>1</v>
      </c>
      <c r="D3136" s="8">
        <v>1</v>
      </c>
      <c r="E3136" s="4">
        <v>0</v>
      </c>
      <c r="F3136" s="8">
        <v>0</v>
      </c>
      <c r="G3136" s="4">
        <v>0</v>
      </c>
      <c r="H3136" s="8">
        <v>0</v>
      </c>
      <c r="I3136" s="4">
        <v>0</v>
      </c>
    </row>
    <row r="3137" spans="1:9" x14ac:dyDescent="0.2">
      <c r="A3137" s="2">
        <v>19</v>
      </c>
      <c r="B3137" s="1" t="s">
        <v>277</v>
      </c>
      <c r="C3137" s="4">
        <v>1</v>
      </c>
      <c r="D3137" s="8">
        <v>1</v>
      </c>
      <c r="E3137" s="4">
        <v>0</v>
      </c>
      <c r="F3137" s="8">
        <v>0</v>
      </c>
      <c r="G3137" s="4">
        <v>1</v>
      </c>
      <c r="H3137" s="8">
        <v>2.13</v>
      </c>
      <c r="I3137" s="4">
        <v>0</v>
      </c>
    </row>
    <row r="3138" spans="1:9" x14ac:dyDescent="0.2">
      <c r="A3138" s="2">
        <v>19</v>
      </c>
      <c r="B3138" s="1" t="s">
        <v>238</v>
      </c>
      <c r="C3138" s="4">
        <v>1</v>
      </c>
      <c r="D3138" s="8">
        <v>1</v>
      </c>
      <c r="E3138" s="4">
        <v>0</v>
      </c>
      <c r="F3138" s="8">
        <v>0</v>
      </c>
      <c r="G3138" s="4">
        <v>1</v>
      </c>
      <c r="H3138" s="8">
        <v>2.13</v>
      </c>
      <c r="I3138" s="4">
        <v>0</v>
      </c>
    </row>
    <row r="3139" spans="1:9" x14ac:dyDescent="0.2">
      <c r="A3139" s="2">
        <v>19</v>
      </c>
      <c r="B3139" s="1" t="s">
        <v>248</v>
      </c>
      <c r="C3139" s="4">
        <v>1</v>
      </c>
      <c r="D3139" s="8">
        <v>1</v>
      </c>
      <c r="E3139" s="4">
        <v>0</v>
      </c>
      <c r="F3139" s="8">
        <v>0</v>
      </c>
      <c r="G3139" s="4">
        <v>1</v>
      </c>
      <c r="H3139" s="8">
        <v>2.13</v>
      </c>
      <c r="I3139" s="4">
        <v>0</v>
      </c>
    </row>
    <row r="3140" spans="1:9" x14ac:dyDescent="0.2">
      <c r="A3140" s="2">
        <v>19</v>
      </c>
      <c r="B3140" s="1" t="s">
        <v>219</v>
      </c>
      <c r="C3140" s="4">
        <v>1</v>
      </c>
      <c r="D3140" s="8">
        <v>1</v>
      </c>
      <c r="E3140" s="4">
        <v>0</v>
      </c>
      <c r="F3140" s="8">
        <v>0</v>
      </c>
      <c r="G3140" s="4">
        <v>1</v>
      </c>
      <c r="H3140" s="8">
        <v>2.13</v>
      </c>
      <c r="I3140" s="4">
        <v>0</v>
      </c>
    </row>
    <row r="3141" spans="1:9" x14ac:dyDescent="0.2">
      <c r="A3141" s="2">
        <v>19</v>
      </c>
      <c r="B3141" s="1" t="s">
        <v>220</v>
      </c>
      <c r="C3141" s="4">
        <v>1</v>
      </c>
      <c r="D3141" s="8">
        <v>1</v>
      </c>
      <c r="E3141" s="4">
        <v>1</v>
      </c>
      <c r="F3141" s="8">
        <v>2.17</v>
      </c>
      <c r="G3141" s="4">
        <v>0</v>
      </c>
      <c r="H3141" s="8">
        <v>0</v>
      </c>
      <c r="I3141" s="4">
        <v>0</v>
      </c>
    </row>
    <row r="3142" spans="1:9" x14ac:dyDescent="0.2">
      <c r="A3142" s="2">
        <v>19</v>
      </c>
      <c r="B3142" s="1" t="s">
        <v>222</v>
      </c>
      <c r="C3142" s="4">
        <v>1</v>
      </c>
      <c r="D3142" s="8">
        <v>1</v>
      </c>
      <c r="E3142" s="4">
        <v>0</v>
      </c>
      <c r="F3142" s="8">
        <v>0</v>
      </c>
      <c r="G3142" s="4">
        <v>1</v>
      </c>
      <c r="H3142" s="8">
        <v>2.13</v>
      </c>
      <c r="I3142" s="4">
        <v>0</v>
      </c>
    </row>
    <row r="3143" spans="1:9" x14ac:dyDescent="0.2">
      <c r="A3143" s="2">
        <v>19</v>
      </c>
      <c r="B3143" s="1" t="s">
        <v>237</v>
      </c>
      <c r="C3143" s="4">
        <v>1</v>
      </c>
      <c r="D3143" s="8">
        <v>1</v>
      </c>
      <c r="E3143" s="4">
        <v>0</v>
      </c>
      <c r="F3143" s="8">
        <v>0</v>
      </c>
      <c r="G3143" s="4">
        <v>1</v>
      </c>
      <c r="H3143" s="8">
        <v>2.13</v>
      </c>
      <c r="I3143" s="4">
        <v>0</v>
      </c>
    </row>
    <row r="3144" spans="1:9" x14ac:dyDescent="0.2">
      <c r="A3144" s="2">
        <v>19</v>
      </c>
      <c r="B3144" s="1" t="s">
        <v>246</v>
      </c>
      <c r="C3144" s="4">
        <v>1</v>
      </c>
      <c r="D3144" s="8">
        <v>1</v>
      </c>
      <c r="E3144" s="4">
        <v>0</v>
      </c>
      <c r="F3144" s="8">
        <v>0</v>
      </c>
      <c r="G3144" s="4">
        <v>1</v>
      </c>
      <c r="H3144" s="8">
        <v>2.13</v>
      </c>
      <c r="I3144" s="4">
        <v>0</v>
      </c>
    </row>
    <row r="3145" spans="1:9" x14ac:dyDescent="0.2">
      <c r="A3145" s="2">
        <v>19</v>
      </c>
      <c r="B3145" s="1" t="s">
        <v>225</v>
      </c>
      <c r="C3145" s="4">
        <v>1</v>
      </c>
      <c r="D3145" s="8">
        <v>1</v>
      </c>
      <c r="E3145" s="4">
        <v>0</v>
      </c>
      <c r="F3145" s="8">
        <v>0</v>
      </c>
      <c r="G3145" s="4">
        <v>1</v>
      </c>
      <c r="H3145" s="8">
        <v>2.13</v>
      </c>
      <c r="I3145" s="4">
        <v>0</v>
      </c>
    </row>
    <row r="3146" spans="1:9" x14ac:dyDescent="0.2">
      <c r="A3146" s="2">
        <v>19</v>
      </c>
      <c r="B3146" s="1" t="s">
        <v>226</v>
      </c>
      <c r="C3146" s="4">
        <v>1</v>
      </c>
      <c r="D3146" s="8">
        <v>1</v>
      </c>
      <c r="E3146" s="4">
        <v>0</v>
      </c>
      <c r="F3146" s="8">
        <v>0</v>
      </c>
      <c r="G3146" s="4">
        <v>0</v>
      </c>
      <c r="H3146" s="8">
        <v>0</v>
      </c>
      <c r="I3146" s="4">
        <v>0</v>
      </c>
    </row>
    <row r="3147" spans="1:9" x14ac:dyDescent="0.2">
      <c r="A3147" s="2">
        <v>19</v>
      </c>
      <c r="B3147" s="1" t="s">
        <v>247</v>
      </c>
      <c r="C3147" s="4">
        <v>1</v>
      </c>
      <c r="D3147" s="8">
        <v>1</v>
      </c>
      <c r="E3147" s="4">
        <v>0</v>
      </c>
      <c r="F3147" s="8">
        <v>0</v>
      </c>
      <c r="G3147" s="4">
        <v>0</v>
      </c>
      <c r="H3147" s="8">
        <v>0</v>
      </c>
      <c r="I3147" s="4">
        <v>0</v>
      </c>
    </row>
    <row r="3148" spans="1:9" x14ac:dyDescent="0.2">
      <c r="A3148" s="2">
        <v>19</v>
      </c>
      <c r="B3148" s="1" t="s">
        <v>232</v>
      </c>
      <c r="C3148" s="4">
        <v>1</v>
      </c>
      <c r="D3148" s="8">
        <v>1</v>
      </c>
      <c r="E3148" s="4">
        <v>0</v>
      </c>
      <c r="F3148" s="8">
        <v>0</v>
      </c>
      <c r="G3148" s="4">
        <v>1</v>
      </c>
      <c r="H3148" s="8">
        <v>2.13</v>
      </c>
      <c r="I3148" s="4">
        <v>0</v>
      </c>
    </row>
    <row r="3149" spans="1:9" x14ac:dyDescent="0.2">
      <c r="A3149" s="2">
        <v>19</v>
      </c>
      <c r="B3149" s="1" t="s">
        <v>240</v>
      </c>
      <c r="C3149" s="4">
        <v>1</v>
      </c>
      <c r="D3149" s="8">
        <v>1</v>
      </c>
      <c r="E3149" s="4">
        <v>0</v>
      </c>
      <c r="F3149" s="8">
        <v>0</v>
      </c>
      <c r="G3149" s="4">
        <v>1</v>
      </c>
      <c r="H3149" s="8">
        <v>2.13</v>
      </c>
      <c r="I3149" s="4">
        <v>0</v>
      </c>
    </row>
    <row r="3150" spans="1:9" x14ac:dyDescent="0.2">
      <c r="A3150" s="2">
        <v>19</v>
      </c>
      <c r="B3150" s="1" t="s">
        <v>242</v>
      </c>
      <c r="C3150" s="4">
        <v>1</v>
      </c>
      <c r="D3150" s="8">
        <v>1</v>
      </c>
      <c r="E3150" s="4">
        <v>1</v>
      </c>
      <c r="F3150" s="8">
        <v>2.17</v>
      </c>
      <c r="G3150" s="4">
        <v>0</v>
      </c>
      <c r="H3150" s="8">
        <v>0</v>
      </c>
      <c r="I3150" s="4">
        <v>0</v>
      </c>
    </row>
    <row r="3151" spans="1:9" x14ac:dyDescent="0.2">
      <c r="A3151" s="1"/>
      <c r="C3151" s="4"/>
      <c r="D3151" s="8"/>
      <c r="E3151" s="4"/>
      <c r="F3151" s="8"/>
      <c r="G3151" s="4"/>
      <c r="H3151" s="8"/>
      <c r="I3151" s="4"/>
    </row>
    <row r="3152" spans="1:9" x14ac:dyDescent="0.2">
      <c r="A3152" s="1" t="s">
        <v>125</v>
      </c>
      <c r="C3152" s="4"/>
      <c r="D3152" s="8"/>
      <c r="E3152" s="4"/>
      <c r="F3152" s="8"/>
      <c r="G3152" s="4"/>
      <c r="H3152" s="8"/>
      <c r="I3152" s="4"/>
    </row>
    <row r="3153" spans="1:9" x14ac:dyDescent="0.2">
      <c r="A3153" s="2">
        <v>1</v>
      </c>
      <c r="B3153" s="1" t="s">
        <v>227</v>
      </c>
      <c r="C3153" s="4">
        <v>11</v>
      </c>
      <c r="D3153" s="8">
        <v>17.739999999999998</v>
      </c>
      <c r="E3153" s="4">
        <v>11</v>
      </c>
      <c r="F3153" s="8">
        <v>31.43</v>
      </c>
      <c r="G3153" s="4">
        <v>0</v>
      </c>
      <c r="H3153" s="8">
        <v>0</v>
      </c>
      <c r="I3153" s="4">
        <v>0</v>
      </c>
    </row>
    <row r="3154" spans="1:9" x14ac:dyDescent="0.2">
      <c r="A3154" s="2">
        <v>2</v>
      </c>
      <c r="B3154" s="1" t="s">
        <v>223</v>
      </c>
      <c r="C3154" s="4">
        <v>6</v>
      </c>
      <c r="D3154" s="8">
        <v>9.68</v>
      </c>
      <c r="E3154" s="4">
        <v>3</v>
      </c>
      <c r="F3154" s="8">
        <v>8.57</v>
      </c>
      <c r="G3154" s="4">
        <v>3</v>
      </c>
      <c r="H3154" s="8">
        <v>12.5</v>
      </c>
      <c r="I3154" s="4">
        <v>0</v>
      </c>
    </row>
    <row r="3155" spans="1:9" x14ac:dyDescent="0.2">
      <c r="A3155" s="2">
        <v>3</v>
      </c>
      <c r="B3155" s="1" t="s">
        <v>228</v>
      </c>
      <c r="C3155" s="4">
        <v>5</v>
      </c>
      <c r="D3155" s="8">
        <v>8.06</v>
      </c>
      <c r="E3155" s="4">
        <v>4</v>
      </c>
      <c r="F3155" s="8">
        <v>11.43</v>
      </c>
      <c r="G3155" s="4">
        <v>1</v>
      </c>
      <c r="H3155" s="8">
        <v>4.17</v>
      </c>
      <c r="I3155" s="4">
        <v>0</v>
      </c>
    </row>
    <row r="3156" spans="1:9" x14ac:dyDescent="0.2">
      <c r="A3156" s="2">
        <v>4</v>
      </c>
      <c r="B3156" s="1" t="s">
        <v>221</v>
      </c>
      <c r="C3156" s="4">
        <v>4</v>
      </c>
      <c r="D3156" s="8">
        <v>6.45</v>
      </c>
      <c r="E3156" s="4">
        <v>3</v>
      </c>
      <c r="F3156" s="8">
        <v>8.57</v>
      </c>
      <c r="G3156" s="4">
        <v>1</v>
      </c>
      <c r="H3156" s="8">
        <v>4.17</v>
      </c>
      <c r="I3156" s="4">
        <v>0</v>
      </c>
    </row>
    <row r="3157" spans="1:9" x14ac:dyDescent="0.2">
      <c r="A3157" s="2">
        <v>5</v>
      </c>
      <c r="B3157" s="1" t="s">
        <v>213</v>
      </c>
      <c r="C3157" s="4">
        <v>3</v>
      </c>
      <c r="D3157" s="8">
        <v>4.84</v>
      </c>
      <c r="E3157" s="4">
        <v>0</v>
      </c>
      <c r="F3157" s="8">
        <v>0</v>
      </c>
      <c r="G3157" s="4">
        <v>3</v>
      </c>
      <c r="H3157" s="8">
        <v>12.5</v>
      </c>
      <c r="I3157" s="4">
        <v>0</v>
      </c>
    </row>
    <row r="3158" spans="1:9" x14ac:dyDescent="0.2">
      <c r="A3158" s="2">
        <v>5</v>
      </c>
      <c r="B3158" s="1" t="s">
        <v>238</v>
      </c>
      <c r="C3158" s="4">
        <v>3</v>
      </c>
      <c r="D3158" s="8">
        <v>4.84</v>
      </c>
      <c r="E3158" s="4">
        <v>1</v>
      </c>
      <c r="F3158" s="8">
        <v>2.86</v>
      </c>
      <c r="G3158" s="4">
        <v>2</v>
      </c>
      <c r="H3158" s="8">
        <v>8.33</v>
      </c>
      <c r="I3158" s="4">
        <v>0</v>
      </c>
    </row>
    <row r="3159" spans="1:9" x14ac:dyDescent="0.2">
      <c r="A3159" s="2">
        <v>5</v>
      </c>
      <c r="B3159" s="1" t="s">
        <v>232</v>
      </c>
      <c r="C3159" s="4">
        <v>3</v>
      </c>
      <c r="D3159" s="8">
        <v>4.84</v>
      </c>
      <c r="E3159" s="4">
        <v>0</v>
      </c>
      <c r="F3159" s="8">
        <v>0</v>
      </c>
      <c r="G3159" s="4">
        <v>3</v>
      </c>
      <c r="H3159" s="8">
        <v>12.5</v>
      </c>
      <c r="I3159" s="4">
        <v>0</v>
      </c>
    </row>
    <row r="3160" spans="1:9" x14ac:dyDescent="0.2">
      <c r="A3160" s="2">
        <v>5</v>
      </c>
      <c r="B3160" s="1" t="s">
        <v>249</v>
      </c>
      <c r="C3160" s="4">
        <v>3</v>
      </c>
      <c r="D3160" s="8">
        <v>4.84</v>
      </c>
      <c r="E3160" s="4">
        <v>2</v>
      </c>
      <c r="F3160" s="8">
        <v>5.71</v>
      </c>
      <c r="G3160" s="4">
        <v>1</v>
      </c>
      <c r="H3160" s="8">
        <v>4.17</v>
      </c>
      <c r="I3160" s="4">
        <v>0</v>
      </c>
    </row>
    <row r="3161" spans="1:9" x14ac:dyDescent="0.2">
      <c r="A3161" s="2">
        <v>9</v>
      </c>
      <c r="B3161" s="1" t="s">
        <v>241</v>
      </c>
      <c r="C3161" s="4">
        <v>2</v>
      </c>
      <c r="D3161" s="8">
        <v>3.23</v>
      </c>
      <c r="E3161" s="4">
        <v>2</v>
      </c>
      <c r="F3161" s="8">
        <v>5.71</v>
      </c>
      <c r="G3161" s="4">
        <v>0</v>
      </c>
      <c r="H3161" s="8">
        <v>0</v>
      </c>
      <c r="I3161" s="4">
        <v>0</v>
      </c>
    </row>
    <row r="3162" spans="1:9" x14ac:dyDescent="0.2">
      <c r="A3162" s="2">
        <v>9</v>
      </c>
      <c r="B3162" s="1" t="s">
        <v>262</v>
      </c>
      <c r="C3162" s="4">
        <v>2</v>
      </c>
      <c r="D3162" s="8">
        <v>3.23</v>
      </c>
      <c r="E3162" s="4">
        <v>0</v>
      </c>
      <c r="F3162" s="8">
        <v>0</v>
      </c>
      <c r="G3162" s="4">
        <v>1</v>
      </c>
      <c r="H3162" s="8">
        <v>4.17</v>
      </c>
      <c r="I3162" s="4">
        <v>1</v>
      </c>
    </row>
    <row r="3163" spans="1:9" x14ac:dyDescent="0.2">
      <c r="A3163" s="2">
        <v>9</v>
      </c>
      <c r="B3163" s="1" t="s">
        <v>255</v>
      </c>
      <c r="C3163" s="4">
        <v>2</v>
      </c>
      <c r="D3163" s="8">
        <v>3.23</v>
      </c>
      <c r="E3163" s="4">
        <v>0</v>
      </c>
      <c r="F3163" s="8">
        <v>0</v>
      </c>
      <c r="G3163" s="4">
        <v>1</v>
      </c>
      <c r="H3163" s="8">
        <v>4.17</v>
      </c>
      <c r="I3163" s="4">
        <v>0</v>
      </c>
    </row>
    <row r="3164" spans="1:9" x14ac:dyDescent="0.2">
      <c r="A3164" s="2">
        <v>9</v>
      </c>
      <c r="B3164" s="1" t="s">
        <v>222</v>
      </c>
      <c r="C3164" s="4">
        <v>2</v>
      </c>
      <c r="D3164" s="8">
        <v>3.23</v>
      </c>
      <c r="E3164" s="4">
        <v>1</v>
      </c>
      <c r="F3164" s="8">
        <v>2.86</v>
      </c>
      <c r="G3164" s="4">
        <v>1</v>
      </c>
      <c r="H3164" s="8">
        <v>4.17</v>
      </c>
      <c r="I3164" s="4">
        <v>0</v>
      </c>
    </row>
    <row r="3165" spans="1:9" x14ac:dyDescent="0.2">
      <c r="A3165" s="2">
        <v>9</v>
      </c>
      <c r="B3165" s="1" t="s">
        <v>230</v>
      </c>
      <c r="C3165" s="4">
        <v>2</v>
      </c>
      <c r="D3165" s="8">
        <v>3.23</v>
      </c>
      <c r="E3165" s="4">
        <v>1</v>
      </c>
      <c r="F3165" s="8">
        <v>2.86</v>
      </c>
      <c r="G3165" s="4">
        <v>0</v>
      </c>
      <c r="H3165" s="8">
        <v>0</v>
      </c>
      <c r="I3165" s="4">
        <v>0</v>
      </c>
    </row>
    <row r="3166" spans="1:9" x14ac:dyDescent="0.2">
      <c r="A3166" s="2">
        <v>9</v>
      </c>
      <c r="B3166" s="1" t="s">
        <v>231</v>
      </c>
      <c r="C3166" s="4">
        <v>2</v>
      </c>
      <c r="D3166" s="8">
        <v>3.23</v>
      </c>
      <c r="E3166" s="4">
        <v>2</v>
      </c>
      <c r="F3166" s="8">
        <v>5.71</v>
      </c>
      <c r="G3166" s="4">
        <v>0</v>
      </c>
      <c r="H3166" s="8">
        <v>0</v>
      </c>
      <c r="I3166" s="4">
        <v>0</v>
      </c>
    </row>
    <row r="3167" spans="1:9" x14ac:dyDescent="0.2">
      <c r="A3167" s="2">
        <v>15</v>
      </c>
      <c r="B3167" s="1" t="s">
        <v>214</v>
      </c>
      <c r="C3167" s="4">
        <v>1</v>
      </c>
      <c r="D3167" s="8">
        <v>1.61</v>
      </c>
      <c r="E3167" s="4">
        <v>1</v>
      </c>
      <c r="F3167" s="8">
        <v>2.86</v>
      </c>
      <c r="G3167" s="4">
        <v>0</v>
      </c>
      <c r="H3167" s="8">
        <v>0</v>
      </c>
      <c r="I3167" s="4">
        <v>0</v>
      </c>
    </row>
    <row r="3168" spans="1:9" x14ac:dyDescent="0.2">
      <c r="A3168" s="2">
        <v>15</v>
      </c>
      <c r="B3168" s="1" t="s">
        <v>215</v>
      </c>
      <c r="C3168" s="4">
        <v>1</v>
      </c>
      <c r="D3168" s="8">
        <v>1.61</v>
      </c>
      <c r="E3168" s="4">
        <v>0</v>
      </c>
      <c r="F3168" s="8">
        <v>0</v>
      </c>
      <c r="G3168" s="4">
        <v>1</v>
      </c>
      <c r="H3168" s="8">
        <v>4.17</v>
      </c>
      <c r="I3168" s="4">
        <v>0</v>
      </c>
    </row>
    <row r="3169" spans="1:9" x14ac:dyDescent="0.2">
      <c r="A3169" s="2">
        <v>15</v>
      </c>
      <c r="B3169" s="1" t="s">
        <v>244</v>
      </c>
      <c r="C3169" s="4">
        <v>1</v>
      </c>
      <c r="D3169" s="8">
        <v>1.61</v>
      </c>
      <c r="E3169" s="4">
        <v>0</v>
      </c>
      <c r="F3169" s="8">
        <v>0</v>
      </c>
      <c r="G3169" s="4">
        <v>1</v>
      </c>
      <c r="H3169" s="8">
        <v>4.17</v>
      </c>
      <c r="I3169" s="4">
        <v>0</v>
      </c>
    </row>
    <row r="3170" spans="1:9" x14ac:dyDescent="0.2">
      <c r="A3170" s="2">
        <v>15</v>
      </c>
      <c r="B3170" s="1" t="s">
        <v>252</v>
      </c>
      <c r="C3170" s="4">
        <v>1</v>
      </c>
      <c r="D3170" s="8">
        <v>1.61</v>
      </c>
      <c r="E3170" s="4">
        <v>0</v>
      </c>
      <c r="F3170" s="8">
        <v>0</v>
      </c>
      <c r="G3170" s="4">
        <v>1</v>
      </c>
      <c r="H3170" s="8">
        <v>4.17</v>
      </c>
      <c r="I3170" s="4">
        <v>0</v>
      </c>
    </row>
    <row r="3171" spans="1:9" x14ac:dyDescent="0.2">
      <c r="A3171" s="2">
        <v>15</v>
      </c>
      <c r="B3171" s="1" t="s">
        <v>253</v>
      </c>
      <c r="C3171" s="4">
        <v>1</v>
      </c>
      <c r="D3171" s="8">
        <v>1.61</v>
      </c>
      <c r="E3171" s="4">
        <v>1</v>
      </c>
      <c r="F3171" s="8">
        <v>2.86</v>
      </c>
      <c r="G3171" s="4">
        <v>0</v>
      </c>
      <c r="H3171" s="8">
        <v>0</v>
      </c>
      <c r="I3171" s="4">
        <v>0</v>
      </c>
    </row>
    <row r="3172" spans="1:9" x14ac:dyDescent="0.2">
      <c r="A3172" s="2">
        <v>15</v>
      </c>
      <c r="B3172" s="1" t="s">
        <v>248</v>
      </c>
      <c r="C3172" s="4">
        <v>1</v>
      </c>
      <c r="D3172" s="8">
        <v>1.61</v>
      </c>
      <c r="E3172" s="4">
        <v>0</v>
      </c>
      <c r="F3172" s="8">
        <v>0</v>
      </c>
      <c r="G3172" s="4">
        <v>1</v>
      </c>
      <c r="H3172" s="8">
        <v>4.17</v>
      </c>
      <c r="I3172" s="4">
        <v>0</v>
      </c>
    </row>
    <row r="3173" spans="1:9" x14ac:dyDescent="0.2">
      <c r="A3173" s="2">
        <v>15</v>
      </c>
      <c r="B3173" s="1" t="s">
        <v>217</v>
      </c>
      <c r="C3173" s="4">
        <v>1</v>
      </c>
      <c r="D3173" s="8">
        <v>1.61</v>
      </c>
      <c r="E3173" s="4">
        <v>1</v>
      </c>
      <c r="F3173" s="8">
        <v>2.86</v>
      </c>
      <c r="G3173" s="4">
        <v>0</v>
      </c>
      <c r="H3173" s="8">
        <v>0</v>
      </c>
      <c r="I3173" s="4">
        <v>0</v>
      </c>
    </row>
    <row r="3174" spans="1:9" x14ac:dyDescent="0.2">
      <c r="A3174" s="2">
        <v>15</v>
      </c>
      <c r="B3174" s="1" t="s">
        <v>220</v>
      </c>
      <c r="C3174" s="4">
        <v>1</v>
      </c>
      <c r="D3174" s="8">
        <v>1.61</v>
      </c>
      <c r="E3174" s="4">
        <v>0</v>
      </c>
      <c r="F3174" s="8">
        <v>0</v>
      </c>
      <c r="G3174" s="4">
        <v>1</v>
      </c>
      <c r="H3174" s="8">
        <v>4.17</v>
      </c>
      <c r="I3174" s="4">
        <v>0</v>
      </c>
    </row>
    <row r="3175" spans="1:9" x14ac:dyDescent="0.2">
      <c r="A3175" s="2">
        <v>15</v>
      </c>
      <c r="B3175" s="1" t="s">
        <v>236</v>
      </c>
      <c r="C3175" s="4">
        <v>1</v>
      </c>
      <c r="D3175" s="8">
        <v>1.61</v>
      </c>
      <c r="E3175" s="4">
        <v>0</v>
      </c>
      <c r="F3175" s="8">
        <v>0</v>
      </c>
      <c r="G3175" s="4">
        <v>1</v>
      </c>
      <c r="H3175" s="8">
        <v>4.17</v>
      </c>
      <c r="I3175" s="4">
        <v>0</v>
      </c>
    </row>
    <row r="3176" spans="1:9" x14ac:dyDescent="0.2">
      <c r="A3176" s="2">
        <v>15</v>
      </c>
      <c r="B3176" s="1" t="s">
        <v>224</v>
      </c>
      <c r="C3176" s="4">
        <v>1</v>
      </c>
      <c r="D3176" s="8">
        <v>1.61</v>
      </c>
      <c r="E3176" s="4">
        <v>0</v>
      </c>
      <c r="F3176" s="8">
        <v>0</v>
      </c>
      <c r="G3176" s="4">
        <v>1</v>
      </c>
      <c r="H3176" s="8">
        <v>4.17</v>
      </c>
      <c r="I3176" s="4">
        <v>0</v>
      </c>
    </row>
    <row r="3177" spans="1:9" x14ac:dyDescent="0.2">
      <c r="A3177" s="2">
        <v>15</v>
      </c>
      <c r="B3177" s="1" t="s">
        <v>243</v>
      </c>
      <c r="C3177" s="4">
        <v>1</v>
      </c>
      <c r="D3177" s="8">
        <v>1.61</v>
      </c>
      <c r="E3177" s="4">
        <v>1</v>
      </c>
      <c r="F3177" s="8">
        <v>2.86</v>
      </c>
      <c r="G3177" s="4">
        <v>0</v>
      </c>
      <c r="H3177" s="8">
        <v>0</v>
      </c>
      <c r="I3177" s="4">
        <v>0</v>
      </c>
    </row>
    <row r="3178" spans="1:9" x14ac:dyDescent="0.2">
      <c r="A3178" s="2">
        <v>15</v>
      </c>
      <c r="B3178" s="1" t="s">
        <v>240</v>
      </c>
      <c r="C3178" s="4">
        <v>1</v>
      </c>
      <c r="D3178" s="8">
        <v>1.61</v>
      </c>
      <c r="E3178" s="4">
        <v>1</v>
      </c>
      <c r="F3178" s="8">
        <v>2.86</v>
      </c>
      <c r="G3178" s="4">
        <v>0</v>
      </c>
      <c r="H3178" s="8">
        <v>0</v>
      </c>
      <c r="I3178" s="4">
        <v>0</v>
      </c>
    </row>
    <row r="3179" spans="1:9" x14ac:dyDescent="0.2">
      <c r="A3179" s="1"/>
      <c r="C3179" s="4"/>
      <c r="D3179" s="8"/>
      <c r="E3179" s="4"/>
      <c r="F3179" s="8"/>
      <c r="G3179" s="4"/>
      <c r="H3179" s="8"/>
      <c r="I3179" s="4"/>
    </row>
    <row r="3180" spans="1:9" x14ac:dyDescent="0.2">
      <c r="A3180" s="1" t="s">
        <v>126</v>
      </c>
      <c r="C3180" s="4"/>
      <c r="D3180" s="8"/>
      <c r="E3180" s="4"/>
      <c r="F3180" s="8"/>
      <c r="G3180" s="4"/>
      <c r="H3180" s="8"/>
      <c r="I3180" s="4"/>
    </row>
    <row r="3181" spans="1:9" x14ac:dyDescent="0.2">
      <c r="A3181" s="2">
        <v>1</v>
      </c>
      <c r="B3181" s="1" t="s">
        <v>227</v>
      </c>
      <c r="C3181" s="4">
        <v>37</v>
      </c>
      <c r="D3181" s="8">
        <v>16.09</v>
      </c>
      <c r="E3181" s="4">
        <v>33</v>
      </c>
      <c r="F3181" s="8">
        <v>22.92</v>
      </c>
      <c r="G3181" s="4">
        <v>4</v>
      </c>
      <c r="H3181" s="8">
        <v>5.13</v>
      </c>
      <c r="I3181" s="4">
        <v>0</v>
      </c>
    </row>
    <row r="3182" spans="1:9" x14ac:dyDescent="0.2">
      <c r="A3182" s="2">
        <v>2</v>
      </c>
      <c r="B3182" s="1" t="s">
        <v>228</v>
      </c>
      <c r="C3182" s="4">
        <v>33</v>
      </c>
      <c r="D3182" s="8">
        <v>14.35</v>
      </c>
      <c r="E3182" s="4">
        <v>31</v>
      </c>
      <c r="F3182" s="8">
        <v>21.53</v>
      </c>
      <c r="G3182" s="4">
        <v>2</v>
      </c>
      <c r="H3182" s="8">
        <v>2.56</v>
      </c>
      <c r="I3182" s="4">
        <v>0</v>
      </c>
    </row>
    <row r="3183" spans="1:9" x14ac:dyDescent="0.2">
      <c r="A3183" s="2">
        <v>3</v>
      </c>
      <c r="B3183" s="1" t="s">
        <v>224</v>
      </c>
      <c r="C3183" s="4">
        <v>16</v>
      </c>
      <c r="D3183" s="8">
        <v>6.96</v>
      </c>
      <c r="E3183" s="4">
        <v>12</v>
      </c>
      <c r="F3183" s="8">
        <v>8.33</v>
      </c>
      <c r="G3183" s="4">
        <v>4</v>
      </c>
      <c r="H3183" s="8">
        <v>5.13</v>
      </c>
      <c r="I3183" s="4">
        <v>0</v>
      </c>
    </row>
    <row r="3184" spans="1:9" x14ac:dyDescent="0.2">
      <c r="A3184" s="2">
        <v>4</v>
      </c>
      <c r="B3184" s="1" t="s">
        <v>214</v>
      </c>
      <c r="C3184" s="4">
        <v>15</v>
      </c>
      <c r="D3184" s="8">
        <v>6.52</v>
      </c>
      <c r="E3184" s="4">
        <v>12</v>
      </c>
      <c r="F3184" s="8">
        <v>8.33</v>
      </c>
      <c r="G3184" s="4">
        <v>3</v>
      </c>
      <c r="H3184" s="8">
        <v>3.85</v>
      </c>
      <c r="I3184" s="4">
        <v>0</v>
      </c>
    </row>
    <row r="3185" spans="1:9" x14ac:dyDescent="0.2">
      <c r="A3185" s="2">
        <v>4</v>
      </c>
      <c r="B3185" s="1" t="s">
        <v>223</v>
      </c>
      <c r="C3185" s="4">
        <v>15</v>
      </c>
      <c r="D3185" s="8">
        <v>6.52</v>
      </c>
      <c r="E3185" s="4">
        <v>5</v>
      </c>
      <c r="F3185" s="8">
        <v>3.47</v>
      </c>
      <c r="G3185" s="4">
        <v>10</v>
      </c>
      <c r="H3185" s="8">
        <v>12.82</v>
      </c>
      <c r="I3185" s="4">
        <v>0</v>
      </c>
    </row>
    <row r="3186" spans="1:9" x14ac:dyDescent="0.2">
      <c r="A3186" s="2">
        <v>6</v>
      </c>
      <c r="B3186" s="1" t="s">
        <v>213</v>
      </c>
      <c r="C3186" s="4">
        <v>12</v>
      </c>
      <c r="D3186" s="8">
        <v>5.22</v>
      </c>
      <c r="E3186" s="4">
        <v>5</v>
      </c>
      <c r="F3186" s="8">
        <v>3.47</v>
      </c>
      <c r="G3186" s="4">
        <v>7</v>
      </c>
      <c r="H3186" s="8">
        <v>8.9700000000000006</v>
      </c>
      <c r="I3186" s="4">
        <v>0</v>
      </c>
    </row>
    <row r="3187" spans="1:9" x14ac:dyDescent="0.2">
      <c r="A3187" s="2">
        <v>7</v>
      </c>
      <c r="B3187" s="1" t="s">
        <v>232</v>
      </c>
      <c r="C3187" s="4">
        <v>9</v>
      </c>
      <c r="D3187" s="8">
        <v>3.91</v>
      </c>
      <c r="E3187" s="4">
        <v>0</v>
      </c>
      <c r="F3187" s="8">
        <v>0</v>
      </c>
      <c r="G3187" s="4">
        <v>3</v>
      </c>
      <c r="H3187" s="8">
        <v>3.85</v>
      </c>
      <c r="I3187" s="4">
        <v>0</v>
      </c>
    </row>
    <row r="3188" spans="1:9" x14ac:dyDescent="0.2">
      <c r="A3188" s="2">
        <v>8</v>
      </c>
      <c r="B3188" s="1" t="s">
        <v>231</v>
      </c>
      <c r="C3188" s="4">
        <v>8</v>
      </c>
      <c r="D3188" s="8">
        <v>3.48</v>
      </c>
      <c r="E3188" s="4">
        <v>7</v>
      </c>
      <c r="F3188" s="8">
        <v>4.8600000000000003</v>
      </c>
      <c r="G3188" s="4">
        <v>1</v>
      </c>
      <c r="H3188" s="8">
        <v>1.28</v>
      </c>
      <c r="I3188" s="4">
        <v>0</v>
      </c>
    </row>
    <row r="3189" spans="1:9" x14ac:dyDescent="0.2">
      <c r="A3189" s="2">
        <v>9</v>
      </c>
      <c r="B3189" s="1" t="s">
        <v>241</v>
      </c>
      <c r="C3189" s="4">
        <v>7</v>
      </c>
      <c r="D3189" s="8">
        <v>3.04</v>
      </c>
      <c r="E3189" s="4">
        <v>2</v>
      </c>
      <c r="F3189" s="8">
        <v>1.39</v>
      </c>
      <c r="G3189" s="4">
        <v>5</v>
      </c>
      <c r="H3189" s="8">
        <v>6.41</v>
      </c>
      <c r="I3189" s="4">
        <v>0</v>
      </c>
    </row>
    <row r="3190" spans="1:9" x14ac:dyDescent="0.2">
      <c r="A3190" s="2">
        <v>10</v>
      </c>
      <c r="B3190" s="1" t="s">
        <v>242</v>
      </c>
      <c r="C3190" s="4">
        <v>6</v>
      </c>
      <c r="D3190" s="8">
        <v>2.61</v>
      </c>
      <c r="E3190" s="4">
        <v>5</v>
      </c>
      <c r="F3190" s="8">
        <v>3.47</v>
      </c>
      <c r="G3190" s="4">
        <v>1</v>
      </c>
      <c r="H3190" s="8">
        <v>1.28</v>
      </c>
      <c r="I3190" s="4">
        <v>0</v>
      </c>
    </row>
    <row r="3191" spans="1:9" x14ac:dyDescent="0.2">
      <c r="A3191" s="2">
        <v>11</v>
      </c>
      <c r="B3191" s="1" t="s">
        <v>221</v>
      </c>
      <c r="C3191" s="4">
        <v>5</v>
      </c>
      <c r="D3191" s="8">
        <v>2.17</v>
      </c>
      <c r="E3191" s="4">
        <v>4</v>
      </c>
      <c r="F3191" s="8">
        <v>2.78</v>
      </c>
      <c r="G3191" s="4">
        <v>1</v>
      </c>
      <c r="H3191" s="8">
        <v>1.28</v>
      </c>
      <c r="I3191" s="4">
        <v>0</v>
      </c>
    </row>
    <row r="3192" spans="1:9" x14ac:dyDescent="0.2">
      <c r="A3192" s="2">
        <v>11</v>
      </c>
      <c r="B3192" s="1" t="s">
        <v>226</v>
      </c>
      <c r="C3192" s="4">
        <v>5</v>
      </c>
      <c r="D3192" s="8">
        <v>2.17</v>
      </c>
      <c r="E3192" s="4">
        <v>2</v>
      </c>
      <c r="F3192" s="8">
        <v>1.39</v>
      </c>
      <c r="G3192" s="4">
        <v>2</v>
      </c>
      <c r="H3192" s="8">
        <v>2.56</v>
      </c>
      <c r="I3192" s="4">
        <v>0</v>
      </c>
    </row>
    <row r="3193" spans="1:9" x14ac:dyDescent="0.2">
      <c r="A3193" s="2">
        <v>11</v>
      </c>
      <c r="B3193" s="1" t="s">
        <v>230</v>
      </c>
      <c r="C3193" s="4">
        <v>5</v>
      </c>
      <c r="D3193" s="8">
        <v>2.17</v>
      </c>
      <c r="E3193" s="4">
        <v>5</v>
      </c>
      <c r="F3193" s="8">
        <v>3.47</v>
      </c>
      <c r="G3193" s="4">
        <v>0</v>
      </c>
      <c r="H3193" s="8">
        <v>0</v>
      </c>
      <c r="I3193" s="4">
        <v>0</v>
      </c>
    </row>
    <row r="3194" spans="1:9" x14ac:dyDescent="0.2">
      <c r="A3194" s="2">
        <v>14</v>
      </c>
      <c r="B3194" s="1" t="s">
        <v>215</v>
      </c>
      <c r="C3194" s="4">
        <v>4</v>
      </c>
      <c r="D3194" s="8">
        <v>1.74</v>
      </c>
      <c r="E3194" s="4">
        <v>2</v>
      </c>
      <c r="F3194" s="8">
        <v>1.39</v>
      </c>
      <c r="G3194" s="4">
        <v>2</v>
      </c>
      <c r="H3194" s="8">
        <v>2.56</v>
      </c>
      <c r="I3194" s="4">
        <v>0</v>
      </c>
    </row>
    <row r="3195" spans="1:9" x14ac:dyDescent="0.2">
      <c r="A3195" s="2">
        <v>14</v>
      </c>
      <c r="B3195" s="1" t="s">
        <v>219</v>
      </c>
      <c r="C3195" s="4">
        <v>4</v>
      </c>
      <c r="D3195" s="8">
        <v>1.74</v>
      </c>
      <c r="E3195" s="4">
        <v>1</v>
      </c>
      <c r="F3195" s="8">
        <v>0.69</v>
      </c>
      <c r="G3195" s="4">
        <v>3</v>
      </c>
      <c r="H3195" s="8">
        <v>3.85</v>
      </c>
      <c r="I3195" s="4">
        <v>0</v>
      </c>
    </row>
    <row r="3196" spans="1:9" x14ac:dyDescent="0.2">
      <c r="A3196" s="2">
        <v>14</v>
      </c>
      <c r="B3196" s="1" t="s">
        <v>246</v>
      </c>
      <c r="C3196" s="4">
        <v>4</v>
      </c>
      <c r="D3196" s="8">
        <v>1.74</v>
      </c>
      <c r="E3196" s="4">
        <v>0</v>
      </c>
      <c r="F3196" s="8">
        <v>0</v>
      </c>
      <c r="G3196" s="4">
        <v>4</v>
      </c>
      <c r="H3196" s="8">
        <v>5.13</v>
      </c>
      <c r="I3196" s="4">
        <v>0</v>
      </c>
    </row>
    <row r="3197" spans="1:9" x14ac:dyDescent="0.2">
      <c r="A3197" s="2">
        <v>14</v>
      </c>
      <c r="B3197" s="1" t="s">
        <v>240</v>
      </c>
      <c r="C3197" s="4">
        <v>4</v>
      </c>
      <c r="D3197" s="8">
        <v>1.74</v>
      </c>
      <c r="E3197" s="4">
        <v>4</v>
      </c>
      <c r="F3197" s="8">
        <v>2.78</v>
      </c>
      <c r="G3197" s="4">
        <v>0</v>
      </c>
      <c r="H3197" s="8">
        <v>0</v>
      </c>
      <c r="I3197" s="4">
        <v>0</v>
      </c>
    </row>
    <row r="3198" spans="1:9" x14ac:dyDescent="0.2">
      <c r="A3198" s="2">
        <v>18</v>
      </c>
      <c r="B3198" s="1" t="s">
        <v>217</v>
      </c>
      <c r="C3198" s="4">
        <v>3</v>
      </c>
      <c r="D3198" s="8">
        <v>1.3</v>
      </c>
      <c r="E3198" s="4">
        <v>1</v>
      </c>
      <c r="F3198" s="8">
        <v>0.69</v>
      </c>
      <c r="G3198" s="4">
        <v>2</v>
      </c>
      <c r="H3198" s="8">
        <v>2.56</v>
      </c>
      <c r="I3198" s="4">
        <v>0</v>
      </c>
    </row>
    <row r="3199" spans="1:9" x14ac:dyDescent="0.2">
      <c r="A3199" s="2">
        <v>18</v>
      </c>
      <c r="B3199" s="1" t="s">
        <v>218</v>
      </c>
      <c r="C3199" s="4">
        <v>3</v>
      </c>
      <c r="D3199" s="8">
        <v>1.3</v>
      </c>
      <c r="E3199" s="4">
        <v>2</v>
      </c>
      <c r="F3199" s="8">
        <v>1.39</v>
      </c>
      <c r="G3199" s="4">
        <v>1</v>
      </c>
      <c r="H3199" s="8">
        <v>1.28</v>
      </c>
      <c r="I3199" s="4">
        <v>0</v>
      </c>
    </row>
    <row r="3200" spans="1:9" x14ac:dyDescent="0.2">
      <c r="A3200" s="2">
        <v>18</v>
      </c>
      <c r="B3200" s="1" t="s">
        <v>220</v>
      </c>
      <c r="C3200" s="4">
        <v>3</v>
      </c>
      <c r="D3200" s="8">
        <v>1.3</v>
      </c>
      <c r="E3200" s="4">
        <v>0</v>
      </c>
      <c r="F3200" s="8">
        <v>0</v>
      </c>
      <c r="G3200" s="4">
        <v>3</v>
      </c>
      <c r="H3200" s="8">
        <v>3.85</v>
      </c>
      <c r="I3200" s="4">
        <v>0</v>
      </c>
    </row>
    <row r="3201" spans="1:9" x14ac:dyDescent="0.2">
      <c r="A3201" s="2">
        <v>18</v>
      </c>
      <c r="B3201" s="1" t="s">
        <v>225</v>
      </c>
      <c r="C3201" s="4">
        <v>3</v>
      </c>
      <c r="D3201" s="8">
        <v>1.3</v>
      </c>
      <c r="E3201" s="4">
        <v>3</v>
      </c>
      <c r="F3201" s="8">
        <v>2.08</v>
      </c>
      <c r="G3201" s="4">
        <v>0</v>
      </c>
      <c r="H3201" s="8">
        <v>0</v>
      </c>
      <c r="I3201" s="4">
        <v>0</v>
      </c>
    </row>
    <row r="3202" spans="1:9" x14ac:dyDescent="0.2">
      <c r="A3202" s="2">
        <v>18</v>
      </c>
      <c r="B3202" s="1" t="s">
        <v>229</v>
      </c>
      <c r="C3202" s="4">
        <v>3</v>
      </c>
      <c r="D3202" s="8">
        <v>1.3</v>
      </c>
      <c r="E3202" s="4">
        <v>2</v>
      </c>
      <c r="F3202" s="8">
        <v>1.39</v>
      </c>
      <c r="G3202" s="4">
        <v>1</v>
      </c>
      <c r="H3202" s="8">
        <v>1.28</v>
      </c>
      <c r="I3202" s="4">
        <v>0</v>
      </c>
    </row>
    <row r="3203" spans="1:9" x14ac:dyDescent="0.2">
      <c r="A3203" s="1"/>
      <c r="C3203" s="4"/>
      <c r="D3203" s="8"/>
      <c r="E3203" s="4"/>
      <c r="F3203" s="8"/>
      <c r="G3203" s="4"/>
      <c r="H3203" s="8"/>
      <c r="I3203" s="4"/>
    </row>
    <row r="3204" spans="1:9" x14ac:dyDescent="0.2">
      <c r="A3204" s="1" t="s">
        <v>127</v>
      </c>
      <c r="C3204" s="4"/>
      <c r="D3204" s="8"/>
      <c r="E3204" s="4"/>
      <c r="F3204" s="8"/>
      <c r="G3204" s="4"/>
      <c r="H3204" s="8"/>
      <c r="I3204" s="4"/>
    </row>
    <row r="3205" spans="1:9" x14ac:dyDescent="0.2">
      <c r="A3205" s="2">
        <v>1</v>
      </c>
      <c r="B3205" s="1" t="s">
        <v>227</v>
      </c>
      <c r="C3205" s="4">
        <v>15</v>
      </c>
      <c r="D3205" s="8">
        <v>10.42</v>
      </c>
      <c r="E3205" s="4">
        <v>13</v>
      </c>
      <c r="F3205" s="8">
        <v>21.31</v>
      </c>
      <c r="G3205" s="4">
        <v>2</v>
      </c>
      <c r="H3205" s="8">
        <v>2.6</v>
      </c>
      <c r="I3205" s="4">
        <v>0</v>
      </c>
    </row>
    <row r="3206" spans="1:9" x14ac:dyDescent="0.2">
      <c r="A3206" s="2">
        <v>2</v>
      </c>
      <c r="B3206" s="1" t="s">
        <v>213</v>
      </c>
      <c r="C3206" s="4">
        <v>12</v>
      </c>
      <c r="D3206" s="8">
        <v>8.33</v>
      </c>
      <c r="E3206" s="4">
        <v>0</v>
      </c>
      <c r="F3206" s="8">
        <v>0</v>
      </c>
      <c r="G3206" s="4">
        <v>12</v>
      </c>
      <c r="H3206" s="8">
        <v>15.58</v>
      </c>
      <c r="I3206" s="4">
        <v>0</v>
      </c>
    </row>
    <row r="3207" spans="1:9" x14ac:dyDescent="0.2">
      <c r="A3207" s="2">
        <v>2</v>
      </c>
      <c r="B3207" s="1" t="s">
        <v>228</v>
      </c>
      <c r="C3207" s="4">
        <v>12</v>
      </c>
      <c r="D3207" s="8">
        <v>8.33</v>
      </c>
      <c r="E3207" s="4">
        <v>12</v>
      </c>
      <c r="F3207" s="8">
        <v>19.670000000000002</v>
      </c>
      <c r="G3207" s="4">
        <v>0</v>
      </c>
      <c r="H3207" s="8">
        <v>0</v>
      </c>
      <c r="I3207" s="4">
        <v>0</v>
      </c>
    </row>
    <row r="3208" spans="1:9" x14ac:dyDescent="0.2">
      <c r="A3208" s="2">
        <v>4</v>
      </c>
      <c r="B3208" s="1" t="s">
        <v>243</v>
      </c>
      <c r="C3208" s="4">
        <v>11</v>
      </c>
      <c r="D3208" s="8">
        <v>7.64</v>
      </c>
      <c r="E3208" s="4">
        <v>3</v>
      </c>
      <c r="F3208" s="8">
        <v>4.92</v>
      </c>
      <c r="G3208" s="4">
        <v>6</v>
      </c>
      <c r="H3208" s="8">
        <v>7.79</v>
      </c>
      <c r="I3208" s="4">
        <v>2</v>
      </c>
    </row>
    <row r="3209" spans="1:9" x14ac:dyDescent="0.2">
      <c r="A3209" s="2">
        <v>5</v>
      </c>
      <c r="B3209" s="1" t="s">
        <v>223</v>
      </c>
      <c r="C3209" s="4">
        <v>8</v>
      </c>
      <c r="D3209" s="8">
        <v>5.56</v>
      </c>
      <c r="E3209" s="4">
        <v>3</v>
      </c>
      <c r="F3209" s="8">
        <v>4.92</v>
      </c>
      <c r="G3209" s="4">
        <v>5</v>
      </c>
      <c r="H3209" s="8">
        <v>6.49</v>
      </c>
      <c r="I3209" s="4">
        <v>0</v>
      </c>
    </row>
    <row r="3210" spans="1:9" x14ac:dyDescent="0.2">
      <c r="A3210" s="2">
        <v>6</v>
      </c>
      <c r="B3210" s="1" t="s">
        <v>215</v>
      </c>
      <c r="C3210" s="4">
        <v>6</v>
      </c>
      <c r="D3210" s="8">
        <v>4.17</v>
      </c>
      <c r="E3210" s="4">
        <v>0</v>
      </c>
      <c r="F3210" s="8">
        <v>0</v>
      </c>
      <c r="G3210" s="4">
        <v>6</v>
      </c>
      <c r="H3210" s="8">
        <v>7.79</v>
      </c>
      <c r="I3210" s="4">
        <v>0</v>
      </c>
    </row>
    <row r="3211" spans="1:9" x14ac:dyDescent="0.2">
      <c r="A3211" s="2">
        <v>6</v>
      </c>
      <c r="B3211" s="1" t="s">
        <v>218</v>
      </c>
      <c r="C3211" s="4">
        <v>6</v>
      </c>
      <c r="D3211" s="8">
        <v>4.17</v>
      </c>
      <c r="E3211" s="4">
        <v>0</v>
      </c>
      <c r="F3211" s="8">
        <v>0</v>
      </c>
      <c r="G3211" s="4">
        <v>6</v>
      </c>
      <c r="H3211" s="8">
        <v>7.79</v>
      </c>
      <c r="I3211" s="4">
        <v>0</v>
      </c>
    </row>
    <row r="3212" spans="1:9" x14ac:dyDescent="0.2">
      <c r="A3212" s="2">
        <v>6</v>
      </c>
      <c r="B3212" s="1" t="s">
        <v>221</v>
      </c>
      <c r="C3212" s="4">
        <v>6</v>
      </c>
      <c r="D3212" s="8">
        <v>4.17</v>
      </c>
      <c r="E3212" s="4">
        <v>2</v>
      </c>
      <c r="F3212" s="8">
        <v>3.28</v>
      </c>
      <c r="G3212" s="4">
        <v>4</v>
      </c>
      <c r="H3212" s="8">
        <v>5.19</v>
      </c>
      <c r="I3212" s="4">
        <v>0</v>
      </c>
    </row>
    <row r="3213" spans="1:9" x14ac:dyDescent="0.2">
      <c r="A3213" s="2">
        <v>6</v>
      </c>
      <c r="B3213" s="1" t="s">
        <v>224</v>
      </c>
      <c r="C3213" s="4">
        <v>6</v>
      </c>
      <c r="D3213" s="8">
        <v>4.17</v>
      </c>
      <c r="E3213" s="4">
        <v>5</v>
      </c>
      <c r="F3213" s="8">
        <v>8.1999999999999993</v>
      </c>
      <c r="G3213" s="4">
        <v>1</v>
      </c>
      <c r="H3213" s="8">
        <v>1.3</v>
      </c>
      <c r="I3213" s="4">
        <v>0</v>
      </c>
    </row>
    <row r="3214" spans="1:9" x14ac:dyDescent="0.2">
      <c r="A3214" s="2">
        <v>6</v>
      </c>
      <c r="B3214" s="1" t="s">
        <v>226</v>
      </c>
      <c r="C3214" s="4">
        <v>6</v>
      </c>
      <c r="D3214" s="8">
        <v>4.17</v>
      </c>
      <c r="E3214" s="4">
        <v>3</v>
      </c>
      <c r="F3214" s="8">
        <v>4.92</v>
      </c>
      <c r="G3214" s="4">
        <v>3</v>
      </c>
      <c r="H3214" s="8">
        <v>3.9</v>
      </c>
      <c r="I3214" s="4">
        <v>0</v>
      </c>
    </row>
    <row r="3215" spans="1:9" x14ac:dyDescent="0.2">
      <c r="A3215" s="2">
        <v>11</v>
      </c>
      <c r="B3215" s="1" t="s">
        <v>214</v>
      </c>
      <c r="C3215" s="4">
        <v>5</v>
      </c>
      <c r="D3215" s="8">
        <v>3.47</v>
      </c>
      <c r="E3215" s="4">
        <v>3</v>
      </c>
      <c r="F3215" s="8">
        <v>4.92</v>
      </c>
      <c r="G3215" s="4">
        <v>2</v>
      </c>
      <c r="H3215" s="8">
        <v>2.6</v>
      </c>
      <c r="I3215" s="4">
        <v>0</v>
      </c>
    </row>
    <row r="3216" spans="1:9" x14ac:dyDescent="0.2">
      <c r="A3216" s="2">
        <v>11</v>
      </c>
      <c r="B3216" s="1" t="s">
        <v>231</v>
      </c>
      <c r="C3216" s="4">
        <v>5</v>
      </c>
      <c r="D3216" s="8">
        <v>3.47</v>
      </c>
      <c r="E3216" s="4">
        <v>5</v>
      </c>
      <c r="F3216" s="8">
        <v>8.1999999999999993</v>
      </c>
      <c r="G3216" s="4">
        <v>0</v>
      </c>
      <c r="H3216" s="8">
        <v>0</v>
      </c>
      <c r="I3216" s="4">
        <v>0</v>
      </c>
    </row>
    <row r="3217" spans="1:9" x14ac:dyDescent="0.2">
      <c r="A3217" s="2">
        <v>13</v>
      </c>
      <c r="B3217" s="1" t="s">
        <v>241</v>
      </c>
      <c r="C3217" s="4">
        <v>4</v>
      </c>
      <c r="D3217" s="8">
        <v>2.78</v>
      </c>
      <c r="E3217" s="4">
        <v>1</v>
      </c>
      <c r="F3217" s="8">
        <v>1.64</v>
      </c>
      <c r="G3217" s="4">
        <v>3</v>
      </c>
      <c r="H3217" s="8">
        <v>3.9</v>
      </c>
      <c r="I3217" s="4">
        <v>0</v>
      </c>
    </row>
    <row r="3218" spans="1:9" x14ac:dyDescent="0.2">
      <c r="A3218" s="2">
        <v>13</v>
      </c>
      <c r="B3218" s="1" t="s">
        <v>236</v>
      </c>
      <c r="C3218" s="4">
        <v>4</v>
      </c>
      <c r="D3218" s="8">
        <v>2.78</v>
      </c>
      <c r="E3218" s="4">
        <v>0</v>
      </c>
      <c r="F3218" s="8">
        <v>0</v>
      </c>
      <c r="G3218" s="4">
        <v>4</v>
      </c>
      <c r="H3218" s="8">
        <v>5.19</v>
      </c>
      <c r="I3218" s="4">
        <v>0</v>
      </c>
    </row>
    <row r="3219" spans="1:9" x14ac:dyDescent="0.2">
      <c r="A3219" s="2">
        <v>15</v>
      </c>
      <c r="B3219" s="1" t="s">
        <v>219</v>
      </c>
      <c r="C3219" s="4">
        <v>3</v>
      </c>
      <c r="D3219" s="8">
        <v>2.08</v>
      </c>
      <c r="E3219" s="4">
        <v>0</v>
      </c>
      <c r="F3219" s="8">
        <v>0</v>
      </c>
      <c r="G3219" s="4">
        <v>3</v>
      </c>
      <c r="H3219" s="8">
        <v>3.9</v>
      </c>
      <c r="I3219" s="4">
        <v>0</v>
      </c>
    </row>
    <row r="3220" spans="1:9" x14ac:dyDescent="0.2">
      <c r="A3220" s="2">
        <v>15</v>
      </c>
      <c r="B3220" s="1" t="s">
        <v>229</v>
      </c>
      <c r="C3220" s="4">
        <v>3</v>
      </c>
      <c r="D3220" s="8">
        <v>2.08</v>
      </c>
      <c r="E3220" s="4">
        <v>2</v>
      </c>
      <c r="F3220" s="8">
        <v>3.28</v>
      </c>
      <c r="G3220" s="4">
        <v>0</v>
      </c>
      <c r="H3220" s="8">
        <v>0</v>
      </c>
      <c r="I3220" s="4">
        <v>1</v>
      </c>
    </row>
    <row r="3221" spans="1:9" x14ac:dyDescent="0.2">
      <c r="A3221" s="2">
        <v>15</v>
      </c>
      <c r="B3221" s="1" t="s">
        <v>240</v>
      </c>
      <c r="C3221" s="4">
        <v>3</v>
      </c>
      <c r="D3221" s="8">
        <v>2.08</v>
      </c>
      <c r="E3221" s="4">
        <v>1</v>
      </c>
      <c r="F3221" s="8">
        <v>1.64</v>
      </c>
      <c r="G3221" s="4">
        <v>2</v>
      </c>
      <c r="H3221" s="8">
        <v>2.6</v>
      </c>
      <c r="I3221" s="4">
        <v>0</v>
      </c>
    </row>
    <row r="3222" spans="1:9" x14ac:dyDescent="0.2">
      <c r="A3222" s="2">
        <v>18</v>
      </c>
      <c r="B3222" s="1" t="s">
        <v>253</v>
      </c>
      <c r="C3222" s="4">
        <v>2</v>
      </c>
      <c r="D3222" s="8">
        <v>1.39</v>
      </c>
      <c r="E3222" s="4">
        <v>1</v>
      </c>
      <c r="F3222" s="8">
        <v>1.64</v>
      </c>
      <c r="G3222" s="4">
        <v>1</v>
      </c>
      <c r="H3222" s="8">
        <v>1.3</v>
      </c>
      <c r="I3222" s="4">
        <v>0</v>
      </c>
    </row>
    <row r="3223" spans="1:9" x14ac:dyDescent="0.2">
      <c r="A3223" s="2">
        <v>18</v>
      </c>
      <c r="B3223" s="1" t="s">
        <v>255</v>
      </c>
      <c r="C3223" s="4">
        <v>2</v>
      </c>
      <c r="D3223" s="8">
        <v>1.39</v>
      </c>
      <c r="E3223" s="4">
        <v>0</v>
      </c>
      <c r="F3223" s="8">
        <v>0</v>
      </c>
      <c r="G3223" s="4">
        <v>1</v>
      </c>
      <c r="H3223" s="8">
        <v>1.3</v>
      </c>
      <c r="I3223" s="4">
        <v>0</v>
      </c>
    </row>
    <row r="3224" spans="1:9" x14ac:dyDescent="0.2">
      <c r="A3224" s="2">
        <v>18</v>
      </c>
      <c r="B3224" s="1" t="s">
        <v>261</v>
      </c>
      <c r="C3224" s="4">
        <v>2</v>
      </c>
      <c r="D3224" s="8">
        <v>1.39</v>
      </c>
      <c r="E3224" s="4">
        <v>0</v>
      </c>
      <c r="F3224" s="8">
        <v>0</v>
      </c>
      <c r="G3224" s="4">
        <v>1</v>
      </c>
      <c r="H3224" s="8">
        <v>1.3</v>
      </c>
      <c r="I3224" s="4">
        <v>1</v>
      </c>
    </row>
    <row r="3225" spans="1:9" x14ac:dyDescent="0.2">
      <c r="A3225" s="2">
        <v>18</v>
      </c>
      <c r="B3225" s="1" t="s">
        <v>217</v>
      </c>
      <c r="C3225" s="4">
        <v>2</v>
      </c>
      <c r="D3225" s="8">
        <v>1.39</v>
      </c>
      <c r="E3225" s="4">
        <v>0</v>
      </c>
      <c r="F3225" s="8">
        <v>0</v>
      </c>
      <c r="G3225" s="4">
        <v>2</v>
      </c>
      <c r="H3225" s="8">
        <v>2.6</v>
      </c>
      <c r="I3225" s="4">
        <v>0</v>
      </c>
    </row>
    <row r="3226" spans="1:9" x14ac:dyDescent="0.2">
      <c r="A3226" s="2">
        <v>18</v>
      </c>
      <c r="B3226" s="1" t="s">
        <v>220</v>
      </c>
      <c r="C3226" s="4">
        <v>2</v>
      </c>
      <c r="D3226" s="8">
        <v>1.39</v>
      </c>
      <c r="E3226" s="4">
        <v>2</v>
      </c>
      <c r="F3226" s="8">
        <v>3.28</v>
      </c>
      <c r="G3226" s="4">
        <v>0</v>
      </c>
      <c r="H3226" s="8">
        <v>0</v>
      </c>
      <c r="I3226" s="4">
        <v>0</v>
      </c>
    </row>
    <row r="3227" spans="1:9" x14ac:dyDescent="0.2">
      <c r="A3227" s="2">
        <v>18</v>
      </c>
      <c r="B3227" s="1" t="s">
        <v>222</v>
      </c>
      <c r="C3227" s="4">
        <v>2</v>
      </c>
      <c r="D3227" s="8">
        <v>1.39</v>
      </c>
      <c r="E3227" s="4">
        <v>0</v>
      </c>
      <c r="F3227" s="8">
        <v>0</v>
      </c>
      <c r="G3227" s="4">
        <v>2</v>
      </c>
      <c r="H3227" s="8">
        <v>2.6</v>
      </c>
      <c r="I3227" s="4">
        <v>0</v>
      </c>
    </row>
    <row r="3228" spans="1:9" x14ac:dyDescent="0.2">
      <c r="A3228" s="2">
        <v>18</v>
      </c>
      <c r="B3228" s="1" t="s">
        <v>230</v>
      </c>
      <c r="C3228" s="4">
        <v>2</v>
      </c>
      <c r="D3228" s="8">
        <v>1.39</v>
      </c>
      <c r="E3228" s="4">
        <v>2</v>
      </c>
      <c r="F3228" s="8">
        <v>3.28</v>
      </c>
      <c r="G3228" s="4">
        <v>0</v>
      </c>
      <c r="H3228" s="8">
        <v>0</v>
      </c>
      <c r="I3228" s="4">
        <v>0</v>
      </c>
    </row>
    <row r="3229" spans="1:9" x14ac:dyDescent="0.2">
      <c r="A3229" s="2">
        <v>18</v>
      </c>
      <c r="B3229" s="1" t="s">
        <v>232</v>
      </c>
      <c r="C3229" s="4">
        <v>2</v>
      </c>
      <c r="D3229" s="8">
        <v>1.39</v>
      </c>
      <c r="E3229" s="4">
        <v>0</v>
      </c>
      <c r="F3229" s="8">
        <v>0</v>
      </c>
      <c r="G3229" s="4">
        <v>2</v>
      </c>
      <c r="H3229" s="8">
        <v>2.6</v>
      </c>
      <c r="I3229" s="4">
        <v>0</v>
      </c>
    </row>
    <row r="3230" spans="1:9" x14ac:dyDescent="0.2">
      <c r="A3230" s="2">
        <v>18</v>
      </c>
      <c r="B3230" s="1" t="s">
        <v>242</v>
      </c>
      <c r="C3230" s="4">
        <v>2</v>
      </c>
      <c r="D3230" s="8">
        <v>1.39</v>
      </c>
      <c r="E3230" s="4">
        <v>2</v>
      </c>
      <c r="F3230" s="8">
        <v>3.28</v>
      </c>
      <c r="G3230" s="4">
        <v>0</v>
      </c>
      <c r="H3230" s="8">
        <v>0</v>
      </c>
      <c r="I3230" s="4">
        <v>0</v>
      </c>
    </row>
    <row r="3231" spans="1:9" x14ac:dyDescent="0.2">
      <c r="A3231" s="1"/>
      <c r="C3231" s="4"/>
      <c r="D3231" s="8"/>
      <c r="E3231" s="4"/>
      <c r="F3231" s="8"/>
      <c r="G3231" s="4"/>
      <c r="H3231" s="8"/>
      <c r="I3231" s="4"/>
    </row>
    <row r="3232" spans="1:9" x14ac:dyDescent="0.2">
      <c r="A3232" s="1" t="s">
        <v>128</v>
      </c>
      <c r="C3232" s="4"/>
      <c r="D3232" s="8"/>
      <c r="E3232" s="4"/>
      <c r="F3232" s="8"/>
      <c r="G3232" s="4"/>
      <c r="H3232" s="8"/>
      <c r="I3232" s="4"/>
    </row>
    <row r="3233" spans="1:9" x14ac:dyDescent="0.2">
      <c r="A3233" s="2">
        <v>1</v>
      </c>
      <c r="B3233" s="1" t="s">
        <v>227</v>
      </c>
      <c r="C3233" s="4">
        <v>19</v>
      </c>
      <c r="D3233" s="8">
        <v>18.45</v>
      </c>
      <c r="E3233" s="4">
        <v>16</v>
      </c>
      <c r="F3233" s="8">
        <v>22.54</v>
      </c>
      <c r="G3233" s="4">
        <v>3</v>
      </c>
      <c r="H3233" s="8">
        <v>11.54</v>
      </c>
      <c r="I3233" s="4">
        <v>0</v>
      </c>
    </row>
    <row r="3234" spans="1:9" x14ac:dyDescent="0.2">
      <c r="A3234" s="2">
        <v>2</v>
      </c>
      <c r="B3234" s="1" t="s">
        <v>223</v>
      </c>
      <c r="C3234" s="4">
        <v>15</v>
      </c>
      <c r="D3234" s="8">
        <v>14.56</v>
      </c>
      <c r="E3234" s="4">
        <v>10</v>
      </c>
      <c r="F3234" s="8">
        <v>14.08</v>
      </c>
      <c r="G3234" s="4">
        <v>5</v>
      </c>
      <c r="H3234" s="8">
        <v>19.23</v>
      </c>
      <c r="I3234" s="4">
        <v>0</v>
      </c>
    </row>
    <row r="3235" spans="1:9" x14ac:dyDescent="0.2">
      <c r="A3235" s="2">
        <v>3</v>
      </c>
      <c r="B3235" s="1" t="s">
        <v>243</v>
      </c>
      <c r="C3235" s="4">
        <v>11</v>
      </c>
      <c r="D3235" s="8">
        <v>10.68</v>
      </c>
      <c r="E3235" s="4">
        <v>11</v>
      </c>
      <c r="F3235" s="8">
        <v>15.49</v>
      </c>
      <c r="G3235" s="4">
        <v>0</v>
      </c>
      <c r="H3235" s="8">
        <v>0</v>
      </c>
      <c r="I3235" s="4">
        <v>0</v>
      </c>
    </row>
    <row r="3236" spans="1:9" x14ac:dyDescent="0.2">
      <c r="A3236" s="2">
        <v>4</v>
      </c>
      <c r="B3236" s="1" t="s">
        <v>221</v>
      </c>
      <c r="C3236" s="4">
        <v>10</v>
      </c>
      <c r="D3236" s="8">
        <v>9.7100000000000009</v>
      </c>
      <c r="E3236" s="4">
        <v>7</v>
      </c>
      <c r="F3236" s="8">
        <v>9.86</v>
      </c>
      <c r="G3236" s="4">
        <v>3</v>
      </c>
      <c r="H3236" s="8">
        <v>11.54</v>
      </c>
      <c r="I3236" s="4">
        <v>0</v>
      </c>
    </row>
    <row r="3237" spans="1:9" x14ac:dyDescent="0.2">
      <c r="A3237" s="2">
        <v>5</v>
      </c>
      <c r="B3237" s="1" t="s">
        <v>228</v>
      </c>
      <c r="C3237" s="4">
        <v>8</v>
      </c>
      <c r="D3237" s="8">
        <v>7.77</v>
      </c>
      <c r="E3237" s="4">
        <v>8</v>
      </c>
      <c r="F3237" s="8">
        <v>11.27</v>
      </c>
      <c r="G3237" s="4">
        <v>0</v>
      </c>
      <c r="H3237" s="8">
        <v>0</v>
      </c>
      <c r="I3237" s="4">
        <v>0</v>
      </c>
    </row>
    <row r="3238" spans="1:9" x14ac:dyDescent="0.2">
      <c r="A3238" s="2">
        <v>6</v>
      </c>
      <c r="B3238" s="1" t="s">
        <v>241</v>
      </c>
      <c r="C3238" s="4">
        <v>7</v>
      </c>
      <c r="D3238" s="8">
        <v>6.8</v>
      </c>
      <c r="E3238" s="4">
        <v>4</v>
      </c>
      <c r="F3238" s="8">
        <v>5.63</v>
      </c>
      <c r="G3238" s="4">
        <v>3</v>
      </c>
      <c r="H3238" s="8">
        <v>11.54</v>
      </c>
      <c r="I3238" s="4">
        <v>0</v>
      </c>
    </row>
    <row r="3239" spans="1:9" x14ac:dyDescent="0.2">
      <c r="A3239" s="2">
        <v>7</v>
      </c>
      <c r="B3239" s="1" t="s">
        <v>213</v>
      </c>
      <c r="C3239" s="4">
        <v>6</v>
      </c>
      <c r="D3239" s="8">
        <v>5.83</v>
      </c>
      <c r="E3239" s="4">
        <v>2</v>
      </c>
      <c r="F3239" s="8">
        <v>2.82</v>
      </c>
      <c r="G3239" s="4">
        <v>4</v>
      </c>
      <c r="H3239" s="8">
        <v>15.38</v>
      </c>
      <c r="I3239" s="4">
        <v>0</v>
      </c>
    </row>
    <row r="3240" spans="1:9" x14ac:dyDescent="0.2">
      <c r="A3240" s="2">
        <v>8</v>
      </c>
      <c r="B3240" s="1" t="s">
        <v>214</v>
      </c>
      <c r="C3240" s="4">
        <v>3</v>
      </c>
      <c r="D3240" s="8">
        <v>2.91</v>
      </c>
      <c r="E3240" s="4">
        <v>2</v>
      </c>
      <c r="F3240" s="8">
        <v>2.82</v>
      </c>
      <c r="G3240" s="4">
        <v>1</v>
      </c>
      <c r="H3240" s="8">
        <v>3.85</v>
      </c>
      <c r="I3240" s="4">
        <v>0</v>
      </c>
    </row>
    <row r="3241" spans="1:9" x14ac:dyDescent="0.2">
      <c r="A3241" s="2">
        <v>8</v>
      </c>
      <c r="B3241" s="1" t="s">
        <v>215</v>
      </c>
      <c r="C3241" s="4">
        <v>3</v>
      </c>
      <c r="D3241" s="8">
        <v>2.91</v>
      </c>
      <c r="E3241" s="4">
        <v>2</v>
      </c>
      <c r="F3241" s="8">
        <v>2.82</v>
      </c>
      <c r="G3241" s="4">
        <v>1</v>
      </c>
      <c r="H3241" s="8">
        <v>3.85</v>
      </c>
      <c r="I3241" s="4">
        <v>0</v>
      </c>
    </row>
    <row r="3242" spans="1:9" x14ac:dyDescent="0.2">
      <c r="A3242" s="2">
        <v>8</v>
      </c>
      <c r="B3242" s="1" t="s">
        <v>249</v>
      </c>
      <c r="C3242" s="4">
        <v>3</v>
      </c>
      <c r="D3242" s="8">
        <v>2.91</v>
      </c>
      <c r="E3242" s="4">
        <v>0</v>
      </c>
      <c r="F3242" s="8">
        <v>0</v>
      </c>
      <c r="G3242" s="4">
        <v>1</v>
      </c>
      <c r="H3242" s="8">
        <v>3.85</v>
      </c>
      <c r="I3242" s="4">
        <v>0</v>
      </c>
    </row>
    <row r="3243" spans="1:9" x14ac:dyDescent="0.2">
      <c r="A3243" s="2">
        <v>11</v>
      </c>
      <c r="B3243" s="1" t="s">
        <v>219</v>
      </c>
      <c r="C3243" s="4">
        <v>2</v>
      </c>
      <c r="D3243" s="8">
        <v>1.94</v>
      </c>
      <c r="E3243" s="4">
        <v>1</v>
      </c>
      <c r="F3243" s="8">
        <v>1.41</v>
      </c>
      <c r="G3243" s="4">
        <v>1</v>
      </c>
      <c r="H3243" s="8">
        <v>3.85</v>
      </c>
      <c r="I3243" s="4">
        <v>0</v>
      </c>
    </row>
    <row r="3244" spans="1:9" x14ac:dyDescent="0.2">
      <c r="A3244" s="2">
        <v>11</v>
      </c>
      <c r="B3244" s="1" t="s">
        <v>246</v>
      </c>
      <c r="C3244" s="4">
        <v>2</v>
      </c>
      <c r="D3244" s="8">
        <v>1.94</v>
      </c>
      <c r="E3244" s="4">
        <v>1</v>
      </c>
      <c r="F3244" s="8">
        <v>1.41</v>
      </c>
      <c r="G3244" s="4">
        <v>1</v>
      </c>
      <c r="H3244" s="8">
        <v>3.85</v>
      </c>
      <c r="I3244" s="4">
        <v>0</v>
      </c>
    </row>
    <row r="3245" spans="1:9" x14ac:dyDescent="0.2">
      <c r="A3245" s="2">
        <v>11</v>
      </c>
      <c r="B3245" s="1" t="s">
        <v>226</v>
      </c>
      <c r="C3245" s="4">
        <v>2</v>
      </c>
      <c r="D3245" s="8">
        <v>1.94</v>
      </c>
      <c r="E3245" s="4">
        <v>1</v>
      </c>
      <c r="F3245" s="8">
        <v>1.41</v>
      </c>
      <c r="G3245" s="4">
        <v>0</v>
      </c>
      <c r="H3245" s="8">
        <v>0</v>
      </c>
      <c r="I3245" s="4">
        <v>0</v>
      </c>
    </row>
    <row r="3246" spans="1:9" x14ac:dyDescent="0.2">
      <c r="A3246" s="2">
        <v>11</v>
      </c>
      <c r="B3246" s="1" t="s">
        <v>240</v>
      </c>
      <c r="C3246" s="4">
        <v>2</v>
      </c>
      <c r="D3246" s="8">
        <v>1.94</v>
      </c>
      <c r="E3246" s="4">
        <v>2</v>
      </c>
      <c r="F3246" s="8">
        <v>2.82</v>
      </c>
      <c r="G3246" s="4">
        <v>0</v>
      </c>
      <c r="H3246" s="8">
        <v>0</v>
      </c>
      <c r="I3246" s="4">
        <v>0</v>
      </c>
    </row>
    <row r="3247" spans="1:9" x14ac:dyDescent="0.2">
      <c r="A3247" s="2">
        <v>15</v>
      </c>
      <c r="B3247" s="1" t="s">
        <v>253</v>
      </c>
      <c r="C3247" s="4">
        <v>1</v>
      </c>
      <c r="D3247" s="8">
        <v>0.97</v>
      </c>
      <c r="E3247" s="4">
        <v>1</v>
      </c>
      <c r="F3247" s="8">
        <v>1.41</v>
      </c>
      <c r="G3247" s="4">
        <v>0</v>
      </c>
      <c r="H3247" s="8">
        <v>0</v>
      </c>
      <c r="I3247" s="4">
        <v>0</v>
      </c>
    </row>
    <row r="3248" spans="1:9" x14ac:dyDescent="0.2">
      <c r="A3248" s="2">
        <v>15</v>
      </c>
      <c r="B3248" s="1" t="s">
        <v>255</v>
      </c>
      <c r="C3248" s="4">
        <v>1</v>
      </c>
      <c r="D3248" s="8">
        <v>0.97</v>
      </c>
      <c r="E3248" s="4">
        <v>0</v>
      </c>
      <c r="F3248" s="8">
        <v>0</v>
      </c>
      <c r="G3248" s="4">
        <v>0</v>
      </c>
      <c r="H3248" s="8">
        <v>0</v>
      </c>
      <c r="I3248" s="4">
        <v>0</v>
      </c>
    </row>
    <row r="3249" spans="1:9" x14ac:dyDescent="0.2">
      <c r="A3249" s="2">
        <v>15</v>
      </c>
      <c r="B3249" s="1" t="s">
        <v>238</v>
      </c>
      <c r="C3249" s="4">
        <v>1</v>
      </c>
      <c r="D3249" s="8">
        <v>0.97</v>
      </c>
      <c r="E3249" s="4">
        <v>0</v>
      </c>
      <c r="F3249" s="8">
        <v>0</v>
      </c>
      <c r="G3249" s="4">
        <v>1</v>
      </c>
      <c r="H3249" s="8">
        <v>3.85</v>
      </c>
      <c r="I3249" s="4">
        <v>0</v>
      </c>
    </row>
    <row r="3250" spans="1:9" x14ac:dyDescent="0.2">
      <c r="A3250" s="2">
        <v>15</v>
      </c>
      <c r="B3250" s="1" t="s">
        <v>248</v>
      </c>
      <c r="C3250" s="4">
        <v>1</v>
      </c>
      <c r="D3250" s="8">
        <v>0.97</v>
      </c>
      <c r="E3250" s="4">
        <v>0</v>
      </c>
      <c r="F3250" s="8">
        <v>0</v>
      </c>
      <c r="G3250" s="4">
        <v>1</v>
      </c>
      <c r="H3250" s="8">
        <v>3.85</v>
      </c>
      <c r="I3250" s="4">
        <v>0</v>
      </c>
    </row>
    <row r="3251" spans="1:9" x14ac:dyDescent="0.2">
      <c r="A3251" s="2">
        <v>15</v>
      </c>
      <c r="B3251" s="1" t="s">
        <v>261</v>
      </c>
      <c r="C3251" s="4">
        <v>1</v>
      </c>
      <c r="D3251" s="8">
        <v>0.97</v>
      </c>
      <c r="E3251" s="4">
        <v>0</v>
      </c>
      <c r="F3251" s="8">
        <v>0</v>
      </c>
      <c r="G3251" s="4">
        <v>0</v>
      </c>
      <c r="H3251" s="8">
        <v>0</v>
      </c>
      <c r="I3251" s="4">
        <v>0</v>
      </c>
    </row>
    <row r="3252" spans="1:9" x14ac:dyDescent="0.2">
      <c r="A3252" s="2">
        <v>15</v>
      </c>
      <c r="B3252" s="1" t="s">
        <v>218</v>
      </c>
      <c r="C3252" s="4">
        <v>1</v>
      </c>
      <c r="D3252" s="8">
        <v>0.97</v>
      </c>
      <c r="E3252" s="4">
        <v>1</v>
      </c>
      <c r="F3252" s="8">
        <v>1.41</v>
      </c>
      <c r="G3252" s="4">
        <v>0</v>
      </c>
      <c r="H3252" s="8">
        <v>0</v>
      </c>
      <c r="I3252" s="4">
        <v>0</v>
      </c>
    </row>
    <row r="3253" spans="1:9" x14ac:dyDescent="0.2">
      <c r="A3253" s="2">
        <v>15</v>
      </c>
      <c r="B3253" s="1" t="s">
        <v>236</v>
      </c>
      <c r="C3253" s="4">
        <v>1</v>
      </c>
      <c r="D3253" s="8">
        <v>0.97</v>
      </c>
      <c r="E3253" s="4">
        <v>0</v>
      </c>
      <c r="F3253" s="8">
        <v>0</v>
      </c>
      <c r="G3253" s="4">
        <v>1</v>
      </c>
      <c r="H3253" s="8">
        <v>3.85</v>
      </c>
      <c r="I3253" s="4">
        <v>0</v>
      </c>
    </row>
    <row r="3254" spans="1:9" x14ac:dyDescent="0.2">
      <c r="A3254" s="2">
        <v>15</v>
      </c>
      <c r="B3254" s="1" t="s">
        <v>224</v>
      </c>
      <c r="C3254" s="4">
        <v>1</v>
      </c>
      <c r="D3254" s="8">
        <v>0.97</v>
      </c>
      <c r="E3254" s="4">
        <v>1</v>
      </c>
      <c r="F3254" s="8">
        <v>1.41</v>
      </c>
      <c r="G3254" s="4">
        <v>0</v>
      </c>
      <c r="H3254" s="8">
        <v>0</v>
      </c>
      <c r="I3254" s="4">
        <v>0</v>
      </c>
    </row>
    <row r="3255" spans="1:9" x14ac:dyDescent="0.2">
      <c r="A3255" s="2">
        <v>15</v>
      </c>
      <c r="B3255" s="1" t="s">
        <v>256</v>
      </c>
      <c r="C3255" s="4">
        <v>1</v>
      </c>
      <c r="D3255" s="8">
        <v>0.97</v>
      </c>
      <c r="E3255" s="4">
        <v>0</v>
      </c>
      <c r="F3255" s="8">
        <v>0</v>
      </c>
      <c r="G3255" s="4">
        <v>0</v>
      </c>
      <c r="H3255" s="8">
        <v>0</v>
      </c>
      <c r="I3255" s="4">
        <v>0</v>
      </c>
    </row>
    <row r="3256" spans="1:9" x14ac:dyDescent="0.2">
      <c r="A3256" s="2">
        <v>15</v>
      </c>
      <c r="B3256" s="1" t="s">
        <v>231</v>
      </c>
      <c r="C3256" s="4">
        <v>1</v>
      </c>
      <c r="D3256" s="8">
        <v>0.97</v>
      </c>
      <c r="E3256" s="4">
        <v>1</v>
      </c>
      <c r="F3256" s="8">
        <v>1.41</v>
      </c>
      <c r="G3256" s="4">
        <v>0</v>
      </c>
      <c r="H3256" s="8">
        <v>0</v>
      </c>
      <c r="I3256" s="4">
        <v>0</v>
      </c>
    </row>
    <row r="3257" spans="1:9" x14ac:dyDescent="0.2">
      <c r="A3257" s="1"/>
      <c r="C3257" s="4"/>
      <c r="D3257" s="8"/>
      <c r="E3257" s="4"/>
      <c r="F3257" s="8"/>
      <c r="G3257" s="4"/>
      <c r="H3257" s="8"/>
      <c r="I3257" s="4"/>
    </row>
    <row r="3258" spans="1:9" x14ac:dyDescent="0.2">
      <c r="A3258" s="1" t="s">
        <v>129</v>
      </c>
      <c r="C3258" s="4"/>
      <c r="D3258" s="8"/>
      <c r="E3258" s="4"/>
      <c r="F3258" s="8"/>
      <c r="G3258" s="4"/>
      <c r="H3258" s="8"/>
      <c r="I3258" s="4"/>
    </row>
    <row r="3259" spans="1:9" x14ac:dyDescent="0.2">
      <c r="A3259" s="2">
        <v>1</v>
      </c>
      <c r="B3259" s="1" t="s">
        <v>227</v>
      </c>
      <c r="C3259" s="4">
        <v>17</v>
      </c>
      <c r="D3259" s="8">
        <v>17.170000000000002</v>
      </c>
      <c r="E3259" s="4">
        <v>16</v>
      </c>
      <c r="F3259" s="8">
        <v>27.59</v>
      </c>
      <c r="G3259" s="4">
        <v>1</v>
      </c>
      <c r="H3259" s="8">
        <v>2.94</v>
      </c>
      <c r="I3259" s="4">
        <v>0</v>
      </c>
    </row>
    <row r="3260" spans="1:9" x14ac:dyDescent="0.2">
      <c r="A3260" s="2">
        <v>2</v>
      </c>
      <c r="B3260" s="1" t="s">
        <v>221</v>
      </c>
      <c r="C3260" s="4">
        <v>16</v>
      </c>
      <c r="D3260" s="8">
        <v>16.16</v>
      </c>
      <c r="E3260" s="4">
        <v>12</v>
      </c>
      <c r="F3260" s="8">
        <v>20.69</v>
      </c>
      <c r="G3260" s="4">
        <v>4</v>
      </c>
      <c r="H3260" s="8">
        <v>11.76</v>
      </c>
      <c r="I3260" s="4">
        <v>0</v>
      </c>
    </row>
    <row r="3261" spans="1:9" x14ac:dyDescent="0.2">
      <c r="A3261" s="2">
        <v>3</v>
      </c>
      <c r="B3261" s="1" t="s">
        <v>223</v>
      </c>
      <c r="C3261" s="4">
        <v>11</v>
      </c>
      <c r="D3261" s="8">
        <v>11.11</v>
      </c>
      <c r="E3261" s="4">
        <v>7</v>
      </c>
      <c r="F3261" s="8">
        <v>12.07</v>
      </c>
      <c r="G3261" s="4">
        <v>4</v>
      </c>
      <c r="H3261" s="8">
        <v>11.76</v>
      </c>
      <c r="I3261" s="4">
        <v>0</v>
      </c>
    </row>
    <row r="3262" spans="1:9" x14ac:dyDescent="0.2">
      <c r="A3262" s="2">
        <v>4</v>
      </c>
      <c r="B3262" s="1" t="s">
        <v>228</v>
      </c>
      <c r="C3262" s="4">
        <v>6</v>
      </c>
      <c r="D3262" s="8">
        <v>6.06</v>
      </c>
      <c r="E3262" s="4">
        <v>5</v>
      </c>
      <c r="F3262" s="8">
        <v>8.6199999999999992</v>
      </c>
      <c r="G3262" s="4">
        <v>1</v>
      </c>
      <c r="H3262" s="8">
        <v>2.94</v>
      </c>
      <c r="I3262" s="4">
        <v>0</v>
      </c>
    </row>
    <row r="3263" spans="1:9" x14ac:dyDescent="0.2">
      <c r="A3263" s="2">
        <v>5</v>
      </c>
      <c r="B3263" s="1" t="s">
        <v>213</v>
      </c>
      <c r="C3263" s="4">
        <v>5</v>
      </c>
      <c r="D3263" s="8">
        <v>5.05</v>
      </c>
      <c r="E3263" s="4">
        <v>3</v>
      </c>
      <c r="F3263" s="8">
        <v>5.17</v>
      </c>
      <c r="G3263" s="4">
        <v>2</v>
      </c>
      <c r="H3263" s="8">
        <v>5.88</v>
      </c>
      <c r="I3263" s="4">
        <v>0</v>
      </c>
    </row>
    <row r="3264" spans="1:9" x14ac:dyDescent="0.2">
      <c r="A3264" s="2">
        <v>5</v>
      </c>
      <c r="B3264" s="1" t="s">
        <v>241</v>
      </c>
      <c r="C3264" s="4">
        <v>5</v>
      </c>
      <c r="D3264" s="8">
        <v>5.05</v>
      </c>
      <c r="E3264" s="4">
        <v>0</v>
      </c>
      <c r="F3264" s="8">
        <v>0</v>
      </c>
      <c r="G3264" s="4">
        <v>5</v>
      </c>
      <c r="H3264" s="8">
        <v>14.71</v>
      </c>
      <c r="I3264" s="4">
        <v>0</v>
      </c>
    </row>
    <row r="3265" spans="1:9" x14ac:dyDescent="0.2">
      <c r="A3265" s="2">
        <v>5</v>
      </c>
      <c r="B3265" s="1" t="s">
        <v>243</v>
      </c>
      <c r="C3265" s="4">
        <v>5</v>
      </c>
      <c r="D3265" s="8">
        <v>5.05</v>
      </c>
      <c r="E3265" s="4">
        <v>4</v>
      </c>
      <c r="F3265" s="8">
        <v>6.9</v>
      </c>
      <c r="G3265" s="4">
        <v>1</v>
      </c>
      <c r="H3265" s="8">
        <v>2.94</v>
      </c>
      <c r="I3265" s="4">
        <v>0</v>
      </c>
    </row>
    <row r="3266" spans="1:9" x14ac:dyDescent="0.2">
      <c r="A3266" s="2">
        <v>8</v>
      </c>
      <c r="B3266" s="1" t="s">
        <v>214</v>
      </c>
      <c r="C3266" s="4">
        <v>4</v>
      </c>
      <c r="D3266" s="8">
        <v>4.04</v>
      </c>
      <c r="E3266" s="4">
        <v>4</v>
      </c>
      <c r="F3266" s="8">
        <v>6.9</v>
      </c>
      <c r="G3266" s="4">
        <v>0</v>
      </c>
      <c r="H3266" s="8">
        <v>0</v>
      </c>
      <c r="I3266" s="4">
        <v>0</v>
      </c>
    </row>
    <row r="3267" spans="1:9" x14ac:dyDescent="0.2">
      <c r="A3267" s="2">
        <v>8</v>
      </c>
      <c r="B3267" s="1" t="s">
        <v>232</v>
      </c>
      <c r="C3267" s="4">
        <v>4</v>
      </c>
      <c r="D3267" s="8">
        <v>4.04</v>
      </c>
      <c r="E3267" s="4">
        <v>0</v>
      </c>
      <c r="F3267" s="8">
        <v>0</v>
      </c>
      <c r="G3267" s="4">
        <v>1</v>
      </c>
      <c r="H3267" s="8">
        <v>2.94</v>
      </c>
      <c r="I3267" s="4">
        <v>0</v>
      </c>
    </row>
    <row r="3268" spans="1:9" x14ac:dyDescent="0.2">
      <c r="A3268" s="2">
        <v>10</v>
      </c>
      <c r="B3268" s="1" t="s">
        <v>216</v>
      </c>
      <c r="C3268" s="4">
        <v>3</v>
      </c>
      <c r="D3268" s="8">
        <v>3.03</v>
      </c>
      <c r="E3268" s="4">
        <v>1</v>
      </c>
      <c r="F3268" s="8">
        <v>1.72</v>
      </c>
      <c r="G3268" s="4">
        <v>2</v>
      </c>
      <c r="H3268" s="8">
        <v>5.88</v>
      </c>
      <c r="I3268" s="4">
        <v>0</v>
      </c>
    </row>
    <row r="3269" spans="1:9" x14ac:dyDescent="0.2">
      <c r="A3269" s="2">
        <v>10</v>
      </c>
      <c r="B3269" s="1" t="s">
        <v>220</v>
      </c>
      <c r="C3269" s="4">
        <v>3</v>
      </c>
      <c r="D3269" s="8">
        <v>3.03</v>
      </c>
      <c r="E3269" s="4">
        <v>3</v>
      </c>
      <c r="F3269" s="8">
        <v>5.17</v>
      </c>
      <c r="G3269" s="4">
        <v>0</v>
      </c>
      <c r="H3269" s="8">
        <v>0</v>
      </c>
      <c r="I3269" s="4">
        <v>0</v>
      </c>
    </row>
    <row r="3270" spans="1:9" x14ac:dyDescent="0.2">
      <c r="A3270" s="2">
        <v>12</v>
      </c>
      <c r="B3270" s="1" t="s">
        <v>255</v>
      </c>
      <c r="C3270" s="4">
        <v>2</v>
      </c>
      <c r="D3270" s="8">
        <v>2.02</v>
      </c>
      <c r="E3270" s="4">
        <v>0</v>
      </c>
      <c r="F3270" s="8">
        <v>0</v>
      </c>
      <c r="G3270" s="4">
        <v>1</v>
      </c>
      <c r="H3270" s="8">
        <v>2.94</v>
      </c>
      <c r="I3270" s="4">
        <v>0</v>
      </c>
    </row>
    <row r="3271" spans="1:9" x14ac:dyDescent="0.2">
      <c r="A3271" s="2">
        <v>12</v>
      </c>
      <c r="B3271" s="1" t="s">
        <v>217</v>
      </c>
      <c r="C3271" s="4">
        <v>2</v>
      </c>
      <c r="D3271" s="8">
        <v>2.02</v>
      </c>
      <c r="E3271" s="4">
        <v>0</v>
      </c>
      <c r="F3271" s="8">
        <v>0</v>
      </c>
      <c r="G3271" s="4">
        <v>2</v>
      </c>
      <c r="H3271" s="8">
        <v>5.88</v>
      </c>
      <c r="I3271" s="4">
        <v>0</v>
      </c>
    </row>
    <row r="3272" spans="1:9" x14ac:dyDescent="0.2">
      <c r="A3272" s="2">
        <v>12</v>
      </c>
      <c r="B3272" s="1" t="s">
        <v>247</v>
      </c>
      <c r="C3272" s="4">
        <v>2</v>
      </c>
      <c r="D3272" s="8">
        <v>2.02</v>
      </c>
      <c r="E3272" s="4">
        <v>1</v>
      </c>
      <c r="F3272" s="8">
        <v>1.72</v>
      </c>
      <c r="G3272" s="4">
        <v>0</v>
      </c>
      <c r="H3272" s="8">
        <v>0</v>
      </c>
      <c r="I3272" s="4">
        <v>0</v>
      </c>
    </row>
    <row r="3273" spans="1:9" x14ac:dyDescent="0.2">
      <c r="A3273" s="2">
        <v>15</v>
      </c>
      <c r="B3273" s="1" t="s">
        <v>215</v>
      </c>
      <c r="C3273" s="4">
        <v>1</v>
      </c>
      <c r="D3273" s="8">
        <v>1.01</v>
      </c>
      <c r="E3273" s="4">
        <v>0</v>
      </c>
      <c r="F3273" s="8">
        <v>0</v>
      </c>
      <c r="G3273" s="4">
        <v>1</v>
      </c>
      <c r="H3273" s="8">
        <v>2.94</v>
      </c>
      <c r="I3273" s="4">
        <v>0</v>
      </c>
    </row>
    <row r="3274" spans="1:9" x14ac:dyDescent="0.2">
      <c r="A3274" s="2">
        <v>15</v>
      </c>
      <c r="B3274" s="1" t="s">
        <v>262</v>
      </c>
      <c r="C3274" s="4">
        <v>1</v>
      </c>
      <c r="D3274" s="8">
        <v>1.01</v>
      </c>
      <c r="E3274" s="4">
        <v>0</v>
      </c>
      <c r="F3274" s="8">
        <v>0</v>
      </c>
      <c r="G3274" s="4">
        <v>1</v>
      </c>
      <c r="H3274" s="8">
        <v>2.94</v>
      </c>
      <c r="I3274" s="4">
        <v>0</v>
      </c>
    </row>
    <row r="3275" spans="1:9" x14ac:dyDescent="0.2">
      <c r="A3275" s="2">
        <v>15</v>
      </c>
      <c r="B3275" s="1" t="s">
        <v>264</v>
      </c>
      <c r="C3275" s="4">
        <v>1</v>
      </c>
      <c r="D3275" s="8">
        <v>1.01</v>
      </c>
      <c r="E3275" s="4">
        <v>0</v>
      </c>
      <c r="F3275" s="8">
        <v>0</v>
      </c>
      <c r="G3275" s="4">
        <v>1</v>
      </c>
      <c r="H3275" s="8">
        <v>2.94</v>
      </c>
      <c r="I3275" s="4">
        <v>0</v>
      </c>
    </row>
    <row r="3276" spans="1:9" x14ac:dyDescent="0.2">
      <c r="A3276" s="2">
        <v>15</v>
      </c>
      <c r="B3276" s="1" t="s">
        <v>277</v>
      </c>
      <c r="C3276" s="4">
        <v>1</v>
      </c>
      <c r="D3276" s="8">
        <v>1.01</v>
      </c>
      <c r="E3276" s="4">
        <v>0</v>
      </c>
      <c r="F3276" s="8">
        <v>0</v>
      </c>
      <c r="G3276" s="4">
        <v>1</v>
      </c>
      <c r="H3276" s="8">
        <v>2.94</v>
      </c>
      <c r="I3276" s="4">
        <v>0</v>
      </c>
    </row>
    <row r="3277" spans="1:9" x14ac:dyDescent="0.2">
      <c r="A3277" s="2">
        <v>15</v>
      </c>
      <c r="B3277" s="1" t="s">
        <v>238</v>
      </c>
      <c r="C3277" s="4">
        <v>1</v>
      </c>
      <c r="D3277" s="8">
        <v>1.01</v>
      </c>
      <c r="E3277" s="4">
        <v>0</v>
      </c>
      <c r="F3277" s="8">
        <v>0</v>
      </c>
      <c r="G3277" s="4">
        <v>1</v>
      </c>
      <c r="H3277" s="8">
        <v>2.94</v>
      </c>
      <c r="I3277" s="4">
        <v>0</v>
      </c>
    </row>
    <row r="3278" spans="1:9" x14ac:dyDescent="0.2">
      <c r="A3278" s="2">
        <v>15</v>
      </c>
      <c r="B3278" s="1" t="s">
        <v>218</v>
      </c>
      <c r="C3278" s="4">
        <v>1</v>
      </c>
      <c r="D3278" s="8">
        <v>1.01</v>
      </c>
      <c r="E3278" s="4">
        <v>0</v>
      </c>
      <c r="F3278" s="8">
        <v>0</v>
      </c>
      <c r="G3278" s="4">
        <v>1</v>
      </c>
      <c r="H3278" s="8">
        <v>2.94</v>
      </c>
      <c r="I3278" s="4">
        <v>0</v>
      </c>
    </row>
    <row r="3279" spans="1:9" x14ac:dyDescent="0.2">
      <c r="A3279" s="2">
        <v>15</v>
      </c>
      <c r="B3279" s="1" t="s">
        <v>219</v>
      </c>
      <c r="C3279" s="4">
        <v>1</v>
      </c>
      <c r="D3279" s="8">
        <v>1.01</v>
      </c>
      <c r="E3279" s="4">
        <v>0</v>
      </c>
      <c r="F3279" s="8">
        <v>0</v>
      </c>
      <c r="G3279" s="4">
        <v>1</v>
      </c>
      <c r="H3279" s="8">
        <v>2.94</v>
      </c>
      <c r="I3279" s="4">
        <v>0</v>
      </c>
    </row>
    <row r="3280" spans="1:9" x14ac:dyDescent="0.2">
      <c r="A3280" s="2">
        <v>15</v>
      </c>
      <c r="B3280" s="1" t="s">
        <v>237</v>
      </c>
      <c r="C3280" s="4">
        <v>1</v>
      </c>
      <c r="D3280" s="8">
        <v>1.01</v>
      </c>
      <c r="E3280" s="4">
        <v>0</v>
      </c>
      <c r="F3280" s="8">
        <v>0</v>
      </c>
      <c r="G3280" s="4">
        <v>1</v>
      </c>
      <c r="H3280" s="8">
        <v>2.94</v>
      </c>
      <c r="I3280" s="4">
        <v>0</v>
      </c>
    </row>
    <row r="3281" spans="1:9" x14ac:dyDescent="0.2">
      <c r="A3281" s="2">
        <v>15</v>
      </c>
      <c r="B3281" s="1" t="s">
        <v>225</v>
      </c>
      <c r="C3281" s="4">
        <v>1</v>
      </c>
      <c r="D3281" s="8">
        <v>1.01</v>
      </c>
      <c r="E3281" s="4">
        <v>0</v>
      </c>
      <c r="F3281" s="8">
        <v>0</v>
      </c>
      <c r="G3281" s="4">
        <v>1</v>
      </c>
      <c r="H3281" s="8">
        <v>2.94</v>
      </c>
      <c r="I3281" s="4">
        <v>0</v>
      </c>
    </row>
    <row r="3282" spans="1:9" x14ac:dyDescent="0.2">
      <c r="A3282" s="2">
        <v>15</v>
      </c>
      <c r="B3282" s="1" t="s">
        <v>229</v>
      </c>
      <c r="C3282" s="4">
        <v>1</v>
      </c>
      <c r="D3282" s="8">
        <v>1.01</v>
      </c>
      <c r="E3282" s="4">
        <v>1</v>
      </c>
      <c r="F3282" s="8">
        <v>1.72</v>
      </c>
      <c r="G3282" s="4">
        <v>0</v>
      </c>
      <c r="H3282" s="8">
        <v>0</v>
      </c>
      <c r="I3282" s="4">
        <v>0</v>
      </c>
    </row>
    <row r="3283" spans="1:9" x14ac:dyDescent="0.2">
      <c r="A3283" s="2">
        <v>15</v>
      </c>
      <c r="B3283" s="1" t="s">
        <v>230</v>
      </c>
      <c r="C3283" s="4">
        <v>1</v>
      </c>
      <c r="D3283" s="8">
        <v>1.01</v>
      </c>
      <c r="E3283" s="4">
        <v>0</v>
      </c>
      <c r="F3283" s="8">
        <v>0</v>
      </c>
      <c r="G3283" s="4">
        <v>0</v>
      </c>
      <c r="H3283" s="8">
        <v>0</v>
      </c>
      <c r="I3283" s="4">
        <v>0</v>
      </c>
    </row>
    <row r="3284" spans="1:9" x14ac:dyDescent="0.2">
      <c r="A3284" s="2">
        <v>15</v>
      </c>
      <c r="B3284" s="1" t="s">
        <v>231</v>
      </c>
      <c r="C3284" s="4">
        <v>1</v>
      </c>
      <c r="D3284" s="8">
        <v>1.01</v>
      </c>
      <c r="E3284" s="4">
        <v>1</v>
      </c>
      <c r="F3284" s="8">
        <v>1.72</v>
      </c>
      <c r="G3284" s="4">
        <v>0</v>
      </c>
      <c r="H3284" s="8">
        <v>0</v>
      </c>
      <c r="I3284" s="4">
        <v>0</v>
      </c>
    </row>
    <row r="3285" spans="1:9" x14ac:dyDescent="0.2">
      <c r="A3285" s="2">
        <v>15</v>
      </c>
      <c r="B3285" s="1" t="s">
        <v>249</v>
      </c>
      <c r="C3285" s="4">
        <v>1</v>
      </c>
      <c r="D3285" s="8">
        <v>1.01</v>
      </c>
      <c r="E3285" s="4">
        <v>0</v>
      </c>
      <c r="F3285" s="8">
        <v>0</v>
      </c>
      <c r="G3285" s="4">
        <v>1</v>
      </c>
      <c r="H3285" s="8">
        <v>2.94</v>
      </c>
      <c r="I3285" s="4">
        <v>0</v>
      </c>
    </row>
    <row r="3286" spans="1:9" x14ac:dyDescent="0.2">
      <c r="A3286" s="2">
        <v>15</v>
      </c>
      <c r="B3286" s="1" t="s">
        <v>250</v>
      </c>
      <c r="C3286" s="4">
        <v>1</v>
      </c>
      <c r="D3286" s="8">
        <v>1.01</v>
      </c>
      <c r="E3286" s="4">
        <v>0</v>
      </c>
      <c r="F3286" s="8">
        <v>0</v>
      </c>
      <c r="G3286" s="4">
        <v>0</v>
      </c>
      <c r="H3286" s="8">
        <v>0</v>
      </c>
      <c r="I3286" s="4">
        <v>0</v>
      </c>
    </row>
    <row r="3287" spans="1:9" x14ac:dyDescent="0.2">
      <c r="A3287" s="1"/>
      <c r="C3287" s="4"/>
      <c r="D3287" s="8"/>
      <c r="E3287" s="4"/>
      <c r="F3287" s="8"/>
      <c r="G3287" s="4"/>
      <c r="H3287" s="8"/>
      <c r="I3287" s="4"/>
    </row>
    <row r="3288" spans="1:9" x14ac:dyDescent="0.2">
      <c r="A3288" s="1" t="s">
        <v>130</v>
      </c>
      <c r="C3288" s="4"/>
      <c r="D3288" s="8"/>
      <c r="E3288" s="4"/>
      <c r="F3288" s="8"/>
      <c r="G3288" s="4"/>
      <c r="H3288" s="8"/>
      <c r="I3288" s="4"/>
    </row>
    <row r="3289" spans="1:9" x14ac:dyDescent="0.2">
      <c r="A3289" s="2">
        <v>1</v>
      </c>
      <c r="B3289" s="1" t="s">
        <v>227</v>
      </c>
      <c r="C3289" s="4">
        <v>18</v>
      </c>
      <c r="D3289" s="8">
        <v>15</v>
      </c>
      <c r="E3289" s="4">
        <v>17</v>
      </c>
      <c r="F3289" s="8">
        <v>28.33</v>
      </c>
      <c r="G3289" s="4">
        <v>1</v>
      </c>
      <c r="H3289" s="8">
        <v>2.04</v>
      </c>
      <c r="I3289" s="4">
        <v>0</v>
      </c>
    </row>
    <row r="3290" spans="1:9" x14ac:dyDescent="0.2">
      <c r="A3290" s="2">
        <v>2</v>
      </c>
      <c r="B3290" s="1" t="s">
        <v>223</v>
      </c>
      <c r="C3290" s="4">
        <v>12</v>
      </c>
      <c r="D3290" s="8">
        <v>10</v>
      </c>
      <c r="E3290" s="4">
        <v>3</v>
      </c>
      <c r="F3290" s="8">
        <v>5</v>
      </c>
      <c r="G3290" s="4">
        <v>9</v>
      </c>
      <c r="H3290" s="8">
        <v>18.37</v>
      </c>
      <c r="I3290" s="4">
        <v>0</v>
      </c>
    </row>
    <row r="3291" spans="1:9" x14ac:dyDescent="0.2">
      <c r="A3291" s="2">
        <v>2</v>
      </c>
      <c r="B3291" s="1" t="s">
        <v>243</v>
      </c>
      <c r="C3291" s="4">
        <v>12</v>
      </c>
      <c r="D3291" s="8">
        <v>10</v>
      </c>
      <c r="E3291" s="4">
        <v>10</v>
      </c>
      <c r="F3291" s="8">
        <v>16.670000000000002</v>
      </c>
      <c r="G3291" s="4">
        <v>2</v>
      </c>
      <c r="H3291" s="8">
        <v>4.08</v>
      </c>
      <c r="I3291" s="4">
        <v>0</v>
      </c>
    </row>
    <row r="3292" spans="1:9" x14ac:dyDescent="0.2">
      <c r="A3292" s="2">
        <v>4</v>
      </c>
      <c r="B3292" s="1" t="s">
        <v>228</v>
      </c>
      <c r="C3292" s="4">
        <v>11</v>
      </c>
      <c r="D3292" s="8">
        <v>9.17</v>
      </c>
      <c r="E3292" s="4">
        <v>9</v>
      </c>
      <c r="F3292" s="8">
        <v>15</v>
      </c>
      <c r="G3292" s="4">
        <v>1</v>
      </c>
      <c r="H3292" s="8">
        <v>2.04</v>
      </c>
      <c r="I3292" s="4">
        <v>0</v>
      </c>
    </row>
    <row r="3293" spans="1:9" x14ac:dyDescent="0.2">
      <c r="A3293" s="2">
        <v>5</v>
      </c>
      <c r="B3293" s="1" t="s">
        <v>221</v>
      </c>
      <c r="C3293" s="4">
        <v>10</v>
      </c>
      <c r="D3293" s="8">
        <v>8.33</v>
      </c>
      <c r="E3293" s="4">
        <v>5</v>
      </c>
      <c r="F3293" s="8">
        <v>8.33</v>
      </c>
      <c r="G3293" s="4">
        <v>5</v>
      </c>
      <c r="H3293" s="8">
        <v>10.199999999999999</v>
      </c>
      <c r="I3293" s="4">
        <v>0</v>
      </c>
    </row>
    <row r="3294" spans="1:9" x14ac:dyDescent="0.2">
      <c r="A3294" s="2">
        <v>6</v>
      </c>
      <c r="B3294" s="1" t="s">
        <v>241</v>
      </c>
      <c r="C3294" s="4">
        <v>6</v>
      </c>
      <c r="D3294" s="8">
        <v>5</v>
      </c>
      <c r="E3294" s="4">
        <v>1</v>
      </c>
      <c r="F3294" s="8">
        <v>1.67</v>
      </c>
      <c r="G3294" s="4">
        <v>5</v>
      </c>
      <c r="H3294" s="8">
        <v>10.199999999999999</v>
      </c>
      <c r="I3294" s="4">
        <v>0</v>
      </c>
    </row>
    <row r="3295" spans="1:9" x14ac:dyDescent="0.2">
      <c r="A3295" s="2">
        <v>7</v>
      </c>
      <c r="B3295" s="1" t="s">
        <v>213</v>
      </c>
      <c r="C3295" s="4">
        <v>4</v>
      </c>
      <c r="D3295" s="8">
        <v>3.33</v>
      </c>
      <c r="E3295" s="4">
        <v>1</v>
      </c>
      <c r="F3295" s="8">
        <v>1.67</v>
      </c>
      <c r="G3295" s="4">
        <v>3</v>
      </c>
      <c r="H3295" s="8">
        <v>6.12</v>
      </c>
      <c r="I3295" s="4">
        <v>0</v>
      </c>
    </row>
    <row r="3296" spans="1:9" x14ac:dyDescent="0.2">
      <c r="A3296" s="2">
        <v>7</v>
      </c>
      <c r="B3296" s="1" t="s">
        <v>214</v>
      </c>
      <c r="C3296" s="4">
        <v>4</v>
      </c>
      <c r="D3296" s="8">
        <v>3.33</v>
      </c>
      <c r="E3296" s="4">
        <v>3</v>
      </c>
      <c r="F3296" s="8">
        <v>5</v>
      </c>
      <c r="G3296" s="4">
        <v>1</v>
      </c>
      <c r="H3296" s="8">
        <v>2.04</v>
      </c>
      <c r="I3296" s="4">
        <v>0</v>
      </c>
    </row>
    <row r="3297" spans="1:9" x14ac:dyDescent="0.2">
      <c r="A3297" s="2">
        <v>7</v>
      </c>
      <c r="B3297" s="1" t="s">
        <v>215</v>
      </c>
      <c r="C3297" s="4">
        <v>4</v>
      </c>
      <c r="D3297" s="8">
        <v>3.33</v>
      </c>
      <c r="E3297" s="4">
        <v>1</v>
      </c>
      <c r="F3297" s="8">
        <v>1.67</v>
      </c>
      <c r="G3297" s="4">
        <v>3</v>
      </c>
      <c r="H3297" s="8">
        <v>6.12</v>
      </c>
      <c r="I3297" s="4">
        <v>0</v>
      </c>
    </row>
    <row r="3298" spans="1:9" x14ac:dyDescent="0.2">
      <c r="A3298" s="2">
        <v>7</v>
      </c>
      <c r="B3298" s="1" t="s">
        <v>222</v>
      </c>
      <c r="C3298" s="4">
        <v>4</v>
      </c>
      <c r="D3298" s="8">
        <v>3.33</v>
      </c>
      <c r="E3298" s="4">
        <v>3</v>
      </c>
      <c r="F3298" s="8">
        <v>5</v>
      </c>
      <c r="G3298" s="4">
        <v>1</v>
      </c>
      <c r="H3298" s="8">
        <v>2.04</v>
      </c>
      <c r="I3298" s="4">
        <v>0</v>
      </c>
    </row>
    <row r="3299" spans="1:9" x14ac:dyDescent="0.2">
      <c r="A3299" s="2">
        <v>7</v>
      </c>
      <c r="B3299" s="1" t="s">
        <v>232</v>
      </c>
      <c r="C3299" s="4">
        <v>4</v>
      </c>
      <c r="D3299" s="8">
        <v>3.33</v>
      </c>
      <c r="E3299" s="4">
        <v>0</v>
      </c>
      <c r="F3299" s="8">
        <v>0</v>
      </c>
      <c r="G3299" s="4">
        <v>1</v>
      </c>
      <c r="H3299" s="8">
        <v>2.04</v>
      </c>
      <c r="I3299" s="4">
        <v>0</v>
      </c>
    </row>
    <row r="3300" spans="1:9" x14ac:dyDescent="0.2">
      <c r="A3300" s="2">
        <v>12</v>
      </c>
      <c r="B3300" s="1" t="s">
        <v>226</v>
      </c>
      <c r="C3300" s="4">
        <v>3</v>
      </c>
      <c r="D3300" s="8">
        <v>2.5</v>
      </c>
      <c r="E3300" s="4">
        <v>1</v>
      </c>
      <c r="F3300" s="8">
        <v>1.67</v>
      </c>
      <c r="G3300" s="4">
        <v>0</v>
      </c>
      <c r="H3300" s="8">
        <v>0</v>
      </c>
      <c r="I3300" s="4">
        <v>0</v>
      </c>
    </row>
    <row r="3301" spans="1:9" x14ac:dyDescent="0.2">
      <c r="A3301" s="2">
        <v>13</v>
      </c>
      <c r="B3301" s="1" t="s">
        <v>255</v>
      </c>
      <c r="C3301" s="4">
        <v>2</v>
      </c>
      <c r="D3301" s="8">
        <v>1.67</v>
      </c>
      <c r="E3301" s="4">
        <v>0</v>
      </c>
      <c r="F3301" s="8">
        <v>0</v>
      </c>
      <c r="G3301" s="4">
        <v>1</v>
      </c>
      <c r="H3301" s="8">
        <v>2.04</v>
      </c>
      <c r="I3301" s="4">
        <v>0</v>
      </c>
    </row>
    <row r="3302" spans="1:9" x14ac:dyDescent="0.2">
      <c r="A3302" s="2">
        <v>13</v>
      </c>
      <c r="B3302" s="1" t="s">
        <v>248</v>
      </c>
      <c r="C3302" s="4">
        <v>2</v>
      </c>
      <c r="D3302" s="8">
        <v>1.67</v>
      </c>
      <c r="E3302" s="4">
        <v>0</v>
      </c>
      <c r="F3302" s="8">
        <v>0</v>
      </c>
      <c r="G3302" s="4">
        <v>2</v>
      </c>
      <c r="H3302" s="8">
        <v>4.08</v>
      </c>
      <c r="I3302" s="4">
        <v>0</v>
      </c>
    </row>
    <row r="3303" spans="1:9" x14ac:dyDescent="0.2">
      <c r="A3303" s="2">
        <v>13</v>
      </c>
      <c r="B3303" s="1" t="s">
        <v>216</v>
      </c>
      <c r="C3303" s="4">
        <v>2</v>
      </c>
      <c r="D3303" s="8">
        <v>1.67</v>
      </c>
      <c r="E3303" s="4">
        <v>0</v>
      </c>
      <c r="F3303" s="8">
        <v>0</v>
      </c>
      <c r="G3303" s="4">
        <v>2</v>
      </c>
      <c r="H3303" s="8">
        <v>4.08</v>
      </c>
      <c r="I3303" s="4">
        <v>0</v>
      </c>
    </row>
    <row r="3304" spans="1:9" x14ac:dyDescent="0.2">
      <c r="A3304" s="2">
        <v>13</v>
      </c>
      <c r="B3304" s="1" t="s">
        <v>219</v>
      </c>
      <c r="C3304" s="4">
        <v>2</v>
      </c>
      <c r="D3304" s="8">
        <v>1.67</v>
      </c>
      <c r="E3304" s="4">
        <v>0</v>
      </c>
      <c r="F3304" s="8">
        <v>0</v>
      </c>
      <c r="G3304" s="4">
        <v>2</v>
      </c>
      <c r="H3304" s="8">
        <v>4.08</v>
      </c>
      <c r="I3304" s="4">
        <v>0</v>
      </c>
    </row>
    <row r="3305" spans="1:9" x14ac:dyDescent="0.2">
      <c r="A3305" s="2">
        <v>13</v>
      </c>
      <c r="B3305" s="1" t="s">
        <v>220</v>
      </c>
      <c r="C3305" s="4">
        <v>2</v>
      </c>
      <c r="D3305" s="8">
        <v>1.67</v>
      </c>
      <c r="E3305" s="4">
        <v>1</v>
      </c>
      <c r="F3305" s="8">
        <v>1.67</v>
      </c>
      <c r="G3305" s="4">
        <v>1</v>
      </c>
      <c r="H3305" s="8">
        <v>2.04</v>
      </c>
      <c r="I3305" s="4">
        <v>0</v>
      </c>
    </row>
    <row r="3306" spans="1:9" x14ac:dyDescent="0.2">
      <c r="A3306" s="2">
        <v>13</v>
      </c>
      <c r="B3306" s="1" t="s">
        <v>236</v>
      </c>
      <c r="C3306" s="4">
        <v>2</v>
      </c>
      <c r="D3306" s="8">
        <v>1.67</v>
      </c>
      <c r="E3306" s="4">
        <v>0</v>
      </c>
      <c r="F3306" s="8">
        <v>0</v>
      </c>
      <c r="G3306" s="4">
        <v>2</v>
      </c>
      <c r="H3306" s="8">
        <v>4.08</v>
      </c>
      <c r="I3306" s="4">
        <v>0</v>
      </c>
    </row>
    <row r="3307" spans="1:9" x14ac:dyDescent="0.2">
      <c r="A3307" s="2">
        <v>13</v>
      </c>
      <c r="B3307" s="1" t="s">
        <v>246</v>
      </c>
      <c r="C3307" s="4">
        <v>2</v>
      </c>
      <c r="D3307" s="8">
        <v>1.67</v>
      </c>
      <c r="E3307" s="4">
        <v>0</v>
      </c>
      <c r="F3307" s="8">
        <v>0</v>
      </c>
      <c r="G3307" s="4">
        <v>2</v>
      </c>
      <c r="H3307" s="8">
        <v>4.08</v>
      </c>
      <c r="I3307" s="4">
        <v>0</v>
      </c>
    </row>
    <row r="3308" spans="1:9" x14ac:dyDescent="0.2">
      <c r="A3308" s="2">
        <v>13</v>
      </c>
      <c r="B3308" s="1" t="s">
        <v>225</v>
      </c>
      <c r="C3308" s="4">
        <v>2</v>
      </c>
      <c r="D3308" s="8">
        <v>1.67</v>
      </c>
      <c r="E3308" s="4">
        <v>1</v>
      </c>
      <c r="F3308" s="8">
        <v>1.67</v>
      </c>
      <c r="G3308" s="4">
        <v>1</v>
      </c>
      <c r="H3308" s="8">
        <v>2.04</v>
      </c>
      <c r="I3308" s="4">
        <v>0</v>
      </c>
    </row>
    <row r="3309" spans="1:9" x14ac:dyDescent="0.2">
      <c r="A3309" s="2">
        <v>13</v>
      </c>
      <c r="B3309" s="1" t="s">
        <v>230</v>
      </c>
      <c r="C3309" s="4">
        <v>2</v>
      </c>
      <c r="D3309" s="8">
        <v>1.67</v>
      </c>
      <c r="E3309" s="4">
        <v>0</v>
      </c>
      <c r="F3309" s="8">
        <v>0</v>
      </c>
      <c r="G3309" s="4">
        <v>0</v>
      </c>
      <c r="H3309" s="8">
        <v>0</v>
      </c>
      <c r="I3309" s="4">
        <v>0</v>
      </c>
    </row>
    <row r="3310" spans="1:9" x14ac:dyDescent="0.2">
      <c r="A3310" s="2">
        <v>13</v>
      </c>
      <c r="B3310" s="1" t="s">
        <v>231</v>
      </c>
      <c r="C3310" s="4">
        <v>2</v>
      </c>
      <c r="D3310" s="8">
        <v>1.67</v>
      </c>
      <c r="E3310" s="4">
        <v>1</v>
      </c>
      <c r="F3310" s="8">
        <v>1.67</v>
      </c>
      <c r="G3310" s="4">
        <v>0</v>
      </c>
      <c r="H3310" s="8">
        <v>0</v>
      </c>
      <c r="I3310" s="4">
        <v>0</v>
      </c>
    </row>
    <row r="3311" spans="1:9" x14ac:dyDescent="0.2">
      <c r="A3311" s="2">
        <v>13</v>
      </c>
      <c r="B3311" s="1" t="s">
        <v>249</v>
      </c>
      <c r="C3311" s="4">
        <v>2</v>
      </c>
      <c r="D3311" s="8">
        <v>1.67</v>
      </c>
      <c r="E3311" s="4">
        <v>1</v>
      </c>
      <c r="F3311" s="8">
        <v>1.67</v>
      </c>
      <c r="G3311" s="4">
        <v>0</v>
      </c>
      <c r="H3311" s="8">
        <v>0</v>
      </c>
      <c r="I3311" s="4">
        <v>0</v>
      </c>
    </row>
    <row r="3312" spans="1:9" x14ac:dyDescent="0.2">
      <c r="A3312" s="1"/>
      <c r="C3312" s="4"/>
      <c r="D3312" s="8"/>
      <c r="E3312" s="4"/>
      <c r="F3312" s="8"/>
      <c r="G3312" s="4"/>
      <c r="H3312" s="8"/>
      <c r="I3312" s="4"/>
    </row>
    <row r="3313" spans="1:9" x14ac:dyDescent="0.2">
      <c r="A3313" s="1" t="s">
        <v>131</v>
      </c>
      <c r="C3313" s="4"/>
      <c r="D3313" s="8"/>
      <c r="E3313" s="4"/>
      <c r="F3313" s="8"/>
      <c r="G3313" s="4"/>
      <c r="H3313" s="8"/>
      <c r="I3313" s="4"/>
    </row>
    <row r="3314" spans="1:9" x14ac:dyDescent="0.2">
      <c r="A3314" s="2">
        <v>1</v>
      </c>
      <c r="B3314" s="1" t="s">
        <v>227</v>
      </c>
      <c r="C3314" s="4">
        <v>12</v>
      </c>
      <c r="D3314" s="8">
        <v>14.46</v>
      </c>
      <c r="E3314" s="4">
        <v>8</v>
      </c>
      <c r="F3314" s="8">
        <v>25</v>
      </c>
      <c r="G3314" s="4">
        <v>4</v>
      </c>
      <c r="H3314" s="8">
        <v>8.89</v>
      </c>
      <c r="I3314" s="4">
        <v>0</v>
      </c>
    </row>
    <row r="3315" spans="1:9" x14ac:dyDescent="0.2">
      <c r="A3315" s="2">
        <v>2</v>
      </c>
      <c r="B3315" s="1" t="s">
        <v>224</v>
      </c>
      <c r="C3315" s="4">
        <v>8</v>
      </c>
      <c r="D3315" s="8">
        <v>9.64</v>
      </c>
      <c r="E3315" s="4">
        <v>5</v>
      </c>
      <c r="F3315" s="8">
        <v>15.63</v>
      </c>
      <c r="G3315" s="4">
        <v>3</v>
      </c>
      <c r="H3315" s="8">
        <v>6.67</v>
      </c>
      <c r="I3315" s="4">
        <v>0</v>
      </c>
    </row>
    <row r="3316" spans="1:9" x14ac:dyDescent="0.2">
      <c r="A3316" s="2">
        <v>3</v>
      </c>
      <c r="B3316" s="1" t="s">
        <v>221</v>
      </c>
      <c r="C3316" s="4">
        <v>6</v>
      </c>
      <c r="D3316" s="8">
        <v>7.23</v>
      </c>
      <c r="E3316" s="4">
        <v>3</v>
      </c>
      <c r="F3316" s="8">
        <v>9.3800000000000008</v>
      </c>
      <c r="G3316" s="4">
        <v>3</v>
      </c>
      <c r="H3316" s="8">
        <v>6.67</v>
      </c>
      <c r="I3316" s="4">
        <v>0</v>
      </c>
    </row>
    <row r="3317" spans="1:9" x14ac:dyDescent="0.2">
      <c r="A3317" s="2">
        <v>3</v>
      </c>
      <c r="B3317" s="1" t="s">
        <v>223</v>
      </c>
      <c r="C3317" s="4">
        <v>6</v>
      </c>
      <c r="D3317" s="8">
        <v>7.23</v>
      </c>
      <c r="E3317" s="4">
        <v>0</v>
      </c>
      <c r="F3317" s="8">
        <v>0</v>
      </c>
      <c r="G3317" s="4">
        <v>6</v>
      </c>
      <c r="H3317" s="8">
        <v>13.33</v>
      </c>
      <c r="I3317" s="4">
        <v>0</v>
      </c>
    </row>
    <row r="3318" spans="1:9" x14ac:dyDescent="0.2">
      <c r="A3318" s="2">
        <v>5</v>
      </c>
      <c r="B3318" s="1" t="s">
        <v>230</v>
      </c>
      <c r="C3318" s="4">
        <v>5</v>
      </c>
      <c r="D3318" s="8">
        <v>6.02</v>
      </c>
      <c r="E3318" s="4">
        <v>2</v>
      </c>
      <c r="F3318" s="8">
        <v>6.25</v>
      </c>
      <c r="G3318" s="4">
        <v>1</v>
      </c>
      <c r="H3318" s="8">
        <v>2.2200000000000002</v>
      </c>
      <c r="I3318" s="4">
        <v>0</v>
      </c>
    </row>
    <row r="3319" spans="1:9" x14ac:dyDescent="0.2">
      <c r="A3319" s="2">
        <v>5</v>
      </c>
      <c r="B3319" s="1" t="s">
        <v>232</v>
      </c>
      <c r="C3319" s="4">
        <v>5</v>
      </c>
      <c r="D3319" s="8">
        <v>6.02</v>
      </c>
      <c r="E3319" s="4">
        <v>0</v>
      </c>
      <c r="F3319" s="8">
        <v>0</v>
      </c>
      <c r="G3319" s="4">
        <v>2</v>
      </c>
      <c r="H3319" s="8">
        <v>4.4400000000000004</v>
      </c>
      <c r="I3319" s="4">
        <v>0</v>
      </c>
    </row>
    <row r="3320" spans="1:9" x14ac:dyDescent="0.2">
      <c r="A3320" s="2">
        <v>7</v>
      </c>
      <c r="B3320" s="1" t="s">
        <v>213</v>
      </c>
      <c r="C3320" s="4">
        <v>4</v>
      </c>
      <c r="D3320" s="8">
        <v>4.82</v>
      </c>
      <c r="E3320" s="4">
        <v>1</v>
      </c>
      <c r="F3320" s="8">
        <v>3.13</v>
      </c>
      <c r="G3320" s="4">
        <v>3</v>
      </c>
      <c r="H3320" s="8">
        <v>6.67</v>
      </c>
      <c r="I3320" s="4">
        <v>0</v>
      </c>
    </row>
    <row r="3321" spans="1:9" x14ac:dyDescent="0.2">
      <c r="A3321" s="2">
        <v>7</v>
      </c>
      <c r="B3321" s="1" t="s">
        <v>243</v>
      </c>
      <c r="C3321" s="4">
        <v>4</v>
      </c>
      <c r="D3321" s="8">
        <v>4.82</v>
      </c>
      <c r="E3321" s="4">
        <v>2</v>
      </c>
      <c r="F3321" s="8">
        <v>6.25</v>
      </c>
      <c r="G3321" s="4">
        <v>2</v>
      </c>
      <c r="H3321" s="8">
        <v>4.4400000000000004</v>
      </c>
      <c r="I3321" s="4">
        <v>0</v>
      </c>
    </row>
    <row r="3322" spans="1:9" x14ac:dyDescent="0.2">
      <c r="A3322" s="2">
        <v>7</v>
      </c>
      <c r="B3322" s="1" t="s">
        <v>234</v>
      </c>
      <c r="C3322" s="4">
        <v>4</v>
      </c>
      <c r="D3322" s="8">
        <v>4.82</v>
      </c>
      <c r="E3322" s="4">
        <v>0</v>
      </c>
      <c r="F3322" s="8">
        <v>0</v>
      </c>
      <c r="G3322" s="4">
        <v>4</v>
      </c>
      <c r="H3322" s="8">
        <v>8.89</v>
      </c>
      <c r="I3322" s="4">
        <v>0</v>
      </c>
    </row>
    <row r="3323" spans="1:9" x14ac:dyDescent="0.2">
      <c r="A3323" s="2">
        <v>10</v>
      </c>
      <c r="B3323" s="1" t="s">
        <v>214</v>
      </c>
      <c r="C3323" s="4">
        <v>3</v>
      </c>
      <c r="D3323" s="8">
        <v>3.61</v>
      </c>
      <c r="E3323" s="4">
        <v>2</v>
      </c>
      <c r="F3323" s="8">
        <v>6.25</v>
      </c>
      <c r="G3323" s="4">
        <v>1</v>
      </c>
      <c r="H3323" s="8">
        <v>2.2200000000000002</v>
      </c>
      <c r="I3323" s="4">
        <v>0</v>
      </c>
    </row>
    <row r="3324" spans="1:9" x14ac:dyDescent="0.2">
      <c r="A3324" s="2">
        <v>10</v>
      </c>
      <c r="B3324" s="1" t="s">
        <v>246</v>
      </c>
      <c r="C3324" s="4">
        <v>3</v>
      </c>
      <c r="D3324" s="8">
        <v>3.61</v>
      </c>
      <c r="E3324" s="4">
        <v>0</v>
      </c>
      <c r="F3324" s="8">
        <v>0</v>
      </c>
      <c r="G3324" s="4">
        <v>3</v>
      </c>
      <c r="H3324" s="8">
        <v>6.67</v>
      </c>
      <c r="I3324" s="4">
        <v>0</v>
      </c>
    </row>
    <row r="3325" spans="1:9" x14ac:dyDescent="0.2">
      <c r="A3325" s="2">
        <v>10</v>
      </c>
      <c r="B3325" s="1" t="s">
        <v>228</v>
      </c>
      <c r="C3325" s="4">
        <v>3</v>
      </c>
      <c r="D3325" s="8">
        <v>3.61</v>
      </c>
      <c r="E3325" s="4">
        <v>3</v>
      </c>
      <c r="F3325" s="8">
        <v>9.3800000000000008</v>
      </c>
      <c r="G3325" s="4">
        <v>0</v>
      </c>
      <c r="H3325" s="8">
        <v>0</v>
      </c>
      <c r="I3325" s="4">
        <v>0</v>
      </c>
    </row>
    <row r="3326" spans="1:9" x14ac:dyDescent="0.2">
      <c r="A3326" s="2">
        <v>13</v>
      </c>
      <c r="B3326" s="1" t="s">
        <v>254</v>
      </c>
      <c r="C3326" s="4">
        <v>2</v>
      </c>
      <c r="D3326" s="8">
        <v>2.41</v>
      </c>
      <c r="E3326" s="4">
        <v>0</v>
      </c>
      <c r="F3326" s="8">
        <v>0</v>
      </c>
      <c r="G3326" s="4">
        <v>2</v>
      </c>
      <c r="H3326" s="8">
        <v>4.4400000000000004</v>
      </c>
      <c r="I3326" s="4">
        <v>0</v>
      </c>
    </row>
    <row r="3327" spans="1:9" x14ac:dyDescent="0.2">
      <c r="A3327" s="2">
        <v>13</v>
      </c>
      <c r="B3327" s="1" t="s">
        <v>255</v>
      </c>
      <c r="C3327" s="4">
        <v>2</v>
      </c>
      <c r="D3327" s="8">
        <v>2.41</v>
      </c>
      <c r="E3327" s="4">
        <v>0</v>
      </c>
      <c r="F3327" s="8">
        <v>0</v>
      </c>
      <c r="G3327" s="4">
        <v>1</v>
      </c>
      <c r="H3327" s="8">
        <v>2.2200000000000002</v>
      </c>
      <c r="I3327" s="4">
        <v>0</v>
      </c>
    </row>
    <row r="3328" spans="1:9" x14ac:dyDescent="0.2">
      <c r="A3328" s="2">
        <v>13</v>
      </c>
      <c r="B3328" s="1" t="s">
        <v>218</v>
      </c>
      <c r="C3328" s="4">
        <v>2</v>
      </c>
      <c r="D3328" s="8">
        <v>2.41</v>
      </c>
      <c r="E3328" s="4">
        <v>0</v>
      </c>
      <c r="F3328" s="8">
        <v>0</v>
      </c>
      <c r="G3328" s="4">
        <v>2</v>
      </c>
      <c r="H3328" s="8">
        <v>4.4400000000000004</v>
      </c>
      <c r="I3328" s="4">
        <v>0</v>
      </c>
    </row>
    <row r="3329" spans="1:9" x14ac:dyDescent="0.2">
      <c r="A3329" s="2">
        <v>16</v>
      </c>
      <c r="B3329" s="1" t="s">
        <v>273</v>
      </c>
      <c r="C3329" s="4">
        <v>1</v>
      </c>
      <c r="D3329" s="8">
        <v>1.2</v>
      </c>
      <c r="E3329" s="4">
        <v>0</v>
      </c>
      <c r="F3329" s="8">
        <v>0</v>
      </c>
      <c r="G3329" s="4">
        <v>1</v>
      </c>
      <c r="H3329" s="8">
        <v>2.2200000000000002</v>
      </c>
      <c r="I3329" s="4">
        <v>0</v>
      </c>
    </row>
    <row r="3330" spans="1:9" x14ac:dyDescent="0.2">
      <c r="A3330" s="2">
        <v>16</v>
      </c>
      <c r="B3330" s="1" t="s">
        <v>215</v>
      </c>
      <c r="C3330" s="4">
        <v>1</v>
      </c>
      <c r="D3330" s="8">
        <v>1.2</v>
      </c>
      <c r="E3330" s="4">
        <v>0</v>
      </c>
      <c r="F3330" s="8">
        <v>0</v>
      </c>
      <c r="G3330" s="4">
        <v>1</v>
      </c>
      <c r="H3330" s="8">
        <v>2.2200000000000002</v>
      </c>
      <c r="I3330" s="4">
        <v>0</v>
      </c>
    </row>
    <row r="3331" spans="1:9" x14ac:dyDescent="0.2">
      <c r="A3331" s="2">
        <v>16</v>
      </c>
      <c r="B3331" s="1" t="s">
        <v>263</v>
      </c>
      <c r="C3331" s="4">
        <v>1</v>
      </c>
      <c r="D3331" s="8">
        <v>1.2</v>
      </c>
      <c r="E3331" s="4">
        <v>0</v>
      </c>
      <c r="F3331" s="8">
        <v>0</v>
      </c>
      <c r="G3331" s="4">
        <v>1</v>
      </c>
      <c r="H3331" s="8">
        <v>2.2200000000000002</v>
      </c>
      <c r="I3331" s="4">
        <v>0</v>
      </c>
    </row>
    <row r="3332" spans="1:9" x14ac:dyDescent="0.2">
      <c r="A3332" s="2">
        <v>16</v>
      </c>
      <c r="B3332" s="1" t="s">
        <v>268</v>
      </c>
      <c r="C3332" s="4">
        <v>1</v>
      </c>
      <c r="D3332" s="8">
        <v>1.2</v>
      </c>
      <c r="E3332" s="4">
        <v>1</v>
      </c>
      <c r="F3332" s="8">
        <v>3.13</v>
      </c>
      <c r="G3332" s="4">
        <v>0</v>
      </c>
      <c r="H3332" s="8">
        <v>0</v>
      </c>
      <c r="I3332" s="4">
        <v>0</v>
      </c>
    </row>
    <row r="3333" spans="1:9" x14ac:dyDescent="0.2">
      <c r="A3333" s="2">
        <v>16</v>
      </c>
      <c r="B3333" s="1" t="s">
        <v>265</v>
      </c>
      <c r="C3333" s="4">
        <v>1</v>
      </c>
      <c r="D3333" s="8">
        <v>1.2</v>
      </c>
      <c r="E3333" s="4">
        <v>0</v>
      </c>
      <c r="F3333" s="8">
        <v>0</v>
      </c>
      <c r="G3333" s="4">
        <v>1</v>
      </c>
      <c r="H3333" s="8">
        <v>2.2200000000000002</v>
      </c>
      <c r="I3333" s="4">
        <v>0</v>
      </c>
    </row>
    <row r="3334" spans="1:9" x14ac:dyDescent="0.2">
      <c r="A3334" s="2">
        <v>16</v>
      </c>
      <c r="B3334" s="1" t="s">
        <v>281</v>
      </c>
      <c r="C3334" s="4">
        <v>1</v>
      </c>
      <c r="D3334" s="8">
        <v>1.2</v>
      </c>
      <c r="E3334" s="4">
        <v>1</v>
      </c>
      <c r="F3334" s="8">
        <v>3.13</v>
      </c>
      <c r="G3334" s="4">
        <v>0</v>
      </c>
      <c r="H3334" s="8">
        <v>0</v>
      </c>
      <c r="I3334" s="4">
        <v>0</v>
      </c>
    </row>
    <row r="3335" spans="1:9" x14ac:dyDescent="0.2">
      <c r="A3335" s="2">
        <v>16</v>
      </c>
      <c r="B3335" s="1" t="s">
        <v>280</v>
      </c>
      <c r="C3335" s="4">
        <v>1</v>
      </c>
      <c r="D3335" s="8">
        <v>1.2</v>
      </c>
      <c r="E3335" s="4">
        <v>0</v>
      </c>
      <c r="F3335" s="8">
        <v>0</v>
      </c>
      <c r="G3335" s="4">
        <v>1</v>
      </c>
      <c r="H3335" s="8">
        <v>2.2200000000000002</v>
      </c>
      <c r="I3335" s="4">
        <v>0</v>
      </c>
    </row>
    <row r="3336" spans="1:9" x14ac:dyDescent="0.2">
      <c r="A3336" s="2">
        <v>16</v>
      </c>
      <c r="B3336" s="1" t="s">
        <v>219</v>
      </c>
      <c r="C3336" s="4">
        <v>1</v>
      </c>
      <c r="D3336" s="8">
        <v>1.2</v>
      </c>
      <c r="E3336" s="4">
        <v>0</v>
      </c>
      <c r="F3336" s="8">
        <v>0</v>
      </c>
      <c r="G3336" s="4">
        <v>1</v>
      </c>
      <c r="H3336" s="8">
        <v>2.2200000000000002</v>
      </c>
      <c r="I3336" s="4">
        <v>0</v>
      </c>
    </row>
    <row r="3337" spans="1:9" x14ac:dyDescent="0.2">
      <c r="A3337" s="2">
        <v>16</v>
      </c>
      <c r="B3337" s="1" t="s">
        <v>222</v>
      </c>
      <c r="C3337" s="4">
        <v>1</v>
      </c>
      <c r="D3337" s="8">
        <v>1.2</v>
      </c>
      <c r="E3337" s="4">
        <v>1</v>
      </c>
      <c r="F3337" s="8">
        <v>3.13</v>
      </c>
      <c r="G3337" s="4">
        <v>0</v>
      </c>
      <c r="H3337" s="8">
        <v>0</v>
      </c>
      <c r="I3337" s="4">
        <v>0</v>
      </c>
    </row>
    <row r="3338" spans="1:9" x14ac:dyDescent="0.2">
      <c r="A3338" s="2">
        <v>16</v>
      </c>
      <c r="B3338" s="1" t="s">
        <v>236</v>
      </c>
      <c r="C3338" s="4">
        <v>1</v>
      </c>
      <c r="D3338" s="8">
        <v>1.2</v>
      </c>
      <c r="E3338" s="4">
        <v>1</v>
      </c>
      <c r="F3338" s="8">
        <v>3.13</v>
      </c>
      <c r="G3338" s="4">
        <v>0</v>
      </c>
      <c r="H3338" s="8">
        <v>0</v>
      </c>
      <c r="I3338" s="4">
        <v>0</v>
      </c>
    </row>
    <row r="3339" spans="1:9" x14ac:dyDescent="0.2">
      <c r="A3339" s="2">
        <v>16</v>
      </c>
      <c r="B3339" s="1" t="s">
        <v>226</v>
      </c>
      <c r="C3339" s="4">
        <v>1</v>
      </c>
      <c r="D3339" s="8">
        <v>1.2</v>
      </c>
      <c r="E3339" s="4">
        <v>0</v>
      </c>
      <c r="F3339" s="8">
        <v>0</v>
      </c>
      <c r="G3339" s="4">
        <v>1</v>
      </c>
      <c r="H3339" s="8">
        <v>2.2200000000000002</v>
      </c>
      <c r="I3339" s="4">
        <v>0</v>
      </c>
    </row>
    <row r="3340" spans="1:9" x14ac:dyDescent="0.2">
      <c r="A3340" s="2">
        <v>16</v>
      </c>
      <c r="B3340" s="1" t="s">
        <v>231</v>
      </c>
      <c r="C3340" s="4">
        <v>1</v>
      </c>
      <c r="D3340" s="8">
        <v>1.2</v>
      </c>
      <c r="E3340" s="4">
        <v>1</v>
      </c>
      <c r="F3340" s="8">
        <v>3.13</v>
      </c>
      <c r="G3340" s="4">
        <v>0</v>
      </c>
      <c r="H3340" s="8">
        <v>0</v>
      </c>
      <c r="I3340" s="4">
        <v>0</v>
      </c>
    </row>
    <row r="3341" spans="1:9" x14ac:dyDescent="0.2">
      <c r="A3341" s="2">
        <v>16</v>
      </c>
      <c r="B3341" s="1" t="s">
        <v>240</v>
      </c>
      <c r="C3341" s="4">
        <v>1</v>
      </c>
      <c r="D3341" s="8">
        <v>1.2</v>
      </c>
      <c r="E3341" s="4">
        <v>0</v>
      </c>
      <c r="F3341" s="8">
        <v>0</v>
      </c>
      <c r="G3341" s="4">
        <v>1</v>
      </c>
      <c r="H3341" s="8">
        <v>2.2200000000000002</v>
      </c>
      <c r="I3341" s="4">
        <v>0</v>
      </c>
    </row>
    <row r="3342" spans="1:9" x14ac:dyDescent="0.2">
      <c r="A3342" s="2">
        <v>16</v>
      </c>
      <c r="B3342" s="1" t="s">
        <v>242</v>
      </c>
      <c r="C3342" s="4">
        <v>1</v>
      </c>
      <c r="D3342" s="8">
        <v>1.2</v>
      </c>
      <c r="E3342" s="4">
        <v>1</v>
      </c>
      <c r="F3342" s="8">
        <v>3.13</v>
      </c>
      <c r="G3342" s="4">
        <v>0</v>
      </c>
      <c r="H3342" s="8">
        <v>0</v>
      </c>
      <c r="I3342" s="4">
        <v>0</v>
      </c>
    </row>
    <row r="3343" spans="1:9" x14ac:dyDescent="0.2">
      <c r="A3343" s="1"/>
      <c r="C3343" s="4"/>
      <c r="D3343" s="8"/>
      <c r="E3343" s="4"/>
      <c r="F3343" s="8"/>
      <c r="G3343" s="4"/>
      <c r="H3343" s="8"/>
      <c r="I3343" s="4"/>
    </row>
    <row r="3344" spans="1:9" x14ac:dyDescent="0.2">
      <c r="A3344" s="1" t="s">
        <v>132</v>
      </c>
      <c r="C3344" s="4"/>
      <c r="D3344" s="8"/>
      <c r="E3344" s="4"/>
      <c r="F3344" s="8"/>
      <c r="G3344" s="4"/>
      <c r="H3344" s="8"/>
      <c r="I3344" s="4"/>
    </row>
    <row r="3345" spans="1:9" x14ac:dyDescent="0.2">
      <c r="A3345" s="2">
        <v>1</v>
      </c>
      <c r="B3345" s="1" t="s">
        <v>227</v>
      </c>
      <c r="C3345" s="4">
        <v>74</v>
      </c>
      <c r="D3345" s="8">
        <v>16.7</v>
      </c>
      <c r="E3345" s="4">
        <v>68</v>
      </c>
      <c r="F3345" s="8">
        <v>25.47</v>
      </c>
      <c r="G3345" s="4">
        <v>6</v>
      </c>
      <c r="H3345" s="8">
        <v>3.55</v>
      </c>
      <c r="I3345" s="4">
        <v>0</v>
      </c>
    </row>
    <row r="3346" spans="1:9" x14ac:dyDescent="0.2">
      <c r="A3346" s="2">
        <v>2</v>
      </c>
      <c r="B3346" s="1" t="s">
        <v>228</v>
      </c>
      <c r="C3346" s="4">
        <v>65</v>
      </c>
      <c r="D3346" s="8">
        <v>14.67</v>
      </c>
      <c r="E3346" s="4">
        <v>62</v>
      </c>
      <c r="F3346" s="8">
        <v>23.22</v>
      </c>
      <c r="G3346" s="4">
        <v>3</v>
      </c>
      <c r="H3346" s="8">
        <v>1.78</v>
      </c>
      <c r="I3346" s="4">
        <v>0</v>
      </c>
    </row>
    <row r="3347" spans="1:9" x14ac:dyDescent="0.2">
      <c r="A3347" s="2">
        <v>3</v>
      </c>
      <c r="B3347" s="1" t="s">
        <v>223</v>
      </c>
      <c r="C3347" s="4">
        <v>44</v>
      </c>
      <c r="D3347" s="8">
        <v>9.93</v>
      </c>
      <c r="E3347" s="4">
        <v>13</v>
      </c>
      <c r="F3347" s="8">
        <v>4.87</v>
      </c>
      <c r="G3347" s="4">
        <v>31</v>
      </c>
      <c r="H3347" s="8">
        <v>18.34</v>
      </c>
      <c r="I3347" s="4">
        <v>0</v>
      </c>
    </row>
    <row r="3348" spans="1:9" x14ac:dyDescent="0.2">
      <c r="A3348" s="2">
        <v>4</v>
      </c>
      <c r="B3348" s="1" t="s">
        <v>221</v>
      </c>
      <c r="C3348" s="4">
        <v>25</v>
      </c>
      <c r="D3348" s="8">
        <v>5.64</v>
      </c>
      <c r="E3348" s="4">
        <v>16</v>
      </c>
      <c r="F3348" s="8">
        <v>5.99</v>
      </c>
      <c r="G3348" s="4">
        <v>8</v>
      </c>
      <c r="H3348" s="8">
        <v>4.7300000000000004</v>
      </c>
      <c r="I3348" s="4">
        <v>1</v>
      </c>
    </row>
    <row r="3349" spans="1:9" x14ac:dyDescent="0.2">
      <c r="A3349" s="2">
        <v>5</v>
      </c>
      <c r="B3349" s="1" t="s">
        <v>224</v>
      </c>
      <c r="C3349" s="4">
        <v>24</v>
      </c>
      <c r="D3349" s="8">
        <v>5.42</v>
      </c>
      <c r="E3349" s="4">
        <v>16</v>
      </c>
      <c r="F3349" s="8">
        <v>5.99</v>
      </c>
      <c r="G3349" s="4">
        <v>7</v>
      </c>
      <c r="H3349" s="8">
        <v>4.1399999999999997</v>
      </c>
      <c r="I3349" s="4">
        <v>0</v>
      </c>
    </row>
    <row r="3350" spans="1:9" x14ac:dyDescent="0.2">
      <c r="A3350" s="2">
        <v>6</v>
      </c>
      <c r="B3350" s="1" t="s">
        <v>213</v>
      </c>
      <c r="C3350" s="4">
        <v>18</v>
      </c>
      <c r="D3350" s="8">
        <v>4.0599999999999996</v>
      </c>
      <c r="E3350" s="4">
        <v>4</v>
      </c>
      <c r="F3350" s="8">
        <v>1.5</v>
      </c>
      <c r="G3350" s="4">
        <v>14</v>
      </c>
      <c r="H3350" s="8">
        <v>8.2799999999999994</v>
      </c>
      <c r="I3350" s="4">
        <v>0</v>
      </c>
    </row>
    <row r="3351" spans="1:9" x14ac:dyDescent="0.2">
      <c r="A3351" s="2">
        <v>7</v>
      </c>
      <c r="B3351" s="1" t="s">
        <v>222</v>
      </c>
      <c r="C3351" s="4">
        <v>16</v>
      </c>
      <c r="D3351" s="8">
        <v>3.61</v>
      </c>
      <c r="E3351" s="4">
        <v>8</v>
      </c>
      <c r="F3351" s="8">
        <v>3</v>
      </c>
      <c r="G3351" s="4">
        <v>8</v>
      </c>
      <c r="H3351" s="8">
        <v>4.7300000000000004</v>
      </c>
      <c r="I3351" s="4">
        <v>0</v>
      </c>
    </row>
    <row r="3352" spans="1:9" x14ac:dyDescent="0.2">
      <c r="A3352" s="2">
        <v>8</v>
      </c>
      <c r="B3352" s="1" t="s">
        <v>231</v>
      </c>
      <c r="C3352" s="4">
        <v>12</v>
      </c>
      <c r="D3352" s="8">
        <v>2.71</v>
      </c>
      <c r="E3352" s="4">
        <v>12</v>
      </c>
      <c r="F3352" s="8">
        <v>4.49</v>
      </c>
      <c r="G3352" s="4">
        <v>0</v>
      </c>
      <c r="H3352" s="8">
        <v>0</v>
      </c>
      <c r="I3352" s="4">
        <v>0</v>
      </c>
    </row>
    <row r="3353" spans="1:9" x14ac:dyDescent="0.2">
      <c r="A3353" s="2">
        <v>9</v>
      </c>
      <c r="B3353" s="1" t="s">
        <v>220</v>
      </c>
      <c r="C3353" s="4">
        <v>11</v>
      </c>
      <c r="D3353" s="8">
        <v>2.48</v>
      </c>
      <c r="E3353" s="4">
        <v>7</v>
      </c>
      <c r="F3353" s="8">
        <v>2.62</v>
      </c>
      <c r="G3353" s="4">
        <v>4</v>
      </c>
      <c r="H3353" s="8">
        <v>2.37</v>
      </c>
      <c r="I3353" s="4">
        <v>0</v>
      </c>
    </row>
    <row r="3354" spans="1:9" x14ac:dyDescent="0.2">
      <c r="A3354" s="2">
        <v>9</v>
      </c>
      <c r="B3354" s="1" t="s">
        <v>230</v>
      </c>
      <c r="C3354" s="4">
        <v>11</v>
      </c>
      <c r="D3354" s="8">
        <v>2.48</v>
      </c>
      <c r="E3354" s="4">
        <v>9</v>
      </c>
      <c r="F3354" s="8">
        <v>3.37</v>
      </c>
      <c r="G3354" s="4">
        <v>2</v>
      </c>
      <c r="H3354" s="8">
        <v>1.18</v>
      </c>
      <c r="I3354" s="4">
        <v>0</v>
      </c>
    </row>
    <row r="3355" spans="1:9" x14ac:dyDescent="0.2">
      <c r="A3355" s="2">
        <v>11</v>
      </c>
      <c r="B3355" s="1" t="s">
        <v>214</v>
      </c>
      <c r="C3355" s="4">
        <v>10</v>
      </c>
      <c r="D3355" s="8">
        <v>2.2599999999999998</v>
      </c>
      <c r="E3355" s="4">
        <v>7</v>
      </c>
      <c r="F3355" s="8">
        <v>2.62</v>
      </c>
      <c r="G3355" s="4">
        <v>3</v>
      </c>
      <c r="H3355" s="8">
        <v>1.78</v>
      </c>
      <c r="I3355" s="4">
        <v>0</v>
      </c>
    </row>
    <row r="3356" spans="1:9" x14ac:dyDescent="0.2">
      <c r="A3356" s="2">
        <v>12</v>
      </c>
      <c r="B3356" s="1" t="s">
        <v>232</v>
      </c>
      <c r="C3356" s="4">
        <v>9</v>
      </c>
      <c r="D3356" s="8">
        <v>2.0299999999999998</v>
      </c>
      <c r="E3356" s="4">
        <v>0</v>
      </c>
      <c r="F3356" s="8">
        <v>0</v>
      </c>
      <c r="G3356" s="4">
        <v>6</v>
      </c>
      <c r="H3356" s="8">
        <v>3.55</v>
      </c>
      <c r="I3356" s="4">
        <v>0</v>
      </c>
    </row>
    <row r="3357" spans="1:9" x14ac:dyDescent="0.2">
      <c r="A3357" s="2">
        <v>12</v>
      </c>
      <c r="B3357" s="1" t="s">
        <v>240</v>
      </c>
      <c r="C3357" s="4">
        <v>9</v>
      </c>
      <c r="D3357" s="8">
        <v>2.0299999999999998</v>
      </c>
      <c r="E3357" s="4">
        <v>9</v>
      </c>
      <c r="F3357" s="8">
        <v>3.37</v>
      </c>
      <c r="G3357" s="4">
        <v>0</v>
      </c>
      <c r="H3357" s="8">
        <v>0</v>
      </c>
      <c r="I3357" s="4">
        <v>0</v>
      </c>
    </row>
    <row r="3358" spans="1:9" x14ac:dyDescent="0.2">
      <c r="A3358" s="2">
        <v>14</v>
      </c>
      <c r="B3358" s="1" t="s">
        <v>236</v>
      </c>
      <c r="C3358" s="4">
        <v>8</v>
      </c>
      <c r="D3358" s="8">
        <v>1.81</v>
      </c>
      <c r="E3358" s="4">
        <v>3</v>
      </c>
      <c r="F3358" s="8">
        <v>1.1200000000000001</v>
      </c>
      <c r="G3358" s="4">
        <v>5</v>
      </c>
      <c r="H3358" s="8">
        <v>2.96</v>
      </c>
      <c r="I3358" s="4">
        <v>0</v>
      </c>
    </row>
    <row r="3359" spans="1:9" x14ac:dyDescent="0.2">
      <c r="A3359" s="2">
        <v>14</v>
      </c>
      <c r="B3359" s="1" t="s">
        <v>226</v>
      </c>
      <c r="C3359" s="4">
        <v>8</v>
      </c>
      <c r="D3359" s="8">
        <v>1.81</v>
      </c>
      <c r="E3359" s="4">
        <v>0</v>
      </c>
      <c r="F3359" s="8">
        <v>0</v>
      </c>
      <c r="G3359" s="4">
        <v>8</v>
      </c>
      <c r="H3359" s="8">
        <v>4.7300000000000004</v>
      </c>
      <c r="I3359" s="4">
        <v>0</v>
      </c>
    </row>
    <row r="3360" spans="1:9" x14ac:dyDescent="0.2">
      <c r="A3360" s="2">
        <v>16</v>
      </c>
      <c r="B3360" s="1" t="s">
        <v>244</v>
      </c>
      <c r="C3360" s="4">
        <v>7</v>
      </c>
      <c r="D3360" s="8">
        <v>1.58</v>
      </c>
      <c r="E3360" s="4">
        <v>3</v>
      </c>
      <c r="F3360" s="8">
        <v>1.1200000000000001</v>
      </c>
      <c r="G3360" s="4">
        <v>4</v>
      </c>
      <c r="H3360" s="8">
        <v>2.37</v>
      </c>
      <c r="I3360" s="4">
        <v>0</v>
      </c>
    </row>
    <row r="3361" spans="1:9" x14ac:dyDescent="0.2">
      <c r="A3361" s="2">
        <v>16</v>
      </c>
      <c r="B3361" s="1" t="s">
        <v>218</v>
      </c>
      <c r="C3361" s="4">
        <v>7</v>
      </c>
      <c r="D3361" s="8">
        <v>1.58</v>
      </c>
      <c r="E3361" s="4">
        <v>0</v>
      </c>
      <c r="F3361" s="8">
        <v>0</v>
      </c>
      <c r="G3361" s="4">
        <v>7</v>
      </c>
      <c r="H3361" s="8">
        <v>4.1399999999999997</v>
      </c>
      <c r="I3361" s="4">
        <v>0</v>
      </c>
    </row>
    <row r="3362" spans="1:9" x14ac:dyDescent="0.2">
      <c r="A3362" s="2">
        <v>16</v>
      </c>
      <c r="B3362" s="1" t="s">
        <v>237</v>
      </c>
      <c r="C3362" s="4">
        <v>7</v>
      </c>
      <c r="D3362" s="8">
        <v>1.58</v>
      </c>
      <c r="E3362" s="4">
        <v>2</v>
      </c>
      <c r="F3362" s="8">
        <v>0.75</v>
      </c>
      <c r="G3362" s="4">
        <v>5</v>
      </c>
      <c r="H3362" s="8">
        <v>2.96</v>
      </c>
      <c r="I3362" s="4">
        <v>0</v>
      </c>
    </row>
    <row r="3363" spans="1:9" x14ac:dyDescent="0.2">
      <c r="A3363" s="2">
        <v>16</v>
      </c>
      <c r="B3363" s="1" t="s">
        <v>229</v>
      </c>
      <c r="C3363" s="4">
        <v>7</v>
      </c>
      <c r="D3363" s="8">
        <v>1.58</v>
      </c>
      <c r="E3363" s="4">
        <v>6</v>
      </c>
      <c r="F3363" s="8">
        <v>2.25</v>
      </c>
      <c r="G3363" s="4">
        <v>1</v>
      </c>
      <c r="H3363" s="8">
        <v>0.59</v>
      </c>
      <c r="I3363" s="4">
        <v>0</v>
      </c>
    </row>
    <row r="3364" spans="1:9" x14ac:dyDescent="0.2">
      <c r="A3364" s="2">
        <v>20</v>
      </c>
      <c r="B3364" s="1" t="s">
        <v>215</v>
      </c>
      <c r="C3364" s="4">
        <v>6</v>
      </c>
      <c r="D3364" s="8">
        <v>1.35</v>
      </c>
      <c r="E3364" s="4">
        <v>0</v>
      </c>
      <c r="F3364" s="8">
        <v>0</v>
      </c>
      <c r="G3364" s="4">
        <v>6</v>
      </c>
      <c r="H3364" s="8">
        <v>3.55</v>
      </c>
      <c r="I3364" s="4">
        <v>0</v>
      </c>
    </row>
    <row r="3365" spans="1:9" x14ac:dyDescent="0.2">
      <c r="A3365" s="2">
        <v>20</v>
      </c>
      <c r="B3365" s="1" t="s">
        <v>217</v>
      </c>
      <c r="C3365" s="4">
        <v>6</v>
      </c>
      <c r="D3365" s="8">
        <v>1.35</v>
      </c>
      <c r="E3365" s="4">
        <v>2</v>
      </c>
      <c r="F3365" s="8">
        <v>0.75</v>
      </c>
      <c r="G3365" s="4">
        <v>4</v>
      </c>
      <c r="H3365" s="8">
        <v>2.37</v>
      </c>
      <c r="I3365" s="4">
        <v>0</v>
      </c>
    </row>
    <row r="3366" spans="1:9" x14ac:dyDescent="0.2">
      <c r="A3366" s="1"/>
      <c r="C3366" s="4"/>
      <c r="D3366" s="8"/>
      <c r="E3366" s="4"/>
      <c r="F3366" s="8"/>
      <c r="G3366" s="4"/>
      <c r="H3366" s="8"/>
      <c r="I3366" s="4"/>
    </row>
    <row r="3367" spans="1:9" x14ac:dyDescent="0.2">
      <c r="A3367" s="1" t="s">
        <v>133</v>
      </c>
      <c r="C3367" s="4"/>
      <c r="D3367" s="8"/>
      <c r="E3367" s="4"/>
      <c r="F3367" s="8"/>
      <c r="G3367" s="4"/>
      <c r="H3367" s="8"/>
      <c r="I3367" s="4"/>
    </row>
    <row r="3368" spans="1:9" x14ac:dyDescent="0.2">
      <c r="A3368" s="2">
        <v>1</v>
      </c>
      <c r="B3368" s="1" t="s">
        <v>228</v>
      </c>
      <c r="C3368" s="4">
        <v>11</v>
      </c>
      <c r="D3368" s="8">
        <v>9.65</v>
      </c>
      <c r="E3368" s="4">
        <v>10</v>
      </c>
      <c r="F3368" s="8">
        <v>18.18</v>
      </c>
      <c r="G3368" s="4">
        <v>1</v>
      </c>
      <c r="H3368" s="8">
        <v>1.82</v>
      </c>
      <c r="I3368" s="4">
        <v>0</v>
      </c>
    </row>
    <row r="3369" spans="1:9" x14ac:dyDescent="0.2">
      <c r="A3369" s="2">
        <v>2</v>
      </c>
      <c r="B3369" s="1" t="s">
        <v>227</v>
      </c>
      <c r="C3369" s="4">
        <v>10</v>
      </c>
      <c r="D3369" s="8">
        <v>8.77</v>
      </c>
      <c r="E3369" s="4">
        <v>10</v>
      </c>
      <c r="F3369" s="8">
        <v>18.18</v>
      </c>
      <c r="G3369" s="4">
        <v>0</v>
      </c>
      <c r="H3369" s="8">
        <v>0</v>
      </c>
      <c r="I3369" s="4">
        <v>0</v>
      </c>
    </row>
    <row r="3370" spans="1:9" x14ac:dyDescent="0.2">
      <c r="A3370" s="2">
        <v>3</v>
      </c>
      <c r="B3370" s="1" t="s">
        <v>221</v>
      </c>
      <c r="C3370" s="4">
        <v>9</v>
      </c>
      <c r="D3370" s="8">
        <v>7.89</v>
      </c>
      <c r="E3370" s="4">
        <v>7</v>
      </c>
      <c r="F3370" s="8">
        <v>12.73</v>
      </c>
      <c r="G3370" s="4">
        <v>2</v>
      </c>
      <c r="H3370" s="8">
        <v>3.64</v>
      </c>
      <c r="I3370" s="4">
        <v>0</v>
      </c>
    </row>
    <row r="3371" spans="1:9" x14ac:dyDescent="0.2">
      <c r="A3371" s="2">
        <v>4</v>
      </c>
      <c r="B3371" s="1" t="s">
        <v>214</v>
      </c>
      <c r="C3371" s="4">
        <v>8</v>
      </c>
      <c r="D3371" s="8">
        <v>7.02</v>
      </c>
      <c r="E3371" s="4">
        <v>4</v>
      </c>
      <c r="F3371" s="8">
        <v>7.27</v>
      </c>
      <c r="G3371" s="4">
        <v>4</v>
      </c>
      <c r="H3371" s="8">
        <v>7.27</v>
      </c>
      <c r="I3371" s="4">
        <v>0</v>
      </c>
    </row>
    <row r="3372" spans="1:9" x14ac:dyDescent="0.2">
      <c r="A3372" s="2">
        <v>5</v>
      </c>
      <c r="B3372" s="1" t="s">
        <v>223</v>
      </c>
      <c r="C3372" s="4">
        <v>7</v>
      </c>
      <c r="D3372" s="8">
        <v>6.14</v>
      </c>
      <c r="E3372" s="4">
        <v>3</v>
      </c>
      <c r="F3372" s="8">
        <v>5.45</v>
      </c>
      <c r="G3372" s="4">
        <v>4</v>
      </c>
      <c r="H3372" s="8">
        <v>7.27</v>
      </c>
      <c r="I3372" s="4">
        <v>0</v>
      </c>
    </row>
    <row r="3373" spans="1:9" x14ac:dyDescent="0.2">
      <c r="A3373" s="2">
        <v>5</v>
      </c>
      <c r="B3373" s="1" t="s">
        <v>230</v>
      </c>
      <c r="C3373" s="4">
        <v>7</v>
      </c>
      <c r="D3373" s="8">
        <v>6.14</v>
      </c>
      <c r="E3373" s="4">
        <v>5</v>
      </c>
      <c r="F3373" s="8">
        <v>9.09</v>
      </c>
      <c r="G3373" s="4">
        <v>1</v>
      </c>
      <c r="H3373" s="8">
        <v>1.82</v>
      </c>
      <c r="I3373" s="4">
        <v>0</v>
      </c>
    </row>
    <row r="3374" spans="1:9" x14ac:dyDescent="0.2">
      <c r="A3374" s="2">
        <v>7</v>
      </c>
      <c r="B3374" s="1" t="s">
        <v>215</v>
      </c>
      <c r="C3374" s="4">
        <v>5</v>
      </c>
      <c r="D3374" s="8">
        <v>4.3899999999999997</v>
      </c>
      <c r="E3374" s="4">
        <v>1</v>
      </c>
      <c r="F3374" s="8">
        <v>1.82</v>
      </c>
      <c r="G3374" s="4">
        <v>4</v>
      </c>
      <c r="H3374" s="8">
        <v>7.27</v>
      </c>
      <c r="I3374" s="4">
        <v>0</v>
      </c>
    </row>
    <row r="3375" spans="1:9" x14ac:dyDescent="0.2">
      <c r="A3375" s="2">
        <v>7</v>
      </c>
      <c r="B3375" s="1" t="s">
        <v>244</v>
      </c>
      <c r="C3375" s="4">
        <v>5</v>
      </c>
      <c r="D3375" s="8">
        <v>4.3899999999999997</v>
      </c>
      <c r="E3375" s="4">
        <v>0</v>
      </c>
      <c r="F3375" s="8">
        <v>0</v>
      </c>
      <c r="G3375" s="4">
        <v>5</v>
      </c>
      <c r="H3375" s="8">
        <v>9.09</v>
      </c>
      <c r="I3375" s="4">
        <v>0</v>
      </c>
    </row>
    <row r="3376" spans="1:9" x14ac:dyDescent="0.2">
      <c r="A3376" s="2">
        <v>7</v>
      </c>
      <c r="B3376" s="1" t="s">
        <v>222</v>
      </c>
      <c r="C3376" s="4">
        <v>5</v>
      </c>
      <c r="D3376" s="8">
        <v>4.3899999999999997</v>
      </c>
      <c r="E3376" s="4">
        <v>3</v>
      </c>
      <c r="F3376" s="8">
        <v>5.45</v>
      </c>
      <c r="G3376" s="4">
        <v>2</v>
      </c>
      <c r="H3376" s="8">
        <v>3.64</v>
      </c>
      <c r="I3376" s="4">
        <v>0</v>
      </c>
    </row>
    <row r="3377" spans="1:9" x14ac:dyDescent="0.2">
      <c r="A3377" s="2">
        <v>10</v>
      </c>
      <c r="B3377" s="1" t="s">
        <v>224</v>
      </c>
      <c r="C3377" s="4">
        <v>4</v>
      </c>
      <c r="D3377" s="8">
        <v>3.51</v>
      </c>
      <c r="E3377" s="4">
        <v>1</v>
      </c>
      <c r="F3377" s="8">
        <v>1.82</v>
      </c>
      <c r="G3377" s="4">
        <v>3</v>
      </c>
      <c r="H3377" s="8">
        <v>5.45</v>
      </c>
      <c r="I3377" s="4">
        <v>0</v>
      </c>
    </row>
    <row r="3378" spans="1:9" x14ac:dyDescent="0.2">
      <c r="A3378" s="2">
        <v>10</v>
      </c>
      <c r="B3378" s="1" t="s">
        <v>226</v>
      </c>
      <c r="C3378" s="4">
        <v>4</v>
      </c>
      <c r="D3378" s="8">
        <v>3.51</v>
      </c>
      <c r="E3378" s="4">
        <v>1</v>
      </c>
      <c r="F3378" s="8">
        <v>1.82</v>
      </c>
      <c r="G3378" s="4">
        <v>2</v>
      </c>
      <c r="H3378" s="8">
        <v>3.64</v>
      </c>
      <c r="I3378" s="4">
        <v>1</v>
      </c>
    </row>
    <row r="3379" spans="1:9" x14ac:dyDescent="0.2">
      <c r="A3379" s="2">
        <v>12</v>
      </c>
      <c r="B3379" s="1" t="s">
        <v>217</v>
      </c>
      <c r="C3379" s="4">
        <v>3</v>
      </c>
      <c r="D3379" s="8">
        <v>2.63</v>
      </c>
      <c r="E3379" s="4">
        <v>1</v>
      </c>
      <c r="F3379" s="8">
        <v>1.82</v>
      </c>
      <c r="G3379" s="4">
        <v>2</v>
      </c>
      <c r="H3379" s="8">
        <v>3.64</v>
      </c>
      <c r="I3379" s="4">
        <v>0</v>
      </c>
    </row>
    <row r="3380" spans="1:9" x14ac:dyDescent="0.2">
      <c r="A3380" s="2">
        <v>12</v>
      </c>
      <c r="B3380" s="1" t="s">
        <v>231</v>
      </c>
      <c r="C3380" s="4">
        <v>3</v>
      </c>
      <c r="D3380" s="8">
        <v>2.63</v>
      </c>
      <c r="E3380" s="4">
        <v>3</v>
      </c>
      <c r="F3380" s="8">
        <v>5.45</v>
      </c>
      <c r="G3380" s="4">
        <v>0</v>
      </c>
      <c r="H3380" s="8">
        <v>0</v>
      </c>
      <c r="I3380" s="4">
        <v>0</v>
      </c>
    </row>
    <row r="3381" spans="1:9" x14ac:dyDescent="0.2">
      <c r="A3381" s="2">
        <v>12</v>
      </c>
      <c r="B3381" s="1" t="s">
        <v>232</v>
      </c>
      <c r="C3381" s="4">
        <v>3</v>
      </c>
      <c r="D3381" s="8">
        <v>2.63</v>
      </c>
      <c r="E3381" s="4">
        <v>0</v>
      </c>
      <c r="F3381" s="8">
        <v>0</v>
      </c>
      <c r="G3381" s="4">
        <v>3</v>
      </c>
      <c r="H3381" s="8">
        <v>5.45</v>
      </c>
      <c r="I3381" s="4">
        <v>0</v>
      </c>
    </row>
    <row r="3382" spans="1:9" x14ac:dyDescent="0.2">
      <c r="A3382" s="2">
        <v>15</v>
      </c>
      <c r="B3382" s="1" t="s">
        <v>268</v>
      </c>
      <c r="C3382" s="4">
        <v>2</v>
      </c>
      <c r="D3382" s="8">
        <v>1.75</v>
      </c>
      <c r="E3382" s="4">
        <v>0</v>
      </c>
      <c r="F3382" s="8">
        <v>0</v>
      </c>
      <c r="G3382" s="4">
        <v>2</v>
      </c>
      <c r="H3382" s="8">
        <v>3.64</v>
      </c>
      <c r="I3382" s="4">
        <v>0</v>
      </c>
    </row>
    <row r="3383" spans="1:9" x14ac:dyDescent="0.2">
      <c r="A3383" s="2">
        <v>15</v>
      </c>
      <c r="B3383" s="1" t="s">
        <v>277</v>
      </c>
      <c r="C3383" s="4">
        <v>2</v>
      </c>
      <c r="D3383" s="8">
        <v>1.75</v>
      </c>
      <c r="E3383" s="4">
        <v>0</v>
      </c>
      <c r="F3383" s="8">
        <v>0</v>
      </c>
      <c r="G3383" s="4">
        <v>2</v>
      </c>
      <c r="H3383" s="8">
        <v>3.64</v>
      </c>
      <c r="I3383" s="4">
        <v>0</v>
      </c>
    </row>
    <row r="3384" spans="1:9" x14ac:dyDescent="0.2">
      <c r="A3384" s="2">
        <v>15</v>
      </c>
      <c r="B3384" s="1" t="s">
        <v>261</v>
      </c>
      <c r="C3384" s="4">
        <v>2</v>
      </c>
      <c r="D3384" s="8">
        <v>1.75</v>
      </c>
      <c r="E3384" s="4">
        <v>0</v>
      </c>
      <c r="F3384" s="8">
        <v>0</v>
      </c>
      <c r="G3384" s="4">
        <v>2</v>
      </c>
      <c r="H3384" s="8">
        <v>3.64</v>
      </c>
      <c r="I3384" s="4">
        <v>0</v>
      </c>
    </row>
    <row r="3385" spans="1:9" x14ac:dyDescent="0.2">
      <c r="A3385" s="2">
        <v>15</v>
      </c>
      <c r="B3385" s="1" t="s">
        <v>216</v>
      </c>
      <c r="C3385" s="4">
        <v>2</v>
      </c>
      <c r="D3385" s="8">
        <v>1.75</v>
      </c>
      <c r="E3385" s="4">
        <v>0</v>
      </c>
      <c r="F3385" s="8">
        <v>0</v>
      </c>
      <c r="G3385" s="4">
        <v>2</v>
      </c>
      <c r="H3385" s="8">
        <v>3.64</v>
      </c>
      <c r="I3385" s="4">
        <v>0</v>
      </c>
    </row>
    <row r="3386" spans="1:9" x14ac:dyDescent="0.2">
      <c r="A3386" s="2">
        <v>15</v>
      </c>
      <c r="B3386" s="1" t="s">
        <v>220</v>
      </c>
      <c r="C3386" s="4">
        <v>2</v>
      </c>
      <c r="D3386" s="8">
        <v>1.75</v>
      </c>
      <c r="E3386" s="4">
        <v>0</v>
      </c>
      <c r="F3386" s="8">
        <v>0</v>
      </c>
      <c r="G3386" s="4">
        <v>2</v>
      </c>
      <c r="H3386" s="8">
        <v>3.64</v>
      </c>
      <c r="I3386" s="4">
        <v>0</v>
      </c>
    </row>
    <row r="3387" spans="1:9" x14ac:dyDescent="0.2">
      <c r="A3387" s="2">
        <v>15</v>
      </c>
      <c r="B3387" s="1" t="s">
        <v>243</v>
      </c>
      <c r="C3387" s="4">
        <v>2</v>
      </c>
      <c r="D3387" s="8">
        <v>1.75</v>
      </c>
      <c r="E3387" s="4">
        <v>1</v>
      </c>
      <c r="F3387" s="8">
        <v>1.82</v>
      </c>
      <c r="G3387" s="4">
        <v>1</v>
      </c>
      <c r="H3387" s="8">
        <v>1.82</v>
      </c>
      <c r="I3387" s="4">
        <v>0</v>
      </c>
    </row>
    <row r="3388" spans="1:9" x14ac:dyDescent="0.2">
      <c r="A3388" s="2">
        <v>15</v>
      </c>
      <c r="B3388" s="1" t="s">
        <v>239</v>
      </c>
      <c r="C3388" s="4">
        <v>2</v>
      </c>
      <c r="D3388" s="8">
        <v>1.75</v>
      </c>
      <c r="E3388" s="4">
        <v>0</v>
      </c>
      <c r="F3388" s="8">
        <v>0</v>
      </c>
      <c r="G3388" s="4">
        <v>2</v>
      </c>
      <c r="H3388" s="8">
        <v>3.64</v>
      </c>
      <c r="I3388" s="4">
        <v>0</v>
      </c>
    </row>
    <row r="3389" spans="1:9" x14ac:dyDescent="0.2">
      <c r="A3389" s="2">
        <v>15</v>
      </c>
      <c r="B3389" s="1" t="s">
        <v>229</v>
      </c>
      <c r="C3389" s="4">
        <v>2</v>
      </c>
      <c r="D3389" s="8">
        <v>1.75</v>
      </c>
      <c r="E3389" s="4">
        <v>1</v>
      </c>
      <c r="F3389" s="8">
        <v>1.82</v>
      </c>
      <c r="G3389" s="4">
        <v>1</v>
      </c>
      <c r="H3389" s="8">
        <v>1.82</v>
      </c>
      <c r="I3389" s="4">
        <v>0</v>
      </c>
    </row>
    <row r="3390" spans="1:9" x14ac:dyDescent="0.2">
      <c r="A3390" s="2">
        <v>15</v>
      </c>
      <c r="B3390" s="1" t="s">
        <v>242</v>
      </c>
      <c r="C3390" s="4">
        <v>2</v>
      </c>
      <c r="D3390" s="8">
        <v>1.75</v>
      </c>
      <c r="E3390" s="4">
        <v>2</v>
      </c>
      <c r="F3390" s="8">
        <v>3.64</v>
      </c>
      <c r="G3390" s="4">
        <v>0</v>
      </c>
      <c r="H3390" s="8">
        <v>0</v>
      </c>
      <c r="I3390" s="4">
        <v>0</v>
      </c>
    </row>
    <row r="3391" spans="1:9" x14ac:dyDescent="0.2">
      <c r="A3391" s="1"/>
      <c r="C3391" s="4"/>
      <c r="D3391" s="8"/>
      <c r="E3391" s="4"/>
      <c r="F3391" s="8"/>
      <c r="G3391" s="4"/>
      <c r="H3391" s="8"/>
      <c r="I3391" s="4"/>
    </row>
    <row r="3392" spans="1:9" x14ac:dyDescent="0.2">
      <c r="A3392" s="1" t="s">
        <v>134</v>
      </c>
      <c r="C3392" s="4"/>
      <c r="D3392" s="8"/>
      <c r="E3392" s="4"/>
      <c r="F3392" s="8"/>
      <c r="G3392" s="4"/>
      <c r="H3392" s="8"/>
      <c r="I3392" s="4"/>
    </row>
    <row r="3393" spans="1:9" x14ac:dyDescent="0.2">
      <c r="A3393" s="2">
        <v>1</v>
      </c>
      <c r="B3393" s="1" t="s">
        <v>227</v>
      </c>
      <c r="C3393" s="4">
        <v>56</v>
      </c>
      <c r="D3393" s="8">
        <v>14.58</v>
      </c>
      <c r="E3393" s="4">
        <v>49</v>
      </c>
      <c r="F3393" s="8">
        <v>22.58</v>
      </c>
      <c r="G3393" s="4">
        <v>6</v>
      </c>
      <c r="H3393" s="8">
        <v>3.87</v>
      </c>
      <c r="I3393" s="4">
        <v>1</v>
      </c>
    </row>
    <row r="3394" spans="1:9" x14ac:dyDescent="0.2">
      <c r="A3394" s="2">
        <v>2</v>
      </c>
      <c r="B3394" s="1" t="s">
        <v>224</v>
      </c>
      <c r="C3394" s="4">
        <v>47</v>
      </c>
      <c r="D3394" s="8">
        <v>12.24</v>
      </c>
      <c r="E3394" s="4">
        <v>40</v>
      </c>
      <c r="F3394" s="8">
        <v>18.43</v>
      </c>
      <c r="G3394" s="4">
        <v>7</v>
      </c>
      <c r="H3394" s="8">
        <v>4.5199999999999996</v>
      </c>
      <c r="I3394" s="4">
        <v>0</v>
      </c>
    </row>
    <row r="3395" spans="1:9" x14ac:dyDescent="0.2">
      <c r="A3395" s="2">
        <v>3</v>
      </c>
      <c r="B3395" s="1" t="s">
        <v>228</v>
      </c>
      <c r="C3395" s="4">
        <v>37</v>
      </c>
      <c r="D3395" s="8">
        <v>9.64</v>
      </c>
      <c r="E3395" s="4">
        <v>34</v>
      </c>
      <c r="F3395" s="8">
        <v>15.67</v>
      </c>
      <c r="G3395" s="4">
        <v>3</v>
      </c>
      <c r="H3395" s="8">
        <v>1.94</v>
      </c>
      <c r="I3395" s="4">
        <v>0</v>
      </c>
    </row>
    <row r="3396" spans="1:9" x14ac:dyDescent="0.2">
      <c r="A3396" s="2">
        <v>4</v>
      </c>
      <c r="B3396" s="1" t="s">
        <v>223</v>
      </c>
      <c r="C3396" s="4">
        <v>30</v>
      </c>
      <c r="D3396" s="8">
        <v>7.81</v>
      </c>
      <c r="E3396" s="4">
        <v>16</v>
      </c>
      <c r="F3396" s="8">
        <v>7.37</v>
      </c>
      <c r="G3396" s="4">
        <v>14</v>
      </c>
      <c r="H3396" s="8">
        <v>9.0299999999999994</v>
      </c>
      <c r="I3396" s="4">
        <v>0</v>
      </c>
    </row>
    <row r="3397" spans="1:9" x14ac:dyDescent="0.2">
      <c r="A3397" s="2">
        <v>5</v>
      </c>
      <c r="B3397" s="1" t="s">
        <v>243</v>
      </c>
      <c r="C3397" s="4">
        <v>17</v>
      </c>
      <c r="D3397" s="8">
        <v>4.43</v>
      </c>
      <c r="E3397" s="4">
        <v>7</v>
      </c>
      <c r="F3397" s="8">
        <v>3.23</v>
      </c>
      <c r="G3397" s="4">
        <v>10</v>
      </c>
      <c r="H3397" s="8">
        <v>6.45</v>
      </c>
      <c r="I3397" s="4">
        <v>0</v>
      </c>
    </row>
    <row r="3398" spans="1:9" x14ac:dyDescent="0.2">
      <c r="A3398" s="2">
        <v>6</v>
      </c>
      <c r="B3398" s="1" t="s">
        <v>213</v>
      </c>
      <c r="C3398" s="4">
        <v>16</v>
      </c>
      <c r="D3398" s="8">
        <v>4.17</v>
      </c>
      <c r="E3398" s="4">
        <v>6</v>
      </c>
      <c r="F3398" s="8">
        <v>2.76</v>
      </c>
      <c r="G3398" s="4">
        <v>10</v>
      </c>
      <c r="H3398" s="8">
        <v>6.45</v>
      </c>
      <c r="I3398" s="4">
        <v>0</v>
      </c>
    </row>
    <row r="3399" spans="1:9" x14ac:dyDescent="0.2">
      <c r="A3399" s="2">
        <v>6</v>
      </c>
      <c r="B3399" s="1" t="s">
        <v>241</v>
      </c>
      <c r="C3399" s="4">
        <v>16</v>
      </c>
      <c r="D3399" s="8">
        <v>4.17</v>
      </c>
      <c r="E3399" s="4">
        <v>1</v>
      </c>
      <c r="F3399" s="8">
        <v>0.46</v>
      </c>
      <c r="G3399" s="4">
        <v>15</v>
      </c>
      <c r="H3399" s="8">
        <v>9.68</v>
      </c>
      <c r="I3399" s="4">
        <v>0</v>
      </c>
    </row>
    <row r="3400" spans="1:9" x14ac:dyDescent="0.2">
      <c r="A3400" s="2">
        <v>8</v>
      </c>
      <c r="B3400" s="1" t="s">
        <v>221</v>
      </c>
      <c r="C3400" s="4">
        <v>15</v>
      </c>
      <c r="D3400" s="8">
        <v>3.91</v>
      </c>
      <c r="E3400" s="4">
        <v>6</v>
      </c>
      <c r="F3400" s="8">
        <v>2.76</v>
      </c>
      <c r="G3400" s="4">
        <v>9</v>
      </c>
      <c r="H3400" s="8">
        <v>5.81</v>
      </c>
      <c r="I3400" s="4">
        <v>0</v>
      </c>
    </row>
    <row r="3401" spans="1:9" x14ac:dyDescent="0.2">
      <c r="A3401" s="2">
        <v>9</v>
      </c>
      <c r="B3401" s="1" t="s">
        <v>230</v>
      </c>
      <c r="C3401" s="4">
        <v>11</v>
      </c>
      <c r="D3401" s="8">
        <v>2.86</v>
      </c>
      <c r="E3401" s="4">
        <v>8</v>
      </c>
      <c r="F3401" s="8">
        <v>3.69</v>
      </c>
      <c r="G3401" s="4">
        <v>1</v>
      </c>
      <c r="H3401" s="8">
        <v>0.65</v>
      </c>
      <c r="I3401" s="4">
        <v>0</v>
      </c>
    </row>
    <row r="3402" spans="1:9" x14ac:dyDescent="0.2">
      <c r="A3402" s="2">
        <v>10</v>
      </c>
      <c r="B3402" s="1" t="s">
        <v>247</v>
      </c>
      <c r="C3402" s="4">
        <v>10</v>
      </c>
      <c r="D3402" s="8">
        <v>2.6</v>
      </c>
      <c r="E3402" s="4">
        <v>6</v>
      </c>
      <c r="F3402" s="8">
        <v>2.76</v>
      </c>
      <c r="G3402" s="4">
        <v>2</v>
      </c>
      <c r="H3402" s="8">
        <v>1.29</v>
      </c>
      <c r="I3402" s="4">
        <v>0</v>
      </c>
    </row>
    <row r="3403" spans="1:9" x14ac:dyDescent="0.2">
      <c r="A3403" s="2">
        <v>11</v>
      </c>
      <c r="B3403" s="1" t="s">
        <v>214</v>
      </c>
      <c r="C3403" s="4">
        <v>9</v>
      </c>
      <c r="D3403" s="8">
        <v>2.34</v>
      </c>
      <c r="E3403" s="4">
        <v>5</v>
      </c>
      <c r="F3403" s="8">
        <v>2.2999999999999998</v>
      </c>
      <c r="G3403" s="4">
        <v>4</v>
      </c>
      <c r="H3403" s="8">
        <v>2.58</v>
      </c>
      <c r="I3403" s="4">
        <v>0</v>
      </c>
    </row>
    <row r="3404" spans="1:9" x14ac:dyDescent="0.2">
      <c r="A3404" s="2">
        <v>12</v>
      </c>
      <c r="B3404" s="1" t="s">
        <v>222</v>
      </c>
      <c r="C3404" s="4">
        <v>8</v>
      </c>
      <c r="D3404" s="8">
        <v>2.08</v>
      </c>
      <c r="E3404" s="4">
        <v>4</v>
      </c>
      <c r="F3404" s="8">
        <v>1.84</v>
      </c>
      <c r="G3404" s="4">
        <v>4</v>
      </c>
      <c r="H3404" s="8">
        <v>2.58</v>
      </c>
      <c r="I3404" s="4">
        <v>0</v>
      </c>
    </row>
    <row r="3405" spans="1:9" x14ac:dyDescent="0.2">
      <c r="A3405" s="2">
        <v>12</v>
      </c>
      <c r="B3405" s="1" t="s">
        <v>232</v>
      </c>
      <c r="C3405" s="4">
        <v>8</v>
      </c>
      <c r="D3405" s="8">
        <v>2.08</v>
      </c>
      <c r="E3405" s="4">
        <v>0</v>
      </c>
      <c r="F3405" s="8">
        <v>0</v>
      </c>
      <c r="G3405" s="4">
        <v>6</v>
      </c>
      <c r="H3405" s="8">
        <v>3.87</v>
      </c>
      <c r="I3405" s="4">
        <v>0</v>
      </c>
    </row>
    <row r="3406" spans="1:9" x14ac:dyDescent="0.2">
      <c r="A3406" s="2">
        <v>14</v>
      </c>
      <c r="B3406" s="1" t="s">
        <v>215</v>
      </c>
      <c r="C3406" s="4">
        <v>6</v>
      </c>
      <c r="D3406" s="8">
        <v>1.56</v>
      </c>
      <c r="E3406" s="4">
        <v>1</v>
      </c>
      <c r="F3406" s="8">
        <v>0.46</v>
      </c>
      <c r="G3406" s="4">
        <v>5</v>
      </c>
      <c r="H3406" s="8">
        <v>3.23</v>
      </c>
      <c r="I3406" s="4">
        <v>0</v>
      </c>
    </row>
    <row r="3407" spans="1:9" x14ac:dyDescent="0.2">
      <c r="A3407" s="2">
        <v>14</v>
      </c>
      <c r="B3407" s="1" t="s">
        <v>216</v>
      </c>
      <c r="C3407" s="4">
        <v>6</v>
      </c>
      <c r="D3407" s="8">
        <v>1.56</v>
      </c>
      <c r="E3407" s="4">
        <v>0</v>
      </c>
      <c r="F3407" s="8">
        <v>0</v>
      </c>
      <c r="G3407" s="4">
        <v>6</v>
      </c>
      <c r="H3407" s="8">
        <v>3.87</v>
      </c>
      <c r="I3407" s="4">
        <v>0</v>
      </c>
    </row>
    <row r="3408" spans="1:9" x14ac:dyDescent="0.2">
      <c r="A3408" s="2">
        <v>14</v>
      </c>
      <c r="B3408" s="1" t="s">
        <v>226</v>
      </c>
      <c r="C3408" s="4">
        <v>6</v>
      </c>
      <c r="D3408" s="8">
        <v>1.56</v>
      </c>
      <c r="E3408" s="4">
        <v>0</v>
      </c>
      <c r="F3408" s="8">
        <v>0</v>
      </c>
      <c r="G3408" s="4">
        <v>6</v>
      </c>
      <c r="H3408" s="8">
        <v>3.87</v>
      </c>
      <c r="I3408" s="4">
        <v>0</v>
      </c>
    </row>
    <row r="3409" spans="1:9" x14ac:dyDescent="0.2">
      <c r="A3409" s="2">
        <v>17</v>
      </c>
      <c r="B3409" s="1" t="s">
        <v>220</v>
      </c>
      <c r="C3409" s="4">
        <v>5</v>
      </c>
      <c r="D3409" s="8">
        <v>1.3</v>
      </c>
      <c r="E3409" s="4">
        <v>4</v>
      </c>
      <c r="F3409" s="8">
        <v>1.84</v>
      </c>
      <c r="G3409" s="4">
        <v>1</v>
      </c>
      <c r="H3409" s="8">
        <v>0.65</v>
      </c>
      <c r="I3409" s="4">
        <v>0</v>
      </c>
    </row>
    <row r="3410" spans="1:9" x14ac:dyDescent="0.2">
      <c r="A3410" s="2">
        <v>17</v>
      </c>
      <c r="B3410" s="1" t="s">
        <v>246</v>
      </c>
      <c r="C3410" s="4">
        <v>5</v>
      </c>
      <c r="D3410" s="8">
        <v>1.3</v>
      </c>
      <c r="E3410" s="4">
        <v>0</v>
      </c>
      <c r="F3410" s="8">
        <v>0</v>
      </c>
      <c r="G3410" s="4">
        <v>5</v>
      </c>
      <c r="H3410" s="8">
        <v>3.23</v>
      </c>
      <c r="I3410" s="4">
        <v>0</v>
      </c>
    </row>
    <row r="3411" spans="1:9" x14ac:dyDescent="0.2">
      <c r="A3411" s="2">
        <v>17</v>
      </c>
      <c r="B3411" s="1" t="s">
        <v>225</v>
      </c>
      <c r="C3411" s="4">
        <v>5</v>
      </c>
      <c r="D3411" s="8">
        <v>1.3</v>
      </c>
      <c r="E3411" s="4">
        <v>5</v>
      </c>
      <c r="F3411" s="8">
        <v>2.2999999999999998</v>
      </c>
      <c r="G3411" s="4">
        <v>0</v>
      </c>
      <c r="H3411" s="8">
        <v>0</v>
      </c>
      <c r="I3411" s="4">
        <v>0</v>
      </c>
    </row>
    <row r="3412" spans="1:9" x14ac:dyDescent="0.2">
      <c r="A3412" s="2">
        <v>17</v>
      </c>
      <c r="B3412" s="1" t="s">
        <v>229</v>
      </c>
      <c r="C3412" s="4">
        <v>5</v>
      </c>
      <c r="D3412" s="8">
        <v>1.3</v>
      </c>
      <c r="E3412" s="4">
        <v>5</v>
      </c>
      <c r="F3412" s="8">
        <v>2.2999999999999998</v>
      </c>
      <c r="G3412" s="4">
        <v>0</v>
      </c>
      <c r="H3412" s="8">
        <v>0</v>
      </c>
      <c r="I3412" s="4">
        <v>0</v>
      </c>
    </row>
    <row r="3413" spans="1:9" x14ac:dyDescent="0.2">
      <c r="A3413" s="2">
        <v>17</v>
      </c>
      <c r="B3413" s="1" t="s">
        <v>231</v>
      </c>
      <c r="C3413" s="4">
        <v>5</v>
      </c>
      <c r="D3413" s="8">
        <v>1.3</v>
      </c>
      <c r="E3413" s="4">
        <v>5</v>
      </c>
      <c r="F3413" s="8">
        <v>2.2999999999999998</v>
      </c>
      <c r="G3413" s="4">
        <v>0</v>
      </c>
      <c r="H3413" s="8">
        <v>0</v>
      </c>
      <c r="I3413" s="4">
        <v>0</v>
      </c>
    </row>
    <row r="3414" spans="1:9" x14ac:dyDescent="0.2">
      <c r="A3414" s="2">
        <v>17</v>
      </c>
      <c r="B3414" s="1" t="s">
        <v>234</v>
      </c>
      <c r="C3414" s="4">
        <v>5</v>
      </c>
      <c r="D3414" s="8">
        <v>1.3</v>
      </c>
      <c r="E3414" s="4">
        <v>1</v>
      </c>
      <c r="F3414" s="8">
        <v>0.46</v>
      </c>
      <c r="G3414" s="4">
        <v>3</v>
      </c>
      <c r="H3414" s="8">
        <v>1.94</v>
      </c>
      <c r="I3414" s="4">
        <v>1</v>
      </c>
    </row>
    <row r="3415" spans="1:9" x14ac:dyDescent="0.2">
      <c r="A3415" s="1"/>
      <c r="C3415" s="4"/>
      <c r="D3415" s="8"/>
      <c r="E3415" s="4"/>
      <c r="F3415" s="8"/>
      <c r="G3415" s="4"/>
      <c r="H3415" s="8"/>
      <c r="I3415" s="4"/>
    </row>
    <row r="3416" spans="1:9" x14ac:dyDescent="0.2">
      <c r="A3416" s="1" t="s">
        <v>135</v>
      </c>
      <c r="C3416" s="4"/>
      <c r="D3416" s="8"/>
      <c r="E3416" s="4"/>
      <c r="F3416" s="8"/>
      <c r="G3416" s="4"/>
      <c r="H3416" s="8"/>
      <c r="I3416" s="4"/>
    </row>
    <row r="3417" spans="1:9" x14ac:dyDescent="0.2">
      <c r="A3417" s="2">
        <v>1</v>
      </c>
      <c r="B3417" s="1" t="s">
        <v>228</v>
      </c>
      <c r="C3417" s="4">
        <v>8</v>
      </c>
      <c r="D3417" s="8">
        <v>10</v>
      </c>
      <c r="E3417" s="4">
        <v>8</v>
      </c>
      <c r="F3417" s="8">
        <v>19.510000000000002</v>
      </c>
      <c r="G3417" s="4">
        <v>0</v>
      </c>
      <c r="H3417" s="8">
        <v>0</v>
      </c>
      <c r="I3417" s="4">
        <v>0</v>
      </c>
    </row>
    <row r="3418" spans="1:9" x14ac:dyDescent="0.2">
      <c r="A3418" s="2">
        <v>2</v>
      </c>
      <c r="B3418" s="1" t="s">
        <v>221</v>
      </c>
      <c r="C3418" s="4">
        <v>7</v>
      </c>
      <c r="D3418" s="8">
        <v>8.75</v>
      </c>
      <c r="E3418" s="4">
        <v>5</v>
      </c>
      <c r="F3418" s="8">
        <v>12.2</v>
      </c>
      <c r="G3418" s="4">
        <v>2</v>
      </c>
      <c r="H3418" s="8">
        <v>5.26</v>
      </c>
      <c r="I3418" s="4">
        <v>0</v>
      </c>
    </row>
    <row r="3419" spans="1:9" x14ac:dyDescent="0.2">
      <c r="A3419" s="2">
        <v>3</v>
      </c>
      <c r="B3419" s="1" t="s">
        <v>223</v>
      </c>
      <c r="C3419" s="4">
        <v>6</v>
      </c>
      <c r="D3419" s="8">
        <v>7.5</v>
      </c>
      <c r="E3419" s="4">
        <v>1</v>
      </c>
      <c r="F3419" s="8">
        <v>2.44</v>
      </c>
      <c r="G3419" s="4">
        <v>5</v>
      </c>
      <c r="H3419" s="8">
        <v>13.16</v>
      </c>
      <c r="I3419" s="4">
        <v>0</v>
      </c>
    </row>
    <row r="3420" spans="1:9" x14ac:dyDescent="0.2">
      <c r="A3420" s="2">
        <v>3</v>
      </c>
      <c r="B3420" s="1" t="s">
        <v>227</v>
      </c>
      <c r="C3420" s="4">
        <v>6</v>
      </c>
      <c r="D3420" s="8">
        <v>7.5</v>
      </c>
      <c r="E3420" s="4">
        <v>6</v>
      </c>
      <c r="F3420" s="8">
        <v>14.63</v>
      </c>
      <c r="G3420" s="4">
        <v>0</v>
      </c>
      <c r="H3420" s="8">
        <v>0</v>
      </c>
      <c r="I3420" s="4">
        <v>0</v>
      </c>
    </row>
    <row r="3421" spans="1:9" x14ac:dyDescent="0.2">
      <c r="A3421" s="2">
        <v>5</v>
      </c>
      <c r="B3421" s="1" t="s">
        <v>213</v>
      </c>
      <c r="C3421" s="4">
        <v>5</v>
      </c>
      <c r="D3421" s="8">
        <v>6.25</v>
      </c>
      <c r="E3421" s="4">
        <v>1</v>
      </c>
      <c r="F3421" s="8">
        <v>2.44</v>
      </c>
      <c r="G3421" s="4">
        <v>4</v>
      </c>
      <c r="H3421" s="8">
        <v>10.53</v>
      </c>
      <c r="I3421" s="4">
        <v>0</v>
      </c>
    </row>
    <row r="3422" spans="1:9" x14ac:dyDescent="0.2">
      <c r="A3422" s="2">
        <v>5</v>
      </c>
      <c r="B3422" s="1" t="s">
        <v>243</v>
      </c>
      <c r="C3422" s="4">
        <v>5</v>
      </c>
      <c r="D3422" s="8">
        <v>6.25</v>
      </c>
      <c r="E3422" s="4">
        <v>2</v>
      </c>
      <c r="F3422" s="8">
        <v>4.88</v>
      </c>
      <c r="G3422" s="4">
        <v>3</v>
      </c>
      <c r="H3422" s="8">
        <v>7.89</v>
      </c>
      <c r="I3422" s="4">
        <v>0</v>
      </c>
    </row>
    <row r="3423" spans="1:9" x14ac:dyDescent="0.2">
      <c r="A3423" s="2">
        <v>7</v>
      </c>
      <c r="B3423" s="1" t="s">
        <v>214</v>
      </c>
      <c r="C3423" s="4">
        <v>3</v>
      </c>
      <c r="D3423" s="8">
        <v>3.75</v>
      </c>
      <c r="E3423" s="4">
        <v>3</v>
      </c>
      <c r="F3423" s="8">
        <v>7.32</v>
      </c>
      <c r="G3423" s="4">
        <v>0</v>
      </c>
      <c r="H3423" s="8">
        <v>0</v>
      </c>
      <c r="I3423" s="4">
        <v>0</v>
      </c>
    </row>
    <row r="3424" spans="1:9" x14ac:dyDescent="0.2">
      <c r="A3424" s="2">
        <v>7</v>
      </c>
      <c r="B3424" s="1" t="s">
        <v>220</v>
      </c>
      <c r="C3424" s="4">
        <v>3</v>
      </c>
      <c r="D3424" s="8">
        <v>3.75</v>
      </c>
      <c r="E3424" s="4">
        <v>2</v>
      </c>
      <c r="F3424" s="8">
        <v>4.88</v>
      </c>
      <c r="G3424" s="4">
        <v>1</v>
      </c>
      <c r="H3424" s="8">
        <v>2.63</v>
      </c>
      <c r="I3424" s="4">
        <v>0</v>
      </c>
    </row>
    <row r="3425" spans="1:9" x14ac:dyDescent="0.2">
      <c r="A3425" s="2">
        <v>7</v>
      </c>
      <c r="B3425" s="1" t="s">
        <v>222</v>
      </c>
      <c r="C3425" s="4">
        <v>3</v>
      </c>
      <c r="D3425" s="8">
        <v>3.75</v>
      </c>
      <c r="E3425" s="4">
        <v>2</v>
      </c>
      <c r="F3425" s="8">
        <v>4.88</v>
      </c>
      <c r="G3425" s="4">
        <v>1</v>
      </c>
      <c r="H3425" s="8">
        <v>2.63</v>
      </c>
      <c r="I3425" s="4">
        <v>0</v>
      </c>
    </row>
    <row r="3426" spans="1:9" x14ac:dyDescent="0.2">
      <c r="A3426" s="2">
        <v>7</v>
      </c>
      <c r="B3426" s="1" t="s">
        <v>224</v>
      </c>
      <c r="C3426" s="4">
        <v>3</v>
      </c>
      <c r="D3426" s="8">
        <v>3.75</v>
      </c>
      <c r="E3426" s="4">
        <v>0</v>
      </c>
      <c r="F3426" s="8">
        <v>0</v>
      </c>
      <c r="G3426" s="4">
        <v>3</v>
      </c>
      <c r="H3426" s="8">
        <v>7.89</v>
      </c>
      <c r="I3426" s="4">
        <v>0</v>
      </c>
    </row>
    <row r="3427" spans="1:9" x14ac:dyDescent="0.2">
      <c r="A3427" s="2">
        <v>7</v>
      </c>
      <c r="B3427" s="1" t="s">
        <v>240</v>
      </c>
      <c r="C3427" s="4">
        <v>3</v>
      </c>
      <c r="D3427" s="8">
        <v>3.75</v>
      </c>
      <c r="E3427" s="4">
        <v>2</v>
      </c>
      <c r="F3427" s="8">
        <v>4.88</v>
      </c>
      <c r="G3427" s="4">
        <v>1</v>
      </c>
      <c r="H3427" s="8">
        <v>2.63</v>
      </c>
      <c r="I3427" s="4">
        <v>0</v>
      </c>
    </row>
    <row r="3428" spans="1:9" x14ac:dyDescent="0.2">
      <c r="A3428" s="2">
        <v>12</v>
      </c>
      <c r="B3428" s="1" t="s">
        <v>215</v>
      </c>
      <c r="C3428" s="4">
        <v>2</v>
      </c>
      <c r="D3428" s="8">
        <v>2.5</v>
      </c>
      <c r="E3428" s="4">
        <v>0</v>
      </c>
      <c r="F3428" s="8">
        <v>0</v>
      </c>
      <c r="G3428" s="4">
        <v>2</v>
      </c>
      <c r="H3428" s="8">
        <v>5.26</v>
      </c>
      <c r="I3428" s="4">
        <v>0</v>
      </c>
    </row>
    <row r="3429" spans="1:9" x14ac:dyDescent="0.2">
      <c r="A3429" s="2">
        <v>12</v>
      </c>
      <c r="B3429" s="1" t="s">
        <v>219</v>
      </c>
      <c r="C3429" s="4">
        <v>2</v>
      </c>
      <c r="D3429" s="8">
        <v>2.5</v>
      </c>
      <c r="E3429" s="4">
        <v>1</v>
      </c>
      <c r="F3429" s="8">
        <v>2.44</v>
      </c>
      <c r="G3429" s="4">
        <v>1</v>
      </c>
      <c r="H3429" s="8">
        <v>2.63</v>
      </c>
      <c r="I3429" s="4">
        <v>0</v>
      </c>
    </row>
    <row r="3430" spans="1:9" x14ac:dyDescent="0.2">
      <c r="A3430" s="2">
        <v>12</v>
      </c>
      <c r="B3430" s="1" t="s">
        <v>236</v>
      </c>
      <c r="C3430" s="4">
        <v>2</v>
      </c>
      <c r="D3430" s="8">
        <v>2.5</v>
      </c>
      <c r="E3430" s="4">
        <v>0</v>
      </c>
      <c r="F3430" s="8">
        <v>0</v>
      </c>
      <c r="G3430" s="4">
        <v>2</v>
      </c>
      <c r="H3430" s="8">
        <v>5.26</v>
      </c>
      <c r="I3430" s="4">
        <v>0</v>
      </c>
    </row>
    <row r="3431" spans="1:9" x14ac:dyDescent="0.2">
      <c r="A3431" s="2">
        <v>12</v>
      </c>
      <c r="B3431" s="1" t="s">
        <v>239</v>
      </c>
      <c r="C3431" s="4">
        <v>2</v>
      </c>
      <c r="D3431" s="8">
        <v>2.5</v>
      </c>
      <c r="E3431" s="4">
        <v>0</v>
      </c>
      <c r="F3431" s="8">
        <v>0</v>
      </c>
      <c r="G3431" s="4">
        <v>2</v>
      </c>
      <c r="H3431" s="8">
        <v>5.26</v>
      </c>
      <c r="I3431" s="4">
        <v>0</v>
      </c>
    </row>
    <row r="3432" spans="1:9" x14ac:dyDescent="0.2">
      <c r="A3432" s="2">
        <v>12</v>
      </c>
      <c r="B3432" s="1" t="s">
        <v>247</v>
      </c>
      <c r="C3432" s="4">
        <v>2</v>
      </c>
      <c r="D3432" s="8">
        <v>2.5</v>
      </c>
      <c r="E3432" s="4">
        <v>0</v>
      </c>
      <c r="F3432" s="8">
        <v>0</v>
      </c>
      <c r="G3432" s="4">
        <v>2</v>
      </c>
      <c r="H3432" s="8">
        <v>5.26</v>
      </c>
      <c r="I3432" s="4">
        <v>0</v>
      </c>
    </row>
    <row r="3433" spans="1:9" x14ac:dyDescent="0.2">
      <c r="A3433" s="2">
        <v>12</v>
      </c>
      <c r="B3433" s="1" t="s">
        <v>230</v>
      </c>
      <c r="C3433" s="4">
        <v>2</v>
      </c>
      <c r="D3433" s="8">
        <v>2.5</v>
      </c>
      <c r="E3433" s="4">
        <v>2</v>
      </c>
      <c r="F3433" s="8">
        <v>4.88</v>
      </c>
      <c r="G3433" s="4">
        <v>0</v>
      </c>
      <c r="H3433" s="8">
        <v>0</v>
      </c>
      <c r="I3433" s="4">
        <v>0</v>
      </c>
    </row>
    <row r="3434" spans="1:9" x14ac:dyDescent="0.2">
      <c r="A3434" s="2">
        <v>18</v>
      </c>
      <c r="B3434" s="1" t="s">
        <v>244</v>
      </c>
      <c r="C3434" s="4">
        <v>1</v>
      </c>
      <c r="D3434" s="8">
        <v>1.25</v>
      </c>
      <c r="E3434" s="4">
        <v>0</v>
      </c>
      <c r="F3434" s="8">
        <v>0</v>
      </c>
      <c r="G3434" s="4">
        <v>1</v>
      </c>
      <c r="H3434" s="8">
        <v>2.63</v>
      </c>
      <c r="I3434" s="4">
        <v>0</v>
      </c>
    </row>
    <row r="3435" spans="1:9" x14ac:dyDescent="0.2">
      <c r="A3435" s="2">
        <v>18</v>
      </c>
      <c r="B3435" s="1" t="s">
        <v>258</v>
      </c>
      <c r="C3435" s="4">
        <v>1</v>
      </c>
      <c r="D3435" s="8">
        <v>1.25</v>
      </c>
      <c r="E3435" s="4">
        <v>1</v>
      </c>
      <c r="F3435" s="8">
        <v>2.44</v>
      </c>
      <c r="G3435" s="4">
        <v>0</v>
      </c>
      <c r="H3435" s="8">
        <v>0</v>
      </c>
      <c r="I3435" s="4">
        <v>0</v>
      </c>
    </row>
    <row r="3436" spans="1:9" x14ac:dyDescent="0.2">
      <c r="A3436" s="2">
        <v>18</v>
      </c>
      <c r="B3436" s="1" t="s">
        <v>252</v>
      </c>
      <c r="C3436" s="4">
        <v>1</v>
      </c>
      <c r="D3436" s="8">
        <v>1.25</v>
      </c>
      <c r="E3436" s="4">
        <v>0</v>
      </c>
      <c r="F3436" s="8">
        <v>0</v>
      </c>
      <c r="G3436" s="4">
        <v>1</v>
      </c>
      <c r="H3436" s="8">
        <v>2.63</v>
      </c>
      <c r="I3436" s="4">
        <v>0</v>
      </c>
    </row>
    <row r="3437" spans="1:9" x14ac:dyDescent="0.2">
      <c r="A3437" s="2">
        <v>18</v>
      </c>
      <c r="B3437" s="1" t="s">
        <v>245</v>
      </c>
      <c r="C3437" s="4">
        <v>1</v>
      </c>
      <c r="D3437" s="8">
        <v>1.25</v>
      </c>
      <c r="E3437" s="4">
        <v>1</v>
      </c>
      <c r="F3437" s="8">
        <v>2.44</v>
      </c>
      <c r="G3437" s="4">
        <v>0</v>
      </c>
      <c r="H3437" s="8">
        <v>0</v>
      </c>
      <c r="I3437" s="4">
        <v>0</v>
      </c>
    </row>
    <row r="3438" spans="1:9" x14ac:dyDescent="0.2">
      <c r="A3438" s="2">
        <v>18</v>
      </c>
      <c r="B3438" s="1" t="s">
        <v>268</v>
      </c>
      <c r="C3438" s="4">
        <v>1</v>
      </c>
      <c r="D3438" s="8">
        <v>1.25</v>
      </c>
      <c r="E3438" s="4">
        <v>1</v>
      </c>
      <c r="F3438" s="8">
        <v>2.44</v>
      </c>
      <c r="G3438" s="4">
        <v>0</v>
      </c>
      <c r="H3438" s="8">
        <v>0</v>
      </c>
      <c r="I3438" s="4">
        <v>0</v>
      </c>
    </row>
    <row r="3439" spans="1:9" x14ac:dyDescent="0.2">
      <c r="A3439" s="2">
        <v>18</v>
      </c>
      <c r="B3439" s="1" t="s">
        <v>255</v>
      </c>
      <c r="C3439" s="4">
        <v>1</v>
      </c>
      <c r="D3439" s="8">
        <v>1.25</v>
      </c>
      <c r="E3439" s="4">
        <v>0</v>
      </c>
      <c r="F3439" s="8">
        <v>0</v>
      </c>
      <c r="G3439" s="4">
        <v>0</v>
      </c>
      <c r="H3439" s="8">
        <v>0</v>
      </c>
      <c r="I3439" s="4">
        <v>0</v>
      </c>
    </row>
    <row r="3440" spans="1:9" x14ac:dyDescent="0.2">
      <c r="A3440" s="2">
        <v>18</v>
      </c>
      <c r="B3440" s="1" t="s">
        <v>248</v>
      </c>
      <c r="C3440" s="4">
        <v>1</v>
      </c>
      <c r="D3440" s="8">
        <v>1.25</v>
      </c>
      <c r="E3440" s="4">
        <v>0</v>
      </c>
      <c r="F3440" s="8">
        <v>0</v>
      </c>
      <c r="G3440" s="4">
        <v>1</v>
      </c>
      <c r="H3440" s="8">
        <v>2.63</v>
      </c>
      <c r="I3440" s="4">
        <v>0</v>
      </c>
    </row>
    <row r="3441" spans="1:9" x14ac:dyDescent="0.2">
      <c r="A3441" s="2">
        <v>18</v>
      </c>
      <c r="B3441" s="1" t="s">
        <v>260</v>
      </c>
      <c r="C3441" s="4">
        <v>1</v>
      </c>
      <c r="D3441" s="8">
        <v>1.25</v>
      </c>
      <c r="E3441" s="4">
        <v>0</v>
      </c>
      <c r="F3441" s="8">
        <v>0</v>
      </c>
      <c r="G3441" s="4">
        <v>1</v>
      </c>
      <c r="H3441" s="8">
        <v>2.63</v>
      </c>
      <c r="I3441" s="4">
        <v>0</v>
      </c>
    </row>
    <row r="3442" spans="1:9" x14ac:dyDescent="0.2">
      <c r="A3442" s="2">
        <v>18</v>
      </c>
      <c r="B3442" s="1" t="s">
        <v>217</v>
      </c>
      <c r="C3442" s="4">
        <v>1</v>
      </c>
      <c r="D3442" s="8">
        <v>1.25</v>
      </c>
      <c r="E3442" s="4">
        <v>1</v>
      </c>
      <c r="F3442" s="8">
        <v>2.44</v>
      </c>
      <c r="G3442" s="4">
        <v>0</v>
      </c>
      <c r="H3442" s="8">
        <v>0</v>
      </c>
      <c r="I3442" s="4">
        <v>0</v>
      </c>
    </row>
    <row r="3443" spans="1:9" x14ac:dyDescent="0.2">
      <c r="A3443" s="2">
        <v>18</v>
      </c>
      <c r="B3443" s="1" t="s">
        <v>256</v>
      </c>
      <c r="C3443" s="4">
        <v>1</v>
      </c>
      <c r="D3443" s="8">
        <v>1.25</v>
      </c>
      <c r="E3443" s="4">
        <v>0</v>
      </c>
      <c r="F3443" s="8">
        <v>0</v>
      </c>
      <c r="G3443" s="4">
        <v>1</v>
      </c>
      <c r="H3443" s="8">
        <v>2.63</v>
      </c>
      <c r="I3443" s="4">
        <v>0</v>
      </c>
    </row>
    <row r="3444" spans="1:9" x14ac:dyDescent="0.2">
      <c r="A3444" s="2">
        <v>18</v>
      </c>
      <c r="B3444" s="1" t="s">
        <v>226</v>
      </c>
      <c r="C3444" s="4">
        <v>1</v>
      </c>
      <c r="D3444" s="8">
        <v>1.25</v>
      </c>
      <c r="E3444" s="4">
        <v>0</v>
      </c>
      <c r="F3444" s="8">
        <v>0</v>
      </c>
      <c r="G3444" s="4">
        <v>1</v>
      </c>
      <c r="H3444" s="8">
        <v>2.63</v>
      </c>
      <c r="I3444" s="4">
        <v>0</v>
      </c>
    </row>
    <row r="3445" spans="1:9" x14ac:dyDescent="0.2">
      <c r="A3445" s="2">
        <v>18</v>
      </c>
      <c r="B3445" s="1" t="s">
        <v>229</v>
      </c>
      <c r="C3445" s="4">
        <v>1</v>
      </c>
      <c r="D3445" s="8">
        <v>1.25</v>
      </c>
      <c r="E3445" s="4">
        <v>0</v>
      </c>
      <c r="F3445" s="8">
        <v>0</v>
      </c>
      <c r="G3445" s="4">
        <v>1</v>
      </c>
      <c r="H3445" s="8">
        <v>2.63</v>
      </c>
      <c r="I3445" s="4">
        <v>0</v>
      </c>
    </row>
    <row r="3446" spans="1:9" x14ac:dyDescent="0.2">
      <c r="A3446" s="2">
        <v>18</v>
      </c>
      <c r="B3446" s="1" t="s">
        <v>231</v>
      </c>
      <c r="C3446" s="4">
        <v>1</v>
      </c>
      <c r="D3446" s="8">
        <v>1.25</v>
      </c>
      <c r="E3446" s="4">
        <v>1</v>
      </c>
      <c r="F3446" s="8">
        <v>2.44</v>
      </c>
      <c r="G3446" s="4">
        <v>0</v>
      </c>
      <c r="H3446" s="8">
        <v>0</v>
      </c>
      <c r="I3446" s="4">
        <v>0</v>
      </c>
    </row>
    <row r="3447" spans="1:9" x14ac:dyDescent="0.2">
      <c r="A3447" s="2">
        <v>18</v>
      </c>
      <c r="B3447" s="1" t="s">
        <v>249</v>
      </c>
      <c r="C3447" s="4">
        <v>1</v>
      </c>
      <c r="D3447" s="8">
        <v>1.25</v>
      </c>
      <c r="E3447" s="4">
        <v>0</v>
      </c>
      <c r="F3447" s="8">
        <v>0</v>
      </c>
      <c r="G3447" s="4">
        <v>1</v>
      </c>
      <c r="H3447" s="8">
        <v>2.63</v>
      </c>
      <c r="I3447" s="4">
        <v>0</v>
      </c>
    </row>
    <row r="3448" spans="1:9" x14ac:dyDescent="0.2">
      <c r="A3448" s="2">
        <v>18</v>
      </c>
      <c r="B3448" s="1" t="s">
        <v>242</v>
      </c>
      <c r="C3448" s="4">
        <v>1</v>
      </c>
      <c r="D3448" s="8">
        <v>1.25</v>
      </c>
      <c r="E3448" s="4">
        <v>1</v>
      </c>
      <c r="F3448" s="8">
        <v>2.44</v>
      </c>
      <c r="G3448" s="4">
        <v>0</v>
      </c>
      <c r="H3448" s="8">
        <v>0</v>
      </c>
      <c r="I3448" s="4">
        <v>0</v>
      </c>
    </row>
    <row r="3449" spans="1:9" x14ac:dyDescent="0.2">
      <c r="A3449" s="2">
        <v>18</v>
      </c>
      <c r="B3449" s="1" t="s">
        <v>234</v>
      </c>
      <c r="C3449" s="4">
        <v>1</v>
      </c>
      <c r="D3449" s="8">
        <v>1.25</v>
      </c>
      <c r="E3449" s="4">
        <v>0</v>
      </c>
      <c r="F3449" s="8">
        <v>0</v>
      </c>
      <c r="G3449" s="4">
        <v>1</v>
      </c>
      <c r="H3449" s="8">
        <v>2.63</v>
      </c>
      <c r="I3449" s="4">
        <v>0</v>
      </c>
    </row>
    <row r="3450" spans="1:9" x14ac:dyDescent="0.2">
      <c r="A3450" s="1"/>
      <c r="C3450" s="4"/>
      <c r="D3450" s="8"/>
      <c r="E3450" s="4"/>
      <c r="F3450" s="8"/>
      <c r="G3450" s="4"/>
      <c r="H3450" s="8"/>
      <c r="I3450" s="4"/>
    </row>
    <row r="3451" spans="1:9" x14ac:dyDescent="0.2">
      <c r="A3451" s="1" t="s">
        <v>136</v>
      </c>
      <c r="C3451" s="4"/>
      <c r="D3451" s="8"/>
      <c r="E3451" s="4"/>
      <c r="F3451" s="8"/>
      <c r="G3451" s="4"/>
      <c r="H3451" s="8"/>
      <c r="I3451" s="4"/>
    </row>
    <row r="3452" spans="1:9" x14ac:dyDescent="0.2">
      <c r="A3452" s="2">
        <v>1</v>
      </c>
      <c r="B3452" s="1" t="s">
        <v>228</v>
      </c>
      <c r="C3452" s="4">
        <v>20</v>
      </c>
      <c r="D3452" s="8">
        <v>14.39</v>
      </c>
      <c r="E3452" s="4">
        <v>19</v>
      </c>
      <c r="F3452" s="8">
        <v>20.21</v>
      </c>
      <c r="G3452" s="4">
        <v>1</v>
      </c>
      <c r="H3452" s="8">
        <v>2.5</v>
      </c>
      <c r="I3452" s="4">
        <v>0</v>
      </c>
    </row>
    <row r="3453" spans="1:9" x14ac:dyDescent="0.2">
      <c r="A3453" s="2">
        <v>2</v>
      </c>
      <c r="B3453" s="1" t="s">
        <v>227</v>
      </c>
      <c r="C3453" s="4">
        <v>17</v>
      </c>
      <c r="D3453" s="8">
        <v>12.23</v>
      </c>
      <c r="E3453" s="4">
        <v>15</v>
      </c>
      <c r="F3453" s="8">
        <v>15.96</v>
      </c>
      <c r="G3453" s="4">
        <v>2</v>
      </c>
      <c r="H3453" s="8">
        <v>5</v>
      </c>
      <c r="I3453" s="4">
        <v>0</v>
      </c>
    </row>
    <row r="3454" spans="1:9" x14ac:dyDescent="0.2">
      <c r="A3454" s="2">
        <v>3</v>
      </c>
      <c r="B3454" s="1" t="s">
        <v>223</v>
      </c>
      <c r="C3454" s="4">
        <v>15</v>
      </c>
      <c r="D3454" s="8">
        <v>10.79</v>
      </c>
      <c r="E3454" s="4">
        <v>11</v>
      </c>
      <c r="F3454" s="8">
        <v>11.7</v>
      </c>
      <c r="G3454" s="4">
        <v>4</v>
      </c>
      <c r="H3454" s="8">
        <v>10</v>
      </c>
      <c r="I3454" s="4">
        <v>0</v>
      </c>
    </row>
    <row r="3455" spans="1:9" x14ac:dyDescent="0.2">
      <c r="A3455" s="2">
        <v>4</v>
      </c>
      <c r="B3455" s="1" t="s">
        <v>221</v>
      </c>
      <c r="C3455" s="4">
        <v>9</v>
      </c>
      <c r="D3455" s="8">
        <v>6.47</v>
      </c>
      <c r="E3455" s="4">
        <v>9</v>
      </c>
      <c r="F3455" s="8">
        <v>9.57</v>
      </c>
      <c r="G3455" s="4">
        <v>0</v>
      </c>
      <c r="H3455" s="8">
        <v>0</v>
      </c>
      <c r="I3455" s="4">
        <v>0</v>
      </c>
    </row>
    <row r="3456" spans="1:9" x14ac:dyDescent="0.2">
      <c r="A3456" s="2">
        <v>5</v>
      </c>
      <c r="B3456" s="1" t="s">
        <v>213</v>
      </c>
      <c r="C3456" s="4">
        <v>8</v>
      </c>
      <c r="D3456" s="8">
        <v>5.76</v>
      </c>
      <c r="E3456" s="4">
        <v>3</v>
      </c>
      <c r="F3456" s="8">
        <v>3.19</v>
      </c>
      <c r="G3456" s="4">
        <v>5</v>
      </c>
      <c r="H3456" s="8">
        <v>12.5</v>
      </c>
      <c r="I3456" s="4">
        <v>0</v>
      </c>
    </row>
    <row r="3457" spans="1:9" x14ac:dyDescent="0.2">
      <c r="A3457" s="2">
        <v>6</v>
      </c>
      <c r="B3457" s="1" t="s">
        <v>222</v>
      </c>
      <c r="C3457" s="4">
        <v>5</v>
      </c>
      <c r="D3457" s="8">
        <v>3.6</v>
      </c>
      <c r="E3457" s="4">
        <v>3</v>
      </c>
      <c r="F3457" s="8">
        <v>3.19</v>
      </c>
      <c r="G3457" s="4">
        <v>2</v>
      </c>
      <c r="H3457" s="8">
        <v>5</v>
      </c>
      <c r="I3457" s="4">
        <v>0</v>
      </c>
    </row>
    <row r="3458" spans="1:9" x14ac:dyDescent="0.2">
      <c r="A3458" s="2">
        <v>6</v>
      </c>
      <c r="B3458" s="1" t="s">
        <v>230</v>
      </c>
      <c r="C3458" s="4">
        <v>5</v>
      </c>
      <c r="D3458" s="8">
        <v>3.6</v>
      </c>
      <c r="E3458" s="4">
        <v>5</v>
      </c>
      <c r="F3458" s="8">
        <v>5.32</v>
      </c>
      <c r="G3458" s="4">
        <v>0</v>
      </c>
      <c r="H3458" s="8">
        <v>0</v>
      </c>
      <c r="I3458" s="4">
        <v>0</v>
      </c>
    </row>
    <row r="3459" spans="1:9" x14ac:dyDescent="0.2">
      <c r="A3459" s="2">
        <v>6</v>
      </c>
      <c r="B3459" s="1" t="s">
        <v>231</v>
      </c>
      <c r="C3459" s="4">
        <v>5</v>
      </c>
      <c r="D3459" s="8">
        <v>3.6</v>
      </c>
      <c r="E3459" s="4">
        <v>5</v>
      </c>
      <c r="F3459" s="8">
        <v>5.32</v>
      </c>
      <c r="G3459" s="4">
        <v>0</v>
      </c>
      <c r="H3459" s="8">
        <v>0</v>
      </c>
      <c r="I3459" s="4">
        <v>0</v>
      </c>
    </row>
    <row r="3460" spans="1:9" x14ac:dyDescent="0.2">
      <c r="A3460" s="2">
        <v>9</v>
      </c>
      <c r="B3460" s="1" t="s">
        <v>220</v>
      </c>
      <c r="C3460" s="4">
        <v>4</v>
      </c>
      <c r="D3460" s="8">
        <v>2.88</v>
      </c>
      <c r="E3460" s="4">
        <v>3</v>
      </c>
      <c r="F3460" s="8">
        <v>3.19</v>
      </c>
      <c r="G3460" s="4">
        <v>1</v>
      </c>
      <c r="H3460" s="8">
        <v>2.5</v>
      </c>
      <c r="I3460" s="4">
        <v>0</v>
      </c>
    </row>
    <row r="3461" spans="1:9" x14ac:dyDescent="0.2">
      <c r="A3461" s="2">
        <v>9</v>
      </c>
      <c r="B3461" s="1" t="s">
        <v>224</v>
      </c>
      <c r="C3461" s="4">
        <v>4</v>
      </c>
      <c r="D3461" s="8">
        <v>2.88</v>
      </c>
      <c r="E3461" s="4">
        <v>3</v>
      </c>
      <c r="F3461" s="8">
        <v>3.19</v>
      </c>
      <c r="G3461" s="4">
        <v>1</v>
      </c>
      <c r="H3461" s="8">
        <v>2.5</v>
      </c>
      <c r="I3461" s="4">
        <v>0</v>
      </c>
    </row>
    <row r="3462" spans="1:9" x14ac:dyDescent="0.2">
      <c r="A3462" s="2">
        <v>9</v>
      </c>
      <c r="B3462" s="1" t="s">
        <v>242</v>
      </c>
      <c r="C3462" s="4">
        <v>4</v>
      </c>
      <c r="D3462" s="8">
        <v>2.88</v>
      </c>
      <c r="E3462" s="4">
        <v>4</v>
      </c>
      <c r="F3462" s="8">
        <v>4.26</v>
      </c>
      <c r="G3462" s="4">
        <v>0</v>
      </c>
      <c r="H3462" s="8">
        <v>0</v>
      </c>
      <c r="I3462" s="4">
        <v>0</v>
      </c>
    </row>
    <row r="3463" spans="1:9" x14ac:dyDescent="0.2">
      <c r="A3463" s="2">
        <v>12</v>
      </c>
      <c r="B3463" s="1" t="s">
        <v>214</v>
      </c>
      <c r="C3463" s="4">
        <v>3</v>
      </c>
      <c r="D3463" s="8">
        <v>2.16</v>
      </c>
      <c r="E3463" s="4">
        <v>2</v>
      </c>
      <c r="F3463" s="8">
        <v>2.13</v>
      </c>
      <c r="G3463" s="4">
        <v>1</v>
      </c>
      <c r="H3463" s="8">
        <v>2.5</v>
      </c>
      <c r="I3463" s="4">
        <v>0</v>
      </c>
    </row>
    <row r="3464" spans="1:9" x14ac:dyDescent="0.2">
      <c r="A3464" s="2">
        <v>12</v>
      </c>
      <c r="B3464" s="1" t="s">
        <v>215</v>
      </c>
      <c r="C3464" s="4">
        <v>3</v>
      </c>
      <c r="D3464" s="8">
        <v>2.16</v>
      </c>
      <c r="E3464" s="4">
        <v>1</v>
      </c>
      <c r="F3464" s="8">
        <v>1.06</v>
      </c>
      <c r="G3464" s="4">
        <v>2</v>
      </c>
      <c r="H3464" s="8">
        <v>5</v>
      </c>
      <c r="I3464" s="4">
        <v>0</v>
      </c>
    </row>
    <row r="3465" spans="1:9" x14ac:dyDescent="0.2">
      <c r="A3465" s="2">
        <v>12</v>
      </c>
      <c r="B3465" s="1" t="s">
        <v>241</v>
      </c>
      <c r="C3465" s="4">
        <v>3</v>
      </c>
      <c r="D3465" s="8">
        <v>2.16</v>
      </c>
      <c r="E3465" s="4">
        <v>1</v>
      </c>
      <c r="F3465" s="8">
        <v>1.06</v>
      </c>
      <c r="G3465" s="4">
        <v>2</v>
      </c>
      <c r="H3465" s="8">
        <v>5</v>
      </c>
      <c r="I3465" s="4">
        <v>0</v>
      </c>
    </row>
    <row r="3466" spans="1:9" x14ac:dyDescent="0.2">
      <c r="A3466" s="2">
        <v>12</v>
      </c>
      <c r="B3466" s="1" t="s">
        <v>262</v>
      </c>
      <c r="C3466" s="4">
        <v>3</v>
      </c>
      <c r="D3466" s="8">
        <v>2.16</v>
      </c>
      <c r="E3466" s="4">
        <v>0</v>
      </c>
      <c r="F3466" s="8">
        <v>0</v>
      </c>
      <c r="G3466" s="4">
        <v>3</v>
      </c>
      <c r="H3466" s="8">
        <v>7.5</v>
      </c>
      <c r="I3466" s="4">
        <v>0</v>
      </c>
    </row>
    <row r="3467" spans="1:9" x14ac:dyDescent="0.2">
      <c r="A3467" s="2">
        <v>12</v>
      </c>
      <c r="B3467" s="1" t="s">
        <v>216</v>
      </c>
      <c r="C3467" s="4">
        <v>3</v>
      </c>
      <c r="D3467" s="8">
        <v>2.16</v>
      </c>
      <c r="E3467" s="4">
        <v>0</v>
      </c>
      <c r="F3467" s="8">
        <v>0</v>
      </c>
      <c r="G3467" s="4">
        <v>3</v>
      </c>
      <c r="H3467" s="8">
        <v>7.5</v>
      </c>
      <c r="I3467" s="4">
        <v>0</v>
      </c>
    </row>
    <row r="3468" spans="1:9" x14ac:dyDescent="0.2">
      <c r="A3468" s="2">
        <v>12</v>
      </c>
      <c r="B3468" s="1" t="s">
        <v>243</v>
      </c>
      <c r="C3468" s="4">
        <v>3</v>
      </c>
      <c r="D3468" s="8">
        <v>2.16</v>
      </c>
      <c r="E3468" s="4">
        <v>1</v>
      </c>
      <c r="F3468" s="8">
        <v>1.06</v>
      </c>
      <c r="G3468" s="4">
        <v>2</v>
      </c>
      <c r="H3468" s="8">
        <v>5</v>
      </c>
      <c r="I3468" s="4">
        <v>0</v>
      </c>
    </row>
    <row r="3469" spans="1:9" x14ac:dyDescent="0.2">
      <c r="A3469" s="2">
        <v>12</v>
      </c>
      <c r="B3469" s="1" t="s">
        <v>232</v>
      </c>
      <c r="C3469" s="4">
        <v>3</v>
      </c>
      <c r="D3469" s="8">
        <v>2.16</v>
      </c>
      <c r="E3469" s="4">
        <v>0</v>
      </c>
      <c r="F3469" s="8">
        <v>0</v>
      </c>
      <c r="G3469" s="4">
        <v>0</v>
      </c>
      <c r="H3469" s="8">
        <v>0</v>
      </c>
      <c r="I3469" s="4">
        <v>0</v>
      </c>
    </row>
    <row r="3470" spans="1:9" x14ac:dyDescent="0.2">
      <c r="A3470" s="2">
        <v>12</v>
      </c>
      <c r="B3470" s="1" t="s">
        <v>234</v>
      </c>
      <c r="C3470" s="4">
        <v>3</v>
      </c>
      <c r="D3470" s="8">
        <v>2.16</v>
      </c>
      <c r="E3470" s="4">
        <v>1</v>
      </c>
      <c r="F3470" s="8">
        <v>1.06</v>
      </c>
      <c r="G3470" s="4">
        <v>1</v>
      </c>
      <c r="H3470" s="8">
        <v>2.5</v>
      </c>
      <c r="I3470" s="4">
        <v>0</v>
      </c>
    </row>
    <row r="3471" spans="1:9" x14ac:dyDescent="0.2">
      <c r="A3471" s="2">
        <v>20</v>
      </c>
      <c r="B3471" s="1" t="s">
        <v>252</v>
      </c>
      <c r="C3471" s="4">
        <v>2</v>
      </c>
      <c r="D3471" s="8">
        <v>1.44</v>
      </c>
      <c r="E3471" s="4">
        <v>1</v>
      </c>
      <c r="F3471" s="8">
        <v>1.06</v>
      </c>
      <c r="G3471" s="4">
        <v>1</v>
      </c>
      <c r="H3471" s="8">
        <v>2.5</v>
      </c>
      <c r="I3471" s="4">
        <v>0</v>
      </c>
    </row>
    <row r="3472" spans="1:9" x14ac:dyDescent="0.2">
      <c r="A3472" s="2">
        <v>20</v>
      </c>
      <c r="B3472" s="1" t="s">
        <v>218</v>
      </c>
      <c r="C3472" s="4">
        <v>2</v>
      </c>
      <c r="D3472" s="8">
        <v>1.44</v>
      </c>
      <c r="E3472" s="4">
        <v>1</v>
      </c>
      <c r="F3472" s="8">
        <v>1.06</v>
      </c>
      <c r="G3472" s="4">
        <v>1</v>
      </c>
      <c r="H3472" s="8">
        <v>2.5</v>
      </c>
      <c r="I3472" s="4">
        <v>0</v>
      </c>
    </row>
    <row r="3473" spans="1:9" x14ac:dyDescent="0.2">
      <c r="A3473" s="2">
        <v>20</v>
      </c>
      <c r="B3473" s="1" t="s">
        <v>236</v>
      </c>
      <c r="C3473" s="4">
        <v>2</v>
      </c>
      <c r="D3473" s="8">
        <v>1.44</v>
      </c>
      <c r="E3473" s="4">
        <v>0</v>
      </c>
      <c r="F3473" s="8">
        <v>0</v>
      </c>
      <c r="G3473" s="4">
        <v>2</v>
      </c>
      <c r="H3473" s="8">
        <v>5</v>
      </c>
      <c r="I3473" s="4">
        <v>0</v>
      </c>
    </row>
    <row r="3474" spans="1:9" x14ac:dyDescent="0.2">
      <c r="A3474" s="2">
        <v>20</v>
      </c>
      <c r="B3474" s="1" t="s">
        <v>226</v>
      </c>
      <c r="C3474" s="4">
        <v>2</v>
      </c>
      <c r="D3474" s="8">
        <v>1.44</v>
      </c>
      <c r="E3474" s="4">
        <v>2</v>
      </c>
      <c r="F3474" s="8">
        <v>2.13</v>
      </c>
      <c r="G3474" s="4">
        <v>0</v>
      </c>
      <c r="H3474" s="8">
        <v>0</v>
      </c>
      <c r="I3474" s="4">
        <v>0</v>
      </c>
    </row>
    <row r="3475" spans="1:9" x14ac:dyDescent="0.2">
      <c r="A3475" s="1"/>
      <c r="C3475" s="4"/>
      <c r="D3475" s="8"/>
      <c r="E3475" s="4"/>
      <c r="F3475" s="8"/>
      <c r="G3475" s="4"/>
      <c r="H3475" s="8"/>
      <c r="I3475" s="4"/>
    </row>
    <row r="3476" spans="1:9" x14ac:dyDescent="0.2">
      <c r="A3476" s="1" t="s">
        <v>137</v>
      </c>
      <c r="C3476" s="4"/>
      <c r="D3476" s="8"/>
      <c r="E3476" s="4"/>
      <c r="F3476" s="8"/>
      <c r="G3476" s="4"/>
      <c r="H3476" s="8"/>
      <c r="I3476" s="4"/>
    </row>
    <row r="3477" spans="1:9" x14ac:dyDescent="0.2">
      <c r="A3477" s="2">
        <v>1</v>
      </c>
      <c r="B3477" s="1" t="s">
        <v>223</v>
      </c>
      <c r="C3477" s="4">
        <v>12</v>
      </c>
      <c r="D3477" s="8">
        <v>13.19</v>
      </c>
      <c r="E3477" s="4">
        <v>3</v>
      </c>
      <c r="F3477" s="8">
        <v>6.12</v>
      </c>
      <c r="G3477" s="4">
        <v>9</v>
      </c>
      <c r="H3477" s="8">
        <v>24.32</v>
      </c>
      <c r="I3477" s="4">
        <v>0</v>
      </c>
    </row>
    <row r="3478" spans="1:9" x14ac:dyDescent="0.2">
      <c r="A3478" s="2">
        <v>1</v>
      </c>
      <c r="B3478" s="1" t="s">
        <v>228</v>
      </c>
      <c r="C3478" s="4">
        <v>12</v>
      </c>
      <c r="D3478" s="8">
        <v>13.19</v>
      </c>
      <c r="E3478" s="4">
        <v>12</v>
      </c>
      <c r="F3478" s="8">
        <v>24.49</v>
      </c>
      <c r="G3478" s="4">
        <v>0</v>
      </c>
      <c r="H3478" s="8">
        <v>0</v>
      </c>
      <c r="I3478" s="4">
        <v>0</v>
      </c>
    </row>
    <row r="3479" spans="1:9" x14ac:dyDescent="0.2">
      <c r="A3479" s="2">
        <v>3</v>
      </c>
      <c r="B3479" s="1" t="s">
        <v>227</v>
      </c>
      <c r="C3479" s="4">
        <v>11</v>
      </c>
      <c r="D3479" s="8">
        <v>12.09</v>
      </c>
      <c r="E3479" s="4">
        <v>11</v>
      </c>
      <c r="F3479" s="8">
        <v>22.45</v>
      </c>
      <c r="G3479" s="4">
        <v>0</v>
      </c>
      <c r="H3479" s="8">
        <v>0</v>
      </c>
      <c r="I3479" s="4">
        <v>0</v>
      </c>
    </row>
    <row r="3480" spans="1:9" x14ac:dyDescent="0.2">
      <c r="A3480" s="2">
        <v>4</v>
      </c>
      <c r="B3480" s="1" t="s">
        <v>214</v>
      </c>
      <c r="C3480" s="4">
        <v>6</v>
      </c>
      <c r="D3480" s="8">
        <v>6.59</v>
      </c>
      <c r="E3480" s="4">
        <v>4</v>
      </c>
      <c r="F3480" s="8">
        <v>8.16</v>
      </c>
      <c r="G3480" s="4">
        <v>2</v>
      </c>
      <c r="H3480" s="8">
        <v>5.41</v>
      </c>
      <c r="I3480" s="4">
        <v>0</v>
      </c>
    </row>
    <row r="3481" spans="1:9" x14ac:dyDescent="0.2">
      <c r="A3481" s="2">
        <v>5</v>
      </c>
      <c r="B3481" s="1" t="s">
        <v>215</v>
      </c>
      <c r="C3481" s="4">
        <v>5</v>
      </c>
      <c r="D3481" s="8">
        <v>5.49</v>
      </c>
      <c r="E3481" s="4">
        <v>2</v>
      </c>
      <c r="F3481" s="8">
        <v>4.08</v>
      </c>
      <c r="G3481" s="4">
        <v>3</v>
      </c>
      <c r="H3481" s="8">
        <v>8.11</v>
      </c>
      <c r="I3481" s="4">
        <v>0</v>
      </c>
    </row>
    <row r="3482" spans="1:9" x14ac:dyDescent="0.2">
      <c r="A3482" s="2">
        <v>6</v>
      </c>
      <c r="B3482" s="1" t="s">
        <v>213</v>
      </c>
      <c r="C3482" s="4">
        <v>4</v>
      </c>
      <c r="D3482" s="8">
        <v>4.4000000000000004</v>
      </c>
      <c r="E3482" s="4">
        <v>0</v>
      </c>
      <c r="F3482" s="8">
        <v>0</v>
      </c>
      <c r="G3482" s="4">
        <v>4</v>
      </c>
      <c r="H3482" s="8">
        <v>10.81</v>
      </c>
      <c r="I3482" s="4">
        <v>0</v>
      </c>
    </row>
    <row r="3483" spans="1:9" x14ac:dyDescent="0.2">
      <c r="A3483" s="2">
        <v>6</v>
      </c>
      <c r="B3483" s="1" t="s">
        <v>221</v>
      </c>
      <c r="C3483" s="4">
        <v>4</v>
      </c>
      <c r="D3483" s="8">
        <v>4.4000000000000004</v>
      </c>
      <c r="E3483" s="4">
        <v>2</v>
      </c>
      <c r="F3483" s="8">
        <v>4.08</v>
      </c>
      <c r="G3483" s="4">
        <v>2</v>
      </c>
      <c r="H3483" s="8">
        <v>5.41</v>
      </c>
      <c r="I3483" s="4">
        <v>0</v>
      </c>
    </row>
    <row r="3484" spans="1:9" x14ac:dyDescent="0.2">
      <c r="A3484" s="2">
        <v>6</v>
      </c>
      <c r="B3484" s="1" t="s">
        <v>226</v>
      </c>
      <c r="C3484" s="4">
        <v>4</v>
      </c>
      <c r="D3484" s="8">
        <v>4.4000000000000004</v>
      </c>
      <c r="E3484" s="4">
        <v>2</v>
      </c>
      <c r="F3484" s="8">
        <v>4.08</v>
      </c>
      <c r="G3484" s="4">
        <v>1</v>
      </c>
      <c r="H3484" s="8">
        <v>2.7</v>
      </c>
      <c r="I3484" s="4">
        <v>0</v>
      </c>
    </row>
    <row r="3485" spans="1:9" x14ac:dyDescent="0.2">
      <c r="A3485" s="2">
        <v>9</v>
      </c>
      <c r="B3485" s="1" t="s">
        <v>222</v>
      </c>
      <c r="C3485" s="4">
        <v>3</v>
      </c>
      <c r="D3485" s="8">
        <v>3.3</v>
      </c>
      <c r="E3485" s="4">
        <v>2</v>
      </c>
      <c r="F3485" s="8">
        <v>4.08</v>
      </c>
      <c r="G3485" s="4">
        <v>1</v>
      </c>
      <c r="H3485" s="8">
        <v>2.7</v>
      </c>
      <c r="I3485" s="4">
        <v>0</v>
      </c>
    </row>
    <row r="3486" spans="1:9" x14ac:dyDescent="0.2">
      <c r="A3486" s="2">
        <v>9</v>
      </c>
      <c r="B3486" s="1" t="s">
        <v>232</v>
      </c>
      <c r="C3486" s="4">
        <v>3</v>
      </c>
      <c r="D3486" s="8">
        <v>3.3</v>
      </c>
      <c r="E3486" s="4">
        <v>0</v>
      </c>
      <c r="F3486" s="8">
        <v>0</v>
      </c>
      <c r="G3486" s="4">
        <v>2</v>
      </c>
      <c r="H3486" s="8">
        <v>5.41</v>
      </c>
      <c r="I3486" s="4">
        <v>0</v>
      </c>
    </row>
    <row r="3487" spans="1:9" x14ac:dyDescent="0.2">
      <c r="A3487" s="2">
        <v>11</v>
      </c>
      <c r="B3487" s="1" t="s">
        <v>241</v>
      </c>
      <c r="C3487" s="4">
        <v>2</v>
      </c>
      <c r="D3487" s="8">
        <v>2.2000000000000002</v>
      </c>
      <c r="E3487" s="4">
        <v>1</v>
      </c>
      <c r="F3487" s="8">
        <v>2.04</v>
      </c>
      <c r="G3487" s="4">
        <v>1</v>
      </c>
      <c r="H3487" s="8">
        <v>2.7</v>
      </c>
      <c r="I3487" s="4">
        <v>0</v>
      </c>
    </row>
    <row r="3488" spans="1:9" x14ac:dyDescent="0.2">
      <c r="A3488" s="2">
        <v>11</v>
      </c>
      <c r="B3488" s="1" t="s">
        <v>224</v>
      </c>
      <c r="C3488" s="4">
        <v>2</v>
      </c>
      <c r="D3488" s="8">
        <v>2.2000000000000002</v>
      </c>
      <c r="E3488" s="4">
        <v>1</v>
      </c>
      <c r="F3488" s="8">
        <v>2.04</v>
      </c>
      <c r="G3488" s="4">
        <v>1</v>
      </c>
      <c r="H3488" s="8">
        <v>2.7</v>
      </c>
      <c r="I3488" s="4">
        <v>0</v>
      </c>
    </row>
    <row r="3489" spans="1:9" x14ac:dyDescent="0.2">
      <c r="A3489" s="2">
        <v>11</v>
      </c>
      <c r="B3489" s="1" t="s">
        <v>243</v>
      </c>
      <c r="C3489" s="4">
        <v>2</v>
      </c>
      <c r="D3489" s="8">
        <v>2.2000000000000002</v>
      </c>
      <c r="E3489" s="4">
        <v>2</v>
      </c>
      <c r="F3489" s="8">
        <v>4.08</v>
      </c>
      <c r="G3489" s="4">
        <v>0</v>
      </c>
      <c r="H3489" s="8">
        <v>0</v>
      </c>
      <c r="I3489" s="4">
        <v>0</v>
      </c>
    </row>
    <row r="3490" spans="1:9" x14ac:dyDescent="0.2">
      <c r="A3490" s="2">
        <v>11</v>
      </c>
      <c r="B3490" s="1" t="s">
        <v>230</v>
      </c>
      <c r="C3490" s="4">
        <v>2</v>
      </c>
      <c r="D3490" s="8">
        <v>2.2000000000000002</v>
      </c>
      <c r="E3490" s="4">
        <v>1</v>
      </c>
      <c r="F3490" s="8">
        <v>2.04</v>
      </c>
      <c r="G3490" s="4">
        <v>0</v>
      </c>
      <c r="H3490" s="8">
        <v>0</v>
      </c>
      <c r="I3490" s="4">
        <v>0</v>
      </c>
    </row>
    <row r="3491" spans="1:9" x14ac:dyDescent="0.2">
      <c r="A3491" s="2">
        <v>11</v>
      </c>
      <c r="B3491" s="1" t="s">
        <v>231</v>
      </c>
      <c r="C3491" s="4">
        <v>2</v>
      </c>
      <c r="D3491" s="8">
        <v>2.2000000000000002</v>
      </c>
      <c r="E3491" s="4">
        <v>1</v>
      </c>
      <c r="F3491" s="8">
        <v>2.04</v>
      </c>
      <c r="G3491" s="4">
        <v>1</v>
      </c>
      <c r="H3491" s="8">
        <v>2.7</v>
      </c>
      <c r="I3491" s="4">
        <v>0</v>
      </c>
    </row>
    <row r="3492" spans="1:9" x14ac:dyDescent="0.2">
      <c r="A3492" s="2">
        <v>11</v>
      </c>
      <c r="B3492" s="1" t="s">
        <v>240</v>
      </c>
      <c r="C3492" s="4">
        <v>2</v>
      </c>
      <c r="D3492" s="8">
        <v>2.2000000000000002</v>
      </c>
      <c r="E3492" s="4">
        <v>0</v>
      </c>
      <c r="F3492" s="8">
        <v>0</v>
      </c>
      <c r="G3492" s="4">
        <v>2</v>
      </c>
      <c r="H3492" s="8">
        <v>5.41</v>
      </c>
      <c r="I3492" s="4">
        <v>0</v>
      </c>
    </row>
    <row r="3493" spans="1:9" x14ac:dyDescent="0.2">
      <c r="A3493" s="2">
        <v>17</v>
      </c>
      <c r="B3493" s="1" t="s">
        <v>273</v>
      </c>
      <c r="C3493" s="4">
        <v>1</v>
      </c>
      <c r="D3493" s="8">
        <v>1.1000000000000001</v>
      </c>
      <c r="E3493" s="4">
        <v>0</v>
      </c>
      <c r="F3493" s="8">
        <v>0</v>
      </c>
      <c r="G3493" s="4">
        <v>1</v>
      </c>
      <c r="H3493" s="8">
        <v>2.7</v>
      </c>
      <c r="I3493" s="4">
        <v>0</v>
      </c>
    </row>
    <row r="3494" spans="1:9" x14ac:dyDescent="0.2">
      <c r="A3494" s="2">
        <v>17</v>
      </c>
      <c r="B3494" s="1" t="s">
        <v>262</v>
      </c>
      <c r="C3494" s="4">
        <v>1</v>
      </c>
      <c r="D3494" s="8">
        <v>1.1000000000000001</v>
      </c>
      <c r="E3494" s="4">
        <v>1</v>
      </c>
      <c r="F3494" s="8">
        <v>2.04</v>
      </c>
      <c r="G3494" s="4">
        <v>0</v>
      </c>
      <c r="H3494" s="8">
        <v>0</v>
      </c>
      <c r="I3494" s="4">
        <v>0</v>
      </c>
    </row>
    <row r="3495" spans="1:9" x14ac:dyDescent="0.2">
      <c r="A3495" s="2">
        <v>17</v>
      </c>
      <c r="B3495" s="1" t="s">
        <v>257</v>
      </c>
      <c r="C3495" s="4">
        <v>1</v>
      </c>
      <c r="D3495" s="8">
        <v>1.1000000000000001</v>
      </c>
      <c r="E3495" s="4">
        <v>0</v>
      </c>
      <c r="F3495" s="8">
        <v>0</v>
      </c>
      <c r="G3495" s="4">
        <v>1</v>
      </c>
      <c r="H3495" s="8">
        <v>2.7</v>
      </c>
      <c r="I3495" s="4">
        <v>0</v>
      </c>
    </row>
    <row r="3496" spans="1:9" x14ac:dyDescent="0.2">
      <c r="A3496" s="2">
        <v>17</v>
      </c>
      <c r="B3496" s="1" t="s">
        <v>248</v>
      </c>
      <c r="C3496" s="4">
        <v>1</v>
      </c>
      <c r="D3496" s="8">
        <v>1.1000000000000001</v>
      </c>
      <c r="E3496" s="4">
        <v>0</v>
      </c>
      <c r="F3496" s="8">
        <v>0</v>
      </c>
      <c r="G3496" s="4">
        <v>1</v>
      </c>
      <c r="H3496" s="8">
        <v>2.7</v>
      </c>
      <c r="I3496" s="4">
        <v>0</v>
      </c>
    </row>
    <row r="3497" spans="1:9" x14ac:dyDescent="0.2">
      <c r="A3497" s="2">
        <v>17</v>
      </c>
      <c r="B3497" s="1" t="s">
        <v>216</v>
      </c>
      <c r="C3497" s="4">
        <v>1</v>
      </c>
      <c r="D3497" s="8">
        <v>1.1000000000000001</v>
      </c>
      <c r="E3497" s="4">
        <v>1</v>
      </c>
      <c r="F3497" s="8">
        <v>2.04</v>
      </c>
      <c r="G3497" s="4">
        <v>0</v>
      </c>
      <c r="H3497" s="8">
        <v>0</v>
      </c>
      <c r="I3497" s="4">
        <v>0</v>
      </c>
    </row>
    <row r="3498" spans="1:9" x14ac:dyDescent="0.2">
      <c r="A3498" s="2">
        <v>17</v>
      </c>
      <c r="B3498" s="1" t="s">
        <v>220</v>
      </c>
      <c r="C3498" s="4">
        <v>1</v>
      </c>
      <c r="D3498" s="8">
        <v>1.1000000000000001</v>
      </c>
      <c r="E3498" s="4">
        <v>1</v>
      </c>
      <c r="F3498" s="8">
        <v>2.04</v>
      </c>
      <c r="G3498" s="4">
        <v>0</v>
      </c>
      <c r="H3498" s="8">
        <v>0</v>
      </c>
      <c r="I3498" s="4">
        <v>0</v>
      </c>
    </row>
    <row r="3499" spans="1:9" x14ac:dyDescent="0.2">
      <c r="A3499" s="2">
        <v>17</v>
      </c>
      <c r="B3499" s="1" t="s">
        <v>236</v>
      </c>
      <c r="C3499" s="4">
        <v>1</v>
      </c>
      <c r="D3499" s="8">
        <v>1.1000000000000001</v>
      </c>
      <c r="E3499" s="4">
        <v>0</v>
      </c>
      <c r="F3499" s="8">
        <v>0</v>
      </c>
      <c r="G3499" s="4">
        <v>1</v>
      </c>
      <c r="H3499" s="8">
        <v>2.7</v>
      </c>
      <c r="I3499" s="4">
        <v>0</v>
      </c>
    </row>
    <row r="3500" spans="1:9" x14ac:dyDescent="0.2">
      <c r="A3500" s="2">
        <v>17</v>
      </c>
      <c r="B3500" s="1" t="s">
        <v>256</v>
      </c>
      <c r="C3500" s="4">
        <v>1</v>
      </c>
      <c r="D3500" s="8">
        <v>1.1000000000000001</v>
      </c>
      <c r="E3500" s="4">
        <v>0</v>
      </c>
      <c r="F3500" s="8">
        <v>0</v>
      </c>
      <c r="G3500" s="4">
        <v>1</v>
      </c>
      <c r="H3500" s="8">
        <v>2.7</v>
      </c>
      <c r="I3500" s="4">
        <v>0</v>
      </c>
    </row>
    <row r="3501" spans="1:9" x14ac:dyDescent="0.2">
      <c r="A3501" s="2">
        <v>17</v>
      </c>
      <c r="B3501" s="1" t="s">
        <v>225</v>
      </c>
      <c r="C3501" s="4">
        <v>1</v>
      </c>
      <c r="D3501" s="8">
        <v>1.1000000000000001</v>
      </c>
      <c r="E3501" s="4">
        <v>1</v>
      </c>
      <c r="F3501" s="8">
        <v>2.04</v>
      </c>
      <c r="G3501" s="4">
        <v>0</v>
      </c>
      <c r="H3501" s="8">
        <v>0</v>
      </c>
      <c r="I3501" s="4">
        <v>0</v>
      </c>
    </row>
    <row r="3502" spans="1:9" x14ac:dyDescent="0.2">
      <c r="A3502" s="2">
        <v>17</v>
      </c>
      <c r="B3502" s="1" t="s">
        <v>229</v>
      </c>
      <c r="C3502" s="4">
        <v>1</v>
      </c>
      <c r="D3502" s="8">
        <v>1.1000000000000001</v>
      </c>
      <c r="E3502" s="4">
        <v>0</v>
      </c>
      <c r="F3502" s="8">
        <v>0</v>
      </c>
      <c r="G3502" s="4">
        <v>1</v>
      </c>
      <c r="H3502" s="8">
        <v>2.7</v>
      </c>
      <c r="I3502" s="4">
        <v>0</v>
      </c>
    </row>
    <row r="3503" spans="1:9" x14ac:dyDescent="0.2">
      <c r="A3503" s="2">
        <v>17</v>
      </c>
      <c r="B3503" s="1" t="s">
        <v>247</v>
      </c>
      <c r="C3503" s="4">
        <v>1</v>
      </c>
      <c r="D3503" s="8">
        <v>1.1000000000000001</v>
      </c>
      <c r="E3503" s="4">
        <v>0</v>
      </c>
      <c r="F3503" s="8">
        <v>0</v>
      </c>
      <c r="G3503" s="4">
        <v>0</v>
      </c>
      <c r="H3503" s="8">
        <v>0</v>
      </c>
      <c r="I3503" s="4">
        <v>0</v>
      </c>
    </row>
    <row r="3504" spans="1:9" x14ac:dyDescent="0.2">
      <c r="A3504" s="2">
        <v>17</v>
      </c>
      <c r="B3504" s="1" t="s">
        <v>249</v>
      </c>
      <c r="C3504" s="4">
        <v>1</v>
      </c>
      <c r="D3504" s="8">
        <v>1.1000000000000001</v>
      </c>
      <c r="E3504" s="4">
        <v>0</v>
      </c>
      <c r="F3504" s="8">
        <v>0</v>
      </c>
      <c r="G3504" s="4">
        <v>1</v>
      </c>
      <c r="H3504" s="8">
        <v>2.7</v>
      </c>
      <c r="I3504" s="4">
        <v>0</v>
      </c>
    </row>
    <row r="3505" spans="1:9" x14ac:dyDescent="0.2">
      <c r="A3505" s="2">
        <v>17</v>
      </c>
      <c r="B3505" s="1" t="s">
        <v>242</v>
      </c>
      <c r="C3505" s="4">
        <v>1</v>
      </c>
      <c r="D3505" s="8">
        <v>1.1000000000000001</v>
      </c>
      <c r="E3505" s="4">
        <v>1</v>
      </c>
      <c r="F3505" s="8">
        <v>2.04</v>
      </c>
      <c r="G3505" s="4">
        <v>0</v>
      </c>
      <c r="H3505" s="8">
        <v>0</v>
      </c>
      <c r="I3505" s="4">
        <v>0</v>
      </c>
    </row>
    <row r="3506" spans="1:9" x14ac:dyDescent="0.2">
      <c r="A3506" s="2">
        <v>17</v>
      </c>
      <c r="B3506" s="1" t="s">
        <v>270</v>
      </c>
      <c r="C3506" s="4">
        <v>1</v>
      </c>
      <c r="D3506" s="8">
        <v>1.1000000000000001</v>
      </c>
      <c r="E3506" s="4">
        <v>0</v>
      </c>
      <c r="F3506" s="8">
        <v>0</v>
      </c>
      <c r="G3506" s="4">
        <v>0</v>
      </c>
      <c r="H3506" s="8">
        <v>0</v>
      </c>
      <c r="I3506" s="4">
        <v>1</v>
      </c>
    </row>
    <row r="3507" spans="1:9" x14ac:dyDescent="0.2">
      <c r="A3507" s="2">
        <v>17</v>
      </c>
      <c r="B3507" s="1" t="s">
        <v>234</v>
      </c>
      <c r="C3507" s="4">
        <v>1</v>
      </c>
      <c r="D3507" s="8">
        <v>1.1000000000000001</v>
      </c>
      <c r="E3507" s="4">
        <v>0</v>
      </c>
      <c r="F3507" s="8">
        <v>0</v>
      </c>
      <c r="G3507" s="4">
        <v>1</v>
      </c>
      <c r="H3507" s="8">
        <v>2.7</v>
      </c>
      <c r="I3507" s="4">
        <v>0</v>
      </c>
    </row>
    <row r="3508" spans="1:9" x14ac:dyDescent="0.2">
      <c r="A3508" s="1"/>
      <c r="C3508" s="4"/>
      <c r="D3508" s="8"/>
      <c r="E3508" s="4"/>
      <c r="F3508" s="8"/>
      <c r="G3508" s="4"/>
      <c r="H3508" s="8"/>
      <c r="I3508" s="4"/>
    </row>
    <row r="3509" spans="1:9" x14ac:dyDescent="0.2">
      <c r="A3509" s="1" t="s">
        <v>138</v>
      </c>
      <c r="C3509" s="4"/>
      <c r="D3509" s="8"/>
      <c r="E3509" s="4"/>
      <c r="F3509" s="8"/>
      <c r="G3509" s="4"/>
      <c r="H3509" s="8"/>
      <c r="I3509" s="4"/>
    </row>
    <row r="3510" spans="1:9" x14ac:dyDescent="0.2">
      <c r="A3510" s="2">
        <v>1</v>
      </c>
      <c r="B3510" s="1" t="s">
        <v>244</v>
      </c>
      <c r="C3510" s="4">
        <v>23</v>
      </c>
      <c r="D3510" s="8">
        <v>21.3</v>
      </c>
      <c r="E3510" s="4">
        <v>21</v>
      </c>
      <c r="F3510" s="8">
        <v>29.17</v>
      </c>
      <c r="G3510" s="4">
        <v>2</v>
      </c>
      <c r="H3510" s="8">
        <v>7.41</v>
      </c>
      <c r="I3510" s="4">
        <v>0</v>
      </c>
    </row>
    <row r="3511" spans="1:9" x14ac:dyDescent="0.2">
      <c r="A3511" s="2">
        <v>2</v>
      </c>
      <c r="B3511" s="1" t="s">
        <v>223</v>
      </c>
      <c r="C3511" s="4">
        <v>13</v>
      </c>
      <c r="D3511" s="8">
        <v>12.04</v>
      </c>
      <c r="E3511" s="4">
        <v>8</v>
      </c>
      <c r="F3511" s="8">
        <v>11.11</v>
      </c>
      <c r="G3511" s="4">
        <v>5</v>
      </c>
      <c r="H3511" s="8">
        <v>18.52</v>
      </c>
      <c r="I3511" s="4">
        <v>0</v>
      </c>
    </row>
    <row r="3512" spans="1:9" x14ac:dyDescent="0.2">
      <c r="A3512" s="2">
        <v>3</v>
      </c>
      <c r="B3512" s="1" t="s">
        <v>228</v>
      </c>
      <c r="C3512" s="4">
        <v>9</v>
      </c>
      <c r="D3512" s="8">
        <v>8.33</v>
      </c>
      <c r="E3512" s="4">
        <v>9</v>
      </c>
      <c r="F3512" s="8">
        <v>12.5</v>
      </c>
      <c r="G3512" s="4">
        <v>0</v>
      </c>
      <c r="H3512" s="8">
        <v>0</v>
      </c>
      <c r="I3512" s="4">
        <v>0</v>
      </c>
    </row>
    <row r="3513" spans="1:9" x14ac:dyDescent="0.2">
      <c r="A3513" s="2">
        <v>4</v>
      </c>
      <c r="B3513" s="1" t="s">
        <v>220</v>
      </c>
      <c r="C3513" s="4">
        <v>5</v>
      </c>
      <c r="D3513" s="8">
        <v>4.63</v>
      </c>
      <c r="E3513" s="4">
        <v>3</v>
      </c>
      <c r="F3513" s="8">
        <v>4.17</v>
      </c>
      <c r="G3513" s="4">
        <v>2</v>
      </c>
      <c r="H3513" s="8">
        <v>7.41</v>
      </c>
      <c r="I3513" s="4">
        <v>0</v>
      </c>
    </row>
    <row r="3514" spans="1:9" x14ac:dyDescent="0.2">
      <c r="A3514" s="2">
        <v>4</v>
      </c>
      <c r="B3514" s="1" t="s">
        <v>231</v>
      </c>
      <c r="C3514" s="4">
        <v>5</v>
      </c>
      <c r="D3514" s="8">
        <v>4.63</v>
      </c>
      <c r="E3514" s="4">
        <v>5</v>
      </c>
      <c r="F3514" s="8">
        <v>6.94</v>
      </c>
      <c r="G3514" s="4">
        <v>0</v>
      </c>
      <c r="H3514" s="8">
        <v>0</v>
      </c>
      <c r="I3514" s="4">
        <v>0</v>
      </c>
    </row>
    <row r="3515" spans="1:9" x14ac:dyDescent="0.2">
      <c r="A3515" s="2">
        <v>4</v>
      </c>
      <c r="B3515" s="1" t="s">
        <v>234</v>
      </c>
      <c r="C3515" s="4">
        <v>5</v>
      </c>
      <c r="D3515" s="8">
        <v>4.63</v>
      </c>
      <c r="E3515" s="4">
        <v>4</v>
      </c>
      <c r="F3515" s="8">
        <v>5.56</v>
      </c>
      <c r="G3515" s="4">
        <v>1</v>
      </c>
      <c r="H3515" s="8">
        <v>3.7</v>
      </c>
      <c r="I3515" s="4">
        <v>0</v>
      </c>
    </row>
    <row r="3516" spans="1:9" x14ac:dyDescent="0.2">
      <c r="A3516" s="2">
        <v>7</v>
      </c>
      <c r="B3516" s="1" t="s">
        <v>214</v>
      </c>
      <c r="C3516" s="4">
        <v>4</v>
      </c>
      <c r="D3516" s="8">
        <v>3.7</v>
      </c>
      <c r="E3516" s="4">
        <v>4</v>
      </c>
      <c r="F3516" s="8">
        <v>5.56</v>
      </c>
      <c r="G3516" s="4">
        <v>0</v>
      </c>
      <c r="H3516" s="8">
        <v>0</v>
      </c>
      <c r="I3516" s="4">
        <v>0</v>
      </c>
    </row>
    <row r="3517" spans="1:9" x14ac:dyDescent="0.2">
      <c r="A3517" s="2">
        <v>7</v>
      </c>
      <c r="B3517" s="1" t="s">
        <v>227</v>
      </c>
      <c r="C3517" s="4">
        <v>4</v>
      </c>
      <c r="D3517" s="8">
        <v>3.7</v>
      </c>
      <c r="E3517" s="4">
        <v>4</v>
      </c>
      <c r="F3517" s="8">
        <v>5.56</v>
      </c>
      <c r="G3517" s="4">
        <v>0</v>
      </c>
      <c r="H3517" s="8">
        <v>0</v>
      </c>
      <c r="I3517" s="4">
        <v>0</v>
      </c>
    </row>
    <row r="3518" spans="1:9" x14ac:dyDescent="0.2">
      <c r="A3518" s="2">
        <v>7</v>
      </c>
      <c r="B3518" s="1" t="s">
        <v>230</v>
      </c>
      <c r="C3518" s="4">
        <v>4</v>
      </c>
      <c r="D3518" s="8">
        <v>3.7</v>
      </c>
      <c r="E3518" s="4">
        <v>0</v>
      </c>
      <c r="F3518" s="8">
        <v>0</v>
      </c>
      <c r="G3518" s="4">
        <v>0</v>
      </c>
      <c r="H3518" s="8">
        <v>0</v>
      </c>
      <c r="I3518" s="4">
        <v>0</v>
      </c>
    </row>
    <row r="3519" spans="1:9" x14ac:dyDescent="0.2">
      <c r="A3519" s="2">
        <v>7</v>
      </c>
      <c r="B3519" s="1" t="s">
        <v>232</v>
      </c>
      <c r="C3519" s="4">
        <v>4</v>
      </c>
      <c r="D3519" s="8">
        <v>3.7</v>
      </c>
      <c r="E3519" s="4">
        <v>0</v>
      </c>
      <c r="F3519" s="8">
        <v>0</v>
      </c>
      <c r="G3519" s="4">
        <v>3</v>
      </c>
      <c r="H3519" s="8">
        <v>11.11</v>
      </c>
      <c r="I3519" s="4">
        <v>0</v>
      </c>
    </row>
    <row r="3520" spans="1:9" x14ac:dyDescent="0.2">
      <c r="A3520" s="2">
        <v>11</v>
      </c>
      <c r="B3520" s="1" t="s">
        <v>221</v>
      </c>
      <c r="C3520" s="4">
        <v>3</v>
      </c>
      <c r="D3520" s="8">
        <v>2.78</v>
      </c>
      <c r="E3520" s="4">
        <v>3</v>
      </c>
      <c r="F3520" s="8">
        <v>4.17</v>
      </c>
      <c r="G3520" s="4">
        <v>0</v>
      </c>
      <c r="H3520" s="8">
        <v>0</v>
      </c>
      <c r="I3520" s="4">
        <v>0</v>
      </c>
    </row>
    <row r="3521" spans="1:9" x14ac:dyDescent="0.2">
      <c r="A3521" s="2">
        <v>12</v>
      </c>
      <c r="B3521" s="1" t="s">
        <v>215</v>
      </c>
      <c r="C3521" s="4">
        <v>2</v>
      </c>
      <c r="D3521" s="8">
        <v>1.85</v>
      </c>
      <c r="E3521" s="4">
        <v>0</v>
      </c>
      <c r="F3521" s="8">
        <v>0</v>
      </c>
      <c r="G3521" s="4">
        <v>2</v>
      </c>
      <c r="H3521" s="8">
        <v>7.41</v>
      </c>
      <c r="I3521" s="4">
        <v>0</v>
      </c>
    </row>
    <row r="3522" spans="1:9" x14ac:dyDescent="0.2">
      <c r="A3522" s="2">
        <v>12</v>
      </c>
      <c r="B3522" s="1" t="s">
        <v>255</v>
      </c>
      <c r="C3522" s="4">
        <v>2</v>
      </c>
      <c r="D3522" s="8">
        <v>1.85</v>
      </c>
      <c r="E3522" s="4">
        <v>0</v>
      </c>
      <c r="F3522" s="8">
        <v>0</v>
      </c>
      <c r="G3522" s="4">
        <v>0</v>
      </c>
      <c r="H3522" s="8">
        <v>0</v>
      </c>
      <c r="I3522" s="4">
        <v>0</v>
      </c>
    </row>
    <row r="3523" spans="1:9" x14ac:dyDescent="0.2">
      <c r="A3523" s="2">
        <v>12</v>
      </c>
      <c r="B3523" s="1" t="s">
        <v>219</v>
      </c>
      <c r="C3523" s="4">
        <v>2</v>
      </c>
      <c r="D3523" s="8">
        <v>1.85</v>
      </c>
      <c r="E3523" s="4">
        <v>0</v>
      </c>
      <c r="F3523" s="8">
        <v>0</v>
      </c>
      <c r="G3523" s="4">
        <v>2</v>
      </c>
      <c r="H3523" s="8">
        <v>7.41</v>
      </c>
      <c r="I3523" s="4">
        <v>0</v>
      </c>
    </row>
    <row r="3524" spans="1:9" x14ac:dyDescent="0.2">
      <c r="A3524" s="2">
        <v>12</v>
      </c>
      <c r="B3524" s="1" t="s">
        <v>222</v>
      </c>
      <c r="C3524" s="4">
        <v>2</v>
      </c>
      <c r="D3524" s="8">
        <v>1.85</v>
      </c>
      <c r="E3524" s="4">
        <v>0</v>
      </c>
      <c r="F3524" s="8">
        <v>0</v>
      </c>
      <c r="G3524" s="4">
        <v>2</v>
      </c>
      <c r="H3524" s="8">
        <v>7.41</v>
      </c>
      <c r="I3524" s="4">
        <v>0</v>
      </c>
    </row>
    <row r="3525" spans="1:9" x14ac:dyDescent="0.2">
      <c r="A3525" s="2">
        <v>12</v>
      </c>
      <c r="B3525" s="1" t="s">
        <v>224</v>
      </c>
      <c r="C3525" s="4">
        <v>2</v>
      </c>
      <c r="D3525" s="8">
        <v>1.85</v>
      </c>
      <c r="E3525" s="4">
        <v>2</v>
      </c>
      <c r="F3525" s="8">
        <v>2.78</v>
      </c>
      <c r="G3525" s="4">
        <v>0</v>
      </c>
      <c r="H3525" s="8">
        <v>0</v>
      </c>
      <c r="I3525" s="4">
        <v>0</v>
      </c>
    </row>
    <row r="3526" spans="1:9" x14ac:dyDescent="0.2">
      <c r="A3526" s="2">
        <v>12</v>
      </c>
      <c r="B3526" s="1" t="s">
        <v>247</v>
      </c>
      <c r="C3526" s="4">
        <v>2</v>
      </c>
      <c r="D3526" s="8">
        <v>1.85</v>
      </c>
      <c r="E3526" s="4">
        <v>0</v>
      </c>
      <c r="F3526" s="8">
        <v>0</v>
      </c>
      <c r="G3526" s="4">
        <v>0</v>
      </c>
      <c r="H3526" s="8">
        <v>0</v>
      </c>
      <c r="I3526" s="4">
        <v>0</v>
      </c>
    </row>
    <row r="3527" spans="1:9" x14ac:dyDescent="0.2">
      <c r="A3527" s="2">
        <v>12</v>
      </c>
      <c r="B3527" s="1" t="s">
        <v>240</v>
      </c>
      <c r="C3527" s="4">
        <v>2</v>
      </c>
      <c r="D3527" s="8">
        <v>1.85</v>
      </c>
      <c r="E3527" s="4">
        <v>1</v>
      </c>
      <c r="F3527" s="8">
        <v>1.39</v>
      </c>
      <c r="G3527" s="4">
        <v>1</v>
      </c>
      <c r="H3527" s="8">
        <v>3.7</v>
      </c>
      <c r="I3527" s="4">
        <v>0</v>
      </c>
    </row>
    <row r="3528" spans="1:9" x14ac:dyDescent="0.2">
      <c r="A3528" s="2">
        <v>19</v>
      </c>
      <c r="B3528" s="1" t="s">
        <v>213</v>
      </c>
      <c r="C3528" s="4">
        <v>1</v>
      </c>
      <c r="D3528" s="8">
        <v>0.93</v>
      </c>
      <c r="E3528" s="4">
        <v>0</v>
      </c>
      <c r="F3528" s="8">
        <v>0</v>
      </c>
      <c r="G3528" s="4">
        <v>1</v>
      </c>
      <c r="H3528" s="8">
        <v>3.7</v>
      </c>
      <c r="I3528" s="4">
        <v>0</v>
      </c>
    </row>
    <row r="3529" spans="1:9" x14ac:dyDescent="0.2">
      <c r="A3529" s="2">
        <v>19</v>
      </c>
      <c r="B3529" s="1" t="s">
        <v>241</v>
      </c>
      <c r="C3529" s="4">
        <v>1</v>
      </c>
      <c r="D3529" s="8">
        <v>0.93</v>
      </c>
      <c r="E3529" s="4">
        <v>1</v>
      </c>
      <c r="F3529" s="8">
        <v>1.39</v>
      </c>
      <c r="G3529" s="4">
        <v>0</v>
      </c>
      <c r="H3529" s="8">
        <v>0</v>
      </c>
      <c r="I3529" s="4">
        <v>0</v>
      </c>
    </row>
    <row r="3530" spans="1:9" x14ac:dyDescent="0.2">
      <c r="A3530" s="2">
        <v>19</v>
      </c>
      <c r="B3530" s="1" t="s">
        <v>262</v>
      </c>
      <c r="C3530" s="4">
        <v>1</v>
      </c>
      <c r="D3530" s="8">
        <v>0.93</v>
      </c>
      <c r="E3530" s="4">
        <v>0</v>
      </c>
      <c r="F3530" s="8">
        <v>0</v>
      </c>
      <c r="G3530" s="4">
        <v>1</v>
      </c>
      <c r="H3530" s="8">
        <v>3.7</v>
      </c>
      <c r="I3530" s="4">
        <v>0</v>
      </c>
    </row>
    <row r="3531" spans="1:9" x14ac:dyDescent="0.2">
      <c r="A3531" s="2">
        <v>19</v>
      </c>
      <c r="B3531" s="1" t="s">
        <v>258</v>
      </c>
      <c r="C3531" s="4">
        <v>1</v>
      </c>
      <c r="D3531" s="8">
        <v>0.93</v>
      </c>
      <c r="E3531" s="4">
        <v>1</v>
      </c>
      <c r="F3531" s="8">
        <v>1.39</v>
      </c>
      <c r="G3531" s="4">
        <v>0</v>
      </c>
      <c r="H3531" s="8">
        <v>0</v>
      </c>
      <c r="I3531" s="4">
        <v>0</v>
      </c>
    </row>
    <row r="3532" spans="1:9" x14ac:dyDescent="0.2">
      <c r="A3532" s="2">
        <v>19</v>
      </c>
      <c r="B3532" s="1" t="s">
        <v>252</v>
      </c>
      <c r="C3532" s="4">
        <v>1</v>
      </c>
      <c r="D3532" s="8">
        <v>0.93</v>
      </c>
      <c r="E3532" s="4">
        <v>0</v>
      </c>
      <c r="F3532" s="8">
        <v>0</v>
      </c>
      <c r="G3532" s="4">
        <v>1</v>
      </c>
      <c r="H3532" s="8">
        <v>3.7</v>
      </c>
      <c r="I3532" s="4">
        <v>0</v>
      </c>
    </row>
    <row r="3533" spans="1:9" x14ac:dyDescent="0.2">
      <c r="A3533" s="2">
        <v>19</v>
      </c>
      <c r="B3533" s="1" t="s">
        <v>263</v>
      </c>
      <c r="C3533" s="4">
        <v>1</v>
      </c>
      <c r="D3533" s="8">
        <v>0.93</v>
      </c>
      <c r="E3533" s="4">
        <v>0</v>
      </c>
      <c r="F3533" s="8">
        <v>0</v>
      </c>
      <c r="G3533" s="4">
        <v>1</v>
      </c>
      <c r="H3533" s="8">
        <v>3.7</v>
      </c>
      <c r="I3533" s="4">
        <v>0</v>
      </c>
    </row>
    <row r="3534" spans="1:9" x14ac:dyDescent="0.2">
      <c r="A3534" s="2">
        <v>19</v>
      </c>
      <c r="B3534" s="1" t="s">
        <v>253</v>
      </c>
      <c r="C3534" s="4">
        <v>1</v>
      </c>
      <c r="D3534" s="8">
        <v>0.93</v>
      </c>
      <c r="E3534" s="4">
        <v>0</v>
      </c>
      <c r="F3534" s="8">
        <v>0</v>
      </c>
      <c r="G3534" s="4">
        <v>1</v>
      </c>
      <c r="H3534" s="8">
        <v>3.7</v>
      </c>
      <c r="I3534" s="4">
        <v>0</v>
      </c>
    </row>
    <row r="3535" spans="1:9" x14ac:dyDescent="0.2">
      <c r="A3535" s="2">
        <v>19</v>
      </c>
      <c r="B3535" s="1" t="s">
        <v>268</v>
      </c>
      <c r="C3535" s="4">
        <v>1</v>
      </c>
      <c r="D3535" s="8">
        <v>0.93</v>
      </c>
      <c r="E3535" s="4">
        <v>1</v>
      </c>
      <c r="F3535" s="8">
        <v>1.39</v>
      </c>
      <c r="G3535" s="4">
        <v>0</v>
      </c>
      <c r="H3535" s="8">
        <v>0</v>
      </c>
      <c r="I3535" s="4">
        <v>0</v>
      </c>
    </row>
    <row r="3536" spans="1:9" x14ac:dyDescent="0.2">
      <c r="A3536" s="2">
        <v>19</v>
      </c>
      <c r="B3536" s="1" t="s">
        <v>277</v>
      </c>
      <c r="C3536" s="4">
        <v>1</v>
      </c>
      <c r="D3536" s="8">
        <v>0.93</v>
      </c>
      <c r="E3536" s="4">
        <v>0</v>
      </c>
      <c r="F3536" s="8">
        <v>0</v>
      </c>
      <c r="G3536" s="4">
        <v>1</v>
      </c>
      <c r="H3536" s="8">
        <v>3.7</v>
      </c>
      <c r="I3536" s="4">
        <v>0</v>
      </c>
    </row>
    <row r="3537" spans="1:9" x14ac:dyDescent="0.2">
      <c r="A3537" s="2">
        <v>19</v>
      </c>
      <c r="B3537" s="1" t="s">
        <v>238</v>
      </c>
      <c r="C3537" s="4">
        <v>1</v>
      </c>
      <c r="D3537" s="8">
        <v>0.93</v>
      </c>
      <c r="E3537" s="4">
        <v>0</v>
      </c>
      <c r="F3537" s="8">
        <v>0</v>
      </c>
      <c r="G3537" s="4">
        <v>1</v>
      </c>
      <c r="H3537" s="8">
        <v>3.7</v>
      </c>
      <c r="I3537" s="4">
        <v>0</v>
      </c>
    </row>
    <row r="3538" spans="1:9" x14ac:dyDescent="0.2">
      <c r="A3538" s="2">
        <v>19</v>
      </c>
      <c r="B3538" s="1" t="s">
        <v>217</v>
      </c>
      <c r="C3538" s="4">
        <v>1</v>
      </c>
      <c r="D3538" s="8">
        <v>0.93</v>
      </c>
      <c r="E3538" s="4">
        <v>1</v>
      </c>
      <c r="F3538" s="8">
        <v>1.39</v>
      </c>
      <c r="G3538" s="4">
        <v>0</v>
      </c>
      <c r="H3538" s="8">
        <v>0</v>
      </c>
      <c r="I3538" s="4">
        <v>0</v>
      </c>
    </row>
    <row r="3539" spans="1:9" x14ac:dyDescent="0.2">
      <c r="A3539" s="2">
        <v>19</v>
      </c>
      <c r="B3539" s="1" t="s">
        <v>236</v>
      </c>
      <c r="C3539" s="4">
        <v>1</v>
      </c>
      <c r="D3539" s="8">
        <v>0.93</v>
      </c>
      <c r="E3539" s="4">
        <v>1</v>
      </c>
      <c r="F3539" s="8">
        <v>1.39</v>
      </c>
      <c r="G3539" s="4">
        <v>0</v>
      </c>
      <c r="H3539" s="8">
        <v>0</v>
      </c>
      <c r="I3539" s="4">
        <v>0</v>
      </c>
    </row>
    <row r="3540" spans="1:9" x14ac:dyDescent="0.2">
      <c r="A3540" s="2">
        <v>19</v>
      </c>
      <c r="B3540" s="1" t="s">
        <v>246</v>
      </c>
      <c r="C3540" s="4">
        <v>1</v>
      </c>
      <c r="D3540" s="8">
        <v>0.93</v>
      </c>
      <c r="E3540" s="4">
        <v>1</v>
      </c>
      <c r="F3540" s="8">
        <v>1.39</v>
      </c>
      <c r="G3540" s="4">
        <v>0</v>
      </c>
      <c r="H3540" s="8">
        <v>0</v>
      </c>
      <c r="I3540" s="4">
        <v>0</v>
      </c>
    </row>
    <row r="3541" spans="1:9" x14ac:dyDescent="0.2">
      <c r="A3541" s="2">
        <v>19</v>
      </c>
      <c r="B3541" s="1" t="s">
        <v>226</v>
      </c>
      <c r="C3541" s="4">
        <v>1</v>
      </c>
      <c r="D3541" s="8">
        <v>0.93</v>
      </c>
      <c r="E3541" s="4">
        <v>1</v>
      </c>
      <c r="F3541" s="8">
        <v>1.39</v>
      </c>
      <c r="G3541" s="4">
        <v>0</v>
      </c>
      <c r="H3541" s="8">
        <v>0</v>
      </c>
      <c r="I3541" s="4">
        <v>0</v>
      </c>
    </row>
    <row r="3542" spans="1:9" x14ac:dyDescent="0.2">
      <c r="A3542" s="2">
        <v>19</v>
      </c>
      <c r="B3542" s="1" t="s">
        <v>242</v>
      </c>
      <c r="C3542" s="4">
        <v>1</v>
      </c>
      <c r="D3542" s="8">
        <v>0.93</v>
      </c>
      <c r="E3542" s="4">
        <v>1</v>
      </c>
      <c r="F3542" s="8">
        <v>1.39</v>
      </c>
      <c r="G3542" s="4">
        <v>0</v>
      </c>
      <c r="H3542" s="8">
        <v>0</v>
      </c>
      <c r="I3542" s="4">
        <v>0</v>
      </c>
    </row>
    <row r="3543" spans="1:9" x14ac:dyDescent="0.2">
      <c r="A3543" s="1"/>
      <c r="C3543" s="4"/>
      <c r="D3543" s="8"/>
      <c r="E3543" s="4"/>
      <c r="F3543" s="8"/>
      <c r="G3543" s="4"/>
      <c r="H3543" s="8"/>
      <c r="I3543" s="4"/>
    </row>
    <row r="3544" spans="1:9" x14ac:dyDescent="0.2">
      <c r="A3544" s="1" t="s">
        <v>139</v>
      </c>
      <c r="C3544" s="4"/>
      <c r="D3544" s="8"/>
      <c r="E3544" s="4"/>
      <c r="F3544" s="8"/>
      <c r="G3544" s="4"/>
      <c r="H3544" s="8"/>
      <c r="I3544" s="4"/>
    </row>
    <row r="3545" spans="1:9" x14ac:dyDescent="0.2">
      <c r="A3545" s="2">
        <v>1</v>
      </c>
      <c r="B3545" s="1" t="s">
        <v>223</v>
      </c>
      <c r="C3545" s="4">
        <v>18</v>
      </c>
      <c r="D3545" s="8">
        <v>12.08</v>
      </c>
      <c r="E3545" s="4">
        <v>12</v>
      </c>
      <c r="F3545" s="8">
        <v>14.63</v>
      </c>
      <c r="G3545" s="4">
        <v>6</v>
      </c>
      <c r="H3545" s="8">
        <v>10.34</v>
      </c>
      <c r="I3545" s="4">
        <v>0</v>
      </c>
    </row>
    <row r="3546" spans="1:9" x14ac:dyDescent="0.2">
      <c r="A3546" s="2">
        <v>2</v>
      </c>
      <c r="B3546" s="1" t="s">
        <v>228</v>
      </c>
      <c r="C3546" s="4">
        <v>13</v>
      </c>
      <c r="D3546" s="8">
        <v>8.7200000000000006</v>
      </c>
      <c r="E3546" s="4">
        <v>13</v>
      </c>
      <c r="F3546" s="8">
        <v>15.85</v>
      </c>
      <c r="G3546" s="4">
        <v>0</v>
      </c>
      <c r="H3546" s="8">
        <v>0</v>
      </c>
      <c r="I3546" s="4">
        <v>0</v>
      </c>
    </row>
    <row r="3547" spans="1:9" x14ac:dyDescent="0.2">
      <c r="A3547" s="2">
        <v>3</v>
      </c>
      <c r="B3547" s="1" t="s">
        <v>221</v>
      </c>
      <c r="C3547" s="4">
        <v>11</v>
      </c>
      <c r="D3547" s="8">
        <v>7.38</v>
      </c>
      <c r="E3547" s="4">
        <v>9</v>
      </c>
      <c r="F3547" s="8">
        <v>10.98</v>
      </c>
      <c r="G3547" s="4">
        <v>2</v>
      </c>
      <c r="H3547" s="8">
        <v>3.45</v>
      </c>
      <c r="I3547" s="4">
        <v>0</v>
      </c>
    </row>
    <row r="3548" spans="1:9" x14ac:dyDescent="0.2">
      <c r="A3548" s="2">
        <v>3</v>
      </c>
      <c r="B3548" s="1" t="s">
        <v>227</v>
      </c>
      <c r="C3548" s="4">
        <v>11</v>
      </c>
      <c r="D3548" s="8">
        <v>7.38</v>
      </c>
      <c r="E3548" s="4">
        <v>9</v>
      </c>
      <c r="F3548" s="8">
        <v>10.98</v>
      </c>
      <c r="G3548" s="4">
        <v>2</v>
      </c>
      <c r="H3548" s="8">
        <v>3.45</v>
      </c>
      <c r="I3548" s="4">
        <v>0</v>
      </c>
    </row>
    <row r="3549" spans="1:9" x14ac:dyDescent="0.2">
      <c r="A3549" s="2">
        <v>5</v>
      </c>
      <c r="B3549" s="1" t="s">
        <v>213</v>
      </c>
      <c r="C3549" s="4">
        <v>7</v>
      </c>
      <c r="D3549" s="8">
        <v>4.7</v>
      </c>
      <c r="E3549" s="4">
        <v>1</v>
      </c>
      <c r="F3549" s="8">
        <v>1.22</v>
      </c>
      <c r="G3549" s="4">
        <v>6</v>
      </c>
      <c r="H3549" s="8">
        <v>10.34</v>
      </c>
      <c r="I3549" s="4">
        <v>0</v>
      </c>
    </row>
    <row r="3550" spans="1:9" x14ac:dyDescent="0.2">
      <c r="A3550" s="2">
        <v>5</v>
      </c>
      <c r="B3550" s="1" t="s">
        <v>232</v>
      </c>
      <c r="C3550" s="4">
        <v>7</v>
      </c>
      <c r="D3550" s="8">
        <v>4.7</v>
      </c>
      <c r="E3550" s="4">
        <v>0</v>
      </c>
      <c r="F3550" s="8">
        <v>0</v>
      </c>
      <c r="G3550" s="4">
        <v>2</v>
      </c>
      <c r="H3550" s="8">
        <v>3.45</v>
      </c>
      <c r="I3550" s="4">
        <v>0</v>
      </c>
    </row>
    <row r="3551" spans="1:9" x14ac:dyDescent="0.2">
      <c r="A3551" s="2">
        <v>7</v>
      </c>
      <c r="B3551" s="1" t="s">
        <v>214</v>
      </c>
      <c r="C3551" s="4">
        <v>6</v>
      </c>
      <c r="D3551" s="8">
        <v>4.03</v>
      </c>
      <c r="E3551" s="4">
        <v>5</v>
      </c>
      <c r="F3551" s="8">
        <v>6.1</v>
      </c>
      <c r="G3551" s="4">
        <v>1</v>
      </c>
      <c r="H3551" s="8">
        <v>1.72</v>
      </c>
      <c r="I3551" s="4">
        <v>0</v>
      </c>
    </row>
    <row r="3552" spans="1:9" x14ac:dyDescent="0.2">
      <c r="A3552" s="2">
        <v>7</v>
      </c>
      <c r="B3552" s="1" t="s">
        <v>220</v>
      </c>
      <c r="C3552" s="4">
        <v>6</v>
      </c>
      <c r="D3552" s="8">
        <v>4.03</v>
      </c>
      <c r="E3552" s="4">
        <v>5</v>
      </c>
      <c r="F3552" s="8">
        <v>6.1</v>
      </c>
      <c r="G3552" s="4">
        <v>1</v>
      </c>
      <c r="H3552" s="8">
        <v>1.72</v>
      </c>
      <c r="I3552" s="4">
        <v>0</v>
      </c>
    </row>
    <row r="3553" spans="1:9" x14ac:dyDescent="0.2">
      <c r="A3553" s="2">
        <v>7</v>
      </c>
      <c r="B3553" s="1" t="s">
        <v>224</v>
      </c>
      <c r="C3553" s="4">
        <v>6</v>
      </c>
      <c r="D3553" s="8">
        <v>4.03</v>
      </c>
      <c r="E3553" s="4">
        <v>6</v>
      </c>
      <c r="F3553" s="8">
        <v>7.32</v>
      </c>
      <c r="G3553" s="4">
        <v>0</v>
      </c>
      <c r="H3553" s="8">
        <v>0</v>
      </c>
      <c r="I3553" s="4">
        <v>0</v>
      </c>
    </row>
    <row r="3554" spans="1:9" x14ac:dyDescent="0.2">
      <c r="A3554" s="2">
        <v>7</v>
      </c>
      <c r="B3554" s="1" t="s">
        <v>243</v>
      </c>
      <c r="C3554" s="4">
        <v>6</v>
      </c>
      <c r="D3554" s="8">
        <v>4.03</v>
      </c>
      <c r="E3554" s="4">
        <v>2</v>
      </c>
      <c r="F3554" s="8">
        <v>2.44</v>
      </c>
      <c r="G3554" s="4">
        <v>4</v>
      </c>
      <c r="H3554" s="8">
        <v>6.9</v>
      </c>
      <c r="I3554" s="4">
        <v>0</v>
      </c>
    </row>
    <row r="3555" spans="1:9" x14ac:dyDescent="0.2">
      <c r="A3555" s="2">
        <v>11</v>
      </c>
      <c r="B3555" s="1" t="s">
        <v>215</v>
      </c>
      <c r="C3555" s="4">
        <v>5</v>
      </c>
      <c r="D3555" s="8">
        <v>3.36</v>
      </c>
      <c r="E3555" s="4">
        <v>3</v>
      </c>
      <c r="F3555" s="8">
        <v>3.66</v>
      </c>
      <c r="G3555" s="4">
        <v>2</v>
      </c>
      <c r="H3555" s="8">
        <v>3.45</v>
      </c>
      <c r="I3555" s="4">
        <v>0</v>
      </c>
    </row>
    <row r="3556" spans="1:9" x14ac:dyDescent="0.2">
      <c r="A3556" s="2">
        <v>11</v>
      </c>
      <c r="B3556" s="1" t="s">
        <v>241</v>
      </c>
      <c r="C3556" s="4">
        <v>5</v>
      </c>
      <c r="D3556" s="8">
        <v>3.36</v>
      </c>
      <c r="E3556" s="4">
        <v>0</v>
      </c>
      <c r="F3556" s="8">
        <v>0</v>
      </c>
      <c r="G3556" s="4">
        <v>5</v>
      </c>
      <c r="H3556" s="8">
        <v>8.6199999999999992</v>
      </c>
      <c r="I3556" s="4">
        <v>0</v>
      </c>
    </row>
    <row r="3557" spans="1:9" x14ac:dyDescent="0.2">
      <c r="A3557" s="2">
        <v>13</v>
      </c>
      <c r="B3557" s="1" t="s">
        <v>226</v>
      </c>
      <c r="C3557" s="4">
        <v>4</v>
      </c>
      <c r="D3557" s="8">
        <v>2.68</v>
      </c>
      <c r="E3557" s="4">
        <v>2</v>
      </c>
      <c r="F3557" s="8">
        <v>2.44</v>
      </c>
      <c r="G3557" s="4">
        <v>2</v>
      </c>
      <c r="H3557" s="8">
        <v>3.45</v>
      </c>
      <c r="I3557" s="4">
        <v>0</v>
      </c>
    </row>
    <row r="3558" spans="1:9" x14ac:dyDescent="0.2">
      <c r="A3558" s="2">
        <v>13</v>
      </c>
      <c r="B3558" s="1" t="s">
        <v>231</v>
      </c>
      <c r="C3558" s="4">
        <v>4</v>
      </c>
      <c r="D3558" s="8">
        <v>2.68</v>
      </c>
      <c r="E3558" s="4">
        <v>3</v>
      </c>
      <c r="F3558" s="8">
        <v>3.66</v>
      </c>
      <c r="G3558" s="4">
        <v>1</v>
      </c>
      <c r="H3558" s="8">
        <v>1.72</v>
      </c>
      <c r="I3558" s="4">
        <v>0</v>
      </c>
    </row>
    <row r="3559" spans="1:9" x14ac:dyDescent="0.2">
      <c r="A3559" s="2">
        <v>13</v>
      </c>
      <c r="B3559" s="1" t="s">
        <v>240</v>
      </c>
      <c r="C3559" s="4">
        <v>4</v>
      </c>
      <c r="D3559" s="8">
        <v>2.68</v>
      </c>
      <c r="E3559" s="4">
        <v>3</v>
      </c>
      <c r="F3559" s="8">
        <v>3.66</v>
      </c>
      <c r="G3559" s="4">
        <v>1</v>
      </c>
      <c r="H3559" s="8">
        <v>1.72</v>
      </c>
      <c r="I3559" s="4">
        <v>0</v>
      </c>
    </row>
    <row r="3560" spans="1:9" x14ac:dyDescent="0.2">
      <c r="A3560" s="2">
        <v>13</v>
      </c>
      <c r="B3560" s="1" t="s">
        <v>242</v>
      </c>
      <c r="C3560" s="4">
        <v>4</v>
      </c>
      <c r="D3560" s="8">
        <v>2.68</v>
      </c>
      <c r="E3560" s="4">
        <v>3</v>
      </c>
      <c r="F3560" s="8">
        <v>3.66</v>
      </c>
      <c r="G3560" s="4">
        <v>1</v>
      </c>
      <c r="H3560" s="8">
        <v>1.72</v>
      </c>
      <c r="I3560" s="4">
        <v>0</v>
      </c>
    </row>
    <row r="3561" spans="1:9" x14ac:dyDescent="0.2">
      <c r="A3561" s="2">
        <v>17</v>
      </c>
      <c r="B3561" s="1" t="s">
        <v>246</v>
      </c>
      <c r="C3561" s="4">
        <v>3</v>
      </c>
      <c r="D3561" s="8">
        <v>2.0099999999999998</v>
      </c>
      <c r="E3561" s="4">
        <v>1</v>
      </c>
      <c r="F3561" s="8">
        <v>1.22</v>
      </c>
      <c r="G3561" s="4">
        <v>2</v>
      </c>
      <c r="H3561" s="8">
        <v>3.45</v>
      </c>
      <c r="I3561" s="4">
        <v>0</v>
      </c>
    </row>
    <row r="3562" spans="1:9" x14ac:dyDescent="0.2">
      <c r="A3562" s="2">
        <v>17</v>
      </c>
      <c r="B3562" s="1" t="s">
        <v>239</v>
      </c>
      <c r="C3562" s="4">
        <v>3</v>
      </c>
      <c r="D3562" s="8">
        <v>2.0099999999999998</v>
      </c>
      <c r="E3562" s="4">
        <v>0</v>
      </c>
      <c r="F3562" s="8">
        <v>0</v>
      </c>
      <c r="G3562" s="4">
        <v>3</v>
      </c>
      <c r="H3562" s="8">
        <v>5.17</v>
      </c>
      <c r="I3562" s="4">
        <v>0</v>
      </c>
    </row>
    <row r="3563" spans="1:9" x14ac:dyDescent="0.2">
      <c r="A3563" s="2">
        <v>17</v>
      </c>
      <c r="B3563" s="1" t="s">
        <v>230</v>
      </c>
      <c r="C3563" s="4">
        <v>3</v>
      </c>
      <c r="D3563" s="8">
        <v>2.0099999999999998</v>
      </c>
      <c r="E3563" s="4">
        <v>1</v>
      </c>
      <c r="F3563" s="8">
        <v>1.22</v>
      </c>
      <c r="G3563" s="4">
        <v>0</v>
      </c>
      <c r="H3563" s="8">
        <v>0</v>
      </c>
      <c r="I3563" s="4">
        <v>0</v>
      </c>
    </row>
    <row r="3564" spans="1:9" x14ac:dyDescent="0.2">
      <c r="A3564" s="2">
        <v>20</v>
      </c>
      <c r="B3564" s="1" t="s">
        <v>255</v>
      </c>
      <c r="C3564" s="4">
        <v>2</v>
      </c>
      <c r="D3564" s="8">
        <v>1.34</v>
      </c>
      <c r="E3564" s="4">
        <v>0</v>
      </c>
      <c r="F3564" s="8">
        <v>0</v>
      </c>
      <c r="G3564" s="4">
        <v>0</v>
      </c>
      <c r="H3564" s="8">
        <v>0</v>
      </c>
      <c r="I3564" s="4">
        <v>0</v>
      </c>
    </row>
    <row r="3565" spans="1:9" x14ac:dyDescent="0.2">
      <c r="A3565" s="2">
        <v>20</v>
      </c>
      <c r="B3565" s="1" t="s">
        <v>216</v>
      </c>
      <c r="C3565" s="4">
        <v>2</v>
      </c>
      <c r="D3565" s="8">
        <v>1.34</v>
      </c>
      <c r="E3565" s="4">
        <v>0</v>
      </c>
      <c r="F3565" s="8">
        <v>0</v>
      </c>
      <c r="G3565" s="4">
        <v>2</v>
      </c>
      <c r="H3565" s="8">
        <v>3.45</v>
      </c>
      <c r="I3565" s="4">
        <v>0</v>
      </c>
    </row>
    <row r="3566" spans="1:9" x14ac:dyDescent="0.2">
      <c r="A3566" s="2">
        <v>20</v>
      </c>
      <c r="B3566" s="1" t="s">
        <v>217</v>
      </c>
      <c r="C3566" s="4">
        <v>2</v>
      </c>
      <c r="D3566" s="8">
        <v>1.34</v>
      </c>
      <c r="E3566" s="4">
        <v>0</v>
      </c>
      <c r="F3566" s="8">
        <v>0</v>
      </c>
      <c r="G3566" s="4">
        <v>2</v>
      </c>
      <c r="H3566" s="8">
        <v>3.45</v>
      </c>
      <c r="I3566" s="4">
        <v>0</v>
      </c>
    </row>
    <row r="3567" spans="1:9" x14ac:dyDescent="0.2">
      <c r="A3567" s="2">
        <v>20</v>
      </c>
      <c r="B3567" s="1" t="s">
        <v>218</v>
      </c>
      <c r="C3567" s="4">
        <v>2</v>
      </c>
      <c r="D3567" s="8">
        <v>1.34</v>
      </c>
      <c r="E3567" s="4">
        <v>0</v>
      </c>
      <c r="F3567" s="8">
        <v>0</v>
      </c>
      <c r="G3567" s="4">
        <v>2</v>
      </c>
      <c r="H3567" s="8">
        <v>3.45</v>
      </c>
      <c r="I3567" s="4">
        <v>0</v>
      </c>
    </row>
    <row r="3568" spans="1:9" x14ac:dyDescent="0.2">
      <c r="A3568" s="2">
        <v>20</v>
      </c>
      <c r="B3568" s="1" t="s">
        <v>222</v>
      </c>
      <c r="C3568" s="4">
        <v>2</v>
      </c>
      <c r="D3568" s="8">
        <v>1.34</v>
      </c>
      <c r="E3568" s="4">
        <v>2</v>
      </c>
      <c r="F3568" s="8">
        <v>2.44</v>
      </c>
      <c r="G3568" s="4">
        <v>0</v>
      </c>
      <c r="H3568" s="8">
        <v>0</v>
      </c>
      <c r="I3568" s="4">
        <v>0</v>
      </c>
    </row>
    <row r="3569" spans="1:9" x14ac:dyDescent="0.2">
      <c r="A3569" s="2">
        <v>20</v>
      </c>
      <c r="B3569" s="1" t="s">
        <v>225</v>
      </c>
      <c r="C3569" s="4">
        <v>2</v>
      </c>
      <c r="D3569" s="8">
        <v>1.34</v>
      </c>
      <c r="E3569" s="4">
        <v>1</v>
      </c>
      <c r="F3569" s="8">
        <v>1.22</v>
      </c>
      <c r="G3569" s="4">
        <v>1</v>
      </c>
      <c r="H3569" s="8">
        <v>1.72</v>
      </c>
      <c r="I3569" s="4">
        <v>0</v>
      </c>
    </row>
    <row r="3570" spans="1:9" x14ac:dyDescent="0.2">
      <c r="A3570" s="2">
        <v>20</v>
      </c>
      <c r="B3570" s="1" t="s">
        <v>229</v>
      </c>
      <c r="C3570" s="4">
        <v>2</v>
      </c>
      <c r="D3570" s="8">
        <v>1.34</v>
      </c>
      <c r="E3570" s="4">
        <v>0</v>
      </c>
      <c r="F3570" s="8">
        <v>0</v>
      </c>
      <c r="G3570" s="4">
        <v>2</v>
      </c>
      <c r="H3570" s="8">
        <v>3.45</v>
      </c>
      <c r="I3570" s="4">
        <v>0</v>
      </c>
    </row>
    <row r="3571" spans="1:9" x14ac:dyDescent="0.2">
      <c r="A3571" s="1"/>
      <c r="C3571" s="4"/>
      <c r="D3571" s="8"/>
      <c r="E3571" s="4"/>
      <c r="F3571" s="8"/>
      <c r="G3571" s="4"/>
      <c r="H3571" s="8"/>
      <c r="I3571" s="4"/>
    </row>
    <row r="3572" spans="1:9" x14ac:dyDescent="0.2">
      <c r="A3572" s="1" t="s">
        <v>140</v>
      </c>
      <c r="C3572" s="4"/>
      <c r="D3572" s="8"/>
      <c r="E3572" s="4"/>
      <c r="F3572" s="8"/>
      <c r="G3572" s="4"/>
      <c r="H3572" s="8"/>
      <c r="I3572" s="4"/>
    </row>
    <row r="3573" spans="1:9" x14ac:dyDescent="0.2">
      <c r="A3573" s="2">
        <v>1</v>
      </c>
      <c r="B3573" s="1" t="s">
        <v>228</v>
      </c>
      <c r="C3573" s="4">
        <v>65</v>
      </c>
      <c r="D3573" s="8">
        <v>14.81</v>
      </c>
      <c r="E3573" s="4">
        <v>57</v>
      </c>
      <c r="F3573" s="8">
        <v>22.8</v>
      </c>
      <c r="G3573" s="4">
        <v>8</v>
      </c>
      <c r="H3573" s="8">
        <v>4.55</v>
      </c>
      <c r="I3573" s="4">
        <v>0</v>
      </c>
    </row>
    <row r="3574" spans="1:9" x14ac:dyDescent="0.2">
      <c r="A3574" s="2">
        <v>2</v>
      </c>
      <c r="B3574" s="1" t="s">
        <v>227</v>
      </c>
      <c r="C3574" s="4">
        <v>53</v>
      </c>
      <c r="D3574" s="8">
        <v>12.07</v>
      </c>
      <c r="E3574" s="4">
        <v>49</v>
      </c>
      <c r="F3574" s="8">
        <v>19.600000000000001</v>
      </c>
      <c r="G3574" s="4">
        <v>3</v>
      </c>
      <c r="H3574" s="8">
        <v>1.7</v>
      </c>
      <c r="I3574" s="4">
        <v>1</v>
      </c>
    </row>
    <row r="3575" spans="1:9" x14ac:dyDescent="0.2">
      <c r="A3575" s="2">
        <v>3</v>
      </c>
      <c r="B3575" s="1" t="s">
        <v>223</v>
      </c>
      <c r="C3575" s="4">
        <v>40</v>
      </c>
      <c r="D3575" s="8">
        <v>9.11</v>
      </c>
      <c r="E3575" s="4">
        <v>12</v>
      </c>
      <c r="F3575" s="8">
        <v>4.8</v>
      </c>
      <c r="G3575" s="4">
        <v>28</v>
      </c>
      <c r="H3575" s="8">
        <v>15.91</v>
      </c>
      <c r="I3575" s="4">
        <v>0</v>
      </c>
    </row>
    <row r="3576" spans="1:9" x14ac:dyDescent="0.2">
      <c r="A3576" s="2">
        <v>4</v>
      </c>
      <c r="B3576" s="1" t="s">
        <v>231</v>
      </c>
      <c r="C3576" s="4">
        <v>24</v>
      </c>
      <c r="D3576" s="8">
        <v>5.47</v>
      </c>
      <c r="E3576" s="4">
        <v>22</v>
      </c>
      <c r="F3576" s="8">
        <v>8.8000000000000007</v>
      </c>
      <c r="G3576" s="4">
        <v>2</v>
      </c>
      <c r="H3576" s="8">
        <v>1.1399999999999999</v>
      </c>
      <c r="I3576" s="4">
        <v>0</v>
      </c>
    </row>
    <row r="3577" spans="1:9" x14ac:dyDescent="0.2">
      <c r="A3577" s="2">
        <v>5</v>
      </c>
      <c r="B3577" s="1" t="s">
        <v>213</v>
      </c>
      <c r="C3577" s="4">
        <v>23</v>
      </c>
      <c r="D3577" s="8">
        <v>5.24</v>
      </c>
      <c r="E3577" s="4">
        <v>5</v>
      </c>
      <c r="F3577" s="8">
        <v>2</v>
      </c>
      <c r="G3577" s="4">
        <v>18</v>
      </c>
      <c r="H3577" s="8">
        <v>10.23</v>
      </c>
      <c r="I3577" s="4">
        <v>0</v>
      </c>
    </row>
    <row r="3578" spans="1:9" x14ac:dyDescent="0.2">
      <c r="A3578" s="2">
        <v>6</v>
      </c>
      <c r="B3578" s="1" t="s">
        <v>230</v>
      </c>
      <c r="C3578" s="4">
        <v>20</v>
      </c>
      <c r="D3578" s="8">
        <v>4.5599999999999996</v>
      </c>
      <c r="E3578" s="4">
        <v>9</v>
      </c>
      <c r="F3578" s="8">
        <v>3.6</v>
      </c>
      <c r="G3578" s="4">
        <v>6</v>
      </c>
      <c r="H3578" s="8">
        <v>3.41</v>
      </c>
      <c r="I3578" s="4">
        <v>0</v>
      </c>
    </row>
    <row r="3579" spans="1:9" x14ac:dyDescent="0.2">
      <c r="A3579" s="2">
        <v>7</v>
      </c>
      <c r="B3579" s="1" t="s">
        <v>224</v>
      </c>
      <c r="C3579" s="4">
        <v>19</v>
      </c>
      <c r="D3579" s="8">
        <v>4.33</v>
      </c>
      <c r="E3579" s="4">
        <v>14</v>
      </c>
      <c r="F3579" s="8">
        <v>5.6</v>
      </c>
      <c r="G3579" s="4">
        <v>5</v>
      </c>
      <c r="H3579" s="8">
        <v>2.84</v>
      </c>
      <c r="I3579" s="4">
        <v>0</v>
      </c>
    </row>
    <row r="3580" spans="1:9" x14ac:dyDescent="0.2">
      <c r="A3580" s="2">
        <v>8</v>
      </c>
      <c r="B3580" s="1" t="s">
        <v>214</v>
      </c>
      <c r="C3580" s="4">
        <v>18</v>
      </c>
      <c r="D3580" s="8">
        <v>4.0999999999999996</v>
      </c>
      <c r="E3580" s="4">
        <v>13</v>
      </c>
      <c r="F3580" s="8">
        <v>5.2</v>
      </c>
      <c r="G3580" s="4">
        <v>5</v>
      </c>
      <c r="H3580" s="8">
        <v>2.84</v>
      </c>
      <c r="I3580" s="4">
        <v>0</v>
      </c>
    </row>
    <row r="3581" spans="1:9" x14ac:dyDescent="0.2">
      <c r="A3581" s="2">
        <v>9</v>
      </c>
      <c r="B3581" s="1" t="s">
        <v>215</v>
      </c>
      <c r="C3581" s="4">
        <v>15</v>
      </c>
      <c r="D3581" s="8">
        <v>3.42</v>
      </c>
      <c r="E3581" s="4">
        <v>6</v>
      </c>
      <c r="F3581" s="8">
        <v>2.4</v>
      </c>
      <c r="G3581" s="4">
        <v>9</v>
      </c>
      <c r="H3581" s="8">
        <v>5.1100000000000003</v>
      </c>
      <c r="I3581" s="4">
        <v>0</v>
      </c>
    </row>
    <row r="3582" spans="1:9" x14ac:dyDescent="0.2">
      <c r="A3582" s="2">
        <v>10</v>
      </c>
      <c r="B3582" s="1" t="s">
        <v>222</v>
      </c>
      <c r="C3582" s="4">
        <v>13</v>
      </c>
      <c r="D3582" s="8">
        <v>2.96</v>
      </c>
      <c r="E3582" s="4">
        <v>8</v>
      </c>
      <c r="F3582" s="8">
        <v>3.2</v>
      </c>
      <c r="G3582" s="4">
        <v>5</v>
      </c>
      <c r="H3582" s="8">
        <v>2.84</v>
      </c>
      <c r="I3582" s="4">
        <v>0</v>
      </c>
    </row>
    <row r="3583" spans="1:9" x14ac:dyDescent="0.2">
      <c r="A3583" s="2">
        <v>11</v>
      </c>
      <c r="B3583" s="1" t="s">
        <v>221</v>
      </c>
      <c r="C3583" s="4">
        <v>12</v>
      </c>
      <c r="D3583" s="8">
        <v>2.73</v>
      </c>
      <c r="E3583" s="4">
        <v>7</v>
      </c>
      <c r="F3583" s="8">
        <v>2.8</v>
      </c>
      <c r="G3583" s="4">
        <v>5</v>
      </c>
      <c r="H3583" s="8">
        <v>2.84</v>
      </c>
      <c r="I3583" s="4">
        <v>0</v>
      </c>
    </row>
    <row r="3584" spans="1:9" x14ac:dyDescent="0.2">
      <c r="A3584" s="2">
        <v>11</v>
      </c>
      <c r="B3584" s="1" t="s">
        <v>243</v>
      </c>
      <c r="C3584" s="4">
        <v>12</v>
      </c>
      <c r="D3584" s="8">
        <v>2.73</v>
      </c>
      <c r="E3584" s="4">
        <v>7</v>
      </c>
      <c r="F3584" s="8">
        <v>2.8</v>
      </c>
      <c r="G3584" s="4">
        <v>5</v>
      </c>
      <c r="H3584" s="8">
        <v>2.84</v>
      </c>
      <c r="I3584" s="4">
        <v>0</v>
      </c>
    </row>
    <row r="3585" spans="1:9" x14ac:dyDescent="0.2">
      <c r="A3585" s="2">
        <v>13</v>
      </c>
      <c r="B3585" s="1" t="s">
        <v>232</v>
      </c>
      <c r="C3585" s="4">
        <v>10</v>
      </c>
      <c r="D3585" s="8">
        <v>2.2799999999999998</v>
      </c>
      <c r="E3585" s="4">
        <v>0</v>
      </c>
      <c r="F3585" s="8">
        <v>0</v>
      </c>
      <c r="G3585" s="4">
        <v>8</v>
      </c>
      <c r="H3585" s="8">
        <v>4.55</v>
      </c>
      <c r="I3585" s="4">
        <v>0</v>
      </c>
    </row>
    <row r="3586" spans="1:9" x14ac:dyDescent="0.2">
      <c r="A3586" s="2">
        <v>14</v>
      </c>
      <c r="B3586" s="1" t="s">
        <v>240</v>
      </c>
      <c r="C3586" s="4">
        <v>8</v>
      </c>
      <c r="D3586" s="8">
        <v>1.82</v>
      </c>
      <c r="E3586" s="4">
        <v>5</v>
      </c>
      <c r="F3586" s="8">
        <v>2</v>
      </c>
      <c r="G3586" s="4">
        <v>3</v>
      </c>
      <c r="H3586" s="8">
        <v>1.7</v>
      </c>
      <c r="I3586" s="4">
        <v>0</v>
      </c>
    </row>
    <row r="3587" spans="1:9" x14ac:dyDescent="0.2">
      <c r="A3587" s="2">
        <v>15</v>
      </c>
      <c r="B3587" s="1" t="s">
        <v>218</v>
      </c>
      <c r="C3587" s="4">
        <v>7</v>
      </c>
      <c r="D3587" s="8">
        <v>1.59</v>
      </c>
      <c r="E3587" s="4">
        <v>1</v>
      </c>
      <c r="F3587" s="8">
        <v>0.4</v>
      </c>
      <c r="G3587" s="4">
        <v>6</v>
      </c>
      <c r="H3587" s="8">
        <v>3.41</v>
      </c>
      <c r="I3587" s="4">
        <v>0</v>
      </c>
    </row>
    <row r="3588" spans="1:9" x14ac:dyDescent="0.2">
      <c r="A3588" s="2">
        <v>15</v>
      </c>
      <c r="B3588" s="1" t="s">
        <v>225</v>
      </c>
      <c r="C3588" s="4">
        <v>7</v>
      </c>
      <c r="D3588" s="8">
        <v>1.59</v>
      </c>
      <c r="E3588" s="4">
        <v>7</v>
      </c>
      <c r="F3588" s="8">
        <v>2.8</v>
      </c>
      <c r="G3588" s="4">
        <v>0</v>
      </c>
      <c r="H3588" s="8">
        <v>0</v>
      </c>
      <c r="I3588" s="4">
        <v>0</v>
      </c>
    </row>
    <row r="3589" spans="1:9" x14ac:dyDescent="0.2">
      <c r="A3589" s="2">
        <v>17</v>
      </c>
      <c r="B3589" s="1" t="s">
        <v>244</v>
      </c>
      <c r="C3589" s="4">
        <v>6</v>
      </c>
      <c r="D3589" s="8">
        <v>1.37</v>
      </c>
      <c r="E3589" s="4">
        <v>1</v>
      </c>
      <c r="F3589" s="8">
        <v>0.4</v>
      </c>
      <c r="G3589" s="4">
        <v>5</v>
      </c>
      <c r="H3589" s="8">
        <v>2.84</v>
      </c>
      <c r="I3589" s="4">
        <v>0</v>
      </c>
    </row>
    <row r="3590" spans="1:9" x14ac:dyDescent="0.2">
      <c r="A3590" s="2">
        <v>17</v>
      </c>
      <c r="B3590" s="1" t="s">
        <v>220</v>
      </c>
      <c r="C3590" s="4">
        <v>6</v>
      </c>
      <c r="D3590" s="8">
        <v>1.37</v>
      </c>
      <c r="E3590" s="4">
        <v>2</v>
      </c>
      <c r="F3590" s="8">
        <v>0.8</v>
      </c>
      <c r="G3590" s="4">
        <v>4</v>
      </c>
      <c r="H3590" s="8">
        <v>2.27</v>
      </c>
      <c r="I3590" s="4">
        <v>0</v>
      </c>
    </row>
    <row r="3591" spans="1:9" x14ac:dyDescent="0.2">
      <c r="A3591" s="2">
        <v>17</v>
      </c>
      <c r="B3591" s="1" t="s">
        <v>226</v>
      </c>
      <c r="C3591" s="4">
        <v>6</v>
      </c>
      <c r="D3591" s="8">
        <v>1.37</v>
      </c>
      <c r="E3591" s="4">
        <v>3</v>
      </c>
      <c r="F3591" s="8">
        <v>1.2</v>
      </c>
      <c r="G3591" s="4">
        <v>2</v>
      </c>
      <c r="H3591" s="8">
        <v>1.1399999999999999</v>
      </c>
      <c r="I3591" s="4">
        <v>0</v>
      </c>
    </row>
    <row r="3592" spans="1:9" x14ac:dyDescent="0.2">
      <c r="A3592" s="2">
        <v>20</v>
      </c>
      <c r="B3592" s="1" t="s">
        <v>241</v>
      </c>
      <c r="C3592" s="4">
        <v>5</v>
      </c>
      <c r="D3592" s="8">
        <v>1.1399999999999999</v>
      </c>
      <c r="E3592" s="4">
        <v>1</v>
      </c>
      <c r="F3592" s="8">
        <v>0.4</v>
      </c>
      <c r="G3592" s="4">
        <v>4</v>
      </c>
      <c r="H3592" s="8">
        <v>2.27</v>
      </c>
      <c r="I3592" s="4">
        <v>0</v>
      </c>
    </row>
    <row r="3593" spans="1:9" x14ac:dyDescent="0.2">
      <c r="A3593" s="2">
        <v>20</v>
      </c>
      <c r="B3593" s="1" t="s">
        <v>252</v>
      </c>
      <c r="C3593" s="4">
        <v>5</v>
      </c>
      <c r="D3593" s="8">
        <v>1.1399999999999999</v>
      </c>
      <c r="E3593" s="4">
        <v>1</v>
      </c>
      <c r="F3593" s="8">
        <v>0.4</v>
      </c>
      <c r="G3593" s="4">
        <v>4</v>
      </c>
      <c r="H3593" s="8">
        <v>2.27</v>
      </c>
      <c r="I3593" s="4">
        <v>0</v>
      </c>
    </row>
    <row r="3594" spans="1:9" x14ac:dyDescent="0.2">
      <c r="A3594" s="2">
        <v>20</v>
      </c>
      <c r="B3594" s="1" t="s">
        <v>248</v>
      </c>
      <c r="C3594" s="4">
        <v>5</v>
      </c>
      <c r="D3594" s="8">
        <v>1.1399999999999999</v>
      </c>
      <c r="E3594" s="4">
        <v>2</v>
      </c>
      <c r="F3594" s="8">
        <v>0.8</v>
      </c>
      <c r="G3594" s="4">
        <v>3</v>
      </c>
      <c r="H3594" s="8">
        <v>1.7</v>
      </c>
      <c r="I3594" s="4">
        <v>0</v>
      </c>
    </row>
    <row r="3595" spans="1:9" x14ac:dyDescent="0.2">
      <c r="A3595" s="2">
        <v>20</v>
      </c>
      <c r="B3595" s="1" t="s">
        <v>219</v>
      </c>
      <c r="C3595" s="4">
        <v>5</v>
      </c>
      <c r="D3595" s="8">
        <v>1.1399999999999999</v>
      </c>
      <c r="E3595" s="4">
        <v>1</v>
      </c>
      <c r="F3595" s="8">
        <v>0.4</v>
      </c>
      <c r="G3595" s="4">
        <v>4</v>
      </c>
      <c r="H3595" s="8">
        <v>2.27</v>
      </c>
      <c r="I3595" s="4">
        <v>0</v>
      </c>
    </row>
    <row r="3596" spans="1:9" x14ac:dyDescent="0.2">
      <c r="A3596" s="2">
        <v>20</v>
      </c>
      <c r="B3596" s="1" t="s">
        <v>237</v>
      </c>
      <c r="C3596" s="4">
        <v>5</v>
      </c>
      <c r="D3596" s="8">
        <v>1.1399999999999999</v>
      </c>
      <c r="E3596" s="4">
        <v>0</v>
      </c>
      <c r="F3596" s="8">
        <v>0</v>
      </c>
      <c r="G3596" s="4">
        <v>5</v>
      </c>
      <c r="H3596" s="8">
        <v>2.84</v>
      </c>
      <c r="I3596" s="4">
        <v>0</v>
      </c>
    </row>
    <row r="3597" spans="1:9" x14ac:dyDescent="0.2">
      <c r="A3597" s="2">
        <v>20</v>
      </c>
      <c r="B3597" s="1" t="s">
        <v>229</v>
      </c>
      <c r="C3597" s="4">
        <v>5</v>
      </c>
      <c r="D3597" s="8">
        <v>1.1399999999999999</v>
      </c>
      <c r="E3597" s="4">
        <v>5</v>
      </c>
      <c r="F3597" s="8">
        <v>2</v>
      </c>
      <c r="G3597" s="4">
        <v>0</v>
      </c>
      <c r="H3597" s="8">
        <v>0</v>
      </c>
      <c r="I3597" s="4">
        <v>0</v>
      </c>
    </row>
    <row r="3598" spans="1:9" x14ac:dyDescent="0.2">
      <c r="A3598" s="1"/>
      <c r="C3598" s="4"/>
      <c r="D3598" s="8"/>
      <c r="E3598" s="4"/>
      <c r="F3598" s="8"/>
      <c r="G3598" s="4"/>
      <c r="H3598" s="8"/>
      <c r="I3598" s="4"/>
    </row>
    <row r="3599" spans="1:9" x14ac:dyDescent="0.2">
      <c r="A3599" s="1" t="s">
        <v>141</v>
      </c>
      <c r="C3599" s="4"/>
      <c r="D3599" s="8"/>
      <c r="E3599" s="4"/>
      <c r="F3599" s="8"/>
      <c r="G3599" s="4"/>
      <c r="H3599" s="8"/>
      <c r="I3599" s="4"/>
    </row>
    <row r="3600" spans="1:9" x14ac:dyDescent="0.2">
      <c r="A3600" s="2">
        <v>1</v>
      </c>
      <c r="B3600" s="1" t="s">
        <v>223</v>
      </c>
      <c r="C3600" s="4">
        <v>26</v>
      </c>
      <c r="D3600" s="8">
        <v>10.36</v>
      </c>
      <c r="E3600" s="4">
        <v>11</v>
      </c>
      <c r="F3600" s="8">
        <v>7.8</v>
      </c>
      <c r="G3600" s="4">
        <v>15</v>
      </c>
      <c r="H3600" s="8">
        <v>14.71</v>
      </c>
      <c r="I3600" s="4">
        <v>0</v>
      </c>
    </row>
    <row r="3601" spans="1:9" x14ac:dyDescent="0.2">
      <c r="A3601" s="2">
        <v>2</v>
      </c>
      <c r="B3601" s="1" t="s">
        <v>228</v>
      </c>
      <c r="C3601" s="4">
        <v>25</v>
      </c>
      <c r="D3601" s="8">
        <v>9.9600000000000009</v>
      </c>
      <c r="E3601" s="4">
        <v>24</v>
      </c>
      <c r="F3601" s="8">
        <v>17.02</v>
      </c>
      <c r="G3601" s="4">
        <v>1</v>
      </c>
      <c r="H3601" s="8">
        <v>0.98</v>
      </c>
      <c r="I3601" s="4">
        <v>0</v>
      </c>
    </row>
    <row r="3602" spans="1:9" x14ac:dyDescent="0.2">
      <c r="A3602" s="2">
        <v>3</v>
      </c>
      <c r="B3602" s="1" t="s">
        <v>227</v>
      </c>
      <c r="C3602" s="4">
        <v>23</v>
      </c>
      <c r="D3602" s="8">
        <v>9.16</v>
      </c>
      <c r="E3602" s="4">
        <v>21</v>
      </c>
      <c r="F3602" s="8">
        <v>14.89</v>
      </c>
      <c r="G3602" s="4">
        <v>2</v>
      </c>
      <c r="H3602" s="8">
        <v>1.96</v>
      </c>
      <c r="I3602" s="4">
        <v>0</v>
      </c>
    </row>
    <row r="3603" spans="1:9" x14ac:dyDescent="0.2">
      <c r="A3603" s="2">
        <v>4</v>
      </c>
      <c r="B3603" s="1" t="s">
        <v>221</v>
      </c>
      <c r="C3603" s="4">
        <v>17</v>
      </c>
      <c r="D3603" s="8">
        <v>6.77</v>
      </c>
      <c r="E3603" s="4">
        <v>11</v>
      </c>
      <c r="F3603" s="8">
        <v>7.8</v>
      </c>
      <c r="G3603" s="4">
        <v>6</v>
      </c>
      <c r="H3603" s="8">
        <v>5.88</v>
      </c>
      <c r="I3603" s="4">
        <v>0</v>
      </c>
    </row>
    <row r="3604" spans="1:9" x14ac:dyDescent="0.2">
      <c r="A3604" s="2">
        <v>5</v>
      </c>
      <c r="B3604" s="1" t="s">
        <v>213</v>
      </c>
      <c r="C3604" s="4">
        <v>15</v>
      </c>
      <c r="D3604" s="8">
        <v>5.98</v>
      </c>
      <c r="E3604" s="4">
        <v>5</v>
      </c>
      <c r="F3604" s="8">
        <v>3.55</v>
      </c>
      <c r="G3604" s="4">
        <v>10</v>
      </c>
      <c r="H3604" s="8">
        <v>9.8000000000000007</v>
      </c>
      <c r="I3604" s="4">
        <v>0</v>
      </c>
    </row>
    <row r="3605" spans="1:9" x14ac:dyDescent="0.2">
      <c r="A3605" s="2">
        <v>6</v>
      </c>
      <c r="B3605" s="1" t="s">
        <v>231</v>
      </c>
      <c r="C3605" s="4">
        <v>11</v>
      </c>
      <c r="D3605" s="8">
        <v>4.38</v>
      </c>
      <c r="E3605" s="4">
        <v>11</v>
      </c>
      <c r="F3605" s="8">
        <v>7.8</v>
      </c>
      <c r="G3605" s="4">
        <v>0</v>
      </c>
      <c r="H3605" s="8">
        <v>0</v>
      </c>
      <c r="I3605" s="4">
        <v>0</v>
      </c>
    </row>
    <row r="3606" spans="1:9" x14ac:dyDescent="0.2">
      <c r="A3606" s="2">
        <v>7</v>
      </c>
      <c r="B3606" s="1" t="s">
        <v>220</v>
      </c>
      <c r="C3606" s="4">
        <v>9</v>
      </c>
      <c r="D3606" s="8">
        <v>3.59</v>
      </c>
      <c r="E3606" s="4">
        <v>5</v>
      </c>
      <c r="F3606" s="8">
        <v>3.55</v>
      </c>
      <c r="G3606" s="4">
        <v>4</v>
      </c>
      <c r="H3606" s="8">
        <v>3.92</v>
      </c>
      <c r="I3606" s="4">
        <v>0</v>
      </c>
    </row>
    <row r="3607" spans="1:9" x14ac:dyDescent="0.2">
      <c r="A3607" s="2">
        <v>8</v>
      </c>
      <c r="B3607" s="1" t="s">
        <v>215</v>
      </c>
      <c r="C3607" s="4">
        <v>8</v>
      </c>
      <c r="D3607" s="8">
        <v>3.19</v>
      </c>
      <c r="E3607" s="4">
        <v>2</v>
      </c>
      <c r="F3607" s="8">
        <v>1.42</v>
      </c>
      <c r="G3607" s="4">
        <v>6</v>
      </c>
      <c r="H3607" s="8">
        <v>5.88</v>
      </c>
      <c r="I3607" s="4">
        <v>0</v>
      </c>
    </row>
    <row r="3608" spans="1:9" x14ac:dyDescent="0.2">
      <c r="A3608" s="2">
        <v>9</v>
      </c>
      <c r="B3608" s="1" t="s">
        <v>243</v>
      </c>
      <c r="C3608" s="4">
        <v>7</v>
      </c>
      <c r="D3608" s="8">
        <v>2.79</v>
      </c>
      <c r="E3608" s="4">
        <v>2</v>
      </c>
      <c r="F3608" s="8">
        <v>1.42</v>
      </c>
      <c r="G3608" s="4">
        <v>4</v>
      </c>
      <c r="H3608" s="8">
        <v>3.92</v>
      </c>
      <c r="I3608" s="4">
        <v>1</v>
      </c>
    </row>
    <row r="3609" spans="1:9" x14ac:dyDescent="0.2">
      <c r="A3609" s="2">
        <v>9</v>
      </c>
      <c r="B3609" s="1" t="s">
        <v>230</v>
      </c>
      <c r="C3609" s="4">
        <v>7</v>
      </c>
      <c r="D3609" s="8">
        <v>2.79</v>
      </c>
      <c r="E3609" s="4">
        <v>5</v>
      </c>
      <c r="F3609" s="8">
        <v>3.55</v>
      </c>
      <c r="G3609" s="4">
        <v>0</v>
      </c>
      <c r="H3609" s="8">
        <v>0</v>
      </c>
      <c r="I3609" s="4">
        <v>0</v>
      </c>
    </row>
    <row r="3610" spans="1:9" x14ac:dyDescent="0.2">
      <c r="A3610" s="2">
        <v>11</v>
      </c>
      <c r="B3610" s="1" t="s">
        <v>214</v>
      </c>
      <c r="C3610" s="4">
        <v>6</v>
      </c>
      <c r="D3610" s="8">
        <v>2.39</v>
      </c>
      <c r="E3610" s="4">
        <v>3</v>
      </c>
      <c r="F3610" s="8">
        <v>2.13</v>
      </c>
      <c r="G3610" s="4">
        <v>3</v>
      </c>
      <c r="H3610" s="8">
        <v>2.94</v>
      </c>
      <c r="I3610" s="4">
        <v>0</v>
      </c>
    </row>
    <row r="3611" spans="1:9" x14ac:dyDescent="0.2">
      <c r="A3611" s="2">
        <v>11</v>
      </c>
      <c r="B3611" s="1" t="s">
        <v>241</v>
      </c>
      <c r="C3611" s="4">
        <v>6</v>
      </c>
      <c r="D3611" s="8">
        <v>2.39</v>
      </c>
      <c r="E3611" s="4">
        <v>3</v>
      </c>
      <c r="F3611" s="8">
        <v>2.13</v>
      </c>
      <c r="G3611" s="4">
        <v>3</v>
      </c>
      <c r="H3611" s="8">
        <v>2.94</v>
      </c>
      <c r="I3611" s="4">
        <v>0</v>
      </c>
    </row>
    <row r="3612" spans="1:9" x14ac:dyDescent="0.2">
      <c r="A3612" s="2">
        <v>11</v>
      </c>
      <c r="B3612" s="1" t="s">
        <v>254</v>
      </c>
      <c r="C3612" s="4">
        <v>6</v>
      </c>
      <c r="D3612" s="8">
        <v>2.39</v>
      </c>
      <c r="E3612" s="4">
        <v>1</v>
      </c>
      <c r="F3612" s="8">
        <v>0.71</v>
      </c>
      <c r="G3612" s="4">
        <v>5</v>
      </c>
      <c r="H3612" s="8">
        <v>4.9000000000000004</v>
      </c>
      <c r="I3612" s="4">
        <v>0</v>
      </c>
    </row>
    <row r="3613" spans="1:9" x14ac:dyDescent="0.2">
      <c r="A3613" s="2">
        <v>11</v>
      </c>
      <c r="B3613" s="1" t="s">
        <v>239</v>
      </c>
      <c r="C3613" s="4">
        <v>6</v>
      </c>
      <c r="D3613" s="8">
        <v>2.39</v>
      </c>
      <c r="E3613" s="4">
        <v>3</v>
      </c>
      <c r="F3613" s="8">
        <v>2.13</v>
      </c>
      <c r="G3613" s="4">
        <v>2</v>
      </c>
      <c r="H3613" s="8">
        <v>1.96</v>
      </c>
      <c r="I3613" s="4">
        <v>0</v>
      </c>
    </row>
    <row r="3614" spans="1:9" x14ac:dyDescent="0.2">
      <c r="A3614" s="2">
        <v>15</v>
      </c>
      <c r="B3614" s="1" t="s">
        <v>224</v>
      </c>
      <c r="C3614" s="4">
        <v>5</v>
      </c>
      <c r="D3614" s="8">
        <v>1.99</v>
      </c>
      <c r="E3614" s="4">
        <v>3</v>
      </c>
      <c r="F3614" s="8">
        <v>2.13</v>
      </c>
      <c r="G3614" s="4">
        <v>2</v>
      </c>
      <c r="H3614" s="8">
        <v>1.96</v>
      </c>
      <c r="I3614" s="4">
        <v>0</v>
      </c>
    </row>
    <row r="3615" spans="1:9" x14ac:dyDescent="0.2">
      <c r="A3615" s="2">
        <v>15</v>
      </c>
      <c r="B3615" s="1" t="s">
        <v>247</v>
      </c>
      <c r="C3615" s="4">
        <v>5</v>
      </c>
      <c r="D3615" s="8">
        <v>1.99</v>
      </c>
      <c r="E3615" s="4">
        <v>0</v>
      </c>
      <c r="F3615" s="8">
        <v>0</v>
      </c>
      <c r="G3615" s="4">
        <v>4</v>
      </c>
      <c r="H3615" s="8">
        <v>3.92</v>
      </c>
      <c r="I3615" s="4">
        <v>0</v>
      </c>
    </row>
    <row r="3616" spans="1:9" x14ac:dyDescent="0.2">
      <c r="A3616" s="2">
        <v>17</v>
      </c>
      <c r="B3616" s="1" t="s">
        <v>252</v>
      </c>
      <c r="C3616" s="4">
        <v>4</v>
      </c>
      <c r="D3616" s="8">
        <v>1.59</v>
      </c>
      <c r="E3616" s="4">
        <v>2</v>
      </c>
      <c r="F3616" s="8">
        <v>1.42</v>
      </c>
      <c r="G3616" s="4">
        <v>2</v>
      </c>
      <c r="H3616" s="8">
        <v>1.96</v>
      </c>
      <c r="I3616" s="4">
        <v>0</v>
      </c>
    </row>
    <row r="3617" spans="1:9" x14ac:dyDescent="0.2">
      <c r="A3617" s="2">
        <v>17</v>
      </c>
      <c r="B3617" s="1" t="s">
        <v>222</v>
      </c>
      <c r="C3617" s="4">
        <v>4</v>
      </c>
      <c r="D3617" s="8">
        <v>1.59</v>
      </c>
      <c r="E3617" s="4">
        <v>1</v>
      </c>
      <c r="F3617" s="8">
        <v>0.71</v>
      </c>
      <c r="G3617" s="4">
        <v>3</v>
      </c>
      <c r="H3617" s="8">
        <v>2.94</v>
      </c>
      <c r="I3617" s="4">
        <v>0</v>
      </c>
    </row>
    <row r="3618" spans="1:9" x14ac:dyDescent="0.2">
      <c r="A3618" s="2">
        <v>17</v>
      </c>
      <c r="B3618" s="1" t="s">
        <v>233</v>
      </c>
      <c r="C3618" s="4">
        <v>4</v>
      </c>
      <c r="D3618" s="8">
        <v>1.59</v>
      </c>
      <c r="E3618" s="4">
        <v>3</v>
      </c>
      <c r="F3618" s="8">
        <v>2.13</v>
      </c>
      <c r="G3618" s="4">
        <v>1</v>
      </c>
      <c r="H3618" s="8">
        <v>0.98</v>
      </c>
      <c r="I3618" s="4">
        <v>0</v>
      </c>
    </row>
    <row r="3619" spans="1:9" x14ac:dyDescent="0.2">
      <c r="A3619" s="2">
        <v>17</v>
      </c>
      <c r="B3619" s="1" t="s">
        <v>226</v>
      </c>
      <c r="C3619" s="4">
        <v>4</v>
      </c>
      <c r="D3619" s="8">
        <v>1.59</v>
      </c>
      <c r="E3619" s="4">
        <v>3</v>
      </c>
      <c r="F3619" s="8">
        <v>2.13</v>
      </c>
      <c r="G3619" s="4">
        <v>1</v>
      </c>
      <c r="H3619" s="8">
        <v>0.98</v>
      </c>
      <c r="I3619" s="4">
        <v>0</v>
      </c>
    </row>
    <row r="3620" spans="1:9" x14ac:dyDescent="0.2">
      <c r="A3620" s="2">
        <v>17</v>
      </c>
      <c r="B3620" s="1" t="s">
        <v>229</v>
      </c>
      <c r="C3620" s="4">
        <v>4</v>
      </c>
      <c r="D3620" s="8">
        <v>1.59</v>
      </c>
      <c r="E3620" s="4">
        <v>3</v>
      </c>
      <c r="F3620" s="8">
        <v>2.13</v>
      </c>
      <c r="G3620" s="4">
        <v>1</v>
      </c>
      <c r="H3620" s="8">
        <v>0.98</v>
      </c>
      <c r="I3620" s="4">
        <v>0</v>
      </c>
    </row>
    <row r="3621" spans="1:9" x14ac:dyDescent="0.2">
      <c r="A3621" s="2">
        <v>17</v>
      </c>
      <c r="B3621" s="1" t="s">
        <v>232</v>
      </c>
      <c r="C3621" s="4">
        <v>4</v>
      </c>
      <c r="D3621" s="8">
        <v>1.59</v>
      </c>
      <c r="E3621" s="4">
        <v>0</v>
      </c>
      <c r="F3621" s="8">
        <v>0</v>
      </c>
      <c r="G3621" s="4">
        <v>4</v>
      </c>
      <c r="H3621" s="8">
        <v>3.92</v>
      </c>
      <c r="I3621" s="4">
        <v>0</v>
      </c>
    </row>
    <row r="3622" spans="1:9" x14ac:dyDescent="0.2">
      <c r="A3622" s="1"/>
      <c r="C3622" s="4"/>
      <c r="D3622" s="8"/>
      <c r="E3622" s="4"/>
      <c r="F3622" s="8"/>
      <c r="G3622" s="4"/>
      <c r="H3622" s="8"/>
      <c r="I3622" s="4"/>
    </row>
    <row r="3623" spans="1:9" x14ac:dyDescent="0.2">
      <c r="A3623" s="1" t="s">
        <v>142</v>
      </c>
      <c r="C3623" s="4"/>
      <c r="D3623" s="8"/>
      <c r="E3623" s="4"/>
      <c r="F3623" s="8"/>
      <c r="G3623" s="4"/>
      <c r="H3623" s="8"/>
      <c r="I3623" s="4"/>
    </row>
    <row r="3624" spans="1:9" x14ac:dyDescent="0.2">
      <c r="A3624" s="2">
        <v>1</v>
      </c>
      <c r="B3624" s="1" t="s">
        <v>228</v>
      </c>
      <c r="C3624" s="4">
        <v>9</v>
      </c>
      <c r="D3624" s="8">
        <v>10.98</v>
      </c>
      <c r="E3624" s="4">
        <v>9</v>
      </c>
      <c r="F3624" s="8">
        <v>20.93</v>
      </c>
      <c r="G3624" s="4">
        <v>0</v>
      </c>
      <c r="H3624" s="8">
        <v>0</v>
      </c>
      <c r="I3624" s="4">
        <v>0</v>
      </c>
    </row>
    <row r="3625" spans="1:9" x14ac:dyDescent="0.2">
      <c r="A3625" s="2">
        <v>2</v>
      </c>
      <c r="B3625" s="1" t="s">
        <v>221</v>
      </c>
      <c r="C3625" s="4">
        <v>6</v>
      </c>
      <c r="D3625" s="8">
        <v>7.32</v>
      </c>
      <c r="E3625" s="4">
        <v>3</v>
      </c>
      <c r="F3625" s="8">
        <v>6.98</v>
      </c>
      <c r="G3625" s="4">
        <v>3</v>
      </c>
      <c r="H3625" s="8">
        <v>10.34</v>
      </c>
      <c r="I3625" s="4">
        <v>0</v>
      </c>
    </row>
    <row r="3626" spans="1:9" x14ac:dyDescent="0.2">
      <c r="A3626" s="2">
        <v>2</v>
      </c>
      <c r="B3626" s="1" t="s">
        <v>222</v>
      </c>
      <c r="C3626" s="4">
        <v>6</v>
      </c>
      <c r="D3626" s="8">
        <v>7.32</v>
      </c>
      <c r="E3626" s="4">
        <v>5</v>
      </c>
      <c r="F3626" s="8">
        <v>11.63</v>
      </c>
      <c r="G3626" s="4">
        <v>1</v>
      </c>
      <c r="H3626" s="8">
        <v>3.45</v>
      </c>
      <c r="I3626" s="4">
        <v>0</v>
      </c>
    </row>
    <row r="3627" spans="1:9" x14ac:dyDescent="0.2">
      <c r="A3627" s="2">
        <v>2</v>
      </c>
      <c r="B3627" s="1" t="s">
        <v>227</v>
      </c>
      <c r="C3627" s="4">
        <v>6</v>
      </c>
      <c r="D3627" s="8">
        <v>7.32</v>
      </c>
      <c r="E3627" s="4">
        <v>5</v>
      </c>
      <c r="F3627" s="8">
        <v>11.63</v>
      </c>
      <c r="G3627" s="4">
        <v>1</v>
      </c>
      <c r="H3627" s="8">
        <v>3.45</v>
      </c>
      <c r="I3627" s="4">
        <v>0</v>
      </c>
    </row>
    <row r="3628" spans="1:9" x14ac:dyDescent="0.2">
      <c r="A3628" s="2">
        <v>5</v>
      </c>
      <c r="B3628" s="1" t="s">
        <v>213</v>
      </c>
      <c r="C3628" s="4">
        <v>5</v>
      </c>
      <c r="D3628" s="8">
        <v>6.1</v>
      </c>
      <c r="E3628" s="4">
        <v>0</v>
      </c>
      <c r="F3628" s="8">
        <v>0</v>
      </c>
      <c r="G3628" s="4">
        <v>5</v>
      </c>
      <c r="H3628" s="8">
        <v>17.239999999999998</v>
      </c>
      <c r="I3628" s="4">
        <v>0</v>
      </c>
    </row>
    <row r="3629" spans="1:9" x14ac:dyDescent="0.2">
      <c r="A3629" s="2">
        <v>5</v>
      </c>
      <c r="B3629" s="1" t="s">
        <v>220</v>
      </c>
      <c r="C3629" s="4">
        <v>5</v>
      </c>
      <c r="D3629" s="8">
        <v>6.1</v>
      </c>
      <c r="E3629" s="4">
        <v>4</v>
      </c>
      <c r="F3629" s="8">
        <v>9.3000000000000007</v>
      </c>
      <c r="G3629" s="4">
        <v>1</v>
      </c>
      <c r="H3629" s="8">
        <v>3.45</v>
      </c>
      <c r="I3629" s="4">
        <v>0</v>
      </c>
    </row>
    <row r="3630" spans="1:9" x14ac:dyDescent="0.2">
      <c r="A3630" s="2">
        <v>5</v>
      </c>
      <c r="B3630" s="1" t="s">
        <v>229</v>
      </c>
      <c r="C3630" s="4">
        <v>5</v>
      </c>
      <c r="D3630" s="8">
        <v>6.1</v>
      </c>
      <c r="E3630" s="4">
        <v>1</v>
      </c>
      <c r="F3630" s="8">
        <v>2.33</v>
      </c>
      <c r="G3630" s="4">
        <v>2</v>
      </c>
      <c r="H3630" s="8">
        <v>6.9</v>
      </c>
      <c r="I3630" s="4">
        <v>0</v>
      </c>
    </row>
    <row r="3631" spans="1:9" x14ac:dyDescent="0.2">
      <c r="A3631" s="2">
        <v>8</v>
      </c>
      <c r="B3631" s="1" t="s">
        <v>223</v>
      </c>
      <c r="C3631" s="4">
        <v>4</v>
      </c>
      <c r="D3631" s="8">
        <v>4.88</v>
      </c>
      <c r="E3631" s="4">
        <v>1</v>
      </c>
      <c r="F3631" s="8">
        <v>2.33</v>
      </c>
      <c r="G3631" s="4">
        <v>3</v>
      </c>
      <c r="H3631" s="8">
        <v>10.34</v>
      </c>
      <c r="I3631" s="4">
        <v>0</v>
      </c>
    </row>
    <row r="3632" spans="1:9" x14ac:dyDescent="0.2">
      <c r="A3632" s="2">
        <v>8</v>
      </c>
      <c r="B3632" s="1" t="s">
        <v>230</v>
      </c>
      <c r="C3632" s="4">
        <v>4</v>
      </c>
      <c r="D3632" s="8">
        <v>4.88</v>
      </c>
      <c r="E3632" s="4">
        <v>1</v>
      </c>
      <c r="F3632" s="8">
        <v>2.33</v>
      </c>
      <c r="G3632" s="4">
        <v>0</v>
      </c>
      <c r="H3632" s="8">
        <v>0</v>
      </c>
      <c r="I3632" s="4">
        <v>0</v>
      </c>
    </row>
    <row r="3633" spans="1:9" x14ac:dyDescent="0.2">
      <c r="A3633" s="2">
        <v>10</v>
      </c>
      <c r="B3633" s="1" t="s">
        <v>214</v>
      </c>
      <c r="C3633" s="4">
        <v>3</v>
      </c>
      <c r="D3633" s="8">
        <v>3.66</v>
      </c>
      <c r="E3633" s="4">
        <v>3</v>
      </c>
      <c r="F3633" s="8">
        <v>6.98</v>
      </c>
      <c r="G3633" s="4">
        <v>0</v>
      </c>
      <c r="H3633" s="8">
        <v>0</v>
      </c>
      <c r="I3633" s="4">
        <v>0</v>
      </c>
    </row>
    <row r="3634" spans="1:9" x14ac:dyDescent="0.2">
      <c r="A3634" s="2">
        <v>10</v>
      </c>
      <c r="B3634" s="1" t="s">
        <v>244</v>
      </c>
      <c r="C3634" s="4">
        <v>3</v>
      </c>
      <c r="D3634" s="8">
        <v>3.66</v>
      </c>
      <c r="E3634" s="4">
        <v>1</v>
      </c>
      <c r="F3634" s="8">
        <v>2.33</v>
      </c>
      <c r="G3634" s="4">
        <v>2</v>
      </c>
      <c r="H3634" s="8">
        <v>6.9</v>
      </c>
      <c r="I3634" s="4">
        <v>0</v>
      </c>
    </row>
    <row r="3635" spans="1:9" x14ac:dyDescent="0.2">
      <c r="A3635" s="2">
        <v>10</v>
      </c>
      <c r="B3635" s="1" t="s">
        <v>243</v>
      </c>
      <c r="C3635" s="4">
        <v>3</v>
      </c>
      <c r="D3635" s="8">
        <v>3.66</v>
      </c>
      <c r="E3635" s="4">
        <v>2</v>
      </c>
      <c r="F3635" s="8">
        <v>4.6500000000000004</v>
      </c>
      <c r="G3635" s="4">
        <v>1</v>
      </c>
      <c r="H3635" s="8">
        <v>3.45</v>
      </c>
      <c r="I3635" s="4">
        <v>0</v>
      </c>
    </row>
    <row r="3636" spans="1:9" x14ac:dyDescent="0.2">
      <c r="A3636" s="2">
        <v>13</v>
      </c>
      <c r="B3636" s="1" t="s">
        <v>252</v>
      </c>
      <c r="C3636" s="4">
        <v>2</v>
      </c>
      <c r="D3636" s="8">
        <v>2.44</v>
      </c>
      <c r="E3636" s="4">
        <v>1</v>
      </c>
      <c r="F3636" s="8">
        <v>2.33</v>
      </c>
      <c r="G3636" s="4">
        <v>1</v>
      </c>
      <c r="H3636" s="8">
        <v>3.45</v>
      </c>
      <c r="I3636" s="4">
        <v>0</v>
      </c>
    </row>
    <row r="3637" spans="1:9" x14ac:dyDescent="0.2">
      <c r="A3637" s="2">
        <v>13</v>
      </c>
      <c r="B3637" s="1" t="s">
        <v>217</v>
      </c>
      <c r="C3637" s="4">
        <v>2</v>
      </c>
      <c r="D3637" s="8">
        <v>2.44</v>
      </c>
      <c r="E3637" s="4">
        <v>0</v>
      </c>
      <c r="F3637" s="8">
        <v>0</v>
      </c>
      <c r="G3637" s="4">
        <v>2</v>
      </c>
      <c r="H3637" s="8">
        <v>6.9</v>
      </c>
      <c r="I3637" s="4">
        <v>0</v>
      </c>
    </row>
    <row r="3638" spans="1:9" x14ac:dyDescent="0.2">
      <c r="A3638" s="2">
        <v>13</v>
      </c>
      <c r="B3638" s="1" t="s">
        <v>224</v>
      </c>
      <c r="C3638" s="4">
        <v>2</v>
      </c>
      <c r="D3638" s="8">
        <v>2.44</v>
      </c>
      <c r="E3638" s="4">
        <v>1</v>
      </c>
      <c r="F3638" s="8">
        <v>2.33</v>
      </c>
      <c r="G3638" s="4">
        <v>0</v>
      </c>
      <c r="H3638" s="8">
        <v>0</v>
      </c>
      <c r="I3638" s="4">
        <v>0</v>
      </c>
    </row>
    <row r="3639" spans="1:9" x14ac:dyDescent="0.2">
      <c r="A3639" s="2">
        <v>13</v>
      </c>
      <c r="B3639" s="1" t="s">
        <v>232</v>
      </c>
      <c r="C3639" s="4">
        <v>2</v>
      </c>
      <c r="D3639" s="8">
        <v>2.44</v>
      </c>
      <c r="E3639" s="4">
        <v>0</v>
      </c>
      <c r="F3639" s="8">
        <v>0</v>
      </c>
      <c r="G3639" s="4">
        <v>0</v>
      </c>
      <c r="H3639" s="8">
        <v>0</v>
      </c>
      <c r="I3639" s="4">
        <v>0</v>
      </c>
    </row>
    <row r="3640" spans="1:9" x14ac:dyDescent="0.2">
      <c r="A3640" s="2">
        <v>17</v>
      </c>
      <c r="B3640" s="1" t="s">
        <v>215</v>
      </c>
      <c r="C3640" s="4">
        <v>1</v>
      </c>
      <c r="D3640" s="8">
        <v>1.22</v>
      </c>
      <c r="E3640" s="4">
        <v>0</v>
      </c>
      <c r="F3640" s="8">
        <v>0</v>
      </c>
      <c r="G3640" s="4">
        <v>1</v>
      </c>
      <c r="H3640" s="8">
        <v>3.45</v>
      </c>
      <c r="I3640" s="4">
        <v>0</v>
      </c>
    </row>
    <row r="3641" spans="1:9" x14ac:dyDescent="0.2">
      <c r="A3641" s="2">
        <v>17</v>
      </c>
      <c r="B3641" s="1" t="s">
        <v>241</v>
      </c>
      <c r="C3641" s="4">
        <v>1</v>
      </c>
      <c r="D3641" s="8">
        <v>1.22</v>
      </c>
      <c r="E3641" s="4">
        <v>0</v>
      </c>
      <c r="F3641" s="8">
        <v>0</v>
      </c>
      <c r="G3641" s="4">
        <v>1</v>
      </c>
      <c r="H3641" s="8">
        <v>3.45</v>
      </c>
      <c r="I3641" s="4">
        <v>0</v>
      </c>
    </row>
    <row r="3642" spans="1:9" x14ac:dyDescent="0.2">
      <c r="A3642" s="2">
        <v>17</v>
      </c>
      <c r="B3642" s="1" t="s">
        <v>262</v>
      </c>
      <c r="C3642" s="4">
        <v>1</v>
      </c>
      <c r="D3642" s="8">
        <v>1.22</v>
      </c>
      <c r="E3642" s="4">
        <v>1</v>
      </c>
      <c r="F3642" s="8">
        <v>2.33</v>
      </c>
      <c r="G3642" s="4">
        <v>0</v>
      </c>
      <c r="H3642" s="8">
        <v>0</v>
      </c>
      <c r="I3642" s="4">
        <v>0</v>
      </c>
    </row>
    <row r="3643" spans="1:9" x14ac:dyDescent="0.2">
      <c r="A3643" s="2">
        <v>17</v>
      </c>
      <c r="B3643" s="1" t="s">
        <v>253</v>
      </c>
      <c r="C3643" s="4">
        <v>1</v>
      </c>
      <c r="D3643" s="8">
        <v>1.22</v>
      </c>
      <c r="E3643" s="4">
        <v>0</v>
      </c>
      <c r="F3643" s="8">
        <v>0</v>
      </c>
      <c r="G3643" s="4">
        <v>1</v>
      </c>
      <c r="H3643" s="8">
        <v>3.45</v>
      </c>
      <c r="I3643" s="4">
        <v>0</v>
      </c>
    </row>
    <row r="3644" spans="1:9" x14ac:dyDescent="0.2">
      <c r="A3644" s="2">
        <v>17</v>
      </c>
      <c r="B3644" s="1" t="s">
        <v>255</v>
      </c>
      <c r="C3644" s="4">
        <v>1</v>
      </c>
      <c r="D3644" s="8">
        <v>1.22</v>
      </c>
      <c r="E3644" s="4">
        <v>0</v>
      </c>
      <c r="F3644" s="8">
        <v>0</v>
      </c>
      <c r="G3644" s="4">
        <v>0</v>
      </c>
      <c r="H3644" s="8">
        <v>0</v>
      </c>
      <c r="I3644" s="4">
        <v>0</v>
      </c>
    </row>
    <row r="3645" spans="1:9" x14ac:dyDescent="0.2">
      <c r="A3645" s="2">
        <v>17</v>
      </c>
      <c r="B3645" s="1" t="s">
        <v>281</v>
      </c>
      <c r="C3645" s="4">
        <v>1</v>
      </c>
      <c r="D3645" s="8">
        <v>1.22</v>
      </c>
      <c r="E3645" s="4">
        <v>1</v>
      </c>
      <c r="F3645" s="8">
        <v>2.33</v>
      </c>
      <c r="G3645" s="4">
        <v>0</v>
      </c>
      <c r="H3645" s="8">
        <v>0</v>
      </c>
      <c r="I3645" s="4">
        <v>0</v>
      </c>
    </row>
    <row r="3646" spans="1:9" x14ac:dyDescent="0.2">
      <c r="A3646" s="2">
        <v>17</v>
      </c>
      <c r="B3646" s="1" t="s">
        <v>238</v>
      </c>
      <c r="C3646" s="4">
        <v>1</v>
      </c>
      <c r="D3646" s="8">
        <v>1.22</v>
      </c>
      <c r="E3646" s="4">
        <v>0</v>
      </c>
      <c r="F3646" s="8">
        <v>0</v>
      </c>
      <c r="G3646" s="4">
        <v>1</v>
      </c>
      <c r="H3646" s="8">
        <v>3.45</v>
      </c>
      <c r="I3646" s="4">
        <v>0</v>
      </c>
    </row>
    <row r="3647" spans="1:9" x14ac:dyDescent="0.2">
      <c r="A3647" s="2">
        <v>17</v>
      </c>
      <c r="B3647" s="1" t="s">
        <v>248</v>
      </c>
      <c r="C3647" s="4">
        <v>1</v>
      </c>
      <c r="D3647" s="8">
        <v>1.22</v>
      </c>
      <c r="E3647" s="4">
        <v>0</v>
      </c>
      <c r="F3647" s="8">
        <v>0</v>
      </c>
      <c r="G3647" s="4">
        <v>1</v>
      </c>
      <c r="H3647" s="8">
        <v>3.45</v>
      </c>
      <c r="I3647" s="4">
        <v>0</v>
      </c>
    </row>
    <row r="3648" spans="1:9" x14ac:dyDescent="0.2">
      <c r="A3648" s="2">
        <v>17</v>
      </c>
      <c r="B3648" s="1" t="s">
        <v>282</v>
      </c>
      <c r="C3648" s="4">
        <v>1</v>
      </c>
      <c r="D3648" s="8">
        <v>1.22</v>
      </c>
      <c r="E3648" s="4">
        <v>1</v>
      </c>
      <c r="F3648" s="8">
        <v>2.33</v>
      </c>
      <c r="G3648" s="4">
        <v>0</v>
      </c>
      <c r="H3648" s="8">
        <v>0</v>
      </c>
      <c r="I3648" s="4">
        <v>0</v>
      </c>
    </row>
    <row r="3649" spans="1:9" x14ac:dyDescent="0.2">
      <c r="A3649" s="2">
        <v>17</v>
      </c>
      <c r="B3649" s="1" t="s">
        <v>216</v>
      </c>
      <c r="C3649" s="4">
        <v>1</v>
      </c>
      <c r="D3649" s="8">
        <v>1.22</v>
      </c>
      <c r="E3649" s="4">
        <v>0</v>
      </c>
      <c r="F3649" s="8">
        <v>0</v>
      </c>
      <c r="G3649" s="4">
        <v>1</v>
      </c>
      <c r="H3649" s="8">
        <v>3.45</v>
      </c>
      <c r="I3649" s="4">
        <v>0</v>
      </c>
    </row>
    <row r="3650" spans="1:9" x14ac:dyDescent="0.2">
      <c r="A3650" s="2">
        <v>17</v>
      </c>
      <c r="B3650" s="1" t="s">
        <v>219</v>
      </c>
      <c r="C3650" s="4">
        <v>1</v>
      </c>
      <c r="D3650" s="8">
        <v>1.22</v>
      </c>
      <c r="E3650" s="4">
        <v>0</v>
      </c>
      <c r="F3650" s="8">
        <v>0</v>
      </c>
      <c r="G3650" s="4">
        <v>1</v>
      </c>
      <c r="H3650" s="8">
        <v>3.45</v>
      </c>
      <c r="I3650" s="4">
        <v>0</v>
      </c>
    </row>
    <row r="3651" spans="1:9" x14ac:dyDescent="0.2">
      <c r="A3651" s="2">
        <v>17</v>
      </c>
      <c r="B3651" s="1" t="s">
        <v>226</v>
      </c>
      <c r="C3651" s="4">
        <v>1</v>
      </c>
      <c r="D3651" s="8">
        <v>1.22</v>
      </c>
      <c r="E3651" s="4">
        <v>1</v>
      </c>
      <c r="F3651" s="8">
        <v>2.33</v>
      </c>
      <c r="G3651" s="4">
        <v>0</v>
      </c>
      <c r="H3651" s="8">
        <v>0</v>
      </c>
      <c r="I3651" s="4">
        <v>0</v>
      </c>
    </row>
    <row r="3652" spans="1:9" x14ac:dyDescent="0.2">
      <c r="A3652" s="2">
        <v>17</v>
      </c>
      <c r="B3652" s="1" t="s">
        <v>231</v>
      </c>
      <c r="C3652" s="4">
        <v>1</v>
      </c>
      <c r="D3652" s="8">
        <v>1.22</v>
      </c>
      <c r="E3652" s="4">
        <v>1</v>
      </c>
      <c r="F3652" s="8">
        <v>2.33</v>
      </c>
      <c r="G3652" s="4">
        <v>0</v>
      </c>
      <c r="H3652" s="8">
        <v>0</v>
      </c>
      <c r="I3652" s="4">
        <v>0</v>
      </c>
    </row>
    <row r="3653" spans="1:9" x14ac:dyDescent="0.2">
      <c r="A3653" s="2">
        <v>17</v>
      </c>
      <c r="B3653" s="1" t="s">
        <v>240</v>
      </c>
      <c r="C3653" s="4">
        <v>1</v>
      </c>
      <c r="D3653" s="8">
        <v>1.22</v>
      </c>
      <c r="E3653" s="4">
        <v>1</v>
      </c>
      <c r="F3653" s="8">
        <v>2.33</v>
      </c>
      <c r="G3653" s="4">
        <v>0</v>
      </c>
      <c r="H3653" s="8">
        <v>0</v>
      </c>
      <c r="I3653" s="4">
        <v>0</v>
      </c>
    </row>
    <row r="3654" spans="1:9" x14ac:dyDescent="0.2">
      <c r="A3654" s="2">
        <v>17</v>
      </c>
      <c r="B3654" s="1" t="s">
        <v>250</v>
      </c>
      <c r="C3654" s="4">
        <v>1</v>
      </c>
      <c r="D3654" s="8">
        <v>1.22</v>
      </c>
      <c r="E3654" s="4">
        <v>0</v>
      </c>
      <c r="F3654" s="8">
        <v>0</v>
      </c>
      <c r="G3654" s="4">
        <v>0</v>
      </c>
      <c r="H3654" s="8">
        <v>0</v>
      </c>
      <c r="I3654" s="4">
        <v>0</v>
      </c>
    </row>
    <row r="3655" spans="1:9" x14ac:dyDescent="0.2">
      <c r="A3655" s="1"/>
      <c r="C3655" s="4"/>
      <c r="D3655" s="8"/>
      <c r="E3655" s="4"/>
      <c r="F3655" s="8"/>
      <c r="G3655" s="4"/>
      <c r="H3655" s="8"/>
      <c r="I3655" s="4"/>
    </row>
    <row r="3656" spans="1:9" x14ac:dyDescent="0.2">
      <c r="A3656" s="1" t="s">
        <v>143</v>
      </c>
      <c r="C3656" s="4"/>
      <c r="D3656" s="8"/>
      <c r="E3656" s="4"/>
      <c r="F3656" s="8"/>
      <c r="G3656" s="4"/>
      <c r="H3656" s="8"/>
      <c r="I3656" s="4"/>
    </row>
    <row r="3657" spans="1:9" x14ac:dyDescent="0.2">
      <c r="A3657" s="2">
        <v>1</v>
      </c>
      <c r="B3657" s="1" t="s">
        <v>227</v>
      </c>
      <c r="C3657" s="4">
        <v>12</v>
      </c>
      <c r="D3657" s="8">
        <v>12.77</v>
      </c>
      <c r="E3657" s="4">
        <v>10</v>
      </c>
      <c r="F3657" s="8">
        <v>18.18</v>
      </c>
      <c r="G3657" s="4">
        <v>2</v>
      </c>
      <c r="H3657" s="8">
        <v>5.71</v>
      </c>
      <c r="I3657" s="4">
        <v>0</v>
      </c>
    </row>
    <row r="3658" spans="1:9" x14ac:dyDescent="0.2">
      <c r="A3658" s="2">
        <v>2</v>
      </c>
      <c r="B3658" s="1" t="s">
        <v>228</v>
      </c>
      <c r="C3658" s="4">
        <v>11</v>
      </c>
      <c r="D3658" s="8">
        <v>11.7</v>
      </c>
      <c r="E3658" s="4">
        <v>11</v>
      </c>
      <c r="F3658" s="8">
        <v>20</v>
      </c>
      <c r="G3658" s="4">
        <v>0</v>
      </c>
      <c r="H3658" s="8">
        <v>0</v>
      </c>
      <c r="I3658" s="4">
        <v>0</v>
      </c>
    </row>
    <row r="3659" spans="1:9" x14ac:dyDescent="0.2">
      <c r="A3659" s="2">
        <v>3</v>
      </c>
      <c r="B3659" s="1" t="s">
        <v>223</v>
      </c>
      <c r="C3659" s="4">
        <v>6</v>
      </c>
      <c r="D3659" s="8">
        <v>6.38</v>
      </c>
      <c r="E3659" s="4">
        <v>4</v>
      </c>
      <c r="F3659" s="8">
        <v>7.27</v>
      </c>
      <c r="G3659" s="4">
        <v>2</v>
      </c>
      <c r="H3659" s="8">
        <v>5.71</v>
      </c>
      <c r="I3659" s="4">
        <v>0</v>
      </c>
    </row>
    <row r="3660" spans="1:9" x14ac:dyDescent="0.2">
      <c r="A3660" s="2">
        <v>3</v>
      </c>
      <c r="B3660" s="1" t="s">
        <v>230</v>
      </c>
      <c r="C3660" s="4">
        <v>6</v>
      </c>
      <c r="D3660" s="8">
        <v>6.38</v>
      </c>
      <c r="E3660" s="4">
        <v>5</v>
      </c>
      <c r="F3660" s="8">
        <v>9.09</v>
      </c>
      <c r="G3660" s="4">
        <v>0</v>
      </c>
      <c r="H3660" s="8">
        <v>0</v>
      </c>
      <c r="I3660" s="4">
        <v>0</v>
      </c>
    </row>
    <row r="3661" spans="1:9" x14ac:dyDescent="0.2">
      <c r="A3661" s="2">
        <v>5</v>
      </c>
      <c r="B3661" s="1" t="s">
        <v>216</v>
      </c>
      <c r="C3661" s="4">
        <v>5</v>
      </c>
      <c r="D3661" s="8">
        <v>5.32</v>
      </c>
      <c r="E3661" s="4">
        <v>0</v>
      </c>
      <c r="F3661" s="8">
        <v>0</v>
      </c>
      <c r="G3661" s="4">
        <v>5</v>
      </c>
      <c r="H3661" s="8">
        <v>14.29</v>
      </c>
      <c r="I3661" s="4">
        <v>0</v>
      </c>
    </row>
    <row r="3662" spans="1:9" x14ac:dyDescent="0.2">
      <c r="A3662" s="2">
        <v>5</v>
      </c>
      <c r="B3662" s="1" t="s">
        <v>221</v>
      </c>
      <c r="C3662" s="4">
        <v>5</v>
      </c>
      <c r="D3662" s="8">
        <v>5.32</v>
      </c>
      <c r="E3662" s="4">
        <v>4</v>
      </c>
      <c r="F3662" s="8">
        <v>7.27</v>
      </c>
      <c r="G3662" s="4">
        <v>0</v>
      </c>
      <c r="H3662" s="8">
        <v>0</v>
      </c>
      <c r="I3662" s="4">
        <v>1</v>
      </c>
    </row>
    <row r="3663" spans="1:9" x14ac:dyDescent="0.2">
      <c r="A3663" s="2">
        <v>7</v>
      </c>
      <c r="B3663" s="1" t="s">
        <v>213</v>
      </c>
      <c r="C3663" s="4">
        <v>4</v>
      </c>
      <c r="D3663" s="8">
        <v>4.26</v>
      </c>
      <c r="E3663" s="4">
        <v>0</v>
      </c>
      <c r="F3663" s="8">
        <v>0</v>
      </c>
      <c r="G3663" s="4">
        <v>4</v>
      </c>
      <c r="H3663" s="8">
        <v>11.43</v>
      </c>
      <c r="I3663" s="4">
        <v>0</v>
      </c>
    </row>
    <row r="3664" spans="1:9" x14ac:dyDescent="0.2">
      <c r="A3664" s="2">
        <v>7</v>
      </c>
      <c r="B3664" s="1" t="s">
        <v>241</v>
      </c>
      <c r="C3664" s="4">
        <v>4</v>
      </c>
      <c r="D3664" s="8">
        <v>4.26</v>
      </c>
      <c r="E3664" s="4">
        <v>0</v>
      </c>
      <c r="F3664" s="8">
        <v>0</v>
      </c>
      <c r="G3664" s="4">
        <v>4</v>
      </c>
      <c r="H3664" s="8">
        <v>11.43</v>
      </c>
      <c r="I3664" s="4">
        <v>0</v>
      </c>
    </row>
    <row r="3665" spans="1:9" x14ac:dyDescent="0.2">
      <c r="A3665" s="2">
        <v>7</v>
      </c>
      <c r="B3665" s="1" t="s">
        <v>262</v>
      </c>
      <c r="C3665" s="4">
        <v>4</v>
      </c>
      <c r="D3665" s="8">
        <v>4.26</v>
      </c>
      <c r="E3665" s="4">
        <v>0</v>
      </c>
      <c r="F3665" s="8">
        <v>0</v>
      </c>
      <c r="G3665" s="4">
        <v>4</v>
      </c>
      <c r="H3665" s="8">
        <v>11.43</v>
      </c>
      <c r="I3665" s="4">
        <v>0</v>
      </c>
    </row>
    <row r="3666" spans="1:9" x14ac:dyDescent="0.2">
      <c r="A3666" s="2">
        <v>7</v>
      </c>
      <c r="B3666" s="1" t="s">
        <v>220</v>
      </c>
      <c r="C3666" s="4">
        <v>4</v>
      </c>
      <c r="D3666" s="8">
        <v>4.26</v>
      </c>
      <c r="E3666" s="4">
        <v>4</v>
      </c>
      <c r="F3666" s="8">
        <v>7.27</v>
      </c>
      <c r="G3666" s="4">
        <v>0</v>
      </c>
      <c r="H3666" s="8">
        <v>0</v>
      </c>
      <c r="I3666" s="4">
        <v>0</v>
      </c>
    </row>
    <row r="3667" spans="1:9" x14ac:dyDescent="0.2">
      <c r="A3667" s="2">
        <v>11</v>
      </c>
      <c r="B3667" s="1" t="s">
        <v>226</v>
      </c>
      <c r="C3667" s="4">
        <v>3</v>
      </c>
      <c r="D3667" s="8">
        <v>3.19</v>
      </c>
      <c r="E3667" s="4">
        <v>1</v>
      </c>
      <c r="F3667" s="8">
        <v>1.82</v>
      </c>
      <c r="G3667" s="4">
        <v>2</v>
      </c>
      <c r="H3667" s="8">
        <v>5.71</v>
      </c>
      <c r="I3667" s="4">
        <v>0</v>
      </c>
    </row>
    <row r="3668" spans="1:9" x14ac:dyDescent="0.2">
      <c r="A3668" s="2">
        <v>11</v>
      </c>
      <c r="B3668" s="1" t="s">
        <v>243</v>
      </c>
      <c r="C3668" s="4">
        <v>3</v>
      </c>
      <c r="D3668" s="8">
        <v>3.19</v>
      </c>
      <c r="E3668" s="4">
        <v>3</v>
      </c>
      <c r="F3668" s="8">
        <v>5.45</v>
      </c>
      <c r="G3668" s="4">
        <v>0</v>
      </c>
      <c r="H3668" s="8">
        <v>0</v>
      </c>
      <c r="I3668" s="4">
        <v>0</v>
      </c>
    </row>
    <row r="3669" spans="1:9" x14ac:dyDescent="0.2">
      <c r="A3669" s="2">
        <v>13</v>
      </c>
      <c r="B3669" s="1" t="s">
        <v>258</v>
      </c>
      <c r="C3669" s="4">
        <v>2</v>
      </c>
      <c r="D3669" s="8">
        <v>2.13</v>
      </c>
      <c r="E3669" s="4">
        <v>2</v>
      </c>
      <c r="F3669" s="8">
        <v>3.64</v>
      </c>
      <c r="G3669" s="4">
        <v>0</v>
      </c>
      <c r="H3669" s="8">
        <v>0</v>
      </c>
      <c r="I3669" s="4">
        <v>0</v>
      </c>
    </row>
    <row r="3670" spans="1:9" x14ac:dyDescent="0.2">
      <c r="A3670" s="2">
        <v>13</v>
      </c>
      <c r="B3670" s="1" t="s">
        <v>257</v>
      </c>
      <c r="C3670" s="4">
        <v>2</v>
      </c>
      <c r="D3670" s="8">
        <v>2.13</v>
      </c>
      <c r="E3670" s="4">
        <v>2</v>
      </c>
      <c r="F3670" s="8">
        <v>3.64</v>
      </c>
      <c r="G3670" s="4">
        <v>0</v>
      </c>
      <c r="H3670" s="8">
        <v>0</v>
      </c>
      <c r="I3670" s="4">
        <v>0</v>
      </c>
    </row>
    <row r="3671" spans="1:9" x14ac:dyDescent="0.2">
      <c r="A3671" s="2">
        <v>13</v>
      </c>
      <c r="B3671" s="1" t="s">
        <v>236</v>
      </c>
      <c r="C3671" s="4">
        <v>2</v>
      </c>
      <c r="D3671" s="8">
        <v>2.13</v>
      </c>
      <c r="E3671" s="4">
        <v>1</v>
      </c>
      <c r="F3671" s="8">
        <v>1.82</v>
      </c>
      <c r="G3671" s="4">
        <v>1</v>
      </c>
      <c r="H3671" s="8">
        <v>2.86</v>
      </c>
      <c r="I3671" s="4">
        <v>0</v>
      </c>
    </row>
    <row r="3672" spans="1:9" x14ac:dyDescent="0.2">
      <c r="A3672" s="2">
        <v>13</v>
      </c>
      <c r="B3672" s="1" t="s">
        <v>225</v>
      </c>
      <c r="C3672" s="4">
        <v>2</v>
      </c>
      <c r="D3672" s="8">
        <v>2.13</v>
      </c>
      <c r="E3672" s="4">
        <v>1</v>
      </c>
      <c r="F3672" s="8">
        <v>1.82</v>
      </c>
      <c r="G3672" s="4">
        <v>1</v>
      </c>
      <c r="H3672" s="8">
        <v>2.86</v>
      </c>
      <c r="I3672" s="4">
        <v>0</v>
      </c>
    </row>
    <row r="3673" spans="1:9" x14ac:dyDescent="0.2">
      <c r="A3673" s="2">
        <v>13</v>
      </c>
      <c r="B3673" s="1" t="s">
        <v>249</v>
      </c>
      <c r="C3673" s="4">
        <v>2</v>
      </c>
      <c r="D3673" s="8">
        <v>2.13</v>
      </c>
      <c r="E3673" s="4">
        <v>0</v>
      </c>
      <c r="F3673" s="8">
        <v>0</v>
      </c>
      <c r="G3673" s="4">
        <v>0</v>
      </c>
      <c r="H3673" s="8">
        <v>0</v>
      </c>
      <c r="I3673" s="4">
        <v>0</v>
      </c>
    </row>
    <row r="3674" spans="1:9" x14ac:dyDescent="0.2">
      <c r="A3674" s="2">
        <v>13</v>
      </c>
      <c r="B3674" s="1" t="s">
        <v>242</v>
      </c>
      <c r="C3674" s="4">
        <v>2</v>
      </c>
      <c r="D3674" s="8">
        <v>2.13</v>
      </c>
      <c r="E3674" s="4">
        <v>1</v>
      </c>
      <c r="F3674" s="8">
        <v>1.82</v>
      </c>
      <c r="G3674" s="4">
        <v>1</v>
      </c>
      <c r="H3674" s="8">
        <v>2.86</v>
      </c>
      <c r="I3674" s="4">
        <v>0</v>
      </c>
    </row>
    <row r="3675" spans="1:9" x14ac:dyDescent="0.2">
      <c r="A3675" s="2">
        <v>19</v>
      </c>
      <c r="B3675" s="1" t="s">
        <v>214</v>
      </c>
      <c r="C3675" s="4">
        <v>1</v>
      </c>
      <c r="D3675" s="8">
        <v>1.06</v>
      </c>
      <c r="E3675" s="4">
        <v>1</v>
      </c>
      <c r="F3675" s="8">
        <v>1.82</v>
      </c>
      <c r="G3675" s="4">
        <v>0</v>
      </c>
      <c r="H3675" s="8">
        <v>0</v>
      </c>
      <c r="I3675" s="4">
        <v>0</v>
      </c>
    </row>
    <row r="3676" spans="1:9" x14ac:dyDescent="0.2">
      <c r="A3676" s="2">
        <v>19</v>
      </c>
      <c r="B3676" s="1" t="s">
        <v>215</v>
      </c>
      <c r="C3676" s="4">
        <v>1</v>
      </c>
      <c r="D3676" s="8">
        <v>1.06</v>
      </c>
      <c r="E3676" s="4">
        <v>0</v>
      </c>
      <c r="F3676" s="8">
        <v>0</v>
      </c>
      <c r="G3676" s="4">
        <v>1</v>
      </c>
      <c r="H3676" s="8">
        <v>2.86</v>
      </c>
      <c r="I3676" s="4">
        <v>0</v>
      </c>
    </row>
    <row r="3677" spans="1:9" x14ac:dyDescent="0.2">
      <c r="A3677" s="2">
        <v>19</v>
      </c>
      <c r="B3677" s="1" t="s">
        <v>244</v>
      </c>
      <c r="C3677" s="4">
        <v>1</v>
      </c>
      <c r="D3677" s="8">
        <v>1.06</v>
      </c>
      <c r="E3677" s="4">
        <v>0</v>
      </c>
      <c r="F3677" s="8">
        <v>0</v>
      </c>
      <c r="G3677" s="4">
        <v>1</v>
      </c>
      <c r="H3677" s="8">
        <v>2.86</v>
      </c>
      <c r="I3677" s="4">
        <v>0</v>
      </c>
    </row>
    <row r="3678" spans="1:9" x14ac:dyDescent="0.2">
      <c r="A3678" s="2">
        <v>19</v>
      </c>
      <c r="B3678" s="1" t="s">
        <v>252</v>
      </c>
      <c r="C3678" s="4">
        <v>1</v>
      </c>
      <c r="D3678" s="8">
        <v>1.06</v>
      </c>
      <c r="E3678" s="4">
        <v>0</v>
      </c>
      <c r="F3678" s="8">
        <v>0</v>
      </c>
      <c r="G3678" s="4">
        <v>1</v>
      </c>
      <c r="H3678" s="8">
        <v>2.86</v>
      </c>
      <c r="I3678" s="4">
        <v>0</v>
      </c>
    </row>
    <row r="3679" spans="1:9" x14ac:dyDescent="0.2">
      <c r="A3679" s="2">
        <v>19</v>
      </c>
      <c r="B3679" s="1" t="s">
        <v>272</v>
      </c>
      <c r="C3679" s="4">
        <v>1</v>
      </c>
      <c r="D3679" s="8">
        <v>1.06</v>
      </c>
      <c r="E3679" s="4">
        <v>0</v>
      </c>
      <c r="F3679" s="8">
        <v>0</v>
      </c>
      <c r="G3679" s="4">
        <v>1</v>
      </c>
      <c r="H3679" s="8">
        <v>2.86</v>
      </c>
      <c r="I3679" s="4">
        <v>0</v>
      </c>
    </row>
    <row r="3680" spans="1:9" x14ac:dyDescent="0.2">
      <c r="A3680" s="2">
        <v>19</v>
      </c>
      <c r="B3680" s="1" t="s">
        <v>253</v>
      </c>
      <c r="C3680" s="4">
        <v>1</v>
      </c>
      <c r="D3680" s="8">
        <v>1.06</v>
      </c>
      <c r="E3680" s="4">
        <v>0</v>
      </c>
      <c r="F3680" s="8">
        <v>0</v>
      </c>
      <c r="G3680" s="4">
        <v>1</v>
      </c>
      <c r="H3680" s="8">
        <v>2.86</v>
      </c>
      <c r="I3680" s="4">
        <v>0</v>
      </c>
    </row>
    <row r="3681" spans="1:9" x14ac:dyDescent="0.2">
      <c r="A3681" s="2">
        <v>19</v>
      </c>
      <c r="B3681" s="1" t="s">
        <v>268</v>
      </c>
      <c r="C3681" s="4">
        <v>1</v>
      </c>
      <c r="D3681" s="8">
        <v>1.06</v>
      </c>
      <c r="E3681" s="4">
        <v>1</v>
      </c>
      <c r="F3681" s="8">
        <v>1.82</v>
      </c>
      <c r="G3681" s="4">
        <v>0</v>
      </c>
      <c r="H3681" s="8">
        <v>0</v>
      </c>
      <c r="I3681" s="4">
        <v>0</v>
      </c>
    </row>
    <row r="3682" spans="1:9" x14ac:dyDescent="0.2">
      <c r="A3682" s="2">
        <v>19</v>
      </c>
      <c r="B3682" s="1" t="s">
        <v>217</v>
      </c>
      <c r="C3682" s="4">
        <v>1</v>
      </c>
      <c r="D3682" s="8">
        <v>1.06</v>
      </c>
      <c r="E3682" s="4">
        <v>1</v>
      </c>
      <c r="F3682" s="8">
        <v>1.82</v>
      </c>
      <c r="G3682" s="4">
        <v>0</v>
      </c>
      <c r="H3682" s="8">
        <v>0</v>
      </c>
      <c r="I3682" s="4">
        <v>0</v>
      </c>
    </row>
    <row r="3683" spans="1:9" x14ac:dyDescent="0.2">
      <c r="A3683" s="2">
        <v>19</v>
      </c>
      <c r="B3683" s="1" t="s">
        <v>218</v>
      </c>
      <c r="C3683" s="4">
        <v>1</v>
      </c>
      <c r="D3683" s="8">
        <v>1.06</v>
      </c>
      <c r="E3683" s="4">
        <v>0</v>
      </c>
      <c r="F3683" s="8">
        <v>0</v>
      </c>
      <c r="G3683" s="4">
        <v>1</v>
      </c>
      <c r="H3683" s="8">
        <v>2.86</v>
      </c>
      <c r="I3683" s="4">
        <v>0</v>
      </c>
    </row>
    <row r="3684" spans="1:9" x14ac:dyDescent="0.2">
      <c r="A3684" s="2">
        <v>19</v>
      </c>
      <c r="B3684" s="1" t="s">
        <v>222</v>
      </c>
      <c r="C3684" s="4">
        <v>1</v>
      </c>
      <c r="D3684" s="8">
        <v>1.06</v>
      </c>
      <c r="E3684" s="4">
        <v>1</v>
      </c>
      <c r="F3684" s="8">
        <v>1.82</v>
      </c>
      <c r="G3684" s="4">
        <v>0</v>
      </c>
      <c r="H3684" s="8">
        <v>0</v>
      </c>
      <c r="I3684" s="4">
        <v>0</v>
      </c>
    </row>
    <row r="3685" spans="1:9" x14ac:dyDescent="0.2">
      <c r="A3685" s="2">
        <v>19</v>
      </c>
      <c r="B3685" s="1" t="s">
        <v>224</v>
      </c>
      <c r="C3685" s="4">
        <v>1</v>
      </c>
      <c r="D3685" s="8">
        <v>1.06</v>
      </c>
      <c r="E3685" s="4">
        <v>0</v>
      </c>
      <c r="F3685" s="8">
        <v>0</v>
      </c>
      <c r="G3685" s="4">
        <v>1</v>
      </c>
      <c r="H3685" s="8">
        <v>2.86</v>
      </c>
      <c r="I3685" s="4">
        <v>0</v>
      </c>
    </row>
    <row r="3686" spans="1:9" x14ac:dyDescent="0.2">
      <c r="A3686" s="2">
        <v>19</v>
      </c>
      <c r="B3686" s="1" t="s">
        <v>246</v>
      </c>
      <c r="C3686" s="4">
        <v>1</v>
      </c>
      <c r="D3686" s="8">
        <v>1.06</v>
      </c>
      <c r="E3686" s="4">
        <v>0</v>
      </c>
      <c r="F3686" s="8">
        <v>0</v>
      </c>
      <c r="G3686" s="4">
        <v>1</v>
      </c>
      <c r="H3686" s="8">
        <v>2.86</v>
      </c>
      <c r="I3686" s="4">
        <v>0</v>
      </c>
    </row>
    <row r="3687" spans="1:9" x14ac:dyDescent="0.2">
      <c r="A3687" s="2">
        <v>19</v>
      </c>
      <c r="B3687" s="1" t="s">
        <v>229</v>
      </c>
      <c r="C3687" s="4">
        <v>1</v>
      </c>
      <c r="D3687" s="8">
        <v>1.06</v>
      </c>
      <c r="E3687" s="4">
        <v>1</v>
      </c>
      <c r="F3687" s="8">
        <v>1.82</v>
      </c>
      <c r="G3687" s="4">
        <v>0</v>
      </c>
      <c r="H3687" s="8">
        <v>0</v>
      </c>
      <c r="I3687" s="4">
        <v>0</v>
      </c>
    </row>
    <row r="3688" spans="1:9" x14ac:dyDescent="0.2">
      <c r="A3688" s="2">
        <v>19</v>
      </c>
      <c r="B3688" s="1" t="s">
        <v>240</v>
      </c>
      <c r="C3688" s="4">
        <v>1</v>
      </c>
      <c r="D3688" s="8">
        <v>1.06</v>
      </c>
      <c r="E3688" s="4">
        <v>1</v>
      </c>
      <c r="F3688" s="8">
        <v>1.82</v>
      </c>
      <c r="G3688" s="4">
        <v>0</v>
      </c>
      <c r="H3688" s="8">
        <v>0</v>
      </c>
      <c r="I3688" s="4">
        <v>0</v>
      </c>
    </row>
    <row r="3689" spans="1:9" x14ac:dyDescent="0.2">
      <c r="A3689" s="2">
        <v>19</v>
      </c>
      <c r="B3689" s="1" t="s">
        <v>234</v>
      </c>
      <c r="C3689" s="4">
        <v>1</v>
      </c>
      <c r="D3689" s="8">
        <v>1.06</v>
      </c>
      <c r="E3689" s="4">
        <v>0</v>
      </c>
      <c r="F3689" s="8">
        <v>0</v>
      </c>
      <c r="G3689" s="4">
        <v>1</v>
      </c>
      <c r="H3689" s="8">
        <v>2.86</v>
      </c>
      <c r="I3689" s="4">
        <v>0</v>
      </c>
    </row>
    <row r="3690" spans="1:9" x14ac:dyDescent="0.2">
      <c r="A3690" s="1"/>
      <c r="C3690" s="4"/>
      <c r="D3690" s="8"/>
      <c r="E3690" s="4"/>
      <c r="F3690" s="8"/>
      <c r="G3690" s="4"/>
      <c r="H3690" s="8"/>
      <c r="I3690" s="4"/>
    </row>
    <row r="3691" spans="1:9" x14ac:dyDescent="0.2">
      <c r="A3691" s="1" t="s">
        <v>144</v>
      </c>
      <c r="C3691" s="4"/>
      <c r="D3691" s="8"/>
      <c r="E3691" s="4"/>
      <c r="F3691" s="8"/>
      <c r="G3691" s="4"/>
      <c r="H3691" s="8"/>
      <c r="I3691" s="4"/>
    </row>
    <row r="3692" spans="1:9" x14ac:dyDescent="0.2">
      <c r="A3692" s="2">
        <v>1</v>
      </c>
      <c r="B3692" s="1" t="s">
        <v>247</v>
      </c>
      <c r="C3692" s="4">
        <v>6</v>
      </c>
      <c r="D3692" s="8">
        <v>14.29</v>
      </c>
      <c r="E3692" s="4">
        <v>0</v>
      </c>
      <c r="F3692" s="8">
        <v>0</v>
      </c>
      <c r="G3692" s="4">
        <v>0</v>
      </c>
      <c r="H3692" s="8">
        <v>0</v>
      </c>
      <c r="I3692" s="4">
        <v>0</v>
      </c>
    </row>
    <row r="3693" spans="1:9" x14ac:dyDescent="0.2">
      <c r="A3693" s="2">
        <v>2</v>
      </c>
      <c r="B3693" s="1" t="s">
        <v>223</v>
      </c>
      <c r="C3693" s="4">
        <v>4</v>
      </c>
      <c r="D3693" s="8">
        <v>9.52</v>
      </c>
      <c r="E3693" s="4">
        <v>4</v>
      </c>
      <c r="F3693" s="8">
        <v>18.18</v>
      </c>
      <c r="G3693" s="4">
        <v>0</v>
      </c>
      <c r="H3693" s="8">
        <v>0</v>
      </c>
      <c r="I3693" s="4">
        <v>0</v>
      </c>
    </row>
    <row r="3694" spans="1:9" x14ac:dyDescent="0.2">
      <c r="A3694" s="2">
        <v>3</v>
      </c>
      <c r="B3694" s="1" t="s">
        <v>221</v>
      </c>
      <c r="C3694" s="4">
        <v>3</v>
      </c>
      <c r="D3694" s="8">
        <v>7.14</v>
      </c>
      <c r="E3694" s="4">
        <v>3</v>
      </c>
      <c r="F3694" s="8">
        <v>13.64</v>
      </c>
      <c r="G3694" s="4">
        <v>0</v>
      </c>
      <c r="H3694" s="8">
        <v>0</v>
      </c>
      <c r="I3694" s="4">
        <v>0</v>
      </c>
    </row>
    <row r="3695" spans="1:9" x14ac:dyDescent="0.2">
      <c r="A3695" s="2">
        <v>3</v>
      </c>
      <c r="B3695" s="1" t="s">
        <v>227</v>
      </c>
      <c r="C3695" s="4">
        <v>3</v>
      </c>
      <c r="D3695" s="8">
        <v>7.14</v>
      </c>
      <c r="E3695" s="4">
        <v>3</v>
      </c>
      <c r="F3695" s="8">
        <v>13.64</v>
      </c>
      <c r="G3695" s="4">
        <v>0</v>
      </c>
      <c r="H3695" s="8">
        <v>0</v>
      </c>
      <c r="I3695" s="4">
        <v>0</v>
      </c>
    </row>
    <row r="3696" spans="1:9" x14ac:dyDescent="0.2">
      <c r="A3696" s="2">
        <v>3</v>
      </c>
      <c r="B3696" s="1" t="s">
        <v>239</v>
      </c>
      <c r="C3696" s="4">
        <v>3</v>
      </c>
      <c r="D3696" s="8">
        <v>7.14</v>
      </c>
      <c r="E3696" s="4">
        <v>0</v>
      </c>
      <c r="F3696" s="8">
        <v>0</v>
      </c>
      <c r="G3696" s="4">
        <v>3</v>
      </c>
      <c r="H3696" s="8">
        <v>37.5</v>
      </c>
      <c r="I3696" s="4">
        <v>0</v>
      </c>
    </row>
    <row r="3697" spans="1:9" x14ac:dyDescent="0.2">
      <c r="A3697" s="2">
        <v>6</v>
      </c>
      <c r="B3697" s="1" t="s">
        <v>215</v>
      </c>
      <c r="C3697" s="4">
        <v>2</v>
      </c>
      <c r="D3697" s="8">
        <v>4.76</v>
      </c>
      <c r="E3697" s="4">
        <v>2</v>
      </c>
      <c r="F3697" s="8">
        <v>9.09</v>
      </c>
      <c r="G3697" s="4">
        <v>0</v>
      </c>
      <c r="H3697" s="8">
        <v>0</v>
      </c>
      <c r="I3697" s="4">
        <v>0</v>
      </c>
    </row>
    <row r="3698" spans="1:9" x14ac:dyDescent="0.2">
      <c r="A3698" s="2">
        <v>6</v>
      </c>
      <c r="B3698" s="1" t="s">
        <v>228</v>
      </c>
      <c r="C3698" s="4">
        <v>2</v>
      </c>
      <c r="D3698" s="8">
        <v>4.76</v>
      </c>
      <c r="E3698" s="4">
        <v>2</v>
      </c>
      <c r="F3698" s="8">
        <v>9.09</v>
      </c>
      <c r="G3698" s="4">
        <v>0</v>
      </c>
      <c r="H3698" s="8">
        <v>0</v>
      </c>
      <c r="I3698" s="4">
        <v>0</v>
      </c>
    </row>
    <row r="3699" spans="1:9" x14ac:dyDescent="0.2">
      <c r="A3699" s="2">
        <v>6</v>
      </c>
      <c r="B3699" s="1" t="s">
        <v>230</v>
      </c>
      <c r="C3699" s="4">
        <v>2</v>
      </c>
      <c r="D3699" s="8">
        <v>4.76</v>
      </c>
      <c r="E3699" s="4">
        <v>1</v>
      </c>
      <c r="F3699" s="8">
        <v>4.55</v>
      </c>
      <c r="G3699" s="4">
        <v>0</v>
      </c>
      <c r="H3699" s="8">
        <v>0</v>
      </c>
      <c r="I3699" s="4">
        <v>0</v>
      </c>
    </row>
    <row r="3700" spans="1:9" x14ac:dyDescent="0.2">
      <c r="A3700" s="2">
        <v>6</v>
      </c>
      <c r="B3700" s="1" t="s">
        <v>232</v>
      </c>
      <c r="C3700" s="4">
        <v>2</v>
      </c>
      <c r="D3700" s="8">
        <v>4.76</v>
      </c>
      <c r="E3700" s="4">
        <v>0</v>
      </c>
      <c r="F3700" s="8">
        <v>0</v>
      </c>
      <c r="G3700" s="4">
        <v>2</v>
      </c>
      <c r="H3700" s="8">
        <v>25</v>
      </c>
      <c r="I3700" s="4">
        <v>0</v>
      </c>
    </row>
    <row r="3701" spans="1:9" x14ac:dyDescent="0.2">
      <c r="A3701" s="2">
        <v>10</v>
      </c>
      <c r="B3701" s="1" t="s">
        <v>214</v>
      </c>
      <c r="C3701" s="4">
        <v>1</v>
      </c>
      <c r="D3701" s="8">
        <v>2.38</v>
      </c>
      <c r="E3701" s="4">
        <v>1</v>
      </c>
      <c r="F3701" s="8">
        <v>4.55</v>
      </c>
      <c r="G3701" s="4">
        <v>0</v>
      </c>
      <c r="H3701" s="8">
        <v>0</v>
      </c>
      <c r="I3701" s="4">
        <v>0</v>
      </c>
    </row>
    <row r="3702" spans="1:9" x14ac:dyDescent="0.2">
      <c r="A3702" s="2">
        <v>10</v>
      </c>
      <c r="B3702" s="1" t="s">
        <v>241</v>
      </c>
      <c r="C3702" s="4">
        <v>1</v>
      </c>
      <c r="D3702" s="8">
        <v>2.38</v>
      </c>
      <c r="E3702" s="4">
        <v>1</v>
      </c>
      <c r="F3702" s="8">
        <v>4.55</v>
      </c>
      <c r="G3702" s="4">
        <v>0</v>
      </c>
      <c r="H3702" s="8">
        <v>0</v>
      </c>
      <c r="I3702" s="4">
        <v>0</v>
      </c>
    </row>
    <row r="3703" spans="1:9" x14ac:dyDescent="0.2">
      <c r="A3703" s="2">
        <v>10</v>
      </c>
      <c r="B3703" s="1" t="s">
        <v>258</v>
      </c>
      <c r="C3703" s="4">
        <v>1</v>
      </c>
      <c r="D3703" s="8">
        <v>2.38</v>
      </c>
      <c r="E3703" s="4">
        <v>1</v>
      </c>
      <c r="F3703" s="8">
        <v>4.55</v>
      </c>
      <c r="G3703" s="4">
        <v>0</v>
      </c>
      <c r="H3703" s="8">
        <v>0</v>
      </c>
      <c r="I3703" s="4">
        <v>0</v>
      </c>
    </row>
    <row r="3704" spans="1:9" x14ac:dyDescent="0.2">
      <c r="A3704" s="2">
        <v>10</v>
      </c>
      <c r="B3704" s="1" t="s">
        <v>265</v>
      </c>
      <c r="C3704" s="4">
        <v>1</v>
      </c>
      <c r="D3704" s="8">
        <v>2.38</v>
      </c>
      <c r="E3704" s="4">
        <v>0</v>
      </c>
      <c r="F3704" s="8">
        <v>0</v>
      </c>
      <c r="G3704" s="4">
        <v>1</v>
      </c>
      <c r="H3704" s="8">
        <v>12.5</v>
      </c>
      <c r="I3704" s="4">
        <v>0</v>
      </c>
    </row>
    <row r="3705" spans="1:9" x14ac:dyDescent="0.2">
      <c r="A3705" s="2">
        <v>10</v>
      </c>
      <c r="B3705" s="1" t="s">
        <v>255</v>
      </c>
      <c r="C3705" s="4">
        <v>1</v>
      </c>
      <c r="D3705" s="8">
        <v>2.38</v>
      </c>
      <c r="E3705" s="4">
        <v>0</v>
      </c>
      <c r="F3705" s="8">
        <v>0</v>
      </c>
      <c r="G3705" s="4">
        <v>0</v>
      </c>
      <c r="H3705" s="8">
        <v>0</v>
      </c>
      <c r="I3705" s="4">
        <v>0</v>
      </c>
    </row>
    <row r="3706" spans="1:9" x14ac:dyDescent="0.2">
      <c r="A3706" s="2">
        <v>10</v>
      </c>
      <c r="B3706" s="1" t="s">
        <v>283</v>
      </c>
      <c r="C3706" s="4">
        <v>1</v>
      </c>
      <c r="D3706" s="8">
        <v>2.38</v>
      </c>
      <c r="E3706" s="4">
        <v>0</v>
      </c>
      <c r="F3706" s="8">
        <v>0</v>
      </c>
      <c r="G3706" s="4">
        <v>0</v>
      </c>
      <c r="H3706" s="8">
        <v>0</v>
      </c>
      <c r="I3706" s="4">
        <v>0</v>
      </c>
    </row>
    <row r="3707" spans="1:9" x14ac:dyDescent="0.2">
      <c r="A3707" s="2">
        <v>10</v>
      </c>
      <c r="B3707" s="1" t="s">
        <v>261</v>
      </c>
      <c r="C3707" s="4">
        <v>1</v>
      </c>
      <c r="D3707" s="8">
        <v>2.38</v>
      </c>
      <c r="E3707" s="4">
        <v>0</v>
      </c>
      <c r="F3707" s="8">
        <v>0</v>
      </c>
      <c r="G3707" s="4">
        <v>0</v>
      </c>
      <c r="H3707" s="8">
        <v>0</v>
      </c>
      <c r="I3707" s="4">
        <v>0</v>
      </c>
    </row>
    <row r="3708" spans="1:9" x14ac:dyDescent="0.2">
      <c r="A3708" s="2">
        <v>10</v>
      </c>
      <c r="B3708" s="1" t="s">
        <v>217</v>
      </c>
      <c r="C3708" s="4">
        <v>1</v>
      </c>
      <c r="D3708" s="8">
        <v>2.38</v>
      </c>
      <c r="E3708" s="4">
        <v>0</v>
      </c>
      <c r="F3708" s="8">
        <v>0</v>
      </c>
      <c r="G3708" s="4">
        <v>1</v>
      </c>
      <c r="H3708" s="8">
        <v>12.5</v>
      </c>
      <c r="I3708" s="4">
        <v>0</v>
      </c>
    </row>
    <row r="3709" spans="1:9" x14ac:dyDescent="0.2">
      <c r="A3709" s="2">
        <v>10</v>
      </c>
      <c r="B3709" s="1" t="s">
        <v>220</v>
      </c>
      <c r="C3709" s="4">
        <v>1</v>
      </c>
      <c r="D3709" s="8">
        <v>2.38</v>
      </c>
      <c r="E3709" s="4">
        <v>1</v>
      </c>
      <c r="F3709" s="8">
        <v>4.55</v>
      </c>
      <c r="G3709" s="4">
        <v>0</v>
      </c>
      <c r="H3709" s="8">
        <v>0</v>
      </c>
      <c r="I3709" s="4">
        <v>0</v>
      </c>
    </row>
    <row r="3710" spans="1:9" x14ac:dyDescent="0.2">
      <c r="A3710" s="2">
        <v>10</v>
      </c>
      <c r="B3710" s="1" t="s">
        <v>225</v>
      </c>
      <c r="C3710" s="4">
        <v>1</v>
      </c>
      <c r="D3710" s="8">
        <v>2.38</v>
      </c>
      <c r="E3710" s="4">
        <v>0</v>
      </c>
      <c r="F3710" s="8">
        <v>0</v>
      </c>
      <c r="G3710" s="4">
        <v>1</v>
      </c>
      <c r="H3710" s="8">
        <v>12.5</v>
      </c>
      <c r="I3710" s="4">
        <v>0</v>
      </c>
    </row>
    <row r="3711" spans="1:9" x14ac:dyDescent="0.2">
      <c r="A3711" s="2">
        <v>10</v>
      </c>
      <c r="B3711" s="1" t="s">
        <v>226</v>
      </c>
      <c r="C3711" s="4">
        <v>1</v>
      </c>
      <c r="D3711" s="8">
        <v>2.38</v>
      </c>
      <c r="E3711" s="4">
        <v>1</v>
      </c>
      <c r="F3711" s="8">
        <v>4.55</v>
      </c>
      <c r="G3711" s="4">
        <v>0</v>
      </c>
      <c r="H3711" s="8">
        <v>0</v>
      </c>
      <c r="I3711" s="4">
        <v>0</v>
      </c>
    </row>
    <row r="3712" spans="1:9" x14ac:dyDescent="0.2">
      <c r="A3712" s="2">
        <v>10</v>
      </c>
      <c r="B3712" s="1" t="s">
        <v>243</v>
      </c>
      <c r="C3712" s="4">
        <v>1</v>
      </c>
      <c r="D3712" s="8">
        <v>2.38</v>
      </c>
      <c r="E3712" s="4">
        <v>1</v>
      </c>
      <c r="F3712" s="8">
        <v>4.55</v>
      </c>
      <c r="G3712" s="4">
        <v>0</v>
      </c>
      <c r="H3712" s="8">
        <v>0</v>
      </c>
      <c r="I3712" s="4">
        <v>0</v>
      </c>
    </row>
    <row r="3713" spans="1:9" x14ac:dyDescent="0.2">
      <c r="A3713" s="2">
        <v>10</v>
      </c>
      <c r="B3713" s="1" t="s">
        <v>231</v>
      </c>
      <c r="C3713" s="4">
        <v>1</v>
      </c>
      <c r="D3713" s="8">
        <v>2.38</v>
      </c>
      <c r="E3713" s="4">
        <v>1</v>
      </c>
      <c r="F3713" s="8">
        <v>4.55</v>
      </c>
      <c r="G3713" s="4">
        <v>0</v>
      </c>
      <c r="H3713" s="8">
        <v>0</v>
      </c>
      <c r="I3713" s="4">
        <v>0</v>
      </c>
    </row>
    <row r="3714" spans="1:9" x14ac:dyDescent="0.2">
      <c r="A3714" s="2">
        <v>10</v>
      </c>
      <c r="B3714" s="1" t="s">
        <v>249</v>
      </c>
      <c r="C3714" s="4">
        <v>1</v>
      </c>
      <c r="D3714" s="8">
        <v>2.38</v>
      </c>
      <c r="E3714" s="4">
        <v>0</v>
      </c>
      <c r="F3714" s="8">
        <v>0</v>
      </c>
      <c r="G3714" s="4">
        <v>0</v>
      </c>
      <c r="H3714" s="8">
        <v>0</v>
      </c>
      <c r="I3714" s="4">
        <v>0</v>
      </c>
    </row>
    <row r="3715" spans="1:9" x14ac:dyDescent="0.2">
      <c r="A3715" s="2">
        <v>10</v>
      </c>
      <c r="B3715" s="1" t="s">
        <v>250</v>
      </c>
      <c r="C3715" s="4">
        <v>1</v>
      </c>
      <c r="D3715" s="8">
        <v>2.38</v>
      </c>
      <c r="E3715" s="4">
        <v>0</v>
      </c>
      <c r="F3715" s="8">
        <v>0</v>
      </c>
      <c r="G3715" s="4">
        <v>0</v>
      </c>
      <c r="H3715" s="8">
        <v>0</v>
      </c>
      <c r="I3715" s="4">
        <v>0</v>
      </c>
    </row>
    <row r="3716" spans="1:9" x14ac:dyDescent="0.2">
      <c r="A3716" s="1"/>
      <c r="C3716" s="4"/>
      <c r="D3716" s="8"/>
      <c r="E3716" s="4"/>
      <c r="F3716" s="8"/>
      <c r="G3716" s="4"/>
      <c r="H3716" s="8"/>
      <c r="I3716" s="4"/>
    </row>
    <row r="3717" spans="1:9" x14ac:dyDescent="0.2">
      <c r="A3717" s="1" t="s">
        <v>145</v>
      </c>
      <c r="C3717" s="4"/>
      <c r="D3717" s="8"/>
      <c r="E3717" s="4"/>
      <c r="F3717" s="8"/>
      <c r="G3717" s="4"/>
      <c r="H3717" s="8"/>
      <c r="I3717" s="4"/>
    </row>
    <row r="3718" spans="1:9" x14ac:dyDescent="0.2">
      <c r="A3718" s="2">
        <v>1</v>
      </c>
      <c r="B3718" s="1" t="s">
        <v>227</v>
      </c>
      <c r="C3718" s="4">
        <v>25</v>
      </c>
      <c r="D3718" s="8">
        <v>20.329999999999998</v>
      </c>
      <c r="E3718" s="4">
        <v>24</v>
      </c>
      <c r="F3718" s="8">
        <v>30.38</v>
      </c>
      <c r="G3718" s="4">
        <v>1</v>
      </c>
      <c r="H3718" s="8">
        <v>2.5</v>
      </c>
      <c r="I3718" s="4">
        <v>0</v>
      </c>
    </row>
    <row r="3719" spans="1:9" x14ac:dyDescent="0.2">
      <c r="A3719" s="2">
        <v>2</v>
      </c>
      <c r="B3719" s="1" t="s">
        <v>228</v>
      </c>
      <c r="C3719" s="4">
        <v>16</v>
      </c>
      <c r="D3719" s="8">
        <v>13.01</v>
      </c>
      <c r="E3719" s="4">
        <v>16</v>
      </c>
      <c r="F3719" s="8">
        <v>20.25</v>
      </c>
      <c r="G3719" s="4">
        <v>0</v>
      </c>
      <c r="H3719" s="8">
        <v>0</v>
      </c>
      <c r="I3719" s="4">
        <v>0</v>
      </c>
    </row>
    <row r="3720" spans="1:9" x14ac:dyDescent="0.2">
      <c r="A3720" s="2">
        <v>3</v>
      </c>
      <c r="B3720" s="1" t="s">
        <v>223</v>
      </c>
      <c r="C3720" s="4">
        <v>10</v>
      </c>
      <c r="D3720" s="8">
        <v>8.1300000000000008</v>
      </c>
      <c r="E3720" s="4">
        <v>4</v>
      </c>
      <c r="F3720" s="8">
        <v>5.0599999999999996</v>
      </c>
      <c r="G3720" s="4">
        <v>6</v>
      </c>
      <c r="H3720" s="8">
        <v>15</v>
      </c>
      <c r="I3720" s="4">
        <v>0</v>
      </c>
    </row>
    <row r="3721" spans="1:9" x14ac:dyDescent="0.2">
      <c r="A3721" s="2">
        <v>4</v>
      </c>
      <c r="B3721" s="1" t="s">
        <v>214</v>
      </c>
      <c r="C3721" s="4">
        <v>7</v>
      </c>
      <c r="D3721" s="8">
        <v>5.69</v>
      </c>
      <c r="E3721" s="4">
        <v>5</v>
      </c>
      <c r="F3721" s="8">
        <v>6.33</v>
      </c>
      <c r="G3721" s="4">
        <v>2</v>
      </c>
      <c r="H3721" s="8">
        <v>5</v>
      </c>
      <c r="I3721" s="4">
        <v>0</v>
      </c>
    </row>
    <row r="3722" spans="1:9" x14ac:dyDescent="0.2">
      <c r="A3722" s="2">
        <v>4</v>
      </c>
      <c r="B3722" s="1" t="s">
        <v>221</v>
      </c>
      <c r="C3722" s="4">
        <v>7</v>
      </c>
      <c r="D3722" s="8">
        <v>5.69</v>
      </c>
      <c r="E3722" s="4">
        <v>4</v>
      </c>
      <c r="F3722" s="8">
        <v>5.0599999999999996</v>
      </c>
      <c r="G3722" s="4">
        <v>2</v>
      </c>
      <c r="H3722" s="8">
        <v>5</v>
      </c>
      <c r="I3722" s="4">
        <v>1</v>
      </c>
    </row>
    <row r="3723" spans="1:9" x14ac:dyDescent="0.2">
      <c r="A3723" s="2">
        <v>6</v>
      </c>
      <c r="B3723" s="1" t="s">
        <v>213</v>
      </c>
      <c r="C3723" s="4">
        <v>5</v>
      </c>
      <c r="D3723" s="8">
        <v>4.07</v>
      </c>
      <c r="E3723" s="4">
        <v>1</v>
      </c>
      <c r="F3723" s="8">
        <v>1.27</v>
      </c>
      <c r="G3723" s="4">
        <v>4</v>
      </c>
      <c r="H3723" s="8">
        <v>10</v>
      </c>
      <c r="I3723" s="4">
        <v>0</v>
      </c>
    </row>
    <row r="3724" spans="1:9" x14ac:dyDescent="0.2">
      <c r="A3724" s="2">
        <v>7</v>
      </c>
      <c r="B3724" s="1" t="s">
        <v>241</v>
      </c>
      <c r="C3724" s="4">
        <v>4</v>
      </c>
      <c r="D3724" s="8">
        <v>3.25</v>
      </c>
      <c r="E3724" s="4">
        <v>1</v>
      </c>
      <c r="F3724" s="8">
        <v>1.27</v>
      </c>
      <c r="G3724" s="4">
        <v>3</v>
      </c>
      <c r="H3724" s="8">
        <v>7.5</v>
      </c>
      <c r="I3724" s="4">
        <v>0</v>
      </c>
    </row>
    <row r="3725" spans="1:9" x14ac:dyDescent="0.2">
      <c r="A3725" s="2">
        <v>7</v>
      </c>
      <c r="B3725" s="1" t="s">
        <v>220</v>
      </c>
      <c r="C3725" s="4">
        <v>4</v>
      </c>
      <c r="D3725" s="8">
        <v>3.25</v>
      </c>
      <c r="E3725" s="4">
        <v>2</v>
      </c>
      <c r="F3725" s="8">
        <v>2.5299999999999998</v>
      </c>
      <c r="G3725" s="4">
        <v>2</v>
      </c>
      <c r="H3725" s="8">
        <v>5</v>
      </c>
      <c r="I3725" s="4">
        <v>0</v>
      </c>
    </row>
    <row r="3726" spans="1:9" x14ac:dyDescent="0.2">
      <c r="A3726" s="2">
        <v>7</v>
      </c>
      <c r="B3726" s="1" t="s">
        <v>222</v>
      </c>
      <c r="C3726" s="4">
        <v>4</v>
      </c>
      <c r="D3726" s="8">
        <v>3.25</v>
      </c>
      <c r="E3726" s="4">
        <v>4</v>
      </c>
      <c r="F3726" s="8">
        <v>5.0599999999999996</v>
      </c>
      <c r="G3726" s="4">
        <v>0</v>
      </c>
      <c r="H3726" s="8">
        <v>0</v>
      </c>
      <c r="I3726" s="4">
        <v>0</v>
      </c>
    </row>
    <row r="3727" spans="1:9" x14ac:dyDescent="0.2">
      <c r="A3727" s="2">
        <v>7</v>
      </c>
      <c r="B3727" s="1" t="s">
        <v>240</v>
      </c>
      <c r="C3727" s="4">
        <v>4</v>
      </c>
      <c r="D3727" s="8">
        <v>3.25</v>
      </c>
      <c r="E3727" s="4">
        <v>4</v>
      </c>
      <c r="F3727" s="8">
        <v>5.0599999999999996</v>
      </c>
      <c r="G3727" s="4">
        <v>0</v>
      </c>
      <c r="H3727" s="8">
        <v>0</v>
      </c>
      <c r="I3727" s="4">
        <v>0</v>
      </c>
    </row>
    <row r="3728" spans="1:9" x14ac:dyDescent="0.2">
      <c r="A3728" s="2">
        <v>11</v>
      </c>
      <c r="B3728" s="1" t="s">
        <v>257</v>
      </c>
      <c r="C3728" s="4">
        <v>3</v>
      </c>
      <c r="D3728" s="8">
        <v>2.44</v>
      </c>
      <c r="E3728" s="4">
        <v>2</v>
      </c>
      <c r="F3728" s="8">
        <v>2.5299999999999998</v>
      </c>
      <c r="G3728" s="4">
        <v>1</v>
      </c>
      <c r="H3728" s="8">
        <v>2.5</v>
      </c>
      <c r="I3728" s="4">
        <v>0</v>
      </c>
    </row>
    <row r="3729" spans="1:9" x14ac:dyDescent="0.2">
      <c r="A3729" s="2">
        <v>11</v>
      </c>
      <c r="B3729" s="1" t="s">
        <v>226</v>
      </c>
      <c r="C3729" s="4">
        <v>3</v>
      </c>
      <c r="D3729" s="8">
        <v>2.44</v>
      </c>
      <c r="E3729" s="4">
        <v>1</v>
      </c>
      <c r="F3729" s="8">
        <v>1.27</v>
      </c>
      <c r="G3729" s="4">
        <v>2</v>
      </c>
      <c r="H3729" s="8">
        <v>5</v>
      </c>
      <c r="I3729" s="4">
        <v>0</v>
      </c>
    </row>
    <row r="3730" spans="1:9" x14ac:dyDescent="0.2">
      <c r="A3730" s="2">
        <v>11</v>
      </c>
      <c r="B3730" s="1" t="s">
        <v>242</v>
      </c>
      <c r="C3730" s="4">
        <v>3</v>
      </c>
      <c r="D3730" s="8">
        <v>2.44</v>
      </c>
      <c r="E3730" s="4">
        <v>2</v>
      </c>
      <c r="F3730" s="8">
        <v>2.5299999999999998</v>
      </c>
      <c r="G3730" s="4">
        <v>1</v>
      </c>
      <c r="H3730" s="8">
        <v>2.5</v>
      </c>
      <c r="I3730" s="4">
        <v>0</v>
      </c>
    </row>
    <row r="3731" spans="1:9" x14ac:dyDescent="0.2">
      <c r="A3731" s="2">
        <v>14</v>
      </c>
      <c r="B3731" s="1" t="s">
        <v>216</v>
      </c>
      <c r="C3731" s="4">
        <v>2</v>
      </c>
      <c r="D3731" s="8">
        <v>1.63</v>
      </c>
      <c r="E3731" s="4">
        <v>0</v>
      </c>
      <c r="F3731" s="8">
        <v>0</v>
      </c>
      <c r="G3731" s="4">
        <v>2</v>
      </c>
      <c r="H3731" s="8">
        <v>5</v>
      </c>
      <c r="I3731" s="4">
        <v>0</v>
      </c>
    </row>
    <row r="3732" spans="1:9" x14ac:dyDescent="0.2">
      <c r="A3732" s="2">
        <v>14</v>
      </c>
      <c r="B3732" s="1" t="s">
        <v>243</v>
      </c>
      <c r="C3732" s="4">
        <v>2</v>
      </c>
      <c r="D3732" s="8">
        <v>1.63</v>
      </c>
      <c r="E3732" s="4">
        <v>2</v>
      </c>
      <c r="F3732" s="8">
        <v>2.5299999999999998</v>
      </c>
      <c r="G3732" s="4">
        <v>0</v>
      </c>
      <c r="H3732" s="8">
        <v>0</v>
      </c>
      <c r="I3732" s="4">
        <v>0</v>
      </c>
    </row>
    <row r="3733" spans="1:9" x14ac:dyDescent="0.2">
      <c r="A3733" s="2">
        <v>14</v>
      </c>
      <c r="B3733" s="1" t="s">
        <v>239</v>
      </c>
      <c r="C3733" s="4">
        <v>2</v>
      </c>
      <c r="D3733" s="8">
        <v>1.63</v>
      </c>
      <c r="E3733" s="4">
        <v>0</v>
      </c>
      <c r="F3733" s="8">
        <v>0</v>
      </c>
      <c r="G3733" s="4">
        <v>1</v>
      </c>
      <c r="H3733" s="8">
        <v>2.5</v>
      </c>
      <c r="I3733" s="4">
        <v>0</v>
      </c>
    </row>
    <row r="3734" spans="1:9" x14ac:dyDescent="0.2">
      <c r="A3734" s="2">
        <v>14</v>
      </c>
      <c r="B3734" s="1" t="s">
        <v>247</v>
      </c>
      <c r="C3734" s="4">
        <v>2</v>
      </c>
      <c r="D3734" s="8">
        <v>1.63</v>
      </c>
      <c r="E3734" s="4">
        <v>0</v>
      </c>
      <c r="F3734" s="8">
        <v>0</v>
      </c>
      <c r="G3734" s="4">
        <v>2</v>
      </c>
      <c r="H3734" s="8">
        <v>5</v>
      </c>
      <c r="I3734" s="4">
        <v>0</v>
      </c>
    </row>
    <row r="3735" spans="1:9" x14ac:dyDescent="0.2">
      <c r="A3735" s="2">
        <v>14</v>
      </c>
      <c r="B3735" s="1" t="s">
        <v>230</v>
      </c>
      <c r="C3735" s="4">
        <v>2</v>
      </c>
      <c r="D3735" s="8">
        <v>1.63</v>
      </c>
      <c r="E3735" s="4">
        <v>0</v>
      </c>
      <c r="F3735" s="8">
        <v>0</v>
      </c>
      <c r="G3735" s="4">
        <v>0</v>
      </c>
      <c r="H3735" s="8">
        <v>0</v>
      </c>
      <c r="I3735" s="4">
        <v>0</v>
      </c>
    </row>
    <row r="3736" spans="1:9" x14ac:dyDescent="0.2">
      <c r="A3736" s="2">
        <v>14</v>
      </c>
      <c r="B3736" s="1" t="s">
        <v>231</v>
      </c>
      <c r="C3736" s="4">
        <v>2</v>
      </c>
      <c r="D3736" s="8">
        <v>1.63</v>
      </c>
      <c r="E3736" s="4">
        <v>2</v>
      </c>
      <c r="F3736" s="8">
        <v>2.5299999999999998</v>
      </c>
      <c r="G3736" s="4">
        <v>0</v>
      </c>
      <c r="H3736" s="8">
        <v>0</v>
      </c>
      <c r="I3736" s="4">
        <v>0</v>
      </c>
    </row>
    <row r="3737" spans="1:9" x14ac:dyDescent="0.2">
      <c r="A3737" s="2">
        <v>20</v>
      </c>
      <c r="B3737" s="1" t="s">
        <v>215</v>
      </c>
      <c r="C3737" s="4">
        <v>1</v>
      </c>
      <c r="D3737" s="8">
        <v>0.81</v>
      </c>
      <c r="E3737" s="4">
        <v>0</v>
      </c>
      <c r="F3737" s="8">
        <v>0</v>
      </c>
      <c r="G3737" s="4">
        <v>1</v>
      </c>
      <c r="H3737" s="8">
        <v>2.5</v>
      </c>
      <c r="I3737" s="4">
        <v>0</v>
      </c>
    </row>
    <row r="3738" spans="1:9" x14ac:dyDescent="0.2">
      <c r="A3738" s="2">
        <v>20</v>
      </c>
      <c r="B3738" s="1" t="s">
        <v>258</v>
      </c>
      <c r="C3738" s="4">
        <v>1</v>
      </c>
      <c r="D3738" s="8">
        <v>0.81</v>
      </c>
      <c r="E3738" s="4">
        <v>1</v>
      </c>
      <c r="F3738" s="8">
        <v>1.27</v>
      </c>
      <c r="G3738" s="4">
        <v>0</v>
      </c>
      <c r="H3738" s="8">
        <v>0</v>
      </c>
      <c r="I3738" s="4">
        <v>0</v>
      </c>
    </row>
    <row r="3739" spans="1:9" x14ac:dyDescent="0.2">
      <c r="A3739" s="2">
        <v>20</v>
      </c>
      <c r="B3739" s="1" t="s">
        <v>252</v>
      </c>
      <c r="C3739" s="4">
        <v>1</v>
      </c>
      <c r="D3739" s="8">
        <v>0.81</v>
      </c>
      <c r="E3739" s="4">
        <v>0</v>
      </c>
      <c r="F3739" s="8">
        <v>0</v>
      </c>
      <c r="G3739" s="4">
        <v>1</v>
      </c>
      <c r="H3739" s="8">
        <v>2.5</v>
      </c>
      <c r="I3739" s="4">
        <v>0</v>
      </c>
    </row>
    <row r="3740" spans="1:9" x14ac:dyDescent="0.2">
      <c r="A3740" s="2">
        <v>20</v>
      </c>
      <c r="B3740" s="1" t="s">
        <v>253</v>
      </c>
      <c r="C3740" s="4">
        <v>1</v>
      </c>
      <c r="D3740" s="8">
        <v>0.81</v>
      </c>
      <c r="E3740" s="4">
        <v>1</v>
      </c>
      <c r="F3740" s="8">
        <v>1.27</v>
      </c>
      <c r="G3740" s="4">
        <v>0</v>
      </c>
      <c r="H3740" s="8">
        <v>0</v>
      </c>
      <c r="I3740" s="4">
        <v>0</v>
      </c>
    </row>
    <row r="3741" spans="1:9" x14ac:dyDescent="0.2">
      <c r="A3741" s="2">
        <v>20</v>
      </c>
      <c r="B3741" s="1" t="s">
        <v>267</v>
      </c>
      <c r="C3741" s="4">
        <v>1</v>
      </c>
      <c r="D3741" s="8">
        <v>0.81</v>
      </c>
      <c r="E3741" s="4">
        <v>0</v>
      </c>
      <c r="F3741" s="8">
        <v>0</v>
      </c>
      <c r="G3741" s="4">
        <v>1</v>
      </c>
      <c r="H3741" s="8">
        <v>2.5</v>
      </c>
      <c r="I3741" s="4">
        <v>0</v>
      </c>
    </row>
    <row r="3742" spans="1:9" x14ac:dyDescent="0.2">
      <c r="A3742" s="2">
        <v>20</v>
      </c>
      <c r="B3742" s="1" t="s">
        <v>245</v>
      </c>
      <c r="C3742" s="4">
        <v>1</v>
      </c>
      <c r="D3742" s="8">
        <v>0.81</v>
      </c>
      <c r="E3742" s="4">
        <v>0</v>
      </c>
      <c r="F3742" s="8">
        <v>0</v>
      </c>
      <c r="G3742" s="4">
        <v>1</v>
      </c>
      <c r="H3742" s="8">
        <v>2.5</v>
      </c>
      <c r="I3742" s="4">
        <v>0</v>
      </c>
    </row>
    <row r="3743" spans="1:9" x14ac:dyDescent="0.2">
      <c r="A3743" s="2">
        <v>20</v>
      </c>
      <c r="B3743" s="1" t="s">
        <v>284</v>
      </c>
      <c r="C3743" s="4">
        <v>1</v>
      </c>
      <c r="D3743" s="8">
        <v>0.81</v>
      </c>
      <c r="E3743" s="4">
        <v>0</v>
      </c>
      <c r="F3743" s="8">
        <v>0</v>
      </c>
      <c r="G3743" s="4">
        <v>1</v>
      </c>
      <c r="H3743" s="8">
        <v>2.5</v>
      </c>
      <c r="I3743" s="4">
        <v>0</v>
      </c>
    </row>
    <row r="3744" spans="1:9" x14ac:dyDescent="0.2">
      <c r="A3744" s="2">
        <v>20</v>
      </c>
      <c r="B3744" s="1" t="s">
        <v>268</v>
      </c>
      <c r="C3744" s="4">
        <v>1</v>
      </c>
      <c r="D3744" s="8">
        <v>0.81</v>
      </c>
      <c r="E3744" s="4">
        <v>1</v>
      </c>
      <c r="F3744" s="8">
        <v>1.27</v>
      </c>
      <c r="G3744" s="4">
        <v>0</v>
      </c>
      <c r="H3744" s="8">
        <v>0</v>
      </c>
      <c r="I3744" s="4">
        <v>0</v>
      </c>
    </row>
    <row r="3745" spans="1:9" x14ac:dyDescent="0.2">
      <c r="A3745" s="2">
        <v>20</v>
      </c>
      <c r="B3745" s="1" t="s">
        <v>260</v>
      </c>
      <c r="C3745" s="4">
        <v>1</v>
      </c>
      <c r="D3745" s="8">
        <v>0.81</v>
      </c>
      <c r="E3745" s="4">
        <v>0</v>
      </c>
      <c r="F3745" s="8">
        <v>0</v>
      </c>
      <c r="G3745" s="4">
        <v>1</v>
      </c>
      <c r="H3745" s="8">
        <v>2.5</v>
      </c>
      <c r="I3745" s="4">
        <v>0</v>
      </c>
    </row>
    <row r="3746" spans="1:9" x14ac:dyDescent="0.2">
      <c r="A3746" s="2">
        <v>20</v>
      </c>
      <c r="B3746" s="1" t="s">
        <v>261</v>
      </c>
      <c r="C3746" s="4">
        <v>1</v>
      </c>
      <c r="D3746" s="8">
        <v>0.81</v>
      </c>
      <c r="E3746" s="4">
        <v>0</v>
      </c>
      <c r="F3746" s="8">
        <v>0</v>
      </c>
      <c r="G3746" s="4">
        <v>1</v>
      </c>
      <c r="H3746" s="8">
        <v>2.5</v>
      </c>
      <c r="I3746" s="4">
        <v>0</v>
      </c>
    </row>
    <row r="3747" spans="1:9" x14ac:dyDescent="0.2">
      <c r="A3747" s="2">
        <v>20</v>
      </c>
      <c r="B3747" s="1" t="s">
        <v>217</v>
      </c>
      <c r="C3747" s="4">
        <v>1</v>
      </c>
      <c r="D3747" s="8">
        <v>0.81</v>
      </c>
      <c r="E3747" s="4">
        <v>0</v>
      </c>
      <c r="F3747" s="8">
        <v>0</v>
      </c>
      <c r="G3747" s="4">
        <v>1</v>
      </c>
      <c r="H3747" s="8">
        <v>2.5</v>
      </c>
      <c r="I3747" s="4">
        <v>0</v>
      </c>
    </row>
    <row r="3748" spans="1:9" x14ac:dyDescent="0.2">
      <c r="A3748" s="2">
        <v>20</v>
      </c>
      <c r="B3748" s="1" t="s">
        <v>218</v>
      </c>
      <c r="C3748" s="4">
        <v>1</v>
      </c>
      <c r="D3748" s="8">
        <v>0.81</v>
      </c>
      <c r="E3748" s="4">
        <v>1</v>
      </c>
      <c r="F3748" s="8">
        <v>1.27</v>
      </c>
      <c r="G3748" s="4">
        <v>0</v>
      </c>
      <c r="H3748" s="8">
        <v>0</v>
      </c>
      <c r="I3748" s="4">
        <v>0</v>
      </c>
    </row>
    <row r="3749" spans="1:9" x14ac:dyDescent="0.2">
      <c r="A3749" s="2">
        <v>20</v>
      </c>
      <c r="B3749" s="1" t="s">
        <v>236</v>
      </c>
      <c r="C3749" s="4">
        <v>1</v>
      </c>
      <c r="D3749" s="8">
        <v>0.81</v>
      </c>
      <c r="E3749" s="4">
        <v>0</v>
      </c>
      <c r="F3749" s="8">
        <v>0</v>
      </c>
      <c r="G3749" s="4">
        <v>1</v>
      </c>
      <c r="H3749" s="8">
        <v>2.5</v>
      </c>
      <c r="I3749" s="4">
        <v>0</v>
      </c>
    </row>
    <row r="3750" spans="1:9" x14ac:dyDescent="0.2">
      <c r="A3750" s="2">
        <v>20</v>
      </c>
      <c r="B3750" s="1" t="s">
        <v>224</v>
      </c>
      <c r="C3750" s="4">
        <v>1</v>
      </c>
      <c r="D3750" s="8">
        <v>0.81</v>
      </c>
      <c r="E3750" s="4">
        <v>0</v>
      </c>
      <c r="F3750" s="8">
        <v>0</v>
      </c>
      <c r="G3750" s="4">
        <v>1</v>
      </c>
      <c r="H3750" s="8">
        <v>2.5</v>
      </c>
      <c r="I3750" s="4">
        <v>0</v>
      </c>
    </row>
    <row r="3751" spans="1:9" x14ac:dyDescent="0.2">
      <c r="A3751" s="2">
        <v>20</v>
      </c>
      <c r="B3751" s="1" t="s">
        <v>246</v>
      </c>
      <c r="C3751" s="4">
        <v>1</v>
      </c>
      <c r="D3751" s="8">
        <v>0.81</v>
      </c>
      <c r="E3751" s="4">
        <v>0</v>
      </c>
      <c r="F3751" s="8">
        <v>0</v>
      </c>
      <c r="G3751" s="4">
        <v>1</v>
      </c>
      <c r="H3751" s="8">
        <v>2.5</v>
      </c>
      <c r="I3751" s="4">
        <v>0</v>
      </c>
    </row>
    <row r="3752" spans="1:9" x14ac:dyDescent="0.2">
      <c r="A3752" s="2">
        <v>20</v>
      </c>
      <c r="B3752" s="1" t="s">
        <v>229</v>
      </c>
      <c r="C3752" s="4">
        <v>1</v>
      </c>
      <c r="D3752" s="8">
        <v>0.81</v>
      </c>
      <c r="E3752" s="4">
        <v>1</v>
      </c>
      <c r="F3752" s="8">
        <v>1.27</v>
      </c>
      <c r="G3752" s="4">
        <v>0</v>
      </c>
      <c r="H3752" s="8">
        <v>0</v>
      </c>
      <c r="I3752" s="4">
        <v>0</v>
      </c>
    </row>
    <row r="3753" spans="1:9" x14ac:dyDescent="0.2">
      <c r="A3753" s="1"/>
      <c r="C3753" s="4"/>
      <c r="D3753" s="8"/>
      <c r="E3753" s="4"/>
      <c r="F3753" s="8"/>
      <c r="G3753" s="4"/>
      <c r="H3753" s="8"/>
      <c r="I3753" s="4"/>
    </row>
    <row r="3754" spans="1:9" x14ac:dyDescent="0.2">
      <c r="A3754" s="1" t="s">
        <v>146</v>
      </c>
      <c r="C3754" s="4"/>
      <c r="D3754" s="8"/>
      <c r="E3754" s="4"/>
      <c r="F3754" s="8"/>
      <c r="G3754" s="4"/>
      <c r="H3754" s="8"/>
      <c r="I3754" s="4"/>
    </row>
    <row r="3755" spans="1:9" x14ac:dyDescent="0.2">
      <c r="A3755" s="2">
        <v>1</v>
      </c>
      <c r="B3755" s="1" t="s">
        <v>227</v>
      </c>
      <c r="C3755" s="4">
        <v>23</v>
      </c>
      <c r="D3755" s="8">
        <v>13.22</v>
      </c>
      <c r="E3755" s="4">
        <v>17</v>
      </c>
      <c r="F3755" s="8">
        <v>22.37</v>
      </c>
      <c r="G3755" s="4">
        <v>6</v>
      </c>
      <c r="H3755" s="8">
        <v>6.59</v>
      </c>
      <c r="I3755" s="4">
        <v>0</v>
      </c>
    </row>
    <row r="3756" spans="1:9" x14ac:dyDescent="0.2">
      <c r="A3756" s="2">
        <v>2</v>
      </c>
      <c r="B3756" s="1" t="s">
        <v>228</v>
      </c>
      <c r="C3756" s="4">
        <v>18</v>
      </c>
      <c r="D3756" s="8">
        <v>10.34</v>
      </c>
      <c r="E3756" s="4">
        <v>16</v>
      </c>
      <c r="F3756" s="8">
        <v>21.05</v>
      </c>
      <c r="G3756" s="4">
        <v>2</v>
      </c>
      <c r="H3756" s="8">
        <v>2.2000000000000002</v>
      </c>
      <c r="I3756" s="4">
        <v>0</v>
      </c>
    </row>
    <row r="3757" spans="1:9" x14ac:dyDescent="0.2">
      <c r="A3757" s="2">
        <v>3</v>
      </c>
      <c r="B3757" s="1" t="s">
        <v>213</v>
      </c>
      <c r="C3757" s="4">
        <v>16</v>
      </c>
      <c r="D3757" s="8">
        <v>9.1999999999999993</v>
      </c>
      <c r="E3757" s="4">
        <v>0</v>
      </c>
      <c r="F3757" s="8">
        <v>0</v>
      </c>
      <c r="G3757" s="4">
        <v>16</v>
      </c>
      <c r="H3757" s="8">
        <v>17.579999999999998</v>
      </c>
      <c r="I3757" s="4">
        <v>0</v>
      </c>
    </row>
    <row r="3758" spans="1:9" x14ac:dyDescent="0.2">
      <c r="A3758" s="2">
        <v>4</v>
      </c>
      <c r="B3758" s="1" t="s">
        <v>223</v>
      </c>
      <c r="C3758" s="4">
        <v>14</v>
      </c>
      <c r="D3758" s="8">
        <v>8.0500000000000007</v>
      </c>
      <c r="E3758" s="4">
        <v>5</v>
      </c>
      <c r="F3758" s="8">
        <v>6.58</v>
      </c>
      <c r="G3758" s="4">
        <v>9</v>
      </c>
      <c r="H3758" s="8">
        <v>9.89</v>
      </c>
      <c r="I3758" s="4">
        <v>0</v>
      </c>
    </row>
    <row r="3759" spans="1:9" x14ac:dyDescent="0.2">
      <c r="A3759" s="2">
        <v>5</v>
      </c>
      <c r="B3759" s="1" t="s">
        <v>221</v>
      </c>
      <c r="C3759" s="4">
        <v>11</v>
      </c>
      <c r="D3759" s="8">
        <v>6.32</v>
      </c>
      <c r="E3759" s="4">
        <v>8</v>
      </c>
      <c r="F3759" s="8">
        <v>10.53</v>
      </c>
      <c r="G3759" s="4">
        <v>3</v>
      </c>
      <c r="H3759" s="8">
        <v>3.3</v>
      </c>
      <c r="I3759" s="4">
        <v>0</v>
      </c>
    </row>
    <row r="3760" spans="1:9" x14ac:dyDescent="0.2">
      <c r="A3760" s="2">
        <v>6</v>
      </c>
      <c r="B3760" s="1" t="s">
        <v>226</v>
      </c>
      <c r="C3760" s="4">
        <v>7</v>
      </c>
      <c r="D3760" s="8">
        <v>4.0199999999999996</v>
      </c>
      <c r="E3760" s="4">
        <v>2</v>
      </c>
      <c r="F3760" s="8">
        <v>2.63</v>
      </c>
      <c r="G3760" s="4">
        <v>4</v>
      </c>
      <c r="H3760" s="8">
        <v>4.4000000000000004</v>
      </c>
      <c r="I3760" s="4">
        <v>1</v>
      </c>
    </row>
    <row r="3761" spans="1:9" x14ac:dyDescent="0.2">
      <c r="A3761" s="2">
        <v>7</v>
      </c>
      <c r="B3761" s="1" t="s">
        <v>214</v>
      </c>
      <c r="C3761" s="4">
        <v>6</v>
      </c>
      <c r="D3761" s="8">
        <v>3.45</v>
      </c>
      <c r="E3761" s="4">
        <v>1</v>
      </c>
      <c r="F3761" s="8">
        <v>1.32</v>
      </c>
      <c r="G3761" s="4">
        <v>5</v>
      </c>
      <c r="H3761" s="8">
        <v>5.49</v>
      </c>
      <c r="I3761" s="4">
        <v>0</v>
      </c>
    </row>
    <row r="3762" spans="1:9" x14ac:dyDescent="0.2">
      <c r="A3762" s="2">
        <v>7</v>
      </c>
      <c r="B3762" s="1" t="s">
        <v>234</v>
      </c>
      <c r="C3762" s="4">
        <v>6</v>
      </c>
      <c r="D3762" s="8">
        <v>3.45</v>
      </c>
      <c r="E3762" s="4">
        <v>0</v>
      </c>
      <c r="F3762" s="8">
        <v>0</v>
      </c>
      <c r="G3762" s="4">
        <v>5</v>
      </c>
      <c r="H3762" s="8">
        <v>5.49</v>
      </c>
      <c r="I3762" s="4">
        <v>1</v>
      </c>
    </row>
    <row r="3763" spans="1:9" x14ac:dyDescent="0.2">
      <c r="A3763" s="2">
        <v>9</v>
      </c>
      <c r="B3763" s="1" t="s">
        <v>241</v>
      </c>
      <c r="C3763" s="4">
        <v>5</v>
      </c>
      <c r="D3763" s="8">
        <v>2.87</v>
      </c>
      <c r="E3763" s="4">
        <v>1</v>
      </c>
      <c r="F3763" s="8">
        <v>1.32</v>
      </c>
      <c r="G3763" s="4">
        <v>4</v>
      </c>
      <c r="H3763" s="8">
        <v>4.4000000000000004</v>
      </c>
      <c r="I3763" s="4">
        <v>0</v>
      </c>
    </row>
    <row r="3764" spans="1:9" x14ac:dyDescent="0.2">
      <c r="A3764" s="2">
        <v>9</v>
      </c>
      <c r="B3764" s="1" t="s">
        <v>222</v>
      </c>
      <c r="C3764" s="4">
        <v>5</v>
      </c>
      <c r="D3764" s="8">
        <v>2.87</v>
      </c>
      <c r="E3764" s="4">
        <v>0</v>
      </c>
      <c r="F3764" s="8">
        <v>0</v>
      </c>
      <c r="G3764" s="4">
        <v>5</v>
      </c>
      <c r="H3764" s="8">
        <v>5.49</v>
      </c>
      <c r="I3764" s="4">
        <v>0</v>
      </c>
    </row>
    <row r="3765" spans="1:9" x14ac:dyDescent="0.2">
      <c r="A3765" s="2">
        <v>9</v>
      </c>
      <c r="B3765" s="1" t="s">
        <v>230</v>
      </c>
      <c r="C3765" s="4">
        <v>5</v>
      </c>
      <c r="D3765" s="8">
        <v>2.87</v>
      </c>
      <c r="E3765" s="4">
        <v>5</v>
      </c>
      <c r="F3765" s="8">
        <v>6.58</v>
      </c>
      <c r="G3765" s="4">
        <v>0</v>
      </c>
      <c r="H3765" s="8">
        <v>0</v>
      </c>
      <c r="I3765" s="4">
        <v>0</v>
      </c>
    </row>
    <row r="3766" spans="1:9" x14ac:dyDescent="0.2">
      <c r="A3766" s="2">
        <v>9</v>
      </c>
      <c r="B3766" s="1" t="s">
        <v>240</v>
      </c>
      <c r="C3766" s="4">
        <v>5</v>
      </c>
      <c r="D3766" s="8">
        <v>2.87</v>
      </c>
      <c r="E3766" s="4">
        <v>2</v>
      </c>
      <c r="F3766" s="8">
        <v>2.63</v>
      </c>
      <c r="G3766" s="4">
        <v>3</v>
      </c>
      <c r="H3766" s="8">
        <v>3.3</v>
      </c>
      <c r="I3766" s="4">
        <v>0</v>
      </c>
    </row>
    <row r="3767" spans="1:9" x14ac:dyDescent="0.2">
      <c r="A3767" s="2">
        <v>13</v>
      </c>
      <c r="B3767" s="1" t="s">
        <v>215</v>
      </c>
      <c r="C3767" s="4">
        <v>4</v>
      </c>
      <c r="D3767" s="8">
        <v>2.2999999999999998</v>
      </c>
      <c r="E3767" s="4">
        <v>2</v>
      </c>
      <c r="F3767" s="8">
        <v>2.63</v>
      </c>
      <c r="G3767" s="4">
        <v>2</v>
      </c>
      <c r="H3767" s="8">
        <v>2.2000000000000002</v>
      </c>
      <c r="I3767" s="4">
        <v>0</v>
      </c>
    </row>
    <row r="3768" spans="1:9" x14ac:dyDescent="0.2">
      <c r="A3768" s="2">
        <v>13</v>
      </c>
      <c r="B3768" s="1" t="s">
        <v>216</v>
      </c>
      <c r="C3768" s="4">
        <v>4</v>
      </c>
      <c r="D3768" s="8">
        <v>2.2999999999999998</v>
      </c>
      <c r="E3768" s="4">
        <v>0</v>
      </c>
      <c r="F3768" s="8">
        <v>0</v>
      </c>
      <c r="G3768" s="4">
        <v>4</v>
      </c>
      <c r="H3768" s="8">
        <v>4.4000000000000004</v>
      </c>
      <c r="I3768" s="4">
        <v>0</v>
      </c>
    </row>
    <row r="3769" spans="1:9" x14ac:dyDescent="0.2">
      <c r="A3769" s="2">
        <v>13</v>
      </c>
      <c r="B3769" s="1" t="s">
        <v>217</v>
      </c>
      <c r="C3769" s="4">
        <v>4</v>
      </c>
      <c r="D3769" s="8">
        <v>2.2999999999999998</v>
      </c>
      <c r="E3769" s="4">
        <v>0</v>
      </c>
      <c r="F3769" s="8">
        <v>0</v>
      </c>
      <c r="G3769" s="4">
        <v>4</v>
      </c>
      <c r="H3769" s="8">
        <v>4.4000000000000004</v>
      </c>
      <c r="I3769" s="4">
        <v>0</v>
      </c>
    </row>
    <row r="3770" spans="1:9" x14ac:dyDescent="0.2">
      <c r="A3770" s="2">
        <v>13</v>
      </c>
      <c r="B3770" s="1" t="s">
        <v>220</v>
      </c>
      <c r="C3770" s="4">
        <v>4</v>
      </c>
      <c r="D3770" s="8">
        <v>2.2999999999999998</v>
      </c>
      <c r="E3770" s="4">
        <v>1</v>
      </c>
      <c r="F3770" s="8">
        <v>1.32</v>
      </c>
      <c r="G3770" s="4">
        <v>3</v>
      </c>
      <c r="H3770" s="8">
        <v>3.3</v>
      </c>
      <c r="I3770" s="4">
        <v>0</v>
      </c>
    </row>
    <row r="3771" spans="1:9" x14ac:dyDescent="0.2">
      <c r="A3771" s="2">
        <v>13</v>
      </c>
      <c r="B3771" s="1" t="s">
        <v>243</v>
      </c>
      <c r="C3771" s="4">
        <v>4</v>
      </c>
      <c r="D3771" s="8">
        <v>2.2999999999999998</v>
      </c>
      <c r="E3771" s="4">
        <v>3</v>
      </c>
      <c r="F3771" s="8">
        <v>3.95</v>
      </c>
      <c r="G3771" s="4">
        <v>0</v>
      </c>
      <c r="H3771" s="8">
        <v>0</v>
      </c>
      <c r="I3771" s="4">
        <v>0</v>
      </c>
    </row>
    <row r="3772" spans="1:9" x14ac:dyDescent="0.2">
      <c r="A3772" s="2">
        <v>13</v>
      </c>
      <c r="B3772" s="1" t="s">
        <v>231</v>
      </c>
      <c r="C3772" s="4">
        <v>4</v>
      </c>
      <c r="D3772" s="8">
        <v>2.2999999999999998</v>
      </c>
      <c r="E3772" s="4">
        <v>4</v>
      </c>
      <c r="F3772" s="8">
        <v>5.26</v>
      </c>
      <c r="G3772" s="4">
        <v>0</v>
      </c>
      <c r="H3772" s="8">
        <v>0</v>
      </c>
      <c r="I3772" s="4">
        <v>0</v>
      </c>
    </row>
    <row r="3773" spans="1:9" x14ac:dyDescent="0.2">
      <c r="A3773" s="2">
        <v>19</v>
      </c>
      <c r="B3773" s="1" t="s">
        <v>225</v>
      </c>
      <c r="C3773" s="4">
        <v>3</v>
      </c>
      <c r="D3773" s="8">
        <v>1.72</v>
      </c>
      <c r="E3773" s="4">
        <v>3</v>
      </c>
      <c r="F3773" s="8">
        <v>3.95</v>
      </c>
      <c r="G3773" s="4">
        <v>0</v>
      </c>
      <c r="H3773" s="8">
        <v>0</v>
      </c>
      <c r="I3773" s="4">
        <v>0</v>
      </c>
    </row>
    <row r="3774" spans="1:9" x14ac:dyDescent="0.2">
      <c r="A3774" s="2">
        <v>19</v>
      </c>
      <c r="B3774" s="1" t="s">
        <v>239</v>
      </c>
      <c r="C3774" s="4">
        <v>3</v>
      </c>
      <c r="D3774" s="8">
        <v>1.72</v>
      </c>
      <c r="E3774" s="4">
        <v>0</v>
      </c>
      <c r="F3774" s="8">
        <v>0</v>
      </c>
      <c r="G3774" s="4">
        <v>1</v>
      </c>
      <c r="H3774" s="8">
        <v>1.1000000000000001</v>
      </c>
      <c r="I3774" s="4">
        <v>0</v>
      </c>
    </row>
    <row r="3775" spans="1:9" x14ac:dyDescent="0.2">
      <c r="A3775" s="1"/>
      <c r="C3775" s="4"/>
      <c r="D3775" s="8"/>
      <c r="E3775" s="4"/>
      <c r="F3775" s="8"/>
      <c r="G3775" s="4"/>
      <c r="H3775" s="8"/>
      <c r="I3775" s="4"/>
    </row>
    <row r="3776" spans="1:9" x14ac:dyDescent="0.2">
      <c r="A3776" s="1" t="s">
        <v>147</v>
      </c>
      <c r="C3776" s="4"/>
      <c r="D3776" s="8"/>
      <c r="E3776" s="4"/>
      <c r="F3776" s="8"/>
      <c r="G3776" s="4"/>
      <c r="H3776" s="8"/>
      <c r="I3776" s="4"/>
    </row>
    <row r="3777" spans="1:9" x14ac:dyDescent="0.2">
      <c r="A3777" s="2">
        <v>1</v>
      </c>
      <c r="B3777" s="1" t="s">
        <v>223</v>
      </c>
      <c r="C3777" s="4">
        <v>14</v>
      </c>
      <c r="D3777" s="8">
        <v>10.69</v>
      </c>
      <c r="E3777" s="4">
        <v>7</v>
      </c>
      <c r="F3777" s="8">
        <v>11.11</v>
      </c>
      <c r="G3777" s="4">
        <v>7</v>
      </c>
      <c r="H3777" s="8">
        <v>11.48</v>
      </c>
      <c r="I3777" s="4">
        <v>0</v>
      </c>
    </row>
    <row r="3778" spans="1:9" x14ac:dyDescent="0.2">
      <c r="A3778" s="2">
        <v>1</v>
      </c>
      <c r="B3778" s="1" t="s">
        <v>227</v>
      </c>
      <c r="C3778" s="4">
        <v>14</v>
      </c>
      <c r="D3778" s="8">
        <v>10.69</v>
      </c>
      <c r="E3778" s="4">
        <v>12</v>
      </c>
      <c r="F3778" s="8">
        <v>19.05</v>
      </c>
      <c r="G3778" s="4">
        <v>2</v>
      </c>
      <c r="H3778" s="8">
        <v>3.28</v>
      </c>
      <c r="I3778" s="4">
        <v>0</v>
      </c>
    </row>
    <row r="3779" spans="1:9" x14ac:dyDescent="0.2">
      <c r="A3779" s="2">
        <v>3</v>
      </c>
      <c r="B3779" s="1" t="s">
        <v>241</v>
      </c>
      <c r="C3779" s="4">
        <v>10</v>
      </c>
      <c r="D3779" s="8">
        <v>7.63</v>
      </c>
      <c r="E3779" s="4">
        <v>6</v>
      </c>
      <c r="F3779" s="8">
        <v>9.52</v>
      </c>
      <c r="G3779" s="4">
        <v>4</v>
      </c>
      <c r="H3779" s="8">
        <v>6.56</v>
      </c>
      <c r="I3779" s="4">
        <v>0</v>
      </c>
    </row>
    <row r="3780" spans="1:9" x14ac:dyDescent="0.2">
      <c r="A3780" s="2">
        <v>3</v>
      </c>
      <c r="B3780" s="1" t="s">
        <v>228</v>
      </c>
      <c r="C3780" s="4">
        <v>10</v>
      </c>
      <c r="D3780" s="8">
        <v>7.63</v>
      </c>
      <c r="E3780" s="4">
        <v>10</v>
      </c>
      <c r="F3780" s="8">
        <v>15.87</v>
      </c>
      <c r="G3780" s="4">
        <v>0</v>
      </c>
      <c r="H3780" s="8">
        <v>0</v>
      </c>
      <c r="I3780" s="4">
        <v>0</v>
      </c>
    </row>
    <row r="3781" spans="1:9" x14ac:dyDescent="0.2">
      <c r="A3781" s="2">
        <v>5</v>
      </c>
      <c r="B3781" s="1" t="s">
        <v>213</v>
      </c>
      <c r="C3781" s="4">
        <v>9</v>
      </c>
      <c r="D3781" s="8">
        <v>6.87</v>
      </c>
      <c r="E3781" s="4">
        <v>3</v>
      </c>
      <c r="F3781" s="8">
        <v>4.76</v>
      </c>
      <c r="G3781" s="4">
        <v>6</v>
      </c>
      <c r="H3781" s="8">
        <v>9.84</v>
      </c>
      <c r="I3781" s="4">
        <v>0</v>
      </c>
    </row>
    <row r="3782" spans="1:9" x14ac:dyDescent="0.2">
      <c r="A3782" s="2">
        <v>6</v>
      </c>
      <c r="B3782" s="1" t="s">
        <v>221</v>
      </c>
      <c r="C3782" s="4">
        <v>8</v>
      </c>
      <c r="D3782" s="8">
        <v>6.11</v>
      </c>
      <c r="E3782" s="4">
        <v>5</v>
      </c>
      <c r="F3782" s="8">
        <v>7.94</v>
      </c>
      <c r="G3782" s="4">
        <v>3</v>
      </c>
      <c r="H3782" s="8">
        <v>4.92</v>
      </c>
      <c r="I3782" s="4">
        <v>0</v>
      </c>
    </row>
    <row r="3783" spans="1:9" x14ac:dyDescent="0.2">
      <c r="A3783" s="2">
        <v>7</v>
      </c>
      <c r="B3783" s="1" t="s">
        <v>214</v>
      </c>
      <c r="C3783" s="4">
        <v>7</v>
      </c>
      <c r="D3783" s="8">
        <v>5.34</v>
      </c>
      <c r="E3783" s="4">
        <v>3</v>
      </c>
      <c r="F3783" s="8">
        <v>4.76</v>
      </c>
      <c r="G3783" s="4">
        <v>4</v>
      </c>
      <c r="H3783" s="8">
        <v>6.56</v>
      </c>
      <c r="I3783" s="4">
        <v>0</v>
      </c>
    </row>
    <row r="3784" spans="1:9" x14ac:dyDescent="0.2">
      <c r="A3784" s="2">
        <v>8</v>
      </c>
      <c r="B3784" s="1" t="s">
        <v>224</v>
      </c>
      <c r="C3784" s="4">
        <v>6</v>
      </c>
      <c r="D3784" s="8">
        <v>4.58</v>
      </c>
      <c r="E3784" s="4">
        <v>0</v>
      </c>
      <c r="F3784" s="8">
        <v>0</v>
      </c>
      <c r="G3784" s="4">
        <v>5</v>
      </c>
      <c r="H3784" s="8">
        <v>8.1999999999999993</v>
      </c>
      <c r="I3784" s="4">
        <v>0</v>
      </c>
    </row>
    <row r="3785" spans="1:9" x14ac:dyDescent="0.2">
      <c r="A3785" s="2">
        <v>9</v>
      </c>
      <c r="B3785" s="1" t="s">
        <v>239</v>
      </c>
      <c r="C3785" s="4">
        <v>5</v>
      </c>
      <c r="D3785" s="8">
        <v>3.82</v>
      </c>
      <c r="E3785" s="4">
        <v>0</v>
      </c>
      <c r="F3785" s="8">
        <v>0</v>
      </c>
      <c r="G3785" s="4">
        <v>4</v>
      </c>
      <c r="H3785" s="8">
        <v>6.56</v>
      </c>
      <c r="I3785" s="4">
        <v>0</v>
      </c>
    </row>
    <row r="3786" spans="1:9" x14ac:dyDescent="0.2">
      <c r="A3786" s="2">
        <v>10</v>
      </c>
      <c r="B3786" s="1" t="s">
        <v>222</v>
      </c>
      <c r="C3786" s="4">
        <v>4</v>
      </c>
      <c r="D3786" s="8">
        <v>3.05</v>
      </c>
      <c r="E3786" s="4">
        <v>3</v>
      </c>
      <c r="F3786" s="8">
        <v>4.76</v>
      </c>
      <c r="G3786" s="4">
        <v>1</v>
      </c>
      <c r="H3786" s="8">
        <v>1.64</v>
      </c>
      <c r="I3786" s="4">
        <v>0</v>
      </c>
    </row>
    <row r="3787" spans="1:9" x14ac:dyDescent="0.2">
      <c r="A3787" s="2">
        <v>10</v>
      </c>
      <c r="B3787" s="1" t="s">
        <v>247</v>
      </c>
      <c r="C3787" s="4">
        <v>4</v>
      </c>
      <c r="D3787" s="8">
        <v>3.05</v>
      </c>
      <c r="E3787" s="4">
        <v>1</v>
      </c>
      <c r="F3787" s="8">
        <v>1.59</v>
      </c>
      <c r="G3787" s="4">
        <v>1</v>
      </c>
      <c r="H3787" s="8">
        <v>1.64</v>
      </c>
      <c r="I3787" s="4">
        <v>0</v>
      </c>
    </row>
    <row r="3788" spans="1:9" x14ac:dyDescent="0.2">
      <c r="A3788" s="2">
        <v>10</v>
      </c>
      <c r="B3788" s="1" t="s">
        <v>230</v>
      </c>
      <c r="C3788" s="4">
        <v>4</v>
      </c>
      <c r="D3788" s="8">
        <v>3.05</v>
      </c>
      <c r="E3788" s="4">
        <v>2</v>
      </c>
      <c r="F3788" s="8">
        <v>3.17</v>
      </c>
      <c r="G3788" s="4">
        <v>1</v>
      </c>
      <c r="H3788" s="8">
        <v>1.64</v>
      </c>
      <c r="I3788" s="4">
        <v>0</v>
      </c>
    </row>
    <row r="3789" spans="1:9" x14ac:dyDescent="0.2">
      <c r="A3789" s="2">
        <v>13</v>
      </c>
      <c r="B3789" s="1" t="s">
        <v>264</v>
      </c>
      <c r="C3789" s="4">
        <v>3</v>
      </c>
      <c r="D3789" s="8">
        <v>2.29</v>
      </c>
      <c r="E3789" s="4">
        <v>0</v>
      </c>
      <c r="F3789" s="8">
        <v>0</v>
      </c>
      <c r="G3789" s="4">
        <v>2</v>
      </c>
      <c r="H3789" s="8">
        <v>3.28</v>
      </c>
      <c r="I3789" s="4">
        <v>1</v>
      </c>
    </row>
    <row r="3790" spans="1:9" x14ac:dyDescent="0.2">
      <c r="A3790" s="2">
        <v>13</v>
      </c>
      <c r="B3790" s="1" t="s">
        <v>220</v>
      </c>
      <c r="C3790" s="4">
        <v>3</v>
      </c>
      <c r="D3790" s="8">
        <v>2.29</v>
      </c>
      <c r="E3790" s="4">
        <v>2</v>
      </c>
      <c r="F3790" s="8">
        <v>3.17</v>
      </c>
      <c r="G3790" s="4">
        <v>1</v>
      </c>
      <c r="H3790" s="8">
        <v>1.64</v>
      </c>
      <c r="I3790" s="4">
        <v>0</v>
      </c>
    </row>
    <row r="3791" spans="1:9" x14ac:dyDescent="0.2">
      <c r="A3791" s="2">
        <v>13</v>
      </c>
      <c r="B3791" s="1" t="s">
        <v>226</v>
      </c>
      <c r="C3791" s="4">
        <v>3</v>
      </c>
      <c r="D3791" s="8">
        <v>2.29</v>
      </c>
      <c r="E3791" s="4">
        <v>1</v>
      </c>
      <c r="F3791" s="8">
        <v>1.59</v>
      </c>
      <c r="G3791" s="4">
        <v>2</v>
      </c>
      <c r="H3791" s="8">
        <v>3.28</v>
      </c>
      <c r="I3791" s="4">
        <v>0</v>
      </c>
    </row>
    <row r="3792" spans="1:9" x14ac:dyDescent="0.2">
      <c r="A3792" s="2">
        <v>13</v>
      </c>
      <c r="B3792" s="1" t="s">
        <v>231</v>
      </c>
      <c r="C3792" s="4">
        <v>3</v>
      </c>
      <c r="D3792" s="8">
        <v>2.29</v>
      </c>
      <c r="E3792" s="4">
        <v>2</v>
      </c>
      <c r="F3792" s="8">
        <v>3.17</v>
      </c>
      <c r="G3792" s="4">
        <v>1</v>
      </c>
      <c r="H3792" s="8">
        <v>1.64</v>
      </c>
      <c r="I3792" s="4">
        <v>0</v>
      </c>
    </row>
    <row r="3793" spans="1:9" x14ac:dyDescent="0.2">
      <c r="A3793" s="2">
        <v>17</v>
      </c>
      <c r="B3793" s="1" t="s">
        <v>215</v>
      </c>
      <c r="C3793" s="4">
        <v>2</v>
      </c>
      <c r="D3793" s="8">
        <v>1.53</v>
      </c>
      <c r="E3793" s="4">
        <v>0</v>
      </c>
      <c r="F3793" s="8">
        <v>0</v>
      </c>
      <c r="G3793" s="4">
        <v>2</v>
      </c>
      <c r="H3793" s="8">
        <v>3.28</v>
      </c>
      <c r="I3793" s="4">
        <v>0</v>
      </c>
    </row>
    <row r="3794" spans="1:9" x14ac:dyDescent="0.2">
      <c r="A3794" s="2">
        <v>17</v>
      </c>
      <c r="B3794" s="1" t="s">
        <v>255</v>
      </c>
      <c r="C3794" s="4">
        <v>2</v>
      </c>
      <c r="D3794" s="8">
        <v>1.53</v>
      </c>
      <c r="E3794" s="4">
        <v>0</v>
      </c>
      <c r="F3794" s="8">
        <v>0</v>
      </c>
      <c r="G3794" s="4">
        <v>1</v>
      </c>
      <c r="H3794" s="8">
        <v>1.64</v>
      </c>
      <c r="I3794" s="4">
        <v>0</v>
      </c>
    </row>
    <row r="3795" spans="1:9" x14ac:dyDescent="0.2">
      <c r="A3795" s="2">
        <v>17</v>
      </c>
      <c r="B3795" s="1" t="s">
        <v>217</v>
      </c>
      <c r="C3795" s="4">
        <v>2</v>
      </c>
      <c r="D3795" s="8">
        <v>1.53</v>
      </c>
      <c r="E3795" s="4">
        <v>0</v>
      </c>
      <c r="F3795" s="8">
        <v>0</v>
      </c>
      <c r="G3795" s="4">
        <v>2</v>
      </c>
      <c r="H3795" s="8">
        <v>3.28</v>
      </c>
      <c r="I3795" s="4">
        <v>0</v>
      </c>
    </row>
    <row r="3796" spans="1:9" x14ac:dyDescent="0.2">
      <c r="A3796" s="2">
        <v>17</v>
      </c>
      <c r="B3796" s="1" t="s">
        <v>236</v>
      </c>
      <c r="C3796" s="4">
        <v>2</v>
      </c>
      <c r="D3796" s="8">
        <v>1.53</v>
      </c>
      <c r="E3796" s="4">
        <v>1</v>
      </c>
      <c r="F3796" s="8">
        <v>1.59</v>
      </c>
      <c r="G3796" s="4">
        <v>1</v>
      </c>
      <c r="H3796" s="8">
        <v>1.64</v>
      </c>
      <c r="I3796" s="4">
        <v>0</v>
      </c>
    </row>
    <row r="3797" spans="1:9" x14ac:dyDescent="0.2">
      <c r="A3797" s="2">
        <v>17</v>
      </c>
      <c r="B3797" s="1" t="s">
        <v>225</v>
      </c>
      <c r="C3797" s="4">
        <v>2</v>
      </c>
      <c r="D3797" s="8">
        <v>1.53</v>
      </c>
      <c r="E3797" s="4">
        <v>1</v>
      </c>
      <c r="F3797" s="8">
        <v>1.59</v>
      </c>
      <c r="G3797" s="4">
        <v>1</v>
      </c>
      <c r="H3797" s="8">
        <v>1.64</v>
      </c>
      <c r="I3797" s="4">
        <v>0</v>
      </c>
    </row>
    <row r="3798" spans="1:9" x14ac:dyDescent="0.2">
      <c r="A3798" s="2">
        <v>17</v>
      </c>
      <c r="B3798" s="1" t="s">
        <v>232</v>
      </c>
      <c r="C3798" s="4">
        <v>2</v>
      </c>
      <c r="D3798" s="8">
        <v>1.53</v>
      </c>
      <c r="E3798" s="4">
        <v>0</v>
      </c>
      <c r="F3798" s="8">
        <v>0</v>
      </c>
      <c r="G3798" s="4">
        <v>2</v>
      </c>
      <c r="H3798" s="8">
        <v>3.28</v>
      </c>
      <c r="I3798" s="4">
        <v>0</v>
      </c>
    </row>
    <row r="3799" spans="1:9" x14ac:dyDescent="0.2">
      <c r="A3799" s="2">
        <v>17</v>
      </c>
      <c r="B3799" s="1" t="s">
        <v>240</v>
      </c>
      <c r="C3799" s="4">
        <v>2</v>
      </c>
      <c r="D3799" s="8">
        <v>1.53</v>
      </c>
      <c r="E3799" s="4">
        <v>1</v>
      </c>
      <c r="F3799" s="8">
        <v>1.59</v>
      </c>
      <c r="G3799" s="4">
        <v>1</v>
      </c>
      <c r="H3799" s="8">
        <v>1.64</v>
      </c>
      <c r="I3799" s="4">
        <v>0</v>
      </c>
    </row>
    <row r="3800" spans="1:9" x14ac:dyDescent="0.2">
      <c r="A3800" s="1"/>
      <c r="C3800" s="4"/>
      <c r="D3800" s="8"/>
      <c r="E3800" s="4"/>
      <c r="F3800" s="8"/>
      <c r="G3800" s="4"/>
      <c r="H3800" s="8"/>
      <c r="I3800" s="4"/>
    </row>
    <row r="3801" spans="1:9" x14ac:dyDescent="0.2">
      <c r="A3801" s="1" t="s">
        <v>148</v>
      </c>
      <c r="C3801" s="4"/>
      <c r="D3801" s="8"/>
      <c r="E3801" s="4"/>
      <c r="F3801" s="8"/>
      <c r="G3801" s="4"/>
      <c r="H3801" s="8"/>
      <c r="I3801" s="4"/>
    </row>
    <row r="3802" spans="1:9" x14ac:dyDescent="0.2">
      <c r="A3802" s="2">
        <v>1</v>
      </c>
      <c r="B3802" s="1" t="s">
        <v>223</v>
      </c>
      <c r="C3802" s="4">
        <v>11</v>
      </c>
      <c r="D3802" s="8">
        <v>13.41</v>
      </c>
      <c r="E3802" s="4">
        <v>9</v>
      </c>
      <c r="F3802" s="8">
        <v>21.95</v>
      </c>
      <c r="G3802" s="4">
        <v>2</v>
      </c>
      <c r="H3802" s="8">
        <v>5.26</v>
      </c>
      <c r="I3802" s="4">
        <v>0</v>
      </c>
    </row>
    <row r="3803" spans="1:9" x14ac:dyDescent="0.2">
      <c r="A3803" s="2">
        <v>2</v>
      </c>
      <c r="B3803" s="1" t="s">
        <v>227</v>
      </c>
      <c r="C3803" s="4">
        <v>9</v>
      </c>
      <c r="D3803" s="8">
        <v>10.98</v>
      </c>
      <c r="E3803" s="4">
        <v>8</v>
      </c>
      <c r="F3803" s="8">
        <v>19.510000000000002</v>
      </c>
      <c r="G3803" s="4">
        <v>1</v>
      </c>
      <c r="H3803" s="8">
        <v>2.63</v>
      </c>
      <c r="I3803" s="4">
        <v>0</v>
      </c>
    </row>
    <row r="3804" spans="1:9" x14ac:dyDescent="0.2">
      <c r="A3804" s="2">
        <v>3</v>
      </c>
      <c r="B3804" s="1" t="s">
        <v>221</v>
      </c>
      <c r="C3804" s="4">
        <v>8</v>
      </c>
      <c r="D3804" s="8">
        <v>9.76</v>
      </c>
      <c r="E3804" s="4">
        <v>6</v>
      </c>
      <c r="F3804" s="8">
        <v>14.63</v>
      </c>
      <c r="G3804" s="4">
        <v>2</v>
      </c>
      <c r="H3804" s="8">
        <v>5.26</v>
      </c>
      <c r="I3804" s="4">
        <v>0</v>
      </c>
    </row>
    <row r="3805" spans="1:9" x14ac:dyDescent="0.2">
      <c r="A3805" s="2">
        <v>4</v>
      </c>
      <c r="B3805" s="1" t="s">
        <v>224</v>
      </c>
      <c r="C3805" s="4">
        <v>7</v>
      </c>
      <c r="D3805" s="8">
        <v>8.5399999999999991</v>
      </c>
      <c r="E3805" s="4">
        <v>3</v>
      </c>
      <c r="F3805" s="8">
        <v>7.32</v>
      </c>
      <c r="G3805" s="4">
        <v>3</v>
      </c>
      <c r="H3805" s="8">
        <v>7.89</v>
      </c>
      <c r="I3805" s="4">
        <v>0</v>
      </c>
    </row>
    <row r="3806" spans="1:9" x14ac:dyDescent="0.2">
      <c r="A3806" s="2">
        <v>5</v>
      </c>
      <c r="B3806" s="1" t="s">
        <v>243</v>
      </c>
      <c r="C3806" s="4">
        <v>5</v>
      </c>
      <c r="D3806" s="8">
        <v>6.1</v>
      </c>
      <c r="E3806" s="4">
        <v>2</v>
      </c>
      <c r="F3806" s="8">
        <v>4.88</v>
      </c>
      <c r="G3806" s="4">
        <v>3</v>
      </c>
      <c r="H3806" s="8">
        <v>7.89</v>
      </c>
      <c r="I3806" s="4">
        <v>0</v>
      </c>
    </row>
    <row r="3807" spans="1:9" x14ac:dyDescent="0.2">
      <c r="A3807" s="2">
        <v>5</v>
      </c>
      <c r="B3807" s="1" t="s">
        <v>228</v>
      </c>
      <c r="C3807" s="4">
        <v>5</v>
      </c>
      <c r="D3807" s="8">
        <v>6.1</v>
      </c>
      <c r="E3807" s="4">
        <v>5</v>
      </c>
      <c r="F3807" s="8">
        <v>12.2</v>
      </c>
      <c r="G3807" s="4">
        <v>0</v>
      </c>
      <c r="H3807" s="8">
        <v>0</v>
      </c>
      <c r="I3807" s="4">
        <v>0</v>
      </c>
    </row>
    <row r="3808" spans="1:9" x14ac:dyDescent="0.2">
      <c r="A3808" s="2">
        <v>7</v>
      </c>
      <c r="B3808" s="1" t="s">
        <v>232</v>
      </c>
      <c r="C3808" s="4">
        <v>4</v>
      </c>
      <c r="D3808" s="8">
        <v>4.88</v>
      </c>
      <c r="E3808" s="4">
        <v>0</v>
      </c>
      <c r="F3808" s="8">
        <v>0</v>
      </c>
      <c r="G3808" s="4">
        <v>3</v>
      </c>
      <c r="H3808" s="8">
        <v>7.89</v>
      </c>
      <c r="I3808" s="4">
        <v>0</v>
      </c>
    </row>
    <row r="3809" spans="1:9" x14ac:dyDescent="0.2">
      <c r="A3809" s="2">
        <v>8</v>
      </c>
      <c r="B3809" s="1" t="s">
        <v>215</v>
      </c>
      <c r="C3809" s="4">
        <v>3</v>
      </c>
      <c r="D3809" s="8">
        <v>3.66</v>
      </c>
      <c r="E3809" s="4">
        <v>1</v>
      </c>
      <c r="F3809" s="8">
        <v>2.44</v>
      </c>
      <c r="G3809" s="4">
        <v>2</v>
      </c>
      <c r="H3809" s="8">
        <v>5.26</v>
      </c>
      <c r="I3809" s="4">
        <v>0</v>
      </c>
    </row>
    <row r="3810" spans="1:9" x14ac:dyDescent="0.2">
      <c r="A3810" s="2">
        <v>9</v>
      </c>
      <c r="B3810" s="1" t="s">
        <v>213</v>
      </c>
      <c r="C3810" s="4">
        <v>2</v>
      </c>
      <c r="D3810" s="8">
        <v>2.44</v>
      </c>
      <c r="E3810" s="4">
        <v>0</v>
      </c>
      <c r="F3810" s="8">
        <v>0</v>
      </c>
      <c r="G3810" s="4">
        <v>2</v>
      </c>
      <c r="H3810" s="8">
        <v>5.26</v>
      </c>
      <c r="I3810" s="4">
        <v>0</v>
      </c>
    </row>
    <row r="3811" spans="1:9" x14ac:dyDescent="0.2">
      <c r="A3811" s="2">
        <v>9</v>
      </c>
      <c r="B3811" s="1" t="s">
        <v>262</v>
      </c>
      <c r="C3811" s="4">
        <v>2</v>
      </c>
      <c r="D3811" s="8">
        <v>2.44</v>
      </c>
      <c r="E3811" s="4">
        <v>1</v>
      </c>
      <c r="F3811" s="8">
        <v>2.44</v>
      </c>
      <c r="G3811" s="4">
        <v>1</v>
      </c>
      <c r="H3811" s="8">
        <v>2.63</v>
      </c>
      <c r="I3811" s="4">
        <v>0</v>
      </c>
    </row>
    <row r="3812" spans="1:9" x14ac:dyDescent="0.2">
      <c r="A3812" s="2">
        <v>9</v>
      </c>
      <c r="B3812" s="1" t="s">
        <v>254</v>
      </c>
      <c r="C3812" s="4">
        <v>2</v>
      </c>
      <c r="D3812" s="8">
        <v>2.44</v>
      </c>
      <c r="E3812" s="4">
        <v>0</v>
      </c>
      <c r="F3812" s="8">
        <v>0</v>
      </c>
      <c r="G3812" s="4">
        <v>2</v>
      </c>
      <c r="H3812" s="8">
        <v>5.26</v>
      </c>
      <c r="I3812" s="4">
        <v>0</v>
      </c>
    </row>
    <row r="3813" spans="1:9" x14ac:dyDescent="0.2">
      <c r="A3813" s="2">
        <v>9</v>
      </c>
      <c r="B3813" s="1" t="s">
        <v>230</v>
      </c>
      <c r="C3813" s="4">
        <v>2</v>
      </c>
      <c r="D3813" s="8">
        <v>2.44</v>
      </c>
      <c r="E3813" s="4">
        <v>1</v>
      </c>
      <c r="F3813" s="8">
        <v>2.44</v>
      </c>
      <c r="G3813" s="4">
        <v>1</v>
      </c>
      <c r="H3813" s="8">
        <v>2.63</v>
      </c>
      <c r="I3813" s="4">
        <v>0</v>
      </c>
    </row>
    <row r="3814" spans="1:9" x14ac:dyDescent="0.2">
      <c r="A3814" s="2">
        <v>9</v>
      </c>
      <c r="B3814" s="1" t="s">
        <v>242</v>
      </c>
      <c r="C3814" s="4">
        <v>2</v>
      </c>
      <c r="D3814" s="8">
        <v>2.44</v>
      </c>
      <c r="E3814" s="4">
        <v>2</v>
      </c>
      <c r="F3814" s="8">
        <v>4.88</v>
      </c>
      <c r="G3814" s="4">
        <v>0</v>
      </c>
      <c r="H3814" s="8">
        <v>0</v>
      </c>
      <c r="I3814" s="4">
        <v>0</v>
      </c>
    </row>
    <row r="3815" spans="1:9" x14ac:dyDescent="0.2">
      <c r="A3815" s="2">
        <v>9</v>
      </c>
      <c r="B3815" s="1" t="s">
        <v>234</v>
      </c>
      <c r="C3815" s="4">
        <v>2</v>
      </c>
      <c r="D3815" s="8">
        <v>2.44</v>
      </c>
      <c r="E3815" s="4">
        <v>0</v>
      </c>
      <c r="F3815" s="8">
        <v>0</v>
      </c>
      <c r="G3815" s="4">
        <v>2</v>
      </c>
      <c r="H3815" s="8">
        <v>5.26</v>
      </c>
      <c r="I3815" s="4">
        <v>0</v>
      </c>
    </row>
    <row r="3816" spans="1:9" x14ac:dyDescent="0.2">
      <c r="A3816" s="2">
        <v>15</v>
      </c>
      <c r="B3816" s="1" t="s">
        <v>214</v>
      </c>
      <c r="C3816" s="4">
        <v>1</v>
      </c>
      <c r="D3816" s="8">
        <v>1.22</v>
      </c>
      <c r="E3816" s="4">
        <v>0</v>
      </c>
      <c r="F3816" s="8">
        <v>0</v>
      </c>
      <c r="G3816" s="4">
        <v>1</v>
      </c>
      <c r="H3816" s="8">
        <v>2.63</v>
      </c>
      <c r="I3816" s="4">
        <v>0</v>
      </c>
    </row>
    <row r="3817" spans="1:9" x14ac:dyDescent="0.2">
      <c r="A3817" s="2">
        <v>15</v>
      </c>
      <c r="B3817" s="1" t="s">
        <v>251</v>
      </c>
      <c r="C3817" s="4">
        <v>1</v>
      </c>
      <c r="D3817" s="8">
        <v>1.22</v>
      </c>
      <c r="E3817" s="4">
        <v>0</v>
      </c>
      <c r="F3817" s="8">
        <v>0</v>
      </c>
      <c r="G3817" s="4">
        <v>1</v>
      </c>
      <c r="H3817" s="8">
        <v>2.63</v>
      </c>
      <c r="I3817" s="4">
        <v>0</v>
      </c>
    </row>
    <row r="3818" spans="1:9" x14ac:dyDescent="0.2">
      <c r="A3818" s="2">
        <v>15</v>
      </c>
      <c r="B3818" s="1" t="s">
        <v>244</v>
      </c>
      <c r="C3818" s="4">
        <v>1</v>
      </c>
      <c r="D3818" s="8">
        <v>1.22</v>
      </c>
      <c r="E3818" s="4">
        <v>0</v>
      </c>
      <c r="F3818" s="8">
        <v>0</v>
      </c>
      <c r="G3818" s="4">
        <v>1</v>
      </c>
      <c r="H3818" s="8">
        <v>2.63</v>
      </c>
      <c r="I3818" s="4">
        <v>0</v>
      </c>
    </row>
    <row r="3819" spans="1:9" x14ac:dyDescent="0.2">
      <c r="A3819" s="2">
        <v>15</v>
      </c>
      <c r="B3819" s="1" t="s">
        <v>255</v>
      </c>
      <c r="C3819" s="4">
        <v>1</v>
      </c>
      <c r="D3819" s="8">
        <v>1.22</v>
      </c>
      <c r="E3819" s="4">
        <v>0</v>
      </c>
      <c r="F3819" s="8">
        <v>0</v>
      </c>
      <c r="G3819" s="4">
        <v>0</v>
      </c>
      <c r="H3819" s="8">
        <v>0</v>
      </c>
      <c r="I3819" s="4">
        <v>0</v>
      </c>
    </row>
    <row r="3820" spans="1:9" x14ac:dyDescent="0.2">
      <c r="A3820" s="2">
        <v>15</v>
      </c>
      <c r="B3820" s="1" t="s">
        <v>238</v>
      </c>
      <c r="C3820" s="4">
        <v>1</v>
      </c>
      <c r="D3820" s="8">
        <v>1.22</v>
      </c>
      <c r="E3820" s="4">
        <v>0</v>
      </c>
      <c r="F3820" s="8">
        <v>0</v>
      </c>
      <c r="G3820" s="4">
        <v>1</v>
      </c>
      <c r="H3820" s="8">
        <v>2.63</v>
      </c>
      <c r="I3820" s="4">
        <v>0</v>
      </c>
    </row>
    <row r="3821" spans="1:9" x14ac:dyDescent="0.2">
      <c r="A3821" s="2">
        <v>15</v>
      </c>
      <c r="B3821" s="1" t="s">
        <v>216</v>
      </c>
      <c r="C3821" s="4">
        <v>1</v>
      </c>
      <c r="D3821" s="8">
        <v>1.22</v>
      </c>
      <c r="E3821" s="4">
        <v>0</v>
      </c>
      <c r="F3821" s="8">
        <v>0</v>
      </c>
      <c r="G3821" s="4">
        <v>1</v>
      </c>
      <c r="H3821" s="8">
        <v>2.63</v>
      </c>
      <c r="I3821" s="4">
        <v>0</v>
      </c>
    </row>
    <row r="3822" spans="1:9" x14ac:dyDescent="0.2">
      <c r="A3822" s="2">
        <v>15</v>
      </c>
      <c r="B3822" s="1" t="s">
        <v>217</v>
      </c>
      <c r="C3822" s="4">
        <v>1</v>
      </c>
      <c r="D3822" s="8">
        <v>1.22</v>
      </c>
      <c r="E3822" s="4">
        <v>0</v>
      </c>
      <c r="F3822" s="8">
        <v>0</v>
      </c>
      <c r="G3822" s="4">
        <v>1</v>
      </c>
      <c r="H3822" s="8">
        <v>2.63</v>
      </c>
      <c r="I3822" s="4">
        <v>0</v>
      </c>
    </row>
    <row r="3823" spans="1:9" x14ac:dyDescent="0.2">
      <c r="A3823" s="2">
        <v>15</v>
      </c>
      <c r="B3823" s="1" t="s">
        <v>220</v>
      </c>
      <c r="C3823" s="4">
        <v>1</v>
      </c>
      <c r="D3823" s="8">
        <v>1.22</v>
      </c>
      <c r="E3823" s="4">
        <v>1</v>
      </c>
      <c r="F3823" s="8">
        <v>2.44</v>
      </c>
      <c r="G3823" s="4">
        <v>0</v>
      </c>
      <c r="H3823" s="8">
        <v>0</v>
      </c>
      <c r="I3823" s="4">
        <v>0</v>
      </c>
    </row>
    <row r="3824" spans="1:9" x14ac:dyDescent="0.2">
      <c r="A3824" s="2">
        <v>15</v>
      </c>
      <c r="B3824" s="1" t="s">
        <v>236</v>
      </c>
      <c r="C3824" s="4">
        <v>1</v>
      </c>
      <c r="D3824" s="8">
        <v>1.22</v>
      </c>
      <c r="E3824" s="4">
        <v>0</v>
      </c>
      <c r="F3824" s="8">
        <v>0</v>
      </c>
      <c r="G3824" s="4">
        <v>1</v>
      </c>
      <c r="H3824" s="8">
        <v>2.63</v>
      </c>
      <c r="I3824" s="4">
        <v>0</v>
      </c>
    </row>
    <row r="3825" spans="1:9" x14ac:dyDescent="0.2">
      <c r="A3825" s="2">
        <v>15</v>
      </c>
      <c r="B3825" s="1" t="s">
        <v>237</v>
      </c>
      <c r="C3825" s="4">
        <v>1</v>
      </c>
      <c r="D3825" s="8">
        <v>1.22</v>
      </c>
      <c r="E3825" s="4">
        <v>0</v>
      </c>
      <c r="F3825" s="8">
        <v>0</v>
      </c>
      <c r="G3825" s="4">
        <v>1</v>
      </c>
      <c r="H3825" s="8">
        <v>2.63</v>
      </c>
      <c r="I3825" s="4">
        <v>0</v>
      </c>
    </row>
    <row r="3826" spans="1:9" x14ac:dyDescent="0.2">
      <c r="A3826" s="2">
        <v>15</v>
      </c>
      <c r="B3826" s="1" t="s">
        <v>246</v>
      </c>
      <c r="C3826" s="4">
        <v>1</v>
      </c>
      <c r="D3826" s="8">
        <v>1.22</v>
      </c>
      <c r="E3826" s="4">
        <v>1</v>
      </c>
      <c r="F3826" s="8">
        <v>2.44</v>
      </c>
      <c r="G3826" s="4">
        <v>0</v>
      </c>
      <c r="H3826" s="8">
        <v>0</v>
      </c>
      <c r="I3826" s="4">
        <v>0</v>
      </c>
    </row>
    <row r="3827" spans="1:9" x14ac:dyDescent="0.2">
      <c r="A3827" s="2">
        <v>15</v>
      </c>
      <c r="B3827" s="1" t="s">
        <v>256</v>
      </c>
      <c r="C3827" s="4">
        <v>1</v>
      </c>
      <c r="D3827" s="8">
        <v>1.22</v>
      </c>
      <c r="E3827" s="4">
        <v>0</v>
      </c>
      <c r="F3827" s="8">
        <v>0</v>
      </c>
      <c r="G3827" s="4">
        <v>1</v>
      </c>
      <c r="H3827" s="8">
        <v>2.63</v>
      </c>
      <c r="I3827" s="4">
        <v>0</v>
      </c>
    </row>
    <row r="3828" spans="1:9" x14ac:dyDescent="0.2">
      <c r="A3828" s="2">
        <v>15</v>
      </c>
      <c r="B3828" s="1" t="s">
        <v>225</v>
      </c>
      <c r="C3828" s="4">
        <v>1</v>
      </c>
      <c r="D3828" s="8">
        <v>1.22</v>
      </c>
      <c r="E3828" s="4">
        <v>0</v>
      </c>
      <c r="F3828" s="8">
        <v>0</v>
      </c>
      <c r="G3828" s="4">
        <v>1</v>
      </c>
      <c r="H3828" s="8">
        <v>2.63</v>
      </c>
      <c r="I3828" s="4">
        <v>0</v>
      </c>
    </row>
    <row r="3829" spans="1:9" x14ac:dyDescent="0.2">
      <c r="A3829" s="2">
        <v>15</v>
      </c>
      <c r="B3829" s="1" t="s">
        <v>226</v>
      </c>
      <c r="C3829" s="4">
        <v>1</v>
      </c>
      <c r="D3829" s="8">
        <v>1.22</v>
      </c>
      <c r="E3829" s="4">
        <v>0</v>
      </c>
      <c r="F3829" s="8">
        <v>0</v>
      </c>
      <c r="G3829" s="4">
        <v>1</v>
      </c>
      <c r="H3829" s="8">
        <v>2.63</v>
      </c>
      <c r="I3829" s="4">
        <v>0</v>
      </c>
    </row>
    <row r="3830" spans="1:9" x14ac:dyDescent="0.2">
      <c r="A3830" s="2">
        <v>15</v>
      </c>
      <c r="B3830" s="1" t="s">
        <v>239</v>
      </c>
      <c r="C3830" s="4">
        <v>1</v>
      </c>
      <c r="D3830" s="8">
        <v>1.22</v>
      </c>
      <c r="E3830" s="4">
        <v>0</v>
      </c>
      <c r="F3830" s="8">
        <v>0</v>
      </c>
      <c r="G3830" s="4">
        <v>1</v>
      </c>
      <c r="H3830" s="8">
        <v>2.63</v>
      </c>
      <c r="I3830" s="4">
        <v>0</v>
      </c>
    </row>
    <row r="3831" spans="1:9" x14ac:dyDescent="0.2">
      <c r="A3831" s="2">
        <v>15</v>
      </c>
      <c r="B3831" s="1" t="s">
        <v>229</v>
      </c>
      <c r="C3831" s="4">
        <v>1</v>
      </c>
      <c r="D3831" s="8">
        <v>1.22</v>
      </c>
      <c r="E3831" s="4">
        <v>1</v>
      </c>
      <c r="F3831" s="8">
        <v>2.44</v>
      </c>
      <c r="G3831" s="4">
        <v>0</v>
      </c>
      <c r="H3831" s="8">
        <v>0</v>
      </c>
      <c r="I3831" s="4">
        <v>0</v>
      </c>
    </row>
    <row r="3832" spans="1:9" x14ac:dyDescent="0.2">
      <c r="A3832" s="2">
        <v>15</v>
      </c>
      <c r="B3832" s="1" t="s">
        <v>231</v>
      </c>
      <c r="C3832" s="4">
        <v>1</v>
      </c>
      <c r="D3832" s="8">
        <v>1.22</v>
      </c>
      <c r="E3832" s="4">
        <v>0</v>
      </c>
      <c r="F3832" s="8">
        <v>0</v>
      </c>
      <c r="G3832" s="4">
        <v>1</v>
      </c>
      <c r="H3832" s="8">
        <v>2.63</v>
      </c>
      <c r="I3832" s="4">
        <v>0</v>
      </c>
    </row>
    <row r="3833" spans="1:9" x14ac:dyDescent="0.2">
      <c r="A3833" s="2">
        <v>15</v>
      </c>
      <c r="B3833" s="1" t="s">
        <v>240</v>
      </c>
      <c r="C3833" s="4">
        <v>1</v>
      </c>
      <c r="D3833" s="8">
        <v>1.22</v>
      </c>
      <c r="E3833" s="4">
        <v>0</v>
      </c>
      <c r="F3833" s="8">
        <v>0</v>
      </c>
      <c r="G3833" s="4">
        <v>1</v>
      </c>
      <c r="H3833" s="8">
        <v>2.63</v>
      </c>
      <c r="I3833" s="4">
        <v>0</v>
      </c>
    </row>
    <row r="3834" spans="1:9" x14ac:dyDescent="0.2">
      <c r="A3834" s="1"/>
      <c r="C3834" s="4"/>
      <c r="D3834" s="8"/>
      <c r="E3834" s="4"/>
      <c r="F3834" s="8"/>
      <c r="G3834" s="4"/>
      <c r="H3834" s="8"/>
      <c r="I3834" s="4"/>
    </row>
    <row r="3835" spans="1:9" x14ac:dyDescent="0.2">
      <c r="A3835" s="1" t="s">
        <v>149</v>
      </c>
      <c r="C3835" s="4"/>
      <c r="D3835" s="8"/>
      <c r="E3835" s="4"/>
      <c r="F3835" s="8"/>
      <c r="G3835" s="4"/>
      <c r="H3835" s="8"/>
      <c r="I3835" s="4"/>
    </row>
    <row r="3836" spans="1:9" x14ac:dyDescent="0.2">
      <c r="A3836" s="2">
        <v>1</v>
      </c>
      <c r="B3836" s="1" t="s">
        <v>227</v>
      </c>
      <c r="C3836" s="4">
        <v>54</v>
      </c>
      <c r="D3836" s="8">
        <v>13.27</v>
      </c>
      <c r="E3836" s="4">
        <v>47</v>
      </c>
      <c r="F3836" s="8">
        <v>23.38</v>
      </c>
      <c r="G3836" s="4">
        <v>7</v>
      </c>
      <c r="H3836" s="8">
        <v>3.59</v>
      </c>
      <c r="I3836" s="4">
        <v>0</v>
      </c>
    </row>
    <row r="3837" spans="1:9" x14ac:dyDescent="0.2">
      <c r="A3837" s="2">
        <v>2</v>
      </c>
      <c r="B3837" s="1" t="s">
        <v>228</v>
      </c>
      <c r="C3837" s="4">
        <v>48</v>
      </c>
      <c r="D3837" s="8">
        <v>11.79</v>
      </c>
      <c r="E3837" s="4">
        <v>43</v>
      </c>
      <c r="F3837" s="8">
        <v>21.39</v>
      </c>
      <c r="G3837" s="4">
        <v>5</v>
      </c>
      <c r="H3837" s="8">
        <v>2.56</v>
      </c>
      <c r="I3837" s="4">
        <v>0</v>
      </c>
    </row>
    <row r="3838" spans="1:9" x14ac:dyDescent="0.2">
      <c r="A3838" s="2">
        <v>3</v>
      </c>
      <c r="B3838" s="1" t="s">
        <v>213</v>
      </c>
      <c r="C3838" s="4">
        <v>25</v>
      </c>
      <c r="D3838" s="8">
        <v>6.14</v>
      </c>
      <c r="E3838" s="4">
        <v>11</v>
      </c>
      <c r="F3838" s="8">
        <v>5.47</v>
      </c>
      <c r="G3838" s="4">
        <v>14</v>
      </c>
      <c r="H3838" s="8">
        <v>7.18</v>
      </c>
      <c r="I3838" s="4">
        <v>0</v>
      </c>
    </row>
    <row r="3839" spans="1:9" x14ac:dyDescent="0.2">
      <c r="A3839" s="2">
        <v>4</v>
      </c>
      <c r="B3839" s="1" t="s">
        <v>221</v>
      </c>
      <c r="C3839" s="4">
        <v>22</v>
      </c>
      <c r="D3839" s="8">
        <v>5.41</v>
      </c>
      <c r="E3839" s="4">
        <v>10</v>
      </c>
      <c r="F3839" s="8">
        <v>4.9800000000000004</v>
      </c>
      <c r="G3839" s="4">
        <v>12</v>
      </c>
      <c r="H3839" s="8">
        <v>6.15</v>
      </c>
      <c r="I3839" s="4">
        <v>0</v>
      </c>
    </row>
    <row r="3840" spans="1:9" x14ac:dyDescent="0.2">
      <c r="A3840" s="2">
        <v>5</v>
      </c>
      <c r="B3840" s="1" t="s">
        <v>223</v>
      </c>
      <c r="C3840" s="4">
        <v>20</v>
      </c>
      <c r="D3840" s="8">
        <v>4.91</v>
      </c>
      <c r="E3840" s="4">
        <v>10</v>
      </c>
      <c r="F3840" s="8">
        <v>4.9800000000000004</v>
      </c>
      <c r="G3840" s="4">
        <v>10</v>
      </c>
      <c r="H3840" s="8">
        <v>5.13</v>
      </c>
      <c r="I3840" s="4">
        <v>0</v>
      </c>
    </row>
    <row r="3841" spans="1:9" x14ac:dyDescent="0.2">
      <c r="A3841" s="2">
        <v>6</v>
      </c>
      <c r="B3841" s="1" t="s">
        <v>214</v>
      </c>
      <c r="C3841" s="4">
        <v>18</v>
      </c>
      <c r="D3841" s="8">
        <v>4.42</v>
      </c>
      <c r="E3841" s="4">
        <v>8</v>
      </c>
      <c r="F3841" s="8">
        <v>3.98</v>
      </c>
      <c r="G3841" s="4">
        <v>10</v>
      </c>
      <c r="H3841" s="8">
        <v>5.13</v>
      </c>
      <c r="I3841" s="4">
        <v>0</v>
      </c>
    </row>
    <row r="3842" spans="1:9" x14ac:dyDescent="0.2">
      <c r="A3842" s="2">
        <v>7</v>
      </c>
      <c r="B3842" s="1" t="s">
        <v>232</v>
      </c>
      <c r="C3842" s="4">
        <v>15</v>
      </c>
      <c r="D3842" s="8">
        <v>3.69</v>
      </c>
      <c r="E3842" s="4">
        <v>0</v>
      </c>
      <c r="F3842" s="8">
        <v>0</v>
      </c>
      <c r="G3842" s="4">
        <v>10</v>
      </c>
      <c r="H3842" s="8">
        <v>5.13</v>
      </c>
      <c r="I3842" s="4">
        <v>0</v>
      </c>
    </row>
    <row r="3843" spans="1:9" x14ac:dyDescent="0.2">
      <c r="A3843" s="2">
        <v>8</v>
      </c>
      <c r="B3843" s="1" t="s">
        <v>241</v>
      </c>
      <c r="C3843" s="4">
        <v>14</v>
      </c>
      <c r="D3843" s="8">
        <v>3.44</v>
      </c>
      <c r="E3843" s="4">
        <v>5</v>
      </c>
      <c r="F3843" s="8">
        <v>2.4900000000000002</v>
      </c>
      <c r="G3843" s="4">
        <v>9</v>
      </c>
      <c r="H3843" s="8">
        <v>4.62</v>
      </c>
      <c r="I3843" s="4">
        <v>0</v>
      </c>
    </row>
    <row r="3844" spans="1:9" x14ac:dyDescent="0.2">
      <c r="A3844" s="2">
        <v>8</v>
      </c>
      <c r="B3844" s="1" t="s">
        <v>217</v>
      </c>
      <c r="C3844" s="4">
        <v>14</v>
      </c>
      <c r="D3844" s="8">
        <v>3.44</v>
      </c>
      <c r="E3844" s="4">
        <v>2</v>
      </c>
      <c r="F3844" s="8">
        <v>1</v>
      </c>
      <c r="G3844" s="4">
        <v>12</v>
      </c>
      <c r="H3844" s="8">
        <v>6.15</v>
      </c>
      <c r="I3844" s="4">
        <v>0</v>
      </c>
    </row>
    <row r="3845" spans="1:9" x14ac:dyDescent="0.2">
      <c r="A3845" s="2">
        <v>10</v>
      </c>
      <c r="B3845" s="1" t="s">
        <v>224</v>
      </c>
      <c r="C3845" s="4">
        <v>13</v>
      </c>
      <c r="D3845" s="8">
        <v>3.19</v>
      </c>
      <c r="E3845" s="4">
        <v>7</v>
      </c>
      <c r="F3845" s="8">
        <v>3.48</v>
      </c>
      <c r="G3845" s="4">
        <v>6</v>
      </c>
      <c r="H3845" s="8">
        <v>3.08</v>
      </c>
      <c r="I3845" s="4">
        <v>0</v>
      </c>
    </row>
    <row r="3846" spans="1:9" x14ac:dyDescent="0.2">
      <c r="A3846" s="2">
        <v>11</v>
      </c>
      <c r="B3846" s="1" t="s">
        <v>215</v>
      </c>
      <c r="C3846" s="4">
        <v>12</v>
      </c>
      <c r="D3846" s="8">
        <v>2.95</v>
      </c>
      <c r="E3846" s="4">
        <v>3</v>
      </c>
      <c r="F3846" s="8">
        <v>1.49</v>
      </c>
      <c r="G3846" s="4">
        <v>9</v>
      </c>
      <c r="H3846" s="8">
        <v>4.62</v>
      </c>
      <c r="I3846" s="4">
        <v>0</v>
      </c>
    </row>
    <row r="3847" spans="1:9" x14ac:dyDescent="0.2">
      <c r="A3847" s="2">
        <v>11</v>
      </c>
      <c r="B3847" s="1" t="s">
        <v>222</v>
      </c>
      <c r="C3847" s="4">
        <v>12</v>
      </c>
      <c r="D3847" s="8">
        <v>2.95</v>
      </c>
      <c r="E3847" s="4">
        <v>5</v>
      </c>
      <c r="F3847" s="8">
        <v>2.4900000000000002</v>
      </c>
      <c r="G3847" s="4">
        <v>7</v>
      </c>
      <c r="H3847" s="8">
        <v>3.59</v>
      </c>
      <c r="I3847" s="4">
        <v>0</v>
      </c>
    </row>
    <row r="3848" spans="1:9" x14ac:dyDescent="0.2">
      <c r="A3848" s="2">
        <v>13</v>
      </c>
      <c r="B3848" s="1" t="s">
        <v>240</v>
      </c>
      <c r="C3848" s="4">
        <v>11</v>
      </c>
      <c r="D3848" s="8">
        <v>2.7</v>
      </c>
      <c r="E3848" s="4">
        <v>7</v>
      </c>
      <c r="F3848" s="8">
        <v>3.48</v>
      </c>
      <c r="G3848" s="4">
        <v>4</v>
      </c>
      <c r="H3848" s="8">
        <v>2.0499999999999998</v>
      </c>
      <c r="I3848" s="4">
        <v>0</v>
      </c>
    </row>
    <row r="3849" spans="1:9" x14ac:dyDescent="0.2">
      <c r="A3849" s="2">
        <v>14</v>
      </c>
      <c r="B3849" s="1" t="s">
        <v>243</v>
      </c>
      <c r="C3849" s="4">
        <v>9</v>
      </c>
      <c r="D3849" s="8">
        <v>2.21</v>
      </c>
      <c r="E3849" s="4">
        <v>7</v>
      </c>
      <c r="F3849" s="8">
        <v>3.48</v>
      </c>
      <c r="G3849" s="4">
        <v>2</v>
      </c>
      <c r="H3849" s="8">
        <v>1.03</v>
      </c>
      <c r="I3849" s="4">
        <v>0</v>
      </c>
    </row>
    <row r="3850" spans="1:9" x14ac:dyDescent="0.2">
      <c r="A3850" s="2">
        <v>14</v>
      </c>
      <c r="B3850" s="1" t="s">
        <v>231</v>
      </c>
      <c r="C3850" s="4">
        <v>9</v>
      </c>
      <c r="D3850" s="8">
        <v>2.21</v>
      </c>
      <c r="E3850" s="4">
        <v>9</v>
      </c>
      <c r="F3850" s="8">
        <v>4.4800000000000004</v>
      </c>
      <c r="G3850" s="4">
        <v>0</v>
      </c>
      <c r="H3850" s="8">
        <v>0</v>
      </c>
      <c r="I3850" s="4">
        <v>0</v>
      </c>
    </row>
    <row r="3851" spans="1:9" x14ac:dyDescent="0.2">
      <c r="A3851" s="2">
        <v>16</v>
      </c>
      <c r="B3851" s="1" t="s">
        <v>254</v>
      </c>
      <c r="C3851" s="4">
        <v>8</v>
      </c>
      <c r="D3851" s="8">
        <v>1.97</v>
      </c>
      <c r="E3851" s="4">
        <v>0</v>
      </c>
      <c r="F3851" s="8">
        <v>0</v>
      </c>
      <c r="G3851" s="4">
        <v>8</v>
      </c>
      <c r="H3851" s="8">
        <v>4.0999999999999996</v>
      </c>
      <c r="I3851" s="4">
        <v>0</v>
      </c>
    </row>
    <row r="3852" spans="1:9" x14ac:dyDescent="0.2">
      <c r="A3852" s="2">
        <v>17</v>
      </c>
      <c r="B3852" s="1" t="s">
        <v>218</v>
      </c>
      <c r="C3852" s="4">
        <v>7</v>
      </c>
      <c r="D3852" s="8">
        <v>1.72</v>
      </c>
      <c r="E3852" s="4">
        <v>0</v>
      </c>
      <c r="F3852" s="8">
        <v>0</v>
      </c>
      <c r="G3852" s="4">
        <v>7</v>
      </c>
      <c r="H3852" s="8">
        <v>3.59</v>
      </c>
      <c r="I3852" s="4">
        <v>0</v>
      </c>
    </row>
    <row r="3853" spans="1:9" x14ac:dyDescent="0.2">
      <c r="A3853" s="2">
        <v>17</v>
      </c>
      <c r="B3853" s="1" t="s">
        <v>230</v>
      </c>
      <c r="C3853" s="4">
        <v>7</v>
      </c>
      <c r="D3853" s="8">
        <v>1.72</v>
      </c>
      <c r="E3853" s="4">
        <v>4</v>
      </c>
      <c r="F3853" s="8">
        <v>1.99</v>
      </c>
      <c r="G3853" s="4">
        <v>1</v>
      </c>
      <c r="H3853" s="8">
        <v>0.51</v>
      </c>
      <c r="I3853" s="4">
        <v>0</v>
      </c>
    </row>
    <row r="3854" spans="1:9" x14ac:dyDescent="0.2">
      <c r="A3854" s="2">
        <v>19</v>
      </c>
      <c r="B3854" s="1" t="s">
        <v>244</v>
      </c>
      <c r="C3854" s="4">
        <v>5</v>
      </c>
      <c r="D3854" s="8">
        <v>1.23</v>
      </c>
      <c r="E3854" s="4">
        <v>2</v>
      </c>
      <c r="F3854" s="8">
        <v>1</v>
      </c>
      <c r="G3854" s="4">
        <v>3</v>
      </c>
      <c r="H3854" s="8">
        <v>1.54</v>
      </c>
      <c r="I3854" s="4">
        <v>0</v>
      </c>
    </row>
    <row r="3855" spans="1:9" x14ac:dyDescent="0.2">
      <c r="A3855" s="2">
        <v>19</v>
      </c>
      <c r="B3855" s="1" t="s">
        <v>216</v>
      </c>
      <c r="C3855" s="4">
        <v>5</v>
      </c>
      <c r="D3855" s="8">
        <v>1.23</v>
      </c>
      <c r="E3855" s="4">
        <v>0</v>
      </c>
      <c r="F3855" s="8">
        <v>0</v>
      </c>
      <c r="G3855" s="4">
        <v>5</v>
      </c>
      <c r="H3855" s="8">
        <v>2.56</v>
      </c>
      <c r="I3855" s="4">
        <v>0</v>
      </c>
    </row>
    <row r="3856" spans="1:9" x14ac:dyDescent="0.2">
      <c r="A3856" s="2">
        <v>19</v>
      </c>
      <c r="B3856" s="1" t="s">
        <v>219</v>
      </c>
      <c r="C3856" s="4">
        <v>5</v>
      </c>
      <c r="D3856" s="8">
        <v>1.23</v>
      </c>
      <c r="E3856" s="4">
        <v>0</v>
      </c>
      <c r="F3856" s="8">
        <v>0</v>
      </c>
      <c r="G3856" s="4">
        <v>5</v>
      </c>
      <c r="H3856" s="8">
        <v>2.56</v>
      </c>
      <c r="I3856" s="4">
        <v>0</v>
      </c>
    </row>
    <row r="3857" spans="1:9" x14ac:dyDescent="0.2">
      <c r="A3857" s="2">
        <v>19</v>
      </c>
      <c r="B3857" s="1" t="s">
        <v>220</v>
      </c>
      <c r="C3857" s="4">
        <v>5</v>
      </c>
      <c r="D3857" s="8">
        <v>1.23</v>
      </c>
      <c r="E3857" s="4">
        <v>4</v>
      </c>
      <c r="F3857" s="8">
        <v>1.99</v>
      </c>
      <c r="G3857" s="4">
        <v>1</v>
      </c>
      <c r="H3857" s="8">
        <v>0.51</v>
      </c>
      <c r="I3857" s="4">
        <v>0</v>
      </c>
    </row>
    <row r="3858" spans="1:9" x14ac:dyDescent="0.2">
      <c r="A3858" s="2">
        <v>19</v>
      </c>
      <c r="B3858" s="1" t="s">
        <v>236</v>
      </c>
      <c r="C3858" s="4">
        <v>5</v>
      </c>
      <c r="D3858" s="8">
        <v>1.23</v>
      </c>
      <c r="E3858" s="4">
        <v>2</v>
      </c>
      <c r="F3858" s="8">
        <v>1</v>
      </c>
      <c r="G3858" s="4">
        <v>3</v>
      </c>
      <c r="H3858" s="8">
        <v>1.54</v>
      </c>
      <c r="I3858" s="4">
        <v>0</v>
      </c>
    </row>
    <row r="3859" spans="1:9" x14ac:dyDescent="0.2">
      <c r="A3859" s="1"/>
      <c r="C3859" s="4"/>
      <c r="D3859" s="8"/>
      <c r="E3859" s="4"/>
      <c r="F3859" s="8"/>
      <c r="G3859" s="4"/>
      <c r="H3859" s="8"/>
      <c r="I3859" s="4"/>
    </row>
    <row r="3860" spans="1:9" x14ac:dyDescent="0.2">
      <c r="A3860" s="1" t="s">
        <v>150</v>
      </c>
      <c r="C3860" s="4"/>
      <c r="D3860" s="8"/>
      <c r="E3860" s="4"/>
      <c r="F3860" s="8"/>
      <c r="G3860" s="4"/>
      <c r="H3860" s="8"/>
      <c r="I3860" s="4"/>
    </row>
    <row r="3861" spans="1:9" x14ac:dyDescent="0.2">
      <c r="A3861" s="2">
        <v>1</v>
      </c>
      <c r="B3861" s="1" t="s">
        <v>227</v>
      </c>
      <c r="C3861" s="4">
        <v>16</v>
      </c>
      <c r="D3861" s="8">
        <v>13.45</v>
      </c>
      <c r="E3861" s="4">
        <v>14</v>
      </c>
      <c r="F3861" s="8">
        <v>26.42</v>
      </c>
      <c r="G3861" s="4">
        <v>2</v>
      </c>
      <c r="H3861" s="8">
        <v>3.39</v>
      </c>
      <c r="I3861" s="4">
        <v>0</v>
      </c>
    </row>
    <row r="3862" spans="1:9" x14ac:dyDescent="0.2">
      <c r="A3862" s="2">
        <v>2</v>
      </c>
      <c r="B3862" s="1" t="s">
        <v>213</v>
      </c>
      <c r="C3862" s="4">
        <v>10</v>
      </c>
      <c r="D3862" s="8">
        <v>8.4</v>
      </c>
      <c r="E3862" s="4">
        <v>0</v>
      </c>
      <c r="F3862" s="8">
        <v>0</v>
      </c>
      <c r="G3862" s="4">
        <v>10</v>
      </c>
      <c r="H3862" s="8">
        <v>16.95</v>
      </c>
      <c r="I3862" s="4">
        <v>0</v>
      </c>
    </row>
    <row r="3863" spans="1:9" x14ac:dyDescent="0.2">
      <c r="A3863" s="2">
        <v>3</v>
      </c>
      <c r="B3863" s="1" t="s">
        <v>221</v>
      </c>
      <c r="C3863" s="4">
        <v>8</v>
      </c>
      <c r="D3863" s="8">
        <v>6.72</v>
      </c>
      <c r="E3863" s="4">
        <v>5</v>
      </c>
      <c r="F3863" s="8">
        <v>9.43</v>
      </c>
      <c r="G3863" s="4">
        <v>3</v>
      </c>
      <c r="H3863" s="8">
        <v>5.08</v>
      </c>
      <c r="I3863" s="4">
        <v>0</v>
      </c>
    </row>
    <row r="3864" spans="1:9" x14ac:dyDescent="0.2">
      <c r="A3864" s="2">
        <v>3</v>
      </c>
      <c r="B3864" s="1" t="s">
        <v>223</v>
      </c>
      <c r="C3864" s="4">
        <v>8</v>
      </c>
      <c r="D3864" s="8">
        <v>6.72</v>
      </c>
      <c r="E3864" s="4">
        <v>4</v>
      </c>
      <c r="F3864" s="8">
        <v>7.55</v>
      </c>
      <c r="G3864" s="4">
        <v>4</v>
      </c>
      <c r="H3864" s="8">
        <v>6.78</v>
      </c>
      <c r="I3864" s="4">
        <v>0</v>
      </c>
    </row>
    <row r="3865" spans="1:9" x14ac:dyDescent="0.2">
      <c r="A3865" s="2">
        <v>5</v>
      </c>
      <c r="B3865" s="1" t="s">
        <v>228</v>
      </c>
      <c r="C3865" s="4">
        <v>6</v>
      </c>
      <c r="D3865" s="8">
        <v>5.04</v>
      </c>
      <c r="E3865" s="4">
        <v>6</v>
      </c>
      <c r="F3865" s="8">
        <v>11.32</v>
      </c>
      <c r="G3865" s="4">
        <v>0</v>
      </c>
      <c r="H3865" s="8">
        <v>0</v>
      </c>
      <c r="I3865" s="4">
        <v>0</v>
      </c>
    </row>
    <row r="3866" spans="1:9" x14ac:dyDescent="0.2">
      <c r="A3866" s="2">
        <v>6</v>
      </c>
      <c r="B3866" s="1" t="s">
        <v>232</v>
      </c>
      <c r="C3866" s="4">
        <v>5</v>
      </c>
      <c r="D3866" s="8">
        <v>4.2</v>
      </c>
      <c r="E3866" s="4">
        <v>0</v>
      </c>
      <c r="F3866" s="8">
        <v>0</v>
      </c>
      <c r="G3866" s="4">
        <v>3</v>
      </c>
      <c r="H3866" s="8">
        <v>5.08</v>
      </c>
      <c r="I3866" s="4">
        <v>0</v>
      </c>
    </row>
    <row r="3867" spans="1:9" x14ac:dyDescent="0.2">
      <c r="A3867" s="2">
        <v>7</v>
      </c>
      <c r="B3867" s="1" t="s">
        <v>224</v>
      </c>
      <c r="C3867" s="4">
        <v>4</v>
      </c>
      <c r="D3867" s="8">
        <v>3.36</v>
      </c>
      <c r="E3867" s="4">
        <v>1</v>
      </c>
      <c r="F3867" s="8">
        <v>1.89</v>
      </c>
      <c r="G3867" s="4">
        <v>3</v>
      </c>
      <c r="H3867" s="8">
        <v>5.08</v>
      </c>
      <c r="I3867" s="4">
        <v>0</v>
      </c>
    </row>
    <row r="3868" spans="1:9" x14ac:dyDescent="0.2">
      <c r="A3868" s="2">
        <v>7</v>
      </c>
      <c r="B3868" s="1" t="s">
        <v>229</v>
      </c>
      <c r="C3868" s="4">
        <v>4</v>
      </c>
      <c r="D3868" s="8">
        <v>3.36</v>
      </c>
      <c r="E3868" s="4">
        <v>1</v>
      </c>
      <c r="F3868" s="8">
        <v>1.89</v>
      </c>
      <c r="G3868" s="4">
        <v>2</v>
      </c>
      <c r="H3868" s="8">
        <v>3.39</v>
      </c>
      <c r="I3868" s="4">
        <v>0</v>
      </c>
    </row>
    <row r="3869" spans="1:9" x14ac:dyDescent="0.2">
      <c r="A3869" s="2">
        <v>7</v>
      </c>
      <c r="B3869" s="1" t="s">
        <v>231</v>
      </c>
      <c r="C3869" s="4">
        <v>4</v>
      </c>
      <c r="D3869" s="8">
        <v>3.36</v>
      </c>
      <c r="E3869" s="4">
        <v>4</v>
      </c>
      <c r="F3869" s="8">
        <v>7.55</v>
      </c>
      <c r="G3869" s="4">
        <v>0</v>
      </c>
      <c r="H3869" s="8">
        <v>0</v>
      </c>
      <c r="I3869" s="4">
        <v>0</v>
      </c>
    </row>
    <row r="3870" spans="1:9" x14ac:dyDescent="0.2">
      <c r="A3870" s="2">
        <v>10</v>
      </c>
      <c r="B3870" s="1" t="s">
        <v>214</v>
      </c>
      <c r="C3870" s="4">
        <v>3</v>
      </c>
      <c r="D3870" s="8">
        <v>2.52</v>
      </c>
      <c r="E3870" s="4">
        <v>2</v>
      </c>
      <c r="F3870" s="8">
        <v>3.77</v>
      </c>
      <c r="G3870" s="4">
        <v>1</v>
      </c>
      <c r="H3870" s="8">
        <v>1.69</v>
      </c>
      <c r="I3870" s="4">
        <v>0</v>
      </c>
    </row>
    <row r="3871" spans="1:9" x14ac:dyDescent="0.2">
      <c r="A3871" s="2">
        <v>10</v>
      </c>
      <c r="B3871" s="1" t="s">
        <v>255</v>
      </c>
      <c r="C3871" s="4">
        <v>3</v>
      </c>
      <c r="D3871" s="8">
        <v>2.52</v>
      </c>
      <c r="E3871" s="4">
        <v>0</v>
      </c>
      <c r="F3871" s="8">
        <v>0</v>
      </c>
      <c r="G3871" s="4">
        <v>2</v>
      </c>
      <c r="H3871" s="8">
        <v>3.39</v>
      </c>
      <c r="I3871" s="4">
        <v>0</v>
      </c>
    </row>
    <row r="3872" spans="1:9" x14ac:dyDescent="0.2">
      <c r="A3872" s="2">
        <v>10</v>
      </c>
      <c r="B3872" s="1" t="s">
        <v>226</v>
      </c>
      <c r="C3872" s="4">
        <v>3</v>
      </c>
      <c r="D3872" s="8">
        <v>2.52</v>
      </c>
      <c r="E3872" s="4">
        <v>1</v>
      </c>
      <c r="F3872" s="8">
        <v>1.89</v>
      </c>
      <c r="G3872" s="4">
        <v>1</v>
      </c>
      <c r="H3872" s="8">
        <v>1.69</v>
      </c>
      <c r="I3872" s="4">
        <v>0</v>
      </c>
    </row>
    <row r="3873" spans="1:9" x14ac:dyDescent="0.2">
      <c r="A3873" s="2">
        <v>10</v>
      </c>
      <c r="B3873" s="1" t="s">
        <v>240</v>
      </c>
      <c r="C3873" s="4">
        <v>3</v>
      </c>
      <c r="D3873" s="8">
        <v>2.52</v>
      </c>
      <c r="E3873" s="4">
        <v>2</v>
      </c>
      <c r="F3873" s="8">
        <v>3.77</v>
      </c>
      <c r="G3873" s="4">
        <v>1</v>
      </c>
      <c r="H3873" s="8">
        <v>1.69</v>
      </c>
      <c r="I3873" s="4">
        <v>0</v>
      </c>
    </row>
    <row r="3874" spans="1:9" x14ac:dyDescent="0.2">
      <c r="A3874" s="2">
        <v>14</v>
      </c>
      <c r="B3874" s="1" t="s">
        <v>273</v>
      </c>
      <c r="C3874" s="4">
        <v>2</v>
      </c>
      <c r="D3874" s="8">
        <v>1.68</v>
      </c>
      <c r="E3874" s="4">
        <v>0</v>
      </c>
      <c r="F3874" s="8">
        <v>0</v>
      </c>
      <c r="G3874" s="4">
        <v>2</v>
      </c>
      <c r="H3874" s="8">
        <v>3.39</v>
      </c>
      <c r="I3874" s="4">
        <v>0</v>
      </c>
    </row>
    <row r="3875" spans="1:9" x14ac:dyDescent="0.2">
      <c r="A3875" s="2">
        <v>14</v>
      </c>
      <c r="B3875" s="1" t="s">
        <v>244</v>
      </c>
      <c r="C3875" s="4">
        <v>2</v>
      </c>
      <c r="D3875" s="8">
        <v>1.68</v>
      </c>
      <c r="E3875" s="4">
        <v>2</v>
      </c>
      <c r="F3875" s="8">
        <v>3.77</v>
      </c>
      <c r="G3875" s="4">
        <v>0</v>
      </c>
      <c r="H3875" s="8">
        <v>0</v>
      </c>
      <c r="I3875" s="4">
        <v>0</v>
      </c>
    </row>
    <row r="3876" spans="1:9" x14ac:dyDescent="0.2">
      <c r="A3876" s="2">
        <v>14</v>
      </c>
      <c r="B3876" s="1" t="s">
        <v>252</v>
      </c>
      <c r="C3876" s="4">
        <v>2</v>
      </c>
      <c r="D3876" s="8">
        <v>1.68</v>
      </c>
      <c r="E3876" s="4">
        <v>1</v>
      </c>
      <c r="F3876" s="8">
        <v>1.89</v>
      </c>
      <c r="G3876" s="4">
        <v>1</v>
      </c>
      <c r="H3876" s="8">
        <v>1.69</v>
      </c>
      <c r="I3876" s="4">
        <v>0</v>
      </c>
    </row>
    <row r="3877" spans="1:9" x14ac:dyDescent="0.2">
      <c r="A3877" s="2">
        <v>14</v>
      </c>
      <c r="B3877" s="1" t="s">
        <v>235</v>
      </c>
      <c r="C3877" s="4">
        <v>2</v>
      </c>
      <c r="D3877" s="8">
        <v>1.68</v>
      </c>
      <c r="E3877" s="4">
        <v>2</v>
      </c>
      <c r="F3877" s="8">
        <v>3.77</v>
      </c>
      <c r="G3877" s="4">
        <v>0</v>
      </c>
      <c r="H3877" s="8">
        <v>0</v>
      </c>
      <c r="I3877" s="4">
        <v>0</v>
      </c>
    </row>
    <row r="3878" spans="1:9" x14ac:dyDescent="0.2">
      <c r="A3878" s="2">
        <v>14</v>
      </c>
      <c r="B3878" s="1" t="s">
        <v>216</v>
      </c>
      <c r="C3878" s="4">
        <v>2</v>
      </c>
      <c r="D3878" s="8">
        <v>1.68</v>
      </c>
      <c r="E3878" s="4">
        <v>0</v>
      </c>
      <c r="F3878" s="8">
        <v>0</v>
      </c>
      <c r="G3878" s="4">
        <v>2</v>
      </c>
      <c r="H3878" s="8">
        <v>3.39</v>
      </c>
      <c r="I3878" s="4">
        <v>0</v>
      </c>
    </row>
    <row r="3879" spans="1:9" x14ac:dyDescent="0.2">
      <c r="A3879" s="2">
        <v>14</v>
      </c>
      <c r="B3879" s="1" t="s">
        <v>222</v>
      </c>
      <c r="C3879" s="4">
        <v>2</v>
      </c>
      <c r="D3879" s="8">
        <v>1.68</v>
      </c>
      <c r="E3879" s="4">
        <v>0</v>
      </c>
      <c r="F3879" s="8">
        <v>0</v>
      </c>
      <c r="G3879" s="4">
        <v>2</v>
      </c>
      <c r="H3879" s="8">
        <v>3.39</v>
      </c>
      <c r="I3879" s="4">
        <v>0</v>
      </c>
    </row>
    <row r="3880" spans="1:9" x14ac:dyDescent="0.2">
      <c r="A3880" s="2">
        <v>14</v>
      </c>
      <c r="B3880" s="1" t="s">
        <v>236</v>
      </c>
      <c r="C3880" s="4">
        <v>2</v>
      </c>
      <c r="D3880" s="8">
        <v>1.68</v>
      </c>
      <c r="E3880" s="4">
        <v>0</v>
      </c>
      <c r="F3880" s="8">
        <v>0</v>
      </c>
      <c r="G3880" s="4">
        <v>2</v>
      </c>
      <c r="H3880" s="8">
        <v>3.39</v>
      </c>
      <c r="I3880" s="4">
        <v>0</v>
      </c>
    </row>
    <row r="3881" spans="1:9" x14ac:dyDescent="0.2">
      <c r="A3881" s="2">
        <v>14</v>
      </c>
      <c r="B3881" s="1" t="s">
        <v>243</v>
      </c>
      <c r="C3881" s="4">
        <v>2</v>
      </c>
      <c r="D3881" s="8">
        <v>1.68</v>
      </c>
      <c r="E3881" s="4">
        <v>1</v>
      </c>
      <c r="F3881" s="8">
        <v>1.89</v>
      </c>
      <c r="G3881" s="4">
        <v>1</v>
      </c>
      <c r="H3881" s="8">
        <v>1.69</v>
      </c>
      <c r="I3881" s="4">
        <v>0</v>
      </c>
    </row>
    <row r="3882" spans="1:9" x14ac:dyDescent="0.2">
      <c r="A3882" s="2">
        <v>14</v>
      </c>
      <c r="B3882" s="1" t="s">
        <v>249</v>
      </c>
      <c r="C3882" s="4">
        <v>2</v>
      </c>
      <c r="D3882" s="8">
        <v>1.68</v>
      </c>
      <c r="E3882" s="4">
        <v>0</v>
      </c>
      <c r="F3882" s="8">
        <v>0</v>
      </c>
      <c r="G3882" s="4">
        <v>2</v>
      </c>
      <c r="H3882" s="8">
        <v>3.39</v>
      </c>
      <c r="I3882" s="4">
        <v>0</v>
      </c>
    </row>
    <row r="3883" spans="1:9" x14ac:dyDescent="0.2">
      <c r="A3883" s="1"/>
      <c r="C3883" s="4"/>
      <c r="D3883" s="8"/>
      <c r="E3883" s="4"/>
      <c r="F3883" s="8"/>
      <c r="G3883" s="4"/>
      <c r="H3883" s="8"/>
      <c r="I3883" s="4"/>
    </row>
    <row r="3884" spans="1:9" x14ac:dyDescent="0.2">
      <c r="A3884" s="1" t="s">
        <v>151</v>
      </c>
      <c r="C3884" s="4"/>
      <c r="D3884" s="8"/>
      <c r="E3884" s="4"/>
      <c r="F3884" s="8"/>
      <c r="G3884" s="4"/>
      <c r="H3884" s="8"/>
      <c r="I3884" s="4"/>
    </row>
    <row r="3885" spans="1:9" x14ac:dyDescent="0.2">
      <c r="A3885" s="2">
        <v>1</v>
      </c>
      <c r="B3885" s="1" t="s">
        <v>227</v>
      </c>
      <c r="C3885" s="4">
        <v>60</v>
      </c>
      <c r="D3885" s="8">
        <v>20.62</v>
      </c>
      <c r="E3885" s="4">
        <v>49</v>
      </c>
      <c r="F3885" s="8">
        <v>30.63</v>
      </c>
      <c r="G3885" s="4">
        <v>11</v>
      </c>
      <c r="H3885" s="8">
        <v>8.94</v>
      </c>
      <c r="I3885" s="4">
        <v>0</v>
      </c>
    </row>
    <row r="3886" spans="1:9" x14ac:dyDescent="0.2">
      <c r="A3886" s="2">
        <v>2</v>
      </c>
      <c r="B3886" s="1" t="s">
        <v>228</v>
      </c>
      <c r="C3886" s="4">
        <v>26</v>
      </c>
      <c r="D3886" s="8">
        <v>8.93</v>
      </c>
      <c r="E3886" s="4">
        <v>26</v>
      </c>
      <c r="F3886" s="8">
        <v>16.25</v>
      </c>
      <c r="G3886" s="4">
        <v>0</v>
      </c>
      <c r="H3886" s="8">
        <v>0</v>
      </c>
      <c r="I3886" s="4">
        <v>0</v>
      </c>
    </row>
    <row r="3887" spans="1:9" x14ac:dyDescent="0.2">
      <c r="A3887" s="2">
        <v>3</v>
      </c>
      <c r="B3887" s="1" t="s">
        <v>221</v>
      </c>
      <c r="C3887" s="4">
        <v>22</v>
      </c>
      <c r="D3887" s="8">
        <v>7.56</v>
      </c>
      <c r="E3887" s="4">
        <v>11</v>
      </c>
      <c r="F3887" s="8">
        <v>6.88</v>
      </c>
      <c r="G3887" s="4">
        <v>11</v>
      </c>
      <c r="H3887" s="8">
        <v>8.94</v>
      </c>
      <c r="I3887" s="4">
        <v>0</v>
      </c>
    </row>
    <row r="3888" spans="1:9" x14ac:dyDescent="0.2">
      <c r="A3888" s="2">
        <v>3</v>
      </c>
      <c r="B3888" s="1" t="s">
        <v>223</v>
      </c>
      <c r="C3888" s="4">
        <v>22</v>
      </c>
      <c r="D3888" s="8">
        <v>7.56</v>
      </c>
      <c r="E3888" s="4">
        <v>12</v>
      </c>
      <c r="F3888" s="8">
        <v>7.5</v>
      </c>
      <c r="G3888" s="4">
        <v>10</v>
      </c>
      <c r="H3888" s="8">
        <v>8.1300000000000008</v>
      </c>
      <c r="I3888" s="4">
        <v>0</v>
      </c>
    </row>
    <row r="3889" spans="1:9" x14ac:dyDescent="0.2">
      <c r="A3889" s="2">
        <v>5</v>
      </c>
      <c r="B3889" s="1" t="s">
        <v>224</v>
      </c>
      <c r="C3889" s="4">
        <v>17</v>
      </c>
      <c r="D3889" s="8">
        <v>5.84</v>
      </c>
      <c r="E3889" s="4">
        <v>7</v>
      </c>
      <c r="F3889" s="8">
        <v>4.38</v>
      </c>
      <c r="G3889" s="4">
        <v>10</v>
      </c>
      <c r="H3889" s="8">
        <v>8.1300000000000008</v>
      </c>
      <c r="I3889" s="4">
        <v>0</v>
      </c>
    </row>
    <row r="3890" spans="1:9" x14ac:dyDescent="0.2">
      <c r="A3890" s="2">
        <v>6</v>
      </c>
      <c r="B3890" s="1" t="s">
        <v>214</v>
      </c>
      <c r="C3890" s="4">
        <v>16</v>
      </c>
      <c r="D3890" s="8">
        <v>5.5</v>
      </c>
      <c r="E3890" s="4">
        <v>10</v>
      </c>
      <c r="F3890" s="8">
        <v>6.25</v>
      </c>
      <c r="G3890" s="4">
        <v>6</v>
      </c>
      <c r="H3890" s="8">
        <v>4.88</v>
      </c>
      <c r="I3890" s="4">
        <v>0</v>
      </c>
    </row>
    <row r="3891" spans="1:9" x14ac:dyDescent="0.2">
      <c r="A3891" s="2">
        <v>7</v>
      </c>
      <c r="B3891" s="1" t="s">
        <v>213</v>
      </c>
      <c r="C3891" s="4">
        <v>13</v>
      </c>
      <c r="D3891" s="8">
        <v>4.47</v>
      </c>
      <c r="E3891" s="4">
        <v>3</v>
      </c>
      <c r="F3891" s="8">
        <v>1.88</v>
      </c>
      <c r="G3891" s="4">
        <v>10</v>
      </c>
      <c r="H3891" s="8">
        <v>8.1300000000000008</v>
      </c>
      <c r="I3891" s="4">
        <v>0</v>
      </c>
    </row>
    <row r="3892" spans="1:9" x14ac:dyDescent="0.2">
      <c r="A3892" s="2">
        <v>8</v>
      </c>
      <c r="B3892" s="1" t="s">
        <v>239</v>
      </c>
      <c r="C3892" s="4">
        <v>11</v>
      </c>
      <c r="D3892" s="8">
        <v>3.78</v>
      </c>
      <c r="E3892" s="4">
        <v>2</v>
      </c>
      <c r="F3892" s="8">
        <v>1.25</v>
      </c>
      <c r="G3892" s="4">
        <v>9</v>
      </c>
      <c r="H3892" s="8">
        <v>7.32</v>
      </c>
      <c r="I3892" s="4">
        <v>0</v>
      </c>
    </row>
    <row r="3893" spans="1:9" x14ac:dyDescent="0.2">
      <c r="A3893" s="2">
        <v>8</v>
      </c>
      <c r="B3893" s="1" t="s">
        <v>230</v>
      </c>
      <c r="C3893" s="4">
        <v>11</v>
      </c>
      <c r="D3893" s="8">
        <v>3.78</v>
      </c>
      <c r="E3893" s="4">
        <v>5</v>
      </c>
      <c r="F3893" s="8">
        <v>3.13</v>
      </c>
      <c r="G3893" s="4">
        <v>0</v>
      </c>
      <c r="H3893" s="8">
        <v>0</v>
      </c>
      <c r="I3893" s="4">
        <v>1</v>
      </c>
    </row>
    <row r="3894" spans="1:9" x14ac:dyDescent="0.2">
      <c r="A3894" s="2">
        <v>10</v>
      </c>
      <c r="B3894" s="1" t="s">
        <v>241</v>
      </c>
      <c r="C3894" s="4">
        <v>8</v>
      </c>
      <c r="D3894" s="8">
        <v>2.75</v>
      </c>
      <c r="E3894" s="4">
        <v>1</v>
      </c>
      <c r="F3894" s="8">
        <v>0.63</v>
      </c>
      <c r="G3894" s="4">
        <v>7</v>
      </c>
      <c r="H3894" s="8">
        <v>5.69</v>
      </c>
      <c r="I3894" s="4">
        <v>0</v>
      </c>
    </row>
    <row r="3895" spans="1:9" x14ac:dyDescent="0.2">
      <c r="A3895" s="2">
        <v>10</v>
      </c>
      <c r="B3895" s="1" t="s">
        <v>226</v>
      </c>
      <c r="C3895" s="4">
        <v>8</v>
      </c>
      <c r="D3895" s="8">
        <v>2.75</v>
      </c>
      <c r="E3895" s="4">
        <v>6</v>
      </c>
      <c r="F3895" s="8">
        <v>3.75</v>
      </c>
      <c r="G3895" s="4">
        <v>2</v>
      </c>
      <c r="H3895" s="8">
        <v>1.63</v>
      </c>
      <c r="I3895" s="4">
        <v>0</v>
      </c>
    </row>
    <row r="3896" spans="1:9" x14ac:dyDescent="0.2">
      <c r="A3896" s="2">
        <v>12</v>
      </c>
      <c r="B3896" s="1" t="s">
        <v>215</v>
      </c>
      <c r="C3896" s="4">
        <v>7</v>
      </c>
      <c r="D3896" s="8">
        <v>2.41</v>
      </c>
      <c r="E3896" s="4">
        <v>2</v>
      </c>
      <c r="F3896" s="8">
        <v>1.25</v>
      </c>
      <c r="G3896" s="4">
        <v>5</v>
      </c>
      <c r="H3896" s="8">
        <v>4.07</v>
      </c>
      <c r="I3896" s="4">
        <v>0</v>
      </c>
    </row>
    <row r="3897" spans="1:9" x14ac:dyDescent="0.2">
      <c r="A3897" s="2">
        <v>12</v>
      </c>
      <c r="B3897" s="1" t="s">
        <v>220</v>
      </c>
      <c r="C3897" s="4">
        <v>7</v>
      </c>
      <c r="D3897" s="8">
        <v>2.41</v>
      </c>
      <c r="E3897" s="4">
        <v>4</v>
      </c>
      <c r="F3897" s="8">
        <v>2.5</v>
      </c>
      <c r="G3897" s="4">
        <v>3</v>
      </c>
      <c r="H3897" s="8">
        <v>2.44</v>
      </c>
      <c r="I3897" s="4">
        <v>0</v>
      </c>
    </row>
    <row r="3898" spans="1:9" x14ac:dyDescent="0.2">
      <c r="A3898" s="2">
        <v>14</v>
      </c>
      <c r="B3898" s="1" t="s">
        <v>243</v>
      </c>
      <c r="C3898" s="4">
        <v>6</v>
      </c>
      <c r="D3898" s="8">
        <v>2.06</v>
      </c>
      <c r="E3898" s="4">
        <v>0</v>
      </c>
      <c r="F3898" s="8">
        <v>0</v>
      </c>
      <c r="G3898" s="4">
        <v>6</v>
      </c>
      <c r="H3898" s="8">
        <v>4.88</v>
      </c>
      <c r="I3898" s="4">
        <v>0</v>
      </c>
    </row>
    <row r="3899" spans="1:9" x14ac:dyDescent="0.2">
      <c r="A3899" s="2">
        <v>14</v>
      </c>
      <c r="B3899" s="1" t="s">
        <v>231</v>
      </c>
      <c r="C3899" s="4">
        <v>6</v>
      </c>
      <c r="D3899" s="8">
        <v>2.06</v>
      </c>
      <c r="E3899" s="4">
        <v>5</v>
      </c>
      <c r="F3899" s="8">
        <v>3.13</v>
      </c>
      <c r="G3899" s="4">
        <v>1</v>
      </c>
      <c r="H3899" s="8">
        <v>0.81</v>
      </c>
      <c r="I3899" s="4">
        <v>0</v>
      </c>
    </row>
    <row r="3900" spans="1:9" x14ac:dyDescent="0.2">
      <c r="A3900" s="2">
        <v>16</v>
      </c>
      <c r="B3900" s="1" t="s">
        <v>222</v>
      </c>
      <c r="C3900" s="4">
        <v>5</v>
      </c>
      <c r="D3900" s="8">
        <v>1.72</v>
      </c>
      <c r="E3900" s="4">
        <v>3</v>
      </c>
      <c r="F3900" s="8">
        <v>1.88</v>
      </c>
      <c r="G3900" s="4">
        <v>2</v>
      </c>
      <c r="H3900" s="8">
        <v>1.63</v>
      </c>
      <c r="I3900" s="4">
        <v>0</v>
      </c>
    </row>
    <row r="3901" spans="1:9" x14ac:dyDescent="0.2">
      <c r="A3901" s="2">
        <v>16</v>
      </c>
      <c r="B3901" s="1" t="s">
        <v>246</v>
      </c>
      <c r="C3901" s="4">
        <v>5</v>
      </c>
      <c r="D3901" s="8">
        <v>1.72</v>
      </c>
      <c r="E3901" s="4">
        <v>2</v>
      </c>
      <c r="F3901" s="8">
        <v>1.25</v>
      </c>
      <c r="G3901" s="4">
        <v>3</v>
      </c>
      <c r="H3901" s="8">
        <v>2.44</v>
      </c>
      <c r="I3901" s="4">
        <v>0</v>
      </c>
    </row>
    <row r="3902" spans="1:9" x14ac:dyDescent="0.2">
      <c r="A3902" s="2">
        <v>18</v>
      </c>
      <c r="B3902" s="1" t="s">
        <v>262</v>
      </c>
      <c r="C3902" s="4">
        <v>4</v>
      </c>
      <c r="D3902" s="8">
        <v>1.37</v>
      </c>
      <c r="E3902" s="4">
        <v>0</v>
      </c>
      <c r="F3902" s="8">
        <v>0</v>
      </c>
      <c r="G3902" s="4">
        <v>4</v>
      </c>
      <c r="H3902" s="8">
        <v>3.25</v>
      </c>
      <c r="I3902" s="4">
        <v>0</v>
      </c>
    </row>
    <row r="3903" spans="1:9" x14ac:dyDescent="0.2">
      <c r="A3903" s="2">
        <v>18</v>
      </c>
      <c r="B3903" s="1" t="s">
        <v>247</v>
      </c>
      <c r="C3903" s="4">
        <v>4</v>
      </c>
      <c r="D3903" s="8">
        <v>1.37</v>
      </c>
      <c r="E3903" s="4">
        <v>1</v>
      </c>
      <c r="F3903" s="8">
        <v>0.63</v>
      </c>
      <c r="G3903" s="4">
        <v>1</v>
      </c>
      <c r="H3903" s="8">
        <v>0.81</v>
      </c>
      <c r="I3903" s="4">
        <v>0</v>
      </c>
    </row>
    <row r="3904" spans="1:9" x14ac:dyDescent="0.2">
      <c r="A3904" s="2">
        <v>20</v>
      </c>
      <c r="B3904" s="1" t="s">
        <v>232</v>
      </c>
      <c r="C3904" s="4">
        <v>3</v>
      </c>
      <c r="D3904" s="8">
        <v>1.03</v>
      </c>
      <c r="E3904" s="4">
        <v>0</v>
      </c>
      <c r="F3904" s="8">
        <v>0</v>
      </c>
      <c r="G3904" s="4">
        <v>3</v>
      </c>
      <c r="H3904" s="8">
        <v>2.44</v>
      </c>
      <c r="I3904" s="4">
        <v>0</v>
      </c>
    </row>
    <row r="3905" spans="1:9" x14ac:dyDescent="0.2">
      <c r="A3905" s="1"/>
      <c r="C3905" s="4"/>
      <c r="D3905" s="8"/>
      <c r="E3905" s="4"/>
      <c r="F3905" s="8"/>
      <c r="G3905" s="4"/>
      <c r="H3905" s="8"/>
      <c r="I3905" s="4"/>
    </row>
    <row r="3906" spans="1:9" x14ac:dyDescent="0.2">
      <c r="A3906" s="1" t="s">
        <v>152</v>
      </c>
      <c r="C3906" s="4"/>
      <c r="D3906" s="8"/>
      <c r="E3906" s="4"/>
      <c r="F3906" s="8"/>
      <c r="G3906" s="4"/>
      <c r="H3906" s="8"/>
      <c r="I3906" s="4"/>
    </row>
    <row r="3907" spans="1:9" x14ac:dyDescent="0.2">
      <c r="A3907" s="2">
        <v>1</v>
      </c>
      <c r="B3907" s="1" t="s">
        <v>227</v>
      </c>
      <c r="C3907" s="4">
        <v>23</v>
      </c>
      <c r="D3907" s="8">
        <v>12.3</v>
      </c>
      <c r="E3907" s="4">
        <v>19</v>
      </c>
      <c r="F3907" s="8">
        <v>22.89</v>
      </c>
      <c r="G3907" s="4">
        <v>4</v>
      </c>
      <c r="H3907" s="8">
        <v>4.12</v>
      </c>
      <c r="I3907" s="4">
        <v>0</v>
      </c>
    </row>
    <row r="3908" spans="1:9" x14ac:dyDescent="0.2">
      <c r="A3908" s="2">
        <v>2</v>
      </c>
      <c r="B3908" s="1" t="s">
        <v>223</v>
      </c>
      <c r="C3908" s="4">
        <v>18</v>
      </c>
      <c r="D3908" s="8">
        <v>9.6300000000000008</v>
      </c>
      <c r="E3908" s="4">
        <v>7</v>
      </c>
      <c r="F3908" s="8">
        <v>8.43</v>
      </c>
      <c r="G3908" s="4">
        <v>11</v>
      </c>
      <c r="H3908" s="8">
        <v>11.34</v>
      </c>
      <c r="I3908" s="4">
        <v>0</v>
      </c>
    </row>
    <row r="3909" spans="1:9" x14ac:dyDescent="0.2">
      <c r="A3909" s="2">
        <v>3</v>
      </c>
      <c r="B3909" s="1" t="s">
        <v>221</v>
      </c>
      <c r="C3909" s="4">
        <v>17</v>
      </c>
      <c r="D3909" s="8">
        <v>9.09</v>
      </c>
      <c r="E3909" s="4">
        <v>10</v>
      </c>
      <c r="F3909" s="8">
        <v>12.05</v>
      </c>
      <c r="G3909" s="4">
        <v>7</v>
      </c>
      <c r="H3909" s="8">
        <v>7.22</v>
      </c>
      <c r="I3909" s="4">
        <v>0</v>
      </c>
    </row>
    <row r="3910" spans="1:9" x14ac:dyDescent="0.2">
      <c r="A3910" s="2">
        <v>4</v>
      </c>
      <c r="B3910" s="1" t="s">
        <v>213</v>
      </c>
      <c r="C3910" s="4">
        <v>16</v>
      </c>
      <c r="D3910" s="8">
        <v>8.56</v>
      </c>
      <c r="E3910" s="4">
        <v>2</v>
      </c>
      <c r="F3910" s="8">
        <v>2.41</v>
      </c>
      <c r="G3910" s="4">
        <v>14</v>
      </c>
      <c r="H3910" s="8">
        <v>14.43</v>
      </c>
      <c r="I3910" s="4">
        <v>0</v>
      </c>
    </row>
    <row r="3911" spans="1:9" x14ac:dyDescent="0.2">
      <c r="A3911" s="2">
        <v>5</v>
      </c>
      <c r="B3911" s="1" t="s">
        <v>228</v>
      </c>
      <c r="C3911" s="4">
        <v>14</v>
      </c>
      <c r="D3911" s="8">
        <v>7.49</v>
      </c>
      <c r="E3911" s="4">
        <v>12</v>
      </c>
      <c r="F3911" s="8">
        <v>14.46</v>
      </c>
      <c r="G3911" s="4">
        <v>2</v>
      </c>
      <c r="H3911" s="8">
        <v>2.06</v>
      </c>
      <c r="I3911" s="4">
        <v>0</v>
      </c>
    </row>
    <row r="3912" spans="1:9" x14ac:dyDescent="0.2">
      <c r="A3912" s="2">
        <v>6</v>
      </c>
      <c r="B3912" s="1" t="s">
        <v>230</v>
      </c>
      <c r="C3912" s="4">
        <v>8</v>
      </c>
      <c r="D3912" s="8">
        <v>4.28</v>
      </c>
      <c r="E3912" s="4">
        <v>3</v>
      </c>
      <c r="F3912" s="8">
        <v>3.61</v>
      </c>
      <c r="G3912" s="4">
        <v>1</v>
      </c>
      <c r="H3912" s="8">
        <v>1.03</v>
      </c>
      <c r="I3912" s="4">
        <v>0</v>
      </c>
    </row>
    <row r="3913" spans="1:9" x14ac:dyDescent="0.2">
      <c r="A3913" s="2">
        <v>7</v>
      </c>
      <c r="B3913" s="1" t="s">
        <v>214</v>
      </c>
      <c r="C3913" s="4">
        <v>7</v>
      </c>
      <c r="D3913" s="8">
        <v>3.74</v>
      </c>
      <c r="E3913" s="4">
        <v>2</v>
      </c>
      <c r="F3913" s="8">
        <v>2.41</v>
      </c>
      <c r="G3913" s="4">
        <v>5</v>
      </c>
      <c r="H3913" s="8">
        <v>5.15</v>
      </c>
      <c r="I3913" s="4">
        <v>0</v>
      </c>
    </row>
    <row r="3914" spans="1:9" x14ac:dyDescent="0.2">
      <c r="A3914" s="2">
        <v>7</v>
      </c>
      <c r="B3914" s="1" t="s">
        <v>215</v>
      </c>
      <c r="C3914" s="4">
        <v>7</v>
      </c>
      <c r="D3914" s="8">
        <v>3.74</v>
      </c>
      <c r="E3914" s="4">
        <v>1</v>
      </c>
      <c r="F3914" s="8">
        <v>1.2</v>
      </c>
      <c r="G3914" s="4">
        <v>6</v>
      </c>
      <c r="H3914" s="8">
        <v>6.19</v>
      </c>
      <c r="I3914" s="4">
        <v>0</v>
      </c>
    </row>
    <row r="3915" spans="1:9" x14ac:dyDescent="0.2">
      <c r="A3915" s="2">
        <v>7</v>
      </c>
      <c r="B3915" s="1" t="s">
        <v>240</v>
      </c>
      <c r="C3915" s="4">
        <v>7</v>
      </c>
      <c r="D3915" s="8">
        <v>3.74</v>
      </c>
      <c r="E3915" s="4">
        <v>4</v>
      </c>
      <c r="F3915" s="8">
        <v>4.82</v>
      </c>
      <c r="G3915" s="4">
        <v>3</v>
      </c>
      <c r="H3915" s="8">
        <v>3.09</v>
      </c>
      <c r="I3915" s="4">
        <v>0</v>
      </c>
    </row>
    <row r="3916" spans="1:9" x14ac:dyDescent="0.2">
      <c r="A3916" s="2">
        <v>10</v>
      </c>
      <c r="B3916" s="1" t="s">
        <v>241</v>
      </c>
      <c r="C3916" s="4">
        <v>6</v>
      </c>
      <c r="D3916" s="8">
        <v>3.21</v>
      </c>
      <c r="E3916" s="4">
        <v>0</v>
      </c>
      <c r="F3916" s="8">
        <v>0</v>
      </c>
      <c r="G3916" s="4">
        <v>6</v>
      </c>
      <c r="H3916" s="8">
        <v>6.19</v>
      </c>
      <c r="I3916" s="4">
        <v>0</v>
      </c>
    </row>
    <row r="3917" spans="1:9" x14ac:dyDescent="0.2">
      <c r="A3917" s="2">
        <v>10</v>
      </c>
      <c r="B3917" s="1" t="s">
        <v>226</v>
      </c>
      <c r="C3917" s="4">
        <v>6</v>
      </c>
      <c r="D3917" s="8">
        <v>3.21</v>
      </c>
      <c r="E3917" s="4">
        <v>2</v>
      </c>
      <c r="F3917" s="8">
        <v>2.41</v>
      </c>
      <c r="G3917" s="4">
        <v>4</v>
      </c>
      <c r="H3917" s="8">
        <v>4.12</v>
      </c>
      <c r="I3917" s="4">
        <v>0</v>
      </c>
    </row>
    <row r="3918" spans="1:9" x14ac:dyDescent="0.2">
      <c r="A3918" s="2">
        <v>10</v>
      </c>
      <c r="B3918" s="1" t="s">
        <v>231</v>
      </c>
      <c r="C3918" s="4">
        <v>6</v>
      </c>
      <c r="D3918" s="8">
        <v>3.21</v>
      </c>
      <c r="E3918" s="4">
        <v>6</v>
      </c>
      <c r="F3918" s="8">
        <v>7.23</v>
      </c>
      <c r="G3918" s="4">
        <v>0</v>
      </c>
      <c r="H3918" s="8">
        <v>0</v>
      </c>
      <c r="I3918" s="4">
        <v>0</v>
      </c>
    </row>
    <row r="3919" spans="1:9" x14ac:dyDescent="0.2">
      <c r="A3919" s="2">
        <v>10</v>
      </c>
      <c r="B3919" s="1" t="s">
        <v>232</v>
      </c>
      <c r="C3919" s="4">
        <v>6</v>
      </c>
      <c r="D3919" s="8">
        <v>3.21</v>
      </c>
      <c r="E3919" s="4">
        <v>0</v>
      </c>
      <c r="F3919" s="8">
        <v>0</v>
      </c>
      <c r="G3919" s="4">
        <v>6</v>
      </c>
      <c r="H3919" s="8">
        <v>6.19</v>
      </c>
      <c r="I3919" s="4">
        <v>0</v>
      </c>
    </row>
    <row r="3920" spans="1:9" x14ac:dyDescent="0.2">
      <c r="A3920" s="2">
        <v>14</v>
      </c>
      <c r="B3920" s="1" t="s">
        <v>224</v>
      </c>
      <c r="C3920" s="4">
        <v>5</v>
      </c>
      <c r="D3920" s="8">
        <v>2.67</v>
      </c>
      <c r="E3920" s="4">
        <v>2</v>
      </c>
      <c r="F3920" s="8">
        <v>2.41</v>
      </c>
      <c r="G3920" s="4">
        <v>3</v>
      </c>
      <c r="H3920" s="8">
        <v>3.09</v>
      </c>
      <c r="I3920" s="4">
        <v>0</v>
      </c>
    </row>
    <row r="3921" spans="1:9" x14ac:dyDescent="0.2">
      <c r="A3921" s="2">
        <v>15</v>
      </c>
      <c r="B3921" s="1" t="s">
        <v>222</v>
      </c>
      <c r="C3921" s="4">
        <v>4</v>
      </c>
      <c r="D3921" s="8">
        <v>2.14</v>
      </c>
      <c r="E3921" s="4">
        <v>0</v>
      </c>
      <c r="F3921" s="8">
        <v>0</v>
      </c>
      <c r="G3921" s="4">
        <v>4</v>
      </c>
      <c r="H3921" s="8">
        <v>4.12</v>
      </c>
      <c r="I3921" s="4">
        <v>0</v>
      </c>
    </row>
    <row r="3922" spans="1:9" x14ac:dyDescent="0.2">
      <c r="A3922" s="2">
        <v>15</v>
      </c>
      <c r="B3922" s="1" t="s">
        <v>239</v>
      </c>
      <c r="C3922" s="4">
        <v>4</v>
      </c>
      <c r="D3922" s="8">
        <v>2.14</v>
      </c>
      <c r="E3922" s="4">
        <v>1</v>
      </c>
      <c r="F3922" s="8">
        <v>1.2</v>
      </c>
      <c r="G3922" s="4">
        <v>2</v>
      </c>
      <c r="H3922" s="8">
        <v>2.06</v>
      </c>
      <c r="I3922" s="4">
        <v>0</v>
      </c>
    </row>
    <row r="3923" spans="1:9" x14ac:dyDescent="0.2">
      <c r="A3923" s="2">
        <v>15</v>
      </c>
      <c r="B3923" s="1" t="s">
        <v>249</v>
      </c>
      <c r="C3923" s="4">
        <v>4</v>
      </c>
      <c r="D3923" s="8">
        <v>2.14</v>
      </c>
      <c r="E3923" s="4">
        <v>1</v>
      </c>
      <c r="F3923" s="8">
        <v>1.2</v>
      </c>
      <c r="G3923" s="4">
        <v>2</v>
      </c>
      <c r="H3923" s="8">
        <v>2.06</v>
      </c>
      <c r="I3923" s="4">
        <v>0</v>
      </c>
    </row>
    <row r="3924" spans="1:9" x14ac:dyDescent="0.2">
      <c r="A3924" s="2">
        <v>18</v>
      </c>
      <c r="B3924" s="1" t="s">
        <v>220</v>
      </c>
      <c r="C3924" s="4">
        <v>3</v>
      </c>
      <c r="D3924" s="8">
        <v>1.6</v>
      </c>
      <c r="E3924" s="4">
        <v>2</v>
      </c>
      <c r="F3924" s="8">
        <v>2.41</v>
      </c>
      <c r="G3924" s="4">
        <v>1</v>
      </c>
      <c r="H3924" s="8">
        <v>1.03</v>
      </c>
      <c r="I3924" s="4">
        <v>0</v>
      </c>
    </row>
    <row r="3925" spans="1:9" x14ac:dyDescent="0.2">
      <c r="A3925" s="2">
        <v>18</v>
      </c>
      <c r="B3925" s="1" t="s">
        <v>243</v>
      </c>
      <c r="C3925" s="4">
        <v>3</v>
      </c>
      <c r="D3925" s="8">
        <v>1.6</v>
      </c>
      <c r="E3925" s="4">
        <v>2</v>
      </c>
      <c r="F3925" s="8">
        <v>2.41</v>
      </c>
      <c r="G3925" s="4">
        <v>1</v>
      </c>
      <c r="H3925" s="8">
        <v>1.03</v>
      </c>
      <c r="I3925" s="4">
        <v>0</v>
      </c>
    </row>
    <row r="3926" spans="1:9" x14ac:dyDescent="0.2">
      <c r="A3926" s="2">
        <v>20</v>
      </c>
      <c r="B3926" s="1" t="s">
        <v>262</v>
      </c>
      <c r="C3926" s="4">
        <v>2</v>
      </c>
      <c r="D3926" s="8">
        <v>1.07</v>
      </c>
      <c r="E3926" s="4">
        <v>0</v>
      </c>
      <c r="F3926" s="8">
        <v>0</v>
      </c>
      <c r="G3926" s="4">
        <v>2</v>
      </c>
      <c r="H3926" s="8">
        <v>2.06</v>
      </c>
      <c r="I3926" s="4">
        <v>0</v>
      </c>
    </row>
    <row r="3927" spans="1:9" x14ac:dyDescent="0.2">
      <c r="A3927" s="2">
        <v>20</v>
      </c>
      <c r="B3927" s="1" t="s">
        <v>244</v>
      </c>
      <c r="C3927" s="4">
        <v>2</v>
      </c>
      <c r="D3927" s="8">
        <v>1.07</v>
      </c>
      <c r="E3927" s="4">
        <v>0</v>
      </c>
      <c r="F3927" s="8">
        <v>0</v>
      </c>
      <c r="G3927" s="4">
        <v>2</v>
      </c>
      <c r="H3927" s="8">
        <v>2.06</v>
      </c>
      <c r="I3927" s="4">
        <v>0</v>
      </c>
    </row>
    <row r="3928" spans="1:9" x14ac:dyDescent="0.2">
      <c r="A3928" s="2">
        <v>20</v>
      </c>
      <c r="B3928" s="1" t="s">
        <v>258</v>
      </c>
      <c r="C3928" s="4">
        <v>2</v>
      </c>
      <c r="D3928" s="8">
        <v>1.07</v>
      </c>
      <c r="E3928" s="4">
        <v>1</v>
      </c>
      <c r="F3928" s="8">
        <v>1.2</v>
      </c>
      <c r="G3928" s="4">
        <v>1</v>
      </c>
      <c r="H3928" s="8">
        <v>1.03</v>
      </c>
      <c r="I3928" s="4">
        <v>0</v>
      </c>
    </row>
    <row r="3929" spans="1:9" x14ac:dyDescent="0.2">
      <c r="A3929" s="2">
        <v>20</v>
      </c>
      <c r="B3929" s="1" t="s">
        <v>237</v>
      </c>
      <c r="C3929" s="4">
        <v>2</v>
      </c>
      <c r="D3929" s="8">
        <v>1.07</v>
      </c>
      <c r="E3929" s="4">
        <v>0</v>
      </c>
      <c r="F3929" s="8">
        <v>0</v>
      </c>
      <c r="G3929" s="4">
        <v>2</v>
      </c>
      <c r="H3929" s="8">
        <v>2.06</v>
      </c>
      <c r="I3929" s="4">
        <v>0</v>
      </c>
    </row>
    <row r="3930" spans="1:9" x14ac:dyDescent="0.2">
      <c r="A3930" s="2">
        <v>20</v>
      </c>
      <c r="B3930" s="1" t="s">
        <v>225</v>
      </c>
      <c r="C3930" s="4">
        <v>2</v>
      </c>
      <c r="D3930" s="8">
        <v>1.07</v>
      </c>
      <c r="E3930" s="4">
        <v>2</v>
      </c>
      <c r="F3930" s="8">
        <v>2.41</v>
      </c>
      <c r="G3930" s="4">
        <v>0</v>
      </c>
      <c r="H3930" s="8">
        <v>0</v>
      </c>
      <c r="I3930" s="4">
        <v>0</v>
      </c>
    </row>
    <row r="3931" spans="1:9" x14ac:dyDescent="0.2">
      <c r="A3931" s="2">
        <v>20</v>
      </c>
      <c r="B3931" s="1" t="s">
        <v>247</v>
      </c>
      <c r="C3931" s="4">
        <v>2</v>
      </c>
      <c r="D3931" s="8">
        <v>1.07</v>
      </c>
      <c r="E3931" s="4">
        <v>1</v>
      </c>
      <c r="F3931" s="8">
        <v>1.2</v>
      </c>
      <c r="G3931" s="4">
        <v>1</v>
      </c>
      <c r="H3931" s="8">
        <v>1.03</v>
      </c>
      <c r="I3931" s="4">
        <v>0</v>
      </c>
    </row>
    <row r="3932" spans="1:9" x14ac:dyDescent="0.2">
      <c r="A3932" s="2">
        <v>20</v>
      </c>
      <c r="B3932" s="1" t="s">
        <v>234</v>
      </c>
      <c r="C3932" s="4">
        <v>2</v>
      </c>
      <c r="D3932" s="8">
        <v>1.07</v>
      </c>
      <c r="E3932" s="4">
        <v>0</v>
      </c>
      <c r="F3932" s="8">
        <v>0</v>
      </c>
      <c r="G3932" s="4">
        <v>2</v>
      </c>
      <c r="H3932" s="8">
        <v>2.06</v>
      </c>
      <c r="I3932" s="4">
        <v>0</v>
      </c>
    </row>
    <row r="3933" spans="1:9" x14ac:dyDescent="0.2">
      <c r="A3933" s="1"/>
      <c r="C3933" s="4"/>
      <c r="D3933" s="8"/>
      <c r="E3933" s="4"/>
      <c r="F3933" s="8"/>
      <c r="G3933" s="4"/>
      <c r="H3933" s="8"/>
      <c r="I3933" s="4"/>
    </row>
    <row r="3934" spans="1:9" x14ac:dyDescent="0.2">
      <c r="A3934" s="1" t="s">
        <v>153</v>
      </c>
      <c r="C3934" s="4"/>
      <c r="D3934" s="8"/>
      <c r="E3934" s="4"/>
      <c r="F3934" s="8"/>
      <c r="G3934" s="4"/>
      <c r="H3934" s="8"/>
      <c r="I3934" s="4"/>
    </row>
    <row r="3935" spans="1:9" x14ac:dyDescent="0.2">
      <c r="A3935" s="2">
        <v>1</v>
      </c>
      <c r="B3935" s="1" t="s">
        <v>227</v>
      </c>
      <c r="C3935" s="4">
        <v>37</v>
      </c>
      <c r="D3935" s="8">
        <v>17.54</v>
      </c>
      <c r="E3935" s="4">
        <v>33</v>
      </c>
      <c r="F3935" s="8">
        <v>28.95</v>
      </c>
      <c r="G3935" s="4">
        <v>4</v>
      </c>
      <c r="H3935" s="8">
        <v>4.49</v>
      </c>
      <c r="I3935" s="4">
        <v>0</v>
      </c>
    </row>
    <row r="3936" spans="1:9" x14ac:dyDescent="0.2">
      <c r="A3936" s="2">
        <v>2</v>
      </c>
      <c r="B3936" s="1" t="s">
        <v>213</v>
      </c>
      <c r="C3936" s="4">
        <v>17</v>
      </c>
      <c r="D3936" s="8">
        <v>8.06</v>
      </c>
      <c r="E3936" s="4">
        <v>4</v>
      </c>
      <c r="F3936" s="8">
        <v>3.51</v>
      </c>
      <c r="G3936" s="4">
        <v>13</v>
      </c>
      <c r="H3936" s="8">
        <v>14.61</v>
      </c>
      <c r="I3936" s="4">
        <v>0</v>
      </c>
    </row>
    <row r="3937" spans="1:9" x14ac:dyDescent="0.2">
      <c r="A3937" s="2">
        <v>3</v>
      </c>
      <c r="B3937" s="1" t="s">
        <v>224</v>
      </c>
      <c r="C3937" s="4">
        <v>16</v>
      </c>
      <c r="D3937" s="8">
        <v>7.58</v>
      </c>
      <c r="E3937" s="4">
        <v>12</v>
      </c>
      <c r="F3937" s="8">
        <v>10.53</v>
      </c>
      <c r="G3937" s="4">
        <v>4</v>
      </c>
      <c r="H3937" s="8">
        <v>4.49</v>
      </c>
      <c r="I3937" s="4">
        <v>0</v>
      </c>
    </row>
    <row r="3938" spans="1:9" x14ac:dyDescent="0.2">
      <c r="A3938" s="2">
        <v>3</v>
      </c>
      <c r="B3938" s="1" t="s">
        <v>228</v>
      </c>
      <c r="C3938" s="4">
        <v>16</v>
      </c>
      <c r="D3938" s="8">
        <v>7.58</v>
      </c>
      <c r="E3938" s="4">
        <v>14</v>
      </c>
      <c r="F3938" s="8">
        <v>12.28</v>
      </c>
      <c r="G3938" s="4">
        <v>2</v>
      </c>
      <c r="H3938" s="8">
        <v>2.25</v>
      </c>
      <c r="I3938" s="4">
        <v>0</v>
      </c>
    </row>
    <row r="3939" spans="1:9" x14ac:dyDescent="0.2">
      <c r="A3939" s="2">
        <v>5</v>
      </c>
      <c r="B3939" s="1" t="s">
        <v>223</v>
      </c>
      <c r="C3939" s="4">
        <v>13</v>
      </c>
      <c r="D3939" s="8">
        <v>6.16</v>
      </c>
      <c r="E3939" s="4">
        <v>6</v>
      </c>
      <c r="F3939" s="8">
        <v>5.26</v>
      </c>
      <c r="G3939" s="4">
        <v>7</v>
      </c>
      <c r="H3939" s="8">
        <v>7.87</v>
      </c>
      <c r="I3939" s="4">
        <v>0</v>
      </c>
    </row>
    <row r="3940" spans="1:9" x14ac:dyDescent="0.2">
      <c r="A3940" s="2">
        <v>6</v>
      </c>
      <c r="B3940" s="1" t="s">
        <v>221</v>
      </c>
      <c r="C3940" s="4">
        <v>12</v>
      </c>
      <c r="D3940" s="8">
        <v>5.69</v>
      </c>
      <c r="E3940" s="4">
        <v>10</v>
      </c>
      <c r="F3940" s="8">
        <v>8.77</v>
      </c>
      <c r="G3940" s="4">
        <v>2</v>
      </c>
      <c r="H3940" s="8">
        <v>2.25</v>
      </c>
      <c r="I3940" s="4">
        <v>0</v>
      </c>
    </row>
    <row r="3941" spans="1:9" x14ac:dyDescent="0.2">
      <c r="A3941" s="2">
        <v>7</v>
      </c>
      <c r="B3941" s="1" t="s">
        <v>214</v>
      </c>
      <c r="C3941" s="4">
        <v>10</v>
      </c>
      <c r="D3941" s="8">
        <v>4.74</v>
      </c>
      <c r="E3941" s="4">
        <v>6</v>
      </c>
      <c r="F3941" s="8">
        <v>5.26</v>
      </c>
      <c r="G3941" s="4">
        <v>4</v>
      </c>
      <c r="H3941" s="8">
        <v>4.49</v>
      </c>
      <c r="I3941" s="4">
        <v>0</v>
      </c>
    </row>
    <row r="3942" spans="1:9" x14ac:dyDescent="0.2">
      <c r="A3942" s="2">
        <v>8</v>
      </c>
      <c r="B3942" s="1" t="s">
        <v>215</v>
      </c>
      <c r="C3942" s="4">
        <v>7</v>
      </c>
      <c r="D3942" s="8">
        <v>3.32</v>
      </c>
      <c r="E3942" s="4">
        <v>3</v>
      </c>
      <c r="F3942" s="8">
        <v>2.63</v>
      </c>
      <c r="G3942" s="4">
        <v>4</v>
      </c>
      <c r="H3942" s="8">
        <v>4.49</v>
      </c>
      <c r="I3942" s="4">
        <v>0</v>
      </c>
    </row>
    <row r="3943" spans="1:9" x14ac:dyDescent="0.2">
      <c r="A3943" s="2">
        <v>8</v>
      </c>
      <c r="B3943" s="1" t="s">
        <v>244</v>
      </c>
      <c r="C3943" s="4">
        <v>7</v>
      </c>
      <c r="D3943" s="8">
        <v>3.32</v>
      </c>
      <c r="E3943" s="4">
        <v>0</v>
      </c>
      <c r="F3943" s="8">
        <v>0</v>
      </c>
      <c r="G3943" s="4">
        <v>7</v>
      </c>
      <c r="H3943" s="8">
        <v>7.87</v>
      </c>
      <c r="I3943" s="4">
        <v>0</v>
      </c>
    </row>
    <row r="3944" spans="1:9" x14ac:dyDescent="0.2">
      <c r="A3944" s="2">
        <v>8</v>
      </c>
      <c r="B3944" s="1" t="s">
        <v>232</v>
      </c>
      <c r="C3944" s="4">
        <v>7</v>
      </c>
      <c r="D3944" s="8">
        <v>3.32</v>
      </c>
      <c r="E3944" s="4">
        <v>0</v>
      </c>
      <c r="F3944" s="8">
        <v>0</v>
      </c>
      <c r="G3944" s="4">
        <v>5</v>
      </c>
      <c r="H3944" s="8">
        <v>5.62</v>
      </c>
      <c r="I3944" s="4">
        <v>0</v>
      </c>
    </row>
    <row r="3945" spans="1:9" x14ac:dyDescent="0.2">
      <c r="A3945" s="2">
        <v>11</v>
      </c>
      <c r="B3945" s="1" t="s">
        <v>241</v>
      </c>
      <c r="C3945" s="4">
        <v>6</v>
      </c>
      <c r="D3945" s="8">
        <v>2.84</v>
      </c>
      <c r="E3945" s="4">
        <v>4</v>
      </c>
      <c r="F3945" s="8">
        <v>3.51</v>
      </c>
      <c r="G3945" s="4">
        <v>2</v>
      </c>
      <c r="H3945" s="8">
        <v>2.25</v>
      </c>
      <c r="I3945" s="4">
        <v>0</v>
      </c>
    </row>
    <row r="3946" spans="1:9" x14ac:dyDescent="0.2">
      <c r="A3946" s="2">
        <v>11</v>
      </c>
      <c r="B3946" s="1" t="s">
        <v>222</v>
      </c>
      <c r="C3946" s="4">
        <v>6</v>
      </c>
      <c r="D3946" s="8">
        <v>2.84</v>
      </c>
      <c r="E3946" s="4">
        <v>4</v>
      </c>
      <c r="F3946" s="8">
        <v>3.51</v>
      </c>
      <c r="G3946" s="4">
        <v>2</v>
      </c>
      <c r="H3946" s="8">
        <v>2.25</v>
      </c>
      <c r="I3946" s="4">
        <v>0</v>
      </c>
    </row>
    <row r="3947" spans="1:9" x14ac:dyDescent="0.2">
      <c r="A3947" s="2">
        <v>11</v>
      </c>
      <c r="B3947" s="1" t="s">
        <v>239</v>
      </c>
      <c r="C3947" s="4">
        <v>6</v>
      </c>
      <c r="D3947" s="8">
        <v>2.84</v>
      </c>
      <c r="E3947" s="4">
        <v>1</v>
      </c>
      <c r="F3947" s="8">
        <v>0.88</v>
      </c>
      <c r="G3947" s="4">
        <v>3</v>
      </c>
      <c r="H3947" s="8">
        <v>3.37</v>
      </c>
      <c r="I3947" s="4">
        <v>0</v>
      </c>
    </row>
    <row r="3948" spans="1:9" x14ac:dyDescent="0.2">
      <c r="A3948" s="2">
        <v>14</v>
      </c>
      <c r="B3948" s="1" t="s">
        <v>226</v>
      </c>
      <c r="C3948" s="4">
        <v>5</v>
      </c>
      <c r="D3948" s="8">
        <v>2.37</v>
      </c>
      <c r="E3948" s="4">
        <v>1</v>
      </c>
      <c r="F3948" s="8">
        <v>0.88</v>
      </c>
      <c r="G3948" s="4">
        <v>4</v>
      </c>
      <c r="H3948" s="8">
        <v>4.49</v>
      </c>
      <c r="I3948" s="4">
        <v>0</v>
      </c>
    </row>
    <row r="3949" spans="1:9" x14ac:dyDescent="0.2">
      <c r="A3949" s="2">
        <v>14</v>
      </c>
      <c r="B3949" s="1" t="s">
        <v>231</v>
      </c>
      <c r="C3949" s="4">
        <v>5</v>
      </c>
      <c r="D3949" s="8">
        <v>2.37</v>
      </c>
      <c r="E3949" s="4">
        <v>5</v>
      </c>
      <c r="F3949" s="8">
        <v>4.3899999999999997</v>
      </c>
      <c r="G3949" s="4">
        <v>0</v>
      </c>
      <c r="H3949" s="8">
        <v>0</v>
      </c>
      <c r="I3949" s="4">
        <v>0</v>
      </c>
    </row>
    <row r="3950" spans="1:9" x14ac:dyDescent="0.2">
      <c r="A3950" s="2">
        <v>16</v>
      </c>
      <c r="B3950" s="1" t="s">
        <v>219</v>
      </c>
      <c r="C3950" s="4">
        <v>4</v>
      </c>
      <c r="D3950" s="8">
        <v>1.9</v>
      </c>
      <c r="E3950" s="4">
        <v>0</v>
      </c>
      <c r="F3950" s="8">
        <v>0</v>
      </c>
      <c r="G3950" s="4">
        <v>4</v>
      </c>
      <c r="H3950" s="8">
        <v>4.49</v>
      </c>
      <c r="I3950" s="4">
        <v>0</v>
      </c>
    </row>
    <row r="3951" spans="1:9" x14ac:dyDescent="0.2">
      <c r="A3951" s="2">
        <v>16</v>
      </c>
      <c r="B3951" s="1" t="s">
        <v>234</v>
      </c>
      <c r="C3951" s="4">
        <v>4</v>
      </c>
      <c r="D3951" s="8">
        <v>1.9</v>
      </c>
      <c r="E3951" s="4">
        <v>0</v>
      </c>
      <c r="F3951" s="8">
        <v>0</v>
      </c>
      <c r="G3951" s="4">
        <v>3</v>
      </c>
      <c r="H3951" s="8">
        <v>3.37</v>
      </c>
      <c r="I3951" s="4">
        <v>1</v>
      </c>
    </row>
    <row r="3952" spans="1:9" x14ac:dyDescent="0.2">
      <c r="A3952" s="2">
        <v>18</v>
      </c>
      <c r="B3952" s="1" t="s">
        <v>273</v>
      </c>
      <c r="C3952" s="4">
        <v>3</v>
      </c>
      <c r="D3952" s="8">
        <v>1.42</v>
      </c>
      <c r="E3952" s="4">
        <v>0</v>
      </c>
      <c r="F3952" s="8">
        <v>0</v>
      </c>
      <c r="G3952" s="4">
        <v>3</v>
      </c>
      <c r="H3952" s="8">
        <v>3.37</v>
      </c>
      <c r="I3952" s="4">
        <v>0</v>
      </c>
    </row>
    <row r="3953" spans="1:9" x14ac:dyDescent="0.2">
      <c r="A3953" s="2">
        <v>18</v>
      </c>
      <c r="B3953" s="1" t="s">
        <v>220</v>
      </c>
      <c r="C3953" s="4">
        <v>3</v>
      </c>
      <c r="D3953" s="8">
        <v>1.42</v>
      </c>
      <c r="E3953" s="4">
        <v>2</v>
      </c>
      <c r="F3953" s="8">
        <v>1.75</v>
      </c>
      <c r="G3953" s="4">
        <v>1</v>
      </c>
      <c r="H3953" s="8">
        <v>1.1200000000000001</v>
      </c>
      <c r="I3953" s="4">
        <v>0</v>
      </c>
    </row>
    <row r="3954" spans="1:9" x14ac:dyDescent="0.2">
      <c r="A3954" s="2">
        <v>18</v>
      </c>
      <c r="B3954" s="1" t="s">
        <v>236</v>
      </c>
      <c r="C3954" s="4">
        <v>3</v>
      </c>
      <c r="D3954" s="8">
        <v>1.42</v>
      </c>
      <c r="E3954" s="4">
        <v>0</v>
      </c>
      <c r="F3954" s="8">
        <v>0</v>
      </c>
      <c r="G3954" s="4">
        <v>3</v>
      </c>
      <c r="H3954" s="8">
        <v>3.37</v>
      </c>
      <c r="I3954" s="4">
        <v>0</v>
      </c>
    </row>
    <row r="3955" spans="1:9" x14ac:dyDescent="0.2">
      <c r="A3955" s="2">
        <v>18</v>
      </c>
      <c r="B3955" s="1" t="s">
        <v>230</v>
      </c>
      <c r="C3955" s="4">
        <v>3</v>
      </c>
      <c r="D3955" s="8">
        <v>1.42</v>
      </c>
      <c r="E3955" s="4">
        <v>1</v>
      </c>
      <c r="F3955" s="8">
        <v>0.88</v>
      </c>
      <c r="G3955" s="4">
        <v>0</v>
      </c>
      <c r="H3955" s="8">
        <v>0</v>
      </c>
      <c r="I3955" s="4">
        <v>0</v>
      </c>
    </row>
    <row r="3956" spans="1:9" x14ac:dyDescent="0.2">
      <c r="A3956" s="1"/>
      <c r="C3956" s="4"/>
      <c r="D3956" s="8"/>
      <c r="E3956" s="4"/>
      <c r="F3956" s="8"/>
      <c r="G3956" s="4"/>
      <c r="H3956" s="8"/>
      <c r="I3956" s="4"/>
    </row>
    <row r="3957" spans="1:9" x14ac:dyDescent="0.2">
      <c r="A3957" s="1" t="s">
        <v>154</v>
      </c>
      <c r="C3957" s="4"/>
      <c r="D3957" s="8"/>
      <c r="E3957" s="4"/>
      <c r="F3957" s="8"/>
      <c r="G3957" s="4"/>
      <c r="H3957" s="8"/>
      <c r="I3957" s="4"/>
    </row>
    <row r="3958" spans="1:9" x14ac:dyDescent="0.2">
      <c r="A3958" s="2">
        <v>1</v>
      </c>
      <c r="B3958" s="1" t="s">
        <v>227</v>
      </c>
      <c r="C3958" s="4">
        <v>44</v>
      </c>
      <c r="D3958" s="8">
        <v>14.86</v>
      </c>
      <c r="E3958" s="4">
        <v>37</v>
      </c>
      <c r="F3958" s="8">
        <v>25.34</v>
      </c>
      <c r="G3958" s="4">
        <v>7</v>
      </c>
      <c r="H3958" s="8">
        <v>5.1100000000000003</v>
      </c>
      <c r="I3958" s="4">
        <v>0</v>
      </c>
    </row>
    <row r="3959" spans="1:9" x14ac:dyDescent="0.2">
      <c r="A3959" s="2">
        <v>2</v>
      </c>
      <c r="B3959" s="1" t="s">
        <v>228</v>
      </c>
      <c r="C3959" s="4">
        <v>34</v>
      </c>
      <c r="D3959" s="8">
        <v>11.49</v>
      </c>
      <c r="E3959" s="4">
        <v>32</v>
      </c>
      <c r="F3959" s="8">
        <v>21.92</v>
      </c>
      <c r="G3959" s="4">
        <v>2</v>
      </c>
      <c r="H3959" s="8">
        <v>1.46</v>
      </c>
      <c r="I3959" s="4">
        <v>0</v>
      </c>
    </row>
    <row r="3960" spans="1:9" x14ac:dyDescent="0.2">
      <c r="A3960" s="2">
        <v>3</v>
      </c>
      <c r="B3960" s="1" t="s">
        <v>223</v>
      </c>
      <c r="C3960" s="4">
        <v>32</v>
      </c>
      <c r="D3960" s="8">
        <v>10.81</v>
      </c>
      <c r="E3960" s="4">
        <v>11</v>
      </c>
      <c r="F3960" s="8">
        <v>7.53</v>
      </c>
      <c r="G3960" s="4">
        <v>21</v>
      </c>
      <c r="H3960" s="8">
        <v>15.33</v>
      </c>
      <c r="I3960" s="4">
        <v>0</v>
      </c>
    </row>
    <row r="3961" spans="1:9" x14ac:dyDescent="0.2">
      <c r="A3961" s="2">
        <v>4</v>
      </c>
      <c r="B3961" s="1" t="s">
        <v>213</v>
      </c>
      <c r="C3961" s="4">
        <v>13</v>
      </c>
      <c r="D3961" s="8">
        <v>4.3899999999999997</v>
      </c>
      <c r="E3961" s="4">
        <v>1</v>
      </c>
      <c r="F3961" s="8">
        <v>0.68</v>
      </c>
      <c r="G3961" s="4">
        <v>12</v>
      </c>
      <c r="H3961" s="8">
        <v>8.76</v>
      </c>
      <c r="I3961" s="4">
        <v>0</v>
      </c>
    </row>
    <row r="3962" spans="1:9" x14ac:dyDescent="0.2">
      <c r="A3962" s="2">
        <v>4</v>
      </c>
      <c r="B3962" s="1" t="s">
        <v>215</v>
      </c>
      <c r="C3962" s="4">
        <v>13</v>
      </c>
      <c r="D3962" s="8">
        <v>4.3899999999999997</v>
      </c>
      <c r="E3962" s="4">
        <v>2</v>
      </c>
      <c r="F3962" s="8">
        <v>1.37</v>
      </c>
      <c r="G3962" s="4">
        <v>11</v>
      </c>
      <c r="H3962" s="8">
        <v>8.0299999999999994</v>
      </c>
      <c r="I3962" s="4">
        <v>0</v>
      </c>
    </row>
    <row r="3963" spans="1:9" x14ac:dyDescent="0.2">
      <c r="A3963" s="2">
        <v>4</v>
      </c>
      <c r="B3963" s="1" t="s">
        <v>221</v>
      </c>
      <c r="C3963" s="4">
        <v>13</v>
      </c>
      <c r="D3963" s="8">
        <v>4.3899999999999997</v>
      </c>
      <c r="E3963" s="4">
        <v>8</v>
      </c>
      <c r="F3963" s="8">
        <v>5.48</v>
      </c>
      <c r="G3963" s="4">
        <v>5</v>
      </c>
      <c r="H3963" s="8">
        <v>3.65</v>
      </c>
      <c r="I3963" s="4">
        <v>0</v>
      </c>
    </row>
    <row r="3964" spans="1:9" x14ac:dyDescent="0.2">
      <c r="A3964" s="2">
        <v>4</v>
      </c>
      <c r="B3964" s="1" t="s">
        <v>243</v>
      </c>
      <c r="C3964" s="4">
        <v>13</v>
      </c>
      <c r="D3964" s="8">
        <v>4.3899999999999997</v>
      </c>
      <c r="E3964" s="4">
        <v>10</v>
      </c>
      <c r="F3964" s="8">
        <v>6.85</v>
      </c>
      <c r="G3964" s="4">
        <v>2</v>
      </c>
      <c r="H3964" s="8">
        <v>1.46</v>
      </c>
      <c r="I3964" s="4">
        <v>0</v>
      </c>
    </row>
    <row r="3965" spans="1:9" x14ac:dyDescent="0.2">
      <c r="A3965" s="2">
        <v>8</v>
      </c>
      <c r="B3965" s="1" t="s">
        <v>232</v>
      </c>
      <c r="C3965" s="4">
        <v>11</v>
      </c>
      <c r="D3965" s="8">
        <v>3.72</v>
      </c>
      <c r="E3965" s="4">
        <v>0</v>
      </c>
      <c r="F3965" s="8">
        <v>0</v>
      </c>
      <c r="G3965" s="4">
        <v>4</v>
      </c>
      <c r="H3965" s="8">
        <v>2.92</v>
      </c>
      <c r="I3965" s="4">
        <v>0</v>
      </c>
    </row>
    <row r="3966" spans="1:9" x14ac:dyDescent="0.2">
      <c r="A3966" s="2">
        <v>9</v>
      </c>
      <c r="B3966" s="1" t="s">
        <v>222</v>
      </c>
      <c r="C3966" s="4">
        <v>10</v>
      </c>
      <c r="D3966" s="8">
        <v>3.38</v>
      </c>
      <c r="E3966" s="4">
        <v>6</v>
      </c>
      <c r="F3966" s="8">
        <v>4.1100000000000003</v>
      </c>
      <c r="G3966" s="4">
        <v>4</v>
      </c>
      <c r="H3966" s="8">
        <v>2.92</v>
      </c>
      <c r="I3966" s="4">
        <v>0</v>
      </c>
    </row>
    <row r="3967" spans="1:9" x14ac:dyDescent="0.2">
      <c r="A3967" s="2">
        <v>9</v>
      </c>
      <c r="B3967" s="1" t="s">
        <v>230</v>
      </c>
      <c r="C3967" s="4">
        <v>10</v>
      </c>
      <c r="D3967" s="8">
        <v>3.38</v>
      </c>
      <c r="E3967" s="4">
        <v>8</v>
      </c>
      <c r="F3967" s="8">
        <v>5.48</v>
      </c>
      <c r="G3967" s="4">
        <v>0</v>
      </c>
      <c r="H3967" s="8">
        <v>0</v>
      </c>
      <c r="I3967" s="4">
        <v>0</v>
      </c>
    </row>
    <row r="3968" spans="1:9" x14ac:dyDescent="0.2">
      <c r="A3968" s="2">
        <v>11</v>
      </c>
      <c r="B3968" s="1" t="s">
        <v>247</v>
      </c>
      <c r="C3968" s="4">
        <v>9</v>
      </c>
      <c r="D3968" s="8">
        <v>3.04</v>
      </c>
      <c r="E3968" s="4">
        <v>5</v>
      </c>
      <c r="F3968" s="8">
        <v>3.42</v>
      </c>
      <c r="G3968" s="4">
        <v>3</v>
      </c>
      <c r="H3968" s="8">
        <v>2.19</v>
      </c>
      <c r="I3968" s="4">
        <v>0</v>
      </c>
    </row>
    <row r="3969" spans="1:9" x14ac:dyDescent="0.2">
      <c r="A3969" s="2">
        <v>12</v>
      </c>
      <c r="B3969" s="1" t="s">
        <v>226</v>
      </c>
      <c r="C3969" s="4">
        <v>8</v>
      </c>
      <c r="D3969" s="8">
        <v>2.7</v>
      </c>
      <c r="E3969" s="4">
        <v>2</v>
      </c>
      <c r="F3969" s="8">
        <v>1.37</v>
      </c>
      <c r="G3969" s="4">
        <v>6</v>
      </c>
      <c r="H3969" s="8">
        <v>4.38</v>
      </c>
      <c r="I3969" s="4">
        <v>0</v>
      </c>
    </row>
    <row r="3970" spans="1:9" x14ac:dyDescent="0.2">
      <c r="A3970" s="2">
        <v>13</v>
      </c>
      <c r="B3970" s="1" t="s">
        <v>214</v>
      </c>
      <c r="C3970" s="4">
        <v>7</v>
      </c>
      <c r="D3970" s="8">
        <v>2.36</v>
      </c>
      <c r="E3970" s="4">
        <v>3</v>
      </c>
      <c r="F3970" s="8">
        <v>2.0499999999999998</v>
      </c>
      <c r="G3970" s="4">
        <v>4</v>
      </c>
      <c r="H3970" s="8">
        <v>2.92</v>
      </c>
      <c r="I3970" s="4">
        <v>0</v>
      </c>
    </row>
    <row r="3971" spans="1:9" x14ac:dyDescent="0.2">
      <c r="A3971" s="2">
        <v>13</v>
      </c>
      <c r="B3971" s="1" t="s">
        <v>231</v>
      </c>
      <c r="C3971" s="4">
        <v>7</v>
      </c>
      <c r="D3971" s="8">
        <v>2.36</v>
      </c>
      <c r="E3971" s="4">
        <v>7</v>
      </c>
      <c r="F3971" s="8">
        <v>4.79</v>
      </c>
      <c r="G3971" s="4">
        <v>0</v>
      </c>
      <c r="H3971" s="8">
        <v>0</v>
      </c>
      <c r="I3971" s="4">
        <v>0</v>
      </c>
    </row>
    <row r="3972" spans="1:9" x14ac:dyDescent="0.2">
      <c r="A3972" s="2">
        <v>13</v>
      </c>
      <c r="B3972" s="1" t="s">
        <v>240</v>
      </c>
      <c r="C3972" s="4">
        <v>7</v>
      </c>
      <c r="D3972" s="8">
        <v>2.36</v>
      </c>
      <c r="E3972" s="4">
        <v>2</v>
      </c>
      <c r="F3972" s="8">
        <v>1.37</v>
      </c>
      <c r="G3972" s="4">
        <v>5</v>
      </c>
      <c r="H3972" s="8">
        <v>3.65</v>
      </c>
      <c r="I3972" s="4">
        <v>0</v>
      </c>
    </row>
    <row r="3973" spans="1:9" x14ac:dyDescent="0.2">
      <c r="A3973" s="2">
        <v>16</v>
      </c>
      <c r="B3973" s="1" t="s">
        <v>224</v>
      </c>
      <c r="C3973" s="4">
        <v>6</v>
      </c>
      <c r="D3973" s="8">
        <v>2.0299999999999998</v>
      </c>
      <c r="E3973" s="4">
        <v>2</v>
      </c>
      <c r="F3973" s="8">
        <v>1.37</v>
      </c>
      <c r="G3973" s="4">
        <v>4</v>
      </c>
      <c r="H3973" s="8">
        <v>2.92</v>
      </c>
      <c r="I3973" s="4">
        <v>0</v>
      </c>
    </row>
    <row r="3974" spans="1:9" x14ac:dyDescent="0.2">
      <c r="A3974" s="2">
        <v>17</v>
      </c>
      <c r="B3974" s="1" t="s">
        <v>241</v>
      </c>
      <c r="C3974" s="4">
        <v>5</v>
      </c>
      <c r="D3974" s="8">
        <v>1.69</v>
      </c>
      <c r="E3974" s="4">
        <v>1</v>
      </c>
      <c r="F3974" s="8">
        <v>0.68</v>
      </c>
      <c r="G3974" s="4">
        <v>4</v>
      </c>
      <c r="H3974" s="8">
        <v>2.92</v>
      </c>
      <c r="I3974" s="4">
        <v>0</v>
      </c>
    </row>
    <row r="3975" spans="1:9" x14ac:dyDescent="0.2">
      <c r="A3975" s="2">
        <v>17</v>
      </c>
      <c r="B3975" s="1" t="s">
        <v>225</v>
      </c>
      <c r="C3975" s="4">
        <v>5</v>
      </c>
      <c r="D3975" s="8">
        <v>1.69</v>
      </c>
      <c r="E3975" s="4">
        <v>3</v>
      </c>
      <c r="F3975" s="8">
        <v>2.0499999999999998</v>
      </c>
      <c r="G3975" s="4">
        <v>2</v>
      </c>
      <c r="H3975" s="8">
        <v>1.46</v>
      </c>
      <c r="I3975" s="4">
        <v>0</v>
      </c>
    </row>
    <row r="3976" spans="1:9" x14ac:dyDescent="0.2">
      <c r="A3976" s="2">
        <v>19</v>
      </c>
      <c r="B3976" s="1" t="s">
        <v>254</v>
      </c>
      <c r="C3976" s="4">
        <v>4</v>
      </c>
      <c r="D3976" s="8">
        <v>1.35</v>
      </c>
      <c r="E3976" s="4">
        <v>0</v>
      </c>
      <c r="F3976" s="8">
        <v>0</v>
      </c>
      <c r="G3976" s="4">
        <v>4</v>
      </c>
      <c r="H3976" s="8">
        <v>2.92</v>
      </c>
      <c r="I3976" s="4">
        <v>0</v>
      </c>
    </row>
    <row r="3977" spans="1:9" x14ac:dyDescent="0.2">
      <c r="A3977" s="2">
        <v>19</v>
      </c>
      <c r="B3977" s="1" t="s">
        <v>248</v>
      </c>
      <c r="C3977" s="4">
        <v>4</v>
      </c>
      <c r="D3977" s="8">
        <v>1.35</v>
      </c>
      <c r="E3977" s="4">
        <v>1</v>
      </c>
      <c r="F3977" s="8">
        <v>0.68</v>
      </c>
      <c r="G3977" s="4">
        <v>3</v>
      </c>
      <c r="H3977" s="8">
        <v>2.19</v>
      </c>
      <c r="I3977" s="4">
        <v>0</v>
      </c>
    </row>
    <row r="3978" spans="1:9" x14ac:dyDescent="0.2">
      <c r="A3978" s="2">
        <v>19</v>
      </c>
      <c r="B3978" s="1" t="s">
        <v>236</v>
      </c>
      <c r="C3978" s="4">
        <v>4</v>
      </c>
      <c r="D3978" s="8">
        <v>1.35</v>
      </c>
      <c r="E3978" s="4">
        <v>0</v>
      </c>
      <c r="F3978" s="8">
        <v>0</v>
      </c>
      <c r="G3978" s="4">
        <v>4</v>
      </c>
      <c r="H3978" s="8">
        <v>2.92</v>
      </c>
      <c r="I3978" s="4">
        <v>0</v>
      </c>
    </row>
    <row r="3979" spans="1:9" x14ac:dyDescent="0.2">
      <c r="A3979" s="1"/>
      <c r="C3979" s="4"/>
      <c r="D3979" s="8"/>
      <c r="E3979" s="4"/>
      <c r="F3979" s="8"/>
      <c r="G3979" s="4"/>
      <c r="H3979" s="8"/>
      <c r="I3979" s="4"/>
    </row>
    <row r="3980" spans="1:9" x14ac:dyDescent="0.2">
      <c r="A3980" s="1" t="s">
        <v>155</v>
      </c>
      <c r="C3980" s="4"/>
      <c r="D3980" s="8"/>
      <c r="E3980" s="4"/>
      <c r="F3980" s="8"/>
      <c r="G3980" s="4"/>
      <c r="H3980" s="8"/>
      <c r="I3980" s="4"/>
    </row>
    <row r="3981" spans="1:9" x14ac:dyDescent="0.2">
      <c r="A3981" s="2">
        <v>1</v>
      </c>
      <c r="B3981" s="1" t="s">
        <v>223</v>
      </c>
      <c r="C3981" s="4">
        <v>20</v>
      </c>
      <c r="D3981" s="8">
        <v>13.89</v>
      </c>
      <c r="E3981" s="4">
        <v>7</v>
      </c>
      <c r="F3981" s="8">
        <v>9.2100000000000009</v>
      </c>
      <c r="G3981" s="4">
        <v>13</v>
      </c>
      <c r="H3981" s="8">
        <v>22.81</v>
      </c>
      <c r="I3981" s="4">
        <v>0</v>
      </c>
    </row>
    <row r="3982" spans="1:9" x14ac:dyDescent="0.2">
      <c r="A3982" s="2">
        <v>2</v>
      </c>
      <c r="B3982" s="1" t="s">
        <v>227</v>
      </c>
      <c r="C3982" s="4">
        <v>16</v>
      </c>
      <c r="D3982" s="8">
        <v>11.11</v>
      </c>
      <c r="E3982" s="4">
        <v>14</v>
      </c>
      <c r="F3982" s="8">
        <v>18.420000000000002</v>
      </c>
      <c r="G3982" s="4">
        <v>2</v>
      </c>
      <c r="H3982" s="8">
        <v>3.51</v>
      </c>
      <c r="I3982" s="4">
        <v>0</v>
      </c>
    </row>
    <row r="3983" spans="1:9" x14ac:dyDescent="0.2">
      <c r="A3983" s="2">
        <v>3</v>
      </c>
      <c r="B3983" s="1" t="s">
        <v>213</v>
      </c>
      <c r="C3983" s="4">
        <v>13</v>
      </c>
      <c r="D3983" s="8">
        <v>9.0299999999999994</v>
      </c>
      <c r="E3983" s="4">
        <v>5</v>
      </c>
      <c r="F3983" s="8">
        <v>6.58</v>
      </c>
      <c r="G3983" s="4">
        <v>8</v>
      </c>
      <c r="H3983" s="8">
        <v>14.04</v>
      </c>
      <c r="I3983" s="4">
        <v>0</v>
      </c>
    </row>
    <row r="3984" spans="1:9" x14ac:dyDescent="0.2">
      <c r="A3984" s="2">
        <v>3</v>
      </c>
      <c r="B3984" s="1" t="s">
        <v>228</v>
      </c>
      <c r="C3984" s="4">
        <v>13</v>
      </c>
      <c r="D3984" s="8">
        <v>9.0299999999999994</v>
      </c>
      <c r="E3984" s="4">
        <v>13</v>
      </c>
      <c r="F3984" s="8">
        <v>17.11</v>
      </c>
      <c r="G3984" s="4">
        <v>0</v>
      </c>
      <c r="H3984" s="8">
        <v>0</v>
      </c>
      <c r="I3984" s="4">
        <v>0</v>
      </c>
    </row>
    <row r="3985" spans="1:9" x14ac:dyDescent="0.2">
      <c r="A3985" s="2">
        <v>5</v>
      </c>
      <c r="B3985" s="1" t="s">
        <v>221</v>
      </c>
      <c r="C3985" s="4">
        <v>8</v>
      </c>
      <c r="D3985" s="8">
        <v>5.56</v>
      </c>
      <c r="E3985" s="4">
        <v>4</v>
      </c>
      <c r="F3985" s="8">
        <v>5.26</v>
      </c>
      <c r="G3985" s="4">
        <v>4</v>
      </c>
      <c r="H3985" s="8">
        <v>7.02</v>
      </c>
      <c r="I3985" s="4">
        <v>0</v>
      </c>
    </row>
    <row r="3986" spans="1:9" x14ac:dyDescent="0.2">
      <c r="A3986" s="2">
        <v>6</v>
      </c>
      <c r="B3986" s="1" t="s">
        <v>214</v>
      </c>
      <c r="C3986" s="4">
        <v>7</v>
      </c>
      <c r="D3986" s="8">
        <v>4.8600000000000003</v>
      </c>
      <c r="E3986" s="4">
        <v>3</v>
      </c>
      <c r="F3986" s="8">
        <v>3.95</v>
      </c>
      <c r="G3986" s="4">
        <v>4</v>
      </c>
      <c r="H3986" s="8">
        <v>7.02</v>
      </c>
      <c r="I3986" s="4">
        <v>0</v>
      </c>
    </row>
    <row r="3987" spans="1:9" x14ac:dyDescent="0.2">
      <c r="A3987" s="2">
        <v>6</v>
      </c>
      <c r="B3987" s="1" t="s">
        <v>232</v>
      </c>
      <c r="C3987" s="4">
        <v>7</v>
      </c>
      <c r="D3987" s="8">
        <v>4.8600000000000003</v>
      </c>
      <c r="E3987" s="4">
        <v>0</v>
      </c>
      <c r="F3987" s="8">
        <v>0</v>
      </c>
      <c r="G3987" s="4">
        <v>2</v>
      </c>
      <c r="H3987" s="8">
        <v>3.51</v>
      </c>
      <c r="I3987" s="4">
        <v>0</v>
      </c>
    </row>
    <row r="3988" spans="1:9" x14ac:dyDescent="0.2">
      <c r="A3988" s="2">
        <v>8</v>
      </c>
      <c r="B3988" s="1" t="s">
        <v>222</v>
      </c>
      <c r="C3988" s="4">
        <v>6</v>
      </c>
      <c r="D3988" s="8">
        <v>4.17</v>
      </c>
      <c r="E3988" s="4">
        <v>2</v>
      </c>
      <c r="F3988" s="8">
        <v>2.63</v>
      </c>
      <c r="G3988" s="4">
        <v>4</v>
      </c>
      <c r="H3988" s="8">
        <v>7.02</v>
      </c>
      <c r="I3988" s="4">
        <v>0</v>
      </c>
    </row>
    <row r="3989" spans="1:9" x14ac:dyDescent="0.2">
      <c r="A3989" s="2">
        <v>9</v>
      </c>
      <c r="B3989" s="1" t="s">
        <v>230</v>
      </c>
      <c r="C3989" s="4">
        <v>5</v>
      </c>
      <c r="D3989" s="8">
        <v>3.47</v>
      </c>
      <c r="E3989" s="4">
        <v>3</v>
      </c>
      <c r="F3989" s="8">
        <v>3.95</v>
      </c>
      <c r="G3989" s="4">
        <v>0</v>
      </c>
      <c r="H3989" s="8">
        <v>0</v>
      </c>
      <c r="I3989" s="4">
        <v>0</v>
      </c>
    </row>
    <row r="3990" spans="1:9" x14ac:dyDescent="0.2">
      <c r="A3990" s="2">
        <v>9</v>
      </c>
      <c r="B3990" s="1" t="s">
        <v>240</v>
      </c>
      <c r="C3990" s="4">
        <v>5</v>
      </c>
      <c r="D3990" s="8">
        <v>3.47</v>
      </c>
      <c r="E3990" s="4">
        <v>3</v>
      </c>
      <c r="F3990" s="8">
        <v>3.95</v>
      </c>
      <c r="G3990" s="4">
        <v>2</v>
      </c>
      <c r="H3990" s="8">
        <v>3.51</v>
      </c>
      <c r="I3990" s="4">
        <v>0</v>
      </c>
    </row>
    <row r="3991" spans="1:9" x14ac:dyDescent="0.2">
      <c r="A3991" s="2">
        <v>11</v>
      </c>
      <c r="B3991" s="1" t="s">
        <v>243</v>
      </c>
      <c r="C3991" s="4">
        <v>4</v>
      </c>
      <c r="D3991" s="8">
        <v>2.78</v>
      </c>
      <c r="E3991" s="4">
        <v>4</v>
      </c>
      <c r="F3991" s="8">
        <v>5.26</v>
      </c>
      <c r="G3991" s="4">
        <v>0</v>
      </c>
      <c r="H3991" s="8">
        <v>0</v>
      </c>
      <c r="I3991" s="4">
        <v>0</v>
      </c>
    </row>
    <row r="3992" spans="1:9" x14ac:dyDescent="0.2">
      <c r="A3992" s="2">
        <v>11</v>
      </c>
      <c r="B3992" s="1" t="s">
        <v>231</v>
      </c>
      <c r="C3992" s="4">
        <v>4</v>
      </c>
      <c r="D3992" s="8">
        <v>2.78</v>
      </c>
      <c r="E3992" s="4">
        <v>3</v>
      </c>
      <c r="F3992" s="8">
        <v>3.95</v>
      </c>
      <c r="G3992" s="4">
        <v>1</v>
      </c>
      <c r="H3992" s="8">
        <v>1.75</v>
      </c>
      <c r="I3992" s="4">
        <v>0</v>
      </c>
    </row>
    <row r="3993" spans="1:9" x14ac:dyDescent="0.2">
      <c r="A3993" s="2">
        <v>13</v>
      </c>
      <c r="B3993" s="1" t="s">
        <v>215</v>
      </c>
      <c r="C3993" s="4">
        <v>3</v>
      </c>
      <c r="D3993" s="8">
        <v>2.08</v>
      </c>
      <c r="E3993" s="4">
        <v>2</v>
      </c>
      <c r="F3993" s="8">
        <v>2.63</v>
      </c>
      <c r="G3993" s="4">
        <v>1</v>
      </c>
      <c r="H3993" s="8">
        <v>1.75</v>
      </c>
      <c r="I3993" s="4">
        <v>0</v>
      </c>
    </row>
    <row r="3994" spans="1:9" x14ac:dyDescent="0.2">
      <c r="A3994" s="2">
        <v>13</v>
      </c>
      <c r="B3994" s="1" t="s">
        <v>254</v>
      </c>
      <c r="C3994" s="4">
        <v>3</v>
      </c>
      <c r="D3994" s="8">
        <v>2.08</v>
      </c>
      <c r="E3994" s="4">
        <v>1</v>
      </c>
      <c r="F3994" s="8">
        <v>1.32</v>
      </c>
      <c r="G3994" s="4">
        <v>2</v>
      </c>
      <c r="H3994" s="8">
        <v>3.51</v>
      </c>
      <c r="I3994" s="4">
        <v>0</v>
      </c>
    </row>
    <row r="3995" spans="1:9" x14ac:dyDescent="0.2">
      <c r="A3995" s="2">
        <v>13</v>
      </c>
      <c r="B3995" s="1" t="s">
        <v>219</v>
      </c>
      <c r="C3995" s="4">
        <v>3</v>
      </c>
      <c r="D3995" s="8">
        <v>2.08</v>
      </c>
      <c r="E3995" s="4">
        <v>2</v>
      </c>
      <c r="F3995" s="8">
        <v>2.63</v>
      </c>
      <c r="G3995" s="4">
        <v>1</v>
      </c>
      <c r="H3995" s="8">
        <v>1.75</v>
      </c>
      <c r="I3995" s="4">
        <v>0</v>
      </c>
    </row>
    <row r="3996" spans="1:9" x14ac:dyDescent="0.2">
      <c r="A3996" s="2">
        <v>13</v>
      </c>
      <c r="B3996" s="1" t="s">
        <v>224</v>
      </c>
      <c r="C3996" s="4">
        <v>3</v>
      </c>
      <c r="D3996" s="8">
        <v>2.08</v>
      </c>
      <c r="E3996" s="4">
        <v>2</v>
      </c>
      <c r="F3996" s="8">
        <v>2.63</v>
      </c>
      <c r="G3996" s="4">
        <v>1</v>
      </c>
      <c r="H3996" s="8">
        <v>1.75</v>
      </c>
      <c r="I3996" s="4">
        <v>0</v>
      </c>
    </row>
    <row r="3997" spans="1:9" x14ac:dyDescent="0.2">
      <c r="A3997" s="2">
        <v>13</v>
      </c>
      <c r="B3997" s="1" t="s">
        <v>226</v>
      </c>
      <c r="C3997" s="4">
        <v>3</v>
      </c>
      <c r="D3997" s="8">
        <v>2.08</v>
      </c>
      <c r="E3997" s="4">
        <v>2</v>
      </c>
      <c r="F3997" s="8">
        <v>2.63</v>
      </c>
      <c r="G3997" s="4">
        <v>0</v>
      </c>
      <c r="H3997" s="8">
        <v>0</v>
      </c>
      <c r="I3997" s="4">
        <v>0</v>
      </c>
    </row>
    <row r="3998" spans="1:9" x14ac:dyDescent="0.2">
      <c r="A3998" s="2">
        <v>18</v>
      </c>
      <c r="B3998" s="1" t="s">
        <v>273</v>
      </c>
      <c r="C3998" s="4">
        <v>2</v>
      </c>
      <c r="D3998" s="8">
        <v>1.39</v>
      </c>
      <c r="E3998" s="4">
        <v>0</v>
      </c>
      <c r="F3998" s="8">
        <v>0</v>
      </c>
      <c r="G3998" s="4">
        <v>2</v>
      </c>
      <c r="H3998" s="8">
        <v>3.51</v>
      </c>
      <c r="I3998" s="4">
        <v>0</v>
      </c>
    </row>
    <row r="3999" spans="1:9" x14ac:dyDescent="0.2">
      <c r="A3999" s="2">
        <v>18</v>
      </c>
      <c r="B3999" s="1" t="s">
        <v>238</v>
      </c>
      <c r="C3999" s="4">
        <v>2</v>
      </c>
      <c r="D3999" s="8">
        <v>1.39</v>
      </c>
      <c r="E3999" s="4">
        <v>1</v>
      </c>
      <c r="F3999" s="8">
        <v>1.32</v>
      </c>
      <c r="G3999" s="4">
        <v>1</v>
      </c>
      <c r="H3999" s="8">
        <v>1.75</v>
      </c>
      <c r="I3999" s="4">
        <v>0</v>
      </c>
    </row>
    <row r="4000" spans="1:9" x14ac:dyDescent="0.2">
      <c r="A4000" s="2">
        <v>18</v>
      </c>
      <c r="B4000" s="1" t="s">
        <v>246</v>
      </c>
      <c r="C4000" s="4">
        <v>2</v>
      </c>
      <c r="D4000" s="8">
        <v>1.39</v>
      </c>
      <c r="E4000" s="4">
        <v>0</v>
      </c>
      <c r="F4000" s="8">
        <v>0</v>
      </c>
      <c r="G4000" s="4">
        <v>2</v>
      </c>
      <c r="H4000" s="8">
        <v>3.51</v>
      </c>
      <c r="I4000" s="4">
        <v>0</v>
      </c>
    </row>
    <row r="4001" spans="1:9" x14ac:dyDescent="0.2">
      <c r="A4001" s="2">
        <v>18</v>
      </c>
      <c r="B4001" s="1" t="s">
        <v>239</v>
      </c>
      <c r="C4001" s="4">
        <v>2</v>
      </c>
      <c r="D4001" s="8">
        <v>1.39</v>
      </c>
      <c r="E4001" s="4">
        <v>0</v>
      </c>
      <c r="F4001" s="8">
        <v>0</v>
      </c>
      <c r="G4001" s="4">
        <v>2</v>
      </c>
      <c r="H4001" s="8">
        <v>3.51</v>
      </c>
      <c r="I4001" s="4">
        <v>0</v>
      </c>
    </row>
    <row r="4002" spans="1:9" x14ac:dyDescent="0.2">
      <c r="A4002" s="2">
        <v>18</v>
      </c>
      <c r="B4002" s="1" t="s">
        <v>247</v>
      </c>
      <c r="C4002" s="4">
        <v>2</v>
      </c>
      <c r="D4002" s="8">
        <v>1.39</v>
      </c>
      <c r="E4002" s="4">
        <v>1</v>
      </c>
      <c r="F4002" s="8">
        <v>1.32</v>
      </c>
      <c r="G4002" s="4">
        <v>0</v>
      </c>
      <c r="H4002" s="8">
        <v>0</v>
      </c>
      <c r="I4002" s="4">
        <v>0</v>
      </c>
    </row>
    <row r="4003" spans="1:9" x14ac:dyDescent="0.2">
      <c r="A4003" s="1"/>
      <c r="C4003" s="4"/>
      <c r="D4003" s="8"/>
      <c r="E4003" s="4"/>
      <c r="F4003" s="8"/>
      <c r="G4003" s="4"/>
      <c r="H4003" s="8"/>
      <c r="I4003" s="4"/>
    </row>
    <row r="4004" spans="1:9" x14ac:dyDescent="0.2">
      <c r="A4004" s="1" t="s">
        <v>156</v>
      </c>
      <c r="C4004" s="4"/>
      <c r="D4004" s="8"/>
      <c r="E4004" s="4"/>
      <c r="F4004" s="8"/>
      <c r="G4004" s="4"/>
      <c r="H4004" s="8"/>
      <c r="I4004" s="4"/>
    </row>
    <row r="4005" spans="1:9" x14ac:dyDescent="0.2">
      <c r="A4005" s="2">
        <v>1</v>
      </c>
      <c r="B4005" s="1" t="s">
        <v>213</v>
      </c>
      <c r="C4005" s="4">
        <v>14</v>
      </c>
      <c r="D4005" s="8">
        <v>10.29</v>
      </c>
      <c r="E4005" s="4">
        <v>2</v>
      </c>
      <c r="F4005" s="8">
        <v>2.94</v>
      </c>
      <c r="G4005" s="4">
        <v>12</v>
      </c>
      <c r="H4005" s="8">
        <v>19.05</v>
      </c>
      <c r="I4005" s="4">
        <v>0</v>
      </c>
    </row>
    <row r="4006" spans="1:9" x14ac:dyDescent="0.2">
      <c r="A4006" s="2">
        <v>1</v>
      </c>
      <c r="B4006" s="1" t="s">
        <v>227</v>
      </c>
      <c r="C4006" s="4">
        <v>14</v>
      </c>
      <c r="D4006" s="8">
        <v>10.29</v>
      </c>
      <c r="E4006" s="4">
        <v>12</v>
      </c>
      <c r="F4006" s="8">
        <v>17.649999999999999</v>
      </c>
      <c r="G4006" s="4">
        <v>2</v>
      </c>
      <c r="H4006" s="8">
        <v>3.17</v>
      </c>
      <c r="I4006" s="4">
        <v>0</v>
      </c>
    </row>
    <row r="4007" spans="1:9" x14ac:dyDescent="0.2">
      <c r="A4007" s="2">
        <v>3</v>
      </c>
      <c r="B4007" s="1" t="s">
        <v>228</v>
      </c>
      <c r="C4007" s="4">
        <v>12</v>
      </c>
      <c r="D4007" s="8">
        <v>8.82</v>
      </c>
      <c r="E4007" s="4">
        <v>11</v>
      </c>
      <c r="F4007" s="8">
        <v>16.18</v>
      </c>
      <c r="G4007" s="4">
        <v>1</v>
      </c>
      <c r="H4007" s="8">
        <v>1.59</v>
      </c>
      <c r="I4007" s="4">
        <v>0</v>
      </c>
    </row>
    <row r="4008" spans="1:9" x14ac:dyDescent="0.2">
      <c r="A4008" s="2">
        <v>4</v>
      </c>
      <c r="B4008" s="1" t="s">
        <v>223</v>
      </c>
      <c r="C4008" s="4">
        <v>10</v>
      </c>
      <c r="D4008" s="8">
        <v>7.35</v>
      </c>
      <c r="E4008" s="4">
        <v>4</v>
      </c>
      <c r="F4008" s="8">
        <v>5.88</v>
      </c>
      <c r="G4008" s="4">
        <v>6</v>
      </c>
      <c r="H4008" s="8">
        <v>9.52</v>
      </c>
      <c r="I4008" s="4">
        <v>0</v>
      </c>
    </row>
    <row r="4009" spans="1:9" x14ac:dyDescent="0.2">
      <c r="A4009" s="2">
        <v>5</v>
      </c>
      <c r="B4009" s="1" t="s">
        <v>221</v>
      </c>
      <c r="C4009" s="4">
        <v>8</v>
      </c>
      <c r="D4009" s="8">
        <v>5.88</v>
      </c>
      <c r="E4009" s="4">
        <v>6</v>
      </c>
      <c r="F4009" s="8">
        <v>8.82</v>
      </c>
      <c r="G4009" s="4">
        <v>2</v>
      </c>
      <c r="H4009" s="8">
        <v>3.17</v>
      </c>
      <c r="I4009" s="4">
        <v>0</v>
      </c>
    </row>
    <row r="4010" spans="1:9" x14ac:dyDescent="0.2">
      <c r="A4010" s="2">
        <v>5</v>
      </c>
      <c r="B4010" s="1" t="s">
        <v>224</v>
      </c>
      <c r="C4010" s="4">
        <v>8</v>
      </c>
      <c r="D4010" s="8">
        <v>5.88</v>
      </c>
      <c r="E4010" s="4">
        <v>5</v>
      </c>
      <c r="F4010" s="8">
        <v>7.35</v>
      </c>
      <c r="G4010" s="4">
        <v>3</v>
      </c>
      <c r="H4010" s="8">
        <v>4.76</v>
      </c>
      <c r="I4010" s="4">
        <v>0</v>
      </c>
    </row>
    <row r="4011" spans="1:9" x14ac:dyDescent="0.2">
      <c r="A4011" s="2">
        <v>7</v>
      </c>
      <c r="B4011" s="1" t="s">
        <v>214</v>
      </c>
      <c r="C4011" s="4">
        <v>7</v>
      </c>
      <c r="D4011" s="8">
        <v>5.15</v>
      </c>
      <c r="E4011" s="4">
        <v>4</v>
      </c>
      <c r="F4011" s="8">
        <v>5.88</v>
      </c>
      <c r="G4011" s="4">
        <v>3</v>
      </c>
      <c r="H4011" s="8">
        <v>4.76</v>
      </c>
      <c r="I4011" s="4">
        <v>0</v>
      </c>
    </row>
    <row r="4012" spans="1:9" x14ac:dyDescent="0.2">
      <c r="A4012" s="2">
        <v>7</v>
      </c>
      <c r="B4012" s="1" t="s">
        <v>215</v>
      </c>
      <c r="C4012" s="4">
        <v>7</v>
      </c>
      <c r="D4012" s="8">
        <v>5.15</v>
      </c>
      <c r="E4012" s="4">
        <v>1</v>
      </c>
      <c r="F4012" s="8">
        <v>1.47</v>
      </c>
      <c r="G4012" s="4">
        <v>6</v>
      </c>
      <c r="H4012" s="8">
        <v>9.52</v>
      </c>
      <c r="I4012" s="4">
        <v>0</v>
      </c>
    </row>
    <row r="4013" spans="1:9" x14ac:dyDescent="0.2">
      <c r="A4013" s="2">
        <v>7</v>
      </c>
      <c r="B4013" s="1" t="s">
        <v>226</v>
      </c>
      <c r="C4013" s="4">
        <v>7</v>
      </c>
      <c r="D4013" s="8">
        <v>5.15</v>
      </c>
      <c r="E4013" s="4">
        <v>5</v>
      </c>
      <c r="F4013" s="8">
        <v>7.35</v>
      </c>
      <c r="G4013" s="4">
        <v>2</v>
      </c>
      <c r="H4013" s="8">
        <v>3.17</v>
      </c>
      <c r="I4013" s="4">
        <v>0</v>
      </c>
    </row>
    <row r="4014" spans="1:9" x14ac:dyDescent="0.2">
      <c r="A4014" s="2">
        <v>10</v>
      </c>
      <c r="B4014" s="1" t="s">
        <v>230</v>
      </c>
      <c r="C4014" s="4">
        <v>5</v>
      </c>
      <c r="D4014" s="8">
        <v>3.68</v>
      </c>
      <c r="E4014" s="4">
        <v>3</v>
      </c>
      <c r="F4014" s="8">
        <v>4.41</v>
      </c>
      <c r="G4014" s="4">
        <v>0</v>
      </c>
      <c r="H4014" s="8">
        <v>0</v>
      </c>
      <c r="I4014" s="4">
        <v>0</v>
      </c>
    </row>
    <row r="4015" spans="1:9" x14ac:dyDescent="0.2">
      <c r="A4015" s="2">
        <v>10</v>
      </c>
      <c r="B4015" s="1" t="s">
        <v>231</v>
      </c>
      <c r="C4015" s="4">
        <v>5</v>
      </c>
      <c r="D4015" s="8">
        <v>3.68</v>
      </c>
      <c r="E4015" s="4">
        <v>5</v>
      </c>
      <c r="F4015" s="8">
        <v>7.35</v>
      </c>
      <c r="G4015" s="4">
        <v>0</v>
      </c>
      <c r="H4015" s="8">
        <v>0</v>
      </c>
      <c r="I4015" s="4">
        <v>0</v>
      </c>
    </row>
    <row r="4016" spans="1:9" x14ac:dyDescent="0.2">
      <c r="A4016" s="2">
        <v>12</v>
      </c>
      <c r="B4016" s="1" t="s">
        <v>216</v>
      </c>
      <c r="C4016" s="4">
        <v>4</v>
      </c>
      <c r="D4016" s="8">
        <v>2.94</v>
      </c>
      <c r="E4016" s="4">
        <v>0</v>
      </c>
      <c r="F4016" s="8">
        <v>0</v>
      </c>
      <c r="G4016" s="4">
        <v>4</v>
      </c>
      <c r="H4016" s="8">
        <v>6.35</v>
      </c>
      <c r="I4016" s="4">
        <v>0</v>
      </c>
    </row>
    <row r="4017" spans="1:9" x14ac:dyDescent="0.2">
      <c r="A4017" s="2">
        <v>12</v>
      </c>
      <c r="B4017" s="1" t="s">
        <v>222</v>
      </c>
      <c r="C4017" s="4">
        <v>4</v>
      </c>
      <c r="D4017" s="8">
        <v>2.94</v>
      </c>
      <c r="E4017" s="4">
        <v>3</v>
      </c>
      <c r="F4017" s="8">
        <v>4.41</v>
      </c>
      <c r="G4017" s="4">
        <v>1</v>
      </c>
      <c r="H4017" s="8">
        <v>1.59</v>
      </c>
      <c r="I4017" s="4">
        <v>0</v>
      </c>
    </row>
    <row r="4018" spans="1:9" x14ac:dyDescent="0.2">
      <c r="A4018" s="2">
        <v>14</v>
      </c>
      <c r="B4018" s="1" t="s">
        <v>217</v>
      </c>
      <c r="C4018" s="4">
        <v>3</v>
      </c>
      <c r="D4018" s="8">
        <v>2.21</v>
      </c>
      <c r="E4018" s="4">
        <v>0</v>
      </c>
      <c r="F4018" s="8">
        <v>0</v>
      </c>
      <c r="G4018" s="4">
        <v>3</v>
      </c>
      <c r="H4018" s="8">
        <v>4.76</v>
      </c>
      <c r="I4018" s="4">
        <v>0</v>
      </c>
    </row>
    <row r="4019" spans="1:9" x14ac:dyDescent="0.2">
      <c r="A4019" s="2">
        <v>15</v>
      </c>
      <c r="B4019" s="1" t="s">
        <v>254</v>
      </c>
      <c r="C4019" s="4">
        <v>2</v>
      </c>
      <c r="D4019" s="8">
        <v>1.47</v>
      </c>
      <c r="E4019" s="4">
        <v>0</v>
      </c>
      <c r="F4019" s="8">
        <v>0</v>
      </c>
      <c r="G4019" s="4">
        <v>2</v>
      </c>
      <c r="H4019" s="8">
        <v>3.17</v>
      </c>
      <c r="I4019" s="4">
        <v>0</v>
      </c>
    </row>
    <row r="4020" spans="1:9" x14ac:dyDescent="0.2">
      <c r="A4020" s="2">
        <v>15</v>
      </c>
      <c r="B4020" s="1" t="s">
        <v>243</v>
      </c>
      <c r="C4020" s="4">
        <v>2</v>
      </c>
      <c r="D4020" s="8">
        <v>1.47</v>
      </c>
      <c r="E4020" s="4">
        <v>2</v>
      </c>
      <c r="F4020" s="8">
        <v>2.94</v>
      </c>
      <c r="G4020" s="4">
        <v>0</v>
      </c>
      <c r="H4020" s="8">
        <v>0</v>
      </c>
      <c r="I4020" s="4">
        <v>0</v>
      </c>
    </row>
    <row r="4021" spans="1:9" x14ac:dyDescent="0.2">
      <c r="A4021" s="2">
        <v>15</v>
      </c>
      <c r="B4021" s="1" t="s">
        <v>247</v>
      </c>
      <c r="C4021" s="4">
        <v>2</v>
      </c>
      <c r="D4021" s="8">
        <v>1.47</v>
      </c>
      <c r="E4021" s="4">
        <v>0</v>
      </c>
      <c r="F4021" s="8">
        <v>0</v>
      </c>
      <c r="G4021" s="4">
        <v>1</v>
      </c>
      <c r="H4021" s="8">
        <v>1.59</v>
      </c>
      <c r="I4021" s="4">
        <v>0</v>
      </c>
    </row>
    <row r="4022" spans="1:9" x14ac:dyDescent="0.2">
      <c r="A4022" s="2">
        <v>15</v>
      </c>
      <c r="B4022" s="1" t="s">
        <v>240</v>
      </c>
      <c r="C4022" s="4">
        <v>2</v>
      </c>
      <c r="D4022" s="8">
        <v>1.47</v>
      </c>
      <c r="E4022" s="4">
        <v>1</v>
      </c>
      <c r="F4022" s="8">
        <v>1.47</v>
      </c>
      <c r="G4022" s="4">
        <v>1</v>
      </c>
      <c r="H4022" s="8">
        <v>1.59</v>
      </c>
      <c r="I4022" s="4">
        <v>0</v>
      </c>
    </row>
    <row r="4023" spans="1:9" x14ac:dyDescent="0.2">
      <c r="A4023" s="2">
        <v>15</v>
      </c>
      <c r="B4023" s="1" t="s">
        <v>242</v>
      </c>
      <c r="C4023" s="4">
        <v>2</v>
      </c>
      <c r="D4023" s="8">
        <v>1.47</v>
      </c>
      <c r="E4023" s="4">
        <v>1</v>
      </c>
      <c r="F4023" s="8">
        <v>1.47</v>
      </c>
      <c r="G4023" s="4">
        <v>1</v>
      </c>
      <c r="H4023" s="8">
        <v>1.59</v>
      </c>
      <c r="I4023" s="4">
        <v>0</v>
      </c>
    </row>
    <row r="4024" spans="1:9" x14ac:dyDescent="0.2">
      <c r="A4024" s="2">
        <v>15</v>
      </c>
      <c r="B4024" s="1" t="s">
        <v>234</v>
      </c>
      <c r="C4024" s="4">
        <v>2</v>
      </c>
      <c r="D4024" s="8">
        <v>1.47</v>
      </c>
      <c r="E4024" s="4">
        <v>0</v>
      </c>
      <c r="F4024" s="8">
        <v>0</v>
      </c>
      <c r="G4024" s="4">
        <v>2</v>
      </c>
      <c r="H4024" s="8">
        <v>3.17</v>
      </c>
      <c r="I4024" s="4">
        <v>0</v>
      </c>
    </row>
    <row r="4025" spans="1:9" x14ac:dyDescent="0.2">
      <c r="A4025" s="1"/>
      <c r="C4025" s="4"/>
      <c r="D4025" s="8"/>
      <c r="E4025" s="4"/>
      <c r="F4025" s="8"/>
      <c r="G4025" s="4"/>
      <c r="H4025" s="8"/>
      <c r="I4025" s="4"/>
    </row>
    <row r="4026" spans="1:9" x14ac:dyDescent="0.2">
      <c r="A4026" s="1" t="s">
        <v>157</v>
      </c>
      <c r="C4026" s="4"/>
      <c r="D4026" s="8"/>
      <c r="E4026" s="4"/>
      <c r="F4026" s="8"/>
      <c r="G4026" s="4"/>
      <c r="H4026" s="8"/>
      <c r="I4026" s="4"/>
    </row>
    <row r="4027" spans="1:9" x14ac:dyDescent="0.2">
      <c r="A4027" s="2">
        <v>1</v>
      </c>
      <c r="B4027" s="1" t="s">
        <v>227</v>
      </c>
      <c r="C4027" s="4">
        <v>59</v>
      </c>
      <c r="D4027" s="8">
        <v>14.08</v>
      </c>
      <c r="E4027" s="4">
        <v>52</v>
      </c>
      <c r="F4027" s="8">
        <v>23.53</v>
      </c>
      <c r="G4027" s="4">
        <v>7</v>
      </c>
      <c r="H4027" s="8">
        <v>3.95</v>
      </c>
      <c r="I4027" s="4">
        <v>0</v>
      </c>
    </row>
    <row r="4028" spans="1:9" x14ac:dyDescent="0.2">
      <c r="A4028" s="2">
        <v>2</v>
      </c>
      <c r="B4028" s="1" t="s">
        <v>228</v>
      </c>
      <c r="C4028" s="4">
        <v>44</v>
      </c>
      <c r="D4028" s="8">
        <v>10.5</v>
      </c>
      <c r="E4028" s="4">
        <v>41</v>
      </c>
      <c r="F4028" s="8">
        <v>18.55</v>
      </c>
      <c r="G4028" s="4">
        <v>3</v>
      </c>
      <c r="H4028" s="8">
        <v>1.69</v>
      </c>
      <c r="I4028" s="4">
        <v>0</v>
      </c>
    </row>
    <row r="4029" spans="1:9" x14ac:dyDescent="0.2">
      <c r="A4029" s="2">
        <v>3</v>
      </c>
      <c r="B4029" s="1" t="s">
        <v>223</v>
      </c>
      <c r="C4029" s="4">
        <v>31</v>
      </c>
      <c r="D4029" s="8">
        <v>7.4</v>
      </c>
      <c r="E4029" s="4">
        <v>12</v>
      </c>
      <c r="F4029" s="8">
        <v>5.43</v>
      </c>
      <c r="G4029" s="4">
        <v>19</v>
      </c>
      <c r="H4029" s="8">
        <v>10.73</v>
      </c>
      <c r="I4029" s="4">
        <v>0</v>
      </c>
    </row>
    <row r="4030" spans="1:9" x14ac:dyDescent="0.2">
      <c r="A4030" s="2">
        <v>4</v>
      </c>
      <c r="B4030" s="1" t="s">
        <v>221</v>
      </c>
      <c r="C4030" s="4">
        <v>29</v>
      </c>
      <c r="D4030" s="8">
        <v>6.92</v>
      </c>
      <c r="E4030" s="4">
        <v>23</v>
      </c>
      <c r="F4030" s="8">
        <v>10.41</v>
      </c>
      <c r="G4030" s="4">
        <v>6</v>
      </c>
      <c r="H4030" s="8">
        <v>3.39</v>
      </c>
      <c r="I4030" s="4">
        <v>0</v>
      </c>
    </row>
    <row r="4031" spans="1:9" x14ac:dyDescent="0.2">
      <c r="A4031" s="2">
        <v>5</v>
      </c>
      <c r="B4031" s="1" t="s">
        <v>224</v>
      </c>
      <c r="C4031" s="4">
        <v>24</v>
      </c>
      <c r="D4031" s="8">
        <v>5.73</v>
      </c>
      <c r="E4031" s="4">
        <v>12</v>
      </c>
      <c r="F4031" s="8">
        <v>5.43</v>
      </c>
      <c r="G4031" s="4">
        <v>11</v>
      </c>
      <c r="H4031" s="8">
        <v>6.21</v>
      </c>
      <c r="I4031" s="4">
        <v>0</v>
      </c>
    </row>
    <row r="4032" spans="1:9" x14ac:dyDescent="0.2">
      <c r="A4032" s="2">
        <v>6</v>
      </c>
      <c r="B4032" s="1" t="s">
        <v>213</v>
      </c>
      <c r="C4032" s="4">
        <v>22</v>
      </c>
      <c r="D4032" s="8">
        <v>5.25</v>
      </c>
      <c r="E4032" s="4">
        <v>2</v>
      </c>
      <c r="F4032" s="8">
        <v>0.9</v>
      </c>
      <c r="G4032" s="4">
        <v>20</v>
      </c>
      <c r="H4032" s="8">
        <v>11.3</v>
      </c>
      <c r="I4032" s="4">
        <v>0</v>
      </c>
    </row>
    <row r="4033" spans="1:9" x14ac:dyDescent="0.2">
      <c r="A4033" s="2">
        <v>7</v>
      </c>
      <c r="B4033" s="1" t="s">
        <v>232</v>
      </c>
      <c r="C4033" s="4">
        <v>21</v>
      </c>
      <c r="D4033" s="8">
        <v>5.01</v>
      </c>
      <c r="E4033" s="4">
        <v>0</v>
      </c>
      <c r="F4033" s="8">
        <v>0</v>
      </c>
      <c r="G4033" s="4">
        <v>15</v>
      </c>
      <c r="H4033" s="8">
        <v>8.4700000000000006</v>
      </c>
      <c r="I4033" s="4">
        <v>0</v>
      </c>
    </row>
    <row r="4034" spans="1:9" x14ac:dyDescent="0.2">
      <c r="A4034" s="2">
        <v>8</v>
      </c>
      <c r="B4034" s="1" t="s">
        <v>247</v>
      </c>
      <c r="C4034" s="4">
        <v>14</v>
      </c>
      <c r="D4034" s="8">
        <v>3.34</v>
      </c>
      <c r="E4034" s="4">
        <v>2</v>
      </c>
      <c r="F4034" s="8">
        <v>0.9</v>
      </c>
      <c r="G4034" s="4">
        <v>9</v>
      </c>
      <c r="H4034" s="8">
        <v>5.08</v>
      </c>
      <c r="I4034" s="4">
        <v>0</v>
      </c>
    </row>
    <row r="4035" spans="1:9" x14ac:dyDescent="0.2">
      <c r="A4035" s="2">
        <v>9</v>
      </c>
      <c r="B4035" s="1" t="s">
        <v>214</v>
      </c>
      <c r="C4035" s="4">
        <v>13</v>
      </c>
      <c r="D4035" s="8">
        <v>3.1</v>
      </c>
      <c r="E4035" s="4">
        <v>8</v>
      </c>
      <c r="F4035" s="8">
        <v>3.62</v>
      </c>
      <c r="G4035" s="4">
        <v>5</v>
      </c>
      <c r="H4035" s="8">
        <v>2.82</v>
      </c>
      <c r="I4035" s="4">
        <v>0</v>
      </c>
    </row>
    <row r="4036" spans="1:9" x14ac:dyDescent="0.2">
      <c r="A4036" s="2">
        <v>9</v>
      </c>
      <c r="B4036" s="1" t="s">
        <v>241</v>
      </c>
      <c r="C4036" s="4">
        <v>13</v>
      </c>
      <c r="D4036" s="8">
        <v>3.1</v>
      </c>
      <c r="E4036" s="4">
        <v>4</v>
      </c>
      <c r="F4036" s="8">
        <v>1.81</v>
      </c>
      <c r="G4036" s="4">
        <v>9</v>
      </c>
      <c r="H4036" s="8">
        <v>5.08</v>
      </c>
      <c r="I4036" s="4">
        <v>0</v>
      </c>
    </row>
    <row r="4037" spans="1:9" x14ac:dyDescent="0.2">
      <c r="A4037" s="2">
        <v>9</v>
      </c>
      <c r="B4037" s="1" t="s">
        <v>222</v>
      </c>
      <c r="C4037" s="4">
        <v>13</v>
      </c>
      <c r="D4037" s="8">
        <v>3.1</v>
      </c>
      <c r="E4037" s="4">
        <v>7</v>
      </c>
      <c r="F4037" s="8">
        <v>3.17</v>
      </c>
      <c r="G4037" s="4">
        <v>6</v>
      </c>
      <c r="H4037" s="8">
        <v>3.39</v>
      </c>
      <c r="I4037" s="4">
        <v>0</v>
      </c>
    </row>
    <row r="4038" spans="1:9" x14ac:dyDescent="0.2">
      <c r="A4038" s="2">
        <v>12</v>
      </c>
      <c r="B4038" s="1" t="s">
        <v>231</v>
      </c>
      <c r="C4038" s="4">
        <v>11</v>
      </c>
      <c r="D4038" s="8">
        <v>2.63</v>
      </c>
      <c r="E4038" s="4">
        <v>9</v>
      </c>
      <c r="F4038" s="8">
        <v>4.07</v>
      </c>
      <c r="G4038" s="4">
        <v>2</v>
      </c>
      <c r="H4038" s="8">
        <v>1.1299999999999999</v>
      </c>
      <c r="I4038" s="4">
        <v>0</v>
      </c>
    </row>
    <row r="4039" spans="1:9" x14ac:dyDescent="0.2">
      <c r="A4039" s="2">
        <v>13</v>
      </c>
      <c r="B4039" s="1" t="s">
        <v>220</v>
      </c>
      <c r="C4039" s="4">
        <v>10</v>
      </c>
      <c r="D4039" s="8">
        <v>2.39</v>
      </c>
      <c r="E4039" s="4">
        <v>5</v>
      </c>
      <c r="F4039" s="8">
        <v>2.2599999999999998</v>
      </c>
      <c r="G4039" s="4">
        <v>5</v>
      </c>
      <c r="H4039" s="8">
        <v>2.82</v>
      </c>
      <c r="I4039" s="4">
        <v>0</v>
      </c>
    </row>
    <row r="4040" spans="1:9" x14ac:dyDescent="0.2">
      <c r="A4040" s="2">
        <v>13</v>
      </c>
      <c r="B4040" s="1" t="s">
        <v>226</v>
      </c>
      <c r="C4040" s="4">
        <v>10</v>
      </c>
      <c r="D4040" s="8">
        <v>2.39</v>
      </c>
      <c r="E4040" s="4">
        <v>6</v>
      </c>
      <c r="F4040" s="8">
        <v>2.71</v>
      </c>
      <c r="G4040" s="4">
        <v>3</v>
      </c>
      <c r="H4040" s="8">
        <v>1.69</v>
      </c>
      <c r="I4040" s="4">
        <v>0</v>
      </c>
    </row>
    <row r="4041" spans="1:9" x14ac:dyDescent="0.2">
      <c r="A4041" s="2">
        <v>15</v>
      </c>
      <c r="B4041" s="1" t="s">
        <v>215</v>
      </c>
      <c r="C4041" s="4">
        <v>9</v>
      </c>
      <c r="D4041" s="8">
        <v>2.15</v>
      </c>
      <c r="E4041" s="4">
        <v>3</v>
      </c>
      <c r="F4041" s="8">
        <v>1.36</v>
      </c>
      <c r="G4041" s="4">
        <v>6</v>
      </c>
      <c r="H4041" s="8">
        <v>3.39</v>
      </c>
      <c r="I4041" s="4">
        <v>0</v>
      </c>
    </row>
    <row r="4042" spans="1:9" x14ac:dyDescent="0.2">
      <c r="A4042" s="2">
        <v>15</v>
      </c>
      <c r="B4042" s="1" t="s">
        <v>225</v>
      </c>
      <c r="C4042" s="4">
        <v>9</v>
      </c>
      <c r="D4042" s="8">
        <v>2.15</v>
      </c>
      <c r="E4042" s="4">
        <v>7</v>
      </c>
      <c r="F4042" s="8">
        <v>3.17</v>
      </c>
      <c r="G4042" s="4">
        <v>2</v>
      </c>
      <c r="H4042" s="8">
        <v>1.1299999999999999</v>
      </c>
      <c r="I4042" s="4">
        <v>0</v>
      </c>
    </row>
    <row r="4043" spans="1:9" x14ac:dyDescent="0.2">
      <c r="A4043" s="2">
        <v>15</v>
      </c>
      <c r="B4043" s="1" t="s">
        <v>230</v>
      </c>
      <c r="C4043" s="4">
        <v>9</v>
      </c>
      <c r="D4043" s="8">
        <v>2.15</v>
      </c>
      <c r="E4043" s="4">
        <v>5</v>
      </c>
      <c r="F4043" s="8">
        <v>2.2599999999999998</v>
      </c>
      <c r="G4043" s="4">
        <v>3</v>
      </c>
      <c r="H4043" s="8">
        <v>1.69</v>
      </c>
      <c r="I4043" s="4">
        <v>0</v>
      </c>
    </row>
    <row r="4044" spans="1:9" x14ac:dyDescent="0.2">
      <c r="A4044" s="2">
        <v>18</v>
      </c>
      <c r="B4044" s="1" t="s">
        <v>239</v>
      </c>
      <c r="C4044" s="4">
        <v>7</v>
      </c>
      <c r="D4044" s="8">
        <v>1.67</v>
      </c>
      <c r="E4044" s="4">
        <v>3</v>
      </c>
      <c r="F4044" s="8">
        <v>1.36</v>
      </c>
      <c r="G4044" s="4">
        <v>4</v>
      </c>
      <c r="H4044" s="8">
        <v>2.2599999999999998</v>
      </c>
      <c r="I4044" s="4">
        <v>0</v>
      </c>
    </row>
    <row r="4045" spans="1:9" x14ac:dyDescent="0.2">
      <c r="A4045" s="2">
        <v>18</v>
      </c>
      <c r="B4045" s="1" t="s">
        <v>229</v>
      </c>
      <c r="C4045" s="4">
        <v>7</v>
      </c>
      <c r="D4045" s="8">
        <v>1.67</v>
      </c>
      <c r="E4045" s="4">
        <v>1</v>
      </c>
      <c r="F4045" s="8">
        <v>0.45</v>
      </c>
      <c r="G4045" s="4">
        <v>5</v>
      </c>
      <c r="H4045" s="8">
        <v>2.82</v>
      </c>
      <c r="I4045" s="4">
        <v>0</v>
      </c>
    </row>
    <row r="4046" spans="1:9" x14ac:dyDescent="0.2">
      <c r="A4046" s="2">
        <v>20</v>
      </c>
      <c r="B4046" s="1" t="s">
        <v>237</v>
      </c>
      <c r="C4046" s="4">
        <v>6</v>
      </c>
      <c r="D4046" s="8">
        <v>1.43</v>
      </c>
      <c r="E4046" s="4">
        <v>1</v>
      </c>
      <c r="F4046" s="8">
        <v>0.45</v>
      </c>
      <c r="G4046" s="4">
        <v>5</v>
      </c>
      <c r="H4046" s="8">
        <v>2.82</v>
      </c>
      <c r="I4046" s="4">
        <v>0</v>
      </c>
    </row>
    <row r="4047" spans="1:9" x14ac:dyDescent="0.2">
      <c r="A4047" s="1"/>
      <c r="C4047" s="4"/>
      <c r="D4047" s="8"/>
      <c r="E4047" s="4"/>
      <c r="F4047" s="8"/>
      <c r="G4047" s="4"/>
      <c r="H4047" s="8"/>
      <c r="I4047" s="4"/>
    </row>
    <row r="4048" spans="1:9" x14ac:dyDescent="0.2">
      <c r="A4048" s="1" t="s">
        <v>158</v>
      </c>
      <c r="C4048" s="4"/>
      <c r="D4048" s="8"/>
      <c r="E4048" s="4"/>
      <c r="F4048" s="8"/>
      <c r="G4048" s="4"/>
      <c r="H4048" s="8"/>
      <c r="I4048" s="4"/>
    </row>
    <row r="4049" spans="1:9" x14ac:dyDescent="0.2">
      <c r="A4049" s="2">
        <v>1</v>
      </c>
      <c r="B4049" s="1" t="s">
        <v>227</v>
      </c>
      <c r="C4049" s="4">
        <v>17</v>
      </c>
      <c r="D4049" s="8">
        <v>12.78</v>
      </c>
      <c r="E4049" s="4">
        <v>16</v>
      </c>
      <c r="F4049" s="8">
        <v>24.24</v>
      </c>
      <c r="G4049" s="4">
        <v>1</v>
      </c>
      <c r="H4049" s="8">
        <v>1.67</v>
      </c>
      <c r="I4049" s="4">
        <v>0</v>
      </c>
    </row>
    <row r="4050" spans="1:9" x14ac:dyDescent="0.2">
      <c r="A4050" s="2">
        <v>2</v>
      </c>
      <c r="B4050" s="1" t="s">
        <v>223</v>
      </c>
      <c r="C4050" s="4">
        <v>15</v>
      </c>
      <c r="D4050" s="8">
        <v>11.28</v>
      </c>
      <c r="E4050" s="4">
        <v>5</v>
      </c>
      <c r="F4050" s="8">
        <v>7.58</v>
      </c>
      <c r="G4050" s="4">
        <v>10</v>
      </c>
      <c r="H4050" s="8">
        <v>16.670000000000002</v>
      </c>
      <c r="I4050" s="4">
        <v>0</v>
      </c>
    </row>
    <row r="4051" spans="1:9" x14ac:dyDescent="0.2">
      <c r="A4051" s="2">
        <v>3</v>
      </c>
      <c r="B4051" s="1" t="s">
        <v>224</v>
      </c>
      <c r="C4051" s="4">
        <v>14</v>
      </c>
      <c r="D4051" s="8">
        <v>10.53</v>
      </c>
      <c r="E4051" s="4">
        <v>9</v>
      </c>
      <c r="F4051" s="8">
        <v>13.64</v>
      </c>
      <c r="G4051" s="4">
        <v>4</v>
      </c>
      <c r="H4051" s="8">
        <v>6.67</v>
      </c>
      <c r="I4051" s="4">
        <v>0</v>
      </c>
    </row>
    <row r="4052" spans="1:9" x14ac:dyDescent="0.2">
      <c r="A4052" s="2">
        <v>4</v>
      </c>
      <c r="B4052" s="1" t="s">
        <v>228</v>
      </c>
      <c r="C4052" s="4">
        <v>13</v>
      </c>
      <c r="D4052" s="8">
        <v>9.77</v>
      </c>
      <c r="E4052" s="4">
        <v>10</v>
      </c>
      <c r="F4052" s="8">
        <v>15.15</v>
      </c>
      <c r="G4052" s="4">
        <v>3</v>
      </c>
      <c r="H4052" s="8">
        <v>5</v>
      </c>
      <c r="I4052" s="4">
        <v>0</v>
      </c>
    </row>
    <row r="4053" spans="1:9" x14ac:dyDescent="0.2">
      <c r="A4053" s="2">
        <v>5</v>
      </c>
      <c r="B4053" s="1" t="s">
        <v>241</v>
      </c>
      <c r="C4053" s="4">
        <v>7</v>
      </c>
      <c r="D4053" s="8">
        <v>5.26</v>
      </c>
      <c r="E4053" s="4">
        <v>0</v>
      </c>
      <c r="F4053" s="8">
        <v>0</v>
      </c>
      <c r="G4053" s="4">
        <v>7</v>
      </c>
      <c r="H4053" s="8">
        <v>11.67</v>
      </c>
      <c r="I4053" s="4">
        <v>0</v>
      </c>
    </row>
    <row r="4054" spans="1:9" x14ac:dyDescent="0.2">
      <c r="A4054" s="2">
        <v>6</v>
      </c>
      <c r="B4054" s="1" t="s">
        <v>214</v>
      </c>
      <c r="C4054" s="4">
        <v>6</v>
      </c>
      <c r="D4054" s="8">
        <v>4.51</v>
      </c>
      <c r="E4054" s="4">
        <v>3</v>
      </c>
      <c r="F4054" s="8">
        <v>4.55</v>
      </c>
      <c r="G4054" s="4">
        <v>3</v>
      </c>
      <c r="H4054" s="8">
        <v>5</v>
      </c>
      <c r="I4054" s="4">
        <v>0</v>
      </c>
    </row>
    <row r="4055" spans="1:9" x14ac:dyDescent="0.2">
      <c r="A4055" s="2">
        <v>6</v>
      </c>
      <c r="B4055" s="1" t="s">
        <v>221</v>
      </c>
      <c r="C4055" s="4">
        <v>6</v>
      </c>
      <c r="D4055" s="8">
        <v>4.51</v>
      </c>
      <c r="E4055" s="4">
        <v>3</v>
      </c>
      <c r="F4055" s="8">
        <v>4.55</v>
      </c>
      <c r="G4055" s="4">
        <v>3</v>
      </c>
      <c r="H4055" s="8">
        <v>5</v>
      </c>
      <c r="I4055" s="4">
        <v>0</v>
      </c>
    </row>
    <row r="4056" spans="1:9" x14ac:dyDescent="0.2">
      <c r="A4056" s="2">
        <v>8</v>
      </c>
      <c r="B4056" s="1" t="s">
        <v>213</v>
      </c>
      <c r="C4056" s="4">
        <v>5</v>
      </c>
      <c r="D4056" s="8">
        <v>3.76</v>
      </c>
      <c r="E4056" s="4">
        <v>2</v>
      </c>
      <c r="F4056" s="8">
        <v>3.03</v>
      </c>
      <c r="G4056" s="4">
        <v>3</v>
      </c>
      <c r="H4056" s="8">
        <v>5</v>
      </c>
      <c r="I4056" s="4">
        <v>0</v>
      </c>
    </row>
    <row r="4057" spans="1:9" x14ac:dyDescent="0.2">
      <c r="A4057" s="2">
        <v>8</v>
      </c>
      <c r="B4057" s="1" t="s">
        <v>220</v>
      </c>
      <c r="C4057" s="4">
        <v>5</v>
      </c>
      <c r="D4057" s="8">
        <v>3.76</v>
      </c>
      <c r="E4057" s="4">
        <v>3</v>
      </c>
      <c r="F4057" s="8">
        <v>4.55</v>
      </c>
      <c r="G4057" s="4">
        <v>2</v>
      </c>
      <c r="H4057" s="8">
        <v>3.33</v>
      </c>
      <c r="I4057" s="4">
        <v>0</v>
      </c>
    </row>
    <row r="4058" spans="1:9" x14ac:dyDescent="0.2">
      <c r="A4058" s="2">
        <v>8</v>
      </c>
      <c r="B4058" s="1" t="s">
        <v>222</v>
      </c>
      <c r="C4058" s="4">
        <v>5</v>
      </c>
      <c r="D4058" s="8">
        <v>3.76</v>
      </c>
      <c r="E4058" s="4">
        <v>2</v>
      </c>
      <c r="F4058" s="8">
        <v>3.03</v>
      </c>
      <c r="G4058" s="4">
        <v>3</v>
      </c>
      <c r="H4058" s="8">
        <v>5</v>
      </c>
      <c r="I4058" s="4">
        <v>0</v>
      </c>
    </row>
    <row r="4059" spans="1:9" x14ac:dyDescent="0.2">
      <c r="A4059" s="2">
        <v>8</v>
      </c>
      <c r="B4059" s="1" t="s">
        <v>230</v>
      </c>
      <c r="C4059" s="4">
        <v>5</v>
      </c>
      <c r="D4059" s="8">
        <v>3.76</v>
      </c>
      <c r="E4059" s="4">
        <v>2</v>
      </c>
      <c r="F4059" s="8">
        <v>3.03</v>
      </c>
      <c r="G4059" s="4">
        <v>0</v>
      </c>
      <c r="H4059" s="8">
        <v>0</v>
      </c>
      <c r="I4059" s="4">
        <v>0</v>
      </c>
    </row>
    <row r="4060" spans="1:9" x14ac:dyDescent="0.2">
      <c r="A4060" s="2">
        <v>12</v>
      </c>
      <c r="B4060" s="1" t="s">
        <v>231</v>
      </c>
      <c r="C4060" s="4">
        <v>4</v>
      </c>
      <c r="D4060" s="8">
        <v>3.01</v>
      </c>
      <c r="E4060" s="4">
        <v>3</v>
      </c>
      <c r="F4060" s="8">
        <v>4.55</v>
      </c>
      <c r="G4060" s="4">
        <v>1</v>
      </c>
      <c r="H4060" s="8">
        <v>1.67</v>
      </c>
      <c r="I4060" s="4">
        <v>0</v>
      </c>
    </row>
    <row r="4061" spans="1:9" x14ac:dyDescent="0.2">
      <c r="A4061" s="2">
        <v>13</v>
      </c>
      <c r="B4061" s="1" t="s">
        <v>243</v>
      </c>
      <c r="C4061" s="4">
        <v>3</v>
      </c>
      <c r="D4061" s="8">
        <v>2.2599999999999998</v>
      </c>
      <c r="E4061" s="4">
        <v>1</v>
      </c>
      <c r="F4061" s="8">
        <v>1.52</v>
      </c>
      <c r="G4061" s="4">
        <v>2</v>
      </c>
      <c r="H4061" s="8">
        <v>3.33</v>
      </c>
      <c r="I4061" s="4">
        <v>0</v>
      </c>
    </row>
    <row r="4062" spans="1:9" x14ac:dyDescent="0.2">
      <c r="A4062" s="2">
        <v>13</v>
      </c>
      <c r="B4062" s="1" t="s">
        <v>240</v>
      </c>
      <c r="C4062" s="4">
        <v>3</v>
      </c>
      <c r="D4062" s="8">
        <v>2.2599999999999998</v>
      </c>
      <c r="E4062" s="4">
        <v>1</v>
      </c>
      <c r="F4062" s="8">
        <v>1.52</v>
      </c>
      <c r="G4062" s="4">
        <v>2</v>
      </c>
      <c r="H4062" s="8">
        <v>3.33</v>
      </c>
      <c r="I4062" s="4">
        <v>0</v>
      </c>
    </row>
    <row r="4063" spans="1:9" x14ac:dyDescent="0.2">
      <c r="A4063" s="2">
        <v>15</v>
      </c>
      <c r="B4063" s="1" t="s">
        <v>215</v>
      </c>
      <c r="C4063" s="4">
        <v>2</v>
      </c>
      <c r="D4063" s="8">
        <v>1.5</v>
      </c>
      <c r="E4063" s="4">
        <v>0</v>
      </c>
      <c r="F4063" s="8">
        <v>0</v>
      </c>
      <c r="G4063" s="4">
        <v>2</v>
      </c>
      <c r="H4063" s="8">
        <v>3.33</v>
      </c>
      <c r="I4063" s="4">
        <v>0</v>
      </c>
    </row>
    <row r="4064" spans="1:9" x14ac:dyDescent="0.2">
      <c r="A4064" s="2">
        <v>15</v>
      </c>
      <c r="B4064" s="1" t="s">
        <v>216</v>
      </c>
      <c r="C4064" s="4">
        <v>2</v>
      </c>
      <c r="D4064" s="8">
        <v>1.5</v>
      </c>
      <c r="E4064" s="4">
        <v>0</v>
      </c>
      <c r="F4064" s="8">
        <v>0</v>
      </c>
      <c r="G4064" s="4">
        <v>2</v>
      </c>
      <c r="H4064" s="8">
        <v>3.33</v>
      </c>
      <c r="I4064" s="4">
        <v>0</v>
      </c>
    </row>
    <row r="4065" spans="1:9" x14ac:dyDescent="0.2">
      <c r="A4065" s="2">
        <v>15</v>
      </c>
      <c r="B4065" s="1" t="s">
        <v>217</v>
      </c>
      <c r="C4065" s="4">
        <v>2</v>
      </c>
      <c r="D4065" s="8">
        <v>1.5</v>
      </c>
      <c r="E4065" s="4">
        <v>1</v>
      </c>
      <c r="F4065" s="8">
        <v>1.52</v>
      </c>
      <c r="G4065" s="4">
        <v>1</v>
      </c>
      <c r="H4065" s="8">
        <v>1.67</v>
      </c>
      <c r="I4065" s="4">
        <v>0</v>
      </c>
    </row>
    <row r="4066" spans="1:9" x14ac:dyDescent="0.2">
      <c r="A4066" s="2">
        <v>15</v>
      </c>
      <c r="B4066" s="1" t="s">
        <v>236</v>
      </c>
      <c r="C4066" s="4">
        <v>2</v>
      </c>
      <c r="D4066" s="8">
        <v>1.5</v>
      </c>
      <c r="E4066" s="4">
        <v>1</v>
      </c>
      <c r="F4066" s="8">
        <v>1.52</v>
      </c>
      <c r="G4066" s="4">
        <v>1</v>
      </c>
      <c r="H4066" s="8">
        <v>1.67</v>
      </c>
      <c r="I4066" s="4">
        <v>0</v>
      </c>
    </row>
    <row r="4067" spans="1:9" x14ac:dyDescent="0.2">
      <c r="A4067" s="2">
        <v>15</v>
      </c>
      <c r="B4067" s="1" t="s">
        <v>226</v>
      </c>
      <c r="C4067" s="4">
        <v>2</v>
      </c>
      <c r="D4067" s="8">
        <v>1.5</v>
      </c>
      <c r="E4067" s="4">
        <v>0</v>
      </c>
      <c r="F4067" s="8">
        <v>0</v>
      </c>
      <c r="G4067" s="4">
        <v>2</v>
      </c>
      <c r="H4067" s="8">
        <v>3.33</v>
      </c>
      <c r="I4067" s="4">
        <v>0</v>
      </c>
    </row>
    <row r="4068" spans="1:9" x14ac:dyDescent="0.2">
      <c r="A4068" s="2">
        <v>15</v>
      </c>
      <c r="B4068" s="1" t="s">
        <v>232</v>
      </c>
      <c r="C4068" s="4">
        <v>2</v>
      </c>
      <c r="D4068" s="8">
        <v>1.5</v>
      </c>
      <c r="E4068" s="4">
        <v>0</v>
      </c>
      <c r="F4068" s="8">
        <v>0</v>
      </c>
      <c r="G4068" s="4">
        <v>0</v>
      </c>
      <c r="H4068" s="8">
        <v>0</v>
      </c>
      <c r="I4068" s="4">
        <v>0</v>
      </c>
    </row>
    <row r="4069" spans="1:9" x14ac:dyDescent="0.2">
      <c r="A4069" s="2">
        <v>15</v>
      </c>
      <c r="B4069" s="1" t="s">
        <v>249</v>
      </c>
      <c r="C4069" s="4">
        <v>2</v>
      </c>
      <c r="D4069" s="8">
        <v>1.5</v>
      </c>
      <c r="E4069" s="4">
        <v>0</v>
      </c>
      <c r="F4069" s="8">
        <v>0</v>
      </c>
      <c r="G4069" s="4">
        <v>1</v>
      </c>
      <c r="H4069" s="8">
        <v>1.67</v>
      </c>
      <c r="I4069" s="4">
        <v>0</v>
      </c>
    </row>
    <row r="4070" spans="1:9" x14ac:dyDescent="0.2">
      <c r="A4070" s="1"/>
      <c r="C4070" s="4"/>
      <c r="D4070" s="8"/>
      <c r="E4070" s="4"/>
      <c r="F4070" s="8"/>
      <c r="G4070" s="4"/>
      <c r="H4070" s="8"/>
      <c r="I4070" s="4"/>
    </row>
    <row r="4071" spans="1:9" x14ac:dyDescent="0.2">
      <c r="A4071" s="1" t="s">
        <v>159</v>
      </c>
      <c r="C4071" s="4"/>
      <c r="D4071" s="8"/>
      <c r="E4071" s="4"/>
      <c r="F4071" s="8"/>
      <c r="G4071" s="4"/>
      <c r="H4071" s="8"/>
      <c r="I4071" s="4"/>
    </row>
    <row r="4072" spans="1:9" x14ac:dyDescent="0.2">
      <c r="A4072" s="2">
        <v>1</v>
      </c>
      <c r="B4072" s="1" t="s">
        <v>227</v>
      </c>
      <c r="C4072" s="4">
        <v>21</v>
      </c>
      <c r="D4072" s="8">
        <v>13.46</v>
      </c>
      <c r="E4072" s="4">
        <v>18</v>
      </c>
      <c r="F4072" s="8">
        <v>20.93</v>
      </c>
      <c r="G4072" s="4">
        <v>2</v>
      </c>
      <c r="H4072" s="8">
        <v>3.77</v>
      </c>
      <c r="I4072" s="4">
        <v>0</v>
      </c>
    </row>
    <row r="4073" spans="1:9" x14ac:dyDescent="0.2">
      <c r="A4073" s="2">
        <v>2</v>
      </c>
      <c r="B4073" s="1" t="s">
        <v>228</v>
      </c>
      <c r="C4073" s="4">
        <v>17</v>
      </c>
      <c r="D4073" s="8">
        <v>10.9</v>
      </c>
      <c r="E4073" s="4">
        <v>16</v>
      </c>
      <c r="F4073" s="8">
        <v>18.600000000000001</v>
      </c>
      <c r="G4073" s="4">
        <v>0</v>
      </c>
      <c r="H4073" s="8">
        <v>0</v>
      </c>
      <c r="I4073" s="4">
        <v>0</v>
      </c>
    </row>
    <row r="4074" spans="1:9" x14ac:dyDescent="0.2">
      <c r="A4074" s="2">
        <v>3</v>
      </c>
      <c r="B4074" s="1" t="s">
        <v>223</v>
      </c>
      <c r="C4074" s="4">
        <v>13</v>
      </c>
      <c r="D4074" s="8">
        <v>8.33</v>
      </c>
      <c r="E4074" s="4">
        <v>6</v>
      </c>
      <c r="F4074" s="8">
        <v>6.98</v>
      </c>
      <c r="G4074" s="4">
        <v>7</v>
      </c>
      <c r="H4074" s="8">
        <v>13.21</v>
      </c>
      <c r="I4074" s="4">
        <v>0</v>
      </c>
    </row>
    <row r="4075" spans="1:9" x14ac:dyDescent="0.2">
      <c r="A4075" s="2">
        <v>4</v>
      </c>
      <c r="B4075" s="1" t="s">
        <v>213</v>
      </c>
      <c r="C4075" s="4">
        <v>11</v>
      </c>
      <c r="D4075" s="8">
        <v>7.05</v>
      </c>
      <c r="E4075" s="4">
        <v>1</v>
      </c>
      <c r="F4075" s="8">
        <v>1.1599999999999999</v>
      </c>
      <c r="G4075" s="4">
        <v>10</v>
      </c>
      <c r="H4075" s="8">
        <v>18.87</v>
      </c>
      <c r="I4075" s="4">
        <v>0</v>
      </c>
    </row>
    <row r="4076" spans="1:9" x14ac:dyDescent="0.2">
      <c r="A4076" s="2">
        <v>4</v>
      </c>
      <c r="B4076" s="1" t="s">
        <v>221</v>
      </c>
      <c r="C4076" s="4">
        <v>11</v>
      </c>
      <c r="D4076" s="8">
        <v>7.05</v>
      </c>
      <c r="E4076" s="4">
        <v>10</v>
      </c>
      <c r="F4076" s="8">
        <v>11.63</v>
      </c>
      <c r="G4076" s="4">
        <v>0</v>
      </c>
      <c r="H4076" s="8">
        <v>0</v>
      </c>
      <c r="I4076" s="4">
        <v>1</v>
      </c>
    </row>
    <row r="4077" spans="1:9" x14ac:dyDescent="0.2">
      <c r="A4077" s="2">
        <v>6</v>
      </c>
      <c r="B4077" s="1" t="s">
        <v>214</v>
      </c>
      <c r="C4077" s="4">
        <v>10</v>
      </c>
      <c r="D4077" s="8">
        <v>6.41</v>
      </c>
      <c r="E4077" s="4">
        <v>7</v>
      </c>
      <c r="F4077" s="8">
        <v>8.14</v>
      </c>
      <c r="G4077" s="4">
        <v>3</v>
      </c>
      <c r="H4077" s="8">
        <v>5.66</v>
      </c>
      <c r="I4077" s="4">
        <v>0</v>
      </c>
    </row>
    <row r="4078" spans="1:9" x14ac:dyDescent="0.2">
      <c r="A4078" s="2">
        <v>7</v>
      </c>
      <c r="B4078" s="1" t="s">
        <v>243</v>
      </c>
      <c r="C4078" s="4">
        <v>9</v>
      </c>
      <c r="D4078" s="8">
        <v>5.77</v>
      </c>
      <c r="E4078" s="4">
        <v>9</v>
      </c>
      <c r="F4078" s="8">
        <v>10.47</v>
      </c>
      <c r="G4078" s="4">
        <v>0</v>
      </c>
      <c r="H4078" s="8">
        <v>0</v>
      </c>
      <c r="I4078" s="4">
        <v>0</v>
      </c>
    </row>
    <row r="4079" spans="1:9" x14ac:dyDescent="0.2">
      <c r="A4079" s="2">
        <v>8</v>
      </c>
      <c r="B4079" s="1" t="s">
        <v>241</v>
      </c>
      <c r="C4079" s="4">
        <v>7</v>
      </c>
      <c r="D4079" s="8">
        <v>4.49</v>
      </c>
      <c r="E4079" s="4">
        <v>1</v>
      </c>
      <c r="F4079" s="8">
        <v>1.1599999999999999</v>
      </c>
      <c r="G4079" s="4">
        <v>6</v>
      </c>
      <c r="H4079" s="8">
        <v>11.32</v>
      </c>
      <c r="I4079" s="4">
        <v>0</v>
      </c>
    </row>
    <row r="4080" spans="1:9" x14ac:dyDescent="0.2">
      <c r="A4080" s="2">
        <v>8</v>
      </c>
      <c r="B4080" s="1" t="s">
        <v>232</v>
      </c>
      <c r="C4080" s="4">
        <v>7</v>
      </c>
      <c r="D4080" s="8">
        <v>4.49</v>
      </c>
      <c r="E4080" s="4">
        <v>0</v>
      </c>
      <c r="F4080" s="8">
        <v>0</v>
      </c>
      <c r="G4080" s="4">
        <v>2</v>
      </c>
      <c r="H4080" s="8">
        <v>3.77</v>
      </c>
      <c r="I4080" s="4">
        <v>0</v>
      </c>
    </row>
    <row r="4081" spans="1:9" x14ac:dyDescent="0.2">
      <c r="A4081" s="2">
        <v>10</v>
      </c>
      <c r="B4081" s="1" t="s">
        <v>216</v>
      </c>
      <c r="C4081" s="4">
        <v>5</v>
      </c>
      <c r="D4081" s="8">
        <v>3.21</v>
      </c>
      <c r="E4081" s="4">
        <v>0</v>
      </c>
      <c r="F4081" s="8">
        <v>0</v>
      </c>
      <c r="G4081" s="4">
        <v>5</v>
      </c>
      <c r="H4081" s="8">
        <v>9.43</v>
      </c>
      <c r="I4081" s="4">
        <v>0</v>
      </c>
    </row>
    <row r="4082" spans="1:9" x14ac:dyDescent="0.2">
      <c r="A4082" s="2">
        <v>10</v>
      </c>
      <c r="B4082" s="1" t="s">
        <v>240</v>
      </c>
      <c r="C4082" s="4">
        <v>5</v>
      </c>
      <c r="D4082" s="8">
        <v>3.21</v>
      </c>
      <c r="E4082" s="4">
        <v>4</v>
      </c>
      <c r="F4082" s="8">
        <v>4.6500000000000004</v>
      </c>
      <c r="G4082" s="4">
        <v>1</v>
      </c>
      <c r="H4082" s="8">
        <v>1.89</v>
      </c>
      <c r="I4082" s="4">
        <v>0</v>
      </c>
    </row>
    <row r="4083" spans="1:9" x14ac:dyDescent="0.2">
      <c r="A4083" s="2">
        <v>12</v>
      </c>
      <c r="B4083" s="1" t="s">
        <v>222</v>
      </c>
      <c r="C4083" s="4">
        <v>4</v>
      </c>
      <c r="D4083" s="8">
        <v>2.56</v>
      </c>
      <c r="E4083" s="4">
        <v>3</v>
      </c>
      <c r="F4083" s="8">
        <v>3.49</v>
      </c>
      <c r="G4083" s="4">
        <v>1</v>
      </c>
      <c r="H4083" s="8">
        <v>1.89</v>
      </c>
      <c r="I4083" s="4">
        <v>0</v>
      </c>
    </row>
    <row r="4084" spans="1:9" x14ac:dyDescent="0.2">
      <c r="A4084" s="2">
        <v>12</v>
      </c>
      <c r="B4084" s="1" t="s">
        <v>230</v>
      </c>
      <c r="C4084" s="4">
        <v>4</v>
      </c>
      <c r="D4084" s="8">
        <v>2.56</v>
      </c>
      <c r="E4084" s="4">
        <v>2</v>
      </c>
      <c r="F4084" s="8">
        <v>2.33</v>
      </c>
      <c r="G4084" s="4">
        <v>0</v>
      </c>
      <c r="H4084" s="8">
        <v>0</v>
      </c>
      <c r="I4084" s="4">
        <v>0</v>
      </c>
    </row>
    <row r="4085" spans="1:9" x14ac:dyDescent="0.2">
      <c r="A4085" s="2">
        <v>12</v>
      </c>
      <c r="B4085" s="1" t="s">
        <v>231</v>
      </c>
      <c r="C4085" s="4">
        <v>4</v>
      </c>
      <c r="D4085" s="8">
        <v>2.56</v>
      </c>
      <c r="E4085" s="4">
        <v>4</v>
      </c>
      <c r="F4085" s="8">
        <v>4.6500000000000004</v>
      </c>
      <c r="G4085" s="4">
        <v>0</v>
      </c>
      <c r="H4085" s="8">
        <v>0</v>
      </c>
      <c r="I4085" s="4">
        <v>0</v>
      </c>
    </row>
    <row r="4086" spans="1:9" x14ac:dyDescent="0.2">
      <c r="A4086" s="2">
        <v>15</v>
      </c>
      <c r="B4086" s="1" t="s">
        <v>215</v>
      </c>
      <c r="C4086" s="4">
        <v>3</v>
      </c>
      <c r="D4086" s="8">
        <v>1.92</v>
      </c>
      <c r="E4086" s="4">
        <v>1</v>
      </c>
      <c r="F4086" s="8">
        <v>1.1599999999999999</v>
      </c>
      <c r="G4086" s="4">
        <v>2</v>
      </c>
      <c r="H4086" s="8">
        <v>3.77</v>
      </c>
      <c r="I4086" s="4">
        <v>0</v>
      </c>
    </row>
    <row r="4087" spans="1:9" x14ac:dyDescent="0.2">
      <c r="A4087" s="2">
        <v>15</v>
      </c>
      <c r="B4087" s="1" t="s">
        <v>219</v>
      </c>
      <c r="C4087" s="4">
        <v>3</v>
      </c>
      <c r="D4087" s="8">
        <v>1.92</v>
      </c>
      <c r="E4087" s="4">
        <v>0</v>
      </c>
      <c r="F4087" s="8">
        <v>0</v>
      </c>
      <c r="G4087" s="4">
        <v>3</v>
      </c>
      <c r="H4087" s="8">
        <v>5.66</v>
      </c>
      <c r="I4087" s="4">
        <v>0</v>
      </c>
    </row>
    <row r="4088" spans="1:9" x14ac:dyDescent="0.2">
      <c r="A4088" s="2">
        <v>17</v>
      </c>
      <c r="B4088" s="1" t="s">
        <v>217</v>
      </c>
      <c r="C4088" s="4">
        <v>2</v>
      </c>
      <c r="D4088" s="8">
        <v>1.28</v>
      </c>
      <c r="E4088" s="4">
        <v>1</v>
      </c>
      <c r="F4088" s="8">
        <v>1.1599999999999999</v>
      </c>
      <c r="G4088" s="4">
        <v>1</v>
      </c>
      <c r="H4088" s="8">
        <v>1.89</v>
      </c>
      <c r="I4088" s="4">
        <v>0</v>
      </c>
    </row>
    <row r="4089" spans="1:9" x14ac:dyDescent="0.2">
      <c r="A4089" s="2">
        <v>17</v>
      </c>
      <c r="B4089" s="1" t="s">
        <v>226</v>
      </c>
      <c r="C4089" s="4">
        <v>2</v>
      </c>
      <c r="D4089" s="8">
        <v>1.28</v>
      </c>
      <c r="E4089" s="4">
        <v>1</v>
      </c>
      <c r="F4089" s="8">
        <v>1.1599999999999999</v>
      </c>
      <c r="G4089" s="4">
        <v>0</v>
      </c>
      <c r="H4089" s="8">
        <v>0</v>
      </c>
      <c r="I4089" s="4">
        <v>0</v>
      </c>
    </row>
    <row r="4090" spans="1:9" x14ac:dyDescent="0.2">
      <c r="A4090" s="2">
        <v>17</v>
      </c>
      <c r="B4090" s="1" t="s">
        <v>229</v>
      </c>
      <c r="C4090" s="4">
        <v>2</v>
      </c>
      <c r="D4090" s="8">
        <v>1.28</v>
      </c>
      <c r="E4090" s="4">
        <v>0</v>
      </c>
      <c r="F4090" s="8">
        <v>0</v>
      </c>
      <c r="G4090" s="4">
        <v>2</v>
      </c>
      <c r="H4090" s="8">
        <v>3.77</v>
      </c>
      <c r="I4090" s="4">
        <v>0</v>
      </c>
    </row>
    <row r="4091" spans="1:9" x14ac:dyDescent="0.2">
      <c r="A4091" s="2">
        <v>17</v>
      </c>
      <c r="B4091" s="1" t="s">
        <v>247</v>
      </c>
      <c r="C4091" s="4">
        <v>2</v>
      </c>
      <c r="D4091" s="8">
        <v>1.28</v>
      </c>
      <c r="E4091" s="4">
        <v>0</v>
      </c>
      <c r="F4091" s="8">
        <v>0</v>
      </c>
      <c r="G4091" s="4">
        <v>0</v>
      </c>
      <c r="H4091" s="8">
        <v>0</v>
      </c>
      <c r="I4091" s="4">
        <v>0</v>
      </c>
    </row>
    <row r="4092" spans="1:9" x14ac:dyDescent="0.2">
      <c r="A4092" s="2">
        <v>17</v>
      </c>
      <c r="B4092" s="1" t="s">
        <v>249</v>
      </c>
      <c r="C4092" s="4">
        <v>2</v>
      </c>
      <c r="D4092" s="8">
        <v>1.28</v>
      </c>
      <c r="E4092" s="4">
        <v>0</v>
      </c>
      <c r="F4092" s="8">
        <v>0</v>
      </c>
      <c r="G4092" s="4">
        <v>0</v>
      </c>
      <c r="H4092" s="8">
        <v>0</v>
      </c>
      <c r="I4092" s="4">
        <v>0</v>
      </c>
    </row>
    <row r="4093" spans="1:9" x14ac:dyDescent="0.2">
      <c r="A4093" s="1"/>
      <c r="C4093" s="4"/>
      <c r="D4093" s="8"/>
      <c r="E4093" s="4"/>
      <c r="F4093" s="8"/>
      <c r="G4093" s="4"/>
      <c r="H4093" s="8"/>
      <c r="I4093" s="4"/>
    </row>
    <row r="4094" spans="1:9" x14ac:dyDescent="0.2">
      <c r="A4094" s="1" t="s">
        <v>160</v>
      </c>
      <c r="C4094" s="4"/>
      <c r="D4094" s="8"/>
      <c r="E4094" s="4"/>
      <c r="F4094" s="8"/>
      <c r="G4094" s="4"/>
      <c r="H4094" s="8"/>
      <c r="I4094" s="4"/>
    </row>
    <row r="4095" spans="1:9" x14ac:dyDescent="0.2">
      <c r="A4095" s="2">
        <v>1</v>
      </c>
      <c r="B4095" s="1" t="s">
        <v>227</v>
      </c>
      <c r="C4095" s="4">
        <v>99</v>
      </c>
      <c r="D4095" s="8">
        <v>14.98</v>
      </c>
      <c r="E4095" s="4">
        <v>86</v>
      </c>
      <c r="F4095" s="8">
        <v>24.02</v>
      </c>
      <c r="G4095" s="4">
        <v>13</v>
      </c>
      <c r="H4095" s="8">
        <v>4.45</v>
      </c>
      <c r="I4095" s="4">
        <v>0</v>
      </c>
    </row>
    <row r="4096" spans="1:9" x14ac:dyDescent="0.2">
      <c r="A4096" s="2">
        <v>2</v>
      </c>
      <c r="B4096" s="1" t="s">
        <v>228</v>
      </c>
      <c r="C4096" s="4">
        <v>67</v>
      </c>
      <c r="D4096" s="8">
        <v>10.14</v>
      </c>
      <c r="E4096" s="4">
        <v>59</v>
      </c>
      <c r="F4096" s="8">
        <v>16.48</v>
      </c>
      <c r="G4096" s="4">
        <v>8</v>
      </c>
      <c r="H4096" s="8">
        <v>2.74</v>
      </c>
      <c r="I4096" s="4">
        <v>0</v>
      </c>
    </row>
    <row r="4097" spans="1:9" x14ac:dyDescent="0.2">
      <c r="A4097" s="2">
        <v>3</v>
      </c>
      <c r="B4097" s="1" t="s">
        <v>224</v>
      </c>
      <c r="C4097" s="4">
        <v>58</v>
      </c>
      <c r="D4097" s="8">
        <v>8.77</v>
      </c>
      <c r="E4097" s="4">
        <v>37</v>
      </c>
      <c r="F4097" s="8">
        <v>10.34</v>
      </c>
      <c r="G4097" s="4">
        <v>21</v>
      </c>
      <c r="H4097" s="8">
        <v>7.19</v>
      </c>
      <c r="I4097" s="4">
        <v>0</v>
      </c>
    </row>
    <row r="4098" spans="1:9" x14ac:dyDescent="0.2">
      <c r="A4098" s="2">
        <v>4</v>
      </c>
      <c r="B4098" s="1" t="s">
        <v>223</v>
      </c>
      <c r="C4098" s="4">
        <v>51</v>
      </c>
      <c r="D4098" s="8">
        <v>7.72</v>
      </c>
      <c r="E4098" s="4">
        <v>19</v>
      </c>
      <c r="F4098" s="8">
        <v>5.31</v>
      </c>
      <c r="G4098" s="4">
        <v>32</v>
      </c>
      <c r="H4098" s="8">
        <v>10.96</v>
      </c>
      <c r="I4098" s="4">
        <v>0</v>
      </c>
    </row>
    <row r="4099" spans="1:9" x14ac:dyDescent="0.2">
      <c r="A4099" s="2">
        <v>5</v>
      </c>
      <c r="B4099" s="1" t="s">
        <v>213</v>
      </c>
      <c r="C4099" s="4">
        <v>43</v>
      </c>
      <c r="D4099" s="8">
        <v>6.51</v>
      </c>
      <c r="E4099" s="4">
        <v>4</v>
      </c>
      <c r="F4099" s="8">
        <v>1.1200000000000001</v>
      </c>
      <c r="G4099" s="4">
        <v>39</v>
      </c>
      <c r="H4099" s="8">
        <v>13.36</v>
      </c>
      <c r="I4099" s="4">
        <v>0</v>
      </c>
    </row>
    <row r="4100" spans="1:9" x14ac:dyDescent="0.2">
      <c r="A4100" s="2">
        <v>6</v>
      </c>
      <c r="B4100" s="1" t="s">
        <v>221</v>
      </c>
      <c r="C4100" s="4">
        <v>38</v>
      </c>
      <c r="D4100" s="8">
        <v>5.75</v>
      </c>
      <c r="E4100" s="4">
        <v>24</v>
      </c>
      <c r="F4100" s="8">
        <v>6.7</v>
      </c>
      <c r="G4100" s="4">
        <v>14</v>
      </c>
      <c r="H4100" s="8">
        <v>4.79</v>
      </c>
      <c r="I4100" s="4">
        <v>0</v>
      </c>
    </row>
    <row r="4101" spans="1:9" x14ac:dyDescent="0.2">
      <c r="A4101" s="2">
        <v>7</v>
      </c>
      <c r="B4101" s="1" t="s">
        <v>214</v>
      </c>
      <c r="C4101" s="4">
        <v>37</v>
      </c>
      <c r="D4101" s="8">
        <v>5.6</v>
      </c>
      <c r="E4101" s="4">
        <v>24</v>
      </c>
      <c r="F4101" s="8">
        <v>6.7</v>
      </c>
      <c r="G4101" s="4">
        <v>13</v>
      </c>
      <c r="H4101" s="8">
        <v>4.45</v>
      </c>
      <c r="I4101" s="4">
        <v>0</v>
      </c>
    </row>
    <row r="4102" spans="1:9" x14ac:dyDescent="0.2">
      <c r="A4102" s="2">
        <v>8</v>
      </c>
      <c r="B4102" s="1" t="s">
        <v>232</v>
      </c>
      <c r="C4102" s="4">
        <v>23</v>
      </c>
      <c r="D4102" s="8">
        <v>3.48</v>
      </c>
      <c r="E4102" s="4">
        <v>0</v>
      </c>
      <c r="F4102" s="8">
        <v>0</v>
      </c>
      <c r="G4102" s="4">
        <v>21</v>
      </c>
      <c r="H4102" s="8">
        <v>7.19</v>
      </c>
      <c r="I4102" s="4">
        <v>0</v>
      </c>
    </row>
    <row r="4103" spans="1:9" x14ac:dyDescent="0.2">
      <c r="A4103" s="2">
        <v>9</v>
      </c>
      <c r="B4103" s="1" t="s">
        <v>222</v>
      </c>
      <c r="C4103" s="4">
        <v>22</v>
      </c>
      <c r="D4103" s="8">
        <v>3.33</v>
      </c>
      <c r="E4103" s="4">
        <v>9</v>
      </c>
      <c r="F4103" s="8">
        <v>2.5099999999999998</v>
      </c>
      <c r="G4103" s="4">
        <v>13</v>
      </c>
      <c r="H4103" s="8">
        <v>4.45</v>
      </c>
      <c r="I4103" s="4">
        <v>0</v>
      </c>
    </row>
    <row r="4104" spans="1:9" x14ac:dyDescent="0.2">
      <c r="A4104" s="2">
        <v>10</v>
      </c>
      <c r="B4104" s="1" t="s">
        <v>220</v>
      </c>
      <c r="C4104" s="4">
        <v>18</v>
      </c>
      <c r="D4104" s="8">
        <v>2.72</v>
      </c>
      <c r="E4104" s="4">
        <v>9</v>
      </c>
      <c r="F4104" s="8">
        <v>2.5099999999999998</v>
      </c>
      <c r="G4104" s="4">
        <v>9</v>
      </c>
      <c r="H4104" s="8">
        <v>3.08</v>
      </c>
      <c r="I4104" s="4">
        <v>0</v>
      </c>
    </row>
    <row r="4105" spans="1:9" x14ac:dyDescent="0.2">
      <c r="A4105" s="2">
        <v>10</v>
      </c>
      <c r="B4105" s="1" t="s">
        <v>230</v>
      </c>
      <c r="C4105" s="4">
        <v>18</v>
      </c>
      <c r="D4105" s="8">
        <v>2.72</v>
      </c>
      <c r="E4105" s="4">
        <v>13</v>
      </c>
      <c r="F4105" s="8">
        <v>3.63</v>
      </c>
      <c r="G4105" s="4">
        <v>3</v>
      </c>
      <c r="H4105" s="8">
        <v>1.03</v>
      </c>
      <c r="I4105" s="4">
        <v>0</v>
      </c>
    </row>
    <row r="4106" spans="1:9" x14ac:dyDescent="0.2">
      <c r="A4106" s="2">
        <v>12</v>
      </c>
      <c r="B4106" s="1" t="s">
        <v>225</v>
      </c>
      <c r="C4106" s="4">
        <v>17</v>
      </c>
      <c r="D4106" s="8">
        <v>2.57</v>
      </c>
      <c r="E4106" s="4">
        <v>12</v>
      </c>
      <c r="F4106" s="8">
        <v>3.35</v>
      </c>
      <c r="G4106" s="4">
        <v>5</v>
      </c>
      <c r="H4106" s="8">
        <v>1.71</v>
      </c>
      <c r="I4106" s="4">
        <v>0</v>
      </c>
    </row>
    <row r="4107" spans="1:9" x14ac:dyDescent="0.2">
      <c r="A4107" s="2">
        <v>13</v>
      </c>
      <c r="B4107" s="1" t="s">
        <v>231</v>
      </c>
      <c r="C4107" s="4">
        <v>16</v>
      </c>
      <c r="D4107" s="8">
        <v>2.42</v>
      </c>
      <c r="E4107" s="4">
        <v>16</v>
      </c>
      <c r="F4107" s="8">
        <v>4.47</v>
      </c>
      <c r="G4107" s="4">
        <v>0</v>
      </c>
      <c r="H4107" s="8">
        <v>0</v>
      </c>
      <c r="I4107" s="4">
        <v>0</v>
      </c>
    </row>
    <row r="4108" spans="1:9" x14ac:dyDescent="0.2">
      <c r="A4108" s="2">
        <v>14</v>
      </c>
      <c r="B4108" s="1" t="s">
        <v>241</v>
      </c>
      <c r="C4108" s="4">
        <v>15</v>
      </c>
      <c r="D4108" s="8">
        <v>2.27</v>
      </c>
      <c r="E4108" s="4">
        <v>6</v>
      </c>
      <c r="F4108" s="8">
        <v>1.68</v>
      </c>
      <c r="G4108" s="4">
        <v>9</v>
      </c>
      <c r="H4108" s="8">
        <v>3.08</v>
      </c>
      <c r="I4108" s="4">
        <v>0</v>
      </c>
    </row>
    <row r="4109" spans="1:9" x14ac:dyDescent="0.2">
      <c r="A4109" s="2">
        <v>15</v>
      </c>
      <c r="B4109" s="1" t="s">
        <v>226</v>
      </c>
      <c r="C4109" s="4">
        <v>12</v>
      </c>
      <c r="D4109" s="8">
        <v>1.82</v>
      </c>
      <c r="E4109" s="4">
        <v>7</v>
      </c>
      <c r="F4109" s="8">
        <v>1.96</v>
      </c>
      <c r="G4109" s="4">
        <v>3</v>
      </c>
      <c r="H4109" s="8">
        <v>1.03</v>
      </c>
      <c r="I4109" s="4">
        <v>1</v>
      </c>
    </row>
    <row r="4110" spans="1:9" x14ac:dyDescent="0.2">
      <c r="A4110" s="2">
        <v>16</v>
      </c>
      <c r="B4110" s="1" t="s">
        <v>216</v>
      </c>
      <c r="C4110" s="4">
        <v>11</v>
      </c>
      <c r="D4110" s="8">
        <v>1.66</v>
      </c>
      <c r="E4110" s="4">
        <v>3</v>
      </c>
      <c r="F4110" s="8">
        <v>0.84</v>
      </c>
      <c r="G4110" s="4">
        <v>8</v>
      </c>
      <c r="H4110" s="8">
        <v>2.74</v>
      </c>
      <c r="I4110" s="4">
        <v>0</v>
      </c>
    </row>
    <row r="4111" spans="1:9" x14ac:dyDescent="0.2">
      <c r="A4111" s="2">
        <v>17</v>
      </c>
      <c r="B4111" s="1" t="s">
        <v>215</v>
      </c>
      <c r="C4111" s="4">
        <v>8</v>
      </c>
      <c r="D4111" s="8">
        <v>1.21</v>
      </c>
      <c r="E4111" s="4">
        <v>5</v>
      </c>
      <c r="F4111" s="8">
        <v>1.4</v>
      </c>
      <c r="G4111" s="4">
        <v>3</v>
      </c>
      <c r="H4111" s="8">
        <v>1.03</v>
      </c>
      <c r="I4111" s="4">
        <v>0</v>
      </c>
    </row>
    <row r="4112" spans="1:9" x14ac:dyDescent="0.2">
      <c r="A4112" s="2">
        <v>17</v>
      </c>
      <c r="B4112" s="1" t="s">
        <v>240</v>
      </c>
      <c r="C4112" s="4">
        <v>8</v>
      </c>
      <c r="D4112" s="8">
        <v>1.21</v>
      </c>
      <c r="E4112" s="4">
        <v>4</v>
      </c>
      <c r="F4112" s="8">
        <v>1.1200000000000001</v>
      </c>
      <c r="G4112" s="4">
        <v>4</v>
      </c>
      <c r="H4112" s="8">
        <v>1.37</v>
      </c>
      <c r="I4112" s="4">
        <v>0</v>
      </c>
    </row>
    <row r="4113" spans="1:9" x14ac:dyDescent="0.2">
      <c r="A4113" s="2">
        <v>19</v>
      </c>
      <c r="B4113" s="1" t="s">
        <v>229</v>
      </c>
      <c r="C4113" s="4">
        <v>7</v>
      </c>
      <c r="D4113" s="8">
        <v>1.06</v>
      </c>
      <c r="E4113" s="4">
        <v>3</v>
      </c>
      <c r="F4113" s="8">
        <v>0.84</v>
      </c>
      <c r="G4113" s="4">
        <v>4</v>
      </c>
      <c r="H4113" s="8">
        <v>1.37</v>
      </c>
      <c r="I4113" s="4">
        <v>0</v>
      </c>
    </row>
    <row r="4114" spans="1:9" x14ac:dyDescent="0.2">
      <c r="A4114" s="2">
        <v>20</v>
      </c>
      <c r="B4114" s="1" t="s">
        <v>217</v>
      </c>
      <c r="C4114" s="4">
        <v>6</v>
      </c>
      <c r="D4114" s="8">
        <v>0.91</v>
      </c>
      <c r="E4114" s="4">
        <v>2</v>
      </c>
      <c r="F4114" s="8">
        <v>0.56000000000000005</v>
      </c>
      <c r="G4114" s="4">
        <v>4</v>
      </c>
      <c r="H4114" s="8">
        <v>1.37</v>
      </c>
      <c r="I4114" s="4">
        <v>0</v>
      </c>
    </row>
    <row r="4115" spans="1:9" x14ac:dyDescent="0.2">
      <c r="A4115" s="2">
        <v>20</v>
      </c>
      <c r="B4115" s="1" t="s">
        <v>243</v>
      </c>
      <c r="C4115" s="4">
        <v>6</v>
      </c>
      <c r="D4115" s="8">
        <v>0.91</v>
      </c>
      <c r="E4115" s="4">
        <v>3</v>
      </c>
      <c r="F4115" s="8">
        <v>0.84</v>
      </c>
      <c r="G4115" s="4">
        <v>3</v>
      </c>
      <c r="H4115" s="8">
        <v>1.03</v>
      </c>
      <c r="I4115" s="4">
        <v>0</v>
      </c>
    </row>
    <row r="4116" spans="1:9" x14ac:dyDescent="0.2">
      <c r="A4116" s="2">
        <v>20</v>
      </c>
      <c r="B4116" s="1" t="s">
        <v>247</v>
      </c>
      <c r="C4116" s="4">
        <v>6</v>
      </c>
      <c r="D4116" s="8">
        <v>0.91</v>
      </c>
      <c r="E4116" s="4">
        <v>0</v>
      </c>
      <c r="F4116" s="8">
        <v>0</v>
      </c>
      <c r="G4116" s="4">
        <v>5</v>
      </c>
      <c r="H4116" s="8">
        <v>1.71</v>
      </c>
      <c r="I4116" s="4">
        <v>0</v>
      </c>
    </row>
    <row r="4117" spans="1:9" x14ac:dyDescent="0.2">
      <c r="A4117" s="2">
        <v>20</v>
      </c>
      <c r="B4117" s="1" t="s">
        <v>234</v>
      </c>
      <c r="C4117" s="4">
        <v>6</v>
      </c>
      <c r="D4117" s="8">
        <v>0.91</v>
      </c>
      <c r="E4117" s="4">
        <v>0</v>
      </c>
      <c r="F4117" s="8">
        <v>0</v>
      </c>
      <c r="G4117" s="4">
        <v>6</v>
      </c>
      <c r="H4117" s="8">
        <v>2.0499999999999998</v>
      </c>
      <c r="I4117" s="4">
        <v>0</v>
      </c>
    </row>
    <row r="4118" spans="1:9" x14ac:dyDescent="0.2">
      <c r="A4118" s="1"/>
      <c r="C4118" s="4"/>
      <c r="D4118" s="8"/>
      <c r="E4118" s="4"/>
      <c r="F4118" s="8"/>
      <c r="G4118" s="4"/>
      <c r="H4118" s="8"/>
      <c r="I4118" s="4"/>
    </row>
    <row r="4119" spans="1:9" x14ac:dyDescent="0.2">
      <c r="A4119" s="1" t="s">
        <v>161</v>
      </c>
      <c r="C4119" s="4"/>
      <c r="D4119" s="8"/>
      <c r="E4119" s="4"/>
      <c r="F4119" s="8"/>
      <c r="G4119" s="4"/>
      <c r="H4119" s="8"/>
      <c r="I4119" s="4"/>
    </row>
    <row r="4120" spans="1:9" x14ac:dyDescent="0.2">
      <c r="A4120" s="2">
        <v>1</v>
      </c>
      <c r="B4120" s="1" t="s">
        <v>228</v>
      </c>
      <c r="C4120" s="4">
        <v>102</v>
      </c>
      <c r="D4120" s="8">
        <v>14.61</v>
      </c>
      <c r="E4120" s="4">
        <v>91</v>
      </c>
      <c r="F4120" s="8">
        <v>25.35</v>
      </c>
      <c r="G4120" s="4">
        <v>11</v>
      </c>
      <c r="H4120" s="8">
        <v>3.27</v>
      </c>
      <c r="I4120" s="4">
        <v>0</v>
      </c>
    </row>
    <row r="4121" spans="1:9" x14ac:dyDescent="0.2">
      <c r="A4121" s="2">
        <v>2</v>
      </c>
      <c r="B4121" s="1" t="s">
        <v>213</v>
      </c>
      <c r="C4121" s="4">
        <v>53</v>
      </c>
      <c r="D4121" s="8">
        <v>7.59</v>
      </c>
      <c r="E4121" s="4">
        <v>10</v>
      </c>
      <c r="F4121" s="8">
        <v>2.79</v>
      </c>
      <c r="G4121" s="4">
        <v>43</v>
      </c>
      <c r="H4121" s="8">
        <v>12.8</v>
      </c>
      <c r="I4121" s="4">
        <v>0</v>
      </c>
    </row>
    <row r="4122" spans="1:9" x14ac:dyDescent="0.2">
      <c r="A4122" s="2">
        <v>3</v>
      </c>
      <c r="B4122" s="1" t="s">
        <v>224</v>
      </c>
      <c r="C4122" s="4">
        <v>51</v>
      </c>
      <c r="D4122" s="8">
        <v>7.31</v>
      </c>
      <c r="E4122" s="4">
        <v>34</v>
      </c>
      <c r="F4122" s="8">
        <v>9.4700000000000006</v>
      </c>
      <c r="G4122" s="4">
        <v>16</v>
      </c>
      <c r="H4122" s="8">
        <v>4.76</v>
      </c>
      <c r="I4122" s="4">
        <v>0</v>
      </c>
    </row>
    <row r="4123" spans="1:9" x14ac:dyDescent="0.2">
      <c r="A4123" s="2">
        <v>4</v>
      </c>
      <c r="B4123" s="1" t="s">
        <v>214</v>
      </c>
      <c r="C4123" s="4">
        <v>49</v>
      </c>
      <c r="D4123" s="8">
        <v>7.02</v>
      </c>
      <c r="E4123" s="4">
        <v>21</v>
      </c>
      <c r="F4123" s="8">
        <v>5.85</v>
      </c>
      <c r="G4123" s="4">
        <v>28</v>
      </c>
      <c r="H4123" s="8">
        <v>8.33</v>
      </c>
      <c r="I4123" s="4">
        <v>0</v>
      </c>
    </row>
    <row r="4124" spans="1:9" x14ac:dyDescent="0.2">
      <c r="A4124" s="2">
        <v>4</v>
      </c>
      <c r="B4124" s="1" t="s">
        <v>227</v>
      </c>
      <c r="C4124" s="4">
        <v>49</v>
      </c>
      <c r="D4124" s="8">
        <v>7.02</v>
      </c>
      <c r="E4124" s="4">
        <v>42</v>
      </c>
      <c r="F4124" s="8">
        <v>11.7</v>
      </c>
      <c r="G4124" s="4">
        <v>7</v>
      </c>
      <c r="H4124" s="8">
        <v>2.08</v>
      </c>
      <c r="I4124" s="4">
        <v>0</v>
      </c>
    </row>
    <row r="4125" spans="1:9" x14ac:dyDescent="0.2">
      <c r="A4125" s="2">
        <v>6</v>
      </c>
      <c r="B4125" s="1" t="s">
        <v>223</v>
      </c>
      <c r="C4125" s="4">
        <v>48</v>
      </c>
      <c r="D4125" s="8">
        <v>6.88</v>
      </c>
      <c r="E4125" s="4">
        <v>16</v>
      </c>
      <c r="F4125" s="8">
        <v>4.46</v>
      </c>
      <c r="G4125" s="4">
        <v>32</v>
      </c>
      <c r="H4125" s="8">
        <v>9.52</v>
      </c>
      <c r="I4125" s="4">
        <v>0</v>
      </c>
    </row>
    <row r="4126" spans="1:9" x14ac:dyDescent="0.2">
      <c r="A4126" s="2">
        <v>7</v>
      </c>
      <c r="B4126" s="1" t="s">
        <v>230</v>
      </c>
      <c r="C4126" s="4">
        <v>32</v>
      </c>
      <c r="D4126" s="8">
        <v>4.58</v>
      </c>
      <c r="E4126" s="4">
        <v>23</v>
      </c>
      <c r="F4126" s="8">
        <v>6.41</v>
      </c>
      <c r="G4126" s="4">
        <v>8</v>
      </c>
      <c r="H4126" s="8">
        <v>2.38</v>
      </c>
      <c r="I4126" s="4">
        <v>0</v>
      </c>
    </row>
    <row r="4127" spans="1:9" x14ac:dyDescent="0.2">
      <c r="A4127" s="2">
        <v>8</v>
      </c>
      <c r="B4127" s="1" t="s">
        <v>215</v>
      </c>
      <c r="C4127" s="4">
        <v>31</v>
      </c>
      <c r="D4127" s="8">
        <v>4.4400000000000004</v>
      </c>
      <c r="E4127" s="4">
        <v>7</v>
      </c>
      <c r="F4127" s="8">
        <v>1.95</v>
      </c>
      <c r="G4127" s="4">
        <v>24</v>
      </c>
      <c r="H4127" s="8">
        <v>7.14</v>
      </c>
      <c r="I4127" s="4">
        <v>0</v>
      </c>
    </row>
    <row r="4128" spans="1:9" x14ac:dyDescent="0.2">
      <c r="A4128" s="2">
        <v>8</v>
      </c>
      <c r="B4128" s="1" t="s">
        <v>231</v>
      </c>
      <c r="C4128" s="4">
        <v>31</v>
      </c>
      <c r="D4128" s="8">
        <v>4.4400000000000004</v>
      </c>
      <c r="E4128" s="4">
        <v>30</v>
      </c>
      <c r="F4128" s="8">
        <v>8.36</v>
      </c>
      <c r="G4128" s="4">
        <v>1</v>
      </c>
      <c r="H4128" s="8">
        <v>0.3</v>
      </c>
      <c r="I4128" s="4">
        <v>0</v>
      </c>
    </row>
    <row r="4129" spans="1:9" x14ac:dyDescent="0.2">
      <c r="A4129" s="2">
        <v>10</v>
      </c>
      <c r="B4129" s="1" t="s">
        <v>226</v>
      </c>
      <c r="C4129" s="4">
        <v>22</v>
      </c>
      <c r="D4129" s="8">
        <v>3.15</v>
      </c>
      <c r="E4129" s="4">
        <v>8</v>
      </c>
      <c r="F4129" s="8">
        <v>2.23</v>
      </c>
      <c r="G4129" s="4">
        <v>14</v>
      </c>
      <c r="H4129" s="8">
        <v>4.17</v>
      </c>
      <c r="I4129" s="4">
        <v>0</v>
      </c>
    </row>
    <row r="4130" spans="1:9" x14ac:dyDescent="0.2">
      <c r="A4130" s="2">
        <v>11</v>
      </c>
      <c r="B4130" s="1" t="s">
        <v>221</v>
      </c>
      <c r="C4130" s="4">
        <v>20</v>
      </c>
      <c r="D4130" s="8">
        <v>2.87</v>
      </c>
      <c r="E4130" s="4">
        <v>11</v>
      </c>
      <c r="F4130" s="8">
        <v>3.06</v>
      </c>
      <c r="G4130" s="4">
        <v>9</v>
      </c>
      <c r="H4130" s="8">
        <v>2.68</v>
      </c>
      <c r="I4130" s="4">
        <v>0</v>
      </c>
    </row>
    <row r="4131" spans="1:9" x14ac:dyDescent="0.2">
      <c r="A4131" s="2">
        <v>12</v>
      </c>
      <c r="B4131" s="1" t="s">
        <v>220</v>
      </c>
      <c r="C4131" s="4">
        <v>16</v>
      </c>
      <c r="D4131" s="8">
        <v>2.29</v>
      </c>
      <c r="E4131" s="4">
        <v>5</v>
      </c>
      <c r="F4131" s="8">
        <v>1.39</v>
      </c>
      <c r="G4131" s="4">
        <v>11</v>
      </c>
      <c r="H4131" s="8">
        <v>3.27</v>
      </c>
      <c r="I4131" s="4">
        <v>0</v>
      </c>
    </row>
    <row r="4132" spans="1:9" x14ac:dyDescent="0.2">
      <c r="A4132" s="2">
        <v>12</v>
      </c>
      <c r="B4132" s="1" t="s">
        <v>222</v>
      </c>
      <c r="C4132" s="4">
        <v>16</v>
      </c>
      <c r="D4132" s="8">
        <v>2.29</v>
      </c>
      <c r="E4132" s="4">
        <v>8</v>
      </c>
      <c r="F4132" s="8">
        <v>2.23</v>
      </c>
      <c r="G4132" s="4">
        <v>8</v>
      </c>
      <c r="H4132" s="8">
        <v>2.38</v>
      </c>
      <c r="I4132" s="4">
        <v>0</v>
      </c>
    </row>
    <row r="4133" spans="1:9" x14ac:dyDescent="0.2">
      <c r="A4133" s="2">
        <v>14</v>
      </c>
      <c r="B4133" s="1" t="s">
        <v>240</v>
      </c>
      <c r="C4133" s="4">
        <v>12</v>
      </c>
      <c r="D4133" s="8">
        <v>1.72</v>
      </c>
      <c r="E4133" s="4">
        <v>6</v>
      </c>
      <c r="F4133" s="8">
        <v>1.67</v>
      </c>
      <c r="G4133" s="4">
        <v>6</v>
      </c>
      <c r="H4133" s="8">
        <v>1.79</v>
      </c>
      <c r="I4133" s="4">
        <v>0</v>
      </c>
    </row>
    <row r="4134" spans="1:9" x14ac:dyDescent="0.2">
      <c r="A4134" s="2">
        <v>15</v>
      </c>
      <c r="B4134" s="1" t="s">
        <v>232</v>
      </c>
      <c r="C4134" s="4">
        <v>11</v>
      </c>
      <c r="D4134" s="8">
        <v>1.58</v>
      </c>
      <c r="E4134" s="4">
        <v>0</v>
      </c>
      <c r="F4134" s="8">
        <v>0</v>
      </c>
      <c r="G4134" s="4">
        <v>10</v>
      </c>
      <c r="H4134" s="8">
        <v>2.98</v>
      </c>
      <c r="I4134" s="4">
        <v>0</v>
      </c>
    </row>
    <row r="4135" spans="1:9" x14ac:dyDescent="0.2">
      <c r="A4135" s="2">
        <v>15</v>
      </c>
      <c r="B4135" s="1" t="s">
        <v>242</v>
      </c>
      <c r="C4135" s="4">
        <v>11</v>
      </c>
      <c r="D4135" s="8">
        <v>1.58</v>
      </c>
      <c r="E4135" s="4">
        <v>5</v>
      </c>
      <c r="F4135" s="8">
        <v>1.39</v>
      </c>
      <c r="G4135" s="4">
        <v>6</v>
      </c>
      <c r="H4135" s="8">
        <v>1.79</v>
      </c>
      <c r="I4135" s="4">
        <v>0</v>
      </c>
    </row>
    <row r="4136" spans="1:9" x14ac:dyDescent="0.2">
      <c r="A4136" s="2">
        <v>17</v>
      </c>
      <c r="B4136" s="1" t="s">
        <v>217</v>
      </c>
      <c r="C4136" s="4">
        <v>10</v>
      </c>
      <c r="D4136" s="8">
        <v>1.43</v>
      </c>
      <c r="E4136" s="4">
        <v>4</v>
      </c>
      <c r="F4136" s="8">
        <v>1.1100000000000001</v>
      </c>
      <c r="G4136" s="4">
        <v>6</v>
      </c>
      <c r="H4136" s="8">
        <v>1.79</v>
      </c>
      <c r="I4136" s="4">
        <v>0</v>
      </c>
    </row>
    <row r="4137" spans="1:9" x14ac:dyDescent="0.2">
      <c r="A4137" s="2">
        <v>17</v>
      </c>
      <c r="B4137" s="1" t="s">
        <v>219</v>
      </c>
      <c r="C4137" s="4">
        <v>10</v>
      </c>
      <c r="D4137" s="8">
        <v>1.43</v>
      </c>
      <c r="E4137" s="4">
        <v>3</v>
      </c>
      <c r="F4137" s="8">
        <v>0.84</v>
      </c>
      <c r="G4137" s="4">
        <v>7</v>
      </c>
      <c r="H4137" s="8">
        <v>2.08</v>
      </c>
      <c r="I4137" s="4">
        <v>0</v>
      </c>
    </row>
    <row r="4138" spans="1:9" x14ac:dyDescent="0.2">
      <c r="A4138" s="2">
        <v>19</v>
      </c>
      <c r="B4138" s="1" t="s">
        <v>236</v>
      </c>
      <c r="C4138" s="4">
        <v>8</v>
      </c>
      <c r="D4138" s="8">
        <v>1.1499999999999999</v>
      </c>
      <c r="E4138" s="4">
        <v>0</v>
      </c>
      <c r="F4138" s="8">
        <v>0</v>
      </c>
      <c r="G4138" s="4">
        <v>8</v>
      </c>
      <c r="H4138" s="8">
        <v>2.38</v>
      </c>
      <c r="I4138" s="4">
        <v>0</v>
      </c>
    </row>
    <row r="4139" spans="1:9" x14ac:dyDescent="0.2">
      <c r="A4139" s="2">
        <v>19</v>
      </c>
      <c r="B4139" s="1" t="s">
        <v>225</v>
      </c>
      <c r="C4139" s="4">
        <v>8</v>
      </c>
      <c r="D4139" s="8">
        <v>1.1499999999999999</v>
      </c>
      <c r="E4139" s="4">
        <v>6</v>
      </c>
      <c r="F4139" s="8">
        <v>1.67</v>
      </c>
      <c r="G4139" s="4">
        <v>2</v>
      </c>
      <c r="H4139" s="8">
        <v>0.6</v>
      </c>
      <c r="I4139" s="4">
        <v>0</v>
      </c>
    </row>
    <row r="4140" spans="1:9" x14ac:dyDescent="0.2">
      <c r="A4140" s="1"/>
      <c r="C4140" s="4"/>
      <c r="D4140" s="8"/>
      <c r="E4140" s="4"/>
      <c r="F4140" s="8"/>
      <c r="G4140" s="4"/>
      <c r="H4140" s="8"/>
      <c r="I4140" s="4"/>
    </row>
    <row r="4141" spans="1:9" x14ac:dyDescent="0.2">
      <c r="A4141" s="1" t="s">
        <v>162</v>
      </c>
      <c r="C4141" s="4"/>
      <c r="D4141" s="8"/>
      <c r="E4141" s="4"/>
      <c r="F4141" s="8"/>
      <c r="G4141" s="4"/>
      <c r="H4141" s="8"/>
      <c r="I4141" s="4"/>
    </row>
    <row r="4142" spans="1:9" x14ac:dyDescent="0.2">
      <c r="A4142" s="2">
        <v>1</v>
      </c>
      <c r="B4142" s="1" t="s">
        <v>227</v>
      </c>
      <c r="C4142" s="4">
        <v>17</v>
      </c>
      <c r="D4142" s="8">
        <v>13.18</v>
      </c>
      <c r="E4142" s="4">
        <v>17</v>
      </c>
      <c r="F4142" s="8">
        <v>23.94</v>
      </c>
      <c r="G4142" s="4">
        <v>0</v>
      </c>
      <c r="H4142" s="8">
        <v>0</v>
      </c>
      <c r="I4142" s="4">
        <v>0</v>
      </c>
    </row>
    <row r="4143" spans="1:9" x14ac:dyDescent="0.2">
      <c r="A4143" s="2">
        <v>2</v>
      </c>
      <c r="B4143" s="1" t="s">
        <v>213</v>
      </c>
      <c r="C4143" s="4">
        <v>15</v>
      </c>
      <c r="D4143" s="8">
        <v>11.63</v>
      </c>
      <c r="E4143" s="4">
        <v>6</v>
      </c>
      <c r="F4143" s="8">
        <v>8.4499999999999993</v>
      </c>
      <c r="G4143" s="4">
        <v>9</v>
      </c>
      <c r="H4143" s="8">
        <v>16.07</v>
      </c>
      <c r="I4143" s="4">
        <v>0</v>
      </c>
    </row>
    <row r="4144" spans="1:9" x14ac:dyDescent="0.2">
      <c r="A4144" s="2">
        <v>3</v>
      </c>
      <c r="B4144" s="1" t="s">
        <v>228</v>
      </c>
      <c r="C4144" s="4">
        <v>13</v>
      </c>
      <c r="D4144" s="8">
        <v>10.08</v>
      </c>
      <c r="E4144" s="4">
        <v>13</v>
      </c>
      <c r="F4144" s="8">
        <v>18.309999999999999</v>
      </c>
      <c r="G4144" s="4">
        <v>0</v>
      </c>
      <c r="H4144" s="8">
        <v>0</v>
      </c>
      <c r="I4144" s="4">
        <v>0</v>
      </c>
    </row>
    <row r="4145" spans="1:9" x14ac:dyDescent="0.2">
      <c r="A4145" s="2">
        <v>4</v>
      </c>
      <c r="B4145" s="1" t="s">
        <v>223</v>
      </c>
      <c r="C4145" s="4">
        <v>12</v>
      </c>
      <c r="D4145" s="8">
        <v>9.3000000000000007</v>
      </c>
      <c r="E4145" s="4">
        <v>1</v>
      </c>
      <c r="F4145" s="8">
        <v>1.41</v>
      </c>
      <c r="G4145" s="4">
        <v>11</v>
      </c>
      <c r="H4145" s="8">
        <v>19.64</v>
      </c>
      <c r="I4145" s="4">
        <v>0</v>
      </c>
    </row>
    <row r="4146" spans="1:9" x14ac:dyDescent="0.2">
      <c r="A4146" s="2">
        <v>5</v>
      </c>
      <c r="B4146" s="1" t="s">
        <v>224</v>
      </c>
      <c r="C4146" s="4">
        <v>10</v>
      </c>
      <c r="D4146" s="8">
        <v>7.75</v>
      </c>
      <c r="E4146" s="4">
        <v>9</v>
      </c>
      <c r="F4146" s="8">
        <v>12.68</v>
      </c>
      <c r="G4146" s="4">
        <v>1</v>
      </c>
      <c r="H4146" s="8">
        <v>1.79</v>
      </c>
      <c r="I4146" s="4">
        <v>0</v>
      </c>
    </row>
    <row r="4147" spans="1:9" x14ac:dyDescent="0.2">
      <c r="A4147" s="2">
        <v>6</v>
      </c>
      <c r="B4147" s="1" t="s">
        <v>214</v>
      </c>
      <c r="C4147" s="4">
        <v>8</v>
      </c>
      <c r="D4147" s="8">
        <v>6.2</v>
      </c>
      <c r="E4147" s="4">
        <v>7</v>
      </c>
      <c r="F4147" s="8">
        <v>9.86</v>
      </c>
      <c r="G4147" s="4">
        <v>1</v>
      </c>
      <c r="H4147" s="8">
        <v>1.79</v>
      </c>
      <c r="I4147" s="4">
        <v>0</v>
      </c>
    </row>
    <row r="4148" spans="1:9" x14ac:dyDescent="0.2">
      <c r="A4148" s="2">
        <v>7</v>
      </c>
      <c r="B4148" s="1" t="s">
        <v>215</v>
      </c>
      <c r="C4148" s="4">
        <v>6</v>
      </c>
      <c r="D4148" s="8">
        <v>4.6500000000000004</v>
      </c>
      <c r="E4148" s="4">
        <v>1</v>
      </c>
      <c r="F4148" s="8">
        <v>1.41</v>
      </c>
      <c r="G4148" s="4">
        <v>5</v>
      </c>
      <c r="H4148" s="8">
        <v>8.93</v>
      </c>
      <c r="I4148" s="4">
        <v>0</v>
      </c>
    </row>
    <row r="4149" spans="1:9" x14ac:dyDescent="0.2">
      <c r="A4149" s="2">
        <v>8</v>
      </c>
      <c r="B4149" s="1" t="s">
        <v>221</v>
      </c>
      <c r="C4149" s="4">
        <v>5</v>
      </c>
      <c r="D4149" s="8">
        <v>3.88</v>
      </c>
      <c r="E4149" s="4">
        <v>1</v>
      </c>
      <c r="F4149" s="8">
        <v>1.41</v>
      </c>
      <c r="G4149" s="4">
        <v>4</v>
      </c>
      <c r="H4149" s="8">
        <v>7.14</v>
      </c>
      <c r="I4149" s="4">
        <v>0</v>
      </c>
    </row>
    <row r="4150" spans="1:9" x14ac:dyDescent="0.2">
      <c r="A4150" s="2">
        <v>8</v>
      </c>
      <c r="B4150" s="1" t="s">
        <v>222</v>
      </c>
      <c r="C4150" s="4">
        <v>5</v>
      </c>
      <c r="D4150" s="8">
        <v>3.88</v>
      </c>
      <c r="E4150" s="4">
        <v>1</v>
      </c>
      <c r="F4150" s="8">
        <v>1.41</v>
      </c>
      <c r="G4150" s="4">
        <v>4</v>
      </c>
      <c r="H4150" s="8">
        <v>7.14</v>
      </c>
      <c r="I4150" s="4">
        <v>0</v>
      </c>
    </row>
    <row r="4151" spans="1:9" x14ac:dyDescent="0.2">
      <c r="A4151" s="2">
        <v>10</v>
      </c>
      <c r="B4151" s="1" t="s">
        <v>253</v>
      </c>
      <c r="C4151" s="4">
        <v>3</v>
      </c>
      <c r="D4151" s="8">
        <v>2.33</v>
      </c>
      <c r="E4151" s="4">
        <v>0</v>
      </c>
      <c r="F4151" s="8">
        <v>0</v>
      </c>
      <c r="G4151" s="4">
        <v>3</v>
      </c>
      <c r="H4151" s="8">
        <v>5.36</v>
      </c>
      <c r="I4151" s="4">
        <v>0</v>
      </c>
    </row>
    <row r="4152" spans="1:9" x14ac:dyDescent="0.2">
      <c r="A4152" s="2">
        <v>10</v>
      </c>
      <c r="B4152" s="1" t="s">
        <v>236</v>
      </c>
      <c r="C4152" s="4">
        <v>3</v>
      </c>
      <c r="D4152" s="8">
        <v>2.33</v>
      </c>
      <c r="E4152" s="4">
        <v>1</v>
      </c>
      <c r="F4152" s="8">
        <v>1.41</v>
      </c>
      <c r="G4152" s="4">
        <v>2</v>
      </c>
      <c r="H4152" s="8">
        <v>3.57</v>
      </c>
      <c r="I4152" s="4">
        <v>0</v>
      </c>
    </row>
    <row r="4153" spans="1:9" x14ac:dyDescent="0.2">
      <c r="A4153" s="2">
        <v>10</v>
      </c>
      <c r="B4153" s="1" t="s">
        <v>225</v>
      </c>
      <c r="C4153" s="4">
        <v>3</v>
      </c>
      <c r="D4153" s="8">
        <v>2.33</v>
      </c>
      <c r="E4153" s="4">
        <v>3</v>
      </c>
      <c r="F4153" s="8">
        <v>4.2300000000000004</v>
      </c>
      <c r="G4153" s="4">
        <v>0</v>
      </c>
      <c r="H4153" s="8">
        <v>0</v>
      </c>
      <c r="I4153" s="4">
        <v>0</v>
      </c>
    </row>
    <row r="4154" spans="1:9" x14ac:dyDescent="0.2">
      <c r="A4154" s="2">
        <v>10</v>
      </c>
      <c r="B4154" s="1" t="s">
        <v>242</v>
      </c>
      <c r="C4154" s="4">
        <v>3</v>
      </c>
      <c r="D4154" s="8">
        <v>2.33</v>
      </c>
      <c r="E4154" s="4">
        <v>1</v>
      </c>
      <c r="F4154" s="8">
        <v>1.41</v>
      </c>
      <c r="G4154" s="4">
        <v>2</v>
      </c>
      <c r="H4154" s="8">
        <v>3.57</v>
      </c>
      <c r="I4154" s="4">
        <v>0</v>
      </c>
    </row>
    <row r="4155" spans="1:9" x14ac:dyDescent="0.2">
      <c r="A4155" s="2">
        <v>14</v>
      </c>
      <c r="B4155" s="1" t="s">
        <v>241</v>
      </c>
      <c r="C4155" s="4">
        <v>2</v>
      </c>
      <c r="D4155" s="8">
        <v>1.55</v>
      </c>
      <c r="E4155" s="4">
        <v>2</v>
      </c>
      <c r="F4155" s="8">
        <v>2.82</v>
      </c>
      <c r="G4155" s="4">
        <v>0</v>
      </c>
      <c r="H4155" s="8">
        <v>0</v>
      </c>
      <c r="I4155" s="4">
        <v>0</v>
      </c>
    </row>
    <row r="4156" spans="1:9" x14ac:dyDescent="0.2">
      <c r="A4156" s="2">
        <v>14</v>
      </c>
      <c r="B4156" s="1" t="s">
        <v>216</v>
      </c>
      <c r="C4156" s="4">
        <v>2</v>
      </c>
      <c r="D4156" s="8">
        <v>1.55</v>
      </c>
      <c r="E4156" s="4">
        <v>0</v>
      </c>
      <c r="F4156" s="8">
        <v>0</v>
      </c>
      <c r="G4156" s="4">
        <v>2</v>
      </c>
      <c r="H4156" s="8">
        <v>3.57</v>
      </c>
      <c r="I4156" s="4">
        <v>0</v>
      </c>
    </row>
    <row r="4157" spans="1:9" x14ac:dyDescent="0.2">
      <c r="A4157" s="2">
        <v>14</v>
      </c>
      <c r="B4157" s="1" t="s">
        <v>218</v>
      </c>
      <c r="C4157" s="4">
        <v>2</v>
      </c>
      <c r="D4157" s="8">
        <v>1.55</v>
      </c>
      <c r="E4157" s="4">
        <v>0</v>
      </c>
      <c r="F4157" s="8">
        <v>0</v>
      </c>
      <c r="G4157" s="4">
        <v>2</v>
      </c>
      <c r="H4157" s="8">
        <v>3.57</v>
      </c>
      <c r="I4157" s="4">
        <v>0</v>
      </c>
    </row>
    <row r="4158" spans="1:9" x14ac:dyDescent="0.2">
      <c r="A4158" s="2">
        <v>14</v>
      </c>
      <c r="B4158" s="1" t="s">
        <v>226</v>
      </c>
      <c r="C4158" s="4">
        <v>2</v>
      </c>
      <c r="D4158" s="8">
        <v>1.55</v>
      </c>
      <c r="E4158" s="4">
        <v>0</v>
      </c>
      <c r="F4158" s="8">
        <v>0</v>
      </c>
      <c r="G4158" s="4">
        <v>2</v>
      </c>
      <c r="H4158" s="8">
        <v>3.57</v>
      </c>
      <c r="I4158" s="4">
        <v>0</v>
      </c>
    </row>
    <row r="4159" spans="1:9" x14ac:dyDescent="0.2">
      <c r="A4159" s="2">
        <v>14</v>
      </c>
      <c r="B4159" s="1" t="s">
        <v>239</v>
      </c>
      <c r="C4159" s="4">
        <v>2</v>
      </c>
      <c r="D4159" s="8">
        <v>1.55</v>
      </c>
      <c r="E4159" s="4">
        <v>0</v>
      </c>
      <c r="F4159" s="8">
        <v>0</v>
      </c>
      <c r="G4159" s="4">
        <v>1</v>
      </c>
      <c r="H4159" s="8">
        <v>1.79</v>
      </c>
      <c r="I4159" s="4">
        <v>0</v>
      </c>
    </row>
    <row r="4160" spans="1:9" x14ac:dyDescent="0.2">
      <c r="A4160" s="2">
        <v>14</v>
      </c>
      <c r="B4160" s="1" t="s">
        <v>231</v>
      </c>
      <c r="C4160" s="4">
        <v>2</v>
      </c>
      <c r="D4160" s="8">
        <v>1.55</v>
      </c>
      <c r="E4160" s="4">
        <v>2</v>
      </c>
      <c r="F4160" s="8">
        <v>2.82</v>
      </c>
      <c r="G4160" s="4">
        <v>0</v>
      </c>
      <c r="H4160" s="8">
        <v>0</v>
      </c>
      <c r="I4160" s="4">
        <v>0</v>
      </c>
    </row>
    <row r="4161" spans="1:9" x14ac:dyDescent="0.2">
      <c r="A4161" s="2">
        <v>20</v>
      </c>
      <c r="B4161" s="1" t="s">
        <v>262</v>
      </c>
      <c r="C4161" s="4">
        <v>1</v>
      </c>
      <c r="D4161" s="8">
        <v>0.78</v>
      </c>
      <c r="E4161" s="4">
        <v>0</v>
      </c>
      <c r="F4161" s="8">
        <v>0</v>
      </c>
      <c r="G4161" s="4">
        <v>1</v>
      </c>
      <c r="H4161" s="8">
        <v>1.79</v>
      </c>
      <c r="I4161" s="4">
        <v>0</v>
      </c>
    </row>
    <row r="4162" spans="1:9" x14ac:dyDescent="0.2">
      <c r="A4162" s="2">
        <v>20</v>
      </c>
      <c r="B4162" s="1" t="s">
        <v>244</v>
      </c>
      <c r="C4162" s="4">
        <v>1</v>
      </c>
      <c r="D4162" s="8">
        <v>0.78</v>
      </c>
      <c r="E4162" s="4">
        <v>0</v>
      </c>
      <c r="F4162" s="8">
        <v>0</v>
      </c>
      <c r="G4162" s="4">
        <v>1</v>
      </c>
      <c r="H4162" s="8">
        <v>1.79</v>
      </c>
      <c r="I4162" s="4">
        <v>0</v>
      </c>
    </row>
    <row r="4163" spans="1:9" x14ac:dyDescent="0.2">
      <c r="A4163" s="2">
        <v>20</v>
      </c>
      <c r="B4163" s="1" t="s">
        <v>258</v>
      </c>
      <c r="C4163" s="4">
        <v>1</v>
      </c>
      <c r="D4163" s="8">
        <v>0.78</v>
      </c>
      <c r="E4163" s="4">
        <v>1</v>
      </c>
      <c r="F4163" s="8">
        <v>1.41</v>
      </c>
      <c r="G4163" s="4">
        <v>0</v>
      </c>
      <c r="H4163" s="8">
        <v>0</v>
      </c>
      <c r="I4163" s="4">
        <v>0</v>
      </c>
    </row>
    <row r="4164" spans="1:9" x14ac:dyDescent="0.2">
      <c r="A4164" s="2">
        <v>20</v>
      </c>
      <c r="B4164" s="1" t="s">
        <v>265</v>
      </c>
      <c r="C4164" s="4">
        <v>1</v>
      </c>
      <c r="D4164" s="8">
        <v>0.78</v>
      </c>
      <c r="E4164" s="4">
        <v>0</v>
      </c>
      <c r="F4164" s="8">
        <v>0</v>
      </c>
      <c r="G4164" s="4">
        <v>1</v>
      </c>
      <c r="H4164" s="8">
        <v>1.79</v>
      </c>
      <c r="I4164" s="4">
        <v>0</v>
      </c>
    </row>
    <row r="4165" spans="1:9" x14ac:dyDescent="0.2">
      <c r="A4165" s="2">
        <v>20</v>
      </c>
      <c r="B4165" s="1" t="s">
        <v>238</v>
      </c>
      <c r="C4165" s="4">
        <v>1</v>
      </c>
      <c r="D4165" s="8">
        <v>0.78</v>
      </c>
      <c r="E4165" s="4">
        <v>0</v>
      </c>
      <c r="F4165" s="8">
        <v>0</v>
      </c>
      <c r="G4165" s="4">
        <v>0</v>
      </c>
      <c r="H4165" s="8">
        <v>0</v>
      </c>
      <c r="I4165" s="4">
        <v>0</v>
      </c>
    </row>
    <row r="4166" spans="1:9" x14ac:dyDescent="0.2">
      <c r="A4166" s="2">
        <v>20</v>
      </c>
      <c r="B4166" s="1" t="s">
        <v>248</v>
      </c>
      <c r="C4166" s="4">
        <v>1</v>
      </c>
      <c r="D4166" s="8">
        <v>0.78</v>
      </c>
      <c r="E4166" s="4">
        <v>1</v>
      </c>
      <c r="F4166" s="8">
        <v>1.41</v>
      </c>
      <c r="G4166" s="4">
        <v>0</v>
      </c>
      <c r="H4166" s="8">
        <v>0</v>
      </c>
      <c r="I4166" s="4">
        <v>0</v>
      </c>
    </row>
    <row r="4167" spans="1:9" x14ac:dyDescent="0.2">
      <c r="A4167" s="2">
        <v>20</v>
      </c>
      <c r="B4167" s="1" t="s">
        <v>219</v>
      </c>
      <c r="C4167" s="4">
        <v>1</v>
      </c>
      <c r="D4167" s="8">
        <v>0.78</v>
      </c>
      <c r="E4167" s="4">
        <v>0</v>
      </c>
      <c r="F4167" s="8">
        <v>0</v>
      </c>
      <c r="G4167" s="4">
        <v>1</v>
      </c>
      <c r="H4167" s="8">
        <v>1.79</v>
      </c>
      <c r="I4167" s="4">
        <v>0</v>
      </c>
    </row>
    <row r="4168" spans="1:9" x14ac:dyDescent="0.2">
      <c r="A4168" s="2">
        <v>20</v>
      </c>
      <c r="B4168" s="1" t="s">
        <v>220</v>
      </c>
      <c r="C4168" s="4">
        <v>1</v>
      </c>
      <c r="D4168" s="8">
        <v>0.78</v>
      </c>
      <c r="E4168" s="4">
        <v>1</v>
      </c>
      <c r="F4168" s="8">
        <v>1.41</v>
      </c>
      <c r="G4168" s="4">
        <v>0</v>
      </c>
      <c r="H4168" s="8">
        <v>0</v>
      </c>
      <c r="I4168" s="4">
        <v>0</v>
      </c>
    </row>
    <row r="4169" spans="1:9" x14ac:dyDescent="0.2">
      <c r="A4169" s="2">
        <v>20</v>
      </c>
      <c r="B4169" s="1" t="s">
        <v>237</v>
      </c>
      <c r="C4169" s="4">
        <v>1</v>
      </c>
      <c r="D4169" s="8">
        <v>0.78</v>
      </c>
      <c r="E4169" s="4">
        <v>0</v>
      </c>
      <c r="F4169" s="8">
        <v>0</v>
      </c>
      <c r="G4169" s="4">
        <v>1</v>
      </c>
      <c r="H4169" s="8">
        <v>1.79</v>
      </c>
      <c r="I4169" s="4">
        <v>0</v>
      </c>
    </row>
    <row r="4170" spans="1:9" x14ac:dyDescent="0.2">
      <c r="A4170" s="2">
        <v>20</v>
      </c>
      <c r="B4170" s="1" t="s">
        <v>246</v>
      </c>
      <c r="C4170" s="4">
        <v>1</v>
      </c>
      <c r="D4170" s="8">
        <v>0.78</v>
      </c>
      <c r="E4170" s="4">
        <v>1</v>
      </c>
      <c r="F4170" s="8">
        <v>1.41</v>
      </c>
      <c r="G4170" s="4">
        <v>0</v>
      </c>
      <c r="H4170" s="8">
        <v>0</v>
      </c>
      <c r="I4170" s="4">
        <v>0</v>
      </c>
    </row>
    <row r="4171" spans="1:9" x14ac:dyDescent="0.2">
      <c r="A4171" s="2">
        <v>20</v>
      </c>
      <c r="B4171" s="1" t="s">
        <v>243</v>
      </c>
      <c r="C4171" s="4">
        <v>1</v>
      </c>
      <c r="D4171" s="8">
        <v>0.78</v>
      </c>
      <c r="E4171" s="4">
        <v>1</v>
      </c>
      <c r="F4171" s="8">
        <v>1.41</v>
      </c>
      <c r="G4171" s="4">
        <v>0</v>
      </c>
      <c r="H4171" s="8">
        <v>0</v>
      </c>
      <c r="I4171" s="4">
        <v>0</v>
      </c>
    </row>
    <row r="4172" spans="1:9" x14ac:dyDescent="0.2">
      <c r="A4172" s="2">
        <v>20</v>
      </c>
      <c r="B4172" s="1" t="s">
        <v>247</v>
      </c>
      <c r="C4172" s="4">
        <v>1</v>
      </c>
      <c r="D4172" s="8">
        <v>0.78</v>
      </c>
      <c r="E4172" s="4">
        <v>1</v>
      </c>
      <c r="F4172" s="8">
        <v>1.41</v>
      </c>
      <c r="G4172" s="4">
        <v>0</v>
      </c>
      <c r="H4172" s="8">
        <v>0</v>
      </c>
      <c r="I4172" s="4">
        <v>0</v>
      </c>
    </row>
    <row r="4173" spans="1:9" x14ac:dyDescent="0.2">
      <c r="A4173" s="2">
        <v>20</v>
      </c>
      <c r="B4173" s="1" t="s">
        <v>230</v>
      </c>
      <c r="C4173" s="4">
        <v>1</v>
      </c>
      <c r="D4173" s="8">
        <v>0.78</v>
      </c>
      <c r="E4173" s="4">
        <v>0</v>
      </c>
      <c r="F4173" s="8">
        <v>0</v>
      </c>
      <c r="G4173" s="4">
        <v>1</v>
      </c>
      <c r="H4173" s="8">
        <v>1.79</v>
      </c>
      <c r="I4173" s="4">
        <v>0</v>
      </c>
    </row>
    <row r="4174" spans="1:9" x14ac:dyDescent="0.2">
      <c r="A4174" s="2">
        <v>20</v>
      </c>
      <c r="B4174" s="1" t="s">
        <v>234</v>
      </c>
      <c r="C4174" s="4">
        <v>1</v>
      </c>
      <c r="D4174" s="8">
        <v>0.78</v>
      </c>
      <c r="E4174" s="4">
        <v>0</v>
      </c>
      <c r="F4174" s="8">
        <v>0</v>
      </c>
      <c r="G4174" s="4">
        <v>1</v>
      </c>
      <c r="H4174" s="8">
        <v>1.79</v>
      </c>
      <c r="I4174" s="4">
        <v>0</v>
      </c>
    </row>
    <row r="4175" spans="1:9" x14ac:dyDescent="0.2">
      <c r="A4175" s="1"/>
      <c r="C4175" s="4"/>
      <c r="D4175" s="8"/>
      <c r="E4175" s="4"/>
      <c r="F4175" s="8"/>
      <c r="G4175" s="4"/>
      <c r="H4175" s="8"/>
      <c r="I4175" s="4"/>
    </row>
    <row r="4176" spans="1:9" x14ac:dyDescent="0.2">
      <c r="A4176" s="1" t="s">
        <v>163</v>
      </c>
      <c r="C4176" s="4"/>
      <c r="D4176" s="8"/>
      <c r="E4176" s="4"/>
      <c r="F4176" s="8"/>
      <c r="G4176" s="4"/>
      <c r="H4176" s="8"/>
      <c r="I4176" s="4"/>
    </row>
    <row r="4177" spans="1:9" x14ac:dyDescent="0.2">
      <c r="A4177" s="2">
        <v>1</v>
      </c>
      <c r="B4177" s="1" t="s">
        <v>227</v>
      </c>
      <c r="C4177" s="4">
        <v>21</v>
      </c>
      <c r="D4177" s="8">
        <v>14</v>
      </c>
      <c r="E4177" s="4">
        <v>16</v>
      </c>
      <c r="F4177" s="8">
        <v>17.98</v>
      </c>
      <c r="G4177" s="4">
        <v>5</v>
      </c>
      <c r="H4177" s="8">
        <v>9.09</v>
      </c>
      <c r="I4177" s="4">
        <v>0</v>
      </c>
    </row>
    <row r="4178" spans="1:9" x14ac:dyDescent="0.2">
      <c r="A4178" s="2">
        <v>2</v>
      </c>
      <c r="B4178" s="1" t="s">
        <v>228</v>
      </c>
      <c r="C4178" s="4">
        <v>17</v>
      </c>
      <c r="D4178" s="8">
        <v>11.33</v>
      </c>
      <c r="E4178" s="4">
        <v>17</v>
      </c>
      <c r="F4178" s="8">
        <v>19.100000000000001</v>
      </c>
      <c r="G4178" s="4">
        <v>0</v>
      </c>
      <c r="H4178" s="8">
        <v>0</v>
      </c>
      <c r="I4178" s="4">
        <v>0</v>
      </c>
    </row>
    <row r="4179" spans="1:9" x14ac:dyDescent="0.2">
      <c r="A4179" s="2">
        <v>3</v>
      </c>
      <c r="B4179" s="1" t="s">
        <v>213</v>
      </c>
      <c r="C4179" s="4">
        <v>13</v>
      </c>
      <c r="D4179" s="8">
        <v>8.67</v>
      </c>
      <c r="E4179" s="4">
        <v>4</v>
      </c>
      <c r="F4179" s="8">
        <v>4.49</v>
      </c>
      <c r="G4179" s="4">
        <v>9</v>
      </c>
      <c r="H4179" s="8">
        <v>16.36</v>
      </c>
      <c r="I4179" s="4">
        <v>0</v>
      </c>
    </row>
    <row r="4180" spans="1:9" x14ac:dyDescent="0.2">
      <c r="A4180" s="2">
        <v>4</v>
      </c>
      <c r="B4180" s="1" t="s">
        <v>223</v>
      </c>
      <c r="C4180" s="4">
        <v>9</v>
      </c>
      <c r="D4180" s="8">
        <v>6</v>
      </c>
      <c r="E4180" s="4">
        <v>4</v>
      </c>
      <c r="F4180" s="8">
        <v>4.49</v>
      </c>
      <c r="G4180" s="4">
        <v>5</v>
      </c>
      <c r="H4180" s="8">
        <v>9.09</v>
      </c>
      <c r="I4180" s="4">
        <v>0</v>
      </c>
    </row>
    <row r="4181" spans="1:9" x14ac:dyDescent="0.2">
      <c r="A4181" s="2">
        <v>5</v>
      </c>
      <c r="B4181" s="1" t="s">
        <v>243</v>
      </c>
      <c r="C4181" s="4">
        <v>8</v>
      </c>
      <c r="D4181" s="8">
        <v>5.33</v>
      </c>
      <c r="E4181" s="4">
        <v>2</v>
      </c>
      <c r="F4181" s="8">
        <v>2.25</v>
      </c>
      <c r="G4181" s="4">
        <v>6</v>
      </c>
      <c r="H4181" s="8">
        <v>10.91</v>
      </c>
      <c r="I4181" s="4">
        <v>0</v>
      </c>
    </row>
    <row r="4182" spans="1:9" x14ac:dyDescent="0.2">
      <c r="A4182" s="2">
        <v>6</v>
      </c>
      <c r="B4182" s="1" t="s">
        <v>222</v>
      </c>
      <c r="C4182" s="4">
        <v>7</v>
      </c>
      <c r="D4182" s="8">
        <v>4.67</v>
      </c>
      <c r="E4182" s="4">
        <v>4</v>
      </c>
      <c r="F4182" s="8">
        <v>4.49</v>
      </c>
      <c r="G4182" s="4">
        <v>3</v>
      </c>
      <c r="H4182" s="8">
        <v>5.45</v>
      </c>
      <c r="I4182" s="4">
        <v>0</v>
      </c>
    </row>
    <row r="4183" spans="1:9" x14ac:dyDescent="0.2">
      <c r="A4183" s="2">
        <v>7</v>
      </c>
      <c r="B4183" s="1" t="s">
        <v>214</v>
      </c>
      <c r="C4183" s="4">
        <v>6</v>
      </c>
      <c r="D4183" s="8">
        <v>4</v>
      </c>
      <c r="E4183" s="4">
        <v>3</v>
      </c>
      <c r="F4183" s="8">
        <v>3.37</v>
      </c>
      <c r="G4183" s="4">
        <v>3</v>
      </c>
      <c r="H4183" s="8">
        <v>5.45</v>
      </c>
      <c r="I4183" s="4">
        <v>0</v>
      </c>
    </row>
    <row r="4184" spans="1:9" x14ac:dyDescent="0.2">
      <c r="A4184" s="2">
        <v>8</v>
      </c>
      <c r="B4184" s="1" t="s">
        <v>226</v>
      </c>
      <c r="C4184" s="4">
        <v>5</v>
      </c>
      <c r="D4184" s="8">
        <v>3.33</v>
      </c>
      <c r="E4184" s="4">
        <v>4</v>
      </c>
      <c r="F4184" s="8">
        <v>4.49</v>
      </c>
      <c r="G4184" s="4">
        <v>0</v>
      </c>
      <c r="H4184" s="8">
        <v>0</v>
      </c>
      <c r="I4184" s="4">
        <v>0</v>
      </c>
    </row>
    <row r="4185" spans="1:9" x14ac:dyDescent="0.2">
      <c r="A4185" s="2">
        <v>8</v>
      </c>
      <c r="B4185" s="1" t="s">
        <v>230</v>
      </c>
      <c r="C4185" s="4">
        <v>5</v>
      </c>
      <c r="D4185" s="8">
        <v>3.33</v>
      </c>
      <c r="E4185" s="4">
        <v>3</v>
      </c>
      <c r="F4185" s="8">
        <v>3.37</v>
      </c>
      <c r="G4185" s="4">
        <v>1</v>
      </c>
      <c r="H4185" s="8">
        <v>1.82</v>
      </c>
      <c r="I4185" s="4">
        <v>1</v>
      </c>
    </row>
    <row r="4186" spans="1:9" x14ac:dyDescent="0.2">
      <c r="A4186" s="2">
        <v>10</v>
      </c>
      <c r="B4186" s="1" t="s">
        <v>221</v>
      </c>
      <c r="C4186" s="4">
        <v>4</v>
      </c>
      <c r="D4186" s="8">
        <v>2.67</v>
      </c>
      <c r="E4186" s="4">
        <v>3</v>
      </c>
      <c r="F4186" s="8">
        <v>3.37</v>
      </c>
      <c r="G4186" s="4">
        <v>1</v>
      </c>
      <c r="H4186" s="8">
        <v>1.82</v>
      </c>
      <c r="I4186" s="4">
        <v>0</v>
      </c>
    </row>
    <row r="4187" spans="1:9" x14ac:dyDescent="0.2">
      <c r="A4187" s="2">
        <v>10</v>
      </c>
      <c r="B4187" s="1" t="s">
        <v>225</v>
      </c>
      <c r="C4187" s="4">
        <v>4</v>
      </c>
      <c r="D4187" s="8">
        <v>2.67</v>
      </c>
      <c r="E4187" s="4">
        <v>3</v>
      </c>
      <c r="F4187" s="8">
        <v>3.37</v>
      </c>
      <c r="G4187" s="4">
        <v>1</v>
      </c>
      <c r="H4187" s="8">
        <v>1.82</v>
      </c>
      <c r="I4187" s="4">
        <v>0</v>
      </c>
    </row>
    <row r="4188" spans="1:9" x14ac:dyDescent="0.2">
      <c r="A4188" s="2">
        <v>10</v>
      </c>
      <c r="B4188" s="1" t="s">
        <v>231</v>
      </c>
      <c r="C4188" s="4">
        <v>4</v>
      </c>
      <c r="D4188" s="8">
        <v>2.67</v>
      </c>
      <c r="E4188" s="4">
        <v>4</v>
      </c>
      <c r="F4188" s="8">
        <v>4.49</v>
      </c>
      <c r="G4188" s="4">
        <v>0</v>
      </c>
      <c r="H4188" s="8">
        <v>0</v>
      </c>
      <c r="I4188" s="4">
        <v>0</v>
      </c>
    </row>
    <row r="4189" spans="1:9" x14ac:dyDescent="0.2">
      <c r="A4189" s="2">
        <v>13</v>
      </c>
      <c r="B4189" s="1" t="s">
        <v>215</v>
      </c>
      <c r="C4189" s="4">
        <v>3</v>
      </c>
      <c r="D4189" s="8">
        <v>2</v>
      </c>
      <c r="E4189" s="4">
        <v>2</v>
      </c>
      <c r="F4189" s="8">
        <v>2.25</v>
      </c>
      <c r="G4189" s="4">
        <v>1</v>
      </c>
      <c r="H4189" s="8">
        <v>1.82</v>
      </c>
      <c r="I4189" s="4">
        <v>0</v>
      </c>
    </row>
    <row r="4190" spans="1:9" x14ac:dyDescent="0.2">
      <c r="A4190" s="2">
        <v>13</v>
      </c>
      <c r="B4190" s="1" t="s">
        <v>241</v>
      </c>
      <c r="C4190" s="4">
        <v>3</v>
      </c>
      <c r="D4190" s="8">
        <v>2</v>
      </c>
      <c r="E4190" s="4">
        <v>1</v>
      </c>
      <c r="F4190" s="8">
        <v>1.1200000000000001</v>
      </c>
      <c r="G4190" s="4">
        <v>2</v>
      </c>
      <c r="H4190" s="8">
        <v>3.64</v>
      </c>
      <c r="I4190" s="4">
        <v>0</v>
      </c>
    </row>
    <row r="4191" spans="1:9" x14ac:dyDescent="0.2">
      <c r="A4191" s="2">
        <v>13</v>
      </c>
      <c r="B4191" s="1" t="s">
        <v>258</v>
      </c>
      <c r="C4191" s="4">
        <v>3</v>
      </c>
      <c r="D4191" s="8">
        <v>2</v>
      </c>
      <c r="E4191" s="4">
        <v>3</v>
      </c>
      <c r="F4191" s="8">
        <v>3.37</v>
      </c>
      <c r="G4191" s="4">
        <v>0</v>
      </c>
      <c r="H4191" s="8">
        <v>0</v>
      </c>
      <c r="I4191" s="4">
        <v>0</v>
      </c>
    </row>
    <row r="4192" spans="1:9" x14ac:dyDescent="0.2">
      <c r="A4192" s="2">
        <v>13</v>
      </c>
      <c r="B4192" s="1" t="s">
        <v>220</v>
      </c>
      <c r="C4192" s="4">
        <v>3</v>
      </c>
      <c r="D4192" s="8">
        <v>2</v>
      </c>
      <c r="E4192" s="4">
        <v>3</v>
      </c>
      <c r="F4192" s="8">
        <v>3.37</v>
      </c>
      <c r="G4192" s="4">
        <v>0</v>
      </c>
      <c r="H4192" s="8">
        <v>0</v>
      </c>
      <c r="I4192" s="4">
        <v>0</v>
      </c>
    </row>
    <row r="4193" spans="1:9" x14ac:dyDescent="0.2">
      <c r="A4193" s="2">
        <v>13</v>
      </c>
      <c r="B4193" s="1" t="s">
        <v>229</v>
      </c>
      <c r="C4193" s="4">
        <v>3</v>
      </c>
      <c r="D4193" s="8">
        <v>2</v>
      </c>
      <c r="E4193" s="4">
        <v>1</v>
      </c>
      <c r="F4193" s="8">
        <v>1.1200000000000001</v>
      </c>
      <c r="G4193" s="4">
        <v>2</v>
      </c>
      <c r="H4193" s="8">
        <v>3.64</v>
      </c>
      <c r="I4193" s="4">
        <v>0</v>
      </c>
    </row>
    <row r="4194" spans="1:9" x14ac:dyDescent="0.2">
      <c r="A4194" s="2">
        <v>13</v>
      </c>
      <c r="B4194" s="1" t="s">
        <v>249</v>
      </c>
      <c r="C4194" s="4">
        <v>3</v>
      </c>
      <c r="D4194" s="8">
        <v>2</v>
      </c>
      <c r="E4194" s="4">
        <v>0</v>
      </c>
      <c r="F4194" s="8">
        <v>0</v>
      </c>
      <c r="G4194" s="4">
        <v>2</v>
      </c>
      <c r="H4194" s="8">
        <v>3.64</v>
      </c>
      <c r="I4194" s="4">
        <v>0</v>
      </c>
    </row>
    <row r="4195" spans="1:9" x14ac:dyDescent="0.2">
      <c r="A4195" s="2">
        <v>19</v>
      </c>
      <c r="B4195" s="1" t="s">
        <v>244</v>
      </c>
      <c r="C4195" s="4">
        <v>2</v>
      </c>
      <c r="D4195" s="8">
        <v>1.33</v>
      </c>
      <c r="E4195" s="4">
        <v>1</v>
      </c>
      <c r="F4195" s="8">
        <v>1.1200000000000001</v>
      </c>
      <c r="G4195" s="4">
        <v>1</v>
      </c>
      <c r="H4195" s="8">
        <v>1.82</v>
      </c>
      <c r="I4195" s="4">
        <v>0</v>
      </c>
    </row>
    <row r="4196" spans="1:9" x14ac:dyDescent="0.2">
      <c r="A4196" s="2">
        <v>19</v>
      </c>
      <c r="B4196" s="1" t="s">
        <v>254</v>
      </c>
      <c r="C4196" s="4">
        <v>2</v>
      </c>
      <c r="D4196" s="8">
        <v>1.33</v>
      </c>
      <c r="E4196" s="4">
        <v>0</v>
      </c>
      <c r="F4196" s="8">
        <v>0</v>
      </c>
      <c r="G4196" s="4">
        <v>2</v>
      </c>
      <c r="H4196" s="8">
        <v>3.64</v>
      </c>
      <c r="I4196" s="4">
        <v>0</v>
      </c>
    </row>
    <row r="4197" spans="1:9" x14ac:dyDescent="0.2">
      <c r="A4197" s="2">
        <v>19</v>
      </c>
      <c r="B4197" s="1" t="s">
        <v>248</v>
      </c>
      <c r="C4197" s="4">
        <v>2</v>
      </c>
      <c r="D4197" s="8">
        <v>1.33</v>
      </c>
      <c r="E4197" s="4">
        <v>1</v>
      </c>
      <c r="F4197" s="8">
        <v>1.1200000000000001</v>
      </c>
      <c r="G4197" s="4">
        <v>1</v>
      </c>
      <c r="H4197" s="8">
        <v>1.82</v>
      </c>
      <c r="I4197" s="4">
        <v>0</v>
      </c>
    </row>
    <row r="4198" spans="1:9" x14ac:dyDescent="0.2">
      <c r="A4198" s="2">
        <v>19</v>
      </c>
      <c r="B4198" s="1" t="s">
        <v>216</v>
      </c>
      <c r="C4198" s="4">
        <v>2</v>
      </c>
      <c r="D4198" s="8">
        <v>1.33</v>
      </c>
      <c r="E4198" s="4">
        <v>2</v>
      </c>
      <c r="F4198" s="8">
        <v>2.25</v>
      </c>
      <c r="G4198" s="4">
        <v>0</v>
      </c>
      <c r="H4198" s="8">
        <v>0</v>
      </c>
      <c r="I4198" s="4">
        <v>0</v>
      </c>
    </row>
    <row r="4199" spans="1:9" x14ac:dyDescent="0.2">
      <c r="A4199" s="2">
        <v>19</v>
      </c>
      <c r="B4199" s="1" t="s">
        <v>247</v>
      </c>
      <c r="C4199" s="4">
        <v>2</v>
      </c>
      <c r="D4199" s="8">
        <v>1.33</v>
      </c>
      <c r="E4199" s="4">
        <v>1</v>
      </c>
      <c r="F4199" s="8">
        <v>1.1200000000000001</v>
      </c>
      <c r="G4199" s="4">
        <v>0</v>
      </c>
      <c r="H4199" s="8">
        <v>0</v>
      </c>
      <c r="I4199" s="4">
        <v>0</v>
      </c>
    </row>
    <row r="4200" spans="1:9" x14ac:dyDescent="0.2">
      <c r="A4200" s="2">
        <v>19</v>
      </c>
      <c r="B4200" s="1" t="s">
        <v>232</v>
      </c>
      <c r="C4200" s="4">
        <v>2</v>
      </c>
      <c r="D4200" s="8">
        <v>1.33</v>
      </c>
      <c r="E4200" s="4">
        <v>0</v>
      </c>
      <c r="F4200" s="8">
        <v>0</v>
      </c>
      <c r="G4200" s="4">
        <v>0</v>
      </c>
      <c r="H4200" s="8">
        <v>0</v>
      </c>
      <c r="I4200" s="4">
        <v>0</v>
      </c>
    </row>
    <row r="4201" spans="1:9" x14ac:dyDescent="0.2">
      <c r="A4201" s="2">
        <v>19</v>
      </c>
      <c r="B4201" s="1" t="s">
        <v>242</v>
      </c>
      <c r="C4201" s="4">
        <v>2</v>
      </c>
      <c r="D4201" s="8">
        <v>1.33</v>
      </c>
      <c r="E4201" s="4">
        <v>1</v>
      </c>
      <c r="F4201" s="8">
        <v>1.1200000000000001</v>
      </c>
      <c r="G4201" s="4">
        <v>1</v>
      </c>
      <c r="H4201" s="8">
        <v>1.82</v>
      </c>
      <c r="I4201" s="4">
        <v>0</v>
      </c>
    </row>
    <row r="4202" spans="1:9" x14ac:dyDescent="0.2">
      <c r="A4202" s="1"/>
      <c r="C4202" s="4"/>
      <c r="D4202" s="8"/>
      <c r="E4202" s="4"/>
      <c r="F4202" s="8"/>
      <c r="G4202" s="4"/>
      <c r="H4202" s="8"/>
      <c r="I4202" s="4"/>
    </row>
    <row r="4203" spans="1:9" x14ac:dyDescent="0.2">
      <c r="A4203" s="1" t="s">
        <v>164</v>
      </c>
      <c r="C4203" s="4"/>
      <c r="D4203" s="8"/>
      <c r="E4203" s="4"/>
      <c r="F4203" s="8"/>
      <c r="G4203" s="4"/>
      <c r="H4203" s="8"/>
      <c r="I4203" s="4"/>
    </row>
    <row r="4204" spans="1:9" x14ac:dyDescent="0.2">
      <c r="A4204" s="2">
        <v>1</v>
      </c>
      <c r="B4204" s="1" t="s">
        <v>227</v>
      </c>
      <c r="C4204" s="4">
        <v>20</v>
      </c>
      <c r="D4204" s="8">
        <v>14.49</v>
      </c>
      <c r="E4204" s="4">
        <v>15</v>
      </c>
      <c r="F4204" s="8">
        <v>25</v>
      </c>
      <c r="G4204" s="4">
        <v>5</v>
      </c>
      <c r="H4204" s="8">
        <v>9.09</v>
      </c>
      <c r="I4204" s="4">
        <v>0</v>
      </c>
    </row>
    <row r="4205" spans="1:9" x14ac:dyDescent="0.2">
      <c r="A4205" s="2">
        <v>2</v>
      </c>
      <c r="B4205" s="1" t="s">
        <v>228</v>
      </c>
      <c r="C4205" s="4">
        <v>13</v>
      </c>
      <c r="D4205" s="8">
        <v>9.42</v>
      </c>
      <c r="E4205" s="4">
        <v>11</v>
      </c>
      <c r="F4205" s="8">
        <v>18.329999999999998</v>
      </c>
      <c r="G4205" s="4">
        <v>2</v>
      </c>
      <c r="H4205" s="8">
        <v>3.64</v>
      </c>
      <c r="I4205" s="4">
        <v>0</v>
      </c>
    </row>
    <row r="4206" spans="1:9" x14ac:dyDescent="0.2">
      <c r="A4206" s="2">
        <v>3</v>
      </c>
      <c r="B4206" s="1" t="s">
        <v>221</v>
      </c>
      <c r="C4206" s="4">
        <v>11</v>
      </c>
      <c r="D4206" s="8">
        <v>7.97</v>
      </c>
      <c r="E4206" s="4">
        <v>6</v>
      </c>
      <c r="F4206" s="8">
        <v>10</v>
      </c>
      <c r="G4206" s="4">
        <v>4</v>
      </c>
      <c r="H4206" s="8">
        <v>7.27</v>
      </c>
      <c r="I4206" s="4">
        <v>1</v>
      </c>
    </row>
    <row r="4207" spans="1:9" x14ac:dyDescent="0.2">
      <c r="A4207" s="2">
        <v>3</v>
      </c>
      <c r="B4207" s="1" t="s">
        <v>230</v>
      </c>
      <c r="C4207" s="4">
        <v>11</v>
      </c>
      <c r="D4207" s="8">
        <v>7.97</v>
      </c>
      <c r="E4207" s="4">
        <v>7</v>
      </c>
      <c r="F4207" s="8">
        <v>11.67</v>
      </c>
      <c r="G4207" s="4">
        <v>1</v>
      </c>
      <c r="H4207" s="8">
        <v>1.82</v>
      </c>
      <c r="I4207" s="4">
        <v>0</v>
      </c>
    </row>
    <row r="4208" spans="1:9" x14ac:dyDescent="0.2">
      <c r="A4208" s="2">
        <v>5</v>
      </c>
      <c r="B4208" s="1" t="s">
        <v>223</v>
      </c>
      <c r="C4208" s="4">
        <v>8</v>
      </c>
      <c r="D4208" s="8">
        <v>5.8</v>
      </c>
      <c r="E4208" s="4">
        <v>0</v>
      </c>
      <c r="F4208" s="8">
        <v>0</v>
      </c>
      <c r="G4208" s="4">
        <v>8</v>
      </c>
      <c r="H4208" s="8">
        <v>14.55</v>
      </c>
      <c r="I4208" s="4">
        <v>0</v>
      </c>
    </row>
    <row r="4209" spans="1:9" x14ac:dyDescent="0.2">
      <c r="A4209" s="2">
        <v>6</v>
      </c>
      <c r="B4209" s="1" t="s">
        <v>247</v>
      </c>
      <c r="C4209" s="4">
        <v>7</v>
      </c>
      <c r="D4209" s="8">
        <v>5.07</v>
      </c>
      <c r="E4209" s="4">
        <v>3</v>
      </c>
      <c r="F4209" s="8">
        <v>5</v>
      </c>
      <c r="G4209" s="4">
        <v>2</v>
      </c>
      <c r="H4209" s="8">
        <v>3.64</v>
      </c>
      <c r="I4209" s="4">
        <v>0</v>
      </c>
    </row>
    <row r="4210" spans="1:9" x14ac:dyDescent="0.2">
      <c r="A4210" s="2">
        <v>6</v>
      </c>
      <c r="B4210" s="1" t="s">
        <v>232</v>
      </c>
      <c r="C4210" s="4">
        <v>7</v>
      </c>
      <c r="D4210" s="8">
        <v>5.07</v>
      </c>
      <c r="E4210" s="4">
        <v>0</v>
      </c>
      <c r="F4210" s="8">
        <v>0</v>
      </c>
      <c r="G4210" s="4">
        <v>1</v>
      </c>
      <c r="H4210" s="8">
        <v>1.82</v>
      </c>
      <c r="I4210" s="4">
        <v>0</v>
      </c>
    </row>
    <row r="4211" spans="1:9" x14ac:dyDescent="0.2">
      <c r="A4211" s="2">
        <v>8</v>
      </c>
      <c r="B4211" s="1" t="s">
        <v>213</v>
      </c>
      <c r="C4211" s="4">
        <v>6</v>
      </c>
      <c r="D4211" s="8">
        <v>4.3499999999999996</v>
      </c>
      <c r="E4211" s="4">
        <v>0</v>
      </c>
      <c r="F4211" s="8">
        <v>0</v>
      </c>
      <c r="G4211" s="4">
        <v>6</v>
      </c>
      <c r="H4211" s="8">
        <v>10.91</v>
      </c>
      <c r="I4211" s="4">
        <v>0</v>
      </c>
    </row>
    <row r="4212" spans="1:9" x14ac:dyDescent="0.2">
      <c r="A4212" s="2">
        <v>9</v>
      </c>
      <c r="B4212" s="1" t="s">
        <v>241</v>
      </c>
      <c r="C4212" s="4">
        <v>5</v>
      </c>
      <c r="D4212" s="8">
        <v>3.62</v>
      </c>
      <c r="E4212" s="4">
        <v>0</v>
      </c>
      <c r="F4212" s="8">
        <v>0</v>
      </c>
      <c r="G4212" s="4">
        <v>5</v>
      </c>
      <c r="H4212" s="8">
        <v>9.09</v>
      </c>
      <c r="I4212" s="4">
        <v>0</v>
      </c>
    </row>
    <row r="4213" spans="1:9" x14ac:dyDescent="0.2">
      <c r="A4213" s="2">
        <v>9</v>
      </c>
      <c r="B4213" s="1" t="s">
        <v>243</v>
      </c>
      <c r="C4213" s="4">
        <v>5</v>
      </c>
      <c r="D4213" s="8">
        <v>3.62</v>
      </c>
      <c r="E4213" s="4">
        <v>1</v>
      </c>
      <c r="F4213" s="8">
        <v>1.67</v>
      </c>
      <c r="G4213" s="4">
        <v>2</v>
      </c>
      <c r="H4213" s="8">
        <v>3.64</v>
      </c>
      <c r="I4213" s="4">
        <v>0</v>
      </c>
    </row>
    <row r="4214" spans="1:9" x14ac:dyDescent="0.2">
      <c r="A4214" s="2">
        <v>9</v>
      </c>
      <c r="B4214" s="1" t="s">
        <v>249</v>
      </c>
      <c r="C4214" s="4">
        <v>5</v>
      </c>
      <c r="D4214" s="8">
        <v>3.62</v>
      </c>
      <c r="E4214" s="4">
        <v>0</v>
      </c>
      <c r="F4214" s="8">
        <v>0</v>
      </c>
      <c r="G4214" s="4">
        <v>1</v>
      </c>
      <c r="H4214" s="8">
        <v>1.82</v>
      </c>
      <c r="I4214" s="4">
        <v>0</v>
      </c>
    </row>
    <row r="4215" spans="1:9" x14ac:dyDescent="0.2">
      <c r="A4215" s="2">
        <v>12</v>
      </c>
      <c r="B4215" s="1" t="s">
        <v>215</v>
      </c>
      <c r="C4215" s="4">
        <v>4</v>
      </c>
      <c r="D4215" s="8">
        <v>2.9</v>
      </c>
      <c r="E4215" s="4">
        <v>1</v>
      </c>
      <c r="F4215" s="8">
        <v>1.67</v>
      </c>
      <c r="G4215" s="4">
        <v>3</v>
      </c>
      <c r="H4215" s="8">
        <v>5.45</v>
      </c>
      <c r="I4215" s="4">
        <v>0</v>
      </c>
    </row>
    <row r="4216" spans="1:9" x14ac:dyDescent="0.2">
      <c r="A4216" s="2">
        <v>12</v>
      </c>
      <c r="B4216" s="1" t="s">
        <v>224</v>
      </c>
      <c r="C4216" s="4">
        <v>4</v>
      </c>
      <c r="D4216" s="8">
        <v>2.9</v>
      </c>
      <c r="E4216" s="4">
        <v>3</v>
      </c>
      <c r="F4216" s="8">
        <v>5</v>
      </c>
      <c r="G4216" s="4">
        <v>1</v>
      </c>
      <c r="H4216" s="8">
        <v>1.82</v>
      </c>
      <c r="I4216" s="4">
        <v>0</v>
      </c>
    </row>
    <row r="4217" spans="1:9" x14ac:dyDescent="0.2">
      <c r="A4217" s="2">
        <v>12</v>
      </c>
      <c r="B4217" s="1" t="s">
        <v>234</v>
      </c>
      <c r="C4217" s="4">
        <v>4</v>
      </c>
      <c r="D4217" s="8">
        <v>2.9</v>
      </c>
      <c r="E4217" s="4">
        <v>0</v>
      </c>
      <c r="F4217" s="8">
        <v>0</v>
      </c>
      <c r="G4217" s="4">
        <v>1</v>
      </c>
      <c r="H4217" s="8">
        <v>1.82</v>
      </c>
      <c r="I4217" s="4">
        <v>0</v>
      </c>
    </row>
    <row r="4218" spans="1:9" x14ac:dyDescent="0.2">
      <c r="A4218" s="2">
        <v>15</v>
      </c>
      <c r="B4218" s="1" t="s">
        <v>222</v>
      </c>
      <c r="C4218" s="4">
        <v>3</v>
      </c>
      <c r="D4218" s="8">
        <v>2.17</v>
      </c>
      <c r="E4218" s="4">
        <v>1</v>
      </c>
      <c r="F4218" s="8">
        <v>1.67</v>
      </c>
      <c r="G4218" s="4">
        <v>2</v>
      </c>
      <c r="H4218" s="8">
        <v>3.64</v>
      </c>
      <c r="I4218" s="4">
        <v>0</v>
      </c>
    </row>
    <row r="4219" spans="1:9" x14ac:dyDescent="0.2">
      <c r="A4219" s="2">
        <v>15</v>
      </c>
      <c r="B4219" s="1" t="s">
        <v>239</v>
      </c>
      <c r="C4219" s="4">
        <v>3</v>
      </c>
      <c r="D4219" s="8">
        <v>2.17</v>
      </c>
      <c r="E4219" s="4">
        <v>1</v>
      </c>
      <c r="F4219" s="8">
        <v>1.67</v>
      </c>
      <c r="G4219" s="4">
        <v>2</v>
      </c>
      <c r="H4219" s="8">
        <v>3.64</v>
      </c>
      <c r="I4219" s="4">
        <v>0</v>
      </c>
    </row>
    <row r="4220" spans="1:9" x14ac:dyDescent="0.2">
      <c r="A4220" s="2">
        <v>17</v>
      </c>
      <c r="B4220" s="1" t="s">
        <v>254</v>
      </c>
      <c r="C4220" s="4">
        <v>2</v>
      </c>
      <c r="D4220" s="8">
        <v>1.45</v>
      </c>
      <c r="E4220" s="4">
        <v>0</v>
      </c>
      <c r="F4220" s="8">
        <v>0</v>
      </c>
      <c r="G4220" s="4">
        <v>2</v>
      </c>
      <c r="H4220" s="8">
        <v>3.64</v>
      </c>
      <c r="I4220" s="4">
        <v>0</v>
      </c>
    </row>
    <row r="4221" spans="1:9" x14ac:dyDescent="0.2">
      <c r="A4221" s="2">
        <v>17</v>
      </c>
      <c r="B4221" s="1" t="s">
        <v>225</v>
      </c>
      <c r="C4221" s="4">
        <v>2</v>
      </c>
      <c r="D4221" s="8">
        <v>1.45</v>
      </c>
      <c r="E4221" s="4">
        <v>2</v>
      </c>
      <c r="F4221" s="8">
        <v>3.33</v>
      </c>
      <c r="G4221" s="4">
        <v>0</v>
      </c>
      <c r="H4221" s="8">
        <v>0</v>
      </c>
      <c r="I4221" s="4">
        <v>0</v>
      </c>
    </row>
    <row r="4222" spans="1:9" x14ac:dyDescent="0.2">
      <c r="A4222" s="2">
        <v>17</v>
      </c>
      <c r="B4222" s="1" t="s">
        <v>226</v>
      </c>
      <c r="C4222" s="4">
        <v>2</v>
      </c>
      <c r="D4222" s="8">
        <v>1.45</v>
      </c>
      <c r="E4222" s="4">
        <v>2</v>
      </c>
      <c r="F4222" s="8">
        <v>3.33</v>
      </c>
      <c r="G4222" s="4">
        <v>0</v>
      </c>
      <c r="H4222" s="8">
        <v>0</v>
      </c>
      <c r="I4222" s="4">
        <v>0</v>
      </c>
    </row>
    <row r="4223" spans="1:9" x14ac:dyDescent="0.2">
      <c r="A4223" s="2">
        <v>17</v>
      </c>
      <c r="B4223" s="1" t="s">
        <v>240</v>
      </c>
      <c r="C4223" s="4">
        <v>2</v>
      </c>
      <c r="D4223" s="8">
        <v>1.45</v>
      </c>
      <c r="E4223" s="4">
        <v>2</v>
      </c>
      <c r="F4223" s="8">
        <v>3.33</v>
      </c>
      <c r="G4223" s="4">
        <v>0</v>
      </c>
      <c r="H4223" s="8">
        <v>0</v>
      </c>
      <c r="I4223" s="4">
        <v>0</v>
      </c>
    </row>
    <row r="4224" spans="1:9" x14ac:dyDescent="0.2">
      <c r="A4224" s="1"/>
      <c r="C4224" s="4"/>
      <c r="D4224" s="8"/>
      <c r="E4224" s="4"/>
      <c r="F4224" s="8"/>
      <c r="G4224" s="4"/>
      <c r="H4224" s="8"/>
      <c r="I4224" s="4"/>
    </row>
    <row r="4225" spans="1:9" x14ac:dyDescent="0.2">
      <c r="A4225" s="1" t="s">
        <v>165</v>
      </c>
      <c r="C4225" s="4"/>
      <c r="D4225" s="8"/>
      <c r="E4225" s="4"/>
      <c r="F4225" s="8"/>
      <c r="G4225" s="4"/>
      <c r="H4225" s="8"/>
      <c r="I4225" s="4"/>
    </row>
    <row r="4226" spans="1:9" x14ac:dyDescent="0.2">
      <c r="A4226" s="2">
        <v>1</v>
      </c>
      <c r="B4226" s="1" t="s">
        <v>227</v>
      </c>
      <c r="C4226" s="4">
        <v>29</v>
      </c>
      <c r="D4226" s="8">
        <v>17.37</v>
      </c>
      <c r="E4226" s="4">
        <v>24</v>
      </c>
      <c r="F4226" s="8">
        <v>29.27</v>
      </c>
      <c r="G4226" s="4">
        <v>5</v>
      </c>
      <c r="H4226" s="8">
        <v>6.67</v>
      </c>
      <c r="I4226" s="4">
        <v>0</v>
      </c>
    </row>
    <row r="4227" spans="1:9" x14ac:dyDescent="0.2">
      <c r="A4227" s="2">
        <v>2</v>
      </c>
      <c r="B4227" s="1" t="s">
        <v>223</v>
      </c>
      <c r="C4227" s="4">
        <v>11</v>
      </c>
      <c r="D4227" s="8">
        <v>6.59</v>
      </c>
      <c r="E4227" s="4">
        <v>5</v>
      </c>
      <c r="F4227" s="8">
        <v>6.1</v>
      </c>
      <c r="G4227" s="4">
        <v>6</v>
      </c>
      <c r="H4227" s="8">
        <v>8</v>
      </c>
      <c r="I4227" s="4">
        <v>0</v>
      </c>
    </row>
    <row r="4228" spans="1:9" x14ac:dyDescent="0.2">
      <c r="A4228" s="2">
        <v>2</v>
      </c>
      <c r="B4228" s="1" t="s">
        <v>228</v>
      </c>
      <c r="C4228" s="4">
        <v>11</v>
      </c>
      <c r="D4228" s="8">
        <v>6.59</v>
      </c>
      <c r="E4228" s="4">
        <v>10</v>
      </c>
      <c r="F4228" s="8">
        <v>12.2</v>
      </c>
      <c r="G4228" s="4">
        <v>1</v>
      </c>
      <c r="H4228" s="8">
        <v>1.33</v>
      </c>
      <c r="I4228" s="4">
        <v>0</v>
      </c>
    </row>
    <row r="4229" spans="1:9" x14ac:dyDescent="0.2">
      <c r="A4229" s="2">
        <v>4</v>
      </c>
      <c r="B4229" s="1" t="s">
        <v>243</v>
      </c>
      <c r="C4229" s="4">
        <v>10</v>
      </c>
      <c r="D4229" s="8">
        <v>5.99</v>
      </c>
      <c r="E4229" s="4">
        <v>9</v>
      </c>
      <c r="F4229" s="8">
        <v>10.98</v>
      </c>
      <c r="G4229" s="4">
        <v>1</v>
      </c>
      <c r="H4229" s="8">
        <v>1.33</v>
      </c>
      <c r="I4229" s="4">
        <v>0</v>
      </c>
    </row>
    <row r="4230" spans="1:9" x14ac:dyDescent="0.2">
      <c r="A4230" s="2">
        <v>5</v>
      </c>
      <c r="B4230" s="1" t="s">
        <v>213</v>
      </c>
      <c r="C4230" s="4">
        <v>9</v>
      </c>
      <c r="D4230" s="8">
        <v>5.39</v>
      </c>
      <c r="E4230" s="4">
        <v>1</v>
      </c>
      <c r="F4230" s="8">
        <v>1.22</v>
      </c>
      <c r="G4230" s="4">
        <v>8</v>
      </c>
      <c r="H4230" s="8">
        <v>10.67</v>
      </c>
      <c r="I4230" s="4">
        <v>0</v>
      </c>
    </row>
    <row r="4231" spans="1:9" x14ac:dyDescent="0.2">
      <c r="A4231" s="2">
        <v>5</v>
      </c>
      <c r="B4231" s="1" t="s">
        <v>221</v>
      </c>
      <c r="C4231" s="4">
        <v>9</v>
      </c>
      <c r="D4231" s="8">
        <v>5.39</v>
      </c>
      <c r="E4231" s="4">
        <v>6</v>
      </c>
      <c r="F4231" s="8">
        <v>7.32</v>
      </c>
      <c r="G4231" s="4">
        <v>3</v>
      </c>
      <c r="H4231" s="8">
        <v>4</v>
      </c>
      <c r="I4231" s="4">
        <v>0</v>
      </c>
    </row>
    <row r="4232" spans="1:9" x14ac:dyDescent="0.2">
      <c r="A4232" s="2">
        <v>7</v>
      </c>
      <c r="B4232" s="1" t="s">
        <v>232</v>
      </c>
      <c r="C4232" s="4">
        <v>8</v>
      </c>
      <c r="D4232" s="8">
        <v>4.79</v>
      </c>
      <c r="E4232" s="4">
        <v>0</v>
      </c>
      <c r="F4232" s="8">
        <v>0</v>
      </c>
      <c r="G4232" s="4">
        <v>5</v>
      </c>
      <c r="H4232" s="8">
        <v>6.67</v>
      </c>
      <c r="I4232" s="4">
        <v>1</v>
      </c>
    </row>
    <row r="4233" spans="1:9" x14ac:dyDescent="0.2">
      <c r="A4233" s="2">
        <v>8</v>
      </c>
      <c r="B4233" s="1" t="s">
        <v>230</v>
      </c>
      <c r="C4233" s="4">
        <v>6</v>
      </c>
      <c r="D4233" s="8">
        <v>3.59</v>
      </c>
      <c r="E4233" s="4">
        <v>3</v>
      </c>
      <c r="F4233" s="8">
        <v>3.66</v>
      </c>
      <c r="G4233" s="4">
        <v>0</v>
      </c>
      <c r="H4233" s="8">
        <v>0</v>
      </c>
      <c r="I4233" s="4">
        <v>0</v>
      </c>
    </row>
    <row r="4234" spans="1:9" x14ac:dyDescent="0.2">
      <c r="A4234" s="2">
        <v>9</v>
      </c>
      <c r="B4234" s="1" t="s">
        <v>265</v>
      </c>
      <c r="C4234" s="4">
        <v>5</v>
      </c>
      <c r="D4234" s="8">
        <v>2.99</v>
      </c>
      <c r="E4234" s="4">
        <v>0</v>
      </c>
      <c r="F4234" s="8">
        <v>0</v>
      </c>
      <c r="G4234" s="4">
        <v>5</v>
      </c>
      <c r="H4234" s="8">
        <v>6.67</v>
      </c>
      <c r="I4234" s="4">
        <v>0</v>
      </c>
    </row>
    <row r="4235" spans="1:9" x14ac:dyDescent="0.2">
      <c r="A4235" s="2">
        <v>9</v>
      </c>
      <c r="B4235" s="1" t="s">
        <v>224</v>
      </c>
      <c r="C4235" s="4">
        <v>5</v>
      </c>
      <c r="D4235" s="8">
        <v>2.99</v>
      </c>
      <c r="E4235" s="4">
        <v>1</v>
      </c>
      <c r="F4235" s="8">
        <v>1.22</v>
      </c>
      <c r="G4235" s="4">
        <v>3</v>
      </c>
      <c r="H4235" s="8">
        <v>4</v>
      </c>
      <c r="I4235" s="4">
        <v>0</v>
      </c>
    </row>
    <row r="4236" spans="1:9" x14ac:dyDescent="0.2">
      <c r="A4236" s="2">
        <v>9</v>
      </c>
      <c r="B4236" s="1" t="s">
        <v>239</v>
      </c>
      <c r="C4236" s="4">
        <v>5</v>
      </c>
      <c r="D4236" s="8">
        <v>2.99</v>
      </c>
      <c r="E4236" s="4">
        <v>1</v>
      </c>
      <c r="F4236" s="8">
        <v>1.22</v>
      </c>
      <c r="G4236" s="4">
        <v>4</v>
      </c>
      <c r="H4236" s="8">
        <v>5.33</v>
      </c>
      <c r="I4236" s="4">
        <v>0</v>
      </c>
    </row>
    <row r="4237" spans="1:9" x14ac:dyDescent="0.2">
      <c r="A4237" s="2">
        <v>12</v>
      </c>
      <c r="B4237" s="1" t="s">
        <v>215</v>
      </c>
      <c r="C4237" s="4">
        <v>4</v>
      </c>
      <c r="D4237" s="8">
        <v>2.4</v>
      </c>
      <c r="E4237" s="4">
        <v>2</v>
      </c>
      <c r="F4237" s="8">
        <v>2.44</v>
      </c>
      <c r="G4237" s="4">
        <v>2</v>
      </c>
      <c r="H4237" s="8">
        <v>2.67</v>
      </c>
      <c r="I4237" s="4">
        <v>0</v>
      </c>
    </row>
    <row r="4238" spans="1:9" x14ac:dyDescent="0.2">
      <c r="A4238" s="2">
        <v>12</v>
      </c>
      <c r="B4238" s="1" t="s">
        <v>226</v>
      </c>
      <c r="C4238" s="4">
        <v>4</v>
      </c>
      <c r="D4238" s="8">
        <v>2.4</v>
      </c>
      <c r="E4238" s="4">
        <v>1</v>
      </c>
      <c r="F4238" s="8">
        <v>1.22</v>
      </c>
      <c r="G4238" s="4">
        <v>2</v>
      </c>
      <c r="H4238" s="8">
        <v>2.67</v>
      </c>
      <c r="I4238" s="4">
        <v>0</v>
      </c>
    </row>
    <row r="4239" spans="1:9" x14ac:dyDescent="0.2">
      <c r="A4239" s="2">
        <v>12</v>
      </c>
      <c r="B4239" s="1" t="s">
        <v>231</v>
      </c>
      <c r="C4239" s="4">
        <v>4</v>
      </c>
      <c r="D4239" s="8">
        <v>2.4</v>
      </c>
      <c r="E4239" s="4">
        <v>3</v>
      </c>
      <c r="F4239" s="8">
        <v>3.66</v>
      </c>
      <c r="G4239" s="4">
        <v>1</v>
      </c>
      <c r="H4239" s="8">
        <v>1.33</v>
      </c>
      <c r="I4239" s="4">
        <v>0</v>
      </c>
    </row>
    <row r="4240" spans="1:9" x14ac:dyDescent="0.2">
      <c r="A4240" s="2">
        <v>12</v>
      </c>
      <c r="B4240" s="1" t="s">
        <v>240</v>
      </c>
      <c r="C4240" s="4">
        <v>4</v>
      </c>
      <c r="D4240" s="8">
        <v>2.4</v>
      </c>
      <c r="E4240" s="4">
        <v>4</v>
      </c>
      <c r="F4240" s="8">
        <v>4.88</v>
      </c>
      <c r="G4240" s="4">
        <v>0</v>
      </c>
      <c r="H4240" s="8">
        <v>0</v>
      </c>
      <c r="I4240" s="4">
        <v>0</v>
      </c>
    </row>
    <row r="4241" spans="1:9" x14ac:dyDescent="0.2">
      <c r="A4241" s="2">
        <v>16</v>
      </c>
      <c r="B4241" s="1" t="s">
        <v>241</v>
      </c>
      <c r="C4241" s="4">
        <v>3</v>
      </c>
      <c r="D4241" s="8">
        <v>1.8</v>
      </c>
      <c r="E4241" s="4">
        <v>0</v>
      </c>
      <c r="F4241" s="8">
        <v>0</v>
      </c>
      <c r="G4241" s="4">
        <v>3</v>
      </c>
      <c r="H4241" s="8">
        <v>4</v>
      </c>
      <c r="I4241" s="4">
        <v>0</v>
      </c>
    </row>
    <row r="4242" spans="1:9" x14ac:dyDescent="0.2">
      <c r="A4242" s="2">
        <v>16</v>
      </c>
      <c r="B4242" s="1" t="s">
        <v>254</v>
      </c>
      <c r="C4242" s="4">
        <v>3</v>
      </c>
      <c r="D4242" s="8">
        <v>1.8</v>
      </c>
      <c r="E4242" s="4">
        <v>0</v>
      </c>
      <c r="F4242" s="8">
        <v>0</v>
      </c>
      <c r="G4242" s="4">
        <v>3</v>
      </c>
      <c r="H4242" s="8">
        <v>4</v>
      </c>
      <c r="I4242" s="4">
        <v>0</v>
      </c>
    </row>
    <row r="4243" spans="1:9" x14ac:dyDescent="0.2">
      <c r="A4243" s="2">
        <v>16</v>
      </c>
      <c r="B4243" s="1" t="s">
        <v>277</v>
      </c>
      <c r="C4243" s="4">
        <v>3</v>
      </c>
      <c r="D4243" s="8">
        <v>1.8</v>
      </c>
      <c r="E4243" s="4">
        <v>0</v>
      </c>
      <c r="F4243" s="8">
        <v>0</v>
      </c>
      <c r="G4243" s="4">
        <v>3</v>
      </c>
      <c r="H4243" s="8">
        <v>4</v>
      </c>
      <c r="I4243" s="4">
        <v>0</v>
      </c>
    </row>
    <row r="4244" spans="1:9" x14ac:dyDescent="0.2">
      <c r="A4244" s="2">
        <v>16</v>
      </c>
      <c r="B4244" s="1" t="s">
        <v>216</v>
      </c>
      <c r="C4244" s="4">
        <v>3</v>
      </c>
      <c r="D4244" s="8">
        <v>1.8</v>
      </c>
      <c r="E4244" s="4">
        <v>1</v>
      </c>
      <c r="F4244" s="8">
        <v>1.22</v>
      </c>
      <c r="G4244" s="4">
        <v>2</v>
      </c>
      <c r="H4244" s="8">
        <v>2.67</v>
      </c>
      <c r="I4244" s="4">
        <v>0</v>
      </c>
    </row>
    <row r="4245" spans="1:9" x14ac:dyDescent="0.2">
      <c r="A4245" s="2">
        <v>16</v>
      </c>
      <c r="B4245" s="1" t="s">
        <v>220</v>
      </c>
      <c r="C4245" s="4">
        <v>3</v>
      </c>
      <c r="D4245" s="8">
        <v>1.8</v>
      </c>
      <c r="E4245" s="4">
        <v>2</v>
      </c>
      <c r="F4245" s="8">
        <v>2.44</v>
      </c>
      <c r="G4245" s="4">
        <v>1</v>
      </c>
      <c r="H4245" s="8">
        <v>1.33</v>
      </c>
      <c r="I4245" s="4">
        <v>0</v>
      </c>
    </row>
    <row r="4246" spans="1:9" x14ac:dyDescent="0.2">
      <c r="A4246" s="2">
        <v>16</v>
      </c>
      <c r="B4246" s="1" t="s">
        <v>222</v>
      </c>
      <c r="C4246" s="4">
        <v>3</v>
      </c>
      <c r="D4246" s="8">
        <v>1.8</v>
      </c>
      <c r="E4246" s="4">
        <v>2</v>
      </c>
      <c r="F4246" s="8">
        <v>2.44</v>
      </c>
      <c r="G4246" s="4">
        <v>1</v>
      </c>
      <c r="H4246" s="8">
        <v>1.33</v>
      </c>
      <c r="I4246" s="4">
        <v>0</v>
      </c>
    </row>
    <row r="4247" spans="1:9" x14ac:dyDescent="0.2">
      <c r="A4247" s="1"/>
      <c r="C4247" s="4"/>
      <c r="D4247" s="8"/>
      <c r="E4247" s="4"/>
      <c r="F4247" s="8"/>
      <c r="G4247" s="4"/>
      <c r="H4247" s="8"/>
      <c r="I4247" s="4"/>
    </row>
    <row r="4248" spans="1:9" x14ac:dyDescent="0.2">
      <c r="A4248" s="1" t="s">
        <v>166</v>
      </c>
      <c r="C4248" s="4"/>
      <c r="D4248" s="8"/>
      <c r="E4248" s="4"/>
      <c r="F4248" s="8"/>
      <c r="G4248" s="4"/>
      <c r="H4248" s="8"/>
      <c r="I4248" s="4"/>
    </row>
    <row r="4249" spans="1:9" x14ac:dyDescent="0.2">
      <c r="A4249" s="2">
        <v>1</v>
      </c>
      <c r="B4249" s="1" t="s">
        <v>227</v>
      </c>
      <c r="C4249" s="4">
        <v>32</v>
      </c>
      <c r="D4249" s="8">
        <v>12.8</v>
      </c>
      <c r="E4249" s="4">
        <v>30</v>
      </c>
      <c r="F4249" s="8">
        <v>21.74</v>
      </c>
      <c r="G4249" s="4">
        <v>2</v>
      </c>
      <c r="H4249" s="8">
        <v>1.82</v>
      </c>
      <c r="I4249" s="4">
        <v>0</v>
      </c>
    </row>
    <row r="4250" spans="1:9" x14ac:dyDescent="0.2">
      <c r="A4250" s="2">
        <v>2</v>
      </c>
      <c r="B4250" s="1" t="s">
        <v>223</v>
      </c>
      <c r="C4250" s="4">
        <v>25</v>
      </c>
      <c r="D4250" s="8">
        <v>10</v>
      </c>
      <c r="E4250" s="4">
        <v>11</v>
      </c>
      <c r="F4250" s="8">
        <v>7.97</v>
      </c>
      <c r="G4250" s="4">
        <v>14</v>
      </c>
      <c r="H4250" s="8">
        <v>12.73</v>
      </c>
      <c r="I4250" s="4">
        <v>0</v>
      </c>
    </row>
    <row r="4251" spans="1:9" x14ac:dyDescent="0.2">
      <c r="A4251" s="2">
        <v>3</v>
      </c>
      <c r="B4251" s="1" t="s">
        <v>228</v>
      </c>
      <c r="C4251" s="4">
        <v>23</v>
      </c>
      <c r="D4251" s="8">
        <v>9.1999999999999993</v>
      </c>
      <c r="E4251" s="4">
        <v>20</v>
      </c>
      <c r="F4251" s="8">
        <v>14.49</v>
      </c>
      <c r="G4251" s="4">
        <v>3</v>
      </c>
      <c r="H4251" s="8">
        <v>2.73</v>
      </c>
      <c r="I4251" s="4">
        <v>0</v>
      </c>
    </row>
    <row r="4252" spans="1:9" x14ac:dyDescent="0.2">
      <c r="A4252" s="2">
        <v>4</v>
      </c>
      <c r="B4252" s="1" t="s">
        <v>213</v>
      </c>
      <c r="C4252" s="4">
        <v>16</v>
      </c>
      <c r="D4252" s="8">
        <v>6.4</v>
      </c>
      <c r="E4252" s="4">
        <v>2</v>
      </c>
      <c r="F4252" s="8">
        <v>1.45</v>
      </c>
      <c r="G4252" s="4">
        <v>14</v>
      </c>
      <c r="H4252" s="8">
        <v>12.73</v>
      </c>
      <c r="I4252" s="4">
        <v>0</v>
      </c>
    </row>
    <row r="4253" spans="1:9" x14ac:dyDescent="0.2">
      <c r="A4253" s="2">
        <v>5</v>
      </c>
      <c r="B4253" s="1" t="s">
        <v>224</v>
      </c>
      <c r="C4253" s="4">
        <v>15</v>
      </c>
      <c r="D4253" s="8">
        <v>6</v>
      </c>
      <c r="E4253" s="4">
        <v>10</v>
      </c>
      <c r="F4253" s="8">
        <v>7.25</v>
      </c>
      <c r="G4253" s="4">
        <v>4</v>
      </c>
      <c r="H4253" s="8">
        <v>3.64</v>
      </c>
      <c r="I4253" s="4">
        <v>0</v>
      </c>
    </row>
    <row r="4254" spans="1:9" x14ac:dyDescent="0.2">
      <c r="A4254" s="2">
        <v>6</v>
      </c>
      <c r="B4254" s="1" t="s">
        <v>221</v>
      </c>
      <c r="C4254" s="4">
        <v>14</v>
      </c>
      <c r="D4254" s="8">
        <v>5.6</v>
      </c>
      <c r="E4254" s="4">
        <v>8</v>
      </c>
      <c r="F4254" s="8">
        <v>5.8</v>
      </c>
      <c r="G4254" s="4">
        <v>6</v>
      </c>
      <c r="H4254" s="8">
        <v>5.45</v>
      </c>
      <c r="I4254" s="4">
        <v>0</v>
      </c>
    </row>
    <row r="4255" spans="1:9" x14ac:dyDescent="0.2">
      <c r="A4255" s="2">
        <v>7</v>
      </c>
      <c r="B4255" s="1" t="s">
        <v>214</v>
      </c>
      <c r="C4255" s="4">
        <v>13</v>
      </c>
      <c r="D4255" s="8">
        <v>5.2</v>
      </c>
      <c r="E4255" s="4">
        <v>7</v>
      </c>
      <c r="F4255" s="8">
        <v>5.07</v>
      </c>
      <c r="G4255" s="4">
        <v>6</v>
      </c>
      <c r="H4255" s="8">
        <v>5.45</v>
      </c>
      <c r="I4255" s="4">
        <v>0</v>
      </c>
    </row>
    <row r="4256" spans="1:9" x14ac:dyDescent="0.2">
      <c r="A4256" s="2">
        <v>8</v>
      </c>
      <c r="B4256" s="1" t="s">
        <v>232</v>
      </c>
      <c r="C4256" s="4">
        <v>11</v>
      </c>
      <c r="D4256" s="8">
        <v>4.4000000000000004</v>
      </c>
      <c r="E4256" s="4">
        <v>0</v>
      </c>
      <c r="F4256" s="8">
        <v>0</v>
      </c>
      <c r="G4256" s="4">
        <v>11</v>
      </c>
      <c r="H4256" s="8">
        <v>10</v>
      </c>
      <c r="I4256" s="4">
        <v>0</v>
      </c>
    </row>
    <row r="4257" spans="1:9" x14ac:dyDescent="0.2">
      <c r="A4257" s="2">
        <v>9</v>
      </c>
      <c r="B4257" s="1" t="s">
        <v>243</v>
      </c>
      <c r="C4257" s="4">
        <v>9</v>
      </c>
      <c r="D4257" s="8">
        <v>3.6</v>
      </c>
      <c r="E4257" s="4">
        <v>9</v>
      </c>
      <c r="F4257" s="8">
        <v>6.52</v>
      </c>
      <c r="G4257" s="4">
        <v>0</v>
      </c>
      <c r="H4257" s="8">
        <v>0</v>
      </c>
      <c r="I4257" s="4">
        <v>0</v>
      </c>
    </row>
    <row r="4258" spans="1:9" x14ac:dyDescent="0.2">
      <c r="A4258" s="2">
        <v>10</v>
      </c>
      <c r="B4258" s="1" t="s">
        <v>230</v>
      </c>
      <c r="C4258" s="4">
        <v>8</v>
      </c>
      <c r="D4258" s="8">
        <v>3.2</v>
      </c>
      <c r="E4258" s="4">
        <v>7</v>
      </c>
      <c r="F4258" s="8">
        <v>5.07</v>
      </c>
      <c r="G4258" s="4">
        <v>1</v>
      </c>
      <c r="H4258" s="8">
        <v>0.91</v>
      </c>
      <c r="I4258" s="4">
        <v>0</v>
      </c>
    </row>
    <row r="4259" spans="1:9" x14ac:dyDescent="0.2">
      <c r="A4259" s="2">
        <v>11</v>
      </c>
      <c r="B4259" s="1" t="s">
        <v>215</v>
      </c>
      <c r="C4259" s="4">
        <v>6</v>
      </c>
      <c r="D4259" s="8">
        <v>2.4</v>
      </c>
      <c r="E4259" s="4">
        <v>3</v>
      </c>
      <c r="F4259" s="8">
        <v>2.17</v>
      </c>
      <c r="G4259" s="4">
        <v>3</v>
      </c>
      <c r="H4259" s="8">
        <v>2.73</v>
      </c>
      <c r="I4259" s="4">
        <v>0</v>
      </c>
    </row>
    <row r="4260" spans="1:9" x14ac:dyDescent="0.2">
      <c r="A4260" s="2">
        <v>11</v>
      </c>
      <c r="B4260" s="1" t="s">
        <v>231</v>
      </c>
      <c r="C4260" s="4">
        <v>6</v>
      </c>
      <c r="D4260" s="8">
        <v>2.4</v>
      </c>
      <c r="E4260" s="4">
        <v>6</v>
      </c>
      <c r="F4260" s="8">
        <v>4.3499999999999996</v>
      </c>
      <c r="G4260" s="4">
        <v>0</v>
      </c>
      <c r="H4260" s="8">
        <v>0</v>
      </c>
      <c r="I4260" s="4">
        <v>0</v>
      </c>
    </row>
    <row r="4261" spans="1:9" x14ac:dyDescent="0.2">
      <c r="A4261" s="2">
        <v>13</v>
      </c>
      <c r="B4261" s="1" t="s">
        <v>241</v>
      </c>
      <c r="C4261" s="4">
        <v>5</v>
      </c>
      <c r="D4261" s="8">
        <v>2</v>
      </c>
      <c r="E4261" s="4">
        <v>1</v>
      </c>
      <c r="F4261" s="8">
        <v>0.72</v>
      </c>
      <c r="G4261" s="4">
        <v>4</v>
      </c>
      <c r="H4261" s="8">
        <v>3.64</v>
      </c>
      <c r="I4261" s="4">
        <v>0</v>
      </c>
    </row>
    <row r="4262" spans="1:9" x14ac:dyDescent="0.2">
      <c r="A4262" s="2">
        <v>13</v>
      </c>
      <c r="B4262" s="1" t="s">
        <v>220</v>
      </c>
      <c r="C4262" s="4">
        <v>5</v>
      </c>
      <c r="D4262" s="8">
        <v>2</v>
      </c>
      <c r="E4262" s="4">
        <v>1</v>
      </c>
      <c r="F4262" s="8">
        <v>0.72</v>
      </c>
      <c r="G4262" s="4">
        <v>4</v>
      </c>
      <c r="H4262" s="8">
        <v>3.64</v>
      </c>
      <c r="I4262" s="4">
        <v>0</v>
      </c>
    </row>
    <row r="4263" spans="1:9" x14ac:dyDescent="0.2">
      <c r="A4263" s="2">
        <v>13</v>
      </c>
      <c r="B4263" s="1" t="s">
        <v>222</v>
      </c>
      <c r="C4263" s="4">
        <v>5</v>
      </c>
      <c r="D4263" s="8">
        <v>2</v>
      </c>
      <c r="E4263" s="4">
        <v>1</v>
      </c>
      <c r="F4263" s="8">
        <v>0.72</v>
      </c>
      <c r="G4263" s="4">
        <v>4</v>
      </c>
      <c r="H4263" s="8">
        <v>3.64</v>
      </c>
      <c r="I4263" s="4">
        <v>0</v>
      </c>
    </row>
    <row r="4264" spans="1:9" x14ac:dyDescent="0.2">
      <c r="A4264" s="2">
        <v>13</v>
      </c>
      <c r="B4264" s="1" t="s">
        <v>246</v>
      </c>
      <c r="C4264" s="4">
        <v>5</v>
      </c>
      <c r="D4264" s="8">
        <v>2</v>
      </c>
      <c r="E4264" s="4">
        <v>2</v>
      </c>
      <c r="F4264" s="8">
        <v>1.45</v>
      </c>
      <c r="G4264" s="4">
        <v>3</v>
      </c>
      <c r="H4264" s="8">
        <v>2.73</v>
      </c>
      <c r="I4264" s="4">
        <v>0</v>
      </c>
    </row>
    <row r="4265" spans="1:9" x14ac:dyDescent="0.2">
      <c r="A4265" s="2">
        <v>13</v>
      </c>
      <c r="B4265" s="1" t="s">
        <v>226</v>
      </c>
      <c r="C4265" s="4">
        <v>5</v>
      </c>
      <c r="D4265" s="8">
        <v>2</v>
      </c>
      <c r="E4265" s="4">
        <v>4</v>
      </c>
      <c r="F4265" s="8">
        <v>2.9</v>
      </c>
      <c r="G4265" s="4">
        <v>1</v>
      </c>
      <c r="H4265" s="8">
        <v>0.91</v>
      </c>
      <c r="I4265" s="4">
        <v>0</v>
      </c>
    </row>
    <row r="4266" spans="1:9" x14ac:dyDescent="0.2">
      <c r="A4266" s="2">
        <v>13</v>
      </c>
      <c r="B4266" s="1" t="s">
        <v>239</v>
      </c>
      <c r="C4266" s="4">
        <v>5</v>
      </c>
      <c r="D4266" s="8">
        <v>2</v>
      </c>
      <c r="E4266" s="4">
        <v>1</v>
      </c>
      <c r="F4266" s="8">
        <v>0.72</v>
      </c>
      <c r="G4266" s="4">
        <v>4</v>
      </c>
      <c r="H4266" s="8">
        <v>3.64</v>
      </c>
      <c r="I4266" s="4">
        <v>0</v>
      </c>
    </row>
    <row r="4267" spans="1:9" x14ac:dyDescent="0.2">
      <c r="A4267" s="2">
        <v>19</v>
      </c>
      <c r="B4267" s="1" t="s">
        <v>253</v>
      </c>
      <c r="C4267" s="4">
        <v>4</v>
      </c>
      <c r="D4267" s="8">
        <v>1.6</v>
      </c>
      <c r="E4267" s="4">
        <v>0</v>
      </c>
      <c r="F4267" s="8">
        <v>0</v>
      </c>
      <c r="G4267" s="4">
        <v>4</v>
      </c>
      <c r="H4267" s="8">
        <v>3.64</v>
      </c>
      <c r="I4267" s="4">
        <v>0</v>
      </c>
    </row>
    <row r="4268" spans="1:9" x14ac:dyDescent="0.2">
      <c r="A4268" s="2">
        <v>19</v>
      </c>
      <c r="B4268" s="1" t="s">
        <v>240</v>
      </c>
      <c r="C4268" s="4">
        <v>4</v>
      </c>
      <c r="D4268" s="8">
        <v>1.6</v>
      </c>
      <c r="E4268" s="4">
        <v>3</v>
      </c>
      <c r="F4268" s="8">
        <v>2.17</v>
      </c>
      <c r="G4268" s="4">
        <v>1</v>
      </c>
      <c r="H4268" s="8">
        <v>0.91</v>
      </c>
      <c r="I4268" s="4">
        <v>0</v>
      </c>
    </row>
    <row r="4269" spans="1:9" x14ac:dyDescent="0.2">
      <c r="A4269" s="1"/>
      <c r="C4269" s="4"/>
      <c r="D4269" s="8"/>
      <c r="E4269" s="4"/>
      <c r="F4269" s="8"/>
      <c r="G4269" s="4"/>
      <c r="H4269" s="8"/>
      <c r="I4269" s="4"/>
    </row>
    <row r="4270" spans="1:9" x14ac:dyDescent="0.2">
      <c r="A4270" s="1" t="s">
        <v>167</v>
      </c>
      <c r="C4270" s="4"/>
      <c r="D4270" s="8"/>
      <c r="E4270" s="4"/>
      <c r="F4270" s="8"/>
      <c r="G4270" s="4"/>
      <c r="H4270" s="8"/>
      <c r="I4270" s="4"/>
    </row>
    <row r="4271" spans="1:9" x14ac:dyDescent="0.2">
      <c r="A4271" s="2">
        <v>1</v>
      </c>
      <c r="B4271" s="1" t="s">
        <v>228</v>
      </c>
      <c r="C4271" s="4">
        <v>36</v>
      </c>
      <c r="D4271" s="8">
        <v>10.43</v>
      </c>
      <c r="E4271" s="4">
        <v>33</v>
      </c>
      <c r="F4271" s="8">
        <v>21.29</v>
      </c>
      <c r="G4271" s="4">
        <v>3</v>
      </c>
      <c r="H4271" s="8">
        <v>1.66</v>
      </c>
      <c r="I4271" s="4">
        <v>0</v>
      </c>
    </row>
    <row r="4272" spans="1:9" x14ac:dyDescent="0.2">
      <c r="A4272" s="2">
        <v>2</v>
      </c>
      <c r="B4272" s="1" t="s">
        <v>227</v>
      </c>
      <c r="C4272" s="4">
        <v>30</v>
      </c>
      <c r="D4272" s="8">
        <v>8.6999999999999993</v>
      </c>
      <c r="E4272" s="4">
        <v>27</v>
      </c>
      <c r="F4272" s="8">
        <v>17.420000000000002</v>
      </c>
      <c r="G4272" s="4">
        <v>3</v>
      </c>
      <c r="H4272" s="8">
        <v>1.66</v>
      </c>
      <c r="I4272" s="4">
        <v>0</v>
      </c>
    </row>
    <row r="4273" spans="1:9" x14ac:dyDescent="0.2">
      <c r="A4273" s="2">
        <v>3</v>
      </c>
      <c r="B4273" s="1" t="s">
        <v>213</v>
      </c>
      <c r="C4273" s="4">
        <v>29</v>
      </c>
      <c r="D4273" s="8">
        <v>8.41</v>
      </c>
      <c r="E4273" s="4">
        <v>4</v>
      </c>
      <c r="F4273" s="8">
        <v>2.58</v>
      </c>
      <c r="G4273" s="4">
        <v>25</v>
      </c>
      <c r="H4273" s="8">
        <v>13.81</v>
      </c>
      <c r="I4273" s="4">
        <v>0</v>
      </c>
    </row>
    <row r="4274" spans="1:9" x14ac:dyDescent="0.2">
      <c r="A4274" s="2">
        <v>4</v>
      </c>
      <c r="B4274" s="1" t="s">
        <v>223</v>
      </c>
      <c r="C4274" s="4">
        <v>24</v>
      </c>
      <c r="D4274" s="8">
        <v>6.96</v>
      </c>
      <c r="E4274" s="4">
        <v>10</v>
      </c>
      <c r="F4274" s="8">
        <v>6.45</v>
      </c>
      <c r="G4274" s="4">
        <v>14</v>
      </c>
      <c r="H4274" s="8">
        <v>7.73</v>
      </c>
      <c r="I4274" s="4">
        <v>0</v>
      </c>
    </row>
    <row r="4275" spans="1:9" x14ac:dyDescent="0.2">
      <c r="A4275" s="2">
        <v>5</v>
      </c>
      <c r="B4275" s="1" t="s">
        <v>224</v>
      </c>
      <c r="C4275" s="4">
        <v>23</v>
      </c>
      <c r="D4275" s="8">
        <v>6.67</v>
      </c>
      <c r="E4275" s="4">
        <v>13</v>
      </c>
      <c r="F4275" s="8">
        <v>8.39</v>
      </c>
      <c r="G4275" s="4">
        <v>9</v>
      </c>
      <c r="H4275" s="8">
        <v>4.97</v>
      </c>
      <c r="I4275" s="4">
        <v>0</v>
      </c>
    </row>
    <row r="4276" spans="1:9" x14ac:dyDescent="0.2">
      <c r="A4276" s="2">
        <v>6</v>
      </c>
      <c r="B4276" s="1" t="s">
        <v>214</v>
      </c>
      <c r="C4276" s="4">
        <v>12</v>
      </c>
      <c r="D4276" s="8">
        <v>3.48</v>
      </c>
      <c r="E4276" s="4">
        <v>4</v>
      </c>
      <c r="F4276" s="8">
        <v>2.58</v>
      </c>
      <c r="G4276" s="4">
        <v>8</v>
      </c>
      <c r="H4276" s="8">
        <v>4.42</v>
      </c>
      <c r="I4276" s="4">
        <v>0</v>
      </c>
    </row>
    <row r="4277" spans="1:9" x14ac:dyDescent="0.2">
      <c r="A4277" s="2">
        <v>6</v>
      </c>
      <c r="B4277" s="1" t="s">
        <v>216</v>
      </c>
      <c r="C4277" s="4">
        <v>12</v>
      </c>
      <c r="D4277" s="8">
        <v>3.48</v>
      </c>
      <c r="E4277" s="4">
        <v>2</v>
      </c>
      <c r="F4277" s="8">
        <v>1.29</v>
      </c>
      <c r="G4277" s="4">
        <v>10</v>
      </c>
      <c r="H4277" s="8">
        <v>5.52</v>
      </c>
      <c r="I4277" s="4">
        <v>0</v>
      </c>
    </row>
    <row r="4278" spans="1:9" x14ac:dyDescent="0.2">
      <c r="A4278" s="2">
        <v>6</v>
      </c>
      <c r="B4278" s="1" t="s">
        <v>221</v>
      </c>
      <c r="C4278" s="4">
        <v>12</v>
      </c>
      <c r="D4278" s="8">
        <v>3.48</v>
      </c>
      <c r="E4278" s="4">
        <v>7</v>
      </c>
      <c r="F4278" s="8">
        <v>4.5199999999999996</v>
      </c>
      <c r="G4278" s="4">
        <v>5</v>
      </c>
      <c r="H4278" s="8">
        <v>2.76</v>
      </c>
      <c r="I4278" s="4">
        <v>0</v>
      </c>
    </row>
    <row r="4279" spans="1:9" x14ac:dyDescent="0.2">
      <c r="A4279" s="2">
        <v>9</v>
      </c>
      <c r="B4279" s="1" t="s">
        <v>222</v>
      </c>
      <c r="C4279" s="4">
        <v>11</v>
      </c>
      <c r="D4279" s="8">
        <v>3.19</v>
      </c>
      <c r="E4279" s="4">
        <v>4</v>
      </c>
      <c r="F4279" s="8">
        <v>2.58</v>
      </c>
      <c r="G4279" s="4">
        <v>7</v>
      </c>
      <c r="H4279" s="8">
        <v>3.87</v>
      </c>
      <c r="I4279" s="4">
        <v>0</v>
      </c>
    </row>
    <row r="4280" spans="1:9" x14ac:dyDescent="0.2">
      <c r="A4280" s="2">
        <v>9</v>
      </c>
      <c r="B4280" s="1" t="s">
        <v>230</v>
      </c>
      <c r="C4280" s="4">
        <v>11</v>
      </c>
      <c r="D4280" s="8">
        <v>3.19</v>
      </c>
      <c r="E4280" s="4">
        <v>8</v>
      </c>
      <c r="F4280" s="8">
        <v>5.16</v>
      </c>
      <c r="G4280" s="4">
        <v>2</v>
      </c>
      <c r="H4280" s="8">
        <v>1.1000000000000001</v>
      </c>
      <c r="I4280" s="4">
        <v>0</v>
      </c>
    </row>
    <row r="4281" spans="1:9" x14ac:dyDescent="0.2">
      <c r="A4281" s="2">
        <v>11</v>
      </c>
      <c r="B4281" s="1" t="s">
        <v>217</v>
      </c>
      <c r="C4281" s="4">
        <v>10</v>
      </c>
      <c r="D4281" s="8">
        <v>2.9</v>
      </c>
      <c r="E4281" s="4">
        <v>0</v>
      </c>
      <c r="F4281" s="8">
        <v>0</v>
      </c>
      <c r="G4281" s="4">
        <v>10</v>
      </c>
      <c r="H4281" s="8">
        <v>5.52</v>
      </c>
      <c r="I4281" s="4">
        <v>0</v>
      </c>
    </row>
    <row r="4282" spans="1:9" x14ac:dyDescent="0.2">
      <c r="A4282" s="2">
        <v>11</v>
      </c>
      <c r="B4282" s="1" t="s">
        <v>218</v>
      </c>
      <c r="C4282" s="4">
        <v>10</v>
      </c>
      <c r="D4282" s="8">
        <v>2.9</v>
      </c>
      <c r="E4282" s="4">
        <v>0</v>
      </c>
      <c r="F4282" s="8">
        <v>0</v>
      </c>
      <c r="G4282" s="4">
        <v>10</v>
      </c>
      <c r="H4282" s="8">
        <v>5.52</v>
      </c>
      <c r="I4282" s="4">
        <v>0</v>
      </c>
    </row>
    <row r="4283" spans="1:9" x14ac:dyDescent="0.2">
      <c r="A4283" s="2">
        <v>13</v>
      </c>
      <c r="B4283" s="1" t="s">
        <v>248</v>
      </c>
      <c r="C4283" s="4">
        <v>9</v>
      </c>
      <c r="D4283" s="8">
        <v>2.61</v>
      </c>
      <c r="E4283" s="4">
        <v>0</v>
      </c>
      <c r="F4283" s="8">
        <v>0</v>
      </c>
      <c r="G4283" s="4">
        <v>9</v>
      </c>
      <c r="H4283" s="8">
        <v>4.97</v>
      </c>
      <c r="I4283" s="4">
        <v>0</v>
      </c>
    </row>
    <row r="4284" spans="1:9" x14ac:dyDescent="0.2">
      <c r="A4284" s="2">
        <v>13</v>
      </c>
      <c r="B4284" s="1" t="s">
        <v>231</v>
      </c>
      <c r="C4284" s="4">
        <v>9</v>
      </c>
      <c r="D4284" s="8">
        <v>2.61</v>
      </c>
      <c r="E4284" s="4">
        <v>9</v>
      </c>
      <c r="F4284" s="8">
        <v>5.81</v>
      </c>
      <c r="G4284" s="4">
        <v>0</v>
      </c>
      <c r="H4284" s="8">
        <v>0</v>
      </c>
      <c r="I4284" s="4">
        <v>0</v>
      </c>
    </row>
    <row r="4285" spans="1:9" x14ac:dyDescent="0.2">
      <c r="A4285" s="2">
        <v>13</v>
      </c>
      <c r="B4285" s="1" t="s">
        <v>240</v>
      </c>
      <c r="C4285" s="4">
        <v>9</v>
      </c>
      <c r="D4285" s="8">
        <v>2.61</v>
      </c>
      <c r="E4285" s="4">
        <v>6</v>
      </c>
      <c r="F4285" s="8">
        <v>3.87</v>
      </c>
      <c r="G4285" s="4">
        <v>3</v>
      </c>
      <c r="H4285" s="8">
        <v>1.66</v>
      </c>
      <c r="I4285" s="4">
        <v>0</v>
      </c>
    </row>
    <row r="4286" spans="1:9" x14ac:dyDescent="0.2">
      <c r="A4286" s="2">
        <v>16</v>
      </c>
      <c r="B4286" s="1" t="s">
        <v>215</v>
      </c>
      <c r="C4286" s="4">
        <v>8</v>
      </c>
      <c r="D4286" s="8">
        <v>2.3199999999999998</v>
      </c>
      <c r="E4286" s="4">
        <v>1</v>
      </c>
      <c r="F4286" s="8">
        <v>0.65</v>
      </c>
      <c r="G4286" s="4">
        <v>7</v>
      </c>
      <c r="H4286" s="8">
        <v>3.87</v>
      </c>
      <c r="I4286" s="4">
        <v>0</v>
      </c>
    </row>
    <row r="4287" spans="1:9" x14ac:dyDescent="0.2">
      <c r="A4287" s="2">
        <v>17</v>
      </c>
      <c r="B4287" s="1" t="s">
        <v>246</v>
      </c>
      <c r="C4287" s="4">
        <v>6</v>
      </c>
      <c r="D4287" s="8">
        <v>1.74</v>
      </c>
      <c r="E4287" s="4">
        <v>0</v>
      </c>
      <c r="F4287" s="8">
        <v>0</v>
      </c>
      <c r="G4287" s="4">
        <v>6</v>
      </c>
      <c r="H4287" s="8">
        <v>3.31</v>
      </c>
      <c r="I4287" s="4">
        <v>0</v>
      </c>
    </row>
    <row r="4288" spans="1:9" x14ac:dyDescent="0.2">
      <c r="A4288" s="2">
        <v>17</v>
      </c>
      <c r="B4288" s="1" t="s">
        <v>225</v>
      </c>
      <c r="C4288" s="4">
        <v>6</v>
      </c>
      <c r="D4288" s="8">
        <v>1.74</v>
      </c>
      <c r="E4288" s="4">
        <v>5</v>
      </c>
      <c r="F4288" s="8">
        <v>3.23</v>
      </c>
      <c r="G4288" s="4">
        <v>1</v>
      </c>
      <c r="H4288" s="8">
        <v>0.55000000000000004</v>
      </c>
      <c r="I4288" s="4">
        <v>0</v>
      </c>
    </row>
    <row r="4289" spans="1:9" x14ac:dyDescent="0.2">
      <c r="A4289" s="2">
        <v>17</v>
      </c>
      <c r="B4289" s="1" t="s">
        <v>242</v>
      </c>
      <c r="C4289" s="4">
        <v>6</v>
      </c>
      <c r="D4289" s="8">
        <v>1.74</v>
      </c>
      <c r="E4289" s="4">
        <v>3</v>
      </c>
      <c r="F4289" s="8">
        <v>1.94</v>
      </c>
      <c r="G4289" s="4">
        <v>3</v>
      </c>
      <c r="H4289" s="8">
        <v>1.66</v>
      </c>
      <c r="I4289" s="4">
        <v>0</v>
      </c>
    </row>
    <row r="4290" spans="1:9" x14ac:dyDescent="0.2">
      <c r="A4290" s="2">
        <v>20</v>
      </c>
      <c r="B4290" s="1" t="s">
        <v>237</v>
      </c>
      <c r="C4290" s="4">
        <v>5</v>
      </c>
      <c r="D4290" s="8">
        <v>1.45</v>
      </c>
      <c r="E4290" s="4">
        <v>3</v>
      </c>
      <c r="F4290" s="8">
        <v>1.94</v>
      </c>
      <c r="G4290" s="4">
        <v>2</v>
      </c>
      <c r="H4290" s="8">
        <v>1.1000000000000001</v>
      </c>
      <c r="I4290" s="4">
        <v>0</v>
      </c>
    </row>
    <row r="4291" spans="1:9" x14ac:dyDescent="0.2">
      <c r="A4291" s="2">
        <v>20</v>
      </c>
      <c r="B4291" s="1" t="s">
        <v>232</v>
      </c>
      <c r="C4291" s="4">
        <v>5</v>
      </c>
      <c r="D4291" s="8">
        <v>1.45</v>
      </c>
      <c r="E4291" s="4">
        <v>0</v>
      </c>
      <c r="F4291" s="8">
        <v>0</v>
      </c>
      <c r="G4291" s="4">
        <v>2</v>
      </c>
      <c r="H4291" s="8">
        <v>1.1000000000000001</v>
      </c>
      <c r="I4291" s="4">
        <v>1</v>
      </c>
    </row>
    <row r="4292" spans="1:9" x14ac:dyDescent="0.2">
      <c r="A4292" s="1"/>
      <c r="C4292" s="4"/>
      <c r="D4292" s="8"/>
      <c r="E4292" s="4"/>
      <c r="F4292" s="8"/>
      <c r="G4292" s="4"/>
      <c r="H4292" s="8"/>
      <c r="I4292" s="4"/>
    </row>
    <row r="4293" spans="1:9" x14ac:dyDescent="0.2">
      <c r="A4293" s="1" t="s">
        <v>168</v>
      </c>
      <c r="C4293" s="4"/>
      <c r="D4293" s="8"/>
      <c r="E4293" s="4"/>
      <c r="F4293" s="8"/>
      <c r="G4293" s="4"/>
      <c r="H4293" s="8"/>
      <c r="I4293" s="4"/>
    </row>
    <row r="4294" spans="1:9" x14ac:dyDescent="0.2">
      <c r="A4294" s="2">
        <v>1</v>
      </c>
      <c r="B4294" s="1" t="s">
        <v>227</v>
      </c>
      <c r="C4294" s="4">
        <v>10</v>
      </c>
      <c r="D4294" s="8">
        <v>9.35</v>
      </c>
      <c r="E4294" s="4">
        <v>10</v>
      </c>
      <c r="F4294" s="8">
        <v>19.23</v>
      </c>
      <c r="G4294" s="4">
        <v>0</v>
      </c>
      <c r="H4294" s="8">
        <v>0</v>
      </c>
      <c r="I4294" s="4">
        <v>0</v>
      </c>
    </row>
    <row r="4295" spans="1:9" x14ac:dyDescent="0.2">
      <c r="A4295" s="2">
        <v>1</v>
      </c>
      <c r="B4295" s="1" t="s">
        <v>228</v>
      </c>
      <c r="C4295" s="4">
        <v>10</v>
      </c>
      <c r="D4295" s="8">
        <v>9.35</v>
      </c>
      <c r="E4295" s="4">
        <v>9</v>
      </c>
      <c r="F4295" s="8">
        <v>17.309999999999999</v>
      </c>
      <c r="G4295" s="4">
        <v>1</v>
      </c>
      <c r="H4295" s="8">
        <v>1.96</v>
      </c>
      <c r="I4295" s="4">
        <v>0</v>
      </c>
    </row>
    <row r="4296" spans="1:9" x14ac:dyDescent="0.2">
      <c r="A4296" s="2">
        <v>3</v>
      </c>
      <c r="B4296" s="1" t="s">
        <v>221</v>
      </c>
      <c r="C4296" s="4">
        <v>9</v>
      </c>
      <c r="D4296" s="8">
        <v>8.41</v>
      </c>
      <c r="E4296" s="4">
        <v>5</v>
      </c>
      <c r="F4296" s="8">
        <v>9.6199999999999992</v>
      </c>
      <c r="G4296" s="4">
        <v>4</v>
      </c>
      <c r="H4296" s="8">
        <v>7.84</v>
      </c>
      <c r="I4296" s="4">
        <v>0</v>
      </c>
    </row>
    <row r="4297" spans="1:9" x14ac:dyDescent="0.2">
      <c r="A4297" s="2">
        <v>4</v>
      </c>
      <c r="B4297" s="1" t="s">
        <v>224</v>
      </c>
      <c r="C4297" s="4">
        <v>7</v>
      </c>
      <c r="D4297" s="8">
        <v>6.54</v>
      </c>
      <c r="E4297" s="4">
        <v>3</v>
      </c>
      <c r="F4297" s="8">
        <v>5.77</v>
      </c>
      <c r="G4297" s="4">
        <v>4</v>
      </c>
      <c r="H4297" s="8">
        <v>7.84</v>
      </c>
      <c r="I4297" s="4">
        <v>0</v>
      </c>
    </row>
    <row r="4298" spans="1:9" x14ac:dyDescent="0.2">
      <c r="A4298" s="2">
        <v>4</v>
      </c>
      <c r="B4298" s="1" t="s">
        <v>230</v>
      </c>
      <c r="C4298" s="4">
        <v>7</v>
      </c>
      <c r="D4298" s="8">
        <v>6.54</v>
      </c>
      <c r="E4298" s="4">
        <v>5</v>
      </c>
      <c r="F4298" s="8">
        <v>9.6199999999999992</v>
      </c>
      <c r="G4298" s="4">
        <v>1</v>
      </c>
      <c r="H4298" s="8">
        <v>1.96</v>
      </c>
      <c r="I4298" s="4">
        <v>0</v>
      </c>
    </row>
    <row r="4299" spans="1:9" x14ac:dyDescent="0.2">
      <c r="A4299" s="2">
        <v>6</v>
      </c>
      <c r="B4299" s="1" t="s">
        <v>241</v>
      </c>
      <c r="C4299" s="4">
        <v>5</v>
      </c>
      <c r="D4299" s="8">
        <v>4.67</v>
      </c>
      <c r="E4299" s="4">
        <v>0</v>
      </c>
      <c r="F4299" s="8">
        <v>0</v>
      </c>
      <c r="G4299" s="4">
        <v>5</v>
      </c>
      <c r="H4299" s="8">
        <v>9.8000000000000007</v>
      </c>
      <c r="I4299" s="4">
        <v>0</v>
      </c>
    </row>
    <row r="4300" spans="1:9" x14ac:dyDescent="0.2">
      <c r="A4300" s="2">
        <v>6</v>
      </c>
      <c r="B4300" s="1" t="s">
        <v>223</v>
      </c>
      <c r="C4300" s="4">
        <v>5</v>
      </c>
      <c r="D4300" s="8">
        <v>4.67</v>
      </c>
      <c r="E4300" s="4">
        <v>4</v>
      </c>
      <c r="F4300" s="8">
        <v>7.69</v>
      </c>
      <c r="G4300" s="4">
        <v>1</v>
      </c>
      <c r="H4300" s="8">
        <v>1.96</v>
      </c>
      <c r="I4300" s="4">
        <v>0</v>
      </c>
    </row>
    <row r="4301" spans="1:9" x14ac:dyDescent="0.2">
      <c r="A4301" s="2">
        <v>8</v>
      </c>
      <c r="B4301" s="1" t="s">
        <v>213</v>
      </c>
      <c r="C4301" s="4">
        <v>4</v>
      </c>
      <c r="D4301" s="8">
        <v>3.74</v>
      </c>
      <c r="E4301" s="4">
        <v>0</v>
      </c>
      <c r="F4301" s="8">
        <v>0</v>
      </c>
      <c r="G4301" s="4">
        <v>4</v>
      </c>
      <c r="H4301" s="8">
        <v>7.84</v>
      </c>
      <c r="I4301" s="4">
        <v>0</v>
      </c>
    </row>
    <row r="4302" spans="1:9" x14ac:dyDescent="0.2">
      <c r="A4302" s="2">
        <v>8</v>
      </c>
      <c r="B4302" s="1" t="s">
        <v>214</v>
      </c>
      <c r="C4302" s="4">
        <v>4</v>
      </c>
      <c r="D4302" s="8">
        <v>3.74</v>
      </c>
      <c r="E4302" s="4">
        <v>1</v>
      </c>
      <c r="F4302" s="8">
        <v>1.92</v>
      </c>
      <c r="G4302" s="4">
        <v>3</v>
      </c>
      <c r="H4302" s="8">
        <v>5.88</v>
      </c>
      <c r="I4302" s="4">
        <v>0</v>
      </c>
    </row>
    <row r="4303" spans="1:9" x14ac:dyDescent="0.2">
      <c r="A4303" s="2">
        <v>10</v>
      </c>
      <c r="B4303" s="1" t="s">
        <v>248</v>
      </c>
      <c r="C4303" s="4">
        <v>3</v>
      </c>
      <c r="D4303" s="8">
        <v>2.8</v>
      </c>
      <c r="E4303" s="4">
        <v>0</v>
      </c>
      <c r="F4303" s="8">
        <v>0</v>
      </c>
      <c r="G4303" s="4">
        <v>3</v>
      </c>
      <c r="H4303" s="8">
        <v>5.88</v>
      </c>
      <c r="I4303" s="4">
        <v>0</v>
      </c>
    </row>
    <row r="4304" spans="1:9" x14ac:dyDescent="0.2">
      <c r="A4304" s="2">
        <v>10</v>
      </c>
      <c r="B4304" s="1" t="s">
        <v>217</v>
      </c>
      <c r="C4304" s="4">
        <v>3</v>
      </c>
      <c r="D4304" s="8">
        <v>2.8</v>
      </c>
      <c r="E4304" s="4">
        <v>0</v>
      </c>
      <c r="F4304" s="8">
        <v>0</v>
      </c>
      <c r="G4304" s="4">
        <v>3</v>
      </c>
      <c r="H4304" s="8">
        <v>5.88</v>
      </c>
      <c r="I4304" s="4">
        <v>0</v>
      </c>
    </row>
    <row r="4305" spans="1:9" x14ac:dyDescent="0.2">
      <c r="A4305" s="2">
        <v>10</v>
      </c>
      <c r="B4305" s="1" t="s">
        <v>220</v>
      </c>
      <c r="C4305" s="4">
        <v>3</v>
      </c>
      <c r="D4305" s="8">
        <v>2.8</v>
      </c>
      <c r="E4305" s="4">
        <v>3</v>
      </c>
      <c r="F4305" s="8">
        <v>5.77</v>
      </c>
      <c r="G4305" s="4">
        <v>0</v>
      </c>
      <c r="H4305" s="8">
        <v>0</v>
      </c>
      <c r="I4305" s="4">
        <v>0</v>
      </c>
    </row>
    <row r="4306" spans="1:9" x14ac:dyDescent="0.2">
      <c r="A4306" s="2">
        <v>10</v>
      </c>
      <c r="B4306" s="1" t="s">
        <v>226</v>
      </c>
      <c r="C4306" s="4">
        <v>3</v>
      </c>
      <c r="D4306" s="8">
        <v>2.8</v>
      </c>
      <c r="E4306" s="4">
        <v>1</v>
      </c>
      <c r="F4306" s="8">
        <v>1.92</v>
      </c>
      <c r="G4306" s="4">
        <v>2</v>
      </c>
      <c r="H4306" s="8">
        <v>3.92</v>
      </c>
      <c r="I4306" s="4">
        <v>0</v>
      </c>
    </row>
    <row r="4307" spans="1:9" x14ac:dyDescent="0.2">
      <c r="A4307" s="2">
        <v>10</v>
      </c>
      <c r="B4307" s="1" t="s">
        <v>243</v>
      </c>
      <c r="C4307" s="4">
        <v>3</v>
      </c>
      <c r="D4307" s="8">
        <v>2.8</v>
      </c>
      <c r="E4307" s="4">
        <v>2</v>
      </c>
      <c r="F4307" s="8">
        <v>3.85</v>
      </c>
      <c r="G4307" s="4">
        <v>1</v>
      </c>
      <c r="H4307" s="8">
        <v>1.96</v>
      </c>
      <c r="I4307" s="4">
        <v>0</v>
      </c>
    </row>
    <row r="4308" spans="1:9" x14ac:dyDescent="0.2">
      <c r="A4308" s="2">
        <v>10</v>
      </c>
      <c r="B4308" s="1" t="s">
        <v>231</v>
      </c>
      <c r="C4308" s="4">
        <v>3</v>
      </c>
      <c r="D4308" s="8">
        <v>2.8</v>
      </c>
      <c r="E4308" s="4">
        <v>3</v>
      </c>
      <c r="F4308" s="8">
        <v>5.77</v>
      </c>
      <c r="G4308" s="4">
        <v>0</v>
      </c>
      <c r="H4308" s="8">
        <v>0</v>
      </c>
      <c r="I4308" s="4">
        <v>0</v>
      </c>
    </row>
    <row r="4309" spans="1:9" x14ac:dyDescent="0.2">
      <c r="A4309" s="2">
        <v>10</v>
      </c>
      <c r="B4309" s="1" t="s">
        <v>232</v>
      </c>
      <c r="C4309" s="4">
        <v>3</v>
      </c>
      <c r="D4309" s="8">
        <v>2.8</v>
      </c>
      <c r="E4309" s="4">
        <v>0</v>
      </c>
      <c r="F4309" s="8">
        <v>0</v>
      </c>
      <c r="G4309" s="4">
        <v>2</v>
      </c>
      <c r="H4309" s="8">
        <v>3.92</v>
      </c>
      <c r="I4309" s="4">
        <v>0</v>
      </c>
    </row>
    <row r="4310" spans="1:9" x14ac:dyDescent="0.2">
      <c r="A4310" s="2">
        <v>17</v>
      </c>
      <c r="B4310" s="1" t="s">
        <v>262</v>
      </c>
      <c r="C4310" s="4">
        <v>2</v>
      </c>
      <c r="D4310" s="8">
        <v>1.87</v>
      </c>
      <c r="E4310" s="4">
        <v>0</v>
      </c>
      <c r="F4310" s="8">
        <v>0</v>
      </c>
      <c r="G4310" s="4">
        <v>2</v>
      </c>
      <c r="H4310" s="8">
        <v>3.92</v>
      </c>
      <c r="I4310" s="4">
        <v>0</v>
      </c>
    </row>
    <row r="4311" spans="1:9" x14ac:dyDescent="0.2">
      <c r="A4311" s="2">
        <v>17</v>
      </c>
      <c r="B4311" s="1" t="s">
        <v>255</v>
      </c>
      <c r="C4311" s="4">
        <v>2</v>
      </c>
      <c r="D4311" s="8">
        <v>1.87</v>
      </c>
      <c r="E4311" s="4">
        <v>0</v>
      </c>
      <c r="F4311" s="8">
        <v>0</v>
      </c>
      <c r="G4311" s="4">
        <v>1</v>
      </c>
      <c r="H4311" s="8">
        <v>1.96</v>
      </c>
      <c r="I4311" s="4">
        <v>0</v>
      </c>
    </row>
    <row r="4312" spans="1:9" x14ac:dyDescent="0.2">
      <c r="A4312" s="2">
        <v>17</v>
      </c>
      <c r="B4312" s="1" t="s">
        <v>225</v>
      </c>
      <c r="C4312" s="4">
        <v>2</v>
      </c>
      <c r="D4312" s="8">
        <v>1.87</v>
      </c>
      <c r="E4312" s="4">
        <v>2</v>
      </c>
      <c r="F4312" s="8">
        <v>3.85</v>
      </c>
      <c r="G4312" s="4">
        <v>0</v>
      </c>
      <c r="H4312" s="8">
        <v>0</v>
      </c>
      <c r="I4312" s="4">
        <v>0</v>
      </c>
    </row>
    <row r="4313" spans="1:9" x14ac:dyDescent="0.2">
      <c r="A4313" s="2">
        <v>17</v>
      </c>
      <c r="B4313" s="1" t="s">
        <v>250</v>
      </c>
      <c r="C4313" s="4">
        <v>2</v>
      </c>
      <c r="D4313" s="8">
        <v>1.87</v>
      </c>
      <c r="E4313" s="4">
        <v>1</v>
      </c>
      <c r="F4313" s="8">
        <v>1.92</v>
      </c>
      <c r="G4313" s="4">
        <v>0</v>
      </c>
      <c r="H4313" s="8">
        <v>0</v>
      </c>
      <c r="I4313" s="4">
        <v>0</v>
      </c>
    </row>
    <row r="4314" spans="1:9" x14ac:dyDescent="0.2">
      <c r="A4314" s="1"/>
      <c r="C4314" s="4"/>
      <c r="D4314" s="8"/>
      <c r="E4314" s="4"/>
      <c r="F4314" s="8"/>
      <c r="G4314" s="4"/>
      <c r="H4314" s="8"/>
      <c r="I4314" s="4"/>
    </row>
    <row r="4315" spans="1:9" x14ac:dyDescent="0.2">
      <c r="A4315" s="1" t="s">
        <v>169</v>
      </c>
      <c r="C4315" s="4"/>
      <c r="D4315" s="8"/>
      <c r="E4315" s="4"/>
      <c r="F4315" s="8"/>
      <c r="G4315" s="4"/>
      <c r="H4315" s="8"/>
      <c r="I4315" s="4"/>
    </row>
    <row r="4316" spans="1:9" x14ac:dyDescent="0.2">
      <c r="A4316" s="2">
        <v>1</v>
      </c>
      <c r="B4316" s="1" t="s">
        <v>227</v>
      </c>
      <c r="C4316" s="4">
        <v>11</v>
      </c>
      <c r="D4316" s="8">
        <v>17.739999999999998</v>
      </c>
      <c r="E4316" s="4">
        <v>10</v>
      </c>
      <c r="F4316" s="8">
        <v>28.57</v>
      </c>
      <c r="G4316" s="4">
        <v>1</v>
      </c>
      <c r="H4316" s="8">
        <v>3.85</v>
      </c>
      <c r="I4316" s="4">
        <v>0</v>
      </c>
    </row>
    <row r="4317" spans="1:9" x14ac:dyDescent="0.2">
      <c r="A4317" s="2">
        <v>2</v>
      </c>
      <c r="B4317" s="1" t="s">
        <v>223</v>
      </c>
      <c r="C4317" s="4">
        <v>8</v>
      </c>
      <c r="D4317" s="8">
        <v>12.9</v>
      </c>
      <c r="E4317" s="4">
        <v>5</v>
      </c>
      <c r="F4317" s="8">
        <v>14.29</v>
      </c>
      <c r="G4317" s="4">
        <v>3</v>
      </c>
      <c r="H4317" s="8">
        <v>11.54</v>
      </c>
      <c r="I4317" s="4">
        <v>0</v>
      </c>
    </row>
    <row r="4318" spans="1:9" x14ac:dyDescent="0.2">
      <c r="A4318" s="2">
        <v>3</v>
      </c>
      <c r="B4318" s="1" t="s">
        <v>221</v>
      </c>
      <c r="C4318" s="4">
        <v>5</v>
      </c>
      <c r="D4318" s="8">
        <v>8.06</v>
      </c>
      <c r="E4318" s="4">
        <v>2</v>
      </c>
      <c r="F4318" s="8">
        <v>5.71</v>
      </c>
      <c r="G4318" s="4">
        <v>3</v>
      </c>
      <c r="H4318" s="8">
        <v>11.54</v>
      </c>
      <c r="I4318" s="4">
        <v>0</v>
      </c>
    </row>
    <row r="4319" spans="1:9" x14ac:dyDescent="0.2">
      <c r="A4319" s="2">
        <v>3</v>
      </c>
      <c r="B4319" s="1" t="s">
        <v>230</v>
      </c>
      <c r="C4319" s="4">
        <v>5</v>
      </c>
      <c r="D4319" s="8">
        <v>8.06</v>
      </c>
      <c r="E4319" s="4">
        <v>5</v>
      </c>
      <c r="F4319" s="8">
        <v>14.29</v>
      </c>
      <c r="G4319" s="4">
        <v>0</v>
      </c>
      <c r="H4319" s="8">
        <v>0</v>
      </c>
      <c r="I4319" s="4">
        <v>0</v>
      </c>
    </row>
    <row r="4320" spans="1:9" x14ac:dyDescent="0.2">
      <c r="A4320" s="2">
        <v>5</v>
      </c>
      <c r="B4320" s="1" t="s">
        <v>226</v>
      </c>
      <c r="C4320" s="4">
        <v>4</v>
      </c>
      <c r="D4320" s="8">
        <v>6.45</v>
      </c>
      <c r="E4320" s="4">
        <v>1</v>
      </c>
      <c r="F4320" s="8">
        <v>2.86</v>
      </c>
      <c r="G4320" s="4">
        <v>3</v>
      </c>
      <c r="H4320" s="8">
        <v>11.54</v>
      </c>
      <c r="I4320" s="4">
        <v>0</v>
      </c>
    </row>
    <row r="4321" spans="1:9" x14ac:dyDescent="0.2">
      <c r="A4321" s="2">
        <v>5</v>
      </c>
      <c r="B4321" s="1" t="s">
        <v>228</v>
      </c>
      <c r="C4321" s="4">
        <v>4</v>
      </c>
      <c r="D4321" s="8">
        <v>6.45</v>
      </c>
      <c r="E4321" s="4">
        <v>4</v>
      </c>
      <c r="F4321" s="8">
        <v>11.43</v>
      </c>
      <c r="G4321" s="4">
        <v>0</v>
      </c>
      <c r="H4321" s="8">
        <v>0</v>
      </c>
      <c r="I4321" s="4">
        <v>0</v>
      </c>
    </row>
    <row r="4322" spans="1:9" x14ac:dyDescent="0.2">
      <c r="A4322" s="2">
        <v>7</v>
      </c>
      <c r="B4322" s="1" t="s">
        <v>216</v>
      </c>
      <c r="C4322" s="4">
        <v>3</v>
      </c>
      <c r="D4322" s="8">
        <v>4.84</v>
      </c>
      <c r="E4322" s="4">
        <v>0</v>
      </c>
      <c r="F4322" s="8">
        <v>0</v>
      </c>
      <c r="G4322" s="4">
        <v>3</v>
      </c>
      <c r="H4322" s="8">
        <v>11.54</v>
      </c>
      <c r="I4322" s="4">
        <v>0</v>
      </c>
    </row>
    <row r="4323" spans="1:9" x14ac:dyDescent="0.2">
      <c r="A4323" s="2">
        <v>8</v>
      </c>
      <c r="B4323" s="1" t="s">
        <v>241</v>
      </c>
      <c r="C4323" s="4">
        <v>2</v>
      </c>
      <c r="D4323" s="8">
        <v>3.23</v>
      </c>
      <c r="E4323" s="4">
        <v>0</v>
      </c>
      <c r="F4323" s="8">
        <v>0</v>
      </c>
      <c r="G4323" s="4">
        <v>2</v>
      </c>
      <c r="H4323" s="8">
        <v>7.69</v>
      </c>
      <c r="I4323" s="4">
        <v>0</v>
      </c>
    </row>
    <row r="4324" spans="1:9" x14ac:dyDescent="0.2">
      <c r="A4324" s="2">
        <v>8</v>
      </c>
      <c r="B4324" s="1" t="s">
        <v>220</v>
      </c>
      <c r="C4324" s="4">
        <v>2</v>
      </c>
      <c r="D4324" s="8">
        <v>3.23</v>
      </c>
      <c r="E4324" s="4">
        <v>1</v>
      </c>
      <c r="F4324" s="8">
        <v>2.86</v>
      </c>
      <c r="G4324" s="4">
        <v>1</v>
      </c>
      <c r="H4324" s="8">
        <v>3.85</v>
      </c>
      <c r="I4324" s="4">
        <v>0</v>
      </c>
    </row>
    <row r="4325" spans="1:9" x14ac:dyDescent="0.2">
      <c r="A4325" s="2">
        <v>8</v>
      </c>
      <c r="B4325" s="1" t="s">
        <v>231</v>
      </c>
      <c r="C4325" s="4">
        <v>2</v>
      </c>
      <c r="D4325" s="8">
        <v>3.23</v>
      </c>
      <c r="E4325" s="4">
        <v>2</v>
      </c>
      <c r="F4325" s="8">
        <v>5.71</v>
      </c>
      <c r="G4325" s="4">
        <v>0</v>
      </c>
      <c r="H4325" s="8">
        <v>0</v>
      </c>
      <c r="I4325" s="4">
        <v>0</v>
      </c>
    </row>
    <row r="4326" spans="1:9" x14ac:dyDescent="0.2">
      <c r="A4326" s="2">
        <v>8</v>
      </c>
      <c r="B4326" s="1" t="s">
        <v>232</v>
      </c>
      <c r="C4326" s="4">
        <v>2</v>
      </c>
      <c r="D4326" s="8">
        <v>3.23</v>
      </c>
      <c r="E4326" s="4">
        <v>0</v>
      </c>
      <c r="F4326" s="8">
        <v>0</v>
      </c>
      <c r="G4326" s="4">
        <v>2</v>
      </c>
      <c r="H4326" s="8">
        <v>7.69</v>
      </c>
      <c r="I4326" s="4">
        <v>0</v>
      </c>
    </row>
    <row r="4327" spans="1:9" x14ac:dyDescent="0.2">
      <c r="A4327" s="2">
        <v>12</v>
      </c>
      <c r="B4327" s="1" t="s">
        <v>213</v>
      </c>
      <c r="C4327" s="4">
        <v>1</v>
      </c>
      <c r="D4327" s="8">
        <v>1.61</v>
      </c>
      <c r="E4327" s="4">
        <v>0</v>
      </c>
      <c r="F4327" s="8">
        <v>0</v>
      </c>
      <c r="G4327" s="4">
        <v>1</v>
      </c>
      <c r="H4327" s="8">
        <v>3.85</v>
      </c>
      <c r="I4327" s="4">
        <v>0</v>
      </c>
    </row>
    <row r="4328" spans="1:9" x14ac:dyDescent="0.2">
      <c r="A4328" s="2">
        <v>12</v>
      </c>
      <c r="B4328" s="1" t="s">
        <v>215</v>
      </c>
      <c r="C4328" s="4">
        <v>1</v>
      </c>
      <c r="D4328" s="8">
        <v>1.61</v>
      </c>
      <c r="E4328" s="4">
        <v>0</v>
      </c>
      <c r="F4328" s="8">
        <v>0</v>
      </c>
      <c r="G4328" s="4">
        <v>1</v>
      </c>
      <c r="H4328" s="8">
        <v>3.85</v>
      </c>
      <c r="I4328" s="4">
        <v>0</v>
      </c>
    </row>
    <row r="4329" spans="1:9" x14ac:dyDescent="0.2">
      <c r="A4329" s="2">
        <v>12</v>
      </c>
      <c r="B4329" s="1" t="s">
        <v>253</v>
      </c>
      <c r="C4329" s="4">
        <v>1</v>
      </c>
      <c r="D4329" s="8">
        <v>1.61</v>
      </c>
      <c r="E4329" s="4">
        <v>1</v>
      </c>
      <c r="F4329" s="8">
        <v>2.86</v>
      </c>
      <c r="G4329" s="4">
        <v>0</v>
      </c>
      <c r="H4329" s="8">
        <v>0</v>
      </c>
      <c r="I4329" s="4">
        <v>0</v>
      </c>
    </row>
    <row r="4330" spans="1:9" x14ac:dyDescent="0.2">
      <c r="A4330" s="2">
        <v>12</v>
      </c>
      <c r="B4330" s="1" t="s">
        <v>265</v>
      </c>
      <c r="C4330" s="4">
        <v>1</v>
      </c>
      <c r="D4330" s="8">
        <v>1.61</v>
      </c>
      <c r="E4330" s="4">
        <v>0</v>
      </c>
      <c r="F4330" s="8">
        <v>0</v>
      </c>
      <c r="G4330" s="4">
        <v>1</v>
      </c>
      <c r="H4330" s="8">
        <v>3.85</v>
      </c>
      <c r="I4330" s="4">
        <v>0</v>
      </c>
    </row>
    <row r="4331" spans="1:9" x14ac:dyDescent="0.2">
      <c r="A4331" s="2">
        <v>12</v>
      </c>
      <c r="B4331" s="1" t="s">
        <v>255</v>
      </c>
      <c r="C4331" s="4">
        <v>1</v>
      </c>
      <c r="D4331" s="8">
        <v>1.61</v>
      </c>
      <c r="E4331" s="4">
        <v>0</v>
      </c>
      <c r="F4331" s="8">
        <v>0</v>
      </c>
      <c r="G4331" s="4">
        <v>0</v>
      </c>
      <c r="H4331" s="8">
        <v>0</v>
      </c>
      <c r="I4331" s="4">
        <v>0</v>
      </c>
    </row>
    <row r="4332" spans="1:9" x14ac:dyDescent="0.2">
      <c r="A4332" s="2">
        <v>12</v>
      </c>
      <c r="B4332" s="1" t="s">
        <v>277</v>
      </c>
      <c r="C4332" s="4">
        <v>1</v>
      </c>
      <c r="D4332" s="8">
        <v>1.61</v>
      </c>
      <c r="E4332" s="4">
        <v>0</v>
      </c>
      <c r="F4332" s="8">
        <v>0</v>
      </c>
      <c r="G4332" s="4">
        <v>1</v>
      </c>
      <c r="H4332" s="8">
        <v>3.85</v>
      </c>
      <c r="I4332" s="4">
        <v>0</v>
      </c>
    </row>
    <row r="4333" spans="1:9" x14ac:dyDescent="0.2">
      <c r="A4333" s="2">
        <v>12</v>
      </c>
      <c r="B4333" s="1" t="s">
        <v>219</v>
      </c>
      <c r="C4333" s="4">
        <v>1</v>
      </c>
      <c r="D4333" s="8">
        <v>1.61</v>
      </c>
      <c r="E4333" s="4">
        <v>1</v>
      </c>
      <c r="F4333" s="8">
        <v>2.86</v>
      </c>
      <c r="G4333" s="4">
        <v>0</v>
      </c>
      <c r="H4333" s="8">
        <v>0</v>
      </c>
      <c r="I4333" s="4">
        <v>0</v>
      </c>
    </row>
    <row r="4334" spans="1:9" x14ac:dyDescent="0.2">
      <c r="A4334" s="2">
        <v>12</v>
      </c>
      <c r="B4334" s="1" t="s">
        <v>236</v>
      </c>
      <c r="C4334" s="4">
        <v>1</v>
      </c>
      <c r="D4334" s="8">
        <v>1.61</v>
      </c>
      <c r="E4334" s="4">
        <v>1</v>
      </c>
      <c r="F4334" s="8">
        <v>2.86</v>
      </c>
      <c r="G4334" s="4">
        <v>0</v>
      </c>
      <c r="H4334" s="8">
        <v>0</v>
      </c>
      <c r="I4334" s="4">
        <v>0</v>
      </c>
    </row>
    <row r="4335" spans="1:9" x14ac:dyDescent="0.2">
      <c r="A4335" s="2">
        <v>12</v>
      </c>
      <c r="B4335" s="1" t="s">
        <v>233</v>
      </c>
      <c r="C4335" s="4">
        <v>1</v>
      </c>
      <c r="D4335" s="8">
        <v>1.61</v>
      </c>
      <c r="E4335" s="4">
        <v>0</v>
      </c>
      <c r="F4335" s="8">
        <v>0</v>
      </c>
      <c r="G4335" s="4">
        <v>1</v>
      </c>
      <c r="H4335" s="8">
        <v>3.85</v>
      </c>
      <c r="I4335" s="4">
        <v>0</v>
      </c>
    </row>
    <row r="4336" spans="1:9" x14ac:dyDescent="0.2">
      <c r="A4336" s="2">
        <v>12</v>
      </c>
      <c r="B4336" s="1" t="s">
        <v>224</v>
      </c>
      <c r="C4336" s="4">
        <v>1</v>
      </c>
      <c r="D4336" s="8">
        <v>1.61</v>
      </c>
      <c r="E4336" s="4">
        <v>1</v>
      </c>
      <c r="F4336" s="8">
        <v>2.86</v>
      </c>
      <c r="G4336" s="4">
        <v>0</v>
      </c>
      <c r="H4336" s="8">
        <v>0</v>
      </c>
      <c r="I4336" s="4">
        <v>0</v>
      </c>
    </row>
    <row r="4337" spans="1:9" x14ac:dyDescent="0.2">
      <c r="A4337" s="2">
        <v>12</v>
      </c>
      <c r="B4337" s="1" t="s">
        <v>256</v>
      </c>
      <c r="C4337" s="4">
        <v>1</v>
      </c>
      <c r="D4337" s="8">
        <v>1.61</v>
      </c>
      <c r="E4337" s="4">
        <v>0</v>
      </c>
      <c r="F4337" s="8">
        <v>0</v>
      </c>
      <c r="G4337" s="4">
        <v>1</v>
      </c>
      <c r="H4337" s="8">
        <v>3.85</v>
      </c>
      <c r="I4337" s="4">
        <v>0</v>
      </c>
    </row>
    <row r="4338" spans="1:9" x14ac:dyDescent="0.2">
      <c r="A4338" s="2">
        <v>12</v>
      </c>
      <c r="B4338" s="1" t="s">
        <v>225</v>
      </c>
      <c r="C4338" s="4">
        <v>1</v>
      </c>
      <c r="D4338" s="8">
        <v>1.61</v>
      </c>
      <c r="E4338" s="4">
        <v>0</v>
      </c>
      <c r="F4338" s="8">
        <v>0</v>
      </c>
      <c r="G4338" s="4">
        <v>1</v>
      </c>
      <c r="H4338" s="8">
        <v>3.85</v>
      </c>
      <c r="I4338" s="4">
        <v>0</v>
      </c>
    </row>
    <row r="4339" spans="1:9" x14ac:dyDescent="0.2">
      <c r="A4339" s="2">
        <v>12</v>
      </c>
      <c r="B4339" s="1" t="s">
        <v>243</v>
      </c>
      <c r="C4339" s="4">
        <v>1</v>
      </c>
      <c r="D4339" s="8">
        <v>1.61</v>
      </c>
      <c r="E4339" s="4">
        <v>1</v>
      </c>
      <c r="F4339" s="8">
        <v>2.86</v>
      </c>
      <c r="G4339" s="4">
        <v>0</v>
      </c>
      <c r="H4339" s="8">
        <v>0</v>
      </c>
      <c r="I4339" s="4">
        <v>0</v>
      </c>
    </row>
    <row r="4340" spans="1:9" x14ac:dyDescent="0.2">
      <c r="A4340" s="2">
        <v>12</v>
      </c>
      <c r="B4340" s="1" t="s">
        <v>247</v>
      </c>
      <c r="C4340" s="4">
        <v>1</v>
      </c>
      <c r="D4340" s="8">
        <v>1.61</v>
      </c>
      <c r="E4340" s="4">
        <v>0</v>
      </c>
      <c r="F4340" s="8">
        <v>0</v>
      </c>
      <c r="G4340" s="4">
        <v>1</v>
      </c>
      <c r="H4340" s="8">
        <v>3.85</v>
      </c>
      <c r="I4340" s="4">
        <v>0</v>
      </c>
    </row>
    <row r="4341" spans="1:9" x14ac:dyDescent="0.2">
      <c r="A4341" s="1"/>
      <c r="C4341" s="4"/>
      <c r="D4341" s="8"/>
      <c r="E4341" s="4"/>
      <c r="F4341" s="8"/>
      <c r="G4341" s="4"/>
      <c r="H4341" s="8"/>
      <c r="I4341" s="4"/>
    </row>
    <row r="4342" spans="1:9" x14ac:dyDescent="0.2">
      <c r="A4342" s="1" t="s">
        <v>170</v>
      </c>
      <c r="C4342" s="4"/>
      <c r="D4342" s="8"/>
      <c r="E4342" s="4"/>
      <c r="F4342" s="8"/>
      <c r="G4342" s="4"/>
      <c r="H4342" s="8"/>
      <c r="I4342" s="4"/>
    </row>
    <row r="4343" spans="1:9" x14ac:dyDescent="0.2">
      <c r="A4343" s="2">
        <v>1</v>
      </c>
      <c r="B4343" s="1" t="s">
        <v>227</v>
      </c>
      <c r="C4343" s="4">
        <v>27</v>
      </c>
      <c r="D4343" s="8">
        <v>15.88</v>
      </c>
      <c r="E4343" s="4">
        <v>24</v>
      </c>
      <c r="F4343" s="8">
        <v>24.24</v>
      </c>
      <c r="G4343" s="4">
        <v>3</v>
      </c>
      <c r="H4343" s="8">
        <v>4.4800000000000004</v>
      </c>
      <c r="I4343" s="4">
        <v>0</v>
      </c>
    </row>
    <row r="4344" spans="1:9" x14ac:dyDescent="0.2">
      <c r="A4344" s="2">
        <v>2</v>
      </c>
      <c r="B4344" s="1" t="s">
        <v>223</v>
      </c>
      <c r="C4344" s="4">
        <v>14</v>
      </c>
      <c r="D4344" s="8">
        <v>8.24</v>
      </c>
      <c r="E4344" s="4">
        <v>8</v>
      </c>
      <c r="F4344" s="8">
        <v>8.08</v>
      </c>
      <c r="G4344" s="4">
        <v>6</v>
      </c>
      <c r="H4344" s="8">
        <v>8.9600000000000009</v>
      </c>
      <c r="I4344" s="4">
        <v>0</v>
      </c>
    </row>
    <row r="4345" spans="1:9" x14ac:dyDescent="0.2">
      <c r="A4345" s="2">
        <v>2</v>
      </c>
      <c r="B4345" s="1" t="s">
        <v>228</v>
      </c>
      <c r="C4345" s="4">
        <v>14</v>
      </c>
      <c r="D4345" s="8">
        <v>8.24</v>
      </c>
      <c r="E4345" s="4">
        <v>13</v>
      </c>
      <c r="F4345" s="8">
        <v>13.13</v>
      </c>
      <c r="G4345" s="4">
        <v>1</v>
      </c>
      <c r="H4345" s="8">
        <v>1.49</v>
      </c>
      <c r="I4345" s="4">
        <v>0</v>
      </c>
    </row>
    <row r="4346" spans="1:9" x14ac:dyDescent="0.2">
      <c r="A4346" s="2">
        <v>4</v>
      </c>
      <c r="B4346" s="1" t="s">
        <v>213</v>
      </c>
      <c r="C4346" s="4">
        <v>13</v>
      </c>
      <c r="D4346" s="8">
        <v>7.65</v>
      </c>
      <c r="E4346" s="4">
        <v>3</v>
      </c>
      <c r="F4346" s="8">
        <v>3.03</v>
      </c>
      <c r="G4346" s="4">
        <v>10</v>
      </c>
      <c r="H4346" s="8">
        <v>14.93</v>
      </c>
      <c r="I4346" s="4">
        <v>0</v>
      </c>
    </row>
    <row r="4347" spans="1:9" x14ac:dyDescent="0.2">
      <c r="A4347" s="2">
        <v>5</v>
      </c>
      <c r="B4347" s="1" t="s">
        <v>221</v>
      </c>
      <c r="C4347" s="4">
        <v>12</v>
      </c>
      <c r="D4347" s="8">
        <v>7.06</v>
      </c>
      <c r="E4347" s="4">
        <v>8</v>
      </c>
      <c r="F4347" s="8">
        <v>8.08</v>
      </c>
      <c r="G4347" s="4">
        <v>4</v>
      </c>
      <c r="H4347" s="8">
        <v>5.97</v>
      </c>
      <c r="I4347" s="4">
        <v>0</v>
      </c>
    </row>
    <row r="4348" spans="1:9" x14ac:dyDescent="0.2">
      <c r="A4348" s="2">
        <v>6</v>
      </c>
      <c r="B4348" s="1" t="s">
        <v>214</v>
      </c>
      <c r="C4348" s="4">
        <v>9</v>
      </c>
      <c r="D4348" s="8">
        <v>5.29</v>
      </c>
      <c r="E4348" s="4">
        <v>3</v>
      </c>
      <c r="F4348" s="8">
        <v>3.03</v>
      </c>
      <c r="G4348" s="4">
        <v>6</v>
      </c>
      <c r="H4348" s="8">
        <v>8.9600000000000009</v>
      </c>
      <c r="I4348" s="4">
        <v>0</v>
      </c>
    </row>
    <row r="4349" spans="1:9" x14ac:dyDescent="0.2">
      <c r="A4349" s="2">
        <v>7</v>
      </c>
      <c r="B4349" s="1" t="s">
        <v>215</v>
      </c>
      <c r="C4349" s="4">
        <v>6</v>
      </c>
      <c r="D4349" s="8">
        <v>3.53</v>
      </c>
      <c r="E4349" s="4">
        <v>4</v>
      </c>
      <c r="F4349" s="8">
        <v>4.04</v>
      </c>
      <c r="G4349" s="4">
        <v>2</v>
      </c>
      <c r="H4349" s="8">
        <v>2.99</v>
      </c>
      <c r="I4349" s="4">
        <v>0</v>
      </c>
    </row>
    <row r="4350" spans="1:9" x14ac:dyDescent="0.2">
      <c r="A4350" s="2">
        <v>7</v>
      </c>
      <c r="B4350" s="1" t="s">
        <v>241</v>
      </c>
      <c r="C4350" s="4">
        <v>6</v>
      </c>
      <c r="D4350" s="8">
        <v>3.53</v>
      </c>
      <c r="E4350" s="4">
        <v>1</v>
      </c>
      <c r="F4350" s="8">
        <v>1.01</v>
      </c>
      <c r="G4350" s="4">
        <v>5</v>
      </c>
      <c r="H4350" s="8">
        <v>7.46</v>
      </c>
      <c r="I4350" s="4">
        <v>0</v>
      </c>
    </row>
    <row r="4351" spans="1:9" x14ac:dyDescent="0.2">
      <c r="A4351" s="2">
        <v>7</v>
      </c>
      <c r="B4351" s="1" t="s">
        <v>222</v>
      </c>
      <c r="C4351" s="4">
        <v>6</v>
      </c>
      <c r="D4351" s="8">
        <v>3.53</v>
      </c>
      <c r="E4351" s="4">
        <v>5</v>
      </c>
      <c r="F4351" s="8">
        <v>5.05</v>
      </c>
      <c r="G4351" s="4">
        <v>1</v>
      </c>
      <c r="H4351" s="8">
        <v>1.49</v>
      </c>
      <c r="I4351" s="4">
        <v>0</v>
      </c>
    </row>
    <row r="4352" spans="1:9" x14ac:dyDescent="0.2">
      <c r="A4352" s="2">
        <v>7</v>
      </c>
      <c r="B4352" s="1" t="s">
        <v>224</v>
      </c>
      <c r="C4352" s="4">
        <v>6</v>
      </c>
      <c r="D4352" s="8">
        <v>3.53</v>
      </c>
      <c r="E4352" s="4">
        <v>4</v>
      </c>
      <c r="F4352" s="8">
        <v>4.04</v>
      </c>
      <c r="G4352" s="4">
        <v>2</v>
      </c>
      <c r="H4352" s="8">
        <v>2.99</v>
      </c>
      <c r="I4352" s="4">
        <v>0</v>
      </c>
    </row>
    <row r="4353" spans="1:9" x14ac:dyDescent="0.2">
      <c r="A4353" s="2">
        <v>11</v>
      </c>
      <c r="B4353" s="1" t="s">
        <v>230</v>
      </c>
      <c r="C4353" s="4">
        <v>5</v>
      </c>
      <c r="D4353" s="8">
        <v>2.94</v>
      </c>
      <c r="E4353" s="4">
        <v>5</v>
      </c>
      <c r="F4353" s="8">
        <v>5.05</v>
      </c>
      <c r="G4353" s="4">
        <v>0</v>
      </c>
      <c r="H4353" s="8">
        <v>0</v>
      </c>
      <c r="I4353" s="4">
        <v>0</v>
      </c>
    </row>
    <row r="4354" spans="1:9" x14ac:dyDescent="0.2">
      <c r="A4354" s="2">
        <v>12</v>
      </c>
      <c r="B4354" s="1" t="s">
        <v>220</v>
      </c>
      <c r="C4354" s="4">
        <v>4</v>
      </c>
      <c r="D4354" s="8">
        <v>2.35</v>
      </c>
      <c r="E4354" s="4">
        <v>3</v>
      </c>
      <c r="F4354" s="8">
        <v>3.03</v>
      </c>
      <c r="G4354" s="4">
        <v>1</v>
      </c>
      <c r="H4354" s="8">
        <v>1.49</v>
      </c>
      <c r="I4354" s="4">
        <v>0</v>
      </c>
    </row>
    <row r="4355" spans="1:9" x14ac:dyDescent="0.2">
      <c r="A4355" s="2">
        <v>12</v>
      </c>
      <c r="B4355" s="1" t="s">
        <v>231</v>
      </c>
      <c r="C4355" s="4">
        <v>4</v>
      </c>
      <c r="D4355" s="8">
        <v>2.35</v>
      </c>
      <c r="E4355" s="4">
        <v>3</v>
      </c>
      <c r="F4355" s="8">
        <v>3.03</v>
      </c>
      <c r="G4355" s="4">
        <v>1</v>
      </c>
      <c r="H4355" s="8">
        <v>1.49</v>
      </c>
      <c r="I4355" s="4">
        <v>0</v>
      </c>
    </row>
    <row r="4356" spans="1:9" x14ac:dyDescent="0.2">
      <c r="A4356" s="2">
        <v>14</v>
      </c>
      <c r="B4356" s="1" t="s">
        <v>254</v>
      </c>
      <c r="C4356" s="4">
        <v>3</v>
      </c>
      <c r="D4356" s="8">
        <v>1.76</v>
      </c>
      <c r="E4356" s="4">
        <v>0</v>
      </c>
      <c r="F4356" s="8">
        <v>0</v>
      </c>
      <c r="G4356" s="4">
        <v>3</v>
      </c>
      <c r="H4356" s="8">
        <v>4.4800000000000004</v>
      </c>
      <c r="I4356" s="4">
        <v>0</v>
      </c>
    </row>
    <row r="4357" spans="1:9" x14ac:dyDescent="0.2">
      <c r="A4357" s="2">
        <v>14</v>
      </c>
      <c r="B4357" s="1" t="s">
        <v>226</v>
      </c>
      <c r="C4357" s="4">
        <v>3</v>
      </c>
      <c r="D4357" s="8">
        <v>1.76</v>
      </c>
      <c r="E4357" s="4">
        <v>1</v>
      </c>
      <c r="F4357" s="8">
        <v>1.01</v>
      </c>
      <c r="G4357" s="4">
        <v>1</v>
      </c>
      <c r="H4357" s="8">
        <v>1.49</v>
      </c>
      <c r="I4357" s="4">
        <v>0</v>
      </c>
    </row>
    <row r="4358" spans="1:9" x14ac:dyDescent="0.2">
      <c r="A4358" s="2">
        <v>14</v>
      </c>
      <c r="B4358" s="1" t="s">
        <v>243</v>
      </c>
      <c r="C4358" s="4">
        <v>3</v>
      </c>
      <c r="D4358" s="8">
        <v>1.76</v>
      </c>
      <c r="E4358" s="4">
        <v>2</v>
      </c>
      <c r="F4358" s="8">
        <v>2.02</v>
      </c>
      <c r="G4358" s="4">
        <v>1</v>
      </c>
      <c r="H4358" s="8">
        <v>1.49</v>
      </c>
      <c r="I4358" s="4">
        <v>0</v>
      </c>
    </row>
    <row r="4359" spans="1:9" x14ac:dyDescent="0.2">
      <c r="A4359" s="2">
        <v>14</v>
      </c>
      <c r="B4359" s="1" t="s">
        <v>239</v>
      </c>
      <c r="C4359" s="4">
        <v>3</v>
      </c>
      <c r="D4359" s="8">
        <v>1.76</v>
      </c>
      <c r="E4359" s="4">
        <v>0</v>
      </c>
      <c r="F4359" s="8">
        <v>0</v>
      </c>
      <c r="G4359" s="4">
        <v>3</v>
      </c>
      <c r="H4359" s="8">
        <v>4.4800000000000004</v>
      </c>
      <c r="I4359" s="4">
        <v>0</v>
      </c>
    </row>
    <row r="4360" spans="1:9" x14ac:dyDescent="0.2">
      <c r="A4360" s="2">
        <v>14</v>
      </c>
      <c r="B4360" s="1" t="s">
        <v>240</v>
      </c>
      <c r="C4360" s="4">
        <v>3</v>
      </c>
      <c r="D4360" s="8">
        <v>1.76</v>
      </c>
      <c r="E4360" s="4">
        <v>3</v>
      </c>
      <c r="F4360" s="8">
        <v>3.03</v>
      </c>
      <c r="G4360" s="4">
        <v>0</v>
      </c>
      <c r="H4360" s="8">
        <v>0</v>
      </c>
      <c r="I4360" s="4">
        <v>0</v>
      </c>
    </row>
    <row r="4361" spans="1:9" x14ac:dyDescent="0.2">
      <c r="A4361" s="2">
        <v>19</v>
      </c>
      <c r="B4361" s="1" t="s">
        <v>253</v>
      </c>
      <c r="C4361" s="4">
        <v>2</v>
      </c>
      <c r="D4361" s="8">
        <v>1.18</v>
      </c>
      <c r="E4361" s="4">
        <v>1</v>
      </c>
      <c r="F4361" s="8">
        <v>1.01</v>
      </c>
      <c r="G4361" s="4">
        <v>1</v>
      </c>
      <c r="H4361" s="8">
        <v>1.49</v>
      </c>
      <c r="I4361" s="4">
        <v>0</v>
      </c>
    </row>
    <row r="4362" spans="1:9" x14ac:dyDescent="0.2">
      <c r="A4362" s="2">
        <v>19</v>
      </c>
      <c r="B4362" s="1" t="s">
        <v>216</v>
      </c>
      <c r="C4362" s="4">
        <v>2</v>
      </c>
      <c r="D4362" s="8">
        <v>1.18</v>
      </c>
      <c r="E4362" s="4">
        <v>1</v>
      </c>
      <c r="F4362" s="8">
        <v>1.01</v>
      </c>
      <c r="G4362" s="4">
        <v>1</v>
      </c>
      <c r="H4362" s="8">
        <v>1.49</v>
      </c>
      <c r="I4362" s="4">
        <v>0</v>
      </c>
    </row>
    <row r="4363" spans="1:9" x14ac:dyDescent="0.2">
      <c r="A4363" s="2">
        <v>19</v>
      </c>
      <c r="B4363" s="1" t="s">
        <v>218</v>
      </c>
      <c r="C4363" s="4">
        <v>2</v>
      </c>
      <c r="D4363" s="8">
        <v>1.18</v>
      </c>
      <c r="E4363" s="4">
        <v>0</v>
      </c>
      <c r="F4363" s="8">
        <v>0</v>
      </c>
      <c r="G4363" s="4">
        <v>2</v>
      </c>
      <c r="H4363" s="8">
        <v>2.99</v>
      </c>
      <c r="I4363" s="4">
        <v>0</v>
      </c>
    </row>
    <row r="4364" spans="1:9" x14ac:dyDescent="0.2">
      <c r="A4364" s="2">
        <v>19</v>
      </c>
      <c r="B4364" s="1" t="s">
        <v>219</v>
      </c>
      <c r="C4364" s="4">
        <v>2</v>
      </c>
      <c r="D4364" s="8">
        <v>1.18</v>
      </c>
      <c r="E4364" s="4">
        <v>0</v>
      </c>
      <c r="F4364" s="8">
        <v>0</v>
      </c>
      <c r="G4364" s="4">
        <v>2</v>
      </c>
      <c r="H4364" s="8">
        <v>2.99</v>
      </c>
      <c r="I4364" s="4">
        <v>0</v>
      </c>
    </row>
    <row r="4365" spans="1:9" x14ac:dyDescent="0.2">
      <c r="A4365" s="2">
        <v>19</v>
      </c>
      <c r="B4365" s="1" t="s">
        <v>233</v>
      </c>
      <c r="C4365" s="4">
        <v>2</v>
      </c>
      <c r="D4365" s="8">
        <v>1.18</v>
      </c>
      <c r="E4365" s="4">
        <v>0</v>
      </c>
      <c r="F4365" s="8">
        <v>0</v>
      </c>
      <c r="G4365" s="4">
        <v>2</v>
      </c>
      <c r="H4365" s="8">
        <v>2.99</v>
      </c>
      <c r="I4365" s="4">
        <v>0</v>
      </c>
    </row>
    <row r="4366" spans="1:9" x14ac:dyDescent="0.2">
      <c r="A4366" s="2">
        <v>19</v>
      </c>
      <c r="B4366" s="1" t="s">
        <v>246</v>
      </c>
      <c r="C4366" s="4">
        <v>2</v>
      </c>
      <c r="D4366" s="8">
        <v>1.18</v>
      </c>
      <c r="E4366" s="4">
        <v>0</v>
      </c>
      <c r="F4366" s="8">
        <v>0</v>
      </c>
      <c r="G4366" s="4">
        <v>2</v>
      </c>
      <c r="H4366" s="8">
        <v>2.99</v>
      </c>
      <c r="I4366" s="4">
        <v>0</v>
      </c>
    </row>
    <row r="4367" spans="1:9" x14ac:dyDescent="0.2">
      <c r="A4367" s="2">
        <v>19</v>
      </c>
      <c r="B4367" s="1" t="s">
        <v>232</v>
      </c>
      <c r="C4367" s="4">
        <v>2</v>
      </c>
      <c r="D4367" s="8">
        <v>1.18</v>
      </c>
      <c r="E4367" s="4">
        <v>0</v>
      </c>
      <c r="F4367" s="8">
        <v>0</v>
      </c>
      <c r="G4367" s="4">
        <v>1</v>
      </c>
      <c r="H4367" s="8">
        <v>1.49</v>
      </c>
      <c r="I4367" s="4">
        <v>0</v>
      </c>
    </row>
    <row r="4368" spans="1:9" x14ac:dyDescent="0.2">
      <c r="A4368" s="1"/>
      <c r="C4368" s="4"/>
      <c r="D4368" s="8"/>
      <c r="E4368" s="4"/>
      <c r="F4368" s="8"/>
      <c r="G4368" s="4"/>
      <c r="H4368" s="8"/>
      <c r="I4368" s="4"/>
    </row>
    <row r="4369" spans="1:9" x14ac:dyDescent="0.2">
      <c r="A4369" s="1" t="s">
        <v>171</v>
      </c>
      <c r="C4369" s="4"/>
      <c r="D4369" s="8"/>
      <c r="E4369" s="4"/>
      <c r="F4369" s="8"/>
      <c r="G4369" s="4"/>
      <c r="H4369" s="8"/>
      <c r="I4369" s="4"/>
    </row>
    <row r="4370" spans="1:9" x14ac:dyDescent="0.2">
      <c r="A4370" s="2">
        <v>1</v>
      </c>
      <c r="B4370" s="1" t="s">
        <v>227</v>
      </c>
      <c r="C4370" s="4">
        <v>29</v>
      </c>
      <c r="D4370" s="8">
        <v>11.84</v>
      </c>
      <c r="E4370" s="4">
        <v>25</v>
      </c>
      <c r="F4370" s="8">
        <v>16.34</v>
      </c>
      <c r="G4370" s="4">
        <v>4</v>
      </c>
      <c r="H4370" s="8">
        <v>4.88</v>
      </c>
      <c r="I4370" s="4">
        <v>0</v>
      </c>
    </row>
    <row r="4371" spans="1:9" x14ac:dyDescent="0.2">
      <c r="A4371" s="2">
        <v>2</v>
      </c>
      <c r="B4371" s="1" t="s">
        <v>228</v>
      </c>
      <c r="C4371" s="4">
        <v>27</v>
      </c>
      <c r="D4371" s="8">
        <v>11.02</v>
      </c>
      <c r="E4371" s="4">
        <v>27</v>
      </c>
      <c r="F4371" s="8">
        <v>17.649999999999999</v>
      </c>
      <c r="G4371" s="4">
        <v>0</v>
      </c>
      <c r="H4371" s="8">
        <v>0</v>
      </c>
      <c r="I4371" s="4">
        <v>0</v>
      </c>
    </row>
    <row r="4372" spans="1:9" x14ac:dyDescent="0.2">
      <c r="A4372" s="2">
        <v>3</v>
      </c>
      <c r="B4372" s="1" t="s">
        <v>213</v>
      </c>
      <c r="C4372" s="4">
        <v>22</v>
      </c>
      <c r="D4372" s="8">
        <v>8.98</v>
      </c>
      <c r="E4372" s="4">
        <v>13</v>
      </c>
      <c r="F4372" s="8">
        <v>8.5</v>
      </c>
      <c r="G4372" s="4">
        <v>9</v>
      </c>
      <c r="H4372" s="8">
        <v>10.98</v>
      </c>
      <c r="I4372" s="4">
        <v>0</v>
      </c>
    </row>
    <row r="4373" spans="1:9" x14ac:dyDescent="0.2">
      <c r="A4373" s="2">
        <v>4</v>
      </c>
      <c r="B4373" s="1" t="s">
        <v>223</v>
      </c>
      <c r="C4373" s="4">
        <v>21</v>
      </c>
      <c r="D4373" s="8">
        <v>8.57</v>
      </c>
      <c r="E4373" s="4">
        <v>13</v>
      </c>
      <c r="F4373" s="8">
        <v>8.5</v>
      </c>
      <c r="G4373" s="4">
        <v>8</v>
      </c>
      <c r="H4373" s="8">
        <v>9.76</v>
      </c>
      <c r="I4373" s="4">
        <v>0</v>
      </c>
    </row>
    <row r="4374" spans="1:9" x14ac:dyDescent="0.2">
      <c r="A4374" s="2">
        <v>5</v>
      </c>
      <c r="B4374" s="1" t="s">
        <v>221</v>
      </c>
      <c r="C4374" s="4">
        <v>16</v>
      </c>
      <c r="D4374" s="8">
        <v>6.53</v>
      </c>
      <c r="E4374" s="4">
        <v>12</v>
      </c>
      <c r="F4374" s="8">
        <v>7.84</v>
      </c>
      <c r="G4374" s="4">
        <v>4</v>
      </c>
      <c r="H4374" s="8">
        <v>4.88</v>
      </c>
      <c r="I4374" s="4">
        <v>0</v>
      </c>
    </row>
    <row r="4375" spans="1:9" x14ac:dyDescent="0.2">
      <c r="A4375" s="2">
        <v>6</v>
      </c>
      <c r="B4375" s="1" t="s">
        <v>224</v>
      </c>
      <c r="C4375" s="4">
        <v>12</v>
      </c>
      <c r="D4375" s="8">
        <v>4.9000000000000004</v>
      </c>
      <c r="E4375" s="4">
        <v>11</v>
      </c>
      <c r="F4375" s="8">
        <v>7.19</v>
      </c>
      <c r="G4375" s="4">
        <v>1</v>
      </c>
      <c r="H4375" s="8">
        <v>1.22</v>
      </c>
      <c r="I4375" s="4">
        <v>0</v>
      </c>
    </row>
    <row r="4376" spans="1:9" x14ac:dyDescent="0.2">
      <c r="A4376" s="2">
        <v>7</v>
      </c>
      <c r="B4376" s="1" t="s">
        <v>214</v>
      </c>
      <c r="C4376" s="4">
        <v>9</v>
      </c>
      <c r="D4376" s="8">
        <v>3.67</v>
      </c>
      <c r="E4376" s="4">
        <v>7</v>
      </c>
      <c r="F4376" s="8">
        <v>4.58</v>
      </c>
      <c r="G4376" s="4">
        <v>2</v>
      </c>
      <c r="H4376" s="8">
        <v>2.44</v>
      </c>
      <c r="I4376" s="4">
        <v>0</v>
      </c>
    </row>
    <row r="4377" spans="1:9" x14ac:dyDescent="0.2">
      <c r="A4377" s="2">
        <v>8</v>
      </c>
      <c r="B4377" s="1" t="s">
        <v>222</v>
      </c>
      <c r="C4377" s="4">
        <v>8</v>
      </c>
      <c r="D4377" s="8">
        <v>3.27</v>
      </c>
      <c r="E4377" s="4">
        <v>5</v>
      </c>
      <c r="F4377" s="8">
        <v>3.27</v>
      </c>
      <c r="G4377" s="4">
        <v>3</v>
      </c>
      <c r="H4377" s="8">
        <v>3.66</v>
      </c>
      <c r="I4377" s="4">
        <v>0</v>
      </c>
    </row>
    <row r="4378" spans="1:9" x14ac:dyDescent="0.2">
      <c r="A4378" s="2">
        <v>9</v>
      </c>
      <c r="B4378" s="1" t="s">
        <v>241</v>
      </c>
      <c r="C4378" s="4">
        <v>7</v>
      </c>
      <c r="D4378" s="8">
        <v>2.86</v>
      </c>
      <c r="E4378" s="4">
        <v>2</v>
      </c>
      <c r="F4378" s="8">
        <v>1.31</v>
      </c>
      <c r="G4378" s="4">
        <v>5</v>
      </c>
      <c r="H4378" s="8">
        <v>6.1</v>
      </c>
      <c r="I4378" s="4">
        <v>0</v>
      </c>
    </row>
    <row r="4379" spans="1:9" x14ac:dyDescent="0.2">
      <c r="A4379" s="2">
        <v>9</v>
      </c>
      <c r="B4379" s="1" t="s">
        <v>220</v>
      </c>
      <c r="C4379" s="4">
        <v>7</v>
      </c>
      <c r="D4379" s="8">
        <v>2.86</v>
      </c>
      <c r="E4379" s="4">
        <v>3</v>
      </c>
      <c r="F4379" s="8">
        <v>1.96</v>
      </c>
      <c r="G4379" s="4">
        <v>4</v>
      </c>
      <c r="H4379" s="8">
        <v>4.88</v>
      </c>
      <c r="I4379" s="4">
        <v>0</v>
      </c>
    </row>
    <row r="4380" spans="1:9" x14ac:dyDescent="0.2">
      <c r="A4380" s="2">
        <v>9</v>
      </c>
      <c r="B4380" s="1" t="s">
        <v>230</v>
      </c>
      <c r="C4380" s="4">
        <v>7</v>
      </c>
      <c r="D4380" s="8">
        <v>2.86</v>
      </c>
      <c r="E4380" s="4">
        <v>4</v>
      </c>
      <c r="F4380" s="8">
        <v>2.61</v>
      </c>
      <c r="G4380" s="4">
        <v>0</v>
      </c>
      <c r="H4380" s="8">
        <v>0</v>
      </c>
      <c r="I4380" s="4">
        <v>0</v>
      </c>
    </row>
    <row r="4381" spans="1:9" x14ac:dyDescent="0.2">
      <c r="A4381" s="2">
        <v>12</v>
      </c>
      <c r="B4381" s="1" t="s">
        <v>215</v>
      </c>
      <c r="C4381" s="4">
        <v>6</v>
      </c>
      <c r="D4381" s="8">
        <v>2.4500000000000002</v>
      </c>
      <c r="E4381" s="4">
        <v>1</v>
      </c>
      <c r="F4381" s="8">
        <v>0.65</v>
      </c>
      <c r="G4381" s="4">
        <v>5</v>
      </c>
      <c r="H4381" s="8">
        <v>6.1</v>
      </c>
      <c r="I4381" s="4">
        <v>0</v>
      </c>
    </row>
    <row r="4382" spans="1:9" x14ac:dyDescent="0.2">
      <c r="A4382" s="2">
        <v>12</v>
      </c>
      <c r="B4382" s="1" t="s">
        <v>226</v>
      </c>
      <c r="C4382" s="4">
        <v>6</v>
      </c>
      <c r="D4382" s="8">
        <v>2.4500000000000002</v>
      </c>
      <c r="E4382" s="4">
        <v>4</v>
      </c>
      <c r="F4382" s="8">
        <v>2.61</v>
      </c>
      <c r="G4382" s="4">
        <v>1</v>
      </c>
      <c r="H4382" s="8">
        <v>1.22</v>
      </c>
      <c r="I4382" s="4">
        <v>0</v>
      </c>
    </row>
    <row r="4383" spans="1:9" x14ac:dyDescent="0.2">
      <c r="A4383" s="2">
        <v>12</v>
      </c>
      <c r="B4383" s="1" t="s">
        <v>231</v>
      </c>
      <c r="C4383" s="4">
        <v>6</v>
      </c>
      <c r="D4383" s="8">
        <v>2.4500000000000002</v>
      </c>
      <c r="E4383" s="4">
        <v>4</v>
      </c>
      <c r="F4383" s="8">
        <v>2.61</v>
      </c>
      <c r="G4383" s="4">
        <v>2</v>
      </c>
      <c r="H4383" s="8">
        <v>2.44</v>
      </c>
      <c r="I4383" s="4">
        <v>0</v>
      </c>
    </row>
    <row r="4384" spans="1:9" x14ac:dyDescent="0.2">
      <c r="A4384" s="2">
        <v>15</v>
      </c>
      <c r="B4384" s="1" t="s">
        <v>262</v>
      </c>
      <c r="C4384" s="4">
        <v>4</v>
      </c>
      <c r="D4384" s="8">
        <v>1.63</v>
      </c>
      <c r="E4384" s="4">
        <v>0</v>
      </c>
      <c r="F4384" s="8">
        <v>0</v>
      </c>
      <c r="G4384" s="4">
        <v>4</v>
      </c>
      <c r="H4384" s="8">
        <v>4.88</v>
      </c>
      <c r="I4384" s="4">
        <v>0</v>
      </c>
    </row>
    <row r="4385" spans="1:9" x14ac:dyDescent="0.2">
      <c r="A4385" s="2">
        <v>15</v>
      </c>
      <c r="B4385" s="1" t="s">
        <v>254</v>
      </c>
      <c r="C4385" s="4">
        <v>4</v>
      </c>
      <c r="D4385" s="8">
        <v>1.63</v>
      </c>
      <c r="E4385" s="4">
        <v>0</v>
      </c>
      <c r="F4385" s="8">
        <v>0</v>
      </c>
      <c r="G4385" s="4">
        <v>4</v>
      </c>
      <c r="H4385" s="8">
        <v>4.88</v>
      </c>
      <c r="I4385" s="4">
        <v>0</v>
      </c>
    </row>
    <row r="4386" spans="1:9" x14ac:dyDescent="0.2">
      <c r="A4386" s="2">
        <v>15</v>
      </c>
      <c r="B4386" s="1" t="s">
        <v>248</v>
      </c>
      <c r="C4386" s="4">
        <v>4</v>
      </c>
      <c r="D4386" s="8">
        <v>1.63</v>
      </c>
      <c r="E4386" s="4">
        <v>3</v>
      </c>
      <c r="F4386" s="8">
        <v>1.96</v>
      </c>
      <c r="G4386" s="4">
        <v>1</v>
      </c>
      <c r="H4386" s="8">
        <v>1.22</v>
      </c>
      <c r="I4386" s="4">
        <v>0</v>
      </c>
    </row>
    <row r="4387" spans="1:9" x14ac:dyDescent="0.2">
      <c r="A4387" s="2">
        <v>15</v>
      </c>
      <c r="B4387" s="1" t="s">
        <v>243</v>
      </c>
      <c r="C4387" s="4">
        <v>4</v>
      </c>
      <c r="D4387" s="8">
        <v>1.63</v>
      </c>
      <c r="E4387" s="4">
        <v>3</v>
      </c>
      <c r="F4387" s="8">
        <v>1.96</v>
      </c>
      <c r="G4387" s="4">
        <v>1</v>
      </c>
      <c r="H4387" s="8">
        <v>1.22</v>
      </c>
      <c r="I4387" s="4">
        <v>0</v>
      </c>
    </row>
    <row r="4388" spans="1:9" x14ac:dyDescent="0.2">
      <c r="A4388" s="2">
        <v>19</v>
      </c>
      <c r="B4388" s="1" t="s">
        <v>261</v>
      </c>
      <c r="C4388" s="4">
        <v>3</v>
      </c>
      <c r="D4388" s="8">
        <v>1.22</v>
      </c>
      <c r="E4388" s="4">
        <v>0</v>
      </c>
      <c r="F4388" s="8">
        <v>0</v>
      </c>
      <c r="G4388" s="4">
        <v>2</v>
      </c>
      <c r="H4388" s="8">
        <v>2.44</v>
      </c>
      <c r="I4388" s="4">
        <v>0</v>
      </c>
    </row>
    <row r="4389" spans="1:9" x14ac:dyDescent="0.2">
      <c r="A4389" s="2">
        <v>19</v>
      </c>
      <c r="B4389" s="1" t="s">
        <v>217</v>
      </c>
      <c r="C4389" s="4">
        <v>3</v>
      </c>
      <c r="D4389" s="8">
        <v>1.22</v>
      </c>
      <c r="E4389" s="4">
        <v>0</v>
      </c>
      <c r="F4389" s="8">
        <v>0</v>
      </c>
      <c r="G4389" s="4">
        <v>3</v>
      </c>
      <c r="H4389" s="8">
        <v>3.66</v>
      </c>
      <c r="I4389" s="4">
        <v>0</v>
      </c>
    </row>
    <row r="4390" spans="1:9" x14ac:dyDescent="0.2">
      <c r="A4390" s="2">
        <v>19</v>
      </c>
      <c r="B4390" s="1" t="s">
        <v>239</v>
      </c>
      <c r="C4390" s="4">
        <v>3</v>
      </c>
      <c r="D4390" s="8">
        <v>1.22</v>
      </c>
      <c r="E4390" s="4">
        <v>3</v>
      </c>
      <c r="F4390" s="8">
        <v>1.96</v>
      </c>
      <c r="G4390" s="4">
        <v>0</v>
      </c>
      <c r="H4390" s="8">
        <v>0</v>
      </c>
      <c r="I4390" s="4">
        <v>0</v>
      </c>
    </row>
    <row r="4391" spans="1:9" x14ac:dyDescent="0.2">
      <c r="A4391" s="2">
        <v>19</v>
      </c>
      <c r="B4391" s="1" t="s">
        <v>242</v>
      </c>
      <c r="C4391" s="4">
        <v>3</v>
      </c>
      <c r="D4391" s="8">
        <v>1.22</v>
      </c>
      <c r="E4391" s="4">
        <v>3</v>
      </c>
      <c r="F4391" s="8">
        <v>1.96</v>
      </c>
      <c r="G4391" s="4">
        <v>0</v>
      </c>
      <c r="H4391" s="8">
        <v>0</v>
      </c>
      <c r="I4391" s="4">
        <v>0</v>
      </c>
    </row>
    <row r="4392" spans="1:9" x14ac:dyDescent="0.2">
      <c r="A4392" s="1"/>
      <c r="C4392" s="4"/>
      <c r="D4392" s="8"/>
      <c r="E4392" s="4"/>
      <c r="F4392" s="8"/>
      <c r="G4392" s="4"/>
      <c r="H4392" s="8"/>
      <c r="I4392" s="4"/>
    </row>
    <row r="4393" spans="1:9" x14ac:dyDescent="0.2">
      <c r="A4393" s="1" t="s">
        <v>172</v>
      </c>
      <c r="C4393" s="4"/>
      <c r="D4393" s="8"/>
      <c r="E4393" s="4"/>
      <c r="F4393" s="8"/>
      <c r="G4393" s="4"/>
      <c r="H4393" s="8"/>
      <c r="I4393" s="4"/>
    </row>
    <row r="4394" spans="1:9" x14ac:dyDescent="0.2">
      <c r="A4394" s="2">
        <v>1</v>
      </c>
      <c r="B4394" s="1" t="s">
        <v>228</v>
      </c>
      <c r="C4394" s="4">
        <v>64</v>
      </c>
      <c r="D4394" s="8">
        <v>11.96</v>
      </c>
      <c r="E4394" s="4">
        <v>57</v>
      </c>
      <c r="F4394" s="8">
        <v>21.43</v>
      </c>
      <c r="G4394" s="4">
        <v>7</v>
      </c>
      <c r="H4394" s="8">
        <v>2.81</v>
      </c>
      <c r="I4394" s="4">
        <v>0</v>
      </c>
    </row>
    <row r="4395" spans="1:9" x14ac:dyDescent="0.2">
      <c r="A4395" s="2">
        <v>2</v>
      </c>
      <c r="B4395" s="1" t="s">
        <v>227</v>
      </c>
      <c r="C4395" s="4">
        <v>53</v>
      </c>
      <c r="D4395" s="8">
        <v>9.91</v>
      </c>
      <c r="E4395" s="4">
        <v>45</v>
      </c>
      <c r="F4395" s="8">
        <v>16.920000000000002</v>
      </c>
      <c r="G4395" s="4">
        <v>8</v>
      </c>
      <c r="H4395" s="8">
        <v>3.21</v>
      </c>
      <c r="I4395" s="4">
        <v>0</v>
      </c>
    </row>
    <row r="4396" spans="1:9" x14ac:dyDescent="0.2">
      <c r="A4396" s="2">
        <v>3</v>
      </c>
      <c r="B4396" s="1" t="s">
        <v>213</v>
      </c>
      <c r="C4396" s="4">
        <v>42</v>
      </c>
      <c r="D4396" s="8">
        <v>7.85</v>
      </c>
      <c r="E4396" s="4">
        <v>8</v>
      </c>
      <c r="F4396" s="8">
        <v>3.01</v>
      </c>
      <c r="G4396" s="4">
        <v>34</v>
      </c>
      <c r="H4396" s="8">
        <v>13.65</v>
      </c>
      <c r="I4396" s="4">
        <v>0</v>
      </c>
    </row>
    <row r="4397" spans="1:9" x14ac:dyDescent="0.2">
      <c r="A4397" s="2">
        <v>4</v>
      </c>
      <c r="B4397" s="1" t="s">
        <v>223</v>
      </c>
      <c r="C4397" s="4">
        <v>41</v>
      </c>
      <c r="D4397" s="8">
        <v>7.66</v>
      </c>
      <c r="E4397" s="4">
        <v>18</v>
      </c>
      <c r="F4397" s="8">
        <v>6.77</v>
      </c>
      <c r="G4397" s="4">
        <v>23</v>
      </c>
      <c r="H4397" s="8">
        <v>9.24</v>
      </c>
      <c r="I4397" s="4">
        <v>0</v>
      </c>
    </row>
    <row r="4398" spans="1:9" x14ac:dyDescent="0.2">
      <c r="A4398" s="2">
        <v>5</v>
      </c>
      <c r="B4398" s="1" t="s">
        <v>230</v>
      </c>
      <c r="C4398" s="4">
        <v>27</v>
      </c>
      <c r="D4398" s="8">
        <v>5.05</v>
      </c>
      <c r="E4398" s="4">
        <v>14</v>
      </c>
      <c r="F4398" s="8">
        <v>5.26</v>
      </c>
      <c r="G4398" s="4">
        <v>7</v>
      </c>
      <c r="H4398" s="8">
        <v>2.81</v>
      </c>
      <c r="I4398" s="4">
        <v>0</v>
      </c>
    </row>
    <row r="4399" spans="1:9" x14ac:dyDescent="0.2">
      <c r="A4399" s="2">
        <v>6</v>
      </c>
      <c r="B4399" s="1" t="s">
        <v>231</v>
      </c>
      <c r="C4399" s="4">
        <v>24</v>
      </c>
      <c r="D4399" s="8">
        <v>4.49</v>
      </c>
      <c r="E4399" s="4">
        <v>23</v>
      </c>
      <c r="F4399" s="8">
        <v>8.65</v>
      </c>
      <c r="G4399" s="4">
        <v>1</v>
      </c>
      <c r="H4399" s="8">
        <v>0.4</v>
      </c>
      <c r="I4399" s="4">
        <v>0</v>
      </c>
    </row>
    <row r="4400" spans="1:9" x14ac:dyDescent="0.2">
      <c r="A4400" s="2">
        <v>7</v>
      </c>
      <c r="B4400" s="1" t="s">
        <v>221</v>
      </c>
      <c r="C4400" s="4">
        <v>22</v>
      </c>
      <c r="D4400" s="8">
        <v>4.1100000000000003</v>
      </c>
      <c r="E4400" s="4">
        <v>13</v>
      </c>
      <c r="F4400" s="8">
        <v>4.8899999999999997</v>
      </c>
      <c r="G4400" s="4">
        <v>9</v>
      </c>
      <c r="H4400" s="8">
        <v>3.61</v>
      </c>
      <c r="I4400" s="4">
        <v>0</v>
      </c>
    </row>
    <row r="4401" spans="1:9" x14ac:dyDescent="0.2">
      <c r="A4401" s="2">
        <v>8</v>
      </c>
      <c r="B4401" s="1" t="s">
        <v>215</v>
      </c>
      <c r="C4401" s="4">
        <v>21</v>
      </c>
      <c r="D4401" s="8">
        <v>3.93</v>
      </c>
      <c r="E4401" s="4">
        <v>8</v>
      </c>
      <c r="F4401" s="8">
        <v>3.01</v>
      </c>
      <c r="G4401" s="4">
        <v>13</v>
      </c>
      <c r="H4401" s="8">
        <v>5.22</v>
      </c>
      <c r="I4401" s="4">
        <v>0</v>
      </c>
    </row>
    <row r="4402" spans="1:9" x14ac:dyDescent="0.2">
      <c r="A4402" s="2">
        <v>8</v>
      </c>
      <c r="B4402" s="1" t="s">
        <v>222</v>
      </c>
      <c r="C4402" s="4">
        <v>21</v>
      </c>
      <c r="D4402" s="8">
        <v>3.93</v>
      </c>
      <c r="E4402" s="4">
        <v>6</v>
      </c>
      <c r="F4402" s="8">
        <v>2.2599999999999998</v>
      </c>
      <c r="G4402" s="4">
        <v>15</v>
      </c>
      <c r="H4402" s="8">
        <v>6.02</v>
      </c>
      <c r="I4402" s="4">
        <v>0</v>
      </c>
    </row>
    <row r="4403" spans="1:9" x14ac:dyDescent="0.2">
      <c r="A4403" s="2">
        <v>8</v>
      </c>
      <c r="B4403" s="1" t="s">
        <v>224</v>
      </c>
      <c r="C4403" s="4">
        <v>21</v>
      </c>
      <c r="D4403" s="8">
        <v>3.93</v>
      </c>
      <c r="E4403" s="4">
        <v>12</v>
      </c>
      <c r="F4403" s="8">
        <v>4.51</v>
      </c>
      <c r="G4403" s="4">
        <v>8</v>
      </c>
      <c r="H4403" s="8">
        <v>3.21</v>
      </c>
      <c r="I4403" s="4">
        <v>0</v>
      </c>
    </row>
    <row r="4404" spans="1:9" x14ac:dyDescent="0.2">
      <c r="A4404" s="2">
        <v>11</v>
      </c>
      <c r="B4404" s="1" t="s">
        <v>214</v>
      </c>
      <c r="C4404" s="4">
        <v>20</v>
      </c>
      <c r="D4404" s="8">
        <v>3.74</v>
      </c>
      <c r="E4404" s="4">
        <v>7</v>
      </c>
      <c r="F4404" s="8">
        <v>2.63</v>
      </c>
      <c r="G4404" s="4">
        <v>13</v>
      </c>
      <c r="H4404" s="8">
        <v>5.22</v>
      </c>
      <c r="I4404" s="4">
        <v>0</v>
      </c>
    </row>
    <row r="4405" spans="1:9" x14ac:dyDescent="0.2">
      <c r="A4405" s="2">
        <v>12</v>
      </c>
      <c r="B4405" s="1" t="s">
        <v>232</v>
      </c>
      <c r="C4405" s="4">
        <v>15</v>
      </c>
      <c r="D4405" s="8">
        <v>2.8</v>
      </c>
      <c r="E4405" s="4">
        <v>0</v>
      </c>
      <c r="F4405" s="8">
        <v>0</v>
      </c>
      <c r="G4405" s="4">
        <v>8</v>
      </c>
      <c r="H4405" s="8">
        <v>3.21</v>
      </c>
      <c r="I4405" s="4">
        <v>0</v>
      </c>
    </row>
    <row r="4406" spans="1:9" x14ac:dyDescent="0.2">
      <c r="A4406" s="2">
        <v>13</v>
      </c>
      <c r="B4406" s="1" t="s">
        <v>226</v>
      </c>
      <c r="C4406" s="4">
        <v>14</v>
      </c>
      <c r="D4406" s="8">
        <v>2.62</v>
      </c>
      <c r="E4406" s="4">
        <v>4</v>
      </c>
      <c r="F4406" s="8">
        <v>1.5</v>
      </c>
      <c r="G4406" s="4">
        <v>10</v>
      </c>
      <c r="H4406" s="8">
        <v>4.0199999999999996</v>
      </c>
      <c r="I4406" s="4">
        <v>0</v>
      </c>
    </row>
    <row r="4407" spans="1:9" x14ac:dyDescent="0.2">
      <c r="A4407" s="2">
        <v>14</v>
      </c>
      <c r="B4407" s="1" t="s">
        <v>240</v>
      </c>
      <c r="C4407" s="4">
        <v>13</v>
      </c>
      <c r="D4407" s="8">
        <v>2.4300000000000002</v>
      </c>
      <c r="E4407" s="4">
        <v>8</v>
      </c>
      <c r="F4407" s="8">
        <v>3.01</v>
      </c>
      <c r="G4407" s="4">
        <v>5</v>
      </c>
      <c r="H4407" s="8">
        <v>2.0099999999999998</v>
      </c>
      <c r="I4407" s="4">
        <v>0</v>
      </c>
    </row>
    <row r="4408" spans="1:9" x14ac:dyDescent="0.2">
      <c r="A4408" s="2">
        <v>15</v>
      </c>
      <c r="B4408" s="1" t="s">
        <v>220</v>
      </c>
      <c r="C4408" s="4">
        <v>12</v>
      </c>
      <c r="D4408" s="8">
        <v>2.2400000000000002</v>
      </c>
      <c r="E4408" s="4">
        <v>5</v>
      </c>
      <c r="F4408" s="8">
        <v>1.88</v>
      </c>
      <c r="G4408" s="4">
        <v>7</v>
      </c>
      <c r="H4408" s="8">
        <v>2.81</v>
      </c>
      <c r="I4408" s="4">
        <v>0</v>
      </c>
    </row>
    <row r="4409" spans="1:9" x14ac:dyDescent="0.2">
      <c r="A4409" s="2">
        <v>16</v>
      </c>
      <c r="B4409" s="1" t="s">
        <v>217</v>
      </c>
      <c r="C4409" s="4">
        <v>9</v>
      </c>
      <c r="D4409" s="8">
        <v>1.68</v>
      </c>
      <c r="E4409" s="4">
        <v>1</v>
      </c>
      <c r="F4409" s="8">
        <v>0.38</v>
      </c>
      <c r="G4409" s="4">
        <v>8</v>
      </c>
      <c r="H4409" s="8">
        <v>3.21</v>
      </c>
      <c r="I4409" s="4">
        <v>0</v>
      </c>
    </row>
    <row r="4410" spans="1:9" x14ac:dyDescent="0.2">
      <c r="A4410" s="2">
        <v>17</v>
      </c>
      <c r="B4410" s="1" t="s">
        <v>254</v>
      </c>
      <c r="C4410" s="4">
        <v>8</v>
      </c>
      <c r="D4410" s="8">
        <v>1.5</v>
      </c>
      <c r="E4410" s="4">
        <v>0</v>
      </c>
      <c r="F4410" s="8">
        <v>0</v>
      </c>
      <c r="G4410" s="4">
        <v>8</v>
      </c>
      <c r="H4410" s="8">
        <v>3.21</v>
      </c>
      <c r="I4410" s="4">
        <v>0</v>
      </c>
    </row>
    <row r="4411" spans="1:9" x14ac:dyDescent="0.2">
      <c r="A4411" s="2">
        <v>17</v>
      </c>
      <c r="B4411" s="1" t="s">
        <v>219</v>
      </c>
      <c r="C4411" s="4">
        <v>8</v>
      </c>
      <c r="D4411" s="8">
        <v>1.5</v>
      </c>
      <c r="E4411" s="4">
        <v>2</v>
      </c>
      <c r="F4411" s="8">
        <v>0.75</v>
      </c>
      <c r="G4411" s="4">
        <v>6</v>
      </c>
      <c r="H4411" s="8">
        <v>2.41</v>
      </c>
      <c r="I4411" s="4">
        <v>0</v>
      </c>
    </row>
    <row r="4412" spans="1:9" x14ac:dyDescent="0.2">
      <c r="A4412" s="2">
        <v>19</v>
      </c>
      <c r="B4412" s="1" t="s">
        <v>229</v>
      </c>
      <c r="C4412" s="4">
        <v>7</v>
      </c>
      <c r="D4412" s="8">
        <v>1.31</v>
      </c>
      <c r="E4412" s="4">
        <v>4</v>
      </c>
      <c r="F4412" s="8">
        <v>1.5</v>
      </c>
      <c r="G4412" s="4">
        <v>3</v>
      </c>
      <c r="H4412" s="8">
        <v>1.2</v>
      </c>
      <c r="I4412" s="4">
        <v>0</v>
      </c>
    </row>
    <row r="4413" spans="1:9" x14ac:dyDescent="0.2">
      <c r="A4413" s="2">
        <v>20</v>
      </c>
      <c r="B4413" s="1" t="s">
        <v>242</v>
      </c>
      <c r="C4413" s="4">
        <v>6</v>
      </c>
      <c r="D4413" s="8">
        <v>1.1200000000000001</v>
      </c>
      <c r="E4413" s="4">
        <v>4</v>
      </c>
      <c r="F4413" s="8">
        <v>1.5</v>
      </c>
      <c r="G4413" s="4">
        <v>2</v>
      </c>
      <c r="H4413" s="8">
        <v>0.8</v>
      </c>
      <c r="I4413" s="4">
        <v>0</v>
      </c>
    </row>
    <row r="4414" spans="1:9" x14ac:dyDescent="0.2">
      <c r="A4414" s="1"/>
      <c r="C4414" s="4"/>
      <c r="D4414" s="8"/>
      <c r="E4414" s="4"/>
      <c r="F4414" s="8"/>
      <c r="G4414" s="4"/>
      <c r="H4414" s="8"/>
      <c r="I4414" s="4"/>
    </row>
    <row r="4415" spans="1:9" x14ac:dyDescent="0.2">
      <c r="A4415" s="1" t="s">
        <v>173</v>
      </c>
      <c r="C4415" s="4"/>
      <c r="D4415" s="8"/>
      <c r="E4415" s="4"/>
      <c r="F4415" s="8"/>
      <c r="G4415" s="4"/>
      <c r="H4415" s="8"/>
      <c r="I4415" s="4"/>
    </row>
    <row r="4416" spans="1:9" x14ac:dyDescent="0.2">
      <c r="A4416" s="2">
        <v>1</v>
      </c>
      <c r="B4416" s="1" t="s">
        <v>228</v>
      </c>
      <c r="C4416" s="4">
        <v>22</v>
      </c>
      <c r="D4416" s="8">
        <v>10.28</v>
      </c>
      <c r="E4416" s="4">
        <v>20</v>
      </c>
      <c r="F4416" s="8">
        <v>16.260000000000002</v>
      </c>
      <c r="G4416" s="4">
        <v>2</v>
      </c>
      <c r="H4416" s="8">
        <v>2.33</v>
      </c>
      <c r="I4416" s="4">
        <v>0</v>
      </c>
    </row>
    <row r="4417" spans="1:9" x14ac:dyDescent="0.2">
      <c r="A4417" s="2">
        <v>2</v>
      </c>
      <c r="B4417" s="1" t="s">
        <v>227</v>
      </c>
      <c r="C4417" s="4">
        <v>20</v>
      </c>
      <c r="D4417" s="8">
        <v>9.35</v>
      </c>
      <c r="E4417" s="4">
        <v>18</v>
      </c>
      <c r="F4417" s="8">
        <v>14.63</v>
      </c>
      <c r="G4417" s="4">
        <v>2</v>
      </c>
      <c r="H4417" s="8">
        <v>2.33</v>
      </c>
      <c r="I4417" s="4">
        <v>0</v>
      </c>
    </row>
    <row r="4418" spans="1:9" x14ac:dyDescent="0.2">
      <c r="A4418" s="2">
        <v>3</v>
      </c>
      <c r="B4418" s="1" t="s">
        <v>221</v>
      </c>
      <c r="C4418" s="4">
        <v>16</v>
      </c>
      <c r="D4418" s="8">
        <v>7.48</v>
      </c>
      <c r="E4418" s="4">
        <v>8</v>
      </c>
      <c r="F4418" s="8">
        <v>6.5</v>
      </c>
      <c r="G4418" s="4">
        <v>8</v>
      </c>
      <c r="H4418" s="8">
        <v>9.3000000000000007</v>
      </c>
      <c r="I4418" s="4">
        <v>0</v>
      </c>
    </row>
    <row r="4419" spans="1:9" x14ac:dyDescent="0.2">
      <c r="A4419" s="2">
        <v>4</v>
      </c>
      <c r="B4419" s="1" t="s">
        <v>223</v>
      </c>
      <c r="C4419" s="4">
        <v>15</v>
      </c>
      <c r="D4419" s="8">
        <v>7.01</v>
      </c>
      <c r="E4419" s="4">
        <v>5</v>
      </c>
      <c r="F4419" s="8">
        <v>4.07</v>
      </c>
      <c r="G4419" s="4">
        <v>10</v>
      </c>
      <c r="H4419" s="8">
        <v>11.63</v>
      </c>
      <c r="I4419" s="4">
        <v>0</v>
      </c>
    </row>
    <row r="4420" spans="1:9" x14ac:dyDescent="0.2">
      <c r="A4420" s="2">
        <v>4</v>
      </c>
      <c r="B4420" s="1" t="s">
        <v>230</v>
      </c>
      <c r="C4420" s="4">
        <v>15</v>
      </c>
      <c r="D4420" s="8">
        <v>7.01</v>
      </c>
      <c r="E4420" s="4">
        <v>9</v>
      </c>
      <c r="F4420" s="8">
        <v>7.32</v>
      </c>
      <c r="G4420" s="4">
        <v>3</v>
      </c>
      <c r="H4420" s="8">
        <v>3.49</v>
      </c>
      <c r="I4420" s="4">
        <v>0</v>
      </c>
    </row>
    <row r="4421" spans="1:9" x14ac:dyDescent="0.2">
      <c r="A4421" s="2">
        <v>6</v>
      </c>
      <c r="B4421" s="1" t="s">
        <v>214</v>
      </c>
      <c r="C4421" s="4">
        <v>12</v>
      </c>
      <c r="D4421" s="8">
        <v>5.61</v>
      </c>
      <c r="E4421" s="4">
        <v>6</v>
      </c>
      <c r="F4421" s="8">
        <v>4.88</v>
      </c>
      <c r="G4421" s="4">
        <v>6</v>
      </c>
      <c r="H4421" s="8">
        <v>6.98</v>
      </c>
      <c r="I4421" s="4">
        <v>0</v>
      </c>
    </row>
    <row r="4422" spans="1:9" x14ac:dyDescent="0.2">
      <c r="A4422" s="2">
        <v>6</v>
      </c>
      <c r="B4422" s="1" t="s">
        <v>224</v>
      </c>
      <c r="C4422" s="4">
        <v>12</v>
      </c>
      <c r="D4422" s="8">
        <v>5.61</v>
      </c>
      <c r="E4422" s="4">
        <v>10</v>
      </c>
      <c r="F4422" s="8">
        <v>8.1300000000000008</v>
      </c>
      <c r="G4422" s="4">
        <v>2</v>
      </c>
      <c r="H4422" s="8">
        <v>2.33</v>
      </c>
      <c r="I4422" s="4">
        <v>0</v>
      </c>
    </row>
    <row r="4423" spans="1:9" x14ac:dyDescent="0.2">
      <c r="A4423" s="2">
        <v>8</v>
      </c>
      <c r="B4423" s="1" t="s">
        <v>213</v>
      </c>
      <c r="C4423" s="4">
        <v>10</v>
      </c>
      <c r="D4423" s="8">
        <v>4.67</v>
      </c>
      <c r="E4423" s="4">
        <v>1</v>
      </c>
      <c r="F4423" s="8">
        <v>0.81</v>
      </c>
      <c r="G4423" s="4">
        <v>9</v>
      </c>
      <c r="H4423" s="8">
        <v>10.47</v>
      </c>
      <c r="I4423" s="4">
        <v>0</v>
      </c>
    </row>
    <row r="4424" spans="1:9" x14ac:dyDescent="0.2">
      <c r="A4424" s="2">
        <v>9</v>
      </c>
      <c r="B4424" s="1" t="s">
        <v>243</v>
      </c>
      <c r="C4424" s="4">
        <v>9</v>
      </c>
      <c r="D4424" s="8">
        <v>4.21</v>
      </c>
      <c r="E4424" s="4">
        <v>7</v>
      </c>
      <c r="F4424" s="8">
        <v>5.69</v>
      </c>
      <c r="G4424" s="4">
        <v>2</v>
      </c>
      <c r="H4424" s="8">
        <v>2.33</v>
      </c>
      <c r="I4424" s="4">
        <v>0</v>
      </c>
    </row>
    <row r="4425" spans="1:9" x14ac:dyDescent="0.2">
      <c r="A4425" s="2">
        <v>9</v>
      </c>
      <c r="B4425" s="1" t="s">
        <v>231</v>
      </c>
      <c r="C4425" s="4">
        <v>9</v>
      </c>
      <c r="D4425" s="8">
        <v>4.21</v>
      </c>
      <c r="E4425" s="4">
        <v>9</v>
      </c>
      <c r="F4425" s="8">
        <v>7.32</v>
      </c>
      <c r="G4425" s="4">
        <v>0</v>
      </c>
      <c r="H4425" s="8">
        <v>0</v>
      </c>
      <c r="I4425" s="4">
        <v>0</v>
      </c>
    </row>
    <row r="4426" spans="1:9" x14ac:dyDescent="0.2">
      <c r="A4426" s="2">
        <v>11</v>
      </c>
      <c r="B4426" s="1" t="s">
        <v>222</v>
      </c>
      <c r="C4426" s="4">
        <v>8</v>
      </c>
      <c r="D4426" s="8">
        <v>3.74</v>
      </c>
      <c r="E4426" s="4">
        <v>2</v>
      </c>
      <c r="F4426" s="8">
        <v>1.63</v>
      </c>
      <c r="G4426" s="4">
        <v>6</v>
      </c>
      <c r="H4426" s="8">
        <v>6.98</v>
      </c>
      <c r="I4426" s="4">
        <v>0</v>
      </c>
    </row>
    <row r="4427" spans="1:9" x14ac:dyDescent="0.2">
      <c r="A4427" s="2">
        <v>12</v>
      </c>
      <c r="B4427" s="1" t="s">
        <v>215</v>
      </c>
      <c r="C4427" s="4">
        <v>7</v>
      </c>
      <c r="D4427" s="8">
        <v>3.27</v>
      </c>
      <c r="E4427" s="4">
        <v>4</v>
      </c>
      <c r="F4427" s="8">
        <v>3.25</v>
      </c>
      <c r="G4427" s="4">
        <v>3</v>
      </c>
      <c r="H4427" s="8">
        <v>3.49</v>
      </c>
      <c r="I4427" s="4">
        <v>0</v>
      </c>
    </row>
    <row r="4428" spans="1:9" x14ac:dyDescent="0.2">
      <c r="A4428" s="2">
        <v>12</v>
      </c>
      <c r="B4428" s="1" t="s">
        <v>220</v>
      </c>
      <c r="C4428" s="4">
        <v>7</v>
      </c>
      <c r="D4428" s="8">
        <v>3.27</v>
      </c>
      <c r="E4428" s="4">
        <v>5</v>
      </c>
      <c r="F4428" s="8">
        <v>4.07</v>
      </c>
      <c r="G4428" s="4">
        <v>2</v>
      </c>
      <c r="H4428" s="8">
        <v>2.33</v>
      </c>
      <c r="I4428" s="4">
        <v>0</v>
      </c>
    </row>
    <row r="4429" spans="1:9" x14ac:dyDescent="0.2">
      <c r="A4429" s="2">
        <v>14</v>
      </c>
      <c r="B4429" s="1" t="s">
        <v>232</v>
      </c>
      <c r="C4429" s="4">
        <v>5</v>
      </c>
      <c r="D4429" s="8">
        <v>2.34</v>
      </c>
      <c r="E4429" s="4">
        <v>0</v>
      </c>
      <c r="F4429" s="8">
        <v>0</v>
      </c>
      <c r="G4429" s="4">
        <v>4</v>
      </c>
      <c r="H4429" s="8">
        <v>4.6500000000000004</v>
      </c>
      <c r="I4429" s="4">
        <v>0</v>
      </c>
    </row>
    <row r="4430" spans="1:9" x14ac:dyDescent="0.2">
      <c r="A4430" s="2">
        <v>15</v>
      </c>
      <c r="B4430" s="1" t="s">
        <v>241</v>
      </c>
      <c r="C4430" s="4">
        <v>4</v>
      </c>
      <c r="D4430" s="8">
        <v>1.87</v>
      </c>
      <c r="E4430" s="4">
        <v>0</v>
      </c>
      <c r="F4430" s="8">
        <v>0</v>
      </c>
      <c r="G4430" s="4">
        <v>4</v>
      </c>
      <c r="H4430" s="8">
        <v>4.6500000000000004</v>
      </c>
      <c r="I4430" s="4">
        <v>0</v>
      </c>
    </row>
    <row r="4431" spans="1:9" x14ac:dyDescent="0.2">
      <c r="A4431" s="2">
        <v>15</v>
      </c>
      <c r="B4431" s="1" t="s">
        <v>225</v>
      </c>
      <c r="C4431" s="4">
        <v>4</v>
      </c>
      <c r="D4431" s="8">
        <v>1.87</v>
      </c>
      <c r="E4431" s="4">
        <v>3</v>
      </c>
      <c r="F4431" s="8">
        <v>2.44</v>
      </c>
      <c r="G4431" s="4">
        <v>1</v>
      </c>
      <c r="H4431" s="8">
        <v>1.1599999999999999</v>
      </c>
      <c r="I4431" s="4">
        <v>0</v>
      </c>
    </row>
    <row r="4432" spans="1:9" x14ac:dyDescent="0.2">
      <c r="A4432" s="2">
        <v>15</v>
      </c>
      <c r="B4432" s="1" t="s">
        <v>226</v>
      </c>
      <c r="C4432" s="4">
        <v>4</v>
      </c>
      <c r="D4432" s="8">
        <v>1.87</v>
      </c>
      <c r="E4432" s="4">
        <v>2</v>
      </c>
      <c r="F4432" s="8">
        <v>1.63</v>
      </c>
      <c r="G4432" s="4">
        <v>2</v>
      </c>
      <c r="H4432" s="8">
        <v>2.33</v>
      </c>
      <c r="I4432" s="4">
        <v>0</v>
      </c>
    </row>
    <row r="4433" spans="1:9" x14ac:dyDescent="0.2">
      <c r="A4433" s="2">
        <v>15</v>
      </c>
      <c r="B4433" s="1" t="s">
        <v>239</v>
      </c>
      <c r="C4433" s="4">
        <v>4</v>
      </c>
      <c r="D4433" s="8">
        <v>1.87</v>
      </c>
      <c r="E4433" s="4">
        <v>1</v>
      </c>
      <c r="F4433" s="8">
        <v>0.81</v>
      </c>
      <c r="G4433" s="4">
        <v>3</v>
      </c>
      <c r="H4433" s="8">
        <v>3.49</v>
      </c>
      <c r="I4433" s="4">
        <v>0</v>
      </c>
    </row>
    <row r="4434" spans="1:9" x14ac:dyDescent="0.2">
      <c r="A4434" s="2">
        <v>15</v>
      </c>
      <c r="B4434" s="1" t="s">
        <v>242</v>
      </c>
      <c r="C4434" s="4">
        <v>4</v>
      </c>
      <c r="D4434" s="8">
        <v>1.87</v>
      </c>
      <c r="E4434" s="4">
        <v>3</v>
      </c>
      <c r="F4434" s="8">
        <v>2.44</v>
      </c>
      <c r="G4434" s="4">
        <v>1</v>
      </c>
      <c r="H4434" s="8">
        <v>1.1599999999999999</v>
      </c>
      <c r="I4434" s="4">
        <v>0</v>
      </c>
    </row>
    <row r="4435" spans="1:9" x14ac:dyDescent="0.2">
      <c r="A4435" s="2">
        <v>20</v>
      </c>
      <c r="B4435" s="1" t="s">
        <v>277</v>
      </c>
      <c r="C4435" s="4">
        <v>2</v>
      </c>
      <c r="D4435" s="8">
        <v>0.93</v>
      </c>
      <c r="E4435" s="4">
        <v>0</v>
      </c>
      <c r="F4435" s="8">
        <v>0</v>
      </c>
      <c r="G4435" s="4">
        <v>2</v>
      </c>
      <c r="H4435" s="8">
        <v>2.33</v>
      </c>
      <c r="I4435" s="4">
        <v>0</v>
      </c>
    </row>
    <row r="4436" spans="1:9" x14ac:dyDescent="0.2">
      <c r="A4436" s="2">
        <v>20</v>
      </c>
      <c r="B4436" s="1" t="s">
        <v>248</v>
      </c>
      <c r="C4436" s="4">
        <v>2</v>
      </c>
      <c r="D4436" s="8">
        <v>0.93</v>
      </c>
      <c r="E4436" s="4">
        <v>1</v>
      </c>
      <c r="F4436" s="8">
        <v>0.81</v>
      </c>
      <c r="G4436" s="4">
        <v>1</v>
      </c>
      <c r="H4436" s="8">
        <v>1.1599999999999999</v>
      </c>
      <c r="I4436" s="4">
        <v>0</v>
      </c>
    </row>
    <row r="4437" spans="1:9" x14ac:dyDescent="0.2">
      <c r="A4437" s="2">
        <v>20</v>
      </c>
      <c r="B4437" s="1" t="s">
        <v>216</v>
      </c>
      <c r="C4437" s="4">
        <v>2</v>
      </c>
      <c r="D4437" s="8">
        <v>0.93</v>
      </c>
      <c r="E4437" s="4">
        <v>0</v>
      </c>
      <c r="F4437" s="8">
        <v>0</v>
      </c>
      <c r="G4437" s="4">
        <v>2</v>
      </c>
      <c r="H4437" s="8">
        <v>2.33</v>
      </c>
      <c r="I4437" s="4">
        <v>0</v>
      </c>
    </row>
    <row r="4438" spans="1:9" x14ac:dyDescent="0.2">
      <c r="A4438" s="2">
        <v>20</v>
      </c>
      <c r="B4438" s="1" t="s">
        <v>249</v>
      </c>
      <c r="C4438" s="4">
        <v>2</v>
      </c>
      <c r="D4438" s="8">
        <v>0.93</v>
      </c>
      <c r="E4438" s="4">
        <v>1</v>
      </c>
      <c r="F4438" s="8">
        <v>0.81</v>
      </c>
      <c r="G4438" s="4">
        <v>1</v>
      </c>
      <c r="H4438" s="8">
        <v>1.1599999999999999</v>
      </c>
      <c r="I4438" s="4">
        <v>0</v>
      </c>
    </row>
    <row r="4439" spans="1:9" x14ac:dyDescent="0.2">
      <c r="A4439" s="2">
        <v>20</v>
      </c>
      <c r="B4439" s="1" t="s">
        <v>240</v>
      </c>
      <c r="C4439" s="4">
        <v>2</v>
      </c>
      <c r="D4439" s="8">
        <v>0.93</v>
      </c>
      <c r="E4439" s="4">
        <v>1</v>
      </c>
      <c r="F4439" s="8">
        <v>0.81</v>
      </c>
      <c r="G4439" s="4">
        <v>1</v>
      </c>
      <c r="H4439" s="8">
        <v>1.1599999999999999</v>
      </c>
      <c r="I4439" s="4">
        <v>0</v>
      </c>
    </row>
    <row r="4440" spans="1:9" x14ac:dyDescent="0.2">
      <c r="A4440" s="1"/>
      <c r="C4440" s="4"/>
      <c r="D4440" s="8"/>
      <c r="E4440" s="4"/>
      <c r="F4440" s="8"/>
      <c r="G4440" s="4"/>
      <c r="H4440" s="8"/>
      <c r="I4440" s="4"/>
    </row>
    <row r="4441" spans="1:9" x14ac:dyDescent="0.2">
      <c r="A4441" s="1" t="s">
        <v>174</v>
      </c>
      <c r="C4441" s="4"/>
      <c r="D4441" s="8"/>
      <c r="E4441" s="4"/>
      <c r="F4441" s="8"/>
      <c r="G4441" s="4"/>
      <c r="H4441" s="8"/>
      <c r="I4441" s="4"/>
    </row>
    <row r="4442" spans="1:9" x14ac:dyDescent="0.2">
      <c r="A4442" s="2">
        <v>1</v>
      </c>
      <c r="B4442" s="1" t="s">
        <v>221</v>
      </c>
      <c r="C4442" s="4">
        <v>8</v>
      </c>
      <c r="D4442" s="8">
        <v>9.52</v>
      </c>
      <c r="E4442" s="4">
        <v>4</v>
      </c>
      <c r="F4442" s="8">
        <v>9.52</v>
      </c>
      <c r="G4442" s="4">
        <v>3</v>
      </c>
      <c r="H4442" s="8">
        <v>9.09</v>
      </c>
      <c r="I4442" s="4">
        <v>1</v>
      </c>
    </row>
    <row r="4443" spans="1:9" x14ac:dyDescent="0.2">
      <c r="A4443" s="2">
        <v>1</v>
      </c>
      <c r="B4443" s="1" t="s">
        <v>227</v>
      </c>
      <c r="C4443" s="4">
        <v>8</v>
      </c>
      <c r="D4443" s="8">
        <v>9.52</v>
      </c>
      <c r="E4443" s="4">
        <v>7</v>
      </c>
      <c r="F4443" s="8">
        <v>16.670000000000002</v>
      </c>
      <c r="G4443" s="4">
        <v>1</v>
      </c>
      <c r="H4443" s="8">
        <v>3.03</v>
      </c>
      <c r="I4443" s="4">
        <v>0</v>
      </c>
    </row>
    <row r="4444" spans="1:9" x14ac:dyDescent="0.2">
      <c r="A4444" s="2">
        <v>1</v>
      </c>
      <c r="B4444" s="1" t="s">
        <v>228</v>
      </c>
      <c r="C4444" s="4">
        <v>8</v>
      </c>
      <c r="D4444" s="8">
        <v>9.52</v>
      </c>
      <c r="E4444" s="4">
        <v>8</v>
      </c>
      <c r="F4444" s="8">
        <v>19.05</v>
      </c>
      <c r="G4444" s="4">
        <v>0</v>
      </c>
      <c r="H4444" s="8">
        <v>0</v>
      </c>
      <c r="I4444" s="4">
        <v>0</v>
      </c>
    </row>
    <row r="4445" spans="1:9" x14ac:dyDescent="0.2">
      <c r="A4445" s="2">
        <v>4</v>
      </c>
      <c r="B4445" s="1" t="s">
        <v>213</v>
      </c>
      <c r="C4445" s="4">
        <v>7</v>
      </c>
      <c r="D4445" s="8">
        <v>8.33</v>
      </c>
      <c r="E4445" s="4">
        <v>1</v>
      </c>
      <c r="F4445" s="8">
        <v>2.38</v>
      </c>
      <c r="G4445" s="4">
        <v>6</v>
      </c>
      <c r="H4445" s="8">
        <v>18.18</v>
      </c>
      <c r="I4445" s="4">
        <v>0</v>
      </c>
    </row>
    <row r="4446" spans="1:9" x14ac:dyDescent="0.2">
      <c r="A4446" s="2">
        <v>5</v>
      </c>
      <c r="B4446" s="1" t="s">
        <v>222</v>
      </c>
      <c r="C4446" s="4">
        <v>4</v>
      </c>
      <c r="D4446" s="8">
        <v>4.76</v>
      </c>
      <c r="E4446" s="4">
        <v>4</v>
      </c>
      <c r="F4446" s="8">
        <v>9.52</v>
      </c>
      <c r="G4446" s="4">
        <v>0</v>
      </c>
      <c r="H4446" s="8">
        <v>0</v>
      </c>
      <c r="I4446" s="4">
        <v>0</v>
      </c>
    </row>
    <row r="4447" spans="1:9" x14ac:dyDescent="0.2">
      <c r="A4447" s="2">
        <v>5</v>
      </c>
      <c r="B4447" s="1" t="s">
        <v>223</v>
      </c>
      <c r="C4447" s="4">
        <v>4</v>
      </c>
      <c r="D4447" s="8">
        <v>4.76</v>
      </c>
      <c r="E4447" s="4">
        <v>1</v>
      </c>
      <c r="F4447" s="8">
        <v>2.38</v>
      </c>
      <c r="G4447" s="4">
        <v>3</v>
      </c>
      <c r="H4447" s="8">
        <v>9.09</v>
      </c>
      <c r="I4447" s="4">
        <v>0</v>
      </c>
    </row>
    <row r="4448" spans="1:9" x14ac:dyDescent="0.2">
      <c r="A4448" s="2">
        <v>7</v>
      </c>
      <c r="B4448" s="1" t="s">
        <v>226</v>
      </c>
      <c r="C4448" s="4">
        <v>3</v>
      </c>
      <c r="D4448" s="8">
        <v>3.57</v>
      </c>
      <c r="E4448" s="4">
        <v>1</v>
      </c>
      <c r="F4448" s="8">
        <v>2.38</v>
      </c>
      <c r="G4448" s="4">
        <v>2</v>
      </c>
      <c r="H4448" s="8">
        <v>6.06</v>
      </c>
      <c r="I4448" s="4">
        <v>0</v>
      </c>
    </row>
    <row r="4449" spans="1:9" x14ac:dyDescent="0.2">
      <c r="A4449" s="2">
        <v>7</v>
      </c>
      <c r="B4449" s="1" t="s">
        <v>232</v>
      </c>
      <c r="C4449" s="4">
        <v>3</v>
      </c>
      <c r="D4449" s="8">
        <v>3.57</v>
      </c>
      <c r="E4449" s="4">
        <v>0</v>
      </c>
      <c r="F4449" s="8">
        <v>0</v>
      </c>
      <c r="G4449" s="4">
        <v>0</v>
      </c>
      <c r="H4449" s="8">
        <v>0</v>
      </c>
      <c r="I4449" s="4">
        <v>0</v>
      </c>
    </row>
    <row r="4450" spans="1:9" x14ac:dyDescent="0.2">
      <c r="A4450" s="2">
        <v>7</v>
      </c>
      <c r="B4450" s="1" t="s">
        <v>242</v>
      </c>
      <c r="C4450" s="4">
        <v>3</v>
      </c>
      <c r="D4450" s="8">
        <v>3.57</v>
      </c>
      <c r="E4450" s="4">
        <v>2</v>
      </c>
      <c r="F4450" s="8">
        <v>4.76</v>
      </c>
      <c r="G4450" s="4">
        <v>1</v>
      </c>
      <c r="H4450" s="8">
        <v>3.03</v>
      </c>
      <c r="I4450" s="4">
        <v>0</v>
      </c>
    </row>
    <row r="4451" spans="1:9" x14ac:dyDescent="0.2">
      <c r="A4451" s="2">
        <v>10</v>
      </c>
      <c r="B4451" s="1" t="s">
        <v>264</v>
      </c>
      <c r="C4451" s="4">
        <v>2</v>
      </c>
      <c r="D4451" s="8">
        <v>2.38</v>
      </c>
      <c r="E4451" s="4">
        <v>0</v>
      </c>
      <c r="F4451" s="8">
        <v>0</v>
      </c>
      <c r="G4451" s="4">
        <v>2</v>
      </c>
      <c r="H4451" s="8">
        <v>6.06</v>
      </c>
      <c r="I4451" s="4">
        <v>0</v>
      </c>
    </row>
    <row r="4452" spans="1:9" x14ac:dyDescent="0.2">
      <c r="A4452" s="2">
        <v>10</v>
      </c>
      <c r="B4452" s="1" t="s">
        <v>257</v>
      </c>
      <c r="C4452" s="4">
        <v>2</v>
      </c>
      <c r="D4452" s="8">
        <v>2.38</v>
      </c>
      <c r="E4452" s="4">
        <v>1</v>
      </c>
      <c r="F4452" s="8">
        <v>2.38</v>
      </c>
      <c r="G4452" s="4">
        <v>1</v>
      </c>
      <c r="H4452" s="8">
        <v>3.03</v>
      </c>
      <c r="I4452" s="4">
        <v>0</v>
      </c>
    </row>
    <row r="4453" spans="1:9" x14ac:dyDescent="0.2">
      <c r="A4453" s="2">
        <v>10</v>
      </c>
      <c r="B4453" s="1" t="s">
        <v>265</v>
      </c>
      <c r="C4453" s="4">
        <v>2</v>
      </c>
      <c r="D4453" s="8">
        <v>2.38</v>
      </c>
      <c r="E4453" s="4">
        <v>0</v>
      </c>
      <c r="F4453" s="8">
        <v>0</v>
      </c>
      <c r="G4453" s="4">
        <v>2</v>
      </c>
      <c r="H4453" s="8">
        <v>6.06</v>
      </c>
      <c r="I4453" s="4">
        <v>0</v>
      </c>
    </row>
    <row r="4454" spans="1:9" x14ac:dyDescent="0.2">
      <c r="A4454" s="2">
        <v>10</v>
      </c>
      <c r="B4454" s="1" t="s">
        <v>255</v>
      </c>
      <c r="C4454" s="4">
        <v>2</v>
      </c>
      <c r="D4454" s="8">
        <v>2.38</v>
      </c>
      <c r="E4454" s="4">
        <v>0</v>
      </c>
      <c r="F4454" s="8">
        <v>0</v>
      </c>
      <c r="G4454" s="4">
        <v>1</v>
      </c>
      <c r="H4454" s="8">
        <v>3.03</v>
      </c>
      <c r="I4454" s="4">
        <v>0</v>
      </c>
    </row>
    <row r="4455" spans="1:9" x14ac:dyDescent="0.2">
      <c r="A4455" s="2">
        <v>10</v>
      </c>
      <c r="B4455" s="1" t="s">
        <v>217</v>
      </c>
      <c r="C4455" s="4">
        <v>2</v>
      </c>
      <c r="D4455" s="8">
        <v>2.38</v>
      </c>
      <c r="E4455" s="4">
        <v>0</v>
      </c>
      <c r="F4455" s="8">
        <v>0</v>
      </c>
      <c r="G4455" s="4">
        <v>2</v>
      </c>
      <c r="H4455" s="8">
        <v>6.06</v>
      </c>
      <c r="I4455" s="4">
        <v>0</v>
      </c>
    </row>
    <row r="4456" spans="1:9" x14ac:dyDescent="0.2">
      <c r="A4456" s="2">
        <v>10</v>
      </c>
      <c r="B4456" s="1" t="s">
        <v>220</v>
      </c>
      <c r="C4456" s="4">
        <v>2</v>
      </c>
      <c r="D4456" s="8">
        <v>2.38</v>
      </c>
      <c r="E4456" s="4">
        <v>1</v>
      </c>
      <c r="F4456" s="8">
        <v>2.38</v>
      </c>
      <c r="G4456" s="4">
        <v>1</v>
      </c>
      <c r="H4456" s="8">
        <v>3.03</v>
      </c>
      <c r="I4456" s="4">
        <v>0</v>
      </c>
    </row>
    <row r="4457" spans="1:9" x14ac:dyDescent="0.2">
      <c r="A4457" s="2">
        <v>10</v>
      </c>
      <c r="B4457" s="1" t="s">
        <v>239</v>
      </c>
      <c r="C4457" s="4">
        <v>2</v>
      </c>
      <c r="D4457" s="8">
        <v>2.38</v>
      </c>
      <c r="E4457" s="4">
        <v>0</v>
      </c>
      <c r="F4457" s="8">
        <v>0</v>
      </c>
      <c r="G4457" s="4">
        <v>1</v>
      </c>
      <c r="H4457" s="8">
        <v>3.03</v>
      </c>
      <c r="I4457" s="4">
        <v>0</v>
      </c>
    </row>
    <row r="4458" spans="1:9" x14ac:dyDescent="0.2">
      <c r="A4458" s="2">
        <v>10</v>
      </c>
      <c r="B4458" s="1" t="s">
        <v>230</v>
      </c>
      <c r="C4458" s="4">
        <v>2</v>
      </c>
      <c r="D4458" s="8">
        <v>2.38</v>
      </c>
      <c r="E4458" s="4">
        <v>1</v>
      </c>
      <c r="F4458" s="8">
        <v>2.38</v>
      </c>
      <c r="G4458" s="4">
        <v>0</v>
      </c>
      <c r="H4458" s="8">
        <v>0</v>
      </c>
      <c r="I4458" s="4">
        <v>0</v>
      </c>
    </row>
    <row r="4459" spans="1:9" x14ac:dyDescent="0.2">
      <c r="A4459" s="2">
        <v>10</v>
      </c>
      <c r="B4459" s="1" t="s">
        <v>240</v>
      </c>
      <c r="C4459" s="4">
        <v>2</v>
      </c>
      <c r="D4459" s="8">
        <v>2.38</v>
      </c>
      <c r="E4459" s="4">
        <v>2</v>
      </c>
      <c r="F4459" s="8">
        <v>4.76</v>
      </c>
      <c r="G4459" s="4">
        <v>0</v>
      </c>
      <c r="H4459" s="8">
        <v>0</v>
      </c>
      <c r="I4459" s="4">
        <v>0</v>
      </c>
    </row>
    <row r="4460" spans="1:9" x14ac:dyDescent="0.2">
      <c r="A4460" s="2">
        <v>19</v>
      </c>
      <c r="B4460" s="1" t="s">
        <v>273</v>
      </c>
      <c r="C4460" s="4">
        <v>1</v>
      </c>
      <c r="D4460" s="8">
        <v>1.19</v>
      </c>
      <c r="E4460" s="4">
        <v>0</v>
      </c>
      <c r="F4460" s="8">
        <v>0</v>
      </c>
      <c r="G4460" s="4">
        <v>1</v>
      </c>
      <c r="H4460" s="8">
        <v>3.03</v>
      </c>
      <c r="I4460" s="4">
        <v>0</v>
      </c>
    </row>
    <row r="4461" spans="1:9" x14ac:dyDescent="0.2">
      <c r="A4461" s="2">
        <v>19</v>
      </c>
      <c r="B4461" s="1" t="s">
        <v>214</v>
      </c>
      <c r="C4461" s="4">
        <v>1</v>
      </c>
      <c r="D4461" s="8">
        <v>1.19</v>
      </c>
      <c r="E4461" s="4">
        <v>1</v>
      </c>
      <c r="F4461" s="8">
        <v>2.38</v>
      </c>
      <c r="G4461" s="4">
        <v>0</v>
      </c>
      <c r="H4461" s="8">
        <v>0</v>
      </c>
      <c r="I4461" s="4">
        <v>0</v>
      </c>
    </row>
    <row r="4462" spans="1:9" x14ac:dyDescent="0.2">
      <c r="A4462" s="2">
        <v>19</v>
      </c>
      <c r="B4462" s="1" t="s">
        <v>215</v>
      </c>
      <c r="C4462" s="4">
        <v>1</v>
      </c>
      <c r="D4462" s="8">
        <v>1.19</v>
      </c>
      <c r="E4462" s="4">
        <v>0</v>
      </c>
      <c r="F4462" s="8">
        <v>0</v>
      </c>
      <c r="G4462" s="4">
        <v>1</v>
      </c>
      <c r="H4462" s="8">
        <v>3.03</v>
      </c>
      <c r="I4462" s="4">
        <v>0</v>
      </c>
    </row>
    <row r="4463" spans="1:9" x14ac:dyDescent="0.2">
      <c r="A4463" s="2">
        <v>19</v>
      </c>
      <c r="B4463" s="1" t="s">
        <v>241</v>
      </c>
      <c r="C4463" s="4">
        <v>1</v>
      </c>
      <c r="D4463" s="8">
        <v>1.19</v>
      </c>
      <c r="E4463" s="4">
        <v>1</v>
      </c>
      <c r="F4463" s="8">
        <v>2.38</v>
      </c>
      <c r="G4463" s="4">
        <v>0</v>
      </c>
      <c r="H4463" s="8">
        <v>0</v>
      </c>
      <c r="I4463" s="4">
        <v>0</v>
      </c>
    </row>
    <row r="4464" spans="1:9" x14ac:dyDescent="0.2">
      <c r="A4464" s="2">
        <v>19</v>
      </c>
      <c r="B4464" s="1" t="s">
        <v>244</v>
      </c>
      <c r="C4464" s="4">
        <v>1</v>
      </c>
      <c r="D4464" s="8">
        <v>1.19</v>
      </c>
      <c r="E4464" s="4">
        <v>0</v>
      </c>
      <c r="F4464" s="8">
        <v>0</v>
      </c>
      <c r="G4464" s="4">
        <v>1</v>
      </c>
      <c r="H4464" s="8">
        <v>3.03</v>
      </c>
      <c r="I4464" s="4">
        <v>0</v>
      </c>
    </row>
    <row r="4465" spans="1:9" x14ac:dyDescent="0.2">
      <c r="A4465" s="2">
        <v>19</v>
      </c>
      <c r="B4465" s="1" t="s">
        <v>263</v>
      </c>
      <c r="C4465" s="4">
        <v>1</v>
      </c>
      <c r="D4465" s="8">
        <v>1.19</v>
      </c>
      <c r="E4465" s="4">
        <v>0</v>
      </c>
      <c r="F4465" s="8">
        <v>0</v>
      </c>
      <c r="G4465" s="4">
        <v>1</v>
      </c>
      <c r="H4465" s="8">
        <v>3.03</v>
      </c>
      <c r="I4465" s="4">
        <v>0</v>
      </c>
    </row>
    <row r="4466" spans="1:9" x14ac:dyDescent="0.2">
      <c r="A4466" s="2">
        <v>19</v>
      </c>
      <c r="B4466" s="1" t="s">
        <v>259</v>
      </c>
      <c r="C4466" s="4">
        <v>1</v>
      </c>
      <c r="D4466" s="8">
        <v>1.19</v>
      </c>
      <c r="E4466" s="4">
        <v>1</v>
      </c>
      <c r="F4466" s="8">
        <v>2.38</v>
      </c>
      <c r="G4466" s="4">
        <v>0</v>
      </c>
      <c r="H4466" s="8">
        <v>0</v>
      </c>
      <c r="I4466" s="4">
        <v>0</v>
      </c>
    </row>
    <row r="4467" spans="1:9" x14ac:dyDescent="0.2">
      <c r="A4467" s="2">
        <v>19</v>
      </c>
      <c r="B4467" s="1" t="s">
        <v>254</v>
      </c>
      <c r="C4467" s="4">
        <v>1</v>
      </c>
      <c r="D4467" s="8">
        <v>1.19</v>
      </c>
      <c r="E4467" s="4">
        <v>0</v>
      </c>
      <c r="F4467" s="8">
        <v>0</v>
      </c>
      <c r="G4467" s="4">
        <v>1</v>
      </c>
      <c r="H4467" s="8">
        <v>3.03</v>
      </c>
      <c r="I4467" s="4">
        <v>0</v>
      </c>
    </row>
    <row r="4468" spans="1:9" x14ac:dyDescent="0.2">
      <c r="A4468" s="2">
        <v>19</v>
      </c>
      <c r="B4468" s="1" t="s">
        <v>245</v>
      </c>
      <c r="C4468" s="4">
        <v>1</v>
      </c>
      <c r="D4468" s="8">
        <v>1.19</v>
      </c>
      <c r="E4468" s="4">
        <v>1</v>
      </c>
      <c r="F4468" s="8">
        <v>2.38</v>
      </c>
      <c r="G4468" s="4">
        <v>0</v>
      </c>
      <c r="H4468" s="8">
        <v>0</v>
      </c>
      <c r="I4468" s="4">
        <v>0</v>
      </c>
    </row>
    <row r="4469" spans="1:9" x14ac:dyDescent="0.2">
      <c r="A4469" s="2">
        <v>19</v>
      </c>
      <c r="B4469" s="1" t="s">
        <v>248</v>
      </c>
      <c r="C4469" s="4">
        <v>1</v>
      </c>
      <c r="D4469" s="8">
        <v>1.19</v>
      </c>
      <c r="E4469" s="4">
        <v>1</v>
      </c>
      <c r="F4469" s="8">
        <v>2.38</v>
      </c>
      <c r="G4469" s="4">
        <v>0</v>
      </c>
      <c r="H4469" s="8">
        <v>0</v>
      </c>
      <c r="I4469" s="4">
        <v>0</v>
      </c>
    </row>
    <row r="4470" spans="1:9" x14ac:dyDescent="0.2">
      <c r="A4470" s="2">
        <v>19</v>
      </c>
      <c r="B4470" s="1" t="s">
        <v>261</v>
      </c>
      <c r="C4470" s="4">
        <v>1</v>
      </c>
      <c r="D4470" s="8">
        <v>1.19</v>
      </c>
      <c r="E4470" s="4">
        <v>0</v>
      </c>
      <c r="F4470" s="8">
        <v>0</v>
      </c>
      <c r="G4470" s="4">
        <v>0</v>
      </c>
      <c r="H4470" s="8">
        <v>0</v>
      </c>
      <c r="I4470" s="4">
        <v>0</v>
      </c>
    </row>
    <row r="4471" spans="1:9" x14ac:dyDescent="0.2">
      <c r="A4471" s="2">
        <v>19</v>
      </c>
      <c r="B4471" s="1" t="s">
        <v>216</v>
      </c>
      <c r="C4471" s="4">
        <v>1</v>
      </c>
      <c r="D4471" s="8">
        <v>1.19</v>
      </c>
      <c r="E4471" s="4">
        <v>1</v>
      </c>
      <c r="F4471" s="8">
        <v>2.38</v>
      </c>
      <c r="G4471" s="4">
        <v>0</v>
      </c>
      <c r="H4471" s="8">
        <v>0</v>
      </c>
      <c r="I4471" s="4">
        <v>0</v>
      </c>
    </row>
    <row r="4472" spans="1:9" x14ac:dyDescent="0.2">
      <c r="A4472" s="2">
        <v>19</v>
      </c>
      <c r="B4472" s="1" t="s">
        <v>236</v>
      </c>
      <c r="C4472" s="4">
        <v>1</v>
      </c>
      <c r="D4472" s="8">
        <v>1.19</v>
      </c>
      <c r="E4472" s="4">
        <v>1</v>
      </c>
      <c r="F4472" s="8">
        <v>2.38</v>
      </c>
      <c r="G4472" s="4">
        <v>0</v>
      </c>
      <c r="H4472" s="8">
        <v>0</v>
      </c>
      <c r="I4472" s="4">
        <v>0</v>
      </c>
    </row>
    <row r="4473" spans="1:9" x14ac:dyDescent="0.2">
      <c r="A4473" s="2">
        <v>19</v>
      </c>
      <c r="B4473" s="1" t="s">
        <v>233</v>
      </c>
      <c r="C4473" s="4">
        <v>1</v>
      </c>
      <c r="D4473" s="8">
        <v>1.19</v>
      </c>
      <c r="E4473" s="4">
        <v>0</v>
      </c>
      <c r="F4473" s="8">
        <v>0</v>
      </c>
      <c r="G4473" s="4">
        <v>1</v>
      </c>
      <c r="H4473" s="8">
        <v>3.03</v>
      </c>
      <c r="I4473" s="4">
        <v>0</v>
      </c>
    </row>
    <row r="4474" spans="1:9" x14ac:dyDescent="0.2">
      <c r="A4474" s="2">
        <v>19</v>
      </c>
      <c r="B4474" s="1" t="s">
        <v>229</v>
      </c>
      <c r="C4474" s="4">
        <v>1</v>
      </c>
      <c r="D4474" s="8">
        <v>1.19</v>
      </c>
      <c r="E4474" s="4">
        <v>1</v>
      </c>
      <c r="F4474" s="8">
        <v>2.38</v>
      </c>
      <c r="G4474" s="4">
        <v>0</v>
      </c>
      <c r="H4474" s="8">
        <v>0</v>
      </c>
      <c r="I4474" s="4">
        <v>0</v>
      </c>
    </row>
    <row r="4475" spans="1:9" x14ac:dyDescent="0.2">
      <c r="A4475" s="2">
        <v>19</v>
      </c>
      <c r="B4475" s="1" t="s">
        <v>247</v>
      </c>
      <c r="C4475" s="4">
        <v>1</v>
      </c>
      <c r="D4475" s="8">
        <v>1.19</v>
      </c>
      <c r="E4475" s="4">
        <v>0</v>
      </c>
      <c r="F4475" s="8">
        <v>0</v>
      </c>
      <c r="G4475" s="4">
        <v>0</v>
      </c>
      <c r="H4475" s="8">
        <v>0</v>
      </c>
      <c r="I4475" s="4">
        <v>0</v>
      </c>
    </row>
    <row r="4476" spans="1:9" x14ac:dyDescent="0.2">
      <c r="A4476" s="2">
        <v>19</v>
      </c>
      <c r="B4476" s="1" t="s">
        <v>231</v>
      </c>
      <c r="C4476" s="4">
        <v>1</v>
      </c>
      <c r="D4476" s="8">
        <v>1.19</v>
      </c>
      <c r="E4476" s="4">
        <v>1</v>
      </c>
      <c r="F4476" s="8">
        <v>2.38</v>
      </c>
      <c r="G4476" s="4">
        <v>0</v>
      </c>
      <c r="H4476" s="8">
        <v>0</v>
      </c>
      <c r="I4476" s="4">
        <v>0</v>
      </c>
    </row>
    <row r="4477" spans="1:9" x14ac:dyDescent="0.2">
      <c r="A4477" s="2">
        <v>19</v>
      </c>
      <c r="B4477" s="1" t="s">
        <v>249</v>
      </c>
      <c r="C4477" s="4">
        <v>1</v>
      </c>
      <c r="D4477" s="8">
        <v>1.19</v>
      </c>
      <c r="E4477" s="4">
        <v>0</v>
      </c>
      <c r="F4477" s="8">
        <v>0</v>
      </c>
      <c r="G4477" s="4">
        <v>1</v>
      </c>
      <c r="H4477" s="8">
        <v>3.03</v>
      </c>
      <c r="I4477" s="4">
        <v>0</v>
      </c>
    </row>
    <row r="4478" spans="1:9" x14ac:dyDescent="0.2">
      <c r="A4478" s="1"/>
      <c r="C4478" s="4"/>
      <c r="D4478" s="8"/>
      <c r="E4478" s="4"/>
      <c r="F4478" s="8"/>
      <c r="G4478" s="4"/>
      <c r="H4478" s="8"/>
      <c r="I4478" s="4"/>
    </row>
    <row r="4479" spans="1:9" x14ac:dyDescent="0.2">
      <c r="A4479" s="1" t="s">
        <v>175</v>
      </c>
      <c r="C4479" s="4"/>
      <c r="D4479" s="8"/>
      <c r="E4479" s="4"/>
      <c r="F4479" s="8"/>
      <c r="G4479" s="4"/>
      <c r="H4479" s="8"/>
      <c r="I4479" s="4"/>
    </row>
    <row r="4480" spans="1:9" x14ac:dyDescent="0.2">
      <c r="A4480" s="2">
        <v>1</v>
      </c>
      <c r="B4480" s="1" t="s">
        <v>228</v>
      </c>
      <c r="C4480" s="4">
        <v>26</v>
      </c>
      <c r="D4480" s="8">
        <v>12.15</v>
      </c>
      <c r="E4480" s="4">
        <v>25</v>
      </c>
      <c r="F4480" s="8">
        <v>21.74</v>
      </c>
      <c r="G4480" s="4">
        <v>1</v>
      </c>
      <c r="H4480" s="8">
        <v>1.1399999999999999</v>
      </c>
      <c r="I4480" s="4">
        <v>0</v>
      </c>
    </row>
    <row r="4481" spans="1:9" x14ac:dyDescent="0.2">
      <c r="A4481" s="2">
        <v>2</v>
      </c>
      <c r="B4481" s="1" t="s">
        <v>223</v>
      </c>
      <c r="C4481" s="4">
        <v>24</v>
      </c>
      <c r="D4481" s="8">
        <v>11.21</v>
      </c>
      <c r="E4481" s="4">
        <v>8</v>
      </c>
      <c r="F4481" s="8">
        <v>6.96</v>
      </c>
      <c r="G4481" s="4">
        <v>16</v>
      </c>
      <c r="H4481" s="8">
        <v>18.18</v>
      </c>
      <c r="I4481" s="4">
        <v>0</v>
      </c>
    </row>
    <row r="4482" spans="1:9" x14ac:dyDescent="0.2">
      <c r="A4482" s="2">
        <v>3</v>
      </c>
      <c r="B4482" s="1" t="s">
        <v>227</v>
      </c>
      <c r="C4482" s="4">
        <v>22</v>
      </c>
      <c r="D4482" s="8">
        <v>10.28</v>
      </c>
      <c r="E4482" s="4">
        <v>19</v>
      </c>
      <c r="F4482" s="8">
        <v>16.52</v>
      </c>
      <c r="G4482" s="4">
        <v>3</v>
      </c>
      <c r="H4482" s="8">
        <v>3.41</v>
      </c>
      <c r="I4482" s="4">
        <v>0</v>
      </c>
    </row>
    <row r="4483" spans="1:9" x14ac:dyDescent="0.2">
      <c r="A4483" s="2">
        <v>4</v>
      </c>
      <c r="B4483" s="1" t="s">
        <v>213</v>
      </c>
      <c r="C4483" s="4">
        <v>14</v>
      </c>
      <c r="D4483" s="8">
        <v>6.54</v>
      </c>
      <c r="E4483" s="4">
        <v>2</v>
      </c>
      <c r="F4483" s="8">
        <v>1.74</v>
      </c>
      <c r="G4483" s="4">
        <v>12</v>
      </c>
      <c r="H4483" s="8">
        <v>13.64</v>
      </c>
      <c r="I4483" s="4">
        <v>0</v>
      </c>
    </row>
    <row r="4484" spans="1:9" x14ac:dyDescent="0.2">
      <c r="A4484" s="2">
        <v>4</v>
      </c>
      <c r="B4484" s="1" t="s">
        <v>221</v>
      </c>
      <c r="C4484" s="4">
        <v>14</v>
      </c>
      <c r="D4484" s="8">
        <v>6.54</v>
      </c>
      <c r="E4484" s="4">
        <v>7</v>
      </c>
      <c r="F4484" s="8">
        <v>6.09</v>
      </c>
      <c r="G4484" s="4">
        <v>5</v>
      </c>
      <c r="H4484" s="8">
        <v>5.68</v>
      </c>
      <c r="I4484" s="4">
        <v>2</v>
      </c>
    </row>
    <row r="4485" spans="1:9" x14ac:dyDescent="0.2">
      <c r="A4485" s="2">
        <v>6</v>
      </c>
      <c r="B4485" s="1" t="s">
        <v>230</v>
      </c>
      <c r="C4485" s="4">
        <v>12</v>
      </c>
      <c r="D4485" s="8">
        <v>5.61</v>
      </c>
      <c r="E4485" s="4">
        <v>7</v>
      </c>
      <c r="F4485" s="8">
        <v>6.09</v>
      </c>
      <c r="G4485" s="4">
        <v>0</v>
      </c>
      <c r="H4485" s="8">
        <v>0</v>
      </c>
      <c r="I4485" s="4">
        <v>0</v>
      </c>
    </row>
    <row r="4486" spans="1:9" x14ac:dyDescent="0.2">
      <c r="A4486" s="2">
        <v>7</v>
      </c>
      <c r="B4486" s="1" t="s">
        <v>214</v>
      </c>
      <c r="C4486" s="4">
        <v>9</v>
      </c>
      <c r="D4486" s="8">
        <v>4.21</v>
      </c>
      <c r="E4486" s="4">
        <v>7</v>
      </c>
      <c r="F4486" s="8">
        <v>6.09</v>
      </c>
      <c r="G4486" s="4">
        <v>2</v>
      </c>
      <c r="H4486" s="8">
        <v>2.27</v>
      </c>
      <c r="I4486" s="4">
        <v>0</v>
      </c>
    </row>
    <row r="4487" spans="1:9" x14ac:dyDescent="0.2">
      <c r="A4487" s="2">
        <v>8</v>
      </c>
      <c r="B4487" s="1" t="s">
        <v>224</v>
      </c>
      <c r="C4487" s="4">
        <v>7</v>
      </c>
      <c r="D4487" s="8">
        <v>3.27</v>
      </c>
      <c r="E4487" s="4">
        <v>5</v>
      </c>
      <c r="F4487" s="8">
        <v>4.3499999999999996</v>
      </c>
      <c r="G4487" s="4">
        <v>2</v>
      </c>
      <c r="H4487" s="8">
        <v>2.27</v>
      </c>
      <c r="I4487" s="4">
        <v>0</v>
      </c>
    </row>
    <row r="4488" spans="1:9" x14ac:dyDescent="0.2">
      <c r="A4488" s="2">
        <v>9</v>
      </c>
      <c r="B4488" s="1" t="s">
        <v>220</v>
      </c>
      <c r="C4488" s="4">
        <v>6</v>
      </c>
      <c r="D4488" s="8">
        <v>2.8</v>
      </c>
      <c r="E4488" s="4">
        <v>3</v>
      </c>
      <c r="F4488" s="8">
        <v>2.61</v>
      </c>
      <c r="G4488" s="4">
        <v>3</v>
      </c>
      <c r="H4488" s="8">
        <v>3.41</v>
      </c>
      <c r="I4488" s="4">
        <v>0</v>
      </c>
    </row>
    <row r="4489" spans="1:9" x14ac:dyDescent="0.2">
      <c r="A4489" s="2">
        <v>9</v>
      </c>
      <c r="B4489" s="1" t="s">
        <v>222</v>
      </c>
      <c r="C4489" s="4">
        <v>6</v>
      </c>
      <c r="D4489" s="8">
        <v>2.8</v>
      </c>
      <c r="E4489" s="4">
        <v>4</v>
      </c>
      <c r="F4489" s="8">
        <v>3.48</v>
      </c>
      <c r="G4489" s="4">
        <v>2</v>
      </c>
      <c r="H4489" s="8">
        <v>2.27</v>
      </c>
      <c r="I4489" s="4">
        <v>0</v>
      </c>
    </row>
    <row r="4490" spans="1:9" x14ac:dyDescent="0.2">
      <c r="A4490" s="2">
        <v>9</v>
      </c>
      <c r="B4490" s="1" t="s">
        <v>231</v>
      </c>
      <c r="C4490" s="4">
        <v>6</v>
      </c>
      <c r="D4490" s="8">
        <v>2.8</v>
      </c>
      <c r="E4490" s="4">
        <v>6</v>
      </c>
      <c r="F4490" s="8">
        <v>5.22</v>
      </c>
      <c r="G4490" s="4">
        <v>0</v>
      </c>
      <c r="H4490" s="8">
        <v>0</v>
      </c>
      <c r="I4490" s="4">
        <v>0</v>
      </c>
    </row>
    <row r="4491" spans="1:9" x14ac:dyDescent="0.2">
      <c r="A4491" s="2">
        <v>12</v>
      </c>
      <c r="B4491" s="1" t="s">
        <v>248</v>
      </c>
      <c r="C4491" s="4">
        <v>5</v>
      </c>
      <c r="D4491" s="8">
        <v>2.34</v>
      </c>
      <c r="E4491" s="4">
        <v>2</v>
      </c>
      <c r="F4491" s="8">
        <v>1.74</v>
      </c>
      <c r="G4491" s="4">
        <v>3</v>
      </c>
      <c r="H4491" s="8">
        <v>3.41</v>
      </c>
      <c r="I4491" s="4">
        <v>0</v>
      </c>
    </row>
    <row r="4492" spans="1:9" x14ac:dyDescent="0.2">
      <c r="A4492" s="2">
        <v>13</v>
      </c>
      <c r="B4492" s="1" t="s">
        <v>217</v>
      </c>
      <c r="C4492" s="4">
        <v>4</v>
      </c>
      <c r="D4492" s="8">
        <v>1.87</v>
      </c>
      <c r="E4492" s="4">
        <v>1</v>
      </c>
      <c r="F4492" s="8">
        <v>0.87</v>
      </c>
      <c r="G4492" s="4">
        <v>3</v>
      </c>
      <c r="H4492" s="8">
        <v>3.41</v>
      </c>
      <c r="I4492" s="4">
        <v>0</v>
      </c>
    </row>
    <row r="4493" spans="1:9" x14ac:dyDescent="0.2">
      <c r="A4493" s="2">
        <v>13</v>
      </c>
      <c r="B4493" s="1" t="s">
        <v>225</v>
      </c>
      <c r="C4493" s="4">
        <v>4</v>
      </c>
      <c r="D4493" s="8">
        <v>1.87</v>
      </c>
      <c r="E4493" s="4">
        <v>3</v>
      </c>
      <c r="F4493" s="8">
        <v>2.61</v>
      </c>
      <c r="G4493" s="4">
        <v>1</v>
      </c>
      <c r="H4493" s="8">
        <v>1.1399999999999999</v>
      </c>
      <c r="I4493" s="4">
        <v>0</v>
      </c>
    </row>
    <row r="4494" spans="1:9" x14ac:dyDescent="0.2">
      <c r="A4494" s="2">
        <v>15</v>
      </c>
      <c r="B4494" s="1" t="s">
        <v>215</v>
      </c>
      <c r="C4494" s="4">
        <v>3</v>
      </c>
      <c r="D4494" s="8">
        <v>1.4</v>
      </c>
      <c r="E4494" s="4">
        <v>1</v>
      </c>
      <c r="F4494" s="8">
        <v>0.87</v>
      </c>
      <c r="G4494" s="4">
        <v>2</v>
      </c>
      <c r="H4494" s="8">
        <v>2.27</v>
      </c>
      <c r="I4494" s="4">
        <v>0</v>
      </c>
    </row>
    <row r="4495" spans="1:9" x14ac:dyDescent="0.2">
      <c r="A4495" s="2">
        <v>15</v>
      </c>
      <c r="B4495" s="1" t="s">
        <v>241</v>
      </c>
      <c r="C4495" s="4">
        <v>3</v>
      </c>
      <c r="D4495" s="8">
        <v>1.4</v>
      </c>
      <c r="E4495" s="4">
        <v>0</v>
      </c>
      <c r="F4495" s="8">
        <v>0</v>
      </c>
      <c r="G4495" s="4">
        <v>3</v>
      </c>
      <c r="H4495" s="8">
        <v>3.41</v>
      </c>
      <c r="I4495" s="4">
        <v>0</v>
      </c>
    </row>
    <row r="4496" spans="1:9" x14ac:dyDescent="0.2">
      <c r="A4496" s="2">
        <v>15</v>
      </c>
      <c r="B4496" s="1" t="s">
        <v>219</v>
      </c>
      <c r="C4496" s="4">
        <v>3</v>
      </c>
      <c r="D4496" s="8">
        <v>1.4</v>
      </c>
      <c r="E4496" s="4">
        <v>0</v>
      </c>
      <c r="F4496" s="8">
        <v>0</v>
      </c>
      <c r="G4496" s="4">
        <v>3</v>
      </c>
      <c r="H4496" s="8">
        <v>3.41</v>
      </c>
      <c r="I4496" s="4">
        <v>0</v>
      </c>
    </row>
    <row r="4497" spans="1:9" x14ac:dyDescent="0.2">
      <c r="A4497" s="2">
        <v>15</v>
      </c>
      <c r="B4497" s="1" t="s">
        <v>226</v>
      </c>
      <c r="C4497" s="4">
        <v>3</v>
      </c>
      <c r="D4497" s="8">
        <v>1.4</v>
      </c>
      <c r="E4497" s="4">
        <v>1</v>
      </c>
      <c r="F4497" s="8">
        <v>0.87</v>
      </c>
      <c r="G4497" s="4">
        <v>2</v>
      </c>
      <c r="H4497" s="8">
        <v>2.27</v>
      </c>
      <c r="I4497" s="4">
        <v>0</v>
      </c>
    </row>
    <row r="4498" spans="1:9" x14ac:dyDescent="0.2">
      <c r="A4498" s="2">
        <v>15</v>
      </c>
      <c r="B4498" s="1" t="s">
        <v>243</v>
      </c>
      <c r="C4498" s="4">
        <v>3</v>
      </c>
      <c r="D4498" s="8">
        <v>1.4</v>
      </c>
      <c r="E4498" s="4">
        <v>3</v>
      </c>
      <c r="F4498" s="8">
        <v>2.61</v>
      </c>
      <c r="G4498" s="4">
        <v>0</v>
      </c>
      <c r="H4498" s="8">
        <v>0</v>
      </c>
      <c r="I4498" s="4">
        <v>0</v>
      </c>
    </row>
    <row r="4499" spans="1:9" x14ac:dyDescent="0.2">
      <c r="A4499" s="2">
        <v>15</v>
      </c>
      <c r="B4499" s="1" t="s">
        <v>232</v>
      </c>
      <c r="C4499" s="4">
        <v>3</v>
      </c>
      <c r="D4499" s="8">
        <v>1.4</v>
      </c>
      <c r="E4499" s="4">
        <v>0</v>
      </c>
      <c r="F4499" s="8">
        <v>0</v>
      </c>
      <c r="G4499" s="4">
        <v>1</v>
      </c>
      <c r="H4499" s="8">
        <v>1.1399999999999999</v>
      </c>
      <c r="I4499" s="4">
        <v>0</v>
      </c>
    </row>
    <row r="4500" spans="1:9" x14ac:dyDescent="0.2">
      <c r="A4500" s="2">
        <v>15</v>
      </c>
      <c r="B4500" s="1" t="s">
        <v>234</v>
      </c>
      <c r="C4500" s="4">
        <v>3</v>
      </c>
      <c r="D4500" s="8">
        <v>1.4</v>
      </c>
      <c r="E4500" s="4">
        <v>0</v>
      </c>
      <c r="F4500" s="8">
        <v>0</v>
      </c>
      <c r="G4500" s="4">
        <v>2</v>
      </c>
      <c r="H4500" s="8">
        <v>2.27</v>
      </c>
      <c r="I4500" s="4">
        <v>1</v>
      </c>
    </row>
    <row r="4501" spans="1:9" x14ac:dyDescent="0.2">
      <c r="A4501" s="1"/>
      <c r="C4501" s="4"/>
      <c r="D4501" s="8"/>
      <c r="E4501" s="4"/>
      <c r="F4501" s="8"/>
      <c r="G4501" s="4"/>
      <c r="H4501" s="8"/>
      <c r="I4501" s="4"/>
    </row>
    <row r="4502" spans="1:9" x14ac:dyDescent="0.2">
      <c r="A4502" s="1" t="s">
        <v>176</v>
      </c>
      <c r="C4502" s="4"/>
      <c r="D4502" s="8"/>
      <c r="E4502" s="4"/>
      <c r="F4502" s="8"/>
      <c r="G4502" s="4"/>
      <c r="H4502" s="8"/>
      <c r="I4502" s="4"/>
    </row>
    <row r="4503" spans="1:9" x14ac:dyDescent="0.2">
      <c r="A4503" s="2">
        <v>1</v>
      </c>
      <c r="B4503" s="1" t="s">
        <v>227</v>
      </c>
      <c r="C4503" s="4">
        <v>30</v>
      </c>
      <c r="D4503" s="8">
        <v>15.15</v>
      </c>
      <c r="E4503" s="4">
        <v>28</v>
      </c>
      <c r="F4503" s="8">
        <v>26.92</v>
      </c>
      <c r="G4503" s="4">
        <v>2</v>
      </c>
      <c r="H4503" s="8">
        <v>2.27</v>
      </c>
      <c r="I4503" s="4">
        <v>0</v>
      </c>
    </row>
    <row r="4504" spans="1:9" x14ac:dyDescent="0.2">
      <c r="A4504" s="2">
        <v>2</v>
      </c>
      <c r="B4504" s="1" t="s">
        <v>228</v>
      </c>
      <c r="C4504" s="4">
        <v>19</v>
      </c>
      <c r="D4504" s="8">
        <v>9.6</v>
      </c>
      <c r="E4504" s="4">
        <v>19</v>
      </c>
      <c r="F4504" s="8">
        <v>18.27</v>
      </c>
      <c r="G4504" s="4">
        <v>0</v>
      </c>
      <c r="H4504" s="8">
        <v>0</v>
      </c>
      <c r="I4504" s="4">
        <v>0</v>
      </c>
    </row>
    <row r="4505" spans="1:9" x14ac:dyDescent="0.2">
      <c r="A4505" s="2">
        <v>3</v>
      </c>
      <c r="B4505" s="1" t="s">
        <v>223</v>
      </c>
      <c r="C4505" s="4">
        <v>18</v>
      </c>
      <c r="D4505" s="8">
        <v>9.09</v>
      </c>
      <c r="E4505" s="4">
        <v>5</v>
      </c>
      <c r="F4505" s="8">
        <v>4.8099999999999996</v>
      </c>
      <c r="G4505" s="4">
        <v>13</v>
      </c>
      <c r="H4505" s="8">
        <v>14.77</v>
      </c>
      <c r="I4505" s="4">
        <v>0</v>
      </c>
    </row>
    <row r="4506" spans="1:9" x14ac:dyDescent="0.2">
      <c r="A4506" s="2">
        <v>4</v>
      </c>
      <c r="B4506" s="1" t="s">
        <v>224</v>
      </c>
      <c r="C4506" s="4">
        <v>15</v>
      </c>
      <c r="D4506" s="8">
        <v>7.58</v>
      </c>
      <c r="E4506" s="4">
        <v>11</v>
      </c>
      <c r="F4506" s="8">
        <v>10.58</v>
      </c>
      <c r="G4506" s="4">
        <v>4</v>
      </c>
      <c r="H4506" s="8">
        <v>4.55</v>
      </c>
      <c r="I4506" s="4">
        <v>0</v>
      </c>
    </row>
    <row r="4507" spans="1:9" x14ac:dyDescent="0.2">
      <c r="A4507" s="2">
        <v>5</v>
      </c>
      <c r="B4507" s="1" t="s">
        <v>222</v>
      </c>
      <c r="C4507" s="4">
        <v>10</v>
      </c>
      <c r="D4507" s="8">
        <v>5.05</v>
      </c>
      <c r="E4507" s="4">
        <v>4</v>
      </c>
      <c r="F4507" s="8">
        <v>3.85</v>
      </c>
      <c r="G4507" s="4">
        <v>6</v>
      </c>
      <c r="H4507" s="8">
        <v>6.82</v>
      </c>
      <c r="I4507" s="4">
        <v>0</v>
      </c>
    </row>
    <row r="4508" spans="1:9" x14ac:dyDescent="0.2">
      <c r="A4508" s="2">
        <v>6</v>
      </c>
      <c r="B4508" s="1" t="s">
        <v>213</v>
      </c>
      <c r="C4508" s="4">
        <v>9</v>
      </c>
      <c r="D4508" s="8">
        <v>4.55</v>
      </c>
      <c r="E4508" s="4">
        <v>1</v>
      </c>
      <c r="F4508" s="8">
        <v>0.96</v>
      </c>
      <c r="G4508" s="4">
        <v>8</v>
      </c>
      <c r="H4508" s="8">
        <v>9.09</v>
      </c>
      <c r="I4508" s="4">
        <v>0</v>
      </c>
    </row>
    <row r="4509" spans="1:9" x14ac:dyDescent="0.2">
      <c r="A4509" s="2">
        <v>6</v>
      </c>
      <c r="B4509" s="1" t="s">
        <v>221</v>
      </c>
      <c r="C4509" s="4">
        <v>9</v>
      </c>
      <c r="D4509" s="8">
        <v>4.55</v>
      </c>
      <c r="E4509" s="4">
        <v>2</v>
      </c>
      <c r="F4509" s="8">
        <v>1.92</v>
      </c>
      <c r="G4509" s="4">
        <v>7</v>
      </c>
      <c r="H4509" s="8">
        <v>7.95</v>
      </c>
      <c r="I4509" s="4">
        <v>0</v>
      </c>
    </row>
    <row r="4510" spans="1:9" x14ac:dyDescent="0.2">
      <c r="A4510" s="2">
        <v>8</v>
      </c>
      <c r="B4510" s="1" t="s">
        <v>231</v>
      </c>
      <c r="C4510" s="4">
        <v>8</v>
      </c>
      <c r="D4510" s="8">
        <v>4.04</v>
      </c>
      <c r="E4510" s="4">
        <v>8</v>
      </c>
      <c r="F4510" s="8">
        <v>7.69</v>
      </c>
      <c r="G4510" s="4">
        <v>0</v>
      </c>
      <c r="H4510" s="8">
        <v>0</v>
      </c>
      <c r="I4510" s="4">
        <v>0</v>
      </c>
    </row>
    <row r="4511" spans="1:9" x14ac:dyDescent="0.2">
      <c r="A4511" s="2">
        <v>9</v>
      </c>
      <c r="B4511" s="1" t="s">
        <v>214</v>
      </c>
      <c r="C4511" s="4">
        <v>7</v>
      </c>
      <c r="D4511" s="8">
        <v>3.54</v>
      </c>
      <c r="E4511" s="4">
        <v>5</v>
      </c>
      <c r="F4511" s="8">
        <v>4.8099999999999996</v>
      </c>
      <c r="G4511" s="4">
        <v>2</v>
      </c>
      <c r="H4511" s="8">
        <v>2.27</v>
      </c>
      <c r="I4511" s="4">
        <v>0</v>
      </c>
    </row>
    <row r="4512" spans="1:9" x14ac:dyDescent="0.2">
      <c r="A4512" s="2">
        <v>9</v>
      </c>
      <c r="B4512" s="1" t="s">
        <v>220</v>
      </c>
      <c r="C4512" s="4">
        <v>7</v>
      </c>
      <c r="D4512" s="8">
        <v>3.54</v>
      </c>
      <c r="E4512" s="4">
        <v>5</v>
      </c>
      <c r="F4512" s="8">
        <v>4.8099999999999996</v>
      </c>
      <c r="G4512" s="4">
        <v>2</v>
      </c>
      <c r="H4512" s="8">
        <v>2.27</v>
      </c>
      <c r="I4512" s="4">
        <v>0</v>
      </c>
    </row>
    <row r="4513" spans="1:9" x14ac:dyDescent="0.2">
      <c r="A4513" s="2">
        <v>11</v>
      </c>
      <c r="B4513" s="1" t="s">
        <v>226</v>
      </c>
      <c r="C4513" s="4">
        <v>6</v>
      </c>
      <c r="D4513" s="8">
        <v>3.03</v>
      </c>
      <c r="E4513" s="4">
        <v>1</v>
      </c>
      <c r="F4513" s="8">
        <v>0.96</v>
      </c>
      <c r="G4513" s="4">
        <v>4</v>
      </c>
      <c r="H4513" s="8">
        <v>4.55</v>
      </c>
      <c r="I4513" s="4">
        <v>0</v>
      </c>
    </row>
    <row r="4514" spans="1:9" x14ac:dyDescent="0.2">
      <c r="A4514" s="2">
        <v>11</v>
      </c>
      <c r="B4514" s="1" t="s">
        <v>243</v>
      </c>
      <c r="C4514" s="4">
        <v>6</v>
      </c>
      <c r="D4514" s="8">
        <v>3.03</v>
      </c>
      <c r="E4514" s="4">
        <v>3</v>
      </c>
      <c r="F4514" s="8">
        <v>2.88</v>
      </c>
      <c r="G4514" s="4">
        <v>3</v>
      </c>
      <c r="H4514" s="8">
        <v>3.41</v>
      </c>
      <c r="I4514" s="4">
        <v>0</v>
      </c>
    </row>
    <row r="4515" spans="1:9" x14ac:dyDescent="0.2">
      <c r="A4515" s="2">
        <v>13</v>
      </c>
      <c r="B4515" s="1" t="s">
        <v>215</v>
      </c>
      <c r="C4515" s="4">
        <v>5</v>
      </c>
      <c r="D4515" s="8">
        <v>2.5299999999999998</v>
      </c>
      <c r="E4515" s="4">
        <v>0</v>
      </c>
      <c r="F4515" s="8">
        <v>0</v>
      </c>
      <c r="G4515" s="4">
        <v>5</v>
      </c>
      <c r="H4515" s="8">
        <v>5.68</v>
      </c>
      <c r="I4515" s="4">
        <v>0</v>
      </c>
    </row>
    <row r="4516" spans="1:9" x14ac:dyDescent="0.2">
      <c r="A4516" s="2">
        <v>13</v>
      </c>
      <c r="B4516" s="1" t="s">
        <v>230</v>
      </c>
      <c r="C4516" s="4">
        <v>5</v>
      </c>
      <c r="D4516" s="8">
        <v>2.5299999999999998</v>
      </c>
      <c r="E4516" s="4">
        <v>4</v>
      </c>
      <c r="F4516" s="8">
        <v>3.85</v>
      </c>
      <c r="G4516" s="4">
        <v>0</v>
      </c>
      <c r="H4516" s="8">
        <v>0</v>
      </c>
      <c r="I4516" s="4">
        <v>0</v>
      </c>
    </row>
    <row r="4517" spans="1:9" x14ac:dyDescent="0.2">
      <c r="A4517" s="2">
        <v>15</v>
      </c>
      <c r="B4517" s="1" t="s">
        <v>244</v>
      </c>
      <c r="C4517" s="4">
        <v>4</v>
      </c>
      <c r="D4517" s="8">
        <v>2.02</v>
      </c>
      <c r="E4517" s="4">
        <v>1</v>
      </c>
      <c r="F4517" s="8">
        <v>0.96</v>
      </c>
      <c r="G4517" s="4">
        <v>3</v>
      </c>
      <c r="H4517" s="8">
        <v>3.41</v>
      </c>
      <c r="I4517" s="4">
        <v>0</v>
      </c>
    </row>
    <row r="4518" spans="1:9" x14ac:dyDescent="0.2">
      <c r="A4518" s="2">
        <v>16</v>
      </c>
      <c r="B4518" s="1" t="s">
        <v>241</v>
      </c>
      <c r="C4518" s="4">
        <v>3</v>
      </c>
      <c r="D4518" s="8">
        <v>1.52</v>
      </c>
      <c r="E4518" s="4">
        <v>0</v>
      </c>
      <c r="F4518" s="8">
        <v>0</v>
      </c>
      <c r="G4518" s="4">
        <v>3</v>
      </c>
      <c r="H4518" s="8">
        <v>3.41</v>
      </c>
      <c r="I4518" s="4">
        <v>0</v>
      </c>
    </row>
    <row r="4519" spans="1:9" x14ac:dyDescent="0.2">
      <c r="A4519" s="2">
        <v>16</v>
      </c>
      <c r="B4519" s="1" t="s">
        <v>236</v>
      </c>
      <c r="C4519" s="4">
        <v>3</v>
      </c>
      <c r="D4519" s="8">
        <v>1.52</v>
      </c>
      <c r="E4519" s="4">
        <v>0</v>
      </c>
      <c r="F4519" s="8">
        <v>0</v>
      </c>
      <c r="G4519" s="4">
        <v>3</v>
      </c>
      <c r="H4519" s="8">
        <v>3.41</v>
      </c>
      <c r="I4519" s="4">
        <v>0</v>
      </c>
    </row>
    <row r="4520" spans="1:9" x14ac:dyDescent="0.2">
      <c r="A4520" s="2">
        <v>16</v>
      </c>
      <c r="B4520" s="1" t="s">
        <v>246</v>
      </c>
      <c r="C4520" s="4">
        <v>3</v>
      </c>
      <c r="D4520" s="8">
        <v>1.52</v>
      </c>
      <c r="E4520" s="4">
        <v>0</v>
      </c>
      <c r="F4520" s="8">
        <v>0</v>
      </c>
      <c r="G4520" s="4">
        <v>3</v>
      </c>
      <c r="H4520" s="8">
        <v>3.41</v>
      </c>
      <c r="I4520" s="4">
        <v>0</v>
      </c>
    </row>
    <row r="4521" spans="1:9" x14ac:dyDescent="0.2">
      <c r="A4521" s="2">
        <v>16</v>
      </c>
      <c r="B4521" s="1" t="s">
        <v>240</v>
      </c>
      <c r="C4521" s="4">
        <v>3</v>
      </c>
      <c r="D4521" s="8">
        <v>1.52</v>
      </c>
      <c r="E4521" s="4">
        <v>1</v>
      </c>
      <c r="F4521" s="8">
        <v>0.96</v>
      </c>
      <c r="G4521" s="4">
        <v>2</v>
      </c>
      <c r="H4521" s="8">
        <v>2.27</v>
      </c>
      <c r="I4521" s="4">
        <v>0</v>
      </c>
    </row>
    <row r="4522" spans="1:9" x14ac:dyDescent="0.2">
      <c r="A4522" s="2">
        <v>20</v>
      </c>
      <c r="B4522" s="1" t="s">
        <v>252</v>
      </c>
      <c r="C4522" s="4">
        <v>2</v>
      </c>
      <c r="D4522" s="8">
        <v>1.01</v>
      </c>
      <c r="E4522" s="4">
        <v>1</v>
      </c>
      <c r="F4522" s="8">
        <v>0.96</v>
      </c>
      <c r="G4522" s="4">
        <v>1</v>
      </c>
      <c r="H4522" s="8">
        <v>1.1399999999999999</v>
      </c>
      <c r="I4522" s="4">
        <v>0</v>
      </c>
    </row>
    <row r="4523" spans="1:9" x14ac:dyDescent="0.2">
      <c r="A4523" s="2">
        <v>20</v>
      </c>
      <c r="B4523" s="1" t="s">
        <v>268</v>
      </c>
      <c r="C4523" s="4">
        <v>2</v>
      </c>
      <c r="D4523" s="8">
        <v>1.01</v>
      </c>
      <c r="E4523" s="4">
        <v>0</v>
      </c>
      <c r="F4523" s="8">
        <v>0</v>
      </c>
      <c r="G4523" s="4">
        <v>2</v>
      </c>
      <c r="H4523" s="8">
        <v>2.27</v>
      </c>
      <c r="I4523" s="4">
        <v>0</v>
      </c>
    </row>
    <row r="4524" spans="1:9" x14ac:dyDescent="0.2">
      <c r="A4524" s="2">
        <v>20</v>
      </c>
      <c r="B4524" s="1" t="s">
        <v>265</v>
      </c>
      <c r="C4524" s="4">
        <v>2</v>
      </c>
      <c r="D4524" s="8">
        <v>1.01</v>
      </c>
      <c r="E4524" s="4">
        <v>0</v>
      </c>
      <c r="F4524" s="8">
        <v>0</v>
      </c>
      <c r="G4524" s="4">
        <v>2</v>
      </c>
      <c r="H4524" s="8">
        <v>2.27</v>
      </c>
      <c r="I4524" s="4">
        <v>0</v>
      </c>
    </row>
    <row r="4525" spans="1:9" x14ac:dyDescent="0.2">
      <c r="A4525" s="2">
        <v>20</v>
      </c>
      <c r="B4525" s="1" t="s">
        <v>237</v>
      </c>
      <c r="C4525" s="4">
        <v>2</v>
      </c>
      <c r="D4525" s="8">
        <v>1.01</v>
      </c>
      <c r="E4525" s="4">
        <v>0</v>
      </c>
      <c r="F4525" s="8">
        <v>0</v>
      </c>
      <c r="G4525" s="4">
        <v>2</v>
      </c>
      <c r="H4525" s="8">
        <v>2.27</v>
      </c>
      <c r="I4525" s="4">
        <v>0</v>
      </c>
    </row>
    <row r="4526" spans="1:9" x14ac:dyDescent="0.2">
      <c r="A4526" s="2">
        <v>20</v>
      </c>
      <c r="B4526" s="1" t="s">
        <v>225</v>
      </c>
      <c r="C4526" s="4">
        <v>2</v>
      </c>
      <c r="D4526" s="8">
        <v>1.01</v>
      </c>
      <c r="E4526" s="4">
        <v>2</v>
      </c>
      <c r="F4526" s="8">
        <v>1.92</v>
      </c>
      <c r="G4526" s="4">
        <v>0</v>
      </c>
      <c r="H4526" s="8">
        <v>0</v>
      </c>
      <c r="I4526" s="4">
        <v>0</v>
      </c>
    </row>
    <row r="4527" spans="1:9" x14ac:dyDescent="0.2">
      <c r="A4527" s="2">
        <v>20</v>
      </c>
      <c r="B4527" s="1" t="s">
        <v>229</v>
      </c>
      <c r="C4527" s="4">
        <v>2</v>
      </c>
      <c r="D4527" s="8">
        <v>1.01</v>
      </c>
      <c r="E4527" s="4">
        <v>1</v>
      </c>
      <c r="F4527" s="8">
        <v>0.96</v>
      </c>
      <c r="G4527" s="4">
        <v>1</v>
      </c>
      <c r="H4527" s="8">
        <v>1.1399999999999999</v>
      </c>
      <c r="I4527" s="4">
        <v>0</v>
      </c>
    </row>
    <row r="4528" spans="1:9" x14ac:dyDescent="0.2">
      <c r="A4528" s="2">
        <v>20</v>
      </c>
      <c r="B4528" s="1" t="s">
        <v>247</v>
      </c>
      <c r="C4528" s="4">
        <v>2</v>
      </c>
      <c r="D4528" s="8">
        <v>1.01</v>
      </c>
      <c r="E4528" s="4">
        <v>0</v>
      </c>
      <c r="F4528" s="8">
        <v>0</v>
      </c>
      <c r="G4528" s="4">
        <v>1</v>
      </c>
      <c r="H4528" s="8">
        <v>1.1399999999999999</v>
      </c>
      <c r="I4528" s="4">
        <v>0</v>
      </c>
    </row>
    <row r="4529" spans="1:9" x14ac:dyDescent="0.2">
      <c r="A4529" s="2">
        <v>20</v>
      </c>
      <c r="B4529" s="1" t="s">
        <v>232</v>
      </c>
      <c r="C4529" s="4">
        <v>2</v>
      </c>
      <c r="D4529" s="8">
        <v>1.01</v>
      </c>
      <c r="E4529" s="4">
        <v>0</v>
      </c>
      <c r="F4529" s="8">
        <v>0</v>
      </c>
      <c r="G4529" s="4">
        <v>0</v>
      </c>
      <c r="H4529" s="8">
        <v>0</v>
      </c>
      <c r="I4529" s="4">
        <v>0</v>
      </c>
    </row>
    <row r="4530" spans="1:9" x14ac:dyDescent="0.2">
      <c r="A4530" s="2">
        <v>20</v>
      </c>
      <c r="B4530" s="1" t="s">
        <v>242</v>
      </c>
      <c r="C4530" s="4">
        <v>2</v>
      </c>
      <c r="D4530" s="8">
        <v>1.01</v>
      </c>
      <c r="E4530" s="4">
        <v>2</v>
      </c>
      <c r="F4530" s="8">
        <v>1.92</v>
      </c>
      <c r="G4530" s="4">
        <v>0</v>
      </c>
      <c r="H4530" s="8">
        <v>0</v>
      </c>
      <c r="I4530" s="4">
        <v>0</v>
      </c>
    </row>
    <row r="4531" spans="1:9" x14ac:dyDescent="0.2">
      <c r="A4531" s="1"/>
      <c r="C4531" s="4"/>
      <c r="D4531" s="8"/>
      <c r="E4531" s="4"/>
      <c r="F4531" s="8"/>
      <c r="G4531" s="4"/>
      <c r="H4531" s="8"/>
      <c r="I4531" s="4"/>
    </row>
    <row r="4532" spans="1:9" x14ac:dyDescent="0.2">
      <c r="A4532" s="1" t="s">
        <v>177</v>
      </c>
      <c r="C4532" s="4"/>
      <c r="D4532" s="8"/>
      <c r="E4532" s="4"/>
      <c r="F4532" s="8"/>
      <c r="G4532" s="4"/>
      <c r="H4532" s="8"/>
      <c r="I4532" s="4"/>
    </row>
    <row r="4533" spans="1:9" x14ac:dyDescent="0.2">
      <c r="A4533" s="2">
        <v>1</v>
      </c>
      <c r="B4533" s="1" t="s">
        <v>227</v>
      </c>
      <c r="C4533" s="4">
        <v>9</v>
      </c>
      <c r="D4533" s="8">
        <v>13.64</v>
      </c>
      <c r="E4533" s="4">
        <v>9</v>
      </c>
      <c r="F4533" s="8">
        <v>28.13</v>
      </c>
      <c r="G4533" s="4">
        <v>0</v>
      </c>
      <c r="H4533" s="8">
        <v>0</v>
      </c>
      <c r="I4533" s="4">
        <v>0</v>
      </c>
    </row>
    <row r="4534" spans="1:9" x14ac:dyDescent="0.2">
      <c r="A4534" s="2">
        <v>2</v>
      </c>
      <c r="B4534" s="1" t="s">
        <v>213</v>
      </c>
      <c r="C4534" s="4">
        <v>5</v>
      </c>
      <c r="D4534" s="8">
        <v>7.58</v>
      </c>
      <c r="E4534" s="4">
        <v>1</v>
      </c>
      <c r="F4534" s="8">
        <v>3.13</v>
      </c>
      <c r="G4534" s="4">
        <v>4</v>
      </c>
      <c r="H4534" s="8">
        <v>13.33</v>
      </c>
      <c r="I4534" s="4">
        <v>0</v>
      </c>
    </row>
    <row r="4535" spans="1:9" x14ac:dyDescent="0.2">
      <c r="A4535" s="2">
        <v>2</v>
      </c>
      <c r="B4535" s="1" t="s">
        <v>223</v>
      </c>
      <c r="C4535" s="4">
        <v>5</v>
      </c>
      <c r="D4535" s="8">
        <v>7.58</v>
      </c>
      <c r="E4535" s="4">
        <v>2</v>
      </c>
      <c r="F4535" s="8">
        <v>6.25</v>
      </c>
      <c r="G4535" s="4">
        <v>3</v>
      </c>
      <c r="H4535" s="8">
        <v>10</v>
      </c>
      <c r="I4535" s="4">
        <v>0</v>
      </c>
    </row>
    <row r="4536" spans="1:9" x14ac:dyDescent="0.2">
      <c r="A4536" s="2">
        <v>2</v>
      </c>
      <c r="B4536" s="1" t="s">
        <v>228</v>
      </c>
      <c r="C4536" s="4">
        <v>5</v>
      </c>
      <c r="D4536" s="8">
        <v>7.58</v>
      </c>
      <c r="E4536" s="4">
        <v>4</v>
      </c>
      <c r="F4536" s="8">
        <v>12.5</v>
      </c>
      <c r="G4536" s="4">
        <v>1</v>
      </c>
      <c r="H4536" s="8">
        <v>3.33</v>
      </c>
      <c r="I4536" s="4">
        <v>0</v>
      </c>
    </row>
    <row r="4537" spans="1:9" x14ac:dyDescent="0.2">
      <c r="A4537" s="2">
        <v>5</v>
      </c>
      <c r="B4537" s="1" t="s">
        <v>221</v>
      </c>
      <c r="C4537" s="4">
        <v>4</v>
      </c>
      <c r="D4537" s="8">
        <v>6.06</v>
      </c>
      <c r="E4537" s="4">
        <v>2</v>
      </c>
      <c r="F4537" s="8">
        <v>6.25</v>
      </c>
      <c r="G4537" s="4">
        <v>2</v>
      </c>
      <c r="H4537" s="8">
        <v>6.67</v>
      </c>
      <c r="I4537" s="4">
        <v>0</v>
      </c>
    </row>
    <row r="4538" spans="1:9" x14ac:dyDescent="0.2">
      <c r="A4538" s="2">
        <v>5</v>
      </c>
      <c r="B4538" s="1" t="s">
        <v>239</v>
      </c>
      <c r="C4538" s="4">
        <v>4</v>
      </c>
      <c r="D4538" s="8">
        <v>6.06</v>
      </c>
      <c r="E4538" s="4">
        <v>1</v>
      </c>
      <c r="F4538" s="8">
        <v>3.13</v>
      </c>
      <c r="G4538" s="4">
        <v>3</v>
      </c>
      <c r="H4538" s="8">
        <v>10</v>
      </c>
      <c r="I4538" s="4">
        <v>0</v>
      </c>
    </row>
    <row r="4539" spans="1:9" x14ac:dyDescent="0.2">
      <c r="A4539" s="2">
        <v>7</v>
      </c>
      <c r="B4539" s="1" t="s">
        <v>224</v>
      </c>
      <c r="C4539" s="4">
        <v>3</v>
      </c>
      <c r="D4539" s="8">
        <v>4.55</v>
      </c>
      <c r="E4539" s="4">
        <v>1</v>
      </c>
      <c r="F4539" s="8">
        <v>3.13</v>
      </c>
      <c r="G4539" s="4">
        <v>2</v>
      </c>
      <c r="H4539" s="8">
        <v>6.67</v>
      </c>
      <c r="I4539" s="4">
        <v>0</v>
      </c>
    </row>
    <row r="4540" spans="1:9" x14ac:dyDescent="0.2">
      <c r="A4540" s="2">
        <v>8</v>
      </c>
      <c r="B4540" s="1" t="s">
        <v>241</v>
      </c>
      <c r="C4540" s="4">
        <v>2</v>
      </c>
      <c r="D4540" s="8">
        <v>3.03</v>
      </c>
      <c r="E4540" s="4">
        <v>0</v>
      </c>
      <c r="F4540" s="8">
        <v>0</v>
      </c>
      <c r="G4540" s="4">
        <v>1</v>
      </c>
      <c r="H4540" s="8">
        <v>3.33</v>
      </c>
      <c r="I4540" s="4">
        <v>1</v>
      </c>
    </row>
    <row r="4541" spans="1:9" x14ac:dyDescent="0.2">
      <c r="A4541" s="2">
        <v>8</v>
      </c>
      <c r="B4541" s="1" t="s">
        <v>218</v>
      </c>
      <c r="C4541" s="4">
        <v>2</v>
      </c>
      <c r="D4541" s="8">
        <v>3.03</v>
      </c>
      <c r="E4541" s="4">
        <v>0</v>
      </c>
      <c r="F4541" s="8">
        <v>0</v>
      </c>
      <c r="G4541" s="4">
        <v>2</v>
      </c>
      <c r="H4541" s="8">
        <v>6.67</v>
      </c>
      <c r="I4541" s="4">
        <v>0</v>
      </c>
    </row>
    <row r="4542" spans="1:9" x14ac:dyDescent="0.2">
      <c r="A4542" s="2">
        <v>8</v>
      </c>
      <c r="B4542" s="1" t="s">
        <v>233</v>
      </c>
      <c r="C4542" s="4">
        <v>2</v>
      </c>
      <c r="D4542" s="8">
        <v>3.03</v>
      </c>
      <c r="E4542" s="4">
        <v>0</v>
      </c>
      <c r="F4542" s="8">
        <v>0</v>
      </c>
      <c r="G4542" s="4">
        <v>2</v>
      </c>
      <c r="H4542" s="8">
        <v>6.67</v>
      </c>
      <c r="I4542" s="4">
        <v>0</v>
      </c>
    </row>
    <row r="4543" spans="1:9" x14ac:dyDescent="0.2">
      <c r="A4543" s="2">
        <v>8</v>
      </c>
      <c r="B4543" s="1" t="s">
        <v>226</v>
      </c>
      <c r="C4543" s="4">
        <v>2</v>
      </c>
      <c r="D4543" s="8">
        <v>3.03</v>
      </c>
      <c r="E4543" s="4">
        <v>1</v>
      </c>
      <c r="F4543" s="8">
        <v>3.13</v>
      </c>
      <c r="G4543" s="4">
        <v>1</v>
      </c>
      <c r="H4543" s="8">
        <v>3.33</v>
      </c>
      <c r="I4543" s="4">
        <v>0</v>
      </c>
    </row>
    <row r="4544" spans="1:9" x14ac:dyDescent="0.2">
      <c r="A4544" s="2">
        <v>8</v>
      </c>
      <c r="B4544" s="1" t="s">
        <v>230</v>
      </c>
      <c r="C4544" s="4">
        <v>2</v>
      </c>
      <c r="D4544" s="8">
        <v>3.03</v>
      </c>
      <c r="E4544" s="4">
        <v>2</v>
      </c>
      <c r="F4544" s="8">
        <v>6.25</v>
      </c>
      <c r="G4544" s="4">
        <v>0</v>
      </c>
      <c r="H4544" s="8">
        <v>0</v>
      </c>
      <c r="I4544" s="4">
        <v>0</v>
      </c>
    </row>
    <row r="4545" spans="1:9" x14ac:dyDescent="0.2">
      <c r="A4545" s="2">
        <v>8</v>
      </c>
      <c r="B4545" s="1" t="s">
        <v>231</v>
      </c>
      <c r="C4545" s="4">
        <v>2</v>
      </c>
      <c r="D4545" s="8">
        <v>3.03</v>
      </c>
      <c r="E4545" s="4">
        <v>2</v>
      </c>
      <c r="F4545" s="8">
        <v>6.25</v>
      </c>
      <c r="G4545" s="4">
        <v>0</v>
      </c>
      <c r="H4545" s="8">
        <v>0</v>
      </c>
      <c r="I4545" s="4">
        <v>0</v>
      </c>
    </row>
    <row r="4546" spans="1:9" x14ac:dyDescent="0.2">
      <c r="A4546" s="2">
        <v>8</v>
      </c>
      <c r="B4546" s="1" t="s">
        <v>232</v>
      </c>
      <c r="C4546" s="4">
        <v>2</v>
      </c>
      <c r="D4546" s="8">
        <v>3.03</v>
      </c>
      <c r="E4546" s="4">
        <v>0</v>
      </c>
      <c r="F4546" s="8">
        <v>0</v>
      </c>
      <c r="G4546" s="4">
        <v>0</v>
      </c>
      <c r="H4546" s="8">
        <v>0</v>
      </c>
      <c r="I4546" s="4">
        <v>0</v>
      </c>
    </row>
    <row r="4547" spans="1:9" x14ac:dyDescent="0.2">
      <c r="A4547" s="2">
        <v>8</v>
      </c>
      <c r="B4547" s="1" t="s">
        <v>242</v>
      </c>
      <c r="C4547" s="4">
        <v>2</v>
      </c>
      <c r="D4547" s="8">
        <v>3.03</v>
      </c>
      <c r="E4547" s="4">
        <v>2</v>
      </c>
      <c r="F4547" s="8">
        <v>6.25</v>
      </c>
      <c r="G4547" s="4">
        <v>0</v>
      </c>
      <c r="H4547" s="8">
        <v>0</v>
      </c>
      <c r="I4547" s="4">
        <v>0</v>
      </c>
    </row>
    <row r="4548" spans="1:9" x14ac:dyDescent="0.2">
      <c r="A4548" s="2">
        <v>16</v>
      </c>
      <c r="B4548" s="1" t="s">
        <v>214</v>
      </c>
      <c r="C4548" s="4">
        <v>1</v>
      </c>
      <c r="D4548" s="8">
        <v>1.52</v>
      </c>
      <c r="E4548" s="4">
        <v>0</v>
      </c>
      <c r="F4548" s="8">
        <v>0</v>
      </c>
      <c r="G4548" s="4">
        <v>1</v>
      </c>
      <c r="H4548" s="8">
        <v>3.33</v>
      </c>
      <c r="I4548" s="4">
        <v>0</v>
      </c>
    </row>
    <row r="4549" spans="1:9" x14ac:dyDescent="0.2">
      <c r="A4549" s="2">
        <v>16</v>
      </c>
      <c r="B4549" s="1" t="s">
        <v>215</v>
      </c>
      <c r="C4549" s="4">
        <v>1</v>
      </c>
      <c r="D4549" s="8">
        <v>1.52</v>
      </c>
      <c r="E4549" s="4">
        <v>0</v>
      </c>
      <c r="F4549" s="8">
        <v>0</v>
      </c>
      <c r="G4549" s="4">
        <v>1</v>
      </c>
      <c r="H4549" s="8">
        <v>3.33</v>
      </c>
      <c r="I4549" s="4">
        <v>0</v>
      </c>
    </row>
    <row r="4550" spans="1:9" x14ac:dyDescent="0.2">
      <c r="A4550" s="2">
        <v>16</v>
      </c>
      <c r="B4550" s="1" t="s">
        <v>251</v>
      </c>
      <c r="C4550" s="4">
        <v>1</v>
      </c>
      <c r="D4550" s="8">
        <v>1.52</v>
      </c>
      <c r="E4550" s="4">
        <v>1</v>
      </c>
      <c r="F4550" s="8">
        <v>3.13</v>
      </c>
      <c r="G4550" s="4">
        <v>0</v>
      </c>
      <c r="H4550" s="8">
        <v>0</v>
      </c>
      <c r="I4550" s="4">
        <v>0</v>
      </c>
    </row>
    <row r="4551" spans="1:9" x14ac:dyDescent="0.2">
      <c r="A4551" s="2">
        <v>16</v>
      </c>
      <c r="B4551" s="1" t="s">
        <v>285</v>
      </c>
      <c r="C4551" s="4">
        <v>1</v>
      </c>
      <c r="D4551" s="8">
        <v>1.52</v>
      </c>
      <c r="E4551" s="4">
        <v>0</v>
      </c>
      <c r="F4551" s="8">
        <v>0</v>
      </c>
      <c r="G4551" s="4">
        <v>1</v>
      </c>
      <c r="H4551" s="8">
        <v>3.33</v>
      </c>
      <c r="I4551" s="4">
        <v>0</v>
      </c>
    </row>
    <row r="4552" spans="1:9" x14ac:dyDescent="0.2">
      <c r="A4552" s="2">
        <v>16</v>
      </c>
      <c r="B4552" s="1" t="s">
        <v>268</v>
      </c>
      <c r="C4552" s="4">
        <v>1</v>
      </c>
      <c r="D4552" s="8">
        <v>1.52</v>
      </c>
      <c r="E4552" s="4">
        <v>0</v>
      </c>
      <c r="F4552" s="8">
        <v>0</v>
      </c>
      <c r="G4552" s="4">
        <v>1</v>
      </c>
      <c r="H4552" s="8">
        <v>3.33</v>
      </c>
      <c r="I4552" s="4">
        <v>0</v>
      </c>
    </row>
    <row r="4553" spans="1:9" x14ac:dyDescent="0.2">
      <c r="A4553" s="2">
        <v>16</v>
      </c>
      <c r="B4553" s="1" t="s">
        <v>265</v>
      </c>
      <c r="C4553" s="4">
        <v>1</v>
      </c>
      <c r="D4553" s="8">
        <v>1.52</v>
      </c>
      <c r="E4553" s="4">
        <v>0</v>
      </c>
      <c r="F4553" s="8">
        <v>0</v>
      </c>
      <c r="G4553" s="4">
        <v>1</v>
      </c>
      <c r="H4553" s="8">
        <v>3.33</v>
      </c>
      <c r="I4553" s="4">
        <v>0</v>
      </c>
    </row>
    <row r="4554" spans="1:9" x14ac:dyDescent="0.2">
      <c r="A4554" s="2">
        <v>16</v>
      </c>
      <c r="B4554" s="1" t="s">
        <v>255</v>
      </c>
      <c r="C4554" s="4">
        <v>1</v>
      </c>
      <c r="D4554" s="8">
        <v>1.52</v>
      </c>
      <c r="E4554" s="4">
        <v>0</v>
      </c>
      <c r="F4554" s="8">
        <v>0</v>
      </c>
      <c r="G4554" s="4">
        <v>0</v>
      </c>
      <c r="H4554" s="8">
        <v>0</v>
      </c>
      <c r="I4554" s="4">
        <v>0</v>
      </c>
    </row>
    <row r="4555" spans="1:9" x14ac:dyDescent="0.2">
      <c r="A4555" s="2">
        <v>16</v>
      </c>
      <c r="B4555" s="1" t="s">
        <v>261</v>
      </c>
      <c r="C4555" s="4">
        <v>1</v>
      </c>
      <c r="D4555" s="8">
        <v>1.52</v>
      </c>
      <c r="E4555" s="4">
        <v>1</v>
      </c>
      <c r="F4555" s="8">
        <v>3.13</v>
      </c>
      <c r="G4555" s="4">
        <v>0</v>
      </c>
      <c r="H4555" s="8">
        <v>0</v>
      </c>
      <c r="I4555" s="4">
        <v>0</v>
      </c>
    </row>
    <row r="4556" spans="1:9" x14ac:dyDescent="0.2">
      <c r="A4556" s="2">
        <v>16</v>
      </c>
      <c r="B4556" s="1" t="s">
        <v>216</v>
      </c>
      <c r="C4556" s="4">
        <v>1</v>
      </c>
      <c r="D4556" s="8">
        <v>1.52</v>
      </c>
      <c r="E4556" s="4">
        <v>1</v>
      </c>
      <c r="F4556" s="8">
        <v>3.13</v>
      </c>
      <c r="G4556" s="4">
        <v>0</v>
      </c>
      <c r="H4556" s="8">
        <v>0</v>
      </c>
      <c r="I4556" s="4">
        <v>0</v>
      </c>
    </row>
    <row r="4557" spans="1:9" x14ac:dyDescent="0.2">
      <c r="A4557" s="2">
        <v>16</v>
      </c>
      <c r="B4557" s="1" t="s">
        <v>220</v>
      </c>
      <c r="C4557" s="4">
        <v>1</v>
      </c>
      <c r="D4557" s="8">
        <v>1.52</v>
      </c>
      <c r="E4557" s="4">
        <v>0</v>
      </c>
      <c r="F4557" s="8">
        <v>0</v>
      </c>
      <c r="G4557" s="4">
        <v>1</v>
      </c>
      <c r="H4557" s="8">
        <v>3.33</v>
      </c>
      <c r="I4557" s="4">
        <v>0</v>
      </c>
    </row>
    <row r="4558" spans="1:9" x14ac:dyDescent="0.2">
      <c r="A4558" s="2">
        <v>16</v>
      </c>
      <c r="B4558" s="1" t="s">
        <v>246</v>
      </c>
      <c r="C4558" s="4">
        <v>1</v>
      </c>
      <c r="D4558" s="8">
        <v>1.52</v>
      </c>
      <c r="E4558" s="4">
        <v>0</v>
      </c>
      <c r="F4558" s="8">
        <v>0</v>
      </c>
      <c r="G4558" s="4">
        <v>1</v>
      </c>
      <c r="H4558" s="8">
        <v>3.33</v>
      </c>
      <c r="I4558" s="4">
        <v>0</v>
      </c>
    </row>
    <row r="4559" spans="1:9" x14ac:dyDescent="0.2">
      <c r="A4559" s="2">
        <v>16</v>
      </c>
      <c r="B4559" s="1" t="s">
        <v>225</v>
      </c>
      <c r="C4559" s="4">
        <v>1</v>
      </c>
      <c r="D4559" s="8">
        <v>1.52</v>
      </c>
      <c r="E4559" s="4">
        <v>1</v>
      </c>
      <c r="F4559" s="8">
        <v>3.13</v>
      </c>
      <c r="G4559" s="4">
        <v>0</v>
      </c>
      <c r="H4559" s="8">
        <v>0</v>
      </c>
      <c r="I4559" s="4">
        <v>0</v>
      </c>
    </row>
    <row r="4560" spans="1:9" x14ac:dyDescent="0.2">
      <c r="A4560" s="2">
        <v>16</v>
      </c>
      <c r="B4560" s="1" t="s">
        <v>243</v>
      </c>
      <c r="C4560" s="4">
        <v>1</v>
      </c>
      <c r="D4560" s="8">
        <v>1.52</v>
      </c>
      <c r="E4560" s="4">
        <v>1</v>
      </c>
      <c r="F4560" s="8">
        <v>3.13</v>
      </c>
      <c r="G4560" s="4">
        <v>0</v>
      </c>
      <c r="H4560" s="8">
        <v>0</v>
      </c>
      <c r="I4560" s="4">
        <v>0</v>
      </c>
    </row>
    <row r="4561" spans="1:9" x14ac:dyDescent="0.2">
      <c r="A4561" s="2">
        <v>16</v>
      </c>
      <c r="B4561" s="1" t="s">
        <v>229</v>
      </c>
      <c r="C4561" s="4">
        <v>1</v>
      </c>
      <c r="D4561" s="8">
        <v>1.52</v>
      </c>
      <c r="E4561" s="4">
        <v>0</v>
      </c>
      <c r="F4561" s="8">
        <v>0</v>
      </c>
      <c r="G4561" s="4">
        <v>1</v>
      </c>
      <c r="H4561" s="8">
        <v>3.33</v>
      </c>
      <c r="I4561" s="4">
        <v>0</v>
      </c>
    </row>
    <row r="4562" spans="1:9" x14ac:dyDescent="0.2">
      <c r="A4562" s="2">
        <v>16</v>
      </c>
      <c r="B4562" s="1" t="s">
        <v>234</v>
      </c>
      <c r="C4562" s="4">
        <v>1</v>
      </c>
      <c r="D4562" s="8">
        <v>1.52</v>
      </c>
      <c r="E4562" s="4">
        <v>0</v>
      </c>
      <c r="F4562" s="8">
        <v>0</v>
      </c>
      <c r="G4562" s="4">
        <v>1</v>
      </c>
      <c r="H4562" s="8">
        <v>3.33</v>
      </c>
      <c r="I4562" s="4">
        <v>0</v>
      </c>
    </row>
    <row r="4563" spans="1:9" x14ac:dyDescent="0.2">
      <c r="A4563" s="1"/>
      <c r="C4563" s="4"/>
      <c r="D4563" s="8"/>
      <c r="E4563" s="4"/>
      <c r="F4563" s="8"/>
      <c r="G4563" s="4"/>
      <c r="H4563" s="8"/>
      <c r="I4563" s="4"/>
    </row>
    <row r="4564" spans="1:9" x14ac:dyDescent="0.2">
      <c r="A4564" s="1" t="s">
        <v>178</v>
      </c>
      <c r="C4564" s="4"/>
      <c r="D4564" s="8"/>
      <c r="E4564" s="4"/>
      <c r="F4564" s="8"/>
      <c r="G4564" s="4"/>
      <c r="H4564" s="8"/>
      <c r="I4564" s="4"/>
    </row>
    <row r="4565" spans="1:9" x14ac:dyDescent="0.2">
      <c r="A4565" s="2">
        <v>1</v>
      </c>
      <c r="B4565" s="1" t="s">
        <v>227</v>
      </c>
      <c r="C4565" s="4">
        <v>20</v>
      </c>
      <c r="D4565" s="8">
        <v>13.89</v>
      </c>
      <c r="E4565" s="4">
        <v>18</v>
      </c>
      <c r="F4565" s="8">
        <v>23.68</v>
      </c>
      <c r="G4565" s="4">
        <v>2</v>
      </c>
      <c r="H4565" s="8">
        <v>3.33</v>
      </c>
      <c r="I4565" s="4">
        <v>0</v>
      </c>
    </row>
    <row r="4566" spans="1:9" x14ac:dyDescent="0.2">
      <c r="A4566" s="2">
        <v>2</v>
      </c>
      <c r="B4566" s="1" t="s">
        <v>223</v>
      </c>
      <c r="C4566" s="4">
        <v>15</v>
      </c>
      <c r="D4566" s="8">
        <v>10.42</v>
      </c>
      <c r="E4566" s="4">
        <v>7</v>
      </c>
      <c r="F4566" s="8">
        <v>9.2100000000000009</v>
      </c>
      <c r="G4566" s="4">
        <v>8</v>
      </c>
      <c r="H4566" s="8">
        <v>13.33</v>
      </c>
      <c r="I4566" s="4">
        <v>0</v>
      </c>
    </row>
    <row r="4567" spans="1:9" x14ac:dyDescent="0.2">
      <c r="A4567" s="2">
        <v>3</v>
      </c>
      <c r="B4567" s="1" t="s">
        <v>221</v>
      </c>
      <c r="C4567" s="4">
        <v>11</v>
      </c>
      <c r="D4567" s="8">
        <v>7.64</v>
      </c>
      <c r="E4567" s="4">
        <v>6</v>
      </c>
      <c r="F4567" s="8">
        <v>7.89</v>
      </c>
      <c r="G4567" s="4">
        <v>5</v>
      </c>
      <c r="H4567" s="8">
        <v>8.33</v>
      </c>
      <c r="I4567" s="4">
        <v>0</v>
      </c>
    </row>
    <row r="4568" spans="1:9" x14ac:dyDescent="0.2">
      <c r="A4568" s="2">
        <v>4</v>
      </c>
      <c r="B4568" s="1" t="s">
        <v>213</v>
      </c>
      <c r="C4568" s="4">
        <v>9</v>
      </c>
      <c r="D4568" s="8">
        <v>6.25</v>
      </c>
      <c r="E4568" s="4">
        <v>2</v>
      </c>
      <c r="F4568" s="8">
        <v>2.63</v>
      </c>
      <c r="G4568" s="4">
        <v>7</v>
      </c>
      <c r="H4568" s="8">
        <v>11.67</v>
      </c>
      <c r="I4568" s="4">
        <v>0</v>
      </c>
    </row>
    <row r="4569" spans="1:9" x14ac:dyDescent="0.2">
      <c r="A4569" s="2">
        <v>4</v>
      </c>
      <c r="B4569" s="1" t="s">
        <v>228</v>
      </c>
      <c r="C4569" s="4">
        <v>9</v>
      </c>
      <c r="D4569" s="8">
        <v>6.25</v>
      </c>
      <c r="E4569" s="4">
        <v>9</v>
      </c>
      <c r="F4569" s="8">
        <v>11.84</v>
      </c>
      <c r="G4569" s="4">
        <v>0</v>
      </c>
      <c r="H4569" s="8">
        <v>0</v>
      </c>
      <c r="I4569" s="4">
        <v>0</v>
      </c>
    </row>
    <row r="4570" spans="1:9" x14ac:dyDescent="0.2">
      <c r="A4570" s="2">
        <v>6</v>
      </c>
      <c r="B4570" s="1" t="s">
        <v>224</v>
      </c>
      <c r="C4570" s="4">
        <v>8</v>
      </c>
      <c r="D4570" s="8">
        <v>5.56</v>
      </c>
      <c r="E4570" s="4">
        <v>6</v>
      </c>
      <c r="F4570" s="8">
        <v>7.89</v>
      </c>
      <c r="G4570" s="4">
        <v>1</v>
      </c>
      <c r="H4570" s="8">
        <v>1.67</v>
      </c>
      <c r="I4570" s="4">
        <v>0</v>
      </c>
    </row>
    <row r="4571" spans="1:9" x14ac:dyDescent="0.2">
      <c r="A4571" s="2">
        <v>7</v>
      </c>
      <c r="B4571" s="1" t="s">
        <v>230</v>
      </c>
      <c r="C4571" s="4">
        <v>7</v>
      </c>
      <c r="D4571" s="8">
        <v>4.8600000000000003</v>
      </c>
      <c r="E4571" s="4">
        <v>2</v>
      </c>
      <c r="F4571" s="8">
        <v>2.63</v>
      </c>
      <c r="G4571" s="4">
        <v>2</v>
      </c>
      <c r="H4571" s="8">
        <v>3.33</v>
      </c>
      <c r="I4571" s="4">
        <v>0</v>
      </c>
    </row>
    <row r="4572" spans="1:9" x14ac:dyDescent="0.2">
      <c r="A4572" s="2">
        <v>8</v>
      </c>
      <c r="B4572" s="1" t="s">
        <v>214</v>
      </c>
      <c r="C4572" s="4">
        <v>5</v>
      </c>
      <c r="D4572" s="8">
        <v>3.47</v>
      </c>
      <c r="E4572" s="4">
        <v>3</v>
      </c>
      <c r="F4572" s="8">
        <v>3.95</v>
      </c>
      <c r="G4572" s="4">
        <v>2</v>
      </c>
      <c r="H4572" s="8">
        <v>3.33</v>
      </c>
      <c r="I4572" s="4">
        <v>0</v>
      </c>
    </row>
    <row r="4573" spans="1:9" x14ac:dyDescent="0.2">
      <c r="A4573" s="2">
        <v>8</v>
      </c>
      <c r="B4573" s="1" t="s">
        <v>215</v>
      </c>
      <c r="C4573" s="4">
        <v>5</v>
      </c>
      <c r="D4573" s="8">
        <v>3.47</v>
      </c>
      <c r="E4573" s="4">
        <v>3</v>
      </c>
      <c r="F4573" s="8">
        <v>3.95</v>
      </c>
      <c r="G4573" s="4">
        <v>2</v>
      </c>
      <c r="H4573" s="8">
        <v>3.33</v>
      </c>
      <c r="I4573" s="4">
        <v>0</v>
      </c>
    </row>
    <row r="4574" spans="1:9" x14ac:dyDescent="0.2">
      <c r="A4574" s="2">
        <v>8</v>
      </c>
      <c r="B4574" s="1" t="s">
        <v>243</v>
      </c>
      <c r="C4574" s="4">
        <v>5</v>
      </c>
      <c r="D4574" s="8">
        <v>3.47</v>
      </c>
      <c r="E4574" s="4">
        <v>5</v>
      </c>
      <c r="F4574" s="8">
        <v>6.58</v>
      </c>
      <c r="G4574" s="4">
        <v>0</v>
      </c>
      <c r="H4574" s="8">
        <v>0</v>
      </c>
      <c r="I4574" s="4">
        <v>0</v>
      </c>
    </row>
    <row r="4575" spans="1:9" x14ac:dyDescent="0.2">
      <c r="A4575" s="2">
        <v>8</v>
      </c>
      <c r="B4575" s="1" t="s">
        <v>232</v>
      </c>
      <c r="C4575" s="4">
        <v>5</v>
      </c>
      <c r="D4575" s="8">
        <v>3.47</v>
      </c>
      <c r="E4575" s="4">
        <v>0</v>
      </c>
      <c r="F4575" s="8">
        <v>0</v>
      </c>
      <c r="G4575" s="4">
        <v>2</v>
      </c>
      <c r="H4575" s="8">
        <v>3.33</v>
      </c>
      <c r="I4575" s="4">
        <v>0</v>
      </c>
    </row>
    <row r="4576" spans="1:9" x14ac:dyDescent="0.2">
      <c r="A4576" s="2">
        <v>12</v>
      </c>
      <c r="B4576" s="1" t="s">
        <v>220</v>
      </c>
      <c r="C4576" s="4">
        <v>4</v>
      </c>
      <c r="D4576" s="8">
        <v>2.78</v>
      </c>
      <c r="E4576" s="4">
        <v>1</v>
      </c>
      <c r="F4576" s="8">
        <v>1.32</v>
      </c>
      <c r="G4576" s="4">
        <v>3</v>
      </c>
      <c r="H4576" s="8">
        <v>5</v>
      </c>
      <c r="I4576" s="4">
        <v>0</v>
      </c>
    </row>
    <row r="4577" spans="1:9" x14ac:dyDescent="0.2">
      <c r="A4577" s="2">
        <v>13</v>
      </c>
      <c r="B4577" s="1" t="s">
        <v>254</v>
      </c>
      <c r="C4577" s="4">
        <v>3</v>
      </c>
      <c r="D4577" s="8">
        <v>2.08</v>
      </c>
      <c r="E4577" s="4">
        <v>1</v>
      </c>
      <c r="F4577" s="8">
        <v>1.32</v>
      </c>
      <c r="G4577" s="4">
        <v>2</v>
      </c>
      <c r="H4577" s="8">
        <v>3.33</v>
      </c>
      <c r="I4577" s="4">
        <v>0</v>
      </c>
    </row>
    <row r="4578" spans="1:9" x14ac:dyDescent="0.2">
      <c r="A4578" s="2">
        <v>13</v>
      </c>
      <c r="B4578" s="1" t="s">
        <v>248</v>
      </c>
      <c r="C4578" s="4">
        <v>3</v>
      </c>
      <c r="D4578" s="8">
        <v>2.08</v>
      </c>
      <c r="E4578" s="4">
        <v>1</v>
      </c>
      <c r="F4578" s="8">
        <v>1.32</v>
      </c>
      <c r="G4578" s="4">
        <v>2</v>
      </c>
      <c r="H4578" s="8">
        <v>3.33</v>
      </c>
      <c r="I4578" s="4">
        <v>0</v>
      </c>
    </row>
    <row r="4579" spans="1:9" x14ac:dyDescent="0.2">
      <c r="A4579" s="2">
        <v>13</v>
      </c>
      <c r="B4579" s="1" t="s">
        <v>222</v>
      </c>
      <c r="C4579" s="4">
        <v>3</v>
      </c>
      <c r="D4579" s="8">
        <v>2.08</v>
      </c>
      <c r="E4579" s="4">
        <v>1</v>
      </c>
      <c r="F4579" s="8">
        <v>1.32</v>
      </c>
      <c r="G4579" s="4">
        <v>2</v>
      </c>
      <c r="H4579" s="8">
        <v>3.33</v>
      </c>
      <c r="I4579" s="4">
        <v>0</v>
      </c>
    </row>
    <row r="4580" spans="1:9" x14ac:dyDescent="0.2">
      <c r="A4580" s="2">
        <v>13</v>
      </c>
      <c r="B4580" s="1" t="s">
        <v>226</v>
      </c>
      <c r="C4580" s="4">
        <v>3</v>
      </c>
      <c r="D4580" s="8">
        <v>2.08</v>
      </c>
      <c r="E4580" s="4">
        <v>1</v>
      </c>
      <c r="F4580" s="8">
        <v>1.32</v>
      </c>
      <c r="G4580" s="4">
        <v>2</v>
      </c>
      <c r="H4580" s="8">
        <v>3.33</v>
      </c>
      <c r="I4580" s="4">
        <v>0</v>
      </c>
    </row>
    <row r="4581" spans="1:9" x14ac:dyDescent="0.2">
      <c r="A4581" s="2">
        <v>13</v>
      </c>
      <c r="B4581" s="1" t="s">
        <v>231</v>
      </c>
      <c r="C4581" s="4">
        <v>3</v>
      </c>
      <c r="D4581" s="8">
        <v>2.08</v>
      </c>
      <c r="E4581" s="4">
        <v>2</v>
      </c>
      <c r="F4581" s="8">
        <v>2.63</v>
      </c>
      <c r="G4581" s="4">
        <v>1</v>
      </c>
      <c r="H4581" s="8">
        <v>1.67</v>
      </c>
      <c r="I4581" s="4">
        <v>0</v>
      </c>
    </row>
    <row r="4582" spans="1:9" x14ac:dyDescent="0.2">
      <c r="A4582" s="2">
        <v>13</v>
      </c>
      <c r="B4582" s="1" t="s">
        <v>240</v>
      </c>
      <c r="C4582" s="4">
        <v>3</v>
      </c>
      <c r="D4582" s="8">
        <v>2.08</v>
      </c>
      <c r="E4582" s="4">
        <v>2</v>
      </c>
      <c r="F4582" s="8">
        <v>2.63</v>
      </c>
      <c r="G4582" s="4">
        <v>1</v>
      </c>
      <c r="H4582" s="8">
        <v>1.67</v>
      </c>
      <c r="I4582" s="4">
        <v>0</v>
      </c>
    </row>
    <row r="4583" spans="1:9" x14ac:dyDescent="0.2">
      <c r="A4583" s="2">
        <v>19</v>
      </c>
      <c r="B4583" s="1" t="s">
        <v>244</v>
      </c>
      <c r="C4583" s="4">
        <v>2</v>
      </c>
      <c r="D4583" s="8">
        <v>1.39</v>
      </c>
      <c r="E4583" s="4">
        <v>0</v>
      </c>
      <c r="F4583" s="8">
        <v>0</v>
      </c>
      <c r="G4583" s="4">
        <v>2</v>
      </c>
      <c r="H4583" s="8">
        <v>3.33</v>
      </c>
      <c r="I4583" s="4">
        <v>0</v>
      </c>
    </row>
    <row r="4584" spans="1:9" x14ac:dyDescent="0.2">
      <c r="A4584" s="2">
        <v>19</v>
      </c>
      <c r="B4584" s="1" t="s">
        <v>236</v>
      </c>
      <c r="C4584" s="4">
        <v>2</v>
      </c>
      <c r="D4584" s="8">
        <v>1.39</v>
      </c>
      <c r="E4584" s="4">
        <v>1</v>
      </c>
      <c r="F4584" s="8">
        <v>1.32</v>
      </c>
      <c r="G4584" s="4">
        <v>1</v>
      </c>
      <c r="H4584" s="8">
        <v>1.67</v>
      </c>
      <c r="I4584" s="4">
        <v>0</v>
      </c>
    </row>
    <row r="4585" spans="1:9" x14ac:dyDescent="0.2">
      <c r="A4585" s="2">
        <v>19</v>
      </c>
      <c r="B4585" s="1" t="s">
        <v>246</v>
      </c>
      <c r="C4585" s="4">
        <v>2</v>
      </c>
      <c r="D4585" s="8">
        <v>1.39</v>
      </c>
      <c r="E4585" s="4">
        <v>0</v>
      </c>
      <c r="F4585" s="8">
        <v>0</v>
      </c>
      <c r="G4585" s="4">
        <v>2</v>
      </c>
      <c r="H4585" s="8">
        <v>3.33</v>
      </c>
      <c r="I4585" s="4">
        <v>0</v>
      </c>
    </row>
    <row r="4586" spans="1:9" x14ac:dyDescent="0.2">
      <c r="A4586" s="2">
        <v>19</v>
      </c>
      <c r="B4586" s="1" t="s">
        <v>239</v>
      </c>
      <c r="C4586" s="4">
        <v>2</v>
      </c>
      <c r="D4586" s="8">
        <v>1.39</v>
      </c>
      <c r="E4586" s="4">
        <v>1</v>
      </c>
      <c r="F4586" s="8">
        <v>1.32</v>
      </c>
      <c r="G4586" s="4">
        <v>1</v>
      </c>
      <c r="H4586" s="8">
        <v>1.67</v>
      </c>
      <c r="I4586" s="4">
        <v>0</v>
      </c>
    </row>
    <row r="4587" spans="1:9" x14ac:dyDescent="0.2">
      <c r="A4587" s="2">
        <v>19</v>
      </c>
      <c r="B4587" s="1" t="s">
        <v>242</v>
      </c>
      <c r="C4587" s="4">
        <v>2</v>
      </c>
      <c r="D4587" s="8">
        <v>1.39</v>
      </c>
      <c r="E4587" s="4">
        <v>1</v>
      </c>
      <c r="F4587" s="8">
        <v>1.32</v>
      </c>
      <c r="G4587" s="4">
        <v>1</v>
      </c>
      <c r="H4587" s="8">
        <v>1.67</v>
      </c>
      <c r="I4587" s="4">
        <v>0</v>
      </c>
    </row>
    <row r="4588" spans="1:9" x14ac:dyDescent="0.2">
      <c r="A4588" s="1"/>
      <c r="C4588" s="4"/>
      <c r="D4588" s="8"/>
      <c r="E4588" s="4"/>
      <c r="F4588" s="8"/>
      <c r="G4588" s="4"/>
      <c r="H4588" s="8"/>
      <c r="I4588" s="4"/>
    </row>
    <row r="4589" spans="1:9" x14ac:dyDescent="0.2">
      <c r="A4589" s="1" t="s">
        <v>179</v>
      </c>
      <c r="C4589" s="4"/>
      <c r="D4589" s="8"/>
      <c r="E4589" s="4"/>
      <c r="F4589" s="8"/>
      <c r="G4589" s="4"/>
      <c r="H4589" s="8"/>
      <c r="I4589" s="4"/>
    </row>
    <row r="4590" spans="1:9" x14ac:dyDescent="0.2">
      <c r="A4590" s="2">
        <v>1</v>
      </c>
      <c r="B4590" s="1" t="s">
        <v>228</v>
      </c>
      <c r="C4590" s="4">
        <v>56</v>
      </c>
      <c r="D4590" s="8">
        <v>10.130000000000001</v>
      </c>
      <c r="E4590" s="4">
        <v>48</v>
      </c>
      <c r="F4590" s="8">
        <v>19.2</v>
      </c>
      <c r="G4590" s="4">
        <v>8</v>
      </c>
      <c r="H4590" s="8">
        <v>2.69</v>
      </c>
      <c r="I4590" s="4">
        <v>0</v>
      </c>
    </row>
    <row r="4591" spans="1:9" x14ac:dyDescent="0.2">
      <c r="A4591" s="2">
        <v>2</v>
      </c>
      <c r="B4591" s="1" t="s">
        <v>214</v>
      </c>
      <c r="C4591" s="4">
        <v>53</v>
      </c>
      <c r="D4591" s="8">
        <v>9.58</v>
      </c>
      <c r="E4591" s="4">
        <v>17</v>
      </c>
      <c r="F4591" s="8">
        <v>6.8</v>
      </c>
      <c r="G4591" s="4">
        <v>36</v>
      </c>
      <c r="H4591" s="8">
        <v>12.12</v>
      </c>
      <c r="I4591" s="4">
        <v>0</v>
      </c>
    </row>
    <row r="4592" spans="1:9" x14ac:dyDescent="0.2">
      <c r="A4592" s="2">
        <v>3</v>
      </c>
      <c r="B4592" s="1" t="s">
        <v>213</v>
      </c>
      <c r="C4592" s="4">
        <v>44</v>
      </c>
      <c r="D4592" s="8">
        <v>7.96</v>
      </c>
      <c r="E4592" s="4">
        <v>9</v>
      </c>
      <c r="F4592" s="8">
        <v>3.6</v>
      </c>
      <c r="G4592" s="4">
        <v>35</v>
      </c>
      <c r="H4592" s="8">
        <v>11.78</v>
      </c>
      <c r="I4592" s="4">
        <v>0</v>
      </c>
    </row>
    <row r="4593" spans="1:9" x14ac:dyDescent="0.2">
      <c r="A4593" s="2">
        <v>3</v>
      </c>
      <c r="B4593" s="1" t="s">
        <v>224</v>
      </c>
      <c r="C4593" s="4">
        <v>44</v>
      </c>
      <c r="D4593" s="8">
        <v>7.96</v>
      </c>
      <c r="E4593" s="4">
        <v>34</v>
      </c>
      <c r="F4593" s="8">
        <v>13.6</v>
      </c>
      <c r="G4593" s="4">
        <v>9</v>
      </c>
      <c r="H4593" s="8">
        <v>3.03</v>
      </c>
      <c r="I4593" s="4">
        <v>0</v>
      </c>
    </row>
    <row r="4594" spans="1:9" x14ac:dyDescent="0.2">
      <c r="A4594" s="2">
        <v>3</v>
      </c>
      <c r="B4594" s="1" t="s">
        <v>227</v>
      </c>
      <c r="C4594" s="4">
        <v>44</v>
      </c>
      <c r="D4594" s="8">
        <v>7.96</v>
      </c>
      <c r="E4594" s="4">
        <v>37</v>
      </c>
      <c r="F4594" s="8">
        <v>14.8</v>
      </c>
      <c r="G4594" s="4">
        <v>7</v>
      </c>
      <c r="H4594" s="8">
        <v>2.36</v>
      </c>
      <c r="I4594" s="4">
        <v>0</v>
      </c>
    </row>
    <row r="4595" spans="1:9" x14ac:dyDescent="0.2">
      <c r="A4595" s="2">
        <v>6</v>
      </c>
      <c r="B4595" s="1" t="s">
        <v>220</v>
      </c>
      <c r="C4595" s="4">
        <v>32</v>
      </c>
      <c r="D4595" s="8">
        <v>5.79</v>
      </c>
      <c r="E4595" s="4">
        <v>4</v>
      </c>
      <c r="F4595" s="8">
        <v>1.6</v>
      </c>
      <c r="G4595" s="4">
        <v>28</v>
      </c>
      <c r="H4595" s="8">
        <v>9.43</v>
      </c>
      <c r="I4595" s="4">
        <v>0</v>
      </c>
    </row>
    <row r="4596" spans="1:9" x14ac:dyDescent="0.2">
      <c r="A4596" s="2">
        <v>7</v>
      </c>
      <c r="B4596" s="1" t="s">
        <v>223</v>
      </c>
      <c r="C4596" s="4">
        <v>29</v>
      </c>
      <c r="D4596" s="8">
        <v>5.24</v>
      </c>
      <c r="E4596" s="4">
        <v>7</v>
      </c>
      <c r="F4596" s="8">
        <v>2.8</v>
      </c>
      <c r="G4596" s="4">
        <v>22</v>
      </c>
      <c r="H4596" s="8">
        <v>7.41</v>
      </c>
      <c r="I4596" s="4">
        <v>0</v>
      </c>
    </row>
    <row r="4597" spans="1:9" x14ac:dyDescent="0.2">
      <c r="A4597" s="2">
        <v>8</v>
      </c>
      <c r="B4597" s="1" t="s">
        <v>215</v>
      </c>
      <c r="C4597" s="4">
        <v>28</v>
      </c>
      <c r="D4597" s="8">
        <v>5.0599999999999996</v>
      </c>
      <c r="E4597" s="4">
        <v>8</v>
      </c>
      <c r="F4597" s="8">
        <v>3.2</v>
      </c>
      <c r="G4597" s="4">
        <v>20</v>
      </c>
      <c r="H4597" s="8">
        <v>6.73</v>
      </c>
      <c r="I4597" s="4">
        <v>0</v>
      </c>
    </row>
    <row r="4598" spans="1:9" x14ac:dyDescent="0.2">
      <c r="A4598" s="2">
        <v>9</v>
      </c>
      <c r="B4598" s="1" t="s">
        <v>230</v>
      </c>
      <c r="C4598" s="4">
        <v>21</v>
      </c>
      <c r="D4598" s="8">
        <v>3.8</v>
      </c>
      <c r="E4598" s="4">
        <v>15</v>
      </c>
      <c r="F4598" s="8">
        <v>6</v>
      </c>
      <c r="G4598" s="4">
        <v>3</v>
      </c>
      <c r="H4598" s="8">
        <v>1.01</v>
      </c>
      <c r="I4598" s="4">
        <v>0</v>
      </c>
    </row>
    <row r="4599" spans="1:9" x14ac:dyDescent="0.2">
      <c r="A4599" s="2">
        <v>10</v>
      </c>
      <c r="B4599" s="1" t="s">
        <v>231</v>
      </c>
      <c r="C4599" s="4">
        <v>19</v>
      </c>
      <c r="D4599" s="8">
        <v>3.44</v>
      </c>
      <c r="E4599" s="4">
        <v>14</v>
      </c>
      <c r="F4599" s="8">
        <v>5.6</v>
      </c>
      <c r="G4599" s="4">
        <v>5</v>
      </c>
      <c r="H4599" s="8">
        <v>1.68</v>
      </c>
      <c r="I4599" s="4">
        <v>0</v>
      </c>
    </row>
    <row r="4600" spans="1:9" x14ac:dyDescent="0.2">
      <c r="A4600" s="2">
        <v>11</v>
      </c>
      <c r="B4600" s="1" t="s">
        <v>240</v>
      </c>
      <c r="C4600" s="4">
        <v>18</v>
      </c>
      <c r="D4600" s="8">
        <v>3.25</v>
      </c>
      <c r="E4600" s="4">
        <v>9</v>
      </c>
      <c r="F4600" s="8">
        <v>3.6</v>
      </c>
      <c r="G4600" s="4">
        <v>9</v>
      </c>
      <c r="H4600" s="8">
        <v>3.03</v>
      </c>
      <c r="I4600" s="4">
        <v>0</v>
      </c>
    </row>
    <row r="4601" spans="1:9" x14ac:dyDescent="0.2">
      <c r="A4601" s="2">
        <v>12</v>
      </c>
      <c r="B4601" s="1" t="s">
        <v>217</v>
      </c>
      <c r="C4601" s="4">
        <v>13</v>
      </c>
      <c r="D4601" s="8">
        <v>2.35</v>
      </c>
      <c r="E4601" s="4">
        <v>3</v>
      </c>
      <c r="F4601" s="8">
        <v>1.2</v>
      </c>
      <c r="G4601" s="4">
        <v>10</v>
      </c>
      <c r="H4601" s="8">
        <v>3.37</v>
      </c>
      <c r="I4601" s="4">
        <v>0</v>
      </c>
    </row>
    <row r="4602" spans="1:9" x14ac:dyDescent="0.2">
      <c r="A4602" s="2">
        <v>12</v>
      </c>
      <c r="B4602" s="1" t="s">
        <v>222</v>
      </c>
      <c r="C4602" s="4">
        <v>13</v>
      </c>
      <c r="D4602" s="8">
        <v>2.35</v>
      </c>
      <c r="E4602" s="4">
        <v>6</v>
      </c>
      <c r="F4602" s="8">
        <v>2.4</v>
      </c>
      <c r="G4602" s="4">
        <v>7</v>
      </c>
      <c r="H4602" s="8">
        <v>2.36</v>
      </c>
      <c r="I4602" s="4">
        <v>0</v>
      </c>
    </row>
    <row r="4603" spans="1:9" x14ac:dyDescent="0.2">
      <c r="A4603" s="2">
        <v>14</v>
      </c>
      <c r="B4603" s="1" t="s">
        <v>236</v>
      </c>
      <c r="C4603" s="4">
        <v>11</v>
      </c>
      <c r="D4603" s="8">
        <v>1.99</v>
      </c>
      <c r="E4603" s="4">
        <v>5</v>
      </c>
      <c r="F4603" s="8">
        <v>2</v>
      </c>
      <c r="G4603" s="4">
        <v>6</v>
      </c>
      <c r="H4603" s="8">
        <v>2.02</v>
      </c>
      <c r="I4603" s="4">
        <v>0</v>
      </c>
    </row>
    <row r="4604" spans="1:9" x14ac:dyDescent="0.2">
      <c r="A4604" s="2">
        <v>15</v>
      </c>
      <c r="B4604" s="1" t="s">
        <v>253</v>
      </c>
      <c r="C4604" s="4">
        <v>10</v>
      </c>
      <c r="D4604" s="8">
        <v>1.81</v>
      </c>
      <c r="E4604" s="4">
        <v>7</v>
      </c>
      <c r="F4604" s="8">
        <v>2.8</v>
      </c>
      <c r="G4604" s="4">
        <v>3</v>
      </c>
      <c r="H4604" s="8">
        <v>1.01</v>
      </c>
      <c r="I4604" s="4">
        <v>0</v>
      </c>
    </row>
    <row r="4605" spans="1:9" x14ac:dyDescent="0.2">
      <c r="A4605" s="2">
        <v>15</v>
      </c>
      <c r="B4605" s="1" t="s">
        <v>232</v>
      </c>
      <c r="C4605" s="4">
        <v>10</v>
      </c>
      <c r="D4605" s="8">
        <v>1.81</v>
      </c>
      <c r="E4605" s="4">
        <v>0</v>
      </c>
      <c r="F4605" s="8">
        <v>0</v>
      </c>
      <c r="G4605" s="4">
        <v>8</v>
      </c>
      <c r="H4605" s="8">
        <v>2.69</v>
      </c>
      <c r="I4605" s="4">
        <v>0</v>
      </c>
    </row>
    <row r="4606" spans="1:9" x14ac:dyDescent="0.2">
      <c r="A4606" s="2">
        <v>17</v>
      </c>
      <c r="B4606" s="1" t="s">
        <v>221</v>
      </c>
      <c r="C4606" s="4">
        <v>9</v>
      </c>
      <c r="D4606" s="8">
        <v>1.63</v>
      </c>
      <c r="E4606" s="4">
        <v>4</v>
      </c>
      <c r="F4606" s="8">
        <v>1.6</v>
      </c>
      <c r="G4606" s="4">
        <v>5</v>
      </c>
      <c r="H4606" s="8">
        <v>1.68</v>
      </c>
      <c r="I4606" s="4">
        <v>0</v>
      </c>
    </row>
    <row r="4607" spans="1:9" x14ac:dyDescent="0.2">
      <c r="A4607" s="2">
        <v>17</v>
      </c>
      <c r="B4607" s="1" t="s">
        <v>226</v>
      </c>
      <c r="C4607" s="4">
        <v>9</v>
      </c>
      <c r="D4607" s="8">
        <v>1.63</v>
      </c>
      <c r="E4607" s="4">
        <v>4</v>
      </c>
      <c r="F4607" s="8">
        <v>1.6</v>
      </c>
      <c r="G4607" s="4">
        <v>5</v>
      </c>
      <c r="H4607" s="8">
        <v>1.68</v>
      </c>
      <c r="I4607" s="4">
        <v>0</v>
      </c>
    </row>
    <row r="4608" spans="1:9" x14ac:dyDescent="0.2">
      <c r="A4608" s="2">
        <v>19</v>
      </c>
      <c r="B4608" s="1" t="s">
        <v>241</v>
      </c>
      <c r="C4608" s="4">
        <v>8</v>
      </c>
      <c r="D4608" s="8">
        <v>1.45</v>
      </c>
      <c r="E4608" s="4">
        <v>0</v>
      </c>
      <c r="F4608" s="8">
        <v>0</v>
      </c>
      <c r="G4608" s="4">
        <v>8</v>
      </c>
      <c r="H4608" s="8">
        <v>2.69</v>
      </c>
      <c r="I4608" s="4">
        <v>0</v>
      </c>
    </row>
    <row r="4609" spans="1:9" x14ac:dyDescent="0.2">
      <c r="A4609" s="2">
        <v>19</v>
      </c>
      <c r="B4609" s="1" t="s">
        <v>219</v>
      </c>
      <c r="C4609" s="4">
        <v>8</v>
      </c>
      <c r="D4609" s="8">
        <v>1.45</v>
      </c>
      <c r="E4609" s="4">
        <v>0</v>
      </c>
      <c r="F4609" s="8">
        <v>0</v>
      </c>
      <c r="G4609" s="4">
        <v>8</v>
      </c>
      <c r="H4609" s="8">
        <v>2.69</v>
      </c>
      <c r="I4609" s="4">
        <v>0</v>
      </c>
    </row>
    <row r="4610" spans="1:9" x14ac:dyDescent="0.2">
      <c r="A4610" s="1"/>
      <c r="C4610" s="4"/>
      <c r="D4610" s="8"/>
      <c r="E4610" s="4"/>
      <c r="F4610" s="8"/>
      <c r="G4610" s="4"/>
      <c r="H4610" s="8"/>
      <c r="I4610" s="4"/>
    </row>
    <row r="4611" spans="1:9" x14ac:dyDescent="0.2">
      <c r="A4611" s="1" t="s">
        <v>180</v>
      </c>
      <c r="C4611" s="4"/>
      <c r="D4611" s="8"/>
      <c r="E4611" s="4"/>
      <c r="F4611" s="8"/>
      <c r="G4611" s="4"/>
      <c r="H4611" s="8"/>
      <c r="I4611" s="4"/>
    </row>
    <row r="4612" spans="1:9" x14ac:dyDescent="0.2">
      <c r="A4612" s="2">
        <v>1</v>
      </c>
      <c r="B4612" s="1" t="s">
        <v>227</v>
      </c>
      <c r="C4612" s="4">
        <v>33</v>
      </c>
      <c r="D4612" s="8">
        <v>11.46</v>
      </c>
      <c r="E4612" s="4">
        <v>31</v>
      </c>
      <c r="F4612" s="8">
        <v>20.81</v>
      </c>
      <c r="G4612" s="4">
        <v>2</v>
      </c>
      <c r="H4612" s="8">
        <v>1.63</v>
      </c>
      <c r="I4612" s="4">
        <v>0</v>
      </c>
    </row>
    <row r="4613" spans="1:9" x14ac:dyDescent="0.2">
      <c r="A4613" s="2">
        <v>2</v>
      </c>
      <c r="B4613" s="1" t="s">
        <v>228</v>
      </c>
      <c r="C4613" s="4">
        <v>28</v>
      </c>
      <c r="D4613" s="8">
        <v>9.7200000000000006</v>
      </c>
      <c r="E4613" s="4">
        <v>26</v>
      </c>
      <c r="F4613" s="8">
        <v>17.45</v>
      </c>
      <c r="G4613" s="4">
        <v>2</v>
      </c>
      <c r="H4613" s="8">
        <v>1.63</v>
      </c>
      <c r="I4613" s="4">
        <v>0</v>
      </c>
    </row>
    <row r="4614" spans="1:9" x14ac:dyDescent="0.2">
      <c r="A4614" s="2">
        <v>3</v>
      </c>
      <c r="B4614" s="1" t="s">
        <v>223</v>
      </c>
      <c r="C4614" s="4">
        <v>27</v>
      </c>
      <c r="D4614" s="8">
        <v>9.3800000000000008</v>
      </c>
      <c r="E4614" s="4">
        <v>11</v>
      </c>
      <c r="F4614" s="8">
        <v>7.38</v>
      </c>
      <c r="G4614" s="4">
        <v>16</v>
      </c>
      <c r="H4614" s="8">
        <v>13.01</v>
      </c>
      <c r="I4614" s="4">
        <v>0</v>
      </c>
    </row>
    <row r="4615" spans="1:9" x14ac:dyDescent="0.2">
      <c r="A4615" s="2">
        <v>4</v>
      </c>
      <c r="B4615" s="1" t="s">
        <v>221</v>
      </c>
      <c r="C4615" s="4">
        <v>21</v>
      </c>
      <c r="D4615" s="8">
        <v>7.29</v>
      </c>
      <c r="E4615" s="4">
        <v>6</v>
      </c>
      <c r="F4615" s="8">
        <v>4.03</v>
      </c>
      <c r="G4615" s="4">
        <v>13</v>
      </c>
      <c r="H4615" s="8">
        <v>10.57</v>
      </c>
      <c r="I4615" s="4">
        <v>2</v>
      </c>
    </row>
    <row r="4616" spans="1:9" x14ac:dyDescent="0.2">
      <c r="A4616" s="2">
        <v>5</v>
      </c>
      <c r="B4616" s="1" t="s">
        <v>224</v>
      </c>
      <c r="C4616" s="4">
        <v>19</v>
      </c>
      <c r="D4616" s="8">
        <v>6.6</v>
      </c>
      <c r="E4616" s="4">
        <v>16</v>
      </c>
      <c r="F4616" s="8">
        <v>10.74</v>
      </c>
      <c r="G4616" s="4">
        <v>3</v>
      </c>
      <c r="H4616" s="8">
        <v>2.44</v>
      </c>
      <c r="I4616" s="4">
        <v>0</v>
      </c>
    </row>
    <row r="4617" spans="1:9" x14ac:dyDescent="0.2">
      <c r="A4617" s="2">
        <v>6</v>
      </c>
      <c r="B4617" s="1" t="s">
        <v>213</v>
      </c>
      <c r="C4617" s="4">
        <v>17</v>
      </c>
      <c r="D4617" s="8">
        <v>5.9</v>
      </c>
      <c r="E4617" s="4">
        <v>6</v>
      </c>
      <c r="F4617" s="8">
        <v>4.03</v>
      </c>
      <c r="G4617" s="4">
        <v>11</v>
      </c>
      <c r="H4617" s="8">
        <v>8.94</v>
      </c>
      <c r="I4617" s="4">
        <v>0</v>
      </c>
    </row>
    <row r="4618" spans="1:9" x14ac:dyDescent="0.2">
      <c r="A4618" s="2">
        <v>7</v>
      </c>
      <c r="B4618" s="1" t="s">
        <v>214</v>
      </c>
      <c r="C4618" s="4">
        <v>12</v>
      </c>
      <c r="D4618" s="8">
        <v>4.17</v>
      </c>
      <c r="E4618" s="4">
        <v>4</v>
      </c>
      <c r="F4618" s="8">
        <v>2.68</v>
      </c>
      <c r="G4618" s="4">
        <v>8</v>
      </c>
      <c r="H4618" s="8">
        <v>6.5</v>
      </c>
      <c r="I4618" s="4">
        <v>0</v>
      </c>
    </row>
    <row r="4619" spans="1:9" x14ac:dyDescent="0.2">
      <c r="A4619" s="2">
        <v>7</v>
      </c>
      <c r="B4619" s="1" t="s">
        <v>222</v>
      </c>
      <c r="C4619" s="4">
        <v>12</v>
      </c>
      <c r="D4619" s="8">
        <v>4.17</v>
      </c>
      <c r="E4619" s="4">
        <v>4</v>
      </c>
      <c r="F4619" s="8">
        <v>2.68</v>
      </c>
      <c r="G4619" s="4">
        <v>8</v>
      </c>
      <c r="H4619" s="8">
        <v>6.5</v>
      </c>
      <c r="I4619" s="4">
        <v>0</v>
      </c>
    </row>
    <row r="4620" spans="1:9" x14ac:dyDescent="0.2">
      <c r="A4620" s="2">
        <v>9</v>
      </c>
      <c r="B4620" s="1" t="s">
        <v>241</v>
      </c>
      <c r="C4620" s="4">
        <v>11</v>
      </c>
      <c r="D4620" s="8">
        <v>3.82</v>
      </c>
      <c r="E4620" s="4">
        <v>0</v>
      </c>
      <c r="F4620" s="8">
        <v>0</v>
      </c>
      <c r="G4620" s="4">
        <v>11</v>
      </c>
      <c r="H4620" s="8">
        <v>8.94</v>
      </c>
      <c r="I4620" s="4">
        <v>0</v>
      </c>
    </row>
    <row r="4621" spans="1:9" x14ac:dyDescent="0.2">
      <c r="A4621" s="2">
        <v>10</v>
      </c>
      <c r="B4621" s="1" t="s">
        <v>216</v>
      </c>
      <c r="C4621" s="4">
        <v>10</v>
      </c>
      <c r="D4621" s="8">
        <v>3.47</v>
      </c>
      <c r="E4621" s="4">
        <v>2</v>
      </c>
      <c r="F4621" s="8">
        <v>1.34</v>
      </c>
      <c r="G4621" s="4">
        <v>8</v>
      </c>
      <c r="H4621" s="8">
        <v>6.5</v>
      </c>
      <c r="I4621" s="4">
        <v>0</v>
      </c>
    </row>
    <row r="4622" spans="1:9" x14ac:dyDescent="0.2">
      <c r="A4622" s="2">
        <v>10</v>
      </c>
      <c r="B4622" s="1" t="s">
        <v>230</v>
      </c>
      <c r="C4622" s="4">
        <v>10</v>
      </c>
      <c r="D4622" s="8">
        <v>3.47</v>
      </c>
      <c r="E4622" s="4">
        <v>5</v>
      </c>
      <c r="F4622" s="8">
        <v>3.36</v>
      </c>
      <c r="G4622" s="4">
        <v>0</v>
      </c>
      <c r="H4622" s="8">
        <v>0</v>
      </c>
      <c r="I4622" s="4">
        <v>0</v>
      </c>
    </row>
    <row r="4623" spans="1:9" x14ac:dyDescent="0.2">
      <c r="A4623" s="2">
        <v>12</v>
      </c>
      <c r="B4623" s="1" t="s">
        <v>257</v>
      </c>
      <c r="C4623" s="4">
        <v>7</v>
      </c>
      <c r="D4623" s="8">
        <v>2.4300000000000002</v>
      </c>
      <c r="E4623" s="4">
        <v>5</v>
      </c>
      <c r="F4623" s="8">
        <v>3.36</v>
      </c>
      <c r="G4623" s="4">
        <v>2</v>
      </c>
      <c r="H4623" s="8">
        <v>1.63</v>
      </c>
      <c r="I4623" s="4">
        <v>0</v>
      </c>
    </row>
    <row r="4624" spans="1:9" x14ac:dyDescent="0.2">
      <c r="A4624" s="2">
        <v>13</v>
      </c>
      <c r="B4624" s="1" t="s">
        <v>215</v>
      </c>
      <c r="C4624" s="4">
        <v>6</v>
      </c>
      <c r="D4624" s="8">
        <v>2.08</v>
      </c>
      <c r="E4624" s="4">
        <v>2</v>
      </c>
      <c r="F4624" s="8">
        <v>1.34</v>
      </c>
      <c r="G4624" s="4">
        <v>4</v>
      </c>
      <c r="H4624" s="8">
        <v>3.25</v>
      </c>
      <c r="I4624" s="4">
        <v>0</v>
      </c>
    </row>
    <row r="4625" spans="1:9" x14ac:dyDescent="0.2">
      <c r="A4625" s="2">
        <v>13</v>
      </c>
      <c r="B4625" s="1" t="s">
        <v>220</v>
      </c>
      <c r="C4625" s="4">
        <v>6</v>
      </c>
      <c r="D4625" s="8">
        <v>2.08</v>
      </c>
      <c r="E4625" s="4">
        <v>3</v>
      </c>
      <c r="F4625" s="8">
        <v>2.0099999999999998</v>
      </c>
      <c r="G4625" s="4">
        <v>3</v>
      </c>
      <c r="H4625" s="8">
        <v>2.44</v>
      </c>
      <c r="I4625" s="4">
        <v>0</v>
      </c>
    </row>
    <row r="4626" spans="1:9" x14ac:dyDescent="0.2">
      <c r="A4626" s="2">
        <v>13</v>
      </c>
      <c r="B4626" s="1" t="s">
        <v>231</v>
      </c>
      <c r="C4626" s="4">
        <v>6</v>
      </c>
      <c r="D4626" s="8">
        <v>2.08</v>
      </c>
      <c r="E4626" s="4">
        <v>6</v>
      </c>
      <c r="F4626" s="8">
        <v>4.03</v>
      </c>
      <c r="G4626" s="4">
        <v>0</v>
      </c>
      <c r="H4626" s="8">
        <v>0</v>
      </c>
      <c r="I4626" s="4">
        <v>0</v>
      </c>
    </row>
    <row r="4627" spans="1:9" x14ac:dyDescent="0.2">
      <c r="A4627" s="2">
        <v>16</v>
      </c>
      <c r="B4627" s="1" t="s">
        <v>217</v>
      </c>
      <c r="C4627" s="4">
        <v>5</v>
      </c>
      <c r="D4627" s="8">
        <v>1.74</v>
      </c>
      <c r="E4627" s="4">
        <v>2</v>
      </c>
      <c r="F4627" s="8">
        <v>1.34</v>
      </c>
      <c r="G4627" s="4">
        <v>3</v>
      </c>
      <c r="H4627" s="8">
        <v>2.44</v>
      </c>
      <c r="I4627" s="4">
        <v>0</v>
      </c>
    </row>
    <row r="4628" spans="1:9" x14ac:dyDescent="0.2">
      <c r="A4628" s="2">
        <v>16</v>
      </c>
      <c r="B4628" s="1" t="s">
        <v>232</v>
      </c>
      <c r="C4628" s="4">
        <v>5</v>
      </c>
      <c r="D4628" s="8">
        <v>1.74</v>
      </c>
      <c r="E4628" s="4">
        <v>0</v>
      </c>
      <c r="F4628" s="8">
        <v>0</v>
      </c>
      <c r="G4628" s="4">
        <v>3</v>
      </c>
      <c r="H4628" s="8">
        <v>2.44</v>
      </c>
      <c r="I4628" s="4">
        <v>0</v>
      </c>
    </row>
    <row r="4629" spans="1:9" x14ac:dyDescent="0.2">
      <c r="A4629" s="2">
        <v>16</v>
      </c>
      <c r="B4629" s="1" t="s">
        <v>240</v>
      </c>
      <c r="C4629" s="4">
        <v>5</v>
      </c>
      <c r="D4629" s="8">
        <v>1.74</v>
      </c>
      <c r="E4629" s="4">
        <v>4</v>
      </c>
      <c r="F4629" s="8">
        <v>2.68</v>
      </c>
      <c r="G4629" s="4">
        <v>1</v>
      </c>
      <c r="H4629" s="8">
        <v>0.81</v>
      </c>
      <c r="I4629" s="4">
        <v>0</v>
      </c>
    </row>
    <row r="4630" spans="1:9" x14ac:dyDescent="0.2">
      <c r="A4630" s="2">
        <v>16</v>
      </c>
      <c r="B4630" s="1" t="s">
        <v>242</v>
      </c>
      <c r="C4630" s="4">
        <v>5</v>
      </c>
      <c r="D4630" s="8">
        <v>1.74</v>
      </c>
      <c r="E4630" s="4">
        <v>4</v>
      </c>
      <c r="F4630" s="8">
        <v>2.68</v>
      </c>
      <c r="G4630" s="4">
        <v>1</v>
      </c>
      <c r="H4630" s="8">
        <v>0.81</v>
      </c>
      <c r="I4630" s="4">
        <v>0</v>
      </c>
    </row>
    <row r="4631" spans="1:9" x14ac:dyDescent="0.2">
      <c r="A4631" s="2">
        <v>20</v>
      </c>
      <c r="B4631" s="1" t="s">
        <v>229</v>
      </c>
      <c r="C4631" s="4">
        <v>4</v>
      </c>
      <c r="D4631" s="8">
        <v>1.39</v>
      </c>
      <c r="E4631" s="4">
        <v>2</v>
      </c>
      <c r="F4631" s="8">
        <v>1.34</v>
      </c>
      <c r="G4631" s="4">
        <v>1</v>
      </c>
      <c r="H4631" s="8">
        <v>0.81</v>
      </c>
      <c r="I4631" s="4">
        <v>0</v>
      </c>
    </row>
    <row r="4632" spans="1:9" x14ac:dyDescent="0.2">
      <c r="A4632" s="1"/>
      <c r="C4632" s="4"/>
      <c r="D4632" s="8"/>
      <c r="E4632" s="4"/>
      <c r="F4632" s="8"/>
      <c r="G4632" s="4"/>
      <c r="H4632" s="8"/>
      <c r="I4632" s="4"/>
    </row>
    <row r="4633" spans="1:9" x14ac:dyDescent="0.2">
      <c r="A4633" s="1" t="s">
        <v>181</v>
      </c>
      <c r="C4633" s="4"/>
      <c r="D4633" s="8"/>
      <c r="E4633" s="4"/>
      <c r="F4633" s="8"/>
      <c r="G4633" s="4"/>
      <c r="H4633" s="8"/>
      <c r="I4633" s="4"/>
    </row>
    <row r="4634" spans="1:9" x14ac:dyDescent="0.2">
      <c r="A4634" s="2">
        <v>1</v>
      </c>
      <c r="B4634" s="1" t="s">
        <v>227</v>
      </c>
      <c r="C4634" s="4">
        <v>19</v>
      </c>
      <c r="D4634" s="8">
        <v>12.93</v>
      </c>
      <c r="E4634" s="4">
        <v>18</v>
      </c>
      <c r="F4634" s="8">
        <v>20.22</v>
      </c>
      <c r="G4634" s="4">
        <v>1</v>
      </c>
      <c r="H4634" s="8">
        <v>2.17</v>
      </c>
      <c r="I4634" s="4">
        <v>0</v>
      </c>
    </row>
    <row r="4635" spans="1:9" x14ac:dyDescent="0.2">
      <c r="A4635" s="2">
        <v>2</v>
      </c>
      <c r="B4635" s="1" t="s">
        <v>228</v>
      </c>
      <c r="C4635" s="4">
        <v>18</v>
      </c>
      <c r="D4635" s="8">
        <v>12.24</v>
      </c>
      <c r="E4635" s="4">
        <v>18</v>
      </c>
      <c r="F4635" s="8">
        <v>20.22</v>
      </c>
      <c r="G4635" s="4">
        <v>0</v>
      </c>
      <c r="H4635" s="8">
        <v>0</v>
      </c>
      <c r="I4635" s="4">
        <v>0</v>
      </c>
    </row>
    <row r="4636" spans="1:9" x14ac:dyDescent="0.2">
      <c r="A4636" s="2">
        <v>3</v>
      </c>
      <c r="B4636" s="1" t="s">
        <v>223</v>
      </c>
      <c r="C4636" s="4">
        <v>14</v>
      </c>
      <c r="D4636" s="8">
        <v>9.52</v>
      </c>
      <c r="E4636" s="4">
        <v>4</v>
      </c>
      <c r="F4636" s="8">
        <v>4.49</v>
      </c>
      <c r="G4636" s="4">
        <v>10</v>
      </c>
      <c r="H4636" s="8">
        <v>21.74</v>
      </c>
      <c r="I4636" s="4">
        <v>0</v>
      </c>
    </row>
    <row r="4637" spans="1:9" x14ac:dyDescent="0.2">
      <c r="A4637" s="2">
        <v>4</v>
      </c>
      <c r="B4637" s="1" t="s">
        <v>221</v>
      </c>
      <c r="C4637" s="4">
        <v>11</v>
      </c>
      <c r="D4637" s="8">
        <v>7.48</v>
      </c>
      <c r="E4637" s="4">
        <v>8</v>
      </c>
      <c r="F4637" s="8">
        <v>8.99</v>
      </c>
      <c r="G4637" s="4">
        <v>3</v>
      </c>
      <c r="H4637" s="8">
        <v>6.52</v>
      </c>
      <c r="I4637" s="4">
        <v>0</v>
      </c>
    </row>
    <row r="4638" spans="1:9" x14ac:dyDescent="0.2">
      <c r="A4638" s="2">
        <v>5</v>
      </c>
      <c r="B4638" s="1" t="s">
        <v>243</v>
      </c>
      <c r="C4638" s="4">
        <v>10</v>
      </c>
      <c r="D4638" s="8">
        <v>6.8</v>
      </c>
      <c r="E4638" s="4">
        <v>9</v>
      </c>
      <c r="F4638" s="8">
        <v>10.11</v>
      </c>
      <c r="G4638" s="4">
        <v>1</v>
      </c>
      <c r="H4638" s="8">
        <v>2.17</v>
      </c>
      <c r="I4638" s="4">
        <v>0</v>
      </c>
    </row>
    <row r="4639" spans="1:9" x14ac:dyDescent="0.2">
      <c r="A4639" s="2">
        <v>6</v>
      </c>
      <c r="B4639" s="1" t="s">
        <v>214</v>
      </c>
      <c r="C4639" s="4">
        <v>8</v>
      </c>
      <c r="D4639" s="8">
        <v>5.44</v>
      </c>
      <c r="E4639" s="4">
        <v>3</v>
      </c>
      <c r="F4639" s="8">
        <v>3.37</v>
      </c>
      <c r="G4639" s="4">
        <v>5</v>
      </c>
      <c r="H4639" s="8">
        <v>10.87</v>
      </c>
      <c r="I4639" s="4">
        <v>0</v>
      </c>
    </row>
    <row r="4640" spans="1:9" x14ac:dyDescent="0.2">
      <c r="A4640" s="2">
        <v>7</v>
      </c>
      <c r="B4640" s="1" t="s">
        <v>241</v>
      </c>
      <c r="C4640" s="4">
        <v>6</v>
      </c>
      <c r="D4640" s="8">
        <v>4.08</v>
      </c>
      <c r="E4640" s="4">
        <v>3</v>
      </c>
      <c r="F4640" s="8">
        <v>3.37</v>
      </c>
      <c r="G4640" s="4">
        <v>3</v>
      </c>
      <c r="H4640" s="8">
        <v>6.52</v>
      </c>
      <c r="I4640" s="4">
        <v>0</v>
      </c>
    </row>
    <row r="4641" spans="1:9" x14ac:dyDescent="0.2">
      <c r="A4641" s="2">
        <v>7</v>
      </c>
      <c r="B4641" s="1" t="s">
        <v>257</v>
      </c>
      <c r="C4641" s="4">
        <v>6</v>
      </c>
      <c r="D4641" s="8">
        <v>4.08</v>
      </c>
      <c r="E4641" s="4">
        <v>6</v>
      </c>
      <c r="F4641" s="8">
        <v>6.74</v>
      </c>
      <c r="G4641" s="4">
        <v>0</v>
      </c>
      <c r="H4641" s="8">
        <v>0</v>
      </c>
      <c r="I4641" s="4">
        <v>0</v>
      </c>
    </row>
    <row r="4642" spans="1:9" x14ac:dyDescent="0.2">
      <c r="A4642" s="2">
        <v>7</v>
      </c>
      <c r="B4642" s="1" t="s">
        <v>232</v>
      </c>
      <c r="C4642" s="4">
        <v>6</v>
      </c>
      <c r="D4642" s="8">
        <v>4.08</v>
      </c>
      <c r="E4642" s="4">
        <v>0</v>
      </c>
      <c r="F4642" s="8">
        <v>0</v>
      </c>
      <c r="G4642" s="4">
        <v>0</v>
      </c>
      <c r="H4642" s="8">
        <v>0</v>
      </c>
      <c r="I4642" s="4">
        <v>0</v>
      </c>
    </row>
    <row r="4643" spans="1:9" x14ac:dyDescent="0.2">
      <c r="A4643" s="2">
        <v>10</v>
      </c>
      <c r="B4643" s="1" t="s">
        <v>247</v>
      </c>
      <c r="C4643" s="4">
        <v>5</v>
      </c>
      <c r="D4643" s="8">
        <v>3.4</v>
      </c>
      <c r="E4643" s="4">
        <v>2</v>
      </c>
      <c r="F4643" s="8">
        <v>2.25</v>
      </c>
      <c r="G4643" s="4">
        <v>0</v>
      </c>
      <c r="H4643" s="8">
        <v>0</v>
      </c>
      <c r="I4643" s="4">
        <v>0</v>
      </c>
    </row>
    <row r="4644" spans="1:9" x14ac:dyDescent="0.2">
      <c r="A4644" s="2">
        <v>11</v>
      </c>
      <c r="B4644" s="1" t="s">
        <v>213</v>
      </c>
      <c r="C4644" s="4">
        <v>4</v>
      </c>
      <c r="D4644" s="8">
        <v>2.72</v>
      </c>
      <c r="E4644" s="4">
        <v>2</v>
      </c>
      <c r="F4644" s="8">
        <v>2.25</v>
      </c>
      <c r="G4644" s="4">
        <v>2</v>
      </c>
      <c r="H4644" s="8">
        <v>4.3499999999999996</v>
      </c>
      <c r="I4644" s="4">
        <v>0</v>
      </c>
    </row>
    <row r="4645" spans="1:9" x14ac:dyDescent="0.2">
      <c r="A4645" s="2">
        <v>11</v>
      </c>
      <c r="B4645" s="1" t="s">
        <v>244</v>
      </c>
      <c r="C4645" s="4">
        <v>4</v>
      </c>
      <c r="D4645" s="8">
        <v>2.72</v>
      </c>
      <c r="E4645" s="4">
        <v>0</v>
      </c>
      <c r="F4645" s="8">
        <v>0</v>
      </c>
      <c r="G4645" s="4">
        <v>4</v>
      </c>
      <c r="H4645" s="8">
        <v>8.6999999999999993</v>
      </c>
      <c r="I4645" s="4">
        <v>0</v>
      </c>
    </row>
    <row r="4646" spans="1:9" x14ac:dyDescent="0.2">
      <c r="A4646" s="2">
        <v>11</v>
      </c>
      <c r="B4646" s="1" t="s">
        <v>216</v>
      </c>
      <c r="C4646" s="4">
        <v>4</v>
      </c>
      <c r="D4646" s="8">
        <v>2.72</v>
      </c>
      <c r="E4646" s="4">
        <v>1</v>
      </c>
      <c r="F4646" s="8">
        <v>1.1200000000000001</v>
      </c>
      <c r="G4646" s="4">
        <v>3</v>
      </c>
      <c r="H4646" s="8">
        <v>6.52</v>
      </c>
      <c r="I4646" s="4">
        <v>0</v>
      </c>
    </row>
    <row r="4647" spans="1:9" x14ac:dyDescent="0.2">
      <c r="A4647" s="2">
        <v>14</v>
      </c>
      <c r="B4647" s="1" t="s">
        <v>226</v>
      </c>
      <c r="C4647" s="4">
        <v>3</v>
      </c>
      <c r="D4647" s="8">
        <v>2.04</v>
      </c>
      <c r="E4647" s="4">
        <v>2</v>
      </c>
      <c r="F4647" s="8">
        <v>2.25</v>
      </c>
      <c r="G4647" s="4">
        <v>1</v>
      </c>
      <c r="H4647" s="8">
        <v>2.17</v>
      </c>
      <c r="I4647" s="4">
        <v>0</v>
      </c>
    </row>
    <row r="4648" spans="1:9" x14ac:dyDescent="0.2">
      <c r="A4648" s="2">
        <v>14</v>
      </c>
      <c r="B4648" s="1" t="s">
        <v>249</v>
      </c>
      <c r="C4648" s="4">
        <v>3</v>
      </c>
      <c r="D4648" s="8">
        <v>2.04</v>
      </c>
      <c r="E4648" s="4">
        <v>0</v>
      </c>
      <c r="F4648" s="8">
        <v>0</v>
      </c>
      <c r="G4648" s="4">
        <v>1</v>
      </c>
      <c r="H4648" s="8">
        <v>2.17</v>
      </c>
      <c r="I4648" s="4">
        <v>0</v>
      </c>
    </row>
    <row r="4649" spans="1:9" x14ac:dyDescent="0.2">
      <c r="A4649" s="2">
        <v>16</v>
      </c>
      <c r="B4649" s="1" t="s">
        <v>218</v>
      </c>
      <c r="C4649" s="4">
        <v>2</v>
      </c>
      <c r="D4649" s="8">
        <v>1.36</v>
      </c>
      <c r="E4649" s="4">
        <v>2</v>
      </c>
      <c r="F4649" s="8">
        <v>2.25</v>
      </c>
      <c r="G4649" s="4">
        <v>0</v>
      </c>
      <c r="H4649" s="8">
        <v>0</v>
      </c>
      <c r="I4649" s="4">
        <v>0</v>
      </c>
    </row>
    <row r="4650" spans="1:9" x14ac:dyDescent="0.2">
      <c r="A4650" s="2">
        <v>16</v>
      </c>
      <c r="B4650" s="1" t="s">
        <v>220</v>
      </c>
      <c r="C4650" s="4">
        <v>2</v>
      </c>
      <c r="D4650" s="8">
        <v>1.36</v>
      </c>
      <c r="E4650" s="4">
        <v>0</v>
      </c>
      <c r="F4650" s="8">
        <v>0</v>
      </c>
      <c r="G4650" s="4">
        <v>2</v>
      </c>
      <c r="H4650" s="8">
        <v>4.3499999999999996</v>
      </c>
      <c r="I4650" s="4">
        <v>0</v>
      </c>
    </row>
    <row r="4651" spans="1:9" x14ac:dyDescent="0.2">
      <c r="A4651" s="2">
        <v>16</v>
      </c>
      <c r="B4651" s="1" t="s">
        <v>222</v>
      </c>
      <c r="C4651" s="4">
        <v>2</v>
      </c>
      <c r="D4651" s="8">
        <v>1.36</v>
      </c>
      <c r="E4651" s="4">
        <v>1</v>
      </c>
      <c r="F4651" s="8">
        <v>1.1200000000000001</v>
      </c>
      <c r="G4651" s="4">
        <v>1</v>
      </c>
      <c r="H4651" s="8">
        <v>2.17</v>
      </c>
      <c r="I4651" s="4">
        <v>0</v>
      </c>
    </row>
    <row r="4652" spans="1:9" x14ac:dyDescent="0.2">
      <c r="A4652" s="2">
        <v>16</v>
      </c>
      <c r="B4652" s="1" t="s">
        <v>237</v>
      </c>
      <c r="C4652" s="4">
        <v>2</v>
      </c>
      <c r="D4652" s="8">
        <v>1.36</v>
      </c>
      <c r="E4652" s="4">
        <v>0</v>
      </c>
      <c r="F4652" s="8">
        <v>0</v>
      </c>
      <c r="G4652" s="4">
        <v>2</v>
      </c>
      <c r="H4652" s="8">
        <v>4.3499999999999996</v>
      </c>
      <c r="I4652" s="4">
        <v>0</v>
      </c>
    </row>
    <row r="4653" spans="1:9" x14ac:dyDescent="0.2">
      <c r="A4653" s="2">
        <v>16</v>
      </c>
      <c r="B4653" s="1" t="s">
        <v>224</v>
      </c>
      <c r="C4653" s="4">
        <v>2</v>
      </c>
      <c r="D4653" s="8">
        <v>1.36</v>
      </c>
      <c r="E4653" s="4">
        <v>2</v>
      </c>
      <c r="F4653" s="8">
        <v>2.25</v>
      </c>
      <c r="G4653" s="4">
        <v>0</v>
      </c>
      <c r="H4653" s="8">
        <v>0</v>
      </c>
      <c r="I4653" s="4">
        <v>0</v>
      </c>
    </row>
    <row r="4654" spans="1:9" x14ac:dyDescent="0.2">
      <c r="A4654" s="2">
        <v>16</v>
      </c>
      <c r="B4654" s="1" t="s">
        <v>230</v>
      </c>
      <c r="C4654" s="4">
        <v>2</v>
      </c>
      <c r="D4654" s="8">
        <v>1.36</v>
      </c>
      <c r="E4654" s="4">
        <v>2</v>
      </c>
      <c r="F4654" s="8">
        <v>2.25</v>
      </c>
      <c r="G4654" s="4">
        <v>0</v>
      </c>
      <c r="H4654" s="8">
        <v>0</v>
      </c>
      <c r="I4654" s="4">
        <v>0</v>
      </c>
    </row>
    <row r="4655" spans="1:9" x14ac:dyDescent="0.2">
      <c r="A4655" s="2">
        <v>16</v>
      </c>
      <c r="B4655" s="1" t="s">
        <v>231</v>
      </c>
      <c r="C4655" s="4">
        <v>2</v>
      </c>
      <c r="D4655" s="8">
        <v>1.36</v>
      </c>
      <c r="E4655" s="4">
        <v>2</v>
      </c>
      <c r="F4655" s="8">
        <v>2.25</v>
      </c>
      <c r="G4655" s="4">
        <v>0</v>
      </c>
      <c r="H4655" s="8">
        <v>0</v>
      </c>
      <c r="I4655" s="4">
        <v>0</v>
      </c>
    </row>
    <row r="4656" spans="1:9" x14ac:dyDescent="0.2">
      <c r="A4656" s="1"/>
      <c r="C4656" s="4"/>
      <c r="D4656" s="8"/>
      <c r="E4656" s="4"/>
      <c r="F4656" s="8"/>
      <c r="G4656" s="4"/>
      <c r="H4656" s="8"/>
      <c r="I4656" s="4"/>
    </row>
    <row r="4657" spans="1:9" x14ac:dyDescent="0.2">
      <c r="A4657" s="1" t="s">
        <v>182</v>
      </c>
      <c r="C4657" s="4"/>
      <c r="D4657" s="8"/>
      <c r="E4657" s="4"/>
      <c r="F4657" s="8"/>
      <c r="G4657" s="4"/>
      <c r="H4657" s="8"/>
      <c r="I4657" s="4"/>
    </row>
    <row r="4658" spans="1:9" x14ac:dyDescent="0.2">
      <c r="A4658" s="2">
        <v>1</v>
      </c>
      <c r="B4658" s="1" t="s">
        <v>227</v>
      </c>
      <c r="C4658" s="4">
        <v>36</v>
      </c>
      <c r="D4658" s="8">
        <v>16.510000000000002</v>
      </c>
      <c r="E4658" s="4">
        <v>35</v>
      </c>
      <c r="F4658" s="8">
        <v>31.53</v>
      </c>
      <c r="G4658" s="4">
        <v>1</v>
      </c>
      <c r="H4658" s="8">
        <v>1.04</v>
      </c>
      <c r="I4658" s="4">
        <v>0</v>
      </c>
    </row>
    <row r="4659" spans="1:9" x14ac:dyDescent="0.2">
      <c r="A4659" s="2">
        <v>2</v>
      </c>
      <c r="B4659" s="1" t="s">
        <v>223</v>
      </c>
      <c r="C4659" s="4">
        <v>22</v>
      </c>
      <c r="D4659" s="8">
        <v>10.09</v>
      </c>
      <c r="E4659" s="4">
        <v>8</v>
      </c>
      <c r="F4659" s="8">
        <v>7.21</v>
      </c>
      <c r="G4659" s="4">
        <v>14</v>
      </c>
      <c r="H4659" s="8">
        <v>14.58</v>
      </c>
      <c r="I4659" s="4">
        <v>0</v>
      </c>
    </row>
    <row r="4660" spans="1:9" x14ac:dyDescent="0.2">
      <c r="A4660" s="2">
        <v>3</v>
      </c>
      <c r="B4660" s="1" t="s">
        <v>228</v>
      </c>
      <c r="C4660" s="4">
        <v>21</v>
      </c>
      <c r="D4660" s="8">
        <v>9.6300000000000008</v>
      </c>
      <c r="E4660" s="4">
        <v>17</v>
      </c>
      <c r="F4660" s="8">
        <v>15.32</v>
      </c>
      <c r="G4660" s="4">
        <v>4</v>
      </c>
      <c r="H4660" s="8">
        <v>4.17</v>
      </c>
      <c r="I4660" s="4">
        <v>0</v>
      </c>
    </row>
    <row r="4661" spans="1:9" x14ac:dyDescent="0.2">
      <c r="A4661" s="2">
        <v>4</v>
      </c>
      <c r="B4661" s="1" t="s">
        <v>221</v>
      </c>
      <c r="C4661" s="4">
        <v>15</v>
      </c>
      <c r="D4661" s="8">
        <v>6.88</v>
      </c>
      <c r="E4661" s="4">
        <v>9</v>
      </c>
      <c r="F4661" s="8">
        <v>8.11</v>
      </c>
      <c r="G4661" s="4">
        <v>6</v>
      </c>
      <c r="H4661" s="8">
        <v>6.25</v>
      </c>
      <c r="I4661" s="4">
        <v>0</v>
      </c>
    </row>
    <row r="4662" spans="1:9" x14ac:dyDescent="0.2">
      <c r="A4662" s="2">
        <v>5</v>
      </c>
      <c r="B4662" s="1" t="s">
        <v>213</v>
      </c>
      <c r="C4662" s="4">
        <v>12</v>
      </c>
      <c r="D4662" s="8">
        <v>5.5</v>
      </c>
      <c r="E4662" s="4">
        <v>1</v>
      </c>
      <c r="F4662" s="8">
        <v>0.9</v>
      </c>
      <c r="G4662" s="4">
        <v>11</v>
      </c>
      <c r="H4662" s="8">
        <v>11.46</v>
      </c>
      <c r="I4662" s="4">
        <v>0</v>
      </c>
    </row>
    <row r="4663" spans="1:9" x14ac:dyDescent="0.2">
      <c r="A4663" s="2">
        <v>5</v>
      </c>
      <c r="B4663" s="1" t="s">
        <v>224</v>
      </c>
      <c r="C4663" s="4">
        <v>12</v>
      </c>
      <c r="D4663" s="8">
        <v>5.5</v>
      </c>
      <c r="E4663" s="4">
        <v>10</v>
      </c>
      <c r="F4663" s="8">
        <v>9.01</v>
      </c>
      <c r="G4663" s="4">
        <v>2</v>
      </c>
      <c r="H4663" s="8">
        <v>2.08</v>
      </c>
      <c r="I4663" s="4">
        <v>0</v>
      </c>
    </row>
    <row r="4664" spans="1:9" x14ac:dyDescent="0.2">
      <c r="A4664" s="2">
        <v>7</v>
      </c>
      <c r="B4664" s="1" t="s">
        <v>230</v>
      </c>
      <c r="C4664" s="4">
        <v>9</v>
      </c>
      <c r="D4664" s="8">
        <v>4.13</v>
      </c>
      <c r="E4664" s="4">
        <v>3</v>
      </c>
      <c r="F4664" s="8">
        <v>2.7</v>
      </c>
      <c r="G4664" s="4">
        <v>0</v>
      </c>
      <c r="H4664" s="8">
        <v>0</v>
      </c>
      <c r="I4664" s="4">
        <v>0</v>
      </c>
    </row>
    <row r="4665" spans="1:9" x14ac:dyDescent="0.2">
      <c r="A4665" s="2">
        <v>8</v>
      </c>
      <c r="B4665" s="1" t="s">
        <v>215</v>
      </c>
      <c r="C4665" s="4">
        <v>7</v>
      </c>
      <c r="D4665" s="8">
        <v>3.21</v>
      </c>
      <c r="E4665" s="4">
        <v>2</v>
      </c>
      <c r="F4665" s="8">
        <v>1.8</v>
      </c>
      <c r="G4665" s="4">
        <v>5</v>
      </c>
      <c r="H4665" s="8">
        <v>5.21</v>
      </c>
      <c r="I4665" s="4">
        <v>0</v>
      </c>
    </row>
    <row r="4666" spans="1:9" x14ac:dyDescent="0.2">
      <c r="A4666" s="2">
        <v>8</v>
      </c>
      <c r="B4666" s="1" t="s">
        <v>226</v>
      </c>
      <c r="C4666" s="4">
        <v>7</v>
      </c>
      <c r="D4666" s="8">
        <v>3.21</v>
      </c>
      <c r="E4666" s="4">
        <v>2</v>
      </c>
      <c r="F4666" s="8">
        <v>1.8</v>
      </c>
      <c r="G4666" s="4">
        <v>5</v>
      </c>
      <c r="H4666" s="8">
        <v>5.21</v>
      </c>
      <c r="I4666" s="4">
        <v>0</v>
      </c>
    </row>
    <row r="4667" spans="1:9" x14ac:dyDescent="0.2">
      <c r="A4667" s="2">
        <v>10</v>
      </c>
      <c r="B4667" s="1" t="s">
        <v>214</v>
      </c>
      <c r="C4667" s="4">
        <v>6</v>
      </c>
      <c r="D4667" s="8">
        <v>2.75</v>
      </c>
      <c r="E4667" s="4">
        <v>1</v>
      </c>
      <c r="F4667" s="8">
        <v>0.9</v>
      </c>
      <c r="G4667" s="4">
        <v>5</v>
      </c>
      <c r="H4667" s="8">
        <v>5.21</v>
      </c>
      <c r="I4667" s="4">
        <v>0</v>
      </c>
    </row>
    <row r="4668" spans="1:9" x14ac:dyDescent="0.2">
      <c r="A4668" s="2">
        <v>10</v>
      </c>
      <c r="B4668" s="1" t="s">
        <v>222</v>
      </c>
      <c r="C4668" s="4">
        <v>6</v>
      </c>
      <c r="D4668" s="8">
        <v>2.75</v>
      </c>
      <c r="E4668" s="4">
        <v>2</v>
      </c>
      <c r="F4668" s="8">
        <v>1.8</v>
      </c>
      <c r="G4668" s="4">
        <v>4</v>
      </c>
      <c r="H4668" s="8">
        <v>4.17</v>
      </c>
      <c r="I4668" s="4">
        <v>0</v>
      </c>
    </row>
    <row r="4669" spans="1:9" x14ac:dyDescent="0.2">
      <c r="A4669" s="2">
        <v>10</v>
      </c>
      <c r="B4669" s="1" t="s">
        <v>232</v>
      </c>
      <c r="C4669" s="4">
        <v>6</v>
      </c>
      <c r="D4669" s="8">
        <v>2.75</v>
      </c>
      <c r="E4669" s="4">
        <v>0</v>
      </c>
      <c r="F4669" s="8">
        <v>0</v>
      </c>
      <c r="G4669" s="4">
        <v>2</v>
      </c>
      <c r="H4669" s="8">
        <v>2.08</v>
      </c>
      <c r="I4669" s="4">
        <v>0</v>
      </c>
    </row>
    <row r="4670" spans="1:9" x14ac:dyDescent="0.2">
      <c r="A4670" s="2">
        <v>13</v>
      </c>
      <c r="B4670" s="1" t="s">
        <v>241</v>
      </c>
      <c r="C4670" s="4">
        <v>5</v>
      </c>
      <c r="D4670" s="8">
        <v>2.29</v>
      </c>
      <c r="E4670" s="4">
        <v>1</v>
      </c>
      <c r="F4670" s="8">
        <v>0.9</v>
      </c>
      <c r="G4670" s="4">
        <v>4</v>
      </c>
      <c r="H4670" s="8">
        <v>4.17</v>
      </c>
      <c r="I4670" s="4">
        <v>0</v>
      </c>
    </row>
    <row r="4671" spans="1:9" x14ac:dyDescent="0.2">
      <c r="A4671" s="2">
        <v>13</v>
      </c>
      <c r="B4671" s="1" t="s">
        <v>242</v>
      </c>
      <c r="C4671" s="4">
        <v>5</v>
      </c>
      <c r="D4671" s="8">
        <v>2.29</v>
      </c>
      <c r="E4671" s="4">
        <v>3</v>
      </c>
      <c r="F4671" s="8">
        <v>2.7</v>
      </c>
      <c r="G4671" s="4">
        <v>2</v>
      </c>
      <c r="H4671" s="8">
        <v>2.08</v>
      </c>
      <c r="I4671" s="4">
        <v>0</v>
      </c>
    </row>
    <row r="4672" spans="1:9" x14ac:dyDescent="0.2">
      <c r="A4672" s="2">
        <v>15</v>
      </c>
      <c r="B4672" s="1" t="s">
        <v>216</v>
      </c>
      <c r="C4672" s="4">
        <v>4</v>
      </c>
      <c r="D4672" s="8">
        <v>1.83</v>
      </c>
      <c r="E4672" s="4">
        <v>2</v>
      </c>
      <c r="F4672" s="8">
        <v>1.8</v>
      </c>
      <c r="G4672" s="4">
        <v>2</v>
      </c>
      <c r="H4672" s="8">
        <v>2.08</v>
      </c>
      <c r="I4672" s="4">
        <v>0</v>
      </c>
    </row>
    <row r="4673" spans="1:9" x14ac:dyDescent="0.2">
      <c r="A4673" s="2">
        <v>15</v>
      </c>
      <c r="B4673" s="1" t="s">
        <v>219</v>
      </c>
      <c r="C4673" s="4">
        <v>4</v>
      </c>
      <c r="D4673" s="8">
        <v>1.83</v>
      </c>
      <c r="E4673" s="4">
        <v>0</v>
      </c>
      <c r="F4673" s="8">
        <v>0</v>
      </c>
      <c r="G4673" s="4">
        <v>4</v>
      </c>
      <c r="H4673" s="8">
        <v>4.17</v>
      </c>
      <c r="I4673" s="4">
        <v>0</v>
      </c>
    </row>
    <row r="4674" spans="1:9" x14ac:dyDescent="0.2">
      <c r="A4674" s="2">
        <v>15</v>
      </c>
      <c r="B4674" s="1" t="s">
        <v>243</v>
      </c>
      <c r="C4674" s="4">
        <v>4</v>
      </c>
      <c r="D4674" s="8">
        <v>1.83</v>
      </c>
      <c r="E4674" s="4">
        <v>2</v>
      </c>
      <c r="F4674" s="8">
        <v>1.8</v>
      </c>
      <c r="G4674" s="4">
        <v>2</v>
      </c>
      <c r="H4674" s="8">
        <v>2.08</v>
      </c>
      <c r="I4674" s="4">
        <v>0</v>
      </c>
    </row>
    <row r="4675" spans="1:9" x14ac:dyDescent="0.2">
      <c r="A4675" s="2">
        <v>15</v>
      </c>
      <c r="B4675" s="1" t="s">
        <v>231</v>
      </c>
      <c r="C4675" s="4">
        <v>4</v>
      </c>
      <c r="D4675" s="8">
        <v>1.83</v>
      </c>
      <c r="E4675" s="4">
        <v>4</v>
      </c>
      <c r="F4675" s="8">
        <v>3.6</v>
      </c>
      <c r="G4675" s="4">
        <v>0</v>
      </c>
      <c r="H4675" s="8">
        <v>0</v>
      </c>
      <c r="I4675" s="4">
        <v>0</v>
      </c>
    </row>
    <row r="4676" spans="1:9" x14ac:dyDescent="0.2">
      <c r="A4676" s="2">
        <v>15</v>
      </c>
      <c r="B4676" s="1" t="s">
        <v>240</v>
      </c>
      <c r="C4676" s="4">
        <v>4</v>
      </c>
      <c r="D4676" s="8">
        <v>1.83</v>
      </c>
      <c r="E4676" s="4">
        <v>3</v>
      </c>
      <c r="F4676" s="8">
        <v>2.7</v>
      </c>
      <c r="G4676" s="4">
        <v>1</v>
      </c>
      <c r="H4676" s="8">
        <v>1.04</v>
      </c>
      <c r="I4676" s="4">
        <v>0</v>
      </c>
    </row>
    <row r="4677" spans="1:9" x14ac:dyDescent="0.2">
      <c r="A4677" s="2">
        <v>20</v>
      </c>
      <c r="B4677" s="1" t="s">
        <v>218</v>
      </c>
      <c r="C4677" s="4">
        <v>3</v>
      </c>
      <c r="D4677" s="8">
        <v>1.38</v>
      </c>
      <c r="E4677" s="4">
        <v>1</v>
      </c>
      <c r="F4677" s="8">
        <v>0.9</v>
      </c>
      <c r="G4677" s="4">
        <v>2</v>
      </c>
      <c r="H4677" s="8">
        <v>2.08</v>
      </c>
      <c r="I4677" s="4">
        <v>0</v>
      </c>
    </row>
    <row r="4678" spans="1:9" x14ac:dyDescent="0.2">
      <c r="A4678" s="2">
        <v>20</v>
      </c>
      <c r="B4678" s="1" t="s">
        <v>246</v>
      </c>
      <c r="C4678" s="4">
        <v>3</v>
      </c>
      <c r="D4678" s="8">
        <v>1.38</v>
      </c>
      <c r="E4678" s="4">
        <v>0</v>
      </c>
      <c r="F4678" s="8">
        <v>0</v>
      </c>
      <c r="G4678" s="4">
        <v>3</v>
      </c>
      <c r="H4678" s="8">
        <v>3.13</v>
      </c>
      <c r="I4678" s="4">
        <v>0</v>
      </c>
    </row>
    <row r="4679" spans="1:9" x14ac:dyDescent="0.2">
      <c r="A4679" s="2">
        <v>20</v>
      </c>
      <c r="B4679" s="1" t="s">
        <v>229</v>
      </c>
      <c r="C4679" s="4">
        <v>3</v>
      </c>
      <c r="D4679" s="8">
        <v>1.38</v>
      </c>
      <c r="E4679" s="4">
        <v>2</v>
      </c>
      <c r="F4679" s="8">
        <v>1.8</v>
      </c>
      <c r="G4679" s="4">
        <v>1</v>
      </c>
      <c r="H4679" s="8">
        <v>1.04</v>
      </c>
      <c r="I4679" s="4">
        <v>0</v>
      </c>
    </row>
    <row r="4680" spans="1:9" x14ac:dyDescent="0.2">
      <c r="A4680" s="1"/>
      <c r="C4680" s="4"/>
      <c r="D4680" s="8"/>
      <c r="E4680" s="4"/>
      <c r="F4680" s="8"/>
      <c r="G4680" s="4"/>
      <c r="H4680" s="8"/>
      <c r="I4680" s="4"/>
    </row>
    <row r="4681" spans="1:9" x14ac:dyDescent="0.2">
      <c r="A4681" s="1" t="s">
        <v>183</v>
      </c>
      <c r="C4681" s="4"/>
      <c r="D4681" s="8"/>
      <c r="E4681" s="4"/>
      <c r="F4681" s="8"/>
      <c r="G4681" s="4"/>
      <c r="H4681" s="8"/>
      <c r="I4681" s="4"/>
    </row>
    <row r="4682" spans="1:9" x14ac:dyDescent="0.2">
      <c r="A4682" s="2">
        <v>1</v>
      </c>
      <c r="B4682" s="1" t="s">
        <v>227</v>
      </c>
      <c r="C4682" s="4">
        <v>53</v>
      </c>
      <c r="D4682" s="8">
        <v>18.399999999999999</v>
      </c>
      <c r="E4682" s="4">
        <v>45</v>
      </c>
      <c r="F4682" s="8">
        <v>29.61</v>
      </c>
      <c r="G4682" s="4">
        <v>8</v>
      </c>
      <c r="H4682" s="8">
        <v>6.5</v>
      </c>
      <c r="I4682" s="4">
        <v>0</v>
      </c>
    </row>
    <row r="4683" spans="1:9" x14ac:dyDescent="0.2">
      <c r="A4683" s="2">
        <v>2</v>
      </c>
      <c r="B4683" s="1" t="s">
        <v>223</v>
      </c>
      <c r="C4683" s="4">
        <v>32</v>
      </c>
      <c r="D4683" s="8">
        <v>11.11</v>
      </c>
      <c r="E4683" s="4">
        <v>20</v>
      </c>
      <c r="F4683" s="8">
        <v>13.16</v>
      </c>
      <c r="G4683" s="4">
        <v>12</v>
      </c>
      <c r="H4683" s="8">
        <v>9.76</v>
      </c>
      <c r="I4683" s="4">
        <v>0</v>
      </c>
    </row>
    <row r="4684" spans="1:9" x14ac:dyDescent="0.2">
      <c r="A4684" s="2">
        <v>3</v>
      </c>
      <c r="B4684" s="1" t="s">
        <v>228</v>
      </c>
      <c r="C4684" s="4">
        <v>30</v>
      </c>
      <c r="D4684" s="8">
        <v>10.42</v>
      </c>
      <c r="E4684" s="4">
        <v>27</v>
      </c>
      <c r="F4684" s="8">
        <v>17.760000000000002</v>
      </c>
      <c r="G4684" s="4">
        <v>3</v>
      </c>
      <c r="H4684" s="8">
        <v>2.44</v>
      </c>
      <c r="I4684" s="4">
        <v>0</v>
      </c>
    </row>
    <row r="4685" spans="1:9" x14ac:dyDescent="0.2">
      <c r="A4685" s="2">
        <v>4</v>
      </c>
      <c r="B4685" s="1" t="s">
        <v>243</v>
      </c>
      <c r="C4685" s="4">
        <v>27</v>
      </c>
      <c r="D4685" s="8">
        <v>9.3800000000000008</v>
      </c>
      <c r="E4685" s="4">
        <v>16</v>
      </c>
      <c r="F4685" s="8">
        <v>10.53</v>
      </c>
      <c r="G4685" s="4">
        <v>11</v>
      </c>
      <c r="H4685" s="8">
        <v>8.94</v>
      </c>
      <c r="I4685" s="4">
        <v>0</v>
      </c>
    </row>
    <row r="4686" spans="1:9" x14ac:dyDescent="0.2">
      <c r="A4686" s="2">
        <v>5</v>
      </c>
      <c r="B4686" s="1" t="s">
        <v>221</v>
      </c>
      <c r="C4686" s="4">
        <v>11</v>
      </c>
      <c r="D4686" s="8">
        <v>3.82</v>
      </c>
      <c r="E4686" s="4">
        <v>5</v>
      </c>
      <c r="F4686" s="8">
        <v>3.29</v>
      </c>
      <c r="G4686" s="4">
        <v>6</v>
      </c>
      <c r="H4686" s="8">
        <v>4.88</v>
      </c>
      <c r="I4686" s="4">
        <v>0</v>
      </c>
    </row>
    <row r="4687" spans="1:9" x14ac:dyDescent="0.2">
      <c r="A4687" s="2">
        <v>6</v>
      </c>
      <c r="B4687" s="1" t="s">
        <v>213</v>
      </c>
      <c r="C4687" s="4">
        <v>10</v>
      </c>
      <c r="D4687" s="8">
        <v>3.47</v>
      </c>
      <c r="E4687" s="4">
        <v>2</v>
      </c>
      <c r="F4687" s="8">
        <v>1.32</v>
      </c>
      <c r="G4687" s="4">
        <v>8</v>
      </c>
      <c r="H4687" s="8">
        <v>6.5</v>
      </c>
      <c r="I4687" s="4">
        <v>0</v>
      </c>
    </row>
    <row r="4688" spans="1:9" x14ac:dyDescent="0.2">
      <c r="A4688" s="2">
        <v>6</v>
      </c>
      <c r="B4688" s="1" t="s">
        <v>214</v>
      </c>
      <c r="C4688" s="4">
        <v>10</v>
      </c>
      <c r="D4688" s="8">
        <v>3.47</v>
      </c>
      <c r="E4688" s="4">
        <v>7</v>
      </c>
      <c r="F4688" s="8">
        <v>4.6100000000000003</v>
      </c>
      <c r="G4688" s="4">
        <v>3</v>
      </c>
      <c r="H4688" s="8">
        <v>2.44</v>
      </c>
      <c r="I4688" s="4">
        <v>0</v>
      </c>
    </row>
    <row r="4689" spans="1:9" x14ac:dyDescent="0.2">
      <c r="A4689" s="2">
        <v>6</v>
      </c>
      <c r="B4689" s="1" t="s">
        <v>247</v>
      </c>
      <c r="C4689" s="4">
        <v>10</v>
      </c>
      <c r="D4689" s="8">
        <v>3.47</v>
      </c>
      <c r="E4689" s="4">
        <v>6</v>
      </c>
      <c r="F4689" s="8">
        <v>3.95</v>
      </c>
      <c r="G4689" s="4">
        <v>2</v>
      </c>
      <c r="H4689" s="8">
        <v>1.63</v>
      </c>
      <c r="I4689" s="4">
        <v>0</v>
      </c>
    </row>
    <row r="4690" spans="1:9" x14ac:dyDescent="0.2">
      <c r="A4690" s="2">
        <v>9</v>
      </c>
      <c r="B4690" s="1" t="s">
        <v>222</v>
      </c>
      <c r="C4690" s="4">
        <v>9</v>
      </c>
      <c r="D4690" s="8">
        <v>3.13</v>
      </c>
      <c r="E4690" s="4">
        <v>1</v>
      </c>
      <c r="F4690" s="8">
        <v>0.66</v>
      </c>
      <c r="G4690" s="4">
        <v>8</v>
      </c>
      <c r="H4690" s="8">
        <v>6.5</v>
      </c>
      <c r="I4690" s="4">
        <v>0</v>
      </c>
    </row>
    <row r="4691" spans="1:9" x14ac:dyDescent="0.2">
      <c r="A4691" s="2">
        <v>9</v>
      </c>
      <c r="B4691" s="1" t="s">
        <v>224</v>
      </c>
      <c r="C4691" s="4">
        <v>9</v>
      </c>
      <c r="D4691" s="8">
        <v>3.13</v>
      </c>
      <c r="E4691" s="4">
        <v>2</v>
      </c>
      <c r="F4691" s="8">
        <v>1.32</v>
      </c>
      <c r="G4691" s="4">
        <v>6</v>
      </c>
      <c r="H4691" s="8">
        <v>4.88</v>
      </c>
      <c r="I4691" s="4">
        <v>0</v>
      </c>
    </row>
    <row r="4692" spans="1:9" x14ac:dyDescent="0.2">
      <c r="A4692" s="2">
        <v>9</v>
      </c>
      <c r="B4692" s="1" t="s">
        <v>232</v>
      </c>
      <c r="C4692" s="4">
        <v>9</v>
      </c>
      <c r="D4692" s="8">
        <v>3.13</v>
      </c>
      <c r="E4692" s="4">
        <v>0</v>
      </c>
      <c r="F4692" s="8">
        <v>0</v>
      </c>
      <c r="G4692" s="4">
        <v>6</v>
      </c>
      <c r="H4692" s="8">
        <v>4.88</v>
      </c>
      <c r="I4692" s="4">
        <v>0</v>
      </c>
    </row>
    <row r="4693" spans="1:9" x14ac:dyDescent="0.2">
      <c r="A4693" s="2">
        <v>12</v>
      </c>
      <c r="B4693" s="1" t="s">
        <v>261</v>
      </c>
      <c r="C4693" s="4">
        <v>7</v>
      </c>
      <c r="D4693" s="8">
        <v>2.4300000000000002</v>
      </c>
      <c r="E4693" s="4">
        <v>0</v>
      </c>
      <c r="F4693" s="8">
        <v>0</v>
      </c>
      <c r="G4693" s="4">
        <v>6</v>
      </c>
      <c r="H4693" s="8">
        <v>4.88</v>
      </c>
      <c r="I4693" s="4">
        <v>0</v>
      </c>
    </row>
    <row r="4694" spans="1:9" x14ac:dyDescent="0.2">
      <c r="A4694" s="2">
        <v>12</v>
      </c>
      <c r="B4694" s="1" t="s">
        <v>220</v>
      </c>
      <c r="C4694" s="4">
        <v>7</v>
      </c>
      <c r="D4694" s="8">
        <v>2.4300000000000002</v>
      </c>
      <c r="E4694" s="4">
        <v>6</v>
      </c>
      <c r="F4694" s="8">
        <v>3.95</v>
      </c>
      <c r="G4694" s="4">
        <v>1</v>
      </c>
      <c r="H4694" s="8">
        <v>0.81</v>
      </c>
      <c r="I4694" s="4">
        <v>0</v>
      </c>
    </row>
    <row r="4695" spans="1:9" x14ac:dyDescent="0.2">
      <c r="A4695" s="2">
        <v>12</v>
      </c>
      <c r="B4695" s="1" t="s">
        <v>230</v>
      </c>
      <c r="C4695" s="4">
        <v>7</v>
      </c>
      <c r="D4695" s="8">
        <v>2.4300000000000002</v>
      </c>
      <c r="E4695" s="4">
        <v>2</v>
      </c>
      <c r="F4695" s="8">
        <v>1.32</v>
      </c>
      <c r="G4695" s="4">
        <v>2</v>
      </c>
      <c r="H4695" s="8">
        <v>1.63</v>
      </c>
      <c r="I4695" s="4">
        <v>0</v>
      </c>
    </row>
    <row r="4696" spans="1:9" x14ac:dyDescent="0.2">
      <c r="A4696" s="2">
        <v>12</v>
      </c>
      <c r="B4696" s="1" t="s">
        <v>234</v>
      </c>
      <c r="C4696" s="4">
        <v>7</v>
      </c>
      <c r="D4696" s="8">
        <v>2.4300000000000002</v>
      </c>
      <c r="E4696" s="4">
        <v>0</v>
      </c>
      <c r="F4696" s="8">
        <v>0</v>
      </c>
      <c r="G4696" s="4">
        <v>7</v>
      </c>
      <c r="H4696" s="8">
        <v>5.69</v>
      </c>
      <c r="I4696" s="4">
        <v>0</v>
      </c>
    </row>
    <row r="4697" spans="1:9" x14ac:dyDescent="0.2">
      <c r="A4697" s="2">
        <v>16</v>
      </c>
      <c r="B4697" s="1" t="s">
        <v>215</v>
      </c>
      <c r="C4697" s="4">
        <v>6</v>
      </c>
      <c r="D4697" s="8">
        <v>2.08</v>
      </c>
      <c r="E4697" s="4">
        <v>0</v>
      </c>
      <c r="F4697" s="8">
        <v>0</v>
      </c>
      <c r="G4697" s="4">
        <v>6</v>
      </c>
      <c r="H4697" s="8">
        <v>4.88</v>
      </c>
      <c r="I4697" s="4">
        <v>0</v>
      </c>
    </row>
    <row r="4698" spans="1:9" x14ac:dyDescent="0.2">
      <c r="A4698" s="2">
        <v>17</v>
      </c>
      <c r="B4698" s="1" t="s">
        <v>217</v>
      </c>
      <c r="C4698" s="4">
        <v>4</v>
      </c>
      <c r="D4698" s="8">
        <v>1.39</v>
      </c>
      <c r="E4698" s="4">
        <v>0</v>
      </c>
      <c r="F4698" s="8">
        <v>0</v>
      </c>
      <c r="G4698" s="4">
        <v>4</v>
      </c>
      <c r="H4698" s="8">
        <v>3.25</v>
      </c>
      <c r="I4698" s="4">
        <v>0</v>
      </c>
    </row>
    <row r="4699" spans="1:9" x14ac:dyDescent="0.2">
      <c r="A4699" s="2">
        <v>17</v>
      </c>
      <c r="B4699" s="1" t="s">
        <v>226</v>
      </c>
      <c r="C4699" s="4">
        <v>4</v>
      </c>
      <c r="D4699" s="8">
        <v>1.39</v>
      </c>
      <c r="E4699" s="4">
        <v>1</v>
      </c>
      <c r="F4699" s="8">
        <v>0.66</v>
      </c>
      <c r="G4699" s="4">
        <v>3</v>
      </c>
      <c r="H4699" s="8">
        <v>2.44</v>
      </c>
      <c r="I4699" s="4">
        <v>0</v>
      </c>
    </row>
    <row r="4700" spans="1:9" x14ac:dyDescent="0.2">
      <c r="A4700" s="2">
        <v>17</v>
      </c>
      <c r="B4700" s="1" t="s">
        <v>229</v>
      </c>
      <c r="C4700" s="4">
        <v>4</v>
      </c>
      <c r="D4700" s="8">
        <v>1.39</v>
      </c>
      <c r="E4700" s="4">
        <v>2</v>
      </c>
      <c r="F4700" s="8">
        <v>1.32</v>
      </c>
      <c r="G4700" s="4">
        <v>2</v>
      </c>
      <c r="H4700" s="8">
        <v>1.63</v>
      </c>
      <c r="I4700" s="4">
        <v>0</v>
      </c>
    </row>
    <row r="4701" spans="1:9" x14ac:dyDescent="0.2">
      <c r="A4701" s="2">
        <v>20</v>
      </c>
      <c r="B4701" s="1" t="s">
        <v>262</v>
      </c>
      <c r="C4701" s="4">
        <v>3</v>
      </c>
      <c r="D4701" s="8">
        <v>1.04</v>
      </c>
      <c r="E4701" s="4">
        <v>0</v>
      </c>
      <c r="F4701" s="8">
        <v>0</v>
      </c>
      <c r="G4701" s="4">
        <v>3</v>
      </c>
      <c r="H4701" s="8">
        <v>2.44</v>
      </c>
      <c r="I4701" s="4">
        <v>0</v>
      </c>
    </row>
    <row r="4702" spans="1:9" x14ac:dyDescent="0.2">
      <c r="A4702" s="2">
        <v>20</v>
      </c>
      <c r="B4702" s="1" t="s">
        <v>248</v>
      </c>
      <c r="C4702" s="4">
        <v>3</v>
      </c>
      <c r="D4702" s="8">
        <v>1.04</v>
      </c>
      <c r="E4702" s="4">
        <v>2</v>
      </c>
      <c r="F4702" s="8">
        <v>1.32</v>
      </c>
      <c r="G4702" s="4">
        <v>1</v>
      </c>
      <c r="H4702" s="8">
        <v>0.81</v>
      </c>
      <c r="I4702" s="4">
        <v>0</v>
      </c>
    </row>
    <row r="4703" spans="1:9" x14ac:dyDescent="0.2">
      <c r="A4703" s="2">
        <v>20</v>
      </c>
      <c r="B4703" s="1" t="s">
        <v>246</v>
      </c>
      <c r="C4703" s="4">
        <v>3</v>
      </c>
      <c r="D4703" s="8">
        <v>1.04</v>
      </c>
      <c r="E4703" s="4">
        <v>0</v>
      </c>
      <c r="F4703" s="8">
        <v>0</v>
      </c>
      <c r="G4703" s="4">
        <v>3</v>
      </c>
      <c r="H4703" s="8">
        <v>2.44</v>
      </c>
      <c r="I4703" s="4">
        <v>0</v>
      </c>
    </row>
    <row r="4704" spans="1:9" x14ac:dyDescent="0.2">
      <c r="A4704" s="2">
        <v>20</v>
      </c>
      <c r="B4704" s="1" t="s">
        <v>231</v>
      </c>
      <c r="C4704" s="4">
        <v>3</v>
      </c>
      <c r="D4704" s="8">
        <v>1.04</v>
      </c>
      <c r="E4704" s="4">
        <v>3</v>
      </c>
      <c r="F4704" s="8">
        <v>1.97</v>
      </c>
      <c r="G4704" s="4">
        <v>0</v>
      </c>
      <c r="H4704" s="8">
        <v>0</v>
      </c>
      <c r="I4704" s="4">
        <v>0</v>
      </c>
    </row>
    <row r="4705" spans="1:9" x14ac:dyDescent="0.2">
      <c r="A4705" s="1"/>
      <c r="C4705" s="4"/>
      <c r="D4705" s="8"/>
      <c r="E4705" s="4"/>
      <c r="F4705" s="8"/>
      <c r="G4705" s="4"/>
      <c r="H4705" s="8"/>
      <c r="I4705" s="4"/>
    </row>
    <row r="4706" spans="1:9" x14ac:dyDescent="0.2">
      <c r="A4706" s="1" t="s">
        <v>184</v>
      </c>
      <c r="C4706" s="4"/>
      <c r="D4706" s="8"/>
      <c r="E4706" s="4"/>
      <c r="F4706" s="8"/>
      <c r="G4706" s="4"/>
      <c r="H4706" s="8"/>
      <c r="I4706" s="4"/>
    </row>
    <row r="4707" spans="1:9" x14ac:dyDescent="0.2">
      <c r="A4707" s="2">
        <v>1</v>
      </c>
      <c r="B4707" s="1" t="s">
        <v>227</v>
      </c>
      <c r="C4707" s="4">
        <v>11</v>
      </c>
      <c r="D4707" s="8">
        <v>18.97</v>
      </c>
      <c r="E4707" s="4">
        <v>9</v>
      </c>
      <c r="F4707" s="8">
        <v>40.909999999999997</v>
      </c>
      <c r="G4707" s="4">
        <v>2</v>
      </c>
      <c r="H4707" s="8">
        <v>6.06</v>
      </c>
      <c r="I4707" s="4">
        <v>0</v>
      </c>
    </row>
    <row r="4708" spans="1:9" x14ac:dyDescent="0.2">
      <c r="A4708" s="2">
        <v>2</v>
      </c>
      <c r="B4708" s="1" t="s">
        <v>223</v>
      </c>
      <c r="C4708" s="4">
        <v>4</v>
      </c>
      <c r="D4708" s="8">
        <v>6.9</v>
      </c>
      <c r="E4708" s="4">
        <v>1</v>
      </c>
      <c r="F4708" s="8">
        <v>4.55</v>
      </c>
      <c r="G4708" s="4">
        <v>3</v>
      </c>
      <c r="H4708" s="8">
        <v>9.09</v>
      </c>
      <c r="I4708" s="4">
        <v>0</v>
      </c>
    </row>
    <row r="4709" spans="1:9" x14ac:dyDescent="0.2">
      <c r="A4709" s="2">
        <v>2</v>
      </c>
      <c r="B4709" s="1" t="s">
        <v>243</v>
      </c>
      <c r="C4709" s="4">
        <v>4</v>
      </c>
      <c r="D4709" s="8">
        <v>6.9</v>
      </c>
      <c r="E4709" s="4">
        <v>2</v>
      </c>
      <c r="F4709" s="8">
        <v>9.09</v>
      </c>
      <c r="G4709" s="4">
        <v>2</v>
      </c>
      <c r="H4709" s="8">
        <v>6.06</v>
      </c>
      <c r="I4709" s="4">
        <v>0</v>
      </c>
    </row>
    <row r="4710" spans="1:9" x14ac:dyDescent="0.2">
      <c r="A4710" s="2">
        <v>4</v>
      </c>
      <c r="B4710" s="1" t="s">
        <v>213</v>
      </c>
      <c r="C4710" s="4">
        <v>3</v>
      </c>
      <c r="D4710" s="8">
        <v>5.17</v>
      </c>
      <c r="E4710" s="4">
        <v>1</v>
      </c>
      <c r="F4710" s="8">
        <v>4.55</v>
      </c>
      <c r="G4710" s="4">
        <v>2</v>
      </c>
      <c r="H4710" s="8">
        <v>6.06</v>
      </c>
      <c r="I4710" s="4">
        <v>0</v>
      </c>
    </row>
    <row r="4711" spans="1:9" x14ac:dyDescent="0.2">
      <c r="A4711" s="2">
        <v>4</v>
      </c>
      <c r="B4711" s="1" t="s">
        <v>221</v>
      </c>
      <c r="C4711" s="4">
        <v>3</v>
      </c>
      <c r="D4711" s="8">
        <v>5.17</v>
      </c>
      <c r="E4711" s="4">
        <v>1</v>
      </c>
      <c r="F4711" s="8">
        <v>4.55</v>
      </c>
      <c r="G4711" s="4">
        <v>2</v>
      </c>
      <c r="H4711" s="8">
        <v>6.06</v>
      </c>
      <c r="I4711" s="4">
        <v>0</v>
      </c>
    </row>
    <row r="4712" spans="1:9" x14ac:dyDescent="0.2">
      <c r="A4712" s="2">
        <v>4</v>
      </c>
      <c r="B4712" s="1" t="s">
        <v>228</v>
      </c>
      <c r="C4712" s="4">
        <v>3</v>
      </c>
      <c r="D4712" s="8">
        <v>5.17</v>
      </c>
      <c r="E4712" s="4">
        <v>3</v>
      </c>
      <c r="F4712" s="8">
        <v>13.64</v>
      </c>
      <c r="G4712" s="4">
        <v>0</v>
      </c>
      <c r="H4712" s="8">
        <v>0</v>
      </c>
      <c r="I4712" s="4">
        <v>0</v>
      </c>
    </row>
    <row r="4713" spans="1:9" x14ac:dyDescent="0.2">
      <c r="A4713" s="2">
        <v>4</v>
      </c>
      <c r="B4713" s="1" t="s">
        <v>229</v>
      </c>
      <c r="C4713" s="4">
        <v>3</v>
      </c>
      <c r="D4713" s="8">
        <v>5.17</v>
      </c>
      <c r="E4713" s="4">
        <v>0</v>
      </c>
      <c r="F4713" s="8">
        <v>0</v>
      </c>
      <c r="G4713" s="4">
        <v>3</v>
      </c>
      <c r="H4713" s="8">
        <v>9.09</v>
      </c>
      <c r="I4713" s="4">
        <v>0</v>
      </c>
    </row>
    <row r="4714" spans="1:9" x14ac:dyDescent="0.2">
      <c r="A4714" s="2">
        <v>4</v>
      </c>
      <c r="B4714" s="1" t="s">
        <v>230</v>
      </c>
      <c r="C4714" s="4">
        <v>3</v>
      </c>
      <c r="D4714" s="8">
        <v>5.17</v>
      </c>
      <c r="E4714" s="4">
        <v>2</v>
      </c>
      <c r="F4714" s="8">
        <v>9.09</v>
      </c>
      <c r="G4714" s="4">
        <v>0</v>
      </c>
      <c r="H4714" s="8">
        <v>0</v>
      </c>
      <c r="I4714" s="4">
        <v>0</v>
      </c>
    </row>
    <row r="4715" spans="1:9" x14ac:dyDescent="0.2">
      <c r="A4715" s="2">
        <v>9</v>
      </c>
      <c r="B4715" s="1" t="s">
        <v>262</v>
      </c>
      <c r="C4715" s="4">
        <v>2</v>
      </c>
      <c r="D4715" s="8">
        <v>3.45</v>
      </c>
      <c r="E4715" s="4">
        <v>0</v>
      </c>
      <c r="F4715" s="8">
        <v>0</v>
      </c>
      <c r="G4715" s="4">
        <v>2</v>
      </c>
      <c r="H4715" s="8">
        <v>6.06</v>
      </c>
      <c r="I4715" s="4">
        <v>0</v>
      </c>
    </row>
    <row r="4716" spans="1:9" x14ac:dyDescent="0.2">
      <c r="A4716" s="2">
        <v>9</v>
      </c>
      <c r="B4716" s="1" t="s">
        <v>216</v>
      </c>
      <c r="C4716" s="4">
        <v>2</v>
      </c>
      <c r="D4716" s="8">
        <v>3.45</v>
      </c>
      <c r="E4716" s="4">
        <v>0</v>
      </c>
      <c r="F4716" s="8">
        <v>0</v>
      </c>
      <c r="G4716" s="4">
        <v>2</v>
      </c>
      <c r="H4716" s="8">
        <v>6.06</v>
      </c>
      <c r="I4716" s="4">
        <v>0</v>
      </c>
    </row>
    <row r="4717" spans="1:9" x14ac:dyDescent="0.2">
      <c r="A4717" s="2">
        <v>9</v>
      </c>
      <c r="B4717" s="1" t="s">
        <v>225</v>
      </c>
      <c r="C4717" s="4">
        <v>2</v>
      </c>
      <c r="D4717" s="8">
        <v>3.45</v>
      </c>
      <c r="E4717" s="4">
        <v>0</v>
      </c>
      <c r="F4717" s="8">
        <v>0</v>
      </c>
      <c r="G4717" s="4">
        <v>2</v>
      </c>
      <c r="H4717" s="8">
        <v>6.06</v>
      </c>
      <c r="I4717" s="4">
        <v>0</v>
      </c>
    </row>
    <row r="4718" spans="1:9" x14ac:dyDescent="0.2">
      <c r="A4718" s="2">
        <v>9</v>
      </c>
      <c r="B4718" s="1" t="s">
        <v>247</v>
      </c>
      <c r="C4718" s="4">
        <v>2</v>
      </c>
      <c r="D4718" s="8">
        <v>3.45</v>
      </c>
      <c r="E4718" s="4">
        <v>0</v>
      </c>
      <c r="F4718" s="8">
        <v>0</v>
      </c>
      <c r="G4718" s="4">
        <v>2</v>
      </c>
      <c r="H4718" s="8">
        <v>6.06</v>
      </c>
      <c r="I4718" s="4">
        <v>0</v>
      </c>
    </row>
    <row r="4719" spans="1:9" x14ac:dyDescent="0.2">
      <c r="A4719" s="2">
        <v>9</v>
      </c>
      <c r="B4719" s="1" t="s">
        <v>231</v>
      </c>
      <c r="C4719" s="4">
        <v>2</v>
      </c>
      <c r="D4719" s="8">
        <v>3.45</v>
      </c>
      <c r="E4719" s="4">
        <v>1</v>
      </c>
      <c r="F4719" s="8">
        <v>4.55</v>
      </c>
      <c r="G4719" s="4">
        <v>1</v>
      </c>
      <c r="H4719" s="8">
        <v>3.03</v>
      </c>
      <c r="I4719" s="4">
        <v>0</v>
      </c>
    </row>
    <row r="4720" spans="1:9" x14ac:dyDescent="0.2">
      <c r="A4720" s="2">
        <v>9</v>
      </c>
      <c r="B4720" s="1" t="s">
        <v>232</v>
      </c>
      <c r="C4720" s="4">
        <v>2</v>
      </c>
      <c r="D4720" s="8">
        <v>3.45</v>
      </c>
      <c r="E4720" s="4">
        <v>0</v>
      </c>
      <c r="F4720" s="8">
        <v>0</v>
      </c>
      <c r="G4720" s="4">
        <v>1</v>
      </c>
      <c r="H4720" s="8">
        <v>3.03</v>
      </c>
      <c r="I4720" s="4">
        <v>0</v>
      </c>
    </row>
    <row r="4721" spans="1:9" x14ac:dyDescent="0.2">
      <c r="A4721" s="2">
        <v>15</v>
      </c>
      <c r="B4721" s="1" t="s">
        <v>273</v>
      </c>
      <c r="C4721" s="4">
        <v>1</v>
      </c>
      <c r="D4721" s="8">
        <v>1.72</v>
      </c>
      <c r="E4721" s="4">
        <v>0</v>
      </c>
      <c r="F4721" s="8">
        <v>0</v>
      </c>
      <c r="G4721" s="4">
        <v>1</v>
      </c>
      <c r="H4721" s="8">
        <v>3.03</v>
      </c>
      <c r="I4721" s="4">
        <v>0</v>
      </c>
    </row>
    <row r="4722" spans="1:9" x14ac:dyDescent="0.2">
      <c r="A4722" s="2">
        <v>15</v>
      </c>
      <c r="B4722" s="1" t="s">
        <v>241</v>
      </c>
      <c r="C4722" s="4">
        <v>1</v>
      </c>
      <c r="D4722" s="8">
        <v>1.72</v>
      </c>
      <c r="E4722" s="4">
        <v>0</v>
      </c>
      <c r="F4722" s="8">
        <v>0</v>
      </c>
      <c r="G4722" s="4">
        <v>1</v>
      </c>
      <c r="H4722" s="8">
        <v>3.03</v>
      </c>
      <c r="I4722" s="4">
        <v>0</v>
      </c>
    </row>
    <row r="4723" spans="1:9" x14ac:dyDescent="0.2">
      <c r="A4723" s="2">
        <v>15</v>
      </c>
      <c r="B4723" s="1" t="s">
        <v>244</v>
      </c>
      <c r="C4723" s="4">
        <v>1</v>
      </c>
      <c r="D4723" s="8">
        <v>1.72</v>
      </c>
      <c r="E4723" s="4">
        <v>0</v>
      </c>
      <c r="F4723" s="8">
        <v>0</v>
      </c>
      <c r="G4723" s="4">
        <v>1</v>
      </c>
      <c r="H4723" s="8">
        <v>3.03</v>
      </c>
      <c r="I4723" s="4">
        <v>0</v>
      </c>
    </row>
    <row r="4724" spans="1:9" x14ac:dyDescent="0.2">
      <c r="A4724" s="2">
        <v>15</v>
      </c>
      <c r="B4724" s="1" t="s">
        <v>255</v>
      </c>
      <c r="C4724" s="4">
        <v>1</v>
      </c>
      <c r="D4724" s="8">
        <v>1.72</v>
      </c>
      <c r="E4724" s="4">
        <v>0</v>
      </c>
      <c r="F4724" s="8">
        <v>0</v>
      </c>
      <c r="G4724" s="4">
        <v>0</v>
      </c>
      <c r="H4724" s="8">
        <v>0</v>
      </c>
      <c r="I4724" s="4">
        <v>0</v>
      </c>
    </row>
    <row r="4725" spans="1:9" x14ac:dyDescent="0.2">
      <c r="A4725" s="2">
        <v>15</v>
      </c>
      <c r="B4725" s="1" t="s">
        <v>277</v>
      </c>
      <c r="C4725" s="4">
        <v>1</v>
      </c>
      <c r="D4725" s="8">
        <v>1.72</v>
      </c>
      <c r="E4725" s="4">
        <v>0</v>
      </c>
      <c r="F4725" s="8">
        <v>0</v>
      </c>
      <c r="G4725" s="4">
        <v>1</v>
      </c>
      <c r="H4725" s="8">
        <v>3.03</v>
      </c>
      <c r="I4725" s="4">
        <v>0</v>
      </c>
    </row>
    <row r="4726" spans="1:9" x14ac:dyDescent="0.2">
      <c r="A4726" s="2">
        <v>15</v>
      </c>
      <c r="B4726" s="1" t="s">
        <v>261</v>
      </c>
      <c r="C4726" s="4">
        <v>1</v>
      </c>
      <c r="D4726" s="8">
        <v>1.72</v>
      </c>
      <c r="E4726" s="4">
        <v>0</v>
      </c>
      <c r="F4726" s="8">
        <v>0</v>
      </c>
      <c r="G4726" s="4">
        <v>1</v>
      </c>
      <c r="H4726" s="8">
        <v>3.03</v>
      </c>
      <c r="I4726" s="4">
        <v>0</v>
      </c>
    </row>
    <row r="4727" spans="1:9" x14ac:dyDescent="0.2">
      <c r="A4727" s="2">
        <v>15</v>
      </c>
      <c r="B4727" s="1" t="s">
        <v>217</v>
      </c>
      <c r="C4727" s="4">
        <v>1</v>
      </c>
      <c r="D4727" s="8">
        <v>1.72</v>
      </c>
      <c r="E4727" s="4">
        <v>0</v>
      </c>
      <c r="F4727" s="8">
        <v>0</v>
      </c>
      <c r="G4727" s="4">
        <v>1</v>
      </c>
      <c r="H4727" s="8">
        <v>3.03</v>
      </c>
      <c r="I4727" s="4">
        <v>0</v>
      </c>
    </row>
    <row r="4728" spans="1:9" x14ac:dyDescent="0.2">
      <c r="A4728" s="2">
        <v>15</v>
      </c>
      <c r="B4728" s="1" t="s">
        <v>220</v>
      </c>
      <c r="C4728" s="4">
        <v>1</v>
      </c>
      <c r="D4728" s="8">
        <v>1.72</v>
      </c>
      <c r="E4728" s="4">
        <v>1</v>
      </c>
      <c r="F4728" s="8">
        <v>4.55</v>
      </c>
      <c r="G4728" s="4">
        <v>0</v>
      </c>
      <c r="H4728" s="8">
        <v>0</v>
      </c>
      <c r="I4728" s="4">
        <v>0</v>
      </c>
    </row>
    <row r="4729" spans="1:9" x14ac:dyDescent="0.2">
      <c r="A4729" s="2">
        <v>15</v>
      </c>
      <c r="B4729" s="1" t="s">
        <v>222</v>
      </c>
      <c r="C4729" s="4">
        <v>1</v>
      </c>
      <c r="D4729" s="8">
        <v>1.72</v>
      </c>
      <c r="E4729" s="4">
        <v>0</v>
      </c>
      <c r="F4729" s="8">
        <v>0</v>
      </c>
      <c r="G4729" s="4">
        <v>1</v>
      </c>
      <c r="H4729" s="8">
        <v>3.03</v>
      </c>
      <c r="I4729" s="4">
        <v>0</v>
      </c>
    </row>
    <row r="4730" spans="1:9" x14ac:dyDescent="0.2">
      <c r="A4730" s="2">
        <v>15</v>
      </c>
      <c r="B4730" s="1" t="s">
        <v>224</v>
      </c>
      <c r="C4730" s="4">
        <v>1</v>
      </c>
      <c r="D4730" s="8">
        <v>1.72</v>
      </c>
      <c r="E4730" s="4">
        <v>0</v>
      </c>
      <c r="F4730" s="8">
        <v>0</v>
      </c>
      <c r="G4730" s="4">
        <v>1</v>
      </c>
      <c r="H4730" s="8">
        <v>3.03</v>
      </c>
      <c r="I4730" s="4">
        <v>0</v>
      </c>
    </row>
    <row r="4731" spans="1:9" x14ac:dyDescent="0.2">
      <c r="A4731" s="2">
        <v>15</v>
      </c>
      <c r="B4731" s="1" t="s">
        <v>256</v>
      </c>
      <c r="C4731" s="4">
        <v>1</v>
      </c>
      <c r="D4731" s="8">
        <v>1.72</v>
      </c>
      <c r="E4731" s="4">
        <v>0</v>
      </c>
      <c r="F4731" s="8">
        <v>0</v>
      </c>
      <c r="G4731" s="4">
        <v>1</v>
      </c>
      <c r="H4731" s="8">
        <v>3.03</v>
      </c>
      <c r="I4731" s="4">
        <v>0</v>
      </c>
    </row>
    <row r="4732" spans="1:9" x14ac:dyDescent="0.2">
      <c r="A4732" s="2">
        <v>15</v>
      </c>
      <c r="B4732" s="1" t="s">
        <v>242</v>
      </c>
      <c r="C4732" s="4">
        <v>1</v>
      </c>
      <c r="D4732" s="8">
        <v>1.72</v>
      </c>
      <c r="E4732" s="4">
        <v>1</v>
      </c>
      <c r="F4732" s="8">
        <v>4.55</v>
      </c>
      <c r="G4732" s="4">
        <v>0</v>
      </c>
      <c r="H4732" s="8">
        <v>0</v>
      </c>
      <c r="I4732" s="4">
        <v>0</v>
      </c>
    </row>
    <row r="4733" spans="1:9" x14ac:dyDescent="0.2">
      <c r="A4733" s="1"/>
      <c r="C4733" s="4"/>
      <c r="D4733" s="8"/>
      <c r="E4733" s="4"/>
      <c r="F4733" s="8"/>
      <c r="G4733" s="4"/>
      <c r="H4733" s="8"/>
      <c r="I4733" s="4"/>
    </row>
    <row r="4734" spans="1:9" x14ac:dyDescent="0.2">
      <c r="A4734" s="1" t="s">
        <v>185</v>
      </c>
      <c r="C4734" s="4"/>
      <c r="D4734" s="8"/>
      <c r="E4734" s="4"/>
      <c r="F4734" s="8"/>
      <c r="G4734" s="4"/>
      <c r="H4734" s="8"/>
      <c r="I4734" s="4"/>
    </row>
    <row r="4735" spans="1:9" x14ac:dyDescent="0.2">
      <c r="A4735" s="2">
        <v>1</v>
      </c>
      <c r="B4735" s="1" t="s">
        <v>228</v>
      </c>
      <c r="C4735" s="4">
        <v>31</v>
      </c>
      <c r="D4735" s="8">
        <v>15.05</v>
      </c>
      <c r="E4735" s="4">
        <v>27</v>
      </c>
      <c r="F4735" s="8">
        <v>27.84</v>
      </c>
      <c r="G4735" s="4">
        <v>4</v>
      </c>
      <c r="H4735" s="8">
        <v>3.81</v>
      </c>
      <c r="I4735" s="4">
        <v>0</v>
      </c>
    </row>
    <row r="4736" spans="1:9" x14ac:dyDescent="0.2">
      <c r="A4736" s="2">
        <v>2</v>
      </c>
      <c r="B4736" s="1" t="s">
        <v>227</v>
      </c>
      <c r="C4736" s="4">
        <v>25</v>
      </c>
      <c r="D4736" s="8">
        <v>12.14</v>
      </c>
      <c r="E4736" s="4">
        <v>23</v>
      </c>
      <c r="F4736" s="8">
        <v>23.71</v>
      </c>
      <c r="G4736" s="4">
        <v>2</v>
      </c>
      <c r="H4736" s="8">
        <v>1.9</v>
      </c>
      <c r="I4736" s="4">
        <v>0</v>
      </c>
    </row>
    <row r="4737" spans="1:9" x14ac:dyDescent="0.2">
      <c r="A4737" s="2">
        <v>3</v>
      </c>
      <c r="B4737" s="1" t="s">
        <v>223</v>
      </c>
      <c r="C4737" s="4">
        <v>18</v>
      </c>
      <c r="D4737" s="8">
        <v>8.74</v>
      </c>
      <c r="E4737" s="4">
        <v>4</v>
      </c>
      <c r="F4737" s="8">
        <v>4.12</v>
      </c>
      <c r="G4737" s="4">
        <v>14</v>
      </c>
      <c r="H4737" s="8">
        <v>13.33</v>
      </c>
      <c r="I4737" s="4">
        <v>0</v>
      </c>
    </row>
    <row r="4738" spans="1:9" x14ac:dyDescent="0.2">
      <c r="A4738" s="2">
        <v>4</v>
      </c>
      <c r="B4738" s="1" t="s">
        <v>241</v>
      </c>
      <c r="C4738" s="4">
        <v>14</v>
      </c>
      <c r="D4738" s="8">
        <v>6.8</v>
      </c>
      <c r="E4738" s="4">
        <v>2</v>
      </c>
      <c r="F4738" s="8">
        <v>2.06</v>
      </c>
      <c r="G4738" s="4">
        <v>12</v>
      </c>
      <c r="H4738" s="8">
        <v>11.43</v>
      </c>
      <c r="I4738" s="4">
        <v>0</v>
      </c>
    </row>
    <row r="4739" spans="1:9" x14ac:dyDescent="0.2">
      <c r="A4739" s="2">
        <v>5</v>
      </c>
      <c r="B4739" s="1" t="s">
        <v>213</v>
      </c>
      <c r="C4739" s="4">
        <v>12</v>
      </c>
      <c r="D4739" s="8">
        <v>5.83</v>
      </c>
      <c r="E4739" s="4">
        <v>3</v>
      </c>
      <c r="F4739" s="8">
        <v>3.09</v>
      </c>
      <c r="G4739" s="4">
        <v>9</v>
      </c>
      <c r="H4739" s="8">
        <v>8.57</v>
      </c>
      <c r="I4739" s="4">
        <v>0</v>
      </c>
    </row>
    <row r="4740" spans="1:9" x14ac:dyDescent="0.2">
      <c r="A4740" s="2">
        <v>6</v>
      </c>
      <c r="B4740" s="1" t="s">
        <v>221</v>
      </c>
      <c r="C4740" s="4">
        <v>10</v>
      </c>
      <c r="D4740" s="8">
        <v>4.8499999999999996</v>
      </c>
      <c r="E4740" s="4">
        <v>5</v>
      </c>
      <c r="F4740" s="8">
        <v>5.15</v>
      </c>
      <c r="G4740" s="4">
        <v>5</v>
      </c>
      <c r="H4740" s="8">
        <v>4.76</v>
      </c>
      <c r="I4740" s="4">
        <v>0</v>
      </c>
    </row>
    <row r="4741" spans="1:9" x14ac:dyDescent="0.2">
      <c r="A4741" s="2">
        <v>7</v>
      </c>
      <c r="B4741" s="1" t="s">
        <v>214</v>
      </c>
      <c r="C4741" s="4">
        <v>7</v>
      </c>
      <c r="D4741" s="8">
        <v>3.4</v>
      </c>
      <c r="E4741" s="4">
        <v>2</v>
      </c>
      <c r="F4741" s="8">
        <v>2.06</v>
      </c>
      <c r="G4741" s="4">
        <v>5</v>
      </c>
      <c r="H4741" s="8">
        <v>4.76</v>
      </c>
      <c r="I4741" s="4">
        <v>0</v>
      </c>
    </row>
    <row r="4742" spans="1:9" x14ac:dyDescent="0.2">
      <c r="A4742" s="2">
        <v>7</v>
      </c>
      <c r="B4742" s="1" t="s">
        <v>247</v>
      </c>
      <c r="C4742" s="4">
        <v>7</v>
      </c>
      <c r="D4742" s="8">
        <v>3.4</v>
      </c>
      <c r="E4742" s="4">
        <v>0</v>
      </c>
      <c r="F4742" s="8">
        <v>0</v>
      </c>
      <c r="G4742" s="4">
        <v>7</v>
      </c>
      <c r="H4742" s="8">
        <v>6.67</v>
      </c>
      <c r="I4742" s="4">
        <v>0</v>
      </c>
    </row>
    <row r="4743" spans="1:9" x14ac:dyDescent="0.2">
      <c r="A4743" s="2">
        <v>9</v>
      </c>
      <c r="B4743" s="1" t="s">
        <v>217</v>
      </c>
      <c r="C4743" s="4">
        <v>6</v>
      </c>
      <c r="D4743" s="8">
        <v>2.91</v>
      </c>
      <c r="E4743" s="4">
        <v>2</v>
      </c>
      <c r="F4743" s="8">
        <v>2.06</v>
      </c>
      <c r="G4743" s="4">
        <v>4</v>
      </c>
      <c r="H4743" s="8">
        <v>3.81</v>
      </c>
      <c r="I4743" s="4">
        <v>0</v>
      </c>
    </row>
    <row r="4744" spans="1:9" x14ac:dyDescent="0.2">
      <c r="A4744" s="2">
        <v>9</v>
      </c>
      <c r="B4744" s="1" t="s">
        <v>230</v>
      </c>
      <c r="C4744" s="4">
        <v>6</v>
      </c>
      <c r="D4744" s="8">
        <v>2.91</v>
      </c>
      <c r="E4744" s="4">
        <v>4</v>
      </c>
      <c r="F4744" s="8">
        <v>4.12</v>
      </c>
      <c r="G4744" s="4">
        <v>0</v>
      </c>
      <c r="H4744" s="8">
        <v>0</v>
      </c>
      <c r="I4744" s="4">
        <v>0</v>
      </c>
    </row>
    <row r="4745" spans="1:9" x14ac:dyDescent="0.2">
      <c r="A4745" s="2">
        <v>11</v>
      </c>
      <c r="B4745" s="1" t="s">
        <v>248</v>
      </c>
      <c r="C4745" s="4">
        <v>5</v>
      </c>
      <c r="D4745" s="8">
        <v>2.4300000000000002</v>
      </c>
      <c r="E4745" s="4">
        <v>2</v>
      </c>
      <c r="F4745" s="8">
        <v>2.06</v>
      </c>
      <c r="G4745" s="4">
        <v>3</v>
      </c>
      <c r="H4745" s="8">
        <v>2.86</v>
      </c>
      <c r="I4745" s="4">
        <v>0</v>
      </c>
    </row>
    <row r="4746" spans="1:9" x14ac:dyDescent="0.2">
      <c r="A4746" s="2">
        <v>11</v>
      </c>
      <c r="B4746" s="1" t="s">
        <v>222</v>
      </c>
      <c r="C4746" s="4">
        <v>5</v>
      </c>
      <c r="D4746" s="8">
        <v>2.4300000000000002</v>
      </c>
      <c r="E4746" s="4">
        <v>2</v>
      </c>
      <c r="F4746" s="8">
        <v>2.06</v>
      </c>
      <c r="G4746" s="4">
        <v>3</v>
      </c>
      <c r="H4746" s="8">
        <v>2.86</v>
      </c>
      <c r="I4746" s="4">
        <v>0</v>
      </c>
    </row>
    <row r="4747" spans="1:9" x14ac:dyDescent="0.2">
      <c r="A4747" s="2">
        <v>11</v>
      </c>
      <c r="B4747" s="1" t="s">
        <v>236</v>
      </c>
      <c r="C4747" s="4">
        <v>5</v>
      </c>
      <c r="D4747" s="8">
        <v>2.4300000000000002</v>
      </c>
      <c r="E4747" s="4">
        <v>0</v>
      </c>
      <c r="F4747" s="8">
        <v>0</v>
      </c>
      <c r="G4747" s="4">
        <v>5</v>
      </c>
      <c r="H4747" s="8">
        <v>4.76</v>
      </c>
      <c r="I4747" s="4">
        <v>0</v>
      </c>
    </row>
    <row r="4748" spans="1:9" x14ac:dyDescent="0.2">
      <c r="A4748" s="2">
        <v>11</v>
      </c>
      <c r="B4748" s="1" t="s">
        <v>229</v>
      </c>
      <c r="C4748" s="4">
        <v>5</v>
      </c>
      <c r="D4748" s="8">
        <v>2.4300000000000002</v>
      </c>
      <c r="E4748" s="4">
        <v>4</v>
      </c>
      <c r="F4748" s="8">
        <v>4.12</v>
      </c>
      <c r="G4748" s="4">
        <v>1</v>
      </c>
      <c r="H4748" s="8">
        <v>0.95</v>
      </c>
      <c r="I4748" s="4">
        <v>0</v>
      </c>
    </row>
    <row r="4749" spans="1:9" x14ac:dyDescent="0.2">
      <c r="A4749" s="2">
        <v>15</v>
      </c>
      <c r="B4749" s="1" t="s">
        <v>215</v>
      </c>
      <c r="C4749" s="4">
        <v>4</v>
      </c>
      <c r="D4749" s="8">
        <v>1.94</v>
      </c>
      <c r="E4749" s="4">
        <v>0</v>
      </c>
      <c r="F4749" s="8">
        <v>0</v>
      </c>
      <c r="G4749" s="4">
        <v>4</v>
      </c>
      <c r="H4749" s="8">
        <v>3.81</v>
      </c>
      <c r="I4749" s="4">
        <v>0</v>
      </c>
    </row>
    <row r="4750" spans="1:9" x14ac:dyDescent="0.2">
      <c r="A4750" s="2">
        <v>15</v>
      </c>
      <c r="B4750" s="1" t="s">
        <v>231</v>
      </c>
      <c r="C4750" s="4">
        <v>4</v>
      </c>
      <c r="D4750" s="8">
        <v>1.94</v>
      </c>
      <c r="E4750" s="4">
        <v>3</v>
      </c>
      <c r="F4750" s="8">
        <v>3.09</v>
      </c>
      <c r="G4750" s="4">
        <v>1</v>
      </c>
      <c r="H4750" s="8">
        <v>0.95</v>
      </c>
      <c r="I4750" s="4">
        <v>0</v>
      </c>
    </row>
    <row r="4751" spans="1:9" x14ac:dyDescent="0.2">
      <c r="A4751" s="2">
        <v>17</v>
      </c>
      <c r="B4751" s="1" t="s">
        <v>245</v>
      </c>
      <c r="C4751" s="4">
        <v>3</v>
      </c>
      <c r="D4751" s="8">
        <v>1.46</v>
      </c>
      <c r="E4751" s="4">
        <v>1</v>
      </c>
      <c r="F4751" s="8">
        <v>1.03</v>
      </c>
      <c r="G4751" s="4">
        <v>2</v>
      </c>
      <c r="H4751" s="8">
        <v>1.9</v>
      </c>
      <c r="I4751" s="4">
        <v>0</v>
      </c>
    </row>
    <row r="4752" spans="1:9" x14ac:dyDescent="0.2">
      <c r="A4752" s="2">
        <v>17</v>
      </c>
      <c r="B4752" s="1" t="s">
        <v>219</v>
      </c>
      <c r="C4752" s="4">
        <v>3</v>
      </c>
      <c r="D4752" s="8">
        <v>1.46</v>
      </c>
      <c r="E4752" s="4">
        <v>3</v>
      </c>
      <c r="F4752" s="8">
        <v>3.09</v>
      </c>
      <c r="G4752" s="4">
        <v>0</v>
      </c>
      <c r="H4752" s="8">
        <v>0</v>
      </c>
      <c r="I4752" s="4">
        <v>0</v>
      </c>
    </row>
    <row r="4753" spans="1:9" x14ac:dyDescent="0.2">
      <c r="A4753" s="2">
        <v>17</v>
      </c>
      <c r="B4753" s="1" t="s">
        <v>224</v>
      </c>
      <c r="C4753" s="4">
        <v>3</v>
      </c>
      <c r="D4753" s="8">
        <v>1.46</v>
      </c>
      <c r="E4753" s="4">
        <v>1</v>
      </c>
      <c r="F4753" s="8">
        <v>1.03</v>
      </c>
      <c r="G4753" s="4">
        <v>1</v>
      </c>
      <c r="H4753" s="8">
        <v>0.95</v>
      </c>
      <c r="I4753" s="4">
        <v>0</v>
      </c>
    </row>
    <row r="4754" spans="1:9" x14ac:dyDescent="0.2">
      <c r="A4754" s="2">
        <v>17</v>
      </c>
      <c r="B4754" s="1" t="s">
        <v>240</v>
      </c>
      <c r="C4754" s="4">
        <v>3</v>
      </c>
      <c r="D4754" s="8">
        <v>1.46</v>
      </c>
      <c r="E4754" s="4">
        <v>2</v>
      </c>
      <c r="F4754" s="8">
        <v>2.06</v>
      </c>
      <c r="G4754" s="4">
        <v>1</v>
      </c>
      <c r="H4754" s="8">
        <v>0.95</v>
      </c>
      <c r="I4754" s="4">
        <v>0</v>
      </c>
    </row>
    <row r="4755" spans="1:9" x14ac:dyDescent="0.2">
      <c r="A4755" s="1"/>
      <c r="C4755" s="4"/>
      <c r="D4755" s="8"/>
      <c r="E4755" s="4"/>
      <c r="F4755" s="8"/>
      <c r="G4755" s="4"/>
      <c r="H4755" s="8"/>
      <c r="I4755" s="4"/>
    </row>
    <row r="4756" spans="1:9" x14ac:dyDescent="0.2">
      <c r="A4756" s="1" t="s">
        <v>186</v>
      </c>
      <c r="C4756" s="4"/>
      <c r="D4756" s="8"/>
      <c r="E4756" s="4"/>
      <c r="F4756" s="8"/>
      <c r="G4756" s="4"/>
      <c r="H4756" s="8"/>
      <c r="I4756" s="4"/>
    </row>
    <row r="4757" spans="1:9" x14ac:dyDescent="0.2">
      <c r="A4757" s="2">
        <v>1</v>
      </c>
      <c r="B4757" s="1" t="s">
        <v>227</v>
      </c>
      <c r="C4757" s="4">
        <v>45</v>
      </c>
      <c r="D4757" s="8">
        <v>13.01</v>
      </c>
      <c r="E4757" s="4">
        <v>41</v>
      </c>
      <c r="F4757" s="8">
        <v>22.16</v>
      </c>
      <c r="G4757" s="4">
        <v>4</v>
      </c>
      <c r="H4757" s="8">
        <v>2.84</v>
      </c>
      <c r="I4757" s="4">
        <v>0</v>
      </c>
    </row>
    <row r="4758" spans="1:9" x14ac:dyDescent="0.2">
      <c r="A4758" s="2">
        <v>2</v>
      </c>
      <c r="B4758" s="1" t="s">
        <v>224</v>
      </c>
      <c r="C4758" s="4">
        <v>33</v>
      </c>
      <c r="D4758" s="8">
        <v>9.5399999999999991</v>
      </c>
      <c r="E4758" s="4">
        <v>29</v>
      </c>
      <c r="F4758" s="8">
        <v>15.68</v>
      </c>
      <c r="G4758" s="4">
        <v>4</v>
      </c>
      <c r="H4758" s="8">
        <v>2.84</v>
      </c>
      <c r="I4758" s="4">
        <v>0</v>
      </c>
    </row>
    <row r="4759" spans="1:9" x14ac:dyDescent="0.2">
      <c r="A4759" s="2">
        <v>3</v>
      </c>
      <c r="B4759" s="1" t="s">
        <v>223</v>
      </c>
      <c r="C4759" s="4">
        <v>31</v>
      </c>
      <c r="D4759" s="8">
        <v>8.9600000000000009</v>
      </c>
      <c r="E4759" s="4">
        <v>8</v>
      </c>
      <c r="F4759" s="8">
        <v>4.32</v>
      </c>
      <c r="G4759" s="4">
        <v>23</v>
      </c>
      <c r="H4759" s="8">
        <v>16.309999999999999</v>
      </c>
      <c r="I4759" s="4">
        <v>0</v>
      </c>
    </row>
    <row r="4760" spans="1:9" x14ac:dyDescent="0.2">
      <c r="A4760" s="2">
        <v>4</v>
      </c>
      <c r="B4760" s="1" t="s">
        <v>228</v>
      </c>
      <c r="C4760" s="4">
        <v>30</v>
      </c>
      <c r="D4760" s="8">
        <v>8.67</v>
      </c>
      <c r="E4760" s="4">
        <v>28</v>
      </c>
      <c r="F4760" s="8">
        <v>15.14</v>
      </c>
      <c r="G4760" s="4">
        <v>2</v>
      </c>
      <c r="H4760" s="8">
        <v>1.42</v>
      </c>
      <c r="I4760" s="4">
        <v>0</v>
      </c>
    </row>
    <row r="4761" spans="1:9" x14ac:dyDescent="0.2">
      <c r="A4761" s="2">
        <v>5</v>
      </c>
      <c r="B4761" s="1" t="s">
        <v>213</v>
      </c>
      <c r="C4761" s="4">
        <v>27</v>
      </c>
      <c r="D4761" s="8">
        <v>7.8</v>
      </c>
      <c r="E4761" s="4">
        <v>4</v>
      </c>
      <c r="F4761" s="8">
        <v>2.16</v>
      </c>
      <c r="G4761" s="4">
        <v>23</v>
      </c>
      <c r="H4761" s="8">
        <v>16.309999999999999</v>
      </c>
      <c r="I4761" s="4">
        <v>0</v>
      </c>
    </row>
    <row r="4762" spans="1:9" x14ac:dyDescent="0.2">
      <c r="A4762" s="2">
        <v>6</v>
      </c>
      <c r="B4762" s="1" t="s">
        <v>221</v>
      </c>
      <c r="C4762" s="4">
        <v>17</v>
      </c>
      <c r="D4762" s="8">
        <v>4.91</v>
      </c>
      <c r="E4762" s="4">
        <v>9</v>
      </c>
      <c r="F4762" s="8">
        <v>4.8600000000000003</v>
      </c>
      <c r="G4762" s="4">
        <v>8</v>
      </c>
      <c r="H4762" s="8">
        <v>5.67</v>
      </c>
      <c r="I4762" s="4">
        <v>0</v>
      </c>
    </row>
    <row r="4763" spans="1:9" x14ac:dyDescent="0.2">
      <c r="A4763" s="2">
        <v>7</v>
      </c>
      <c r="B4763" s="1" t="s">
        <v>214</v>
      </c>
      <c r="C4763" s="4">
        <v>11</v>
      </c>
      <c r="D4763" s="8">
        <v>3.18</v>
      </c>
      <c r="E4763" s="4">
        <v>7</v>
      </c>
      <c r="F4763" s="8">
        <v>3.78</v>
      </c>
      <c r="G4763" s="4">
        <v>4</v>
      </c>
      <c r="H4763" s="8">
        <v>2.84</v>
      </c>
      <c r="I4763" s="4">
        <v>0</v>
      </c>
    </row>
    <row r="4764" spans="1:9" x14ac:dyDescent="0.2">
      <c r="A4764" s="2">
        <v>8</v>
      </c>
      <c r="B4764" s="1" t="s">
        <v>230</v>
      </c>
      <c r="C4764" s="4">
        <v>10</v>
      </c>
      <c r="D4764" s="8">
        <v>2.89</v>
      </c>
      <c r="E4764" s="4">
        <v>7</v>
      </c>
      <c r="F4764" s="8">
        <v>3.78</v>
      </c>
      <c r="G4764" s="4">
        <v>0</v>
      </c>
      <c r="H4764" s="8">
        <v>0</v>
      </c>
      <c r="I4764" s="4">
        <v>0</v>
      </c>
    </row>
    <row r="4765" spans="1:9" x14ac:dyDescent="0.2">
      <c r="A4765" s="2">
        <v>9</v>
      </c>
      <c r="B4765" s="1" t="s">
        <v>232</v>
      </c>
      <c r="C4765" s="4">
        <v>9</v>
      </c>
      <c r="D4765" s="8">
        <v>2.6</v>
      </c>
      <c r="E4765" s="4">
        <v>0</v>
      </c>
      <c r="F4765" s="8">
        <v>0</v>
      </c>
      <c r="G4765" s="4">
        <v>2</v>
      </c>
      <c r="H4765" s="8">
        <v>1.42</v>
      </c>
      <c r="I4765" s="4">
        <v>1</v>
      </c>
    </row>
    <row r="4766" spans="1:9" x14ac:dyDescent="0.2">
      <c r="A4766" s="2">
        <v>10</v>
      </c>
      <c r="B4766" s="1" t="s">
        <v>215</v>
      </c>
      <c r="C4766" s="4">
        <v>8</v>
      </c>
      <c r="D4766" s="8">
        <v>2.31</v>
      </c>
      <c r="E4766" s="4">
        <v>3</v>
      </c>
      <c r="F4766" s="8">
        <v>1.62</v>
      </c>
      <c r="G4766" s="4">
        <v>5</v>
      </c>
      <c r="H4766" s="8">
        <v>3.55</v>
      </c>
      <c r="I4766" s="4">
        <v>0</v>
      </c>
    </row>
    <row r="4767" spans="1:9" x14ac:dyDescent="0.2">
      <c r="A4767" s="2">
        <v>10</v>
      </c>
      <c r="B4767" s="1" t="s">
        <v>262</v>
      </c>
      <c r="C4767" s="4">
        <v>8</v>
      </c>
      <c r="D4767" s="8">
        <v>2.31</v>
      </c>
      <c r="E4767" s="4">
        <v>0</v>
      </c>
      <c r="F4767" s="8">
        <v>0</v>
      </c>
      <c r="G4767" s="4">
        <v>8</v>
      </c>
      <c r="H4767" s="8">
        <v>5.67</v>
      </c>
      <c r="I4767" s="4">
        <v>0</v>
      </c>
    </row>
    <row r="4768" spans="1:9" x14ac:dyDescent="0.2">
      <c r="A4768" s="2">
        <v>10</v>
      </c>
      <c r="B4768" s="1" t="s">
        <v>243</v>
      </c>
      <c r="C4768" s="4">
        <v>8</v>
      </c>
      <c r="D4768" s="8">
        <v>2.31</v>
      </c>
      <c r="E4768" s="4">
        <v>4</v>
      </c>
      <c r="F4768" s="8">
        <v>2.16</v>
      </c>
      <c r="G4768" s="4">
        <v>4</v>
      </c>
      <c r="H4768" s="8">
        <v>2.84</v>
      </c>
      <c r="I4768" s="4">
        <v>0</v>
      </c>
    </row>
    <row r="4769" spans="1:9" x14ac:dyDescent="0.2">
      <c r="A4769" s="2">
        <v>10</v>
      </c>
      <c r="B4769" s="1" t="s">
        <v>240</v>
      </c>
      <c r="C4769" s="4">
        <v>8</v>
      </c>
      <c r="D4769" s="8">
        <v>2.31</v>
      </c>
      <c r="E4769" s="4">
        <v>7</v>
      </c>
      <c r="F4769" s="8">
        <v>3.78</v>
      </c>
      <c r="G4769" s="4">
        <v>1</v>
      </c>
      <c r="H4769" s="8">
        <v>0.71</v>
      </c>
      <c r="I4769" s="4">
        <v>0</v>
      </c>
    </row>
    <row r="4770" spans="1:9" x14ac:dyDescent="0.2">
      <c r="A4770" s="2">
        <v>14</v>
      </c>
      <c r="B4770" s="1" t="s">
        <v>219</v>
      </c>
      <c r="C4770" s="4">
        <v>7</v>
      </c>
      <c r="D4770" s="8">
        <v>2.02</v>
      </c>
      <c r="E4770" s="4">
        <v>1</v>
      </c>
      <c r="F4770" s="8">
        <v>0.54</v>
      </c>
      <c r="G4770" s="4">
        <v>6</v>
      </c>
      <c r="H4770" s="8">
        <v>4.26</v>
      </c>
      <c r="I4770" s="4">
        <v>0</v>
      </c>
    </row>
    <row r="4771" spans="1:9" x14ac:dyDescent="0.2">
      <c r="A4771" s="2">
        <v>14</v>
      </c>
      <c r="B4771" s="1" t="s">
        <v>220</v>
      </c>
      <c r="C4771" s="4">
        <v>7</v>
      </c>
      <c r="D4771" s="8">
        <v>2.02</v>
      </c>
      <c r="E4771" s="4">
        <v>5</v>
      </c>
      <c r="F4771" s="8">
        <v>2.7</v>
      </c>
      <c r="G4771" s="4">
        <v>2</v>
      </c>
      <c r="H4771" s="8">
        <v>1.42</v>
      </c>
      <c r="I4771" s="4">
        <v>0</v>
      </c>
    </row>
    <row r="4772" spans="1:9" x14ac:dyDescent="0.2">
      <c r="A4772" s="2">
        <v>14</v>
      </c>
      <c r="B4772" s="1" t="s">
        <v>229</v>
      </c>
      <c r="C4772" s="4">
        <v>7</v>
      </c>
      <c r="D4772" s="8">
        <v>2.02</v>
      </c>
      <c r="E4772" s="4">
        <v>2</v>
      </c>
      <c r="F4772" s="8">
        <v>1.08</v>
      </c>
      <c r="G4772" s="4">
        <v>1</v>
      </c>
      <c r="H4772" s="8">
        <v>0.71</v>
      </c>
      <c r="I4772" s="4">
        <v>0</v>
      </c>
    </row>
    <row r="4773" spans="1:9" x14ac:dyDescent="0.2">
      <c r="A4773" s="2">
        <v>17</v>
      </c>
      <c r="B4773" s="1" t="s">
        <v>241</v>
      </c>
      <c r="C4773" s="4">
        <v>5</v>
      </c>
      <c r="D4773" s="8">
        <v>1.45</v>
      </c>
      <c r="E4773" s="4">
        <v>1</v>
      </c>
      <c r="F4773" s="8">
        <v>0.54</v>
      </c>
      <c r="G4773" s="4">
        <v>4</v>
      </c>
      <c r="H4773" s="8">
        <v>2.84</v>
      </c>
      <c r="I4773" s="4">
        <v>0</v>
      </c>
    </row>
    <row r="4774" spans="1:9" x14ac:dyDescent="0.2">
      <c r="A4774" s="2">
        <v>17</v>
      </c>
      <c r="B4774" s="1" t="s">
        <v>216</v>
      </c>
      <c r="C4774" s="4">
        <v>5</v>
      </c>
      <c r="D4774" s="8">
        <v>1.45</v>
      </c>
      <c r="E4774" s="4">
        <v>4</v>
      </c>
      <c r="F4774" s="8">
        <v>2.16</v>
      </c>
      <c r="G4774" s="4">
        <v>1</v>
      </c>
      <c r="H4774" s="8">
        <v>0.71</v>
      </c>
      <c r="I4774" s="4">
        <v>0</v>
      </c>
    </row>
    <row r="4775" spans="1:9" x14ac:dyDescent="0.2">
      <c r="A4775" s="2">
        <v>17</v>
      </c>
      <c r="B4775" s="1" t="s">
        <v>222</v>
      </c>
      <c r="C4775" s="4">
        <v>5</v>
      </c>
      <c r="D4775" s="8">
        <v>1.45</v>
      </c>
      <c r="E4775" s="4">
        <v>3</v>
      </c>
      <c r="F4775" s="8">
        <v>1.62</v>
      </c>
      <c r="G4775" s="4">
        <v>2</v>
      </c>
      <c r="H4775" s="8">
        <v>1.42</v>
      </c>
      <c r="I4775" s="4">
        <v>0</v>
      </c>
    </row>
    <row r="4776" spans="1:9" x14ac:dyDescent="0.2">
      <c r="A4776" s="2">
        <v>17</v>
      </c>
      <c r="B4776" s="1" t="s">
        <v>226</v>
      </c>
      <c r="C4776" s="4">
        <v>5</v>
      </c>
      <c r="D4776" s="8">
        <v>1.45</v>
      </c>
      <c r="E4776" s="4">
        <v>2</v>
      </c>
      <c r="F4776" s="8">
        <v>1.08</v>
      </c>
      <c r="G4776" s="4">
        <v>3</v>
      </c>
      <c r="H4776" s="8">
        <v>2.13</v>
      </c>
      <c r="I4776" s="4">
        <v>0</v>
      </c>
    </row>
    <row r="4777" spans="1:9" x14ac:dyDescent="0.2">
      <c r="A4777" s="2">
        <v>17</v>
      </c>
      <c r="B4777" s="1" t="s">
        <v>231</v>
      </c>
      <c r="C4777" s="4">
        <v>5</v>
      </c>
      <c r="D4777" s="8">
        <v>1.45</v>
      </c>
      <c r="E4777" s="4">
        <v>4</v>
      </c>
      <c r="F4777" s="8">
        <v>2.16</v>
      </c>
      <c r="G4777" s="4">
        <v>0</v>
      </c>
      <c r="H4777" s="8">
        <v>0</v>
      </c>
      <c r="I4777" s="4">
        <v>0</v>
      </c>
    </row>
    <row r="4778" spans="1:9" x14ac:dyDescent="0.2">
      <c r="A4778" s="2">
        <v>17</v>
      </c>
      <c r="B4778" s="1" t="s">
        <v>242</v>
      </c>
      <c r="C4778" s="4">
        <v>5</v>
      </c>
      <c r="D4778" s="8">
        <v>1.45</v>
      </c>
      <c r="E4778" s="4">
        <v>4</v>
      </c>
      <c r="F4778" s="8">
        <v>2.16</v>
      </c>
      <c r="G4778" s="4">
        <v>1</v>
      </c>
      <c r="H4778" s="8">
        <v>0.71</v>
      </c>
      <c r="I4778" s="4">
        <v>0</v>
      </c>
    </row>
    <row r="4779" spans="1:9" x14ac:dyDescent="0.2">
      <c r="A4779" s="2">
        <v>17</v>
      </c>
      <c r="B4779" s="1" t="s">
        <v>234</v>
      </c>
      <c r="C4779" s="4">
        <v>5</v>
      </c>
      <c r="D4779" s="8">
        <v>1.45</v>
      </c>
      <c r="E4779" s="4">
        <v>0</v>
      </c>
      <c r="F4779" s="8">
        <v>0</v>
      </c>
      <c r="G4779" s="4">
        <v>5</v>
      </c>
      <c r="H4779" s="8">
        <v>3.55</v>
      </c>
      <c r="I4779" s="4">
        <v>0</v>
      </c>
    </row>
    <row r="4780" spans="1:9" x14ac:dyDescent="0.2">
      <c r="A4780" s="1"/>
      <c r="C4780" s="4"/>
      <c r="D4780" s="8"/>
      <c r="E4780" s="4"/>
      <c r="F4780" s="8"/>
      <c r="G4780" s="4"/>
      <c r="H4780" s="8"/>
      <c r="I4780" s="4"/>
    </row>
    <row r="4781" spans="1:9" x14ac:dyDescent="0.2">
      <c r="A4781" s="1" t="s">
        <v>187</v>
      </c>
      <c r="C4781" s="4"/>
      <c r="D4781" s="8"/>
      <c r="E4781" s="4"/>
      <c r="F4781" s="8"/>
      <c r="G4781" s="4"/>
      <c r="H4781" s="8"/>
      <c r="I4781" s="4"/>
    </row>
    <row r="4782" spans="1:9" x14ac:dyDescent="0.2">
      <c r="A4782" s="2">
        <v>1</v>
      </c>
      <c r="B4782" s="1" t="s">
        <v>227</v>
      </c>
      <c r="C4782" s="4">
        <v>107</v>
      </c>
      <c r="D4782" s="8">
        <v>12.97</v>
      </c>
      <c r="E4782" s="4">
        <v>96</v>
      </c>
      <c r="F4782" s="8">
        <v>20.65</v>
      </c>
      <c r="G4782" s="4">
        <v>11</v>
      </c>
      <c r="H4782" s="8">
        <v>3.15</v>
      </c>
      <c r="I4782" s="4">
        <v>0</v>
      </c>
    </row>
    <row r="4783" spans="1:9" x14ac:dyDescent="0.2">
      <c r="A4783" s="2">
        <v>2</v>
      </c>
      <c r="B4783" s="1" t="s">
        <v>228</v>
      </c>
      <c r="C4783" s="4">
        <v>92</v>
      </c>
      <c r="D4783" s="8">
        <v>11.15</v>
      </c>
      <c r="E4783" s="4">
        <v>83</v>
      </c>
      <c r="F4783" s="8">
        <v>17.850000000000001</v>
      </c>
      <c r="G4783" s="4">
        <v>9</v>
      </c>
      <c r="H4783" s="8">
        <v>2.58</v>
      </c>
      <c r="I4783" s="4">
        <v>0</v>
      </c>
    </row>
    <row r="4784" spans="1:9" x14ac:dyDescent="0.2">
      <c r="A4784" s="2">
        <v>3</v>
      </c>
      <c r="B4784" s="1" t="s">
        <v>224</v>
      </c>
      <c r="C4784" s="4">
        <v>67</v>
      </c>
      <c r="D4784" s="8">
        <v>8.1199999999999992</v>
      </c>
      <c r="E4784" s="4">
        <v>51</v>
      </c>
      <c r="F4784" s="8">
        <v>10.97</v>
      </c>
      <c r="G4784" s="4">
        <v>15</v>
      </c>
      <c r="H4784" s="8">
        <v>4.3</v>
      </c>
      <c r="I4784" s="4">
        <v>0</v>
      </c>
    </row>
    <row r="4785" spans="1:9" x14ac:dyDescent="0.2">
      <c r="A4785" s="2">
        <v>4</v>
      </c>
      <c r="B4785" s="1" t="s">
        <v>214</v>
      </c>
      <c r="C4785" s="4">
        <v>45</v>
      </c>
      <c r="D4785" s="8">
        <v>5.45</v>
      </c>
      <c r="E4785" s="4">
        <v>23</v>
      </c>
      <c r="F4785" s="8">
        <v>4.95</v>
      </c>
      <c r="G4785" s="4">
        <v>22</v>
      </c>
      <c r="H4785" s="8">
        <v>6.3</v>
      </c>
      <c r="I4785" s="4">
        <v>0</v>
      </c>
    </row>
    <row r="4786" spans="1:9" x14ac:dyDescent="0.2">
      <c r="A4786" s="2">
        <v>4</v>
      </c>
      <c r="B4786" s="1" t="s">
        <v>223</v>
      </c>
      <c r="C4786" s="4">
        <v>45</v>
      </c>
      <c r="D4786" s="8">
        <v>5.45</v>
      </c>
      <c r="E4786" s="4">
        <v>16</v>
      </c>
      <c r="F4786" s="8">
        <v>3.44</v>
      </c>
      <c r="G4786" s="4">
        <v>29</v>
      </c>
      <c r="H4786" s="8">
        <v>8.31</v>
      </c>
      <c r="I4786" s="4">
        <v>0</v>
      </c>
    </row>
    <row r="4787" spans="1:9" x14ac:dyDescent="0.2">
      <c r="A4787" s="2">
        <v>6</v>
      </c>
      <c r="B4787" s="1" t="s">
        <v>213</v>
      </c>
      <c r="C4787" s="4">
        <v>42</v>
      </c>
      <c r="D4787" s="8">
        <v>5.09</v>
      </c>
      <c r="E4787" s="4">
        <v>10</v>
      </c>
      <c r="F4787" s="8">
        <v>2.15</v>
      </c>
      <c r="G4787" s="4">
        <v>32</v>
      </c>
      <c r="H4787" s="8">
        <v>9.17</v>
      </c>
      <c r="I4787" s="4">
        <v>0</v>
      </c>
    </row>
    <row r="4788" spans="1:9" x14ac:dyDescent="0.2">
      <c r="A4788" s="2">
        <v>7</v>
      </c>
      <c r="B4788" s="1" t="s">
        <v>222</v>
      </c>
      <c r="C4788" s="4">
        <v>40</v>
      </c>
      <c r="D4788" s="8">
        <v>4.8499999999999996</v>
      </c>
      <c r="E4788" s="4">
        <v>21</v>
      </c>
      <c r="F4788" s="8">
        <v>4.5199999999999996</v>
      </c>
      <c r="G4788" s="4">
        <v>19</v>
      </c>
      <c r="H4788" s="8">
        <v>5.44</v>
      </c>
      <c r="I4788" s="4">
        <v>0</v>
      </c>
    </row>
    <row r="4789" spans="1:9" x14ac:dyDescent="0.2">
      <c r="A4789" s="2">
        <v>8</v>
      </c>
      <c r="B4789" s="1" t="s">
        <v>221</v>
      </c>
      <c r="C4789" s="4">
        <v>34</v>
      </c>
      <c r="D4789" s="8">
        <v>4.12</v>
      </c>
      <c r="E4789" s="4">
        <v>19</v>
      </c>
      <c r="F4789" s="8">
        <v>4.09</v>
      </c>
      <c r="G4789" s="4">
        <v>15</v>
      </c>
      <c r="H4789" s="8">
        <v>4.3</v>
      </c>
      <c r="I4789" s="4">
        <v>0</v>
      </c>
    </row>
    <row r="4790" spans="1:9" x14ac:dyDescent="0.2">
      <c r="A4790" s="2">
        <v>9</v>
      </c>
      <c r="B4790" s="1" t="s">
        <v>215</v>
      </c>
      <c r="C4790" s="4">
        <v>30</v>
      </c>
      <c r="D4790" s="8">
        <v>3.64</v>
      </c>
      <c r="E4790" s="4">
        <v>9</v>
      </c>
      <c r="F4790" s="8">
        <v>1.94</v>
      </c>
      <c r="G4790" s="4">
        <v>21</v>
      </c>
      <c r="H4790" s="8">
        <v>6.02</v>
      </c>
      <c r="I4790" s="4">
        <v>0</v>
      </c>
    </row>
    <row r="4791" spans="1:9" x14ac:dyDescent="0.2">
      <c r="A4791" s="2">
        <v>10</v>
      </c>
      <c r="B4791" s="1" t="s">
        <v>230</v>
      </c>
      <c r="C4791" s="4">
        <v>25</v>
      </c>
      <c r="D4791" s="8">
        <v>3.03</v>
      </c>
      <c r="E4791" s="4">
        <v>19</v>
      </c>
      <c r="F4791" s="8">
        <v>4.09</v>
      </c>
      <c r="G4791" s="4">
        <v>4</v>
      </c>
      <c r="H4791" s="8">
        <v>1.1499999999999999</v>
      </c>
      <c r="I4791" s="4">
        <v>1</v>
      </c>
    </row>
    <row r="4792" spans="1:9" x14ac:dyDescent="0.2">
      <c r="A4792" s="2">
        <v>10</v>
      </c>
      <c r="B4792" s="1" t="s">
        <v>231</v>
      </c>
      <c r="C4792" s="4">
        <v>25</v>
      </c>
      <c r="D4792" s="8">
        <v>3.03</v>
      </c>
      <c r="E4792" s="4">
        <v>21</v>
      </c>
      <c r="F4792" s="8">
        <v>4.5199999999999996</v>
      </c>
      <c r="G4792" s="4">
        <v>4</v>
      </c>
      <c r="H4792" s="8">
        <v>1.1499999999999999</v>
      </c>
      <c r="I4792" s="4">
        <v>0</v>
      </c>
    </row>
    <row r="4793" spans="1:9" x14ac:dyDescent="0.2">
      <c r="A4793" s="2">
        <v>12</v>
      </c>
      <c r="B4793" s="1" t="s">
        <v>220</v>
      </c>
      <c r="C4793" s="4">
        <v>22</v>
      </c>
      <c r="D4793" s="8">
        <v>2.67</v>
      </c>
      <c r="E4793" s="4">
        <v>9</v>
      </c>
      <c r="F4793" s="8">
        <v>1.94</v>
      </c>
      <c r="G4793" s="4">
        <v>13</v>
      </c>
      <c r="H4793" s="8">
        <v>3.72</v>
      </c>
      <c r="I4793" s="4">
        <v>0</v>
      </c>
    </row>
    <row r="4794" spans="1:9" x14ac:dyDescent="0.2">
      <c r="A4794" s="2">
        <v>13</v>
      </c>
      <c r="B4794" s="1" t="s">
        <v>217</v>
      </c>
      <c r="C4794" s="4">
        <v>18</v>
      </c>
      <c r="D4794" s="8">
        <v>2.1800000000000002</v>
      </c>
      <c r="E4794" s="4">
        <v>2</v>
      </c>
      <c r="F4794" s="8">
        <v>0.43</v>
      </c>
      <c r="G4794" s="4">
        <v>16</v>
      </c>
      <c r="H4794" s="8">
        <v>4.58</v>
      </c>
      <c r="I4794" s="4">
        <v>0</v>
      </c>
    </row>
    <row r="4795" spans="1:9" x14ac:dyDescent="0.2">
      <c r="A4795" s="2">
        <v>13</v>
      </c>
      <c r="B4795" s="1" t="s">
        <v>225</v>
      </c>
      <c r="C4795" s="4">
        <v>18</v>
      </c>
      <c r="D4795" s="8">
        <v>2.1800000000000002</v>
      </c>
      <c r="E4795" s="4">
        <v>11</v>
      </c>
      <c r="F4795" s="8">
        <v>2.37</v>
      </c>
      <c r="G4795" s="4">
        <v>7</v>
      </c>
      <c r="H4795" s="8">
        <v>2.0099999999999998</v>
      </c>
      <c r="I4795" s="4">
        <v>0</v>
      </c>
    </row>
    <row r="4796" spans="1:9" x14ac:dyDescent="0.2">
      <c r="A4796" s="2">
        <v>15</v>
      </c>
      <c r="B4796" s="1" t="s">
        <v>226</v>
      </c>
      <c r="C4796" s="4">
        <v>16</v>
      </c>
      <c r="D4796" s="8">
        <v>1.94</v>
      </c>
      <c r="E4796" s="4">
        <v>6</v>
      </c>
      <c r="F4796" s="8">
        <v>1.29</v>
      </c>
      <c r="G4796" s="4">
        <v>9</v>
      </c>
      <c r="H4796" s="8">
        <v>2.58</v>
      </c>
      <c r="I4796" s="4">
        <v>0</v>
      </c>
    </row>
    <row r="4797" spans="1:9" x14ac:dyDescent="0.2">
      <c r="A4797" s="2">
        <v>16</v>
      </c>
      <c r="B4797" s="1" t="s">
        <v>219</v>
      </c>
      <c r="C4797" s="4">
        <v>15</v>
      </c>
      <c r="D4797" s="8">
        <v>1.82</v>
      </c>
      <c r="E4797" s="4">
        <v>2</v>
      </c>
      <c r="F4797" s="8">
        <v>0.43</v>
      </c>
      <c r="G4797" s="4">
        <v>13</v>
      </c>
      <c r="H4797" s="8">
        <v>3.72</v>
      </c>
      <c r="I4797" s="4">
        <v>0</v>
      </c>
    </row>
    <row r="4798" spans="1:9" x14ac:dyDescent="0.2">
      <c r="A4798" s="2">
        <v>17</v>
      </c>
      <c r="B4798" s="1" t="s">
        <v>243</v>
      </c>
      <c r="C4798" s="4">
        <v>14</v>
      </c>
      <c r="D4798" s="8">
        <v>1.7</v>
      </c>
      <c r="E4798" s="4">
        <v>13</v>
      </c>
      <c r="F4798" s="8">
        <v>2.8</v>
      </c>
      <c r="G4798" s="4">
        <v>1</v>
      </c>
      <c r="H4798" s="8">
        <v>0.28999999999999998</v>
      </c>
      <c r="I4798" s="4">
        <v>0</v>
      </c>
    </row>
    <row r="4799" spans="1:9" x14ac:dyDescent="0.2">
      <c r="A4799" s="2">
        <v>18</v>
      </c>
      <c r="B4799" s="1" t="s">
        <v>218</v>
      </c>
      <c r="C4799" s="4">
        <v>13</v>
      </c>
      <c r="D4799" s="8">
        <v>1.58</v>
      </c>
      <c r="E4799" s="4">
        <v>2</v>
      </c>
      <c r="F4799" s="8">
        <v>0.43</v>
      </c>
      <c r="G4799" s="4">
        <v>11</v>
      </c>
      <c r="H4799" s="8">
        <v>3.15</v>
      </c>
      <c r="I4799" s="4">
        <v>0</v>
      </c>
    </row>
    <row r="4800" spans="1:9" x14ac:dyDescent="0.2">
      <c r="A4800" s="2">
        <v>19</v>
      </c>
      <c r="B4800" s="1" t="s">
        <v>236</v>
      </c>
      <c r="C4800" s="4">
        <v>12</v>
      </c>
      <c r="D4800" s="8">
        <v>1.45</v>
      </c>
      <c r="E4800" s="4">
        <v>2</v>
      </c>
      <c r="F4800" s="8">
        <v>0.43</v>
      </c>
      <c r="G4800" s="4">
        <v>10</v>
      </c>
      <c r="H4800" s="8">
        <v>2.87</v>
      </c>
      <c r="I4800" s="4">
        <v>0</v>
      </c>
    </row>
    <row r="4801" spans="1:9" x14ac:dyDescent="0.2">
      <c r="A4801" s="2">
        <v>20</v>
      </c>
      <c r="B4801" s="1" t="s">
        <v>237</v>
      </c>
      <c r="C4801" s="4">
        <v>11</v>
      </c>
      <c r="D4801" s="8">
        <v>1.33</v>
      </c>
      <c r="E4801" s="4">
        <v>3</v>
      </c>
      <c r="F4801" s="8">
        <v>0.65</v>
      </c>
      <c r="G4801" s="4">
        <v>8</v>
      </c>
      <c r="H4801" s="8">
        <v>2.29</v>
      </c>
      <c r="I4801" s="4">
        <v>0</v>
      </c>
    </row>
    <row r="4802" spans="1:9" x14ac:dyDescent="0.2">
      <c r="A4802" s="1"/>
      <c r="C4802" s="4"/>
      <c r="D4802" s="8"/>
      <c r="E4802" s="4"/>
      <c r="F4802" s="8"/>
      <c r="G4802" s="4"/>
      <c r="H4802" s="8"/>
      <c r="I4802" s="4"/>
    </row>
    <row r="4803" spans="1:9" x14ac:dyDescent="0.2">
      <c r="A4803" s="1" t="s">
        <v>188</v>
      </c>
      <c r="C4803" s="4"/>
      <c r="D4803" s="8"/>
      <c r="E4803" s="4"/>
      <c r="F4803" s="8"/>
      <c r="G4803" s="4"/>
      <c r="H4803" s="8"/>
      <c r="I4803" s="4"/>
    </row>
    <row r="4804" spans="1:9" x14ac:dyDescent="0.2">
      <c r="A4804" s="2">
        <v>1</v>
      </c>
      <c r="B4804" s="1" t="s">
        <v>227</v>
      </c>
      <c r="C4804" s="4">
        <v>20</v>
      </c>
      <c r="D4804" s="8">
        <v>13.61</v>
      </c>
      <c r="E4804" s="4">
        <v>20</v>
      </c>
      <c r="F4804" s="8">
        <v>25.32</v>
      </c>
      <c r="G4804" s="4">
        <v>0</v>
      </c>
      <c r="H4804" s="8">
        <v>0</v>
      </c>
      <c r="I4804" s="4">
        <v>0</v>
      </c>
    </row>
    <row r="4805" spans="1:9" x14ac:dyDescent="0.2">
      <c r="A4805" s="2">
        <v>2</v>
      </c>
      <c r="B4805" s="1" t="s">
        <v>213</v>
      </c>
      <c r="C4805" s="4">
        <v>9</v>
      </c>
      <c r="D4805" s="8">
        <v>6.12</v>
      </c>
      <c r="E4805" s="4">
        <v>2</v>
      </c>
      <c r="F4805" s="8">
        <v>2.5299999999999998</v>
      </c>
      <c r="G4805" s="4">
        <v>7</v>
      </c>
      <c r="H4805" s="8">
        <v>12.96</v>
      </c>
      <c r="I4805" s="4">
        <v>0</v>
      </c>
    </row>
    <row r="4806" spans="1:9" x14ac:dyDescent="0.2">
      <c r="A4806" s="2">
        <v>2</v>
      </c>
      <c r="B4806" s="1" t="s">
        <v>221</v>
      </c>
      <c r="C4806" s="4">
        <v>9</v>
      </c>
      <c r="D4806" s="8">
        <v>6.12</v>
      </c>
      <c r="E4806" s="4">
        <v>6</v>
      </c>
      <c r="F4806" s="8">
        <v>7.59</v>
      </c>
      <c r="G4806" s="4">
        <v>3</v>
      </c>
      <c r="H4806" s="8">
        <v>5.56</v>
      </c>
      <c r="I4806" s="4">
        <v>0</v>
      </c>
    </row>
    <row r="4807" spans="1:9" x14ac:dyDescent="0.2">
      <c r="A4807" s="2">
        <v>2</v>
      </c>
      <c r="B4807" s="1" t="s">
        <v>223</v>
      </c>
      <c r="C4807" s="4">
        <v>9</v>
      </c>
      <c r="D4807" s="8">
        <v>6.12</v>
      </c>
      <c r="E4807" s="4">
        <v>5</v>
      </c>
      <c r="F4807" s="8">
        <v>6.33</v>
      </c>
      <c r="G4807" s="4">
        <v>4</v>
      </c>
      <c r="H4807" s="8">
        <v>7.41</v>
      </c>
      <c r="I4807" s="4">
        <v>0</v>
      </c>
    </row>
    <row r="4808" spans="1:9" x14ac:dyDescent="0.2">
      <c r="A4808" s="2">
        <v>2</v>
      </c>
      <c r="B4808" s="1" t="s">
        <v>243</v>
      </c>
      <c r="C4808" s="4">
        <v>9</v>
      </c>
      <c r="D4808" s="8">
        <v>6.12</v>
      </c>
      <c r="E4808" s="4">
        <v>8</v>
      </c>
      <c r="F4808" s="8">
        <v>10.130000000000001</v>
      </c>
      <c r="G4808" s="4">
        <v>0</v>
      </c>
      <c r="H4808" s="8">
        <v>0</v>
      </c>
      <c r="I4808" s="4">
        <v>0</v>
      </c>
    </row>
    <row r="4809" spans="1:9" x14ac:dyDescent="0.2">
      <c r="A4809" s="2">
        <v>6</v>
      </c>
      <c r="B4809" s="1" t="s">
        <v>224</v>
      </c>
      <c r="C4809" s="4">
        <v>8</v>
      </c>
      <c r="D4809" s="8">
        <v>5.44</v>
      </c>
      <c r="E4809" s="4">
        <v>7</v>
      </c>
      <c r="F4809" s="8">
        <v>8.86</v>
      </c>
      <c r="G4809" s="4">
        <v>0</v>
      </c>
      <c r="H4809" s="8">
        <v>0</v>
      </c>
      <c r="I4809" s="4">
        <v>0</v>
      </c>
    </row>
    <row r="4810" spans="1:9" x14ac:dyDescent="0.2">
      <c r="A4810" s="2">
        <v>6</v>
      </c>
      <c r="B4810" s="1" t="s">
        <v>228</v>
      </c>
      <c r="C4810" s="4">
        <v>8</v>
      </c>
      <c r="D4810" s="8">
        <v>5.44</v>
      </c>
      <c r="E4810" s="4">
        <v>8</v>
      </c>
      <c r="F4810" s="8">
        <v>10.130000000000001</v>
      </c>
      <c r="G4810" s="4">
        <v>0</v>
      </c>
      <c r="H4810" s="8">
        <v>0</v>
      </c>
      <c r="I4810" s="4">
        <v>0</v>
      </c>
    </row>
    <row r="4811" spans="1:9" x14ac:dyDescent="0.2">
      <c r="A4811" s="2">
        <v>8</v>
      </c>
      <c r="B4811" s="1" t="s">
        <v>214</v>
      </c>
      <c r="C4811" s="4">
        <v>7</v>
      </c>
      <c r="D4811" s="8">
        <v>4.76</v>
      </c>
      <c r="E4811" s="4">
        <v>4</v>
      </c>
      <c r="F4811" s="8">
        <v>5.0599999999999996</v>
      </c>
      <c r="G4811" s="4">
        <v>3</v>
      </c>
      <c r="H4811" s="8">
        <v>5.56</v>
      </c>
      <c r="I4811" s="4">
        <v>0</v>
      </c>
    </row>
    <row r="4812" spans="1:9" x14ac:dyDescent="0.2">
      <c r="A4812" s="2">
        <v>8</v>
      </c>
      <c r="B4812" s="1" t="s">
        <v>232</v>
      </c>
      <c r="C4812" s="4">
        <v>7</v>
      </c>
      <c r="D4812" s="8">
        <v>4.76</v>
      </c>
      <c r="E4812" s="4">
        <v>0</v>
      </c>
      <c r="F4812" s="8">
        <v>0</v>
      </c>
      <c r="G4812" s="4">
        <v>2</v>
      </c>
      <c r="H4812" s="8">
        <v>3.7</v>
      </c>
      <c r="I4812" s="4">
        <v>0</v>
      </c>
    </row>
    <row r="4813" spans="1:9" x14ac:dyDescent="0.2">
      <c r="A4813" s="2">
        <v>10</v>
      </c>
      <c r="B4813" s="1" t="s">
        <v>241</v>
      </c>
      <c r="C4813" s="4">
        <v>6</v>
      </c>
      <c r="D4813" s="8">
        <v>4.08</v>
      </c>
      <c r="E4813" s="4">
        <v>1</v>
      </c>
      <c r="F4813" s="8">
        <v>1.27</v>
      </c>
      <c r="G4813" s="4">
        <v>5</v>
      </c>
      <c r="H4813" s="8">
        <v>9.26</v>
      </c>
      <c r="I4813" s="4">
        <v>0</v>
      </c>
    </row>
    <row r="4814" spans="1:9" x14ac:dyDescent="0.2">
      <c r="A4814" s="2">
        <v>10</v>
      </c>
      <c r="B4814" s="1" t="s">
        <v>230</v>
      </c>
      <c r="C4814" s="4">
        <v>6</v>
      </c>
      <c r="D4814" s="8">
        <v>4.08</v>
      </c>
      <c r="E4814" s="4">
        <v>2</v>
      </c>
      <c r="F4814" s="8">
        <v>2.5299999999999998</v>
      </c>
      <c r="G4814" s="4">
        <v>1</v>
      </c>
      <c r="H4814" s="8">
        <v>1.85</v>
      </c>
      <c r="I4814" s="4">
        <v>0</v>
      </c>
    </row>
    <row r="4815" spans="1:9" x14ac:dyDescent="0.2">
      <c r="A4815" s="2">
        <v>12</v>
      </c>
      <c r="B4815" s="1" t="s">
        <v>215</v>
      </c>
      <c r="C4815" s="4">
        <v>5</v>
      </c>
      <c r="D4815" s="8">
        <v>3.4</v>
      </c>
      <c r="E4815" s="4">
        <v>0</v>
      </c>
      <c r="F4815" s="8">
        <v>0</v>
      </c>
      <c r="G4815" s="4">
        <v>5</v>
      </c>
      <c r="H4815" s="8">
        <v>9.26</v>
      </c>
      <c r="I4815" s="4">
        <v>0</v>
      </c>
    </row>
    <row r="4816" spans="1:9" x14ac:dyDescent="0.2">
      <c r="A4816" s="2">
        <v>12</v>
      </c>
      <c r="B4816" s="1" t="s">
        <v>222</v>
      </c>
      <c r="C4816" s="4">
        <v>5</v>
      </c>
      <c r="D4816" s="8">
        <v>3.4</v>
      </c>
      <c r="E4816" s="4">
        <v>3</v>
      </c>
      <c r="F4816" s="8">
        <v>3.8</v>
      </c>
      <c r="G4816" s="4">
        <v>2</v>
      </c>
      <c r="H4816" s="8">
        <v>3.7</v>
      </c>
      <c r="I4816" s="4">
        <v>0</v>
      </c>
    </row>
    <row r="4817" spans="1:9" x14ac:dyDescent="0.2">
      <c r="A4817" s="2">
        <v>14</v>
      </c>
      <c r="B4817" s="1" t="s">
        <v>219</v>
      </c>
      <c r="C4817" s="4">
        <v>3</v>
      </c>
      <c r="D4817" s="8">
        <v>2.04</v>
      </c>
      <c r="E4817" s="4">
        <v>1</v>
      </c>
      <c r="F4817" s="8">
        <v>1.27</v>
      </c>
      <c r="G4817" s="4">
        <v>2</v>
      </c>
      <c r="H4817" s="8">
        <v>3.7</v>
      </c>
      <c r="I4817" s="4">
        <v>0</v>
      </c>
    </row>
    <row r="4818" spans="1:9" x14ac:dyDescent="0.2">
      <c r="A4818" s="2">
        <v>14</v>
      </c>
      <c r="B4818" s="1" t="s">
        <v>231</v>
      </c>
      <c r="C4818" s="4">
        <v>3</v>
      </c>
      <c r="D4818" s="8">
        <v>2.04</v>
      </c>
      <c r="E4818" s="4">
        <v>3</v>
      </c>
      <c r="F4818" s="8">
        <v>3.8</v>
      </c>
      <c r="G4818" s="4">
        <v>0</v>
      </c>
      <c r="H4818" s="8">
        <v>0</v>
      </c>
      <c r="I4818" s="4">
        <v>0</v>
      </c>
    </row>
    <row r="4819" spans="1:9" x14ac:dyDescent="0.2">
      <c r="A4819" s="2">
        <v>14</v>
      </c>
      <c r="B4819" s="1" t="s">
        <v>242</v>
      </c>
      <c r="C4819" s="4">
        <v>3</v>
      </c>
      <c r="D4819" s="8">
        <v>2.04</v>
      </c>
      <c r="E4819" s="4">
        <v>3</v>
      </c>
      <c r="F4819" s="8">
        <v>3.8</v>
      </c>
      <c r="G4819" s="4">
        <v>0</v>
      </c>
      <c r="H4819" s="8">
        <v>0</v>
      </c>
      <c r="I4819" s="4">
        <v>0</v>
      </c>
    </row>
    <row r="4820" spans="1:9" x14ac:dyDescent="0.2">
      <c r="A4820" s="2">
        <v>17</v>
      </c>
      <c r="B4820" s="1" t="s">
        <v>262</v>
      </c>
      <c r="C4820" s="4">
        <v>2</v>
      </c>
      <c r="D4820" s="8">
        <v>1.36</v>
      </c>
      <c r="E4820" s="4">
        <v>0</v>
      </c>
      <c r="F4820" s="8">
        <v>0</v>
      </c>
      <c r="G4820" s="4">
        <v>2</v>
      </c>
      <c r="H4820" s="8">
        <v>3.7</v>
      </c>
      <c r="I4820" s="4">
        <v>0</v>
      </c>
    </row>
    <row r="4821" spans="1:9" x14ac:dyDescent="0.2">
      <c r="A4821" s="2">
        <v>17</v>
      </c>
      <c r="B4821" s="1" t="s">
        <v>238</v>
      </c>
      <c r="C4821" s="4">
        <v>2</v>
      </c>
      <c r="D4821" s="8">
        <v>1.36</v>
      </c>
      <c r="E4821" s="4">
        <v>0</v>
      </c>
      <c r="F4821" s="8">
        <v>0</v>
      </c>
      <c r="G4821" s="4">
        <v>2</v>
      </c>
      <c r="H4821" s="8">
        <v>3.7</v>
      </c>
      <c r="I4821" s="4">
        <v>0</v>
      </c>
    </row>
    <row r="4822" spans="1:9" x14ac:dyDescent="0.2">
      <c r="A4822" s="2">
        <v>17</v>
      </c>
      <c r="B4822" s="1" t="s">
        <v>256</v>
      </c>
      <c r="C4822" s="4">
        <v>2</v>
      </c>
      <c r="D4822" s="8">
        <v>1.36</v>
      </c>
      <c r="E4822" s="4">
        <v>0</v>
      </c>
      <c r="F4822" s="8">
        <v>0</v>
      </c>
      <c r="G4822" s="4">
        <v>2</v>
      </c>
      <c r="H4822" s="8">
        <v>3.7</v>
      </c>
      <c r="I4822" s="4">
        <v>0</v>
      </c>
    </row>
    <row r="4823" spans="1:9" x14ac:dyDescent="0.2">
      <c r="A4823" s="2">
        <v>17</v>
      </c>
      <c r="B4823" s="1" t="s">
        <v>225</v>
      </c>
      <c r="C4823" s="4">
        <v>2</v>
      </c>
      <c r="D4823" s="8">
        <v>1.36</v>
      </c>
      <c r="E4823" s="4">
        <v>2</v>
      </c>
      <c r="F4823" s="8">
        <v>2.5299999999999998</v>
      </c>
      <c r="G4823" s="4">
        <v>0</v>
      </c>
      <c r="H4823" s="8">
        <v>0</v>
      </c>
      <c r="I4823" s="4">
        <v>0</v>
      </c>
    </row>
    <row r="4824" spans="1:9" x14ac:dyDescent="0.2">
      <c r="A4824" s="2">
        <v>17</v>
      </c>
      <c r="B4824" s="1" t="s">
        <v>226</v>
      </c>
      <c r="C4824" s="4">
        <v>2</v>
      </c>
      <c r="D4824" s="8">
        <v>1.36</v>
      </c>
      <c r="E4824" s="4">
        <v>0</v>
      </c>
      <c r="F4824" s="8">
        <v>0</v>
      </c>
      <c r="G4824" s="4">
        <v>1</v>
      </c>
      <c r="H4824" s="8">
        <v>1.85</v>
      </c>
      <c r="I4824" s="4">
        <v>0</v>
      </c>
    </row>
    <row r="4825" spans="1:9" x14ac:dyDescent="0.2">
      <c r="A4825" s="2">
        <v>17</v>
      </c>
      <c r="B4825" s="1" t="s">
        <v>249</v>
      </c>
      <c r="C4825" s="4">
        <v>2</v>
      </c>
      <c r="D4825" s="8">
        <v>1.36</v>
      </c>
      <c r="E4825" s="4">
        <v>0</v>
      </c>
      <c r="F4825" s="8">
        <v>0</v>
      </c>
      <c r="G4825" s="4">
        <v>0</v>
      </c>
      <c r="H4825" s="8">
        <v>0</v>
      </c>
      <c r="I4825" s="4">
        <v>0</v>
      </c>
    </row>
    <row r="4826" spans="1:9" x14ac:dyDescent="0.2">
      <c r="A4826" s="1"/>
      <c r="C4826" s="4"/>
      <c r="D4826" s="8"/>
      <c r="E4826" s="4"/>
      <c r="F4826" s="8"/>
      <c r="G4826" s="4"/>
      <c r="H4826" s="8"/>
      <c r="I4826" s="4"/>
    </row>
    <row r="4827" spans="1:9" x14ac:dyDescent="0.2">
      <c r="A4827" s="1" t="s">
        <v>189</v>
      </c>
      <c r="C4827" s="4"/>
      <c r="D4827" s="8"/>
      <c r="E4827" s="4"/>
      <c r="F4827" s="8"/>
      <c r="G4827" s="4"/>
      <c r="H4827" s="8"/>
      <c r="I4827" s="4"/>
    </row>
    <row r="4828" spans="1:9" x14ac:dyDescent="0.2">
      <c r="A4828" s="2">
        <v>1</v>
      </c>
      <c r="B4828" s="1" t="s">
        <v>224</v>
      </c>
      <c r="C4828" s="4">
        <v>26</v>
      </c>
      <c r="D4828" s="8">
        <v>15.12</v>
      </c>
      <c r="E4828" s="4">
        <v>16</v>
      </c>
      <c r="F4828" s="8">
        <v>18.600000000000001</v>
      </c>
      <c r="G4828" s="4">
        <v>10</v>
      </c>
      <c r="H4828" s="8">
        <v>12.2</v>
      </c>
      <c r="I4828" s="4">
        <v>0</v>
      </c>
    </row>
    <row r="4829" spans="1:9" x14ac:dyDescent="0.2">
      <c r="A4829" s="2">
        <v>2</v>
      </c>
      <c r="B4829" s="1" t="s">
        <v>227</v>
      </c>
      <c r="C4829" s="4">
        <v>23</v>
      </c>
      <c r="D4829" s="8">
        <v>13.37</v>
      </c>
      <c r="E4829" s="4">
        <v>23</v>
      </c>
      <c r="F4829" s="8">
        <v>26.74</v>
      </c>
      <c r="G4829" s="4">
        <v>0</v>
      </c>
      <c r="H4829" s="8">
        <v>0</v>
      </c>
      <c r="I4829" s="4">
        <v>0</v>
      </c>
    </row>
    <row r="4830" spans="1:9" x14ac:dyDescent="0.2">
      <c r="A4830" s="2">
        <v>3</v>
      </c>
      <c r="B4830" s="1" t="s">
        <v>228</v>
      </c>
      <c r="C4830" s="4">
        <v>15</v>
      </c>
      <c r="D4830" s="8">
        <v>8.7200000000000006</v>
      </c>
      <c r="E4830" s="4">
        <v>13</v>
      </c>
      <c r="F4830" s="8">
        <v>15.12</v>
      </c>
      <c r="G4830" s="4">
        <v>2</v>
      </c>
      <c r="H4830" s="8">
        <v>2.44</v>
      </c>
      <c r="I4830" s="4">
        <v>0</v>
      </c>
    </row>
    <row r="4831" spans="1:9" x14ac:dyDescent="0.2">
      <c r="A4831" s="2">
        <v>4</v>
      </c>
      <c r="B4831" s="1" t="s">
        <v>241</v>
      </c>
      <c r="C4831" s="4">
        <v>13</v>
      </c>
      <c r="D4831" s="8">
        <v>7.56</v>
      </c>
      <c r="E4831" s="4">
        <v>4</v>
      </c>
      <c r="F4831" s="8">
        <v>4.6500000000000004</v>
      </c>
      <c r="G4831" s="4">
        <v>9</v>
      </c>
      <c r="H4831" s="8">
        <v>10.98</v>
      </c>
      <c r="I4831" s="4">
        <v>0</v>
      </c>
    </row>
    <row r="4832" spans="1:9" x14ac:dyDescent="0.2">
      <c r="A4832" s="2">
        <v>5</v>
      </c>
      <c r="B4832" s="1" t="s">
        <v>221</v>
      </c>
      <c r="C4832" s="4">
        <v>12</v>
      </c>
      <c r="D4832" s="8">
        <v>6.98</v>
      </c>
      <c r="E4832" s="4">
        <v>6</v>
      </c>
      <c r="F4832" s="8">
        <v>6.98</v>
      </c>
      <c r="G4832" s="4">
        <v>6</v>
      </c>
      <c r="H4832" s="8">
        <v>7.32</v>
      </c>
      <c r="I4832" s="4">
        <v>0</v>
      </c>
    </row>
    <row r="4833" spans="1:9" x14ac:dyDescent="0.2">
      <c r="A4833" s="2">
        <v>6</v>
      </c>
      <c r="B4833" s="1" t="s">
        <v>223</v>
      </c>
      <c r="C4833" s="4">
        <v>11</v>
      </c>
      <c r="D4833" s="8">
        <v>6.4</v>
      </c>
      <c r="E4833" s="4">
        <v>2</v>
      </c>
      <c r="F4833" s="8">
        <v>2.33</v>
      </c>
      <c r="G4833" s="4">
        <v>9</v>
      </c>
      <c r="H4833" s="8">
        <v>10.98</v>
      </c>
      <c r="I4833" s="4">
        <v>0</v>
      </c>
    </row>
    <row r="4834" spans="1:9" x14ac:dyDescent="0.2">
      <c r="A4834" s="2">
        <v>7</v>
      </c>
      <c r="B4834" s="1" t="s">
        <v>243</v>
      </c>
      <c r="C4834" s="4">
        <v>10</v>
      </c>
      <c r="D4834" s="8">
        <v>5.81</v>
      </c>
      <c r="E4834" s="4">
        <v>6</v>
      </c>
      <c r="F4834" s="8">
        <v>6.98</v>
      </c>
      <c r="G4834" s="4">
        <v>4</v>
      </c>
      <c r="H4834" s="8">
        <v>4.88</v>
      </c>
      <c r="I4834" s="4">
        <v>0</v>
      </c>
    </row>
    <row r="4835" spans="1:9" x14ac:dyDescent="0.2">
      <c r="A4835" s="2">
        <v>8</v>
      </c>
      <c r="B4835" s="1" t="s">
        <v>220</v>
      </c>
      <c r="C4835" s="4">
        <v>6</v>
      </c>
      <c r="D4835" s="8">
        <v>3.49</v>
      </c>
      <c r="E4835" s="4">
        <v>3</v>
      </c>
      <c r="F4835" s="8">
        <v>3.49</v>
      </c>
      <c r="G4835" s="4">
        <v>3</v>
      </c>
      <c r="H4835" s="8">
        <v>3.66</v>
      </c>
      <c r="I4835" s="4">
        <v>0</v>
      </c>
    </row>
    <row r="4836" spans="1:9" x14ac:dyDescent="0.2">
      <c r="A4836" s="2">
        <v>9</v>
      </c>
      <c r="B4836" s="1" t="s">
        <v>213</v>
      </c>
      <c r="C4836" s="4">
        <v>4</v>
      </c>
      <c r="D4836" s="8">
        <v>2.33</v>
      </c>
      <c r="E4836" s="4">
        <v>0</v>
      </c>
      <c r="F4836" s="8">
        <v>0</v>
      </c>
      <c r="G4836" s="4">
        <v>4</v>
      </c>
      <c r="H4836" s="8">
        <v>4.88</v>
      </c>
      <c r="I4836" s="4">
        <v>0</v>
      </c>
    </row>
    <row r="4837" spans="1:9" x14ac:dyDescent="0.2">
      <c r="A4837" s="2">
        <v>9</v>
      </c>
      <c r="B4837" s="1" t="s">
        <v>214</v>
      </c>
      <c r="C4837" s="4">
        <v>4</v>
      </c>
      <c r="D4837" s="8">
        <v>2.33</v>
      </c>
      <c r="E4837" s="4">
        <v>2</v>
      </c>
      <c r="F4837" s="8">
        <v>2.33</v>
      </c>
      <c r="G4837" s="4">
        <v>2</v>
      </c>
      <c r="H4837" s="8">
        <v>2.44</v>
      </c>
      <c r="I4837" s="4">
        <v>0</v>
      </c>
    </row>
    <row r="4838" spans="1:9" x14ac:dyDescent="0.2">
      <c r="A4838" s="2">
        <v>9</v>
      </c>
      <c r="B4838" s="1" t="s">
        <v>262</v>
      </c>
      <c r="C4838" s="4">
        <v>4</v>
      </c>
      <c r="D4838" s="8">
        <v>2.33</v>
      </c>
      <c r="E4838" s="4">
        <v>0</v>
      </c>
      <c r="F4838" s="8">
        <v>0</v>
      </c>
      <c r="G4838" s="4">
        <v>4</v>
      </c>
      <c r="H4838" s="8">
        <v>4.88</v>
      </c>
      <c r="I4838" s="4">
        <v>0</v>
      </c>
    </row>
    <row r="4839" spans="1:9" x14ac:dyDescent="0.2">
      <c r="A4839" s="2">
        <v>9</v>
      </c>
      <c r="B4839" s="1" t="s">
        <v>216</v>
      </c>
      <c r="C4839" s="4">
        <v>4</v>
      </c>
      <c r="D4839" s="8">
        <v>2.33</v>
      </c>
      <c r="E4839" s="4">
        <v>1</v>
      </c>
      <c r="F4839" s="8">
        <v>1.1599999999999999</v>
      </c>
      <c r="G4839" s="4">
        <v>3</v>
      </c>
      <c r="H4839" s="8">
        <v>3.66</v>
      </c>
      <c r="I4839" s="4">
        <v>0</v>
      </c>
    </row>
    <row r="4840" spans="1:9" x14ac:dyDescent="0.2">
      <c r="A4840" s="2">
        <v>9</v>
      </c>
      <c r="B4840" s="1" t="s">
        <v>231</v>
      </c>
      <c r="C4840" s="4">
        <v>4</v>
      </c>
      <c r="D4840" s="8">
        <v>2.33</v>
      </c>
      <c r="E4840" s="4">
        <v>3</v>
      </c>
      <c r="F4840" s="8">
        <v>3.49</v>
      </c>
      <c r="G4840" s="4">
        <v>1</v>
      </c>
      <c r="H4840" s="8">
        <v>1.22</v>
      </c>
      <c r="I4840" s="4">
        <v>0</v>
      </c>
    </row>
    <row r="4841" spans="1:9" x14ac:dyDescent="0.2">
      <c r="A4841" s="2">
        <v>14</v>
      </c>
      <c r="B4841" s="1" t="s">
        <v>218</v>
      </c>
      <c r="C4841" s="4">
        <v>3</v>
      </c>
      <c r="D4841" s="8">
        <v>1.74</v>
      </c>
      <c r="E4841" s="4">
        <v>0</v>
      </c>
      <c r="F4841" s="8">
        <v>0</v>
      </c>
      <c r="G4841" s="4">
        <v>3</v>
      </c>
      <c r="H4841" s="8">
        <v>3.66</v>
      </c>
      <c r="I4841" s="4">
        <v>0</v>
      </c>
    </row>
    <row r="4842" spans="1:9" x14ac:dyDescent="0.2">
      <c r="A4842" s="2">
        <v>15</v>
      </c>
      <c r="B4842" s="1" t="s">
        <v>215</v>
      </c>
      <c r="C4842" s="4">
        <v>2</v>
      </c>
      <c r="D4842" s="8">
        <v>1.1599999999999999</v>
      </c>
      <c r="E4842" s="4">
        <v>1</v>
      </c>
      <c r="F4842" s="8">
        <v>1.1599999999999999</v>
      </c>
      <c r="G4842" s="4">
        <v>1</v>
      </c>
      <c r="H4842" s="8">
        <v>1.22</v>
      </c>
      <c r="I4842" s="4">
        <v>0</v>
      </c>
    </row>
    <row r="4843" spans="1:9" x14ac:dyDescent="0.2">
      <c r="A4843" s="2">
        <v>15</v>
      </c>
      <c r="B4843" s="1" t="s">
        <v>257</v>
      </c>
      <c r="C4843" s="4">
        <v>2</v>
      </c>
      <c r="D4843" s="8">
        <v>1.1599999999999999</v>
      </c>
      <c r="E4843" s="4">
        <v>0</v>
      </c>
      <c r="F4843" s="8">
        <v>0</v>
      </c>
      <c r="G4843" s="4">
        <v>2</v>
      </c>
      <c r="H4843" s="8">
        <v>2.44</v>
      </c>
      <c r="I4843" s="4">
        <v>0</v>
      </c>
    </row>
    <row r="4844" spans="1:9" x14ac:dyDescent="0.2">
      <c r="A4844" s="2">
        <v>15</v>
      </c>
      <c r="B4844" s="1" t="s">
        <v>248</v>
      </c>
      <c r="C4844" s="4">
        <v>2</v>
      </c>
      <c r="D4844" s="8">
        <v>1.1599999999999999</v>
      </c>
      <c r="E4844" s="4">
        <v>1</v>
      </c>
      <c r="F4844" s="8">
        <v>1.1599999999999999</v>
      </c>
      <c r="G4844" s="4">
        <v>1</v>
      </c>
      <c r="H4844" s="8">
        <v>1.22</v>
      </c>
      <c r="I4844" s="4">
        <v>0</v>
      </c>
    </row>
    <row r="4845" spans="1:9" x14ac:dyDescent="0.2">
      <c r="A4845" s="2">
        <v>15</v>
      </c>
      <c r="B4845" s="1" t="s">
        <v>261</v>
      </c>
      <c r="C4845" s="4">
        <v>2</v>
      </c>
      <c r="D4845" s="8">
        <v>1.1599999999999999</v>
      </c>
      <c r="E4845" s="4">
        <v>0</v>
      </c>
      <c r="F4845" s="8">
        <v>0</v>
      </c>
      <c r="G4845" s="4">
        <v>2</v>
      </c>
      <c r="H4845" s="8">
        <v>2.44</v>
      </c>
      <c r="I4845" s="4">
        <v>0</v>
      </c>
    </row>
    <row r="4846" spans="1:9" x14ac:dyDescent="0.2">
      <c r="A4846" s="2">
        <v>15</v>
      </c>
      <c r="B4846" s="1" t="s">
        <v>222</v>
      </c>
      <c r="C4846" s="4">
        <v>2</v>
      </c>
      <c r="D4846" s="8">
        <v>1.1599999999999999</v>
      </c>
      <c r="E4846" s="4">
        <v>1</v>
      </c>
      <c r="F4846" s="8">
        <v>1.1599999999999999</v>
      </c>
      <c r="G4846" s="4">
        <v>1</v>
      </c>
      <c r="H4846" s="8">
        <v>1.22</v>
      </c>
      <c r="I4846" s="4">
        <v>0</v>
      </c>
    </row>
    <row r="4847" spans="1:9" x14ac:dyDescent="0.2">
      <c r="A4847" s="2">
        <v>15</v>
      </c>
      <c r="B4847" s="1" t="s">
        <v>232</v>
      </c>
      <c r="C4847" s="4">
        <v>2</v>
      </c>
      <c r="D4847" s="8">
        <v>1.1599999999999999</v>
      </c>
      <c r="E4847" s="4">
        <v>0</v>
      </c>
      <c r="F4847" s="8">
        <v>0</v>
      </c>
      <c r="G4847" s="4">
        <v>1</v>
      </c>
      <c r="H4847" s="8">
        <v>1.22</v>
      </c>
      <c r="I4847" s="4">
        <v>0</v>
      </c>
    </row>
    <row r="4848" spans="1:9" x14ac:dyDescent="0.2">
      <c r="A4848" s="2">
        <v>15</v>
      </c>
      <c r="B4848" s="1" t="s">
        <v>249</v>
      </c>
      <c r="C4848" s="4">
        <v>2</v>
      </c>
      <c r="D4848" s="8">
        <v>1.1599999999999999</v>
      </c>
      <c r="E4848" s="4">
        <v>0</v>
      </c>
      <c r="F4848" s="8">
        <v>0</v>
      </c>
      <c r="G4848" s="4">
        <v>2</v>
      </c>
      <c r="H4848" s="8">
        <v>2.44</v>
      </c>
      <c r="I4848" s="4">
        <v>0</v>
      </c>
    </row>
    <row r="4849" spans="1:9" x14ac:dyDescent="0.2">
      <c r="A4849" s="2">
        <v>15</v>
      </c>
      <c r="B4849" s="1" t="s">
        <v>240</v>
      </c>
      <c r="C4849" s="4">
        <v>2</v>
      </c>
      <c r="D4849" s="8">
        <v>1.1599999999999999</v>
      </c>
      <c r="E4849" s="4">
        <v>2</v>
      </c>
      <c r="F4849" s="8">
        <v>2.33</v>
      </c>
      <c r="G4849" s="4">
        <v>0</v>
      </c>
      <c r="H4849" s="8">
        <v>0</v>
      </c>
      <c r="I4849" s="4">
        <v>0</v>
      </c>
    </row>
    <row r="4850" spans="1:9" x14ac:dyDescent="0.2">
      <c r="A4850" s="2">
        <v>15</v>
      </c>
      <c r="B4850" s="1" t="s">
        <v>242</v>
      </c>
      <c r="C4850" s="4">
        <v>2</v>
      </c>
      <c r="D4850" s="8">
        <v>1.1599999999999999</v>
      </c>
      <c r="E4850" s="4">
        <v>0</v>
      </c>
      <c r="F4850" s="8">
        <v>0</v>
      </c>
      <c r="G4850" s="4">
        <v>2</v>
      </c>
      <c r="H4850" s="8">
        <v>2.44</v>
      </c>
      <c r="I4850" s="4">
        <v>0</v>
      </c>
    </row>
    <row r="4851" spans="1:9" x14ac:dyDescent="0.2">
      <c r="A4851" s="1"/>
      <c r="C4851" s="4"/>
      <c r="D4851" s="8"/>
      <c r="E4851" s="4"/>
      <c r="F4851" s="8"/>
      <c r="G4851" s="4"/>
      <c r="H4851" s="8"/>
      <c r="I4851" s="4"/>
    </row>
  </sheetData>
  <phoneticPr fontId="1"/>
  <pageMargins left="0.70866141732283505" right="0.70866141732283505" top="0.74803149606299202" bottom="0.74803149606299202" header="0.31496062992126" footer="0.31496062992126"/>
  <pageSetup paperSize="12" fitToHeight="0" orientation="portrait" r:id="rId2"/>
  <headerFooter>
    <oddHeader>&amp;C自治体別 事業所数 産業中分類トップ２０</oddHeader>
    <oddFooter>&amp;C&amp;P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2BB21-D294-4499-9514-F28C047AAE5D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81</v>
      </c>
      <c r="D6" s="8">
        <v>16.23</v>
      </c>
      <c r="E6" s="12">
        <v>32</v>
      </c>
      <c r="F6" s="8">
        <v>11.59</v>
      </c>
      <c r="G6" s="12">
        <v>49</v>
      </c>
      <c r="H6" s="8">
        <v>22.69</v>
      </c>
      <c r="I6" s="12">
        <v>0</v>
      </c>
    </row>
    <row r="7" spans="2:9" ht="15" customHeight="1" x14ac:dyDescent="0.2">
      <c r="B7" t="s">
        <v>192</v>
      </c>
      <c r="C7" s="12">
        <v>32</v>
      </c>
      <c r="D7" s="8">
        <v>6.41</v>
      </c>
      <c r="E7" s="12">
        <v>3</v>
      </c>
      <c r="F7" s="8">
        <v>1.0900000000000001</v>
      </c>
      <c r="G7" s="12">
        <v>29</v>
      </c>
      <c r="H7" s="8">
        <v>13.43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0.4</v>
      </c>
      <c r="E8" s="12">
        <v>0</v>
      </c>
      <c r="F8" s="8">
        <v>0</v>
      </c>
      <c r="G8" s="12">
        <v>1</v>
      </c>
      <c r="H8" s="8">
        <v>0.46</v>
      </c>
      <c r="I8" s="12">
        <v>0</v>
      </c>
    </row>
    <row r="9" spans="2:9" ht="15" customHeight="1" x14ac:dyDescent="0.2">
      <c r="B9" t="s">
        <v>194</v>
      </c>
      <c r="C9" s="12">
        <v>3</v>
      </c>
      <c r="D9" s="8">
        <v>0.6</v>
      </c>
      <c r="E9" s="12">
        <v>0</v>
      </c>
      <c r="F9" s="8">
        <v>0</v>
      </c>
      <c r="G9" s="12">
        <v>3</v>
      </c>
      <c r="H9" s="8">
        <v>1.39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0.8</v>
      </c>
      <c r="E10" s="12">
        <v>1</v>
      </c>
      <c r="F10" s="8">
        <v>0.36</v>
      </c>
      <c r="G10" s="12">
        <v>3</v>
      </c>
      <c r="H10" s="8">
        <v>1.39</v>
      </c>
      <c r="I10" s="12">
        <v>0</v>
      </c>
    </row>
    <row r="11" spans="2:9" ht="15" customHeight="1" x14ac:dyDescent="0.2">
      <c r="B11" t="s">
        <v>196</v>
      </c>
      <c r="C11" s="12">
        <v>122</v>
      </c>
      <c r="D11" s="8">
        <v>24.45</v>
      </c>
      <c r="E11" s="12">
        <v>55</v>
      </c>
      <c r="F11" s="8">
        <v>19.93</v>
      </c>
      <c r="G11" s="12">
        <v>66</v>
      </c>
      <c r="H11" s="8">
        <v>30.56</v>
      </c>
      <c r="I11" s="12">
        <v>1</v>
      </c>
    </row>
    <row r="12" spans="2:9" ht="15" customHeight="1" x14ac:dyDescent="0.2">
      <c r="B12" t="s">
        <v>197</v>
      </c>
      <c r="C12" s="12">
        <v>3</v>
      </c>
      <c r="D12" s="8">
        <v>0.6</v>
      </c>
      <c r="E12" s="12">
        <v>1</v>
      </c>
      <c r="F12" s="8">
        <v>0.36</v>
      </c>
      <c r="G12" s="12">
        <v>2</v>
      </c>
      <c r="H12" s="8">
        <v>0.93</v>
      </c>
      <c r="I12" s="12">
        <v>0</v>
      </c>
    </row>
    <row r="13" spans="2:9" ht="15" customHeight="1" x14ac:dyDescent="0.2">
      <c r="B13" t="s">
        <v>198</v>
      </c>
      <c r="C13" s="12">
        <v>58</v>
      </c>
      <c r="D13" s="8">
        <v>11.62</v>
      </c>
      <c r="E13" s="12">
        <v>35</v>
      </c>
      <c r="F13" s="8">
        <v>12.68</v>
      </c>
      <c r="G13" s="12">
        <v>23</v>
      </c>
      <c r="H13" s="8">
        <v>10.65</v>
      </c>
      <c r="I13" s="12">
        <v>0</v>
      </c>
    </row>
    <row r="14" spans="2:9" ht="15" customHeight="1" x14ac:dyDescent="0.2">
      <c r="B14" t="s">
        <v>199</v>
      </c>
      <c r="C14" s="12">
        <v>7</v>
      </c>
      <c r="D14" s="8">
        <v>1.4</v>
      </c>
      <c r="E14" s="12">
        <v>4</v>
      </c>
      <c r="F14" s="8">
        <v>1.45</v>
      </c>
      <c r="G14" s="12">
        <v>3</v>
      </c>
      <c r="H14" s="8">
        <v>1.39</v>
      </c>
      <c r="I14" s="12">
        <v>0</v>
      </c>
    </row>
    <row r="15" spans="2:9" ht="15" customHeight="1" x14ac:dyDescent="0.2">
      <c r="B15" t="s">
        <v>200</v>
      </c>
      <c r="C15" s="12">
        <v>63</v>
      </c>
      <c r="D15" s="8">
        <v>12.63</v>
      </c>
      <c r="E15" s="12">
        <v>53</v>
      </c>
      <c r="F15" s="8">
        <v>19.2</v>
      </c>
      <c r="G15" s="12">
        <v>10</v>
      </c>
      <c r="H15" s="8">
        <v>4.63</v>
      </c>
      <c r="I15" s="12">
        <v>0</v>
      </c>
    </row>
    <row r="16" spans="2:9" ht="15" customHeight="1" x14ac:dyDescent="0.2">
      <c r="B16" t="s">
        <v>201</v>
      </c>
      <c r="C16" s="12">
        <v>75</v>
      </c>
      <c r="D16" s="8">
        <v>15.03</v>
      </c>
      <c r="E16" s="12">
        <v>62</v>
      </c>
      <c r="F16" s="8">
        <v>22.46</v>
      </c>
      <c r="G16" s="12">
        <v>11</v>
      </c>
      <c r="H16" s="8">
        <v>5.09</v>
      </c>
      <c r="I16" s="12">
        <v>1</v>
      </c>
    </row>
    <row r="17" spans="2:9" ht="15" customHeight="1" x14ac:dyDescent="0.2">
      <c r="B17" t="s">
        <v>202</v>
      </c>
      <c r="C17" s="12">
        <v>14</v>
      </c>
      <c r="D17" s="8">
        <v>2.81</v>
      </c>
      <c r="E17" s="12">
        <v>11</v>
      </c>
      <c r="F17" s="8">
        <v>3.99</v>
      </c>
      <c r="G17" s="12">
        <v>2</v>
      </c>
      <c r="H17" s="8">
        <v>0.93</v>
      </c>
      <c r="I17" s="12">
        <v>0</v>
      </c>
    </row>
    <row r="18" spans="2:9" ht="15" customHeight="1" x14ac:dyDescent="0.2">
      <c r="B18" t="s">
        <v>203</v>
      </c>
      <c r="C18" s="12">
        <v>18</v>
      </c>
      <c r="D18" s="8">
        <v>3.61</v>
      </c>
      <c r="E18" s="12">
        <v>15</v>
      </c>
      <c r="F18" s="8">
        <v>5.43</v>
      </c>
      <c r="G18" s="12">
        <v>3</v>
      </c>
      <c r="H18" s="8">
        <v>1.39</v>
      </c>
      <c r="I18" s="12">
        <v>0</v>
      </c>
    </row>
    <row r="19" spans="2:9" ht="15" customHeight="1" x14ac:dyDescent="0.2">
      <c r="B19" t="s">
        <v>204</v>
      </c>
      <c r="C19" s="12">
        <v>17</v>
      </c>
      <c r="D19" s="8">
        <v>3.41</v>
      </c>
      <c r="E19" s="12">
        <v>4</v>
      </c>
      <c r="F19" s="8">
        <v>1.45</v>
      </c>
      <c r="G19" s="12">
        <v>11</v>
      </c>
      <c r="H19" s="8">
        <v>5.09</v>
      </c>
      <c r="I19" s="12">
        <v>1</v>
      </c>
    </row>
    <row r="20" spans="2:9" ht="15" customHeight="1" x14ac:dyDescent="0.2">
      <c r="B20" s="9" t="s">
        <v>529</v>
      </c>
      <c r="C20" s="12">
        <f>SUM(LTBL_01215[総数／事業所数])</f>
        <v>499</v>
      </c>
      <c r="E20" s="12">
        <f>SUBTOTAL(109,LTBL_01215[個人／事業所数])</f>
        <v>276</v>
      </c>
      <c r="G20" s="12">
        <f>SUBTOTAL(109,LTBL_01215[法人／事業所数])</f>
        <v>216</v>
      </c>
      <c r="I20" s="12">
        <f>SUBTOTAL(109,LTBL_01215[法人以外の団体／事業所数])</f>
        <v>3</v>
      </c>
    </row>
    <row r="21" spans="2:9" ht="15" customHeight="1" x14ac:dyDescent="0.2">
      <c r="E21" s="11">
        <f>LTBL_01215[[#Totals],[個人／事業所数]]/LTBL_01215[[#Totals],[総数／事業所数]]</f>
        <v>0.5531062124248497</v>
      </c>
      <c r="G21" s="11">
        <f>LTBL_01215[[#Totals],[法人／事業所数]]/LTBL_01215[[#Totals],[総数／事業所数]]</f>
        <v>0.43286573146292584</v>
      </c>
      <c r="I21" s="11">
        <f>LTBL_01215[[#Totals],[法人以外の団体／事業所数]]/LTBL_01215[[#Totals],[総数／事業所数]]</f>
        <v>6.0120240480961923E-3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66</v>
      </c>
      <c r="D24" s="8">
        <v>13.23</v>
      </c>
      <c r="E24" s="12">
        <v>57</v>
      </c>
      <c r="F24" s="8">
        <v>20.65</v>
      </c>
      <c r="G24" s="12">
        <v>8</v>
      </c>
      <c r="H24" s="8">
        <v>3.7</v>
      </c>
      <c r="I24" s="12">
        <v>1</v>
      </c>
    </row>
    <row r="25" spans="2:9" ht="15" customHeight="1" x14ac:dyDescent="0.2">
      <c r="B25" t="s">
        <v>227</v>
      </c>
      <c r="C25" s="12">
        <v>57</v>
      </c>
      <c r="D25" s="8">
        <v>11.42</v>
      </c>
      <c r="E25" s="12">
        <v>50</v>
      </c>
      <c r="F25" s="8">
        <v>18.12</v>
      </c>
      <c r="G25" s="12">
        <v>7</v>
      </c>
      <c r="H25" s="8">
        <v>3.24</v>
      </c>
      <c r="I25" s="12">
        <v>0</v>
      </c>
    </row>
    <row r="26" spans="2:9" ht="15" customHeight="1" x14ac:dyDescent="0.2">
      <c r="B26" t="s">
        <v>224</v>
      </c>
      <c r="C26" s="12">
        <v>56</v>
      </c>
      <c r="D26" s="8">
        <v>11.22</v>
      </c>
      <c r="E26" s="12">
        <v>35</v>
      </c>
      <c r="F26" s="8">
        <v>12.68</v>
      </c>
      <c r="G26" s="12">
        <v>21</v>
      </c>
      <c r="H26" s="8">
        <v>9.7200000000000006</v>
      </c>
      <c r="I26" s="12">
        <v>0</v>
      </c>
    </row>
    <row r="27" spans="2:9" ht="15" customHeight="1" x14ac:dyDescent="0.2">
      <c r="B27" t="s">
        <v>223</v>
      </c>
      <c r="C27" s="12">
        <v>53</v>
      </c>
      <c r="D27" s="8">
        <v>10.62</v>
      </c>
      <c r="E27" s="12">
        <v>24</v>
      </c>
      <c r="F27" s="8">
        <v>8.6999999999999993</v>
      </c>
      <c r="G27" s="12">
        <v>29</v>
      </c>
      <c r="H27" s="8">
        <v>13.43</v>
      </c>
      <c r="I27" s="12">
        <v>0</v>
      </c>
    </row>
    <row r="28" spans="2:9" ht="15" customHeight="1" x14ac:dyDescent="0.2">
      <c r="B28" t="s">
        <v>214</v>
      </c>
      <c r="C28" s="12">
        <v>41</v>
      </c>
      <c r="D28" s="8">
        <v>8.2200000000000006</v>
      </c>
      <c r="E28" s="12">
        <v>20</v>
      </c>
      <c r="F28" s="8">
        <v>7.25</v>
      </c>
      <c r="G28" s="12">
        <v>21</v>
      </c>
      <c r="H28" s="8">
        <v>9.7200000000000006</v>
      </c>
      <c r="I28" s="12">
        <v>0</v>
      </c>
    </row>
    <row r="29" spans="2:9" ht="15" customHeight="1" x14ac:dyDescent="0.2">
      <c r="B29" t="s">
        <v>213</v>
      </c>
      <c r="C29" s="12">
        <v>25</v>
      </c>
      <c r="D29" s="8">
        <v>5.01</v>
      </c>
      <c r="E29" s="12">
        <v>7</v>
      </c>
      <c r="F29" s="8">
        <v>2.54</v>
      </c>
      <c r="G29" s="12">
        <v>18</v>
      </c>
      <c r="H29" s="8">
        <v>8.33</v>
      </c>
      <c r="I29" s="12">
        <v>0</v>
      </c>
    </row>
    <row r="30" spans="2:9" ht="15" customHeight="1" x14ac:dyDescent="0.2">
      <c r="B30" t="s">
        <v>221</v>
      </c>
      <c r="C30" s="12">
        <v>17</v>
      </c>
      <c r="D30" s="8">
        <v>3.41</v>
      </c>
      <c r="E30" s="12">
        <v>8</v>
      </c>
      <c r="F30" s="8">
        <v>2.9</v>
      </c>
      <c r="G30" s="12">
        <v>8</v>
      </c>
      <c r="H30" s="8">
        <v>3.7</v>
      </c>
      <c r="I30" s="12">
        <v>1</v>
      </c>
    </row>
    <row r="31" spans="2:9" ht="15" customHeight="1" x14ac:dyDescent="0.2">
      <c r="B31" t="s">
        <v>220</v>
      </c>
      <c r="C31" s="12">
        <v>16</v>
      </c>
      <c r="D31" s="8">
        <v>3.21</v>
      </c>
      <c r="E31" s="12">
        <v>10</v>
      </c>
      <c r="F31" s="8">
        <v>3.62</v>
      </c>
      <c r="G31" s="12">
        <v>6</v>
      </c>
      <c r="H31" s="8">
        <v>2.78</v>
      </c>
      <c r="I31" s="12">
        <v>0</v>
      </c>
    </row>
    <row r="32" spans="2:9" ht="15" customHeight="1" x14ac:dyDescent="0.2">
      <c r="B32" t="s">
        <v>215</v>
      </c>
      <c r="C32" s="12">
        <v>15</v>
      </c>
      <c r="D32" s="8">
        <v>3.01</v>
      </c>
      <c r="E32" s="12">
        <v>5</v>
      </c>
      <c r="F32" s="8">
        <v>1.81</v>
      </c>
      <c r="G32" s="12">
        <v>10</v>
      </c>
      <c r="H32" s="8">
        <v>4.63</v>
      </c>
      <c r="I32" s="12">
        <v>0</v>
      </c>
    </row>
    <row r="33" spans="2:9" ht="15" customHeight="1" x14ac:dyDescent="0.2">
      <c r="B33" t="s">
        <v>222</v>
      </c>
      <c r="C33" s="12">
        <v>14</v>
      </c>
      <c r="D33" s="8">
        <v>2.81</v>
      </c>
      <c r="E33" s="12">
        <v>6</v>
      </c>
      <c r="F33" s="8">
        <v>2.17</v>
      </c>
      <c r="G33" s="12">
        <v>8</v>
      </c>
      <c r="H33" s="8">
        <v>3.7</v>
      </c>
      <c r="I33" s="12">
        <v>0</v>
      </c>
    </row>
    <row r="34" spans="2:9" ht="15" customHeight="1" x14ac:dyDescent="0.2">
      <c r="B34" t="s">
        <v>230</v>
      </c>
      <c r="C34" s="12">
        <v>14</v>
      </c>
      <c r="D34" s="8">
        <v>2.81</v>
      </c>
      <c r="E34" s="12">
        <v>11</v>
      </c>
      <c r="F34" s="8">
        <v>3.99</v>
      </c>
      <c r="G34" s="12">
        <v>2</v>
      </c>
      <c r="H34" s="8">
        <v>0.93</v>
      </c>
      <c r="I34" s="12">
        <v>0</v>
      </c>
    </row>
    <row r="35" spans="2:9" ht="15" customHeight="1" x14ac:dyDescent="0.2">
      <c r="B35" t="s">
        <v>231</v>
      </c>
      <c r="C35" s="12">
        <v>14</v>
      </c>
      <c r="D35" s="8">
        <v>2.81</v>
      </c>
      <c r="E35" s="12">
        <v>14</v>
      </c>
      <c r="F35" s="8">
        <v>5.07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217</v>
      </c>
      <c r="C36" s="12">
        <v>8</v>
      </c>
      <c r="D36" s="8">
        <v>1.6</v>
      </c>
      <c r="E36" s="12">
        <v>5</v>
      </c>
      <c r="F36" s="8">
        <v>1.81</v>
      </c>
      <c r="G36" s="12">
        <v>3</v>
      </c>
      <c r="H36" s="8">
        <v>1.39</v>
      </c>
      <c r="I36" s="12">
        <v>0</v>
      </c>
    </row>
    <row r="37" spans="2:9" ht="15" customHeight="1" x14ac:dyDescent="0.2">
      <c r="B37" t="s">
        <v>236</v>
      </c>
      <c r="C37" s="12">
        <v>6</v>
      </c>
      <c r="D37" s="8">
        <v>1.2</v>
      </c>
      <c r="E37" s="12">
        <v>1</v>
      </c>
      <c r="F37" s="8">
        <v>0.36</v>
      </c>
      <c r="G37" s="12">
        <v>5</v>
      </c>
      <c r="H37" s="8">
        <v>2.31</v>
      </c>
      <c r="I37" s="12">
        <v>0</v>
      </c>
    </row>
    <row r="38" spans="2:9" ht="15" customHeight="1" x14ac:dyDescent="0.2">
      <c r="B38" t="s">
        <v>240</v>
      </c>
      <c r="C38" s="12">
        <v>6</v>
      </c>
      <c r="D38" s="8">
        <v>1.2</v>
      </c>
      <c r="E38" s="12">
        <v>3</v>
      </c>
      <c r="F38" s="8">
        <v>1.0900000000000001</v>
      </c>
      <c r="G38" s="12">
        <v>3</v>
      </c>
      <c r="H38" s="8">
        <v>1.39</v>
      </c>
      <c r="I38" s="12">
        <v>0</v>
      </c>
    </row>
    <row r="39" spans="2:9" ht="15" customHeight="1" x14ac:dyDescent="0.2">
      <c r="B39" t="s">
        <v>252</v>
      </c>
      <c r="C39" s="12">
        <v>5</v>
      </c>
      <c r="D39" s="8">
        <v>1</v>
      </c>
      <c r="E39" s="12">
        <v>2</v>
      </c>
      <c r="F39" s="8">
        <v>0.72</v>
      </c>
      <c r="G39" s="12">
        <v>3</v>
      </c>
      <c r="H39" s="8">
        <v>1.39</v>
      </c>
      <c r="I39" s="12">
        <v>0</v>
      </c>
    </row>
    <row r="40" spans="2:9" ht="15" customHeight="1" x14ac:dyDescent="0.2">
      <c r="B40" t="s">
        <v>245</v>
      </c>
      <c r="C40" s="12">
        <v>5</v>
      </c>
      <c r="D40" s="8">
        <v>1</v>
      </c>
      <c r="E40" s="12">
        <v>0</v>
      </c>
      <c r="F40" s="8">
        <v>0</v>
      </c>
      <c r="G40" s="12">
        <v>5</v>
      </c>
      <c r="H40" s="8">
        <v>2.31</v>
      </c>
      <c r="I40" s="12">
        <v>0</v>
      </c>
    </row>
    <row r="41" spans="2:9" ht="15" customHeight="1" x14ac:dyDescent="0.2">
      <c r="B41" t="s">
        <v>247</v>
      </c>
      <c r="C41" s="12">
        <v>5</v>
      </c>
      <c r="D41" s="8">
        <v>1</v>
      </c>
      <c r="E41" s="12">
        <v>3</v>
      </c>
      <c r="F41" s="8">
        <v>1.0900000000000001</v>
      </c>
      <c r="G41" s="12">
        <v>1</v>
      </c>
      <c r="H41" s="8">
        <v>0.46</v>
      </c>
      <c r="I41" s="12">
        <v>0</v>
      </c>
    </row>
    <row r="42" spans="2:9" ht="15" customHeight="1" x14ac:dyDescent="0.2">
      <c r="B42" t="s">
        <v>241</v>
      </c>
      <c r="C42" s="12">
        <v>4</v>
      </c>
      <c r="D42" s="8">
        <v>0.8</v>
      </c>
      <c r="E42" s="12">
        <v>0</v>
      </c>
      <c r="F42" s="8">
        <v>0</v>
      </c>
      <c r="G42" s="12">
        <v>4</v>
      </c>
      <c r="H42" s="8">
        <v>1.85</v>
      </c>
      <c r="I42" s="12">
        <v>0</v>
      </c>
    </row>
    <row r="43" spans="2:9" ht="15" customHeight="1" x14ac:dyDescent="0.2">
      <c r="B43" t="s">
        <v>251</v>
      </c>
      <c r="C43" s="12">
        <v>4</v>
      </c>
      <c r="D43" s="8">
        <v>0.8</v>
      </c>
      <c r="E43" s="12">
        <v>1</v>
      </c>
      <c r="F43" s="8">
        <v>0.36</v>
      </c>
      <c r="G43" s="12">
        <v>3</v>
      </c>
      <c r="H43" s="8">
        <v>1.39</v>
      </c>
      <c r="I43" s="12">
        <v>0</v>
      </c>
    </row>
    <row r="44" spans="2:9" ht="15" customHeight="1" x14ac:dyDescent="0.2">
      <c r="B44" t="s">
        <v>225</v>
      </c>
      <c r="C44" s="12">
        <v>4</v>
      </c>
      <c r="D44" s="8">
        <v>0.8</v>
      </c>
      <c r="E44" s="12">
        <v>3</v>
      </c>
      <c r="F44" s="8">
        <v>1.0900000000000001</v>
      </c>
      <c r="G44" s="12">
        <v>1</v>
      </c>
      <c r="H44" s="8">
        <v>0.46</v>
      </c>
      <c r="I44" s="12">
        <v>0</v>
      </c>
    </row>
    <row r="45" spans="2:9" ht="15" customHeight="1" x14ac:dyDescent="0.2">
      <c r="B45" t="s">
        <v>229</v>
      </c>
      <c r="C45" s="12">
        <v>4</v>
      </c>
      <c r="D45" s="8">
        <v>0.8</v>
      </c>
      <c r="E45" s="12">
        <v>2</v>
      </c>
      <c r="F45" s="8">
        <v>0.72</v>
      </c>
      <c r="G45" s="12">
        <v>2</v>
      </c>
      <c r="H45" s="8">
        <v>0.93</v>
      </c>
      <c r="I45" s="12">
        <v>0</v>
      </c>
    </row>
    <row r="46" spans="2:9" ht="15" customHeight="1" x14ac:dyDescent="0.2">
      <c r="B46" t="s">
        <v>232</v>
      </c>
      <c r="C46" s="12">
        <v>4</v>
      </c>
      <c r="D46" s="8">
        <v>0.8</v>
      </c>
      <c r="E46" s="12">
        <v>1</v>
      </c>
      <c r="F46" s="8">
        <v>0.36</v>
      </c>
      <c r="G46" s="12">
        <v>3</v>
      </c>
      <c r="H46" s="8">
        <v>1.39</v>
      </c>
      <c r="I46" s="12">
        <v>0</v>
      </c>
    </row>
    <row r="47" spans="2:9" ht="15" customHeight="1" x14ac:dyDescent="0.2">
      <c r="B47" t="s">
        <v>234</v>
      </c>
      <c r="C47" s="12">
        <v>4</v>
      </c>
      <c r="D47" s="8">
        <v>0.8</v>
      </c>
      <c r="E47" s="12">
        <v>0</v>
      </c>
      <c r="F47" s="8">
        <v>0</v>
      </c>
      <c r="G47" s="12">
        <v>3</v>
      </c>
      <c r="H47" s="8">
        <v>1.39</v>
      </c>
      <c r="I47" s="12">
        <v>1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297</v>
      </c>
      <c r="C51" s="12">
        <v>46</v>
      </c>
      <c r="D51" s="8">
        <v>9.2200000000000006</v>
      </c>
      <c r="E51" s="12">
        <v>35</v>
      </c>
      <c r="F51" s="8">
        <v>12.68</v>
      </c>
      <c r="G51" s="12">
        <v>11</v>
      </c>
      <c r="H51" s="8">
        <v>5.09</v>
      </c>
      <c r="I51" s="12">
        <v>0</v>
      </c>
    </row>
    <row r="52" spans="2:9" ht="15" customHeight="1" x14ac:dyDescent="0.2">
      <c r="B52" t="s">
        <v>304</v>
      </c>
      <c r="C52" s="12">
        <v>34</v>
      </c>
      <c r="D52" s="8">
        <v>6.81</v>
      </c>
      <c r="E52" s="12">
        <v>28</v>
      </c>
      <c r="F52" s="8">
        <v>10.14</v>
      </c>
      <c r="G52" s="12">
        <v>6</v>
      </c>
      <c r="H52" s="8">
        <v>2.78</v>
      </c>
      <c r="I52" s="12">
        <v>0</v>
      </c>
    </row>
    <row r="53" spans="2:9" ht="15" customHeight="1" x14ac:dyDescent="0.2">
      <c r="B53" t="s">
        <v>303</v>
      </c>
      <c r="C53" s="12">
        <v>24</v>
      </c>
      <c r="D53" s="8">
        <v>4.8099999999999996</v>
      </c>
      <c r="E53" s="12">
        <v>24</v>
      </c>
      <c r="F53" s="8">
        <v>8.6999999999999993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301</v>
      </c>
      <c r="C54" s="12">
        <v>21</v>
      </c>
      <c r="D54" s="8">
        <v>4.21</v>
      </c>
      <c r="E54" s="12">
        <v>21</v>
      </c>
      <c r="F54" s="8">
        <v>7.61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300</v>
      </c>
      <c r="C55" s="12">
        <v>15</v>
      </c>
      <c r="D55" s="8">
        <v>3.01</v>
      </c>
      <c r="E55" s="12">
        <v>14</v>
      </c>
      <c r="F55" s="8">
        <v>5.07</v>
      </c>
      <c r="G55" s="12">
        <v>1</v>
      </c>
      <c r="H55" s="8">
        <v>0.46</v>
      </c>
      <c r="I55" s="12">
        <v>0</v>
      </c>
    </row>
    <row r="56" spans="2:9" ht="15" customHeight="1" x14ac:dyDescent="0.2">
      <c r="B56" t="s">
        <v>333</v>
      </c>
      <c r="C56" s="12">
        <v>12</v>
      </c>
      <c r="D56" s="8">
        <v>2.4</v>
      </c>
      <c r="E56" s="12">
        <v>8</v>
      </c>
      <c r="F56" s="8">
        <v>2.9</v>
      </c>
      <c r="G56" s="12">
        <v>4</v>
      </c>
      <c r="H56" s="8">
        <v>1.85</v>
      </c>
      <c r="I56" s="12">
        <v>0</v>
      </c>
    </row>
    <row r="57" spans="2:9" ht="15" customHeight="1" x14ac:dyDescent="0.2">
      <c r="B57" t="s">
        <v>294</v>
      </c>
      <c r="C57" s="12">
        <v>12</v>
      </c>
      <c r="D57" s="8">
        <v>2.4</v>
      </c>
      <c r="E57" s="12">
        <v>6</v>
      </c>
      <c r="F57" s="8">
        <v>2.17</v>
      </c>
      <c r="G57" s="12">
        <v>6</v>
      </c>
      <c r="H57" s="8">
        <v>2.78</v>
      </c>
      <c r="I57" s="12">
        <v>0</v>
      </c>
    </row>
    <row r="58" spans="2:9" ht="15" customHeight="1" x14ac:dyDescent="0.2">
      <c r="B58" t="s">
        <v>295</v>
      </c>
      <c r="C58" s="12">
        <v>11</v>
      </c>
      <c r="D58" s="8">
        <v>2.2000000000000002</v>
      </c>
      <c r="E58" s="12">
        <v>8</v>
      </c>
      <c r="F58" s="8">
        <v>2.9</v>
      </c>
      <c r="G58" s="12">
        <v>3</v>
      </c>
      <c r="H58" s="8">
        <v>1.39</v>
      </c>
      <c r="I58" s="12">
        <v>0</v>
      </c>
    </row>
    <row r="59" spans="2:9" ht="15" customHeight="1" x14ac:dyDescent="0.2">
      <c r="B59" t="s">
        <v>328</v>
      </c>
      <c r="C59" s="12">
        <v>10</v>
      </c>
      <c r="D59" s="8">
        <v>2</v>
      </c>
      <c r="E59" s="12">
        <v>5</v>
      </c>
      <c r="F59" s="8">
        <v>1.81</v>
      </c>
      <c r="G59" s="12">
        <v>5</v>
      </c>
      <c r="H59" s="8">
        <v>2.31</v>
      </c>
      <c r="I59" s="12">
        <v>0</v>
      </c>
    </row>
    <row r="60" spans="2:9" ht="15" customHeight="1" x14ac:dyDescent="0.2">
      <c r="B60" t="s">
        <v>330</v>
      </c>
      <c r="C60" s="12">
        <v>10</v>
      </c>
      <c r="D60" s="8">
        <v>2</v>
      </c>
      <c r="E60" s="12">
        <v>1</v>
      </c>
      <c r="F60" s="8">
        <v>0.36</v>
      </c>
      <c r="G60" s="12">
        <v>9</v>
      </c>
      <c r="H60" s="8">
        <v>4.17</v>
      </c>
      <c r="I60" s="12">
        <v>0</v>
      </c>
    </row>
    <row r="61" spans="2:9" ht="15" customHeight="1" x14ac:dyDescent="0.2">
      <c r="B61" t="s">
        <v>343</v>
      </c>
      <c r="C61" s="12">
        <v>9</v>
      </c>
      <c r="D61" s="8">
        <v>1.8</v>
      </c>
      <c r="E61" s="12">
        <v>6</v>
      </c>
      <c r="F61" s="8">
        <v>2.17</v>
      </c>
      <c r="G61" s="12">
        <v>3</v>
      </c>
      <c r="H61" s="8">
        <v>1.39</v>
      </c>
      <c r="I61" s="12">
        <v>0</v>
      </c>
    </row>
    <row r="62" spans="2:9" ht="15" customHeight="1" x14ac:dyDescent="0.2">
      <c r="B62" t="s">
        <v>314</v>
      </c>
      <c r="C62" s="12">
        <v>9</v>
      </c>
      <c r="D62" s="8">
        <v>1.8</v>
      </c>
      <c r="E62" s="12">
        <v>6</v>
      </c>
      <c r="F62" s="8">
        <v>2.17</v>
      </c>
      <c r="G62" s="12">
        <v>3</v>
      </c>
      <c r="H62" s="8">
        <v>1.39</v>
      </c>
      <c r="I62" s="12">
        <v>0</v>
      </c>
    </row>
    <row r="63" spans="2:9" ht="15" customHeight="1" x14ac:dyDescent="0.2">
      <c r="B63" t="s">
        <v>296</v>
      </c>
      <c r="C63" s="12">
        <v>9</v>
      </c>
      <c r="D63" s="8">
        <v>1.8</v>
      </c>
      <c r="E63" s="12">
        <v>0</v>
      </c>
      <c r="F63" s="8">
        <v>0</v>
      </c>
      <c r="G63" s="12">
        <v>9</v>
      </c>
      <c r="H63" s="8">
        <v>4.17</v>
      </c>
      <c r="I63" s="12">
        <v>0</v>
      </c>
    </row>
    <row r="64" spans="2:9" ht="15" customHeight="1" x14ac:dyDescent="0.2">
      <c r="B64" t="s">
        <v>306</v>
      </c>
      <c r="C64" s="12">
        <v>9</v>
      </c>
      <c r="D64" s="8">
        <v>1.8</v>
      </c>
      <c r="E64" s="12">
        <v>9</v>
      </c>
      <c r="F64" s="8">
        <v>3.26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329</v>
      </c>
      <c r="C65" s="12">
        <v>8</v>
      </c>
      <c r="D65" s="8">
        <v>1.6</v>
      </c>
      <c r="E65" s="12">
        <v>5</v>
      </c>
      <c r="F65" s="8">
        <v>1.81</v>
      </c>
      <c r="G65" s="12">
        <v>3</v>
      </c>
      <c r="H65" s="8">
        <v>1.39</v>
      </c>
      <c r="I65" s="12">
        <v>0</v>
      </c>
    </row>
    <row r="66" spans="2:9" ht="15" customHeight="1" x14ac:dyDescent="0.2">
      <c r="B66" t="s">
        <v>335</v>
      </c>
      <c r="C66" s="12">
        <v>8</v>
      </c>
      <c r="D66" s="8">
        <v>1.6</v>
      </c>
      <c r="E66" s="12">
        <v>2</v>
      </c>
      <c r="F66" s="8">
        <v>0.72</v>
      </c>
      <c r="G66" s="12">
        <v>6</v>
      </c>
      <c r="H66" s="8">
        <v>2.78</v>
      </c>
      <c r="I66" s="12">
        <v>0</v>
      </c>
    </row>
    <row r="67" spans="2:9" ht="15" customHeight="1" x14ac:dyDescent="0.2">
      <c r="B67" t="s">
        <v>299</v>
      </c>
      <c r="C67" s="12">
        <v>8</v>
      </c>
      <c r="D67" s="8">
        <v>1.6</v>
      </c>
      <c r="E67" s="12">
        <v>6</v>
      </c>
      <c r="F67" s="8">
        <v>2.17</v>
      </c>
      <c r="G67" s="12">
        <v>2</v>
      </c>
      <c r="H67" s="8">
        <v>0.93</v>
      </c>
      <c r="I67" s="12">
        <v>0</v>
      </c>
    </row>
    <row r="68" spans="2:9" ht="15" customHeight="1" x14ac:dyDescent="0.2">
      <c r="B68" t="s">
        <v>305</v>
      </c>
      <c r="C68" s="12">
        <v>8</v>
      </c>
      <c r="D68" s="8">
        <v>1.6</v>
      </c>
      <c r="E68" s="12">
        <v>8</v>
      </c>
      <c r="F68" s="8">
        <v>2.9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290</v>
      </c>
      <c r="C69" s="12">
        <v>7</v>
      </c>
      <c r="D69" s="8">
        <v>1.4</v>
      </c>
      <c r="E69" s="12">
        <v>5</v>
      </c>
      <c r="F69" s="8">
        <v>1.81</v>
      </c>
      <c r="G69" s="12">
        <v>2</v>
      </c>
      <c r="H69" s="8">
        <v>0.93</v>
      </c>
      <c r="I69" s="12">
        <v>0</v>
      </c>
    </row>
    <row r="70" spans="2:9" ht="15" customHeight="1" x14ac:dyDescent="0.2">
      <c r="B70" t="s">
        <v>338</v>
      </c>
      <c r="C70" s="12">
        <v>7</v>
      </c>
      <c r="D70" s="8">
        <v>1.4</v>
      </c>
      <c r="E70" s="12">
        <v>3</v>
      </c>
      <c r="F70" s="8">
        <v>1.0900000000000001</v>
      </c>
      <c r="G70" s="12">
        <v>4</v>
      </c>
      <c r="H70" s="8">
        <v>1.85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9D698-BDF4-44F0-A0E2-E5959BE5FDAC}">
  <sheetPr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32</v>
      </c>
      <c r="D6" s="8">
        <v>9.33</v>
      </c>
      <c r="E6" s="12">
        <v>8</v>
      </c>
      <c r="F6" s="8">
        <v>4.49</v>
      </c>
      <c r="G6" s="12">
        <v>24</v>
      </c>
      <c r="H6" s="8">
        <v>15.69</v>
      </c>
      <c r="I6" s="12">
        <v>0</v>
      </c>
    </row>
    <row r="7" spans="2:9" ht="15" customHeight="1" x14ac:dyDescent="0.2">
      <c r="B7" t="s">
        <v>192</v>
      </c>
      <c r="C7" s="12">
        <v>23</v>
      </c>
      <c r="D7" s="8">
        <v>6.71</v>
      </c>
      <c r="E7" s="12">
        <v>7</v>
      </c>
      <c r="F7" s="8">
        <v>3.93</v>
      </c>
      <c r="G7" s="12">
        <v>16</v>
      </c>
      <c r="H7" s="8">
        <v>10.46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0.28999999999999998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0.57999999999999996</v>
      </c>
      <c r="E9" s="12">
        <v>0</v>
      </c>
      <c r="F9" s="8">
        <v>0</v>
      </c>
      <c r="G9" s="12">
        <v>2</v>
      </c>
      <c r="H9" s="8">
        <v>1.31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0.57999999999999996</v>
      </c>
      <c r="E10" s="12">
        <v>2</v>
      </c>
      <c r="F10" s="8">
        <v>1.1200000000000001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79</v>
      </c>
      <c r="D11" s="8">
        <v>23.03</v>
      </c>
      <c r="E11" s="12">
        <v>30</v>
      </c>
      <c r="F11" s="8">
        <v>16.850000000000001</v>
      </c>
      <c r="G11" s="12">
        <v>49</v>
      </c>
      <c r="H11" s="8">
        <v>32.03</v>
      </c>
      <c r="I11" s="12">
        <v>0</v>
      </c>
    </row>
    <row r="12" spans="2:9" ht="15" customHeight="1" x14ac:dyDescent="0.2">
      <c r="B12" t="s">
        <v>197</v>
      </c>
      <c r="C12" s="12">
        <v>6</v>
      </c>
      <c r="D12" s="8">
        <v>1.75</v>
      </c>
      <c r="E12" s="12">
        <v>1</v>
      </c>
      <c r="F12" s="8">
        <v>0.56000000000000005</v>
      </c>
      <c r="G12" s="12">
        <v>5</v>
      </c>
      <c r="H12" s="8">
        <v>3.27</v>
      </c>
      <c r="I12" s="12">
        <v>0</v>
      </c>
    </row>
    <row r="13" spans="2:9" ht="15" customHeight="1" x14ac:dyDescent="0.2">
      <c r="B13" t="s">
        <v>198</v>
      </c>
      <c r="C13" s="12">
        <v>21</v>
      </c>
      <c r="D13" s="8">
        <v>6.12</v>
      </c>
      <c r="E13" s="12">
        <v>11</v>
      </c>
      <c r="F13" s="8">
        <v>6.18</v>
      </c>
      <c r="G13" s="12">
        <v>9</v>
      </c>
      <c r="H13" s="8">
        <v>5.88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0.87</v>
      </c>
      <c r="E14" s="12">
        <v>3</v>
      </c>
      <c r="F14" s="8">
        <v>1.69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60</v>
      </c>
      <c r="D15" s="8">
        <v>17.489999999999998</v>
      </c>
      <c r="E15" s="12">
        <v>57</v>
      </c>
      <c r="F15" s="8">
        <v>32.020000000000003</v>
      </c>
      <c r="G15" s="12">
        <v>3</v>
      </c>
      <c r="H15" s="8">
        <v>1.96</v>
      </c>
      <c r="I15" s="12">
        <v>0</v>
      </c>
    </row>
    <row r="16" spans="2:9" ht="15" customHeight="1" x14ac:dyDescent="0.2">
      <c r="B16" t="s">
        <v>201</v>
      </c>
      <c r="C16" s="12">
        <v>55</v>
      </c>
      <c r="D16" s="8">
        <v>16.03</v>
      </c>
      <c r="E16" s="12">
        <v>47</v>
      </c>
      <c r="F16" s="8">
        <v>26.4</v>
      </c>
      <c r="G16" s="12">
        <v>5</v>
      </c>
      <c r="H16" s="8">
        <v>3.27</v>
      </c>
      <c r="I16" s="12">
        <v>2</v>
      </c>
    </row>
    <row r="17" spans="2:9" ht="15" customHeight="1" x14ac:dyDescent="0.2">
      <c r="B17" t="s">
        <v>202</v>
      </c>
      <c r="C17" s="12">
        <v>4</v>
      </c>
      <c r="D17" s="8">
        <v>1.17</v>
      </c>
      <c r="E17" s="12">
        <v>3</v>
      </c>
      <c r="F17" s="8">
        <v>1.69</v>
      </c>
      <c r="G17" s="12">
        <v>1</v>
      </c>
      <c r="H17" s="8">
        <v>0.65</v>
      </c>
      <c r="I17" s="12">
        <v>0</v>
      </c>
    </row>
    <row r="18" spans="2:9" ht="15" customHeight="1" x14ac:dyDescent="0.2">
      <c r="B18" t="s">
        <v>203</v>
      </c>
      <c r="C18" s="12">
        <v>34</v>
      </c>
      <c r="D18" s="8">
        <v>9.91</v>
      </c>
      <c r="E18" s="12">
        <v>5</v>
      </c>
      <c r="F18" s="8">
        <v>2.81</v>
      </c>
      <c r="G18" s="12">
        <v>24</v>
      </c>
      <c r="H18" s="8">
        <v>15.69</v>
      </c>
      <c r="I18" s="12">
        <v>0</v>
      </c>
    </row>
    <row r="19" spans="2:9" ht="15" customHeight="1" x14ac:dyDescent="0.2">
      <c r="B19" t="s">
        <v>204</v>
      </c>
      <c r="C19" s="12">
        <v>21</v>
      </c>
      <c r="D19" s="8">
        <v>6.12</v>
      </c>
      <c r="E19" s="12">
        <v>4</v>
      </c>
      <c r="F19" s="8">
        <v>2.25</v>
      </c>
      <c r="G19" s="12">
        <v>15</v>
      </c>
      <c r="H19" s="8">
        <v>9.8000000000000007</v>
      </c>
      <c r="I19" s="12">
        <v>1</v>
      </c>
    </row>
    <row r="20" spans="2:9" ht="15" customHeight="1" x14ac:dyDescent="0.2">
      <c r="B20" s="9" t="s">
        <v>529</v>
      </c>
      <c r="C20" s="12">
        <f>SUM(LTBL_01216[総数／事業所数])</f>
        <v>343</v>
      </c>
      <c r="E20" s="12">
        <f>SUBTOTAL(109,LTBL_01216[個人／事業所数])</f>
        <v>178</v>
      </c>
      <c r="G20" s="12">
        <f>SUBTOTAL(109,LTBL_01216[法人／事業所数])</f>
        <v>153</v>
      </c>
      <c r="I20" s="12">
        <f>SUBTOTAL(109,LTBL_01216[法人以外の団体／事業所数])</f>
        <v>3</v>
      </c>
    </row>
    <row r="21" spans="2:9" ht="15" customHeight="1" x14ac:dyDescent="0.2">
      <c r="E21" s="11">
        <f>LTBL_01216[[#Totals],[個人／事業所数]]/LTBL_01216[[#Totals],[総数／事業所数]]</f>
        <v>0.51895043731778423</v>
      </c>
      <c r="G21" s="11">
        <f>LTBL_01216[[#Totals],[法人／事業所数]]/LTBL_01216[[#Totals],[総数／事業所数]]</f>
        <v>0.44606413994169097</v>
      </c>
      <c r="I21" s="11">
        <f>LTBL_01216[[#Totals],[法人以外の団体／事業所数]]/LTBL_01216[[#Totals],[総数／事業所数]]</f>
        <v>8.7463556851311956E-3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54</v>
      </c>
      <c r="D24" s="8">
        <v>15.74</v>
      </c>
      <c r="E24" s="12">
        <v>52</v>
      </c>
      <c r="F24" s="8">
        <v>29.21</v>
      </c>
      <c r="G24" s="12">
        <v>2</v>
      </c>
      <c r="H24" s="8">
        <v>1.31</v>
      </c>
      <c r="I24" s="12">
        <v>0</v>
      </c>
    </row>
    <row r="25" spans="2:9" ht="15" customHeight="1" x14ac:dyDescent="0.2">
      <c r="B25" t="s">
        <v>228</v>
      </c>
      <c r="C25" s="12">
        <v>51</v>
      </c>
      <c r="D25" s="8">
        <v>14.87</v>
      </c>
      <c r="E25" s="12">
        <v>45</v>
      </c>
      <c r="F25" s="8">
        <v>25.28</v>
      </c>
      <c r="G25" s="12">
        <v>4</v>
      </c>
      <c r="H25" s="8">
        <v>2.61</v>
      </c>
      <c r="I25" s="12">
        <v>2</v>
      </c>
    </row>
    <row r="26" spans="2:9" ht="15" customHeight="1" x14ac:dyDescent="0.2">
      <c r="B26" t="s">
        <v>223</v>
      </c>
      <c r="C26" s="12">
        <v>28</v>
      </c>
      <c r="D26" s="8">
        <v>8.16</v>
      </c>
      <c r="E26" s="12">
        <v>11</v>
      </c>
      <c r="F26" s="8">
        <v>6.18</v>
      </c>
      <c r="G26" s="12">
        <v>17</v>
      </c>
      <c r="H26" s="8">
        <v>11.11</v>
      </c>
      <c r="I26" s="12">
        <v>0</v>
      </c>
    </row>
    <row r="27" spans="2:9" ht="15" customHeight="1" x14ac:dyDescent="0.2">
      <c r="B27" t="s">
        <v>232</v>
      </c>
      <c r="C27" s="12">
        <v>24</v>
      </c>
      <c r="D27" s="8">
        <v>7</v>
      </c>
      <c r="E27" s="12">
        <v>0</v>
      </c>
      <c r="F27" s="8">
        <v>0</v>
      </c>
      <c r="G27" s="12">
        <v>20</v>
      </c>
      <c r="H27" s="8">
        <v>13.07</v>
      </c>
      <c r="I27" s="12">
        <v>0</v>
      </c>
    </row>
    <row r="28" spans="2:9" ht="15" customHeight="1" x14ac:dyDescent="0.2">
      <c r="B28" t="s">
        <v>221</v>
      </c>
      <c r="C28" s="12">
        <v>18</v>
      </c>
      <c r="D28" s="8">
        <v>5.25</v>
      </c>
      <c r="E28" s="12">
        <v>6</v>
      </c>
      <c r="F28" s="8">
        <v>3.37</v>
      </c>
      <c r="G28" s="12">
        <v>12</v>
      </c>
      <c r="H28" s="8">
        <v>7.84</v>
      </c>
      <c r="I28" s="12">
        <v>0</v>
      </c>
    </row>
    <row r="29" spans="2:9" ht="15" customHeight="1" x14ac:dyDescent="0.2">
      <c r="B29" t="s">
        <v>224</v>
      </c>
      <c r="C29" s="12">
        <v>18</v>
      </c>
      <c r="D29" s="8">
        <v>5.25</v>
      </c>
      <c r="E29" s="12">
        <v>11</v>
      </c>
      <c r="F29" s="8">
        <v>6.18</v>
      </c>
      <c r="G29" s="12">
        <v>6</v>
      </c>
      <c r="H29" s="8">
        <v>3.92</v>
      </c>
      <c r="I29" s="12">
        <v>0</v>
      </c>
    </row>
    <row r="30" spans="2:9" ht="15" customHeight="1" x14ac:dyDescent="0.2">
      <c r="B30" t="s">
        <v>214</v>
      </c>
      <c r="C30" s="12">
        <v>16</v>
      </c>
      <c r="D30" s="8">
        <v>4.66</v>
      </c>
      <c r="E30" s="12">
        <v>6</v>
      </c>
      <c r="F30" s="8">
        <v>3.37</v>
      </c>
      <c r="G30" s="12">
        <v>10</v>
      </c>
      <c r="H30" s="8">
        <v>6.54</v>
      </c>
      <c r="I30" s="12">
        <v>0</v>
      </c>
    </row>
    <row r="31" spans="2:9" ht="15" customHeight="1" x14ac:dyDescent="0.2">
      <c r="B31" t="s">
        <v>222</v>
      </c>
      <c r="C31" s="12">
        <v>16</v>
      </c>
      <c r="D31" s="8">
        <v>4.66</v>
      </c>
      <c r="E31" s="12">
        <v>6</v>
      </c>
      <c r="F31" s="8">
        <v>3.37</v>
      </c>
      <c r="G31" s="12">
        <v>10</v>
      </c>
      <c r="H31" s="8">
        <v>6.54</v>
      </c>
      <c r="I31" s="12">
        <v>0</v>
      </c>
    </row>
    <row r="32" spans="2:9" ht="15" customHeight="1" x14ac:dyDescent="0.2">
      <c r="B32" t="s">
        <v>213</v>
      </c>
      <c r="C32" s="12">
        <v>10</v>
      </c>
      <c r="D32" s="8">
        <v>2.92</v>
      </c>
      <c r="E32" s="12">
        <v>0</v>
      </c>
      <c r="F32" s="8">
        <v>0</v>
      </c>
      <c r="G32" s="12">
        <v>10</v>
      </c>
      <c r="H32" s="8">
        <v>6.54</v>
      </c>
      <c r="I32" s="12">
        <v>0</v>
      </c>
    </row>
    <row r="33" spans="2:9" ht="15" customHeight="1" x14ac:dyDescent="0.2">
      <c r="B33" t="s">
        <v>231</v>
      </c>
      <c r="C33" s="12">
        <v>10</v>
      </c>
      <c r="D33" s="8">
        <v>2.92</v>
      </c>
      <c r="E33" s="12">
        <v>5</v>
      </c>
      <c r="F33" s="8">
        <v>2.81</v>
      </c>
      <c r="G33" s="12">
        <v>4</v>
      </c>
      <c r="H33" s="8">
        <v>2.61</v>
      </c>
      <c r="I33" s="12">
        <v>0</v>
      </c>
    </row>
    <row r="34" spans="2:9" ht="15" customHeight="1" x14ac:dyDescent="0.2">
      <c r="B34" t="s">
        <v>234</v>
      </c>
      <c r="C34" s="12">
        <v>9</v>
      </c>
      <c r="D34" s="8">
        <v>2.62</v>
      </c>
      <c r="E34" s="12">
        <v>0</v>
      </c>
      <c r="F34" s="8">
        <v>0</v>
      </c>
      <c r="G34" s="12">
        <v>9</v>
      </c>
      <c r="H34" s="8">
        <v>5.88</v>
      </c>
      <c r="I34" s="12">
        <v>0</v>
      </c>
    </row>
    <row r="35" spans="2:9" ht="15" customHeight="1" x14ac:dyDescent="0.2">
      <c r="B35" t="s">
        <v>215</v>
      </c>
      <c r="C35" s="12">
        <v>6</v>
      </c>
      <c r="D35" s="8">
        <v>1.75</v>
      </c>
      <c r="E35" s="12">
        <v>2</v>
      </c>
      <c r="F35" s="8">
        <v>1.1200000000000001</v>
      </c>
      <c r="G35" s="12">
        <v>4</v>
      </c>
      <c r="H35" s="8">
        <v>2.61</v>
      </c>
      <c r="I35" s="12">
        <v>0</v>
      </c>
    </row>
    <row r="36" spans="2:9" ht="15" customHeight="1" x14ac:dyDescent="0.2">
      <c r="B36" t="s">
        <v>241</v>
      </c>
      <c r="C36" s="12">
        <v>6</v>
      </c>
      <c r="D36" s="8">
        <v>1.75</v>
      </c>
      <c r="E36" s="12">
        <v>1</v>
      </c>
      <c r="F36" s="8">
        <v>0.56000000000000005</v>
      </c>
      <c r="G36" s="12">
        <v>5</v>
      </c>
      <c r="H36" s="8">
        <v>3.27</v>
      </c>
      <c r="I36" s="12">
        <v>0</v>
      </c>
    </row>
    <row r="37" spans="2:9" ht="15" customHeight="1" x14ac:dyDescent="0.2">
      <c r="B37" t="s">
        <v>220</v>
      </c>
      <c r="C37" s="12">
        <v>6</v>
      </c>
      <c r="D37" s="8">
        <v>1.75</v>
      </c>
      <c r="E37" s="12">
        <v>3</v>
      </c>
      <c r="F37" s="8">
        <v>1.69</v>
      </c>
      <c r="G37" s="12">
        <v>3</v>
      </c>
      <c r="H37" s="8">
        <v>1.96</v>
      </c>
      <c r="I37" s="12">
        <v>0</v>
      </c>
    </row>
    <row r="38" spans="2:9" ht="15" customHeight="1" x14ac:dyDescent="0.2">
      <c r="B38" t="s">
        <v>237</v>
      </c>
      <c r="C38" s="12">
        <v>6</v>
      </c>
      <c r="D38" s="8">
        <v>1.75</v>
      </c>
      <c r="E38" s="12">
        <v>1</v>
      </c>
      <c r="F38" s="8">
        <v>0.56000000000000005</v>
      </c>
      <c r="G38" s="12">
        <v>5</v>
      </c>
      <c r="H38" s="8">
        <v>3.27</v>
      </c>
      <c r="I38" s="12">
        <v>0</v>
      </c>
    </row>
    <row r="39" spans="2:9" ht="15" customHeight="1" x14ac:dyDescent="0.2">
      <c r="B39" t="s">
        <v>216</v>
      </c>
      <c r="C39" s="12">
        <v>5</v>
      </c>
      <c r="D39" s="8">
        <v>1.46</v>
      </c>
      <c r="E39" s="12">
        <v>2</v>
      </c>
      <c r="F39" s="8">
        <v>1.1200000000000001</v>
      </c>
      <c r="G39" s="12">
        <v>3</v>
      </c>
      <c r="H39" s="8">
        <v>1.96</v>
      </c>
      <c r="I39" s="12">
        <v>0</v>
      </c>
    </row>
    <row r="40" spans="2:9" ht="15" customHeight="1" x14ac:dyDescent="0.2">
      <c r="B40" t="s">
        <v>240</v>
      </c>
      <c r="C40" s="12">
        <v>5</v>
      </c>
      <c r="D40" s="8">
        <v>1.46</v>
      </c>
      <c r="E40" s="12">
        <v>2</v>
      </c>
      <c r="F40" s="8">
        <v>1.1200000000000001</v>
      </c>
      <c r="G40" s="12">
        <v>2</v>
      </c>
      <c r="H40" s="8">
        <v>1.31</v>
      </c>
      <c r="I40" s="12">
        <v>0</v>
      </c>
    </row>
    <row r="41" spans="2:9" ht="15" customHeight="1" x14ac:dyDescent="0.2">
      <c r="B41" t="s">
        <v>230</v>
      </c>
      <c r="C41" s="12">
        <v>4</v>
      </c>
      <c r="D41" s="8">
        <v>1.17</v>
      </c>
      <c r="E41" s="12">
        <v>3</v>
      </c>
      <c r="F41" s="8">
        <v>1.69</v>
      </c>
      <c r="G41" s="12">
        <v>1</v>
      </c>
      <c r="H41" s="8">
        <v>0.65</v>
      </c>
      <c r="I41" s="12">
        <v>0</v>
      </c>
    </row>
    <row r="42" spans="2:9" ht="15" customHeight="1" x14ac:dyDescent="0.2">
      <c r="B42" t="s">
        <v>242</v>
      </c>
      <c r="C42" s="12">
        <v>4</v>
      </c>
      <c r="D42" s="8">
        <v>1.17</v>
      </c>
      <c r="E42" s="12">
        <v>2</v>
      </c>
      <c r="F42" s="8">
        <v>1.1200000000000001</v>
      </c>
      <c r="G42" s="12">
        <v>2</v>
      </c>
      <c r="H42" s="8">
        <v>1.31</v>
      </c>
      <c r="I42" s="12">
        <v>0</v>
      </c>
    </row>
    <row r="43" spans="2:9" ht="15" customHeight="1" x14ac:dyDescent="0.2">
      <c r="B43" t="s">
        <v>252</v>
      </c>
      <c r="C43" s="12">
        <v>3</v>
      </c>
      <c r="D43" s="8">
        <v>0.87</v>
      </c>
      <c r="E43" s="12">
        <v>0</v>
      </c>
      <c r="F43" s="8">
        <v>0</v>
      </c>
      <c r="G43" s="12">
        <v>3</v>
      </c>
      <c r="H43" s="8">
        <v>1.96</v>
      </c>
      <c r="I43" s="12">
        <v>0</v>
      </c>
    </row>
    <row r="44" spans="2:9" ht="15" customHeight="1" x14ac:dyDescent="0.2">
      <c r="B44" t="s">
        <v>253</v>
      </c>
      <c r="C44" s="12">
        <v>3</v>
      </c>
      <c r="D44" s="8">
        <v>0.87</v>
      </c>
      <c r="E44" s="12">
        <v>1</v>
      </c>
      <c r="F44" s="8">
        <v>0.56000000000000005</v>
      </c>
      <c r="G44" s="12">
        <v>2</v>
      </c>
      <c r="H44" s="8">
        <v>1.31</v>
      </c>
      <c r="I44" s="12">
        <v>0</v>
      </c>
    </row>
    <row r="45" spans="2:9" ht="15" customHeight="1" x14ac:dyDescent="0.2">
      <c r="B45" t="s">
        <v>246</v>
      </c>
      <c r="C45" s="12">
        <v>3</v>
      </c>
      <c r="D45" s="8">
        <v>0.87</v>
      </c>
      <c r="E45" s="12">
        <v>0</v>
      </c>
      <c r="F45" s="8">
        <v>0</v>
      </c>
      <c r="G45" s="12">
        <v>3</v>
      </c>
      <c r="H45" s="8">
        <v>1.96</v>
      </c>
      <c r="I45" s="12">
        <v>0</v>
      </c>
    </row>
    <row r="46" spans="2:9" ht="15" customHeight="1" x14ac:dyDescent="0.2">
      <c r="B46" t="s">
        <v>225</v>
      </c>
      <c r="C46" s="12">
        <v>3</v>
      </c>
      <c r="D46" s="8">
        <v>0.87</v>
      </c>
      <c r="E46" s="12">
        <v>3</v>
      </c>
      <c r="F46" s="8">
        <v>1.69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243</v>
      </c>
      <c r="C47" s="12">
        <v>3</v>
      </c>
      <c r="D47" s="8">
        <v>0.87</v>
      </c>
      <c r="E47" s="12">
        <v>2</v>
      </c>
      <c r="F47" s="8">
        <v>1.1200000000000001</v>
      </c>
      <c r="G47" s="12">
        <v>1</v>
      </c>
      <c r="H47" s="8">
        <v>0.65</v>
      </c>
      <c r="I47" s="12">
        <v>0</v>
      </c>
    </row>
    <row r="48" spans="2:9" ht="15" customHeight="1" x14ac:dyDescent="0.2">
      <c r="B48" t="s">
        <v>239</v>
      </c>
      <c r="C48" s="12">
        <v>3</v>
      </c>
      <c r="D48" s="8">
        <v>0.87</v>
      </c>
      <c r="E48" s="12">
        <v>3</v>
      </c>
      <c r="F48" s="8">
        <v>1.69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229</v>
      </c>
      <c r="C49" s="12">
        <v>3</v>
      </c>
      <c r="D49" s="8">
        <v>0.87</v>
      </c>
      <c r="E49" s="12">
        <v>2</v>
      </c>
      <c r="F49" s="8">
        <v>1.1200000000000001</v>
      </c>
      <c r="G49" s="12">
        <v>1</v>
      </c>
      <c r="H49" s="8">
        <v>0.65</v>
      </c>
      <c r="I49" s="12">
        <v>0</v>
      </c>
    </row>
    <row r="52" spans="2:9" ht="33" customHeight="1" x14ac:dyDescent="0.2">
      <c r="B52" t="s">
        <v>531</v>
      </c>
      <c r="C52" s="10" t="s">
        <v>206</v>
      </c>
      <c r="D52" s="10" t="s">
        <v>207</v>
      </c>
      <c r="E52" s="10" t="s">
        <v>208</v>
      </c>
      <c r="F52" s="10" t="s">
        <v>209</v>
      </c>
      <c r="G52" s="10" t="s">
        <v>210</v>
      </c>
      <c r="H52" s="10" t="s">
        <v>211</v>
      </c>
      <c r="I52" s="10" t="s">
        <v>212</v>
      </c>
    </row>
    <row r="53" spans="2:9" ht="15" customHeight="1" x14ac:dyDescent="0.2">
      <c r="B53" t="s">
        <v>304</v>
      </c>
      <c r="C53" s="12">
        <v>25</v>
      </c>
      <c r="D53" s="8">
        <v>7.29</v>
      </c>
      <c r="E53" s="12">
        <v>24</v>
      </c>
      <c r="F53" s="8">
        <v>13.48</v>
      </c>
      <c r="G53" s="12">
        <v>1</v>
      </c>
      <c r="H53" s="8">
        <v>0.65</v>
      </c>
      <c r="I53" s="12">
        <v>0</v>
      </c>
    </row>
    <row r="54" spans="2:9" ht="15" customHeight="1" x14ac:dyDescent="0.2">
      <c r="B54" t="s">
        <v>303</v>
      </c>
      <c r="C54" s="12">
        <v>20</v>
      </c>
      <c r="D54" s="8">
        <v>5.83</v>
      </c>
      <c r="E54" s="12">
        <v>19</v>
      </c>
      <c r="F54" s="8">
        <v>10.67</v>
      </c>
      <c r="G54" s="12">
        <v>1</v>
      </c>
      <c r="H54" s="8">
        <v>0.65</v>
      </c>
      <c r="I54" s="12">
        <v>0</v>
      </c>
    </row>
    <row r="55" spans="2:9" ht="15" customHeight="1" x14ac:dyDescent="0.2">
      <c r="B55" t="s">
        <v>297</v>
      </c>
      <c r="C55" s="12">
        <v>18</v>
      </c>
      <c r="D55" s="8">
        <v>5.25</v>
      </c>
      <c r="E55" s="12">
        <v>11</v>
      </c>
      <c r="F55" s="8">
        <v>6.18</v>
      </c>
      <c r="G55" s="12">
        <v>6</v>
      </c>
      <c r="H55" s="8">
        <v>3.92</v>
      </c>
      <c r="I55" s="12">
        <v>0</v>
      </c>
    </row>
    <row r="56" spans="2:9" ht="15" customHeight="1" x14ac:dyDescent="0.2">
      <c r="B56" t="s">
        <v>347</v>
      </c>
      <c r="C56" s="12">
        <v>15</v>
      </c>
      <c r="D56" s="8">
        <v>4.37</v>
      </c>
      <c r="E56" s="12">
        <v>0</v>
      </c>
      <c r="F56" s="8">
        <v>0</v>
      </c>
      <c r="G56" s="12">
        <v>15</v>
      </c>
      <c r="H56" s="8">
        <v>9.8000000000000007</v>
      </c>
      <c r="I56" s="12">
        <v>0</v>
      </c>
    </row>
    <row r="57" spans="2:9" ht="15" customHeight="1" x14ac:dyDescent="0.2">
      <c r="B57" t="s">
        <v>301</v>
      </c>
      <c r="C57" s="12">
        <v>14</v>
      </c>
      <c r="D57" s="8">
        <v>4.08</v>
      </c>
      <c r="E57" s="12">
        <v>14</v>
      </c>
      <c r="F57" s="8">
        <v>7.87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299</v>
      </c>
      <c r="C58" s="12">
        <v>11</v>
      </c>
      <c r="D58" s="8">
        <v>3.21</v>
      </c>
      <c r="E58" s="12">
        <v>9</v>
      </c>
      <c r="F58" s="8">
        <v>5.0599999999999996</v>
      </c>
      <c r="G58" s="12">
        <v>2</v>
      </c>
      <c r="H58" s="8">
        <v>1.31</v>
      </c>
      <c r="I58" s="12">
        <v>0</v>
      </c>
    </row>
    <row r="59" spans="2:9" ht="15" customHeight="1" x14ac:dyDescent="0.2">
      <c r="B59" t="s">
        <v>300</v>
      </c>
      <c r="C59" s="12">
        <v>11</v>
      </c>
      <c r="D59" s="8">
        <v>3.21</v>
      </c>
      <c r="E59" s="12">
        <v>11</v>
      </c>
      <c r="F59" s="8">
        <v>6.18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302</v>
      </c>
      <c r="C60" s="12">
        <v>10</v>
      </c>
      <c r="D60" s="8">
        <v>2.92</v>
      </c>
      <c r="E60" s="12">
        <v>10</v>
      </c>
      <c r="F60" s="8">
        <v>5.62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295</v>
      </c>
      <c r="C61" s="12">
        <v>9</v>
      </c>
      <c r="D61" s="8">
        <v>2.62</v>
      </c>
      <c r="E61" s="12">
        <v>5</v>
      </c>
      <c r="F61" s="8">
        <v>2.81</v>
      </c>
      <c r="G61" s="12">
        <v>4</v>
      </c>
      <c r="H61" s="8">
        <v>2.61</v>
      </c>
      <c r="I61" s="12">
        <v>0</v>
      </c>
    </row>
    <row r="62" spans="2:9" ht="15" customHeight="1" x14ac:dyDescent="0.2">
      <c r="B62" t="s">
        <v>335</v>
      </c>
      <c r="C62" s="12">
        <v>7</v>
      </c>
      <c r="D62" s="8">
        <v>2.04</v>
      </c>
      <c r="E62" s="12">
        <v>1</v>
      </c>
      <c r="F62" s="8">
        <v>0.56000000000000005</v>
      </c>
      <c r="G62" s="12">
        <v>6</v>
      </c>
      <c r="H62" s="8">
        <v>3.92</v>
      </c>
      <c r="I62" s="12">
        <v>0</v>
      </c>
    </row>
    <row r="63" spans="2:9" ht="15" customHeight="1" x14ac:dyDescent="0.2">
      <c r="B63" t="s">
        <v>348</v>
      </c>
      <c r="C63" s="12">
        <v>7</v>
      </c>
      <c r="D63" s="8">
        <v>2.04</v>
      </c>
      <c r="E63" s="12">
        <v>0</v>
      </c>
      <c r="F63" s="8">
        <v>0</v>
      </c>
      <c r="G63" s="12">
        <v>7</v>
      </c>
      <c r="H63" s="8">
        <v>4.58</v>
      </c>
      <c r="I63" s="12">
        <v>0</v>
      </c>
    </row>
    <row r="64" spans="2:9" ht="15" customHeight="1" x14ac:dyDescent="0.2">
      <c r="B64" t="s">
        <v>314</v>
      </c>
      <c r="C64" s="12">
        <v>6</v>
      </c>
      <c r="D64" s="8">
        <v>1.75</v>
      </c>
      <c r="E64" s="12">
        <v>3</v>
      </c>
      <c r="F64" s="8">
        <v>1.69</v>
      </c>
      <c r="G64" s="12">
        <v>3</v>
      </c>
      <c r="H64" s="8">
        <v>1.96</v>
      </c>
      <c r="I64" s="12">
        <v>0</v>
      </c>
    </row>
    <row r="65" spans="2:9" ht="15" customHeight="1" x14ac:dyDescent="0.2">
      <c r="B65" t="s">
        <v>293</v>
      </c>
      <c r="C65" s="12">
        <v>6</v>
      </c>
      <c r="D65" s="8">
        <v>1.75</v>
      </c>
      <c r="E65" s="12">
        <v>3</v>
      </c>
      <c r="F65" s="8">
        <v>1.69</v>
      </c>
      <c r="G65" s="12">
        <v>3</v>
      </c>
      <c r="H65" s="8">
        <v>1.96</v>
      </c>
      <c r="I65" s="12">
        <v>0</v>
      </c>
    </row>
    <row r="66" spans="2:9" ht="15" customHeight="1" x14ac:dyDescent="0.2">
      <c r="B66" t="s">
        <v>306</v>
      </c>
      <c r="C66" s="12">
        <v>6</v>
      </c>
      <c r="D66" s="8">
        <v>1.75</v>
      </c>
      <c r="E66" s="12">
        <v>5</v>
      </c>
      <c r="F66" s="8">
        <v>2.81</v>
      </c>
      <c r="G66" s="12">
        <v>1</v>
      </c>
      <c r="H66" s="8">
        <v>0.65</v>
      </c>
      <c r="I66" s="12">
        <v>0</v>
      </c>
    </row>
    <row r="67" spans="2:9" ht="15" customHeight="1" x14ac:dyDescent="0.2">
      <c r="B67" t="s">
        <v>288</v>
      </c>
      <c r="C67" s="12">
        <v>5</v>
      </c>
      <c r="D67" s="8">
        <v>1.46</v>
      </c>
      <c r="E67" s="12">
        <v>0</v>
      </c>
      <c r="F67" s="8">
        <v>0</v>
      </c>
      <c r="G67" s="12">
        <v>5</v>
      </c>
      <c r="H67" s="8">
        <v>3.27</v>
      </c>
      <c r="I67" s="12">
        <v>0</v>
      </c>
    </row>
    <row r="68" spans="2:9" ht="15" customHeight="1" x14ac:dyDescent="0.2">
      <c r="B68" t="s">
        <v>290</v>
      </c>
      <c r="C68" s="12">
        <v>5</v>
      </c>
      <c r="D68" s="8">
        <v>1.46</v>
      </c>
      <c r="E68" s="12">
        <v>1</v>
      </c>
      <c r="F68" s="8">
        <v>0.56000000000000005</v>
      </c>
      <c r="G68" s="12">
        <v>4</v>
      </c>
      <c r="H68" s="8">
        <v>2.61</v>
      </c>
      <c r="I68" s="12">
        <v>0</v>
      </c>
    </row>
    <row r="69" spans="2:9" ht="15" customHeight="1" x14ac:dyDescent="0.2">
      <c r="B69" t="s">
        <v>294</v>
      </c>
      <c r="C69" s="12">
        <v>5</v>
      </c>
      <c r="D69" s="8">
        <v>1.46</v>
      </c>
      <c r="E69" s="12">
        <v>1</v>
      </c>
      <c r="F69" s="8">
        <v>0.56000000000000005</v>
      </c>
      <c r="G69" s="12">
        <v>4</v>
      </c>
      <c r="H69" s="8">
        <v>2.61</v>
      </c>
      <c r="I69" s="12">
        <v>0</v>
      </c>
    </row>
    <row r="70" spans="2:9" ht="15" customHeight="1" x14ac:dyDescent="0.2">
      <c r="B70" t="s">
        <v>334</v>
      </c>
      <c r="C70" s="12">
        <v>5</v>
      </c>
      <c r="D70" s="8">
        <v>1.46</v>
      </c>
      <c r="E70" s="12">
        <v>5</v>
      </c>
      <c r="F70" s="8">
        <v>2.81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331</v>
      </c>
      <c r="C71" s="12">
        <v>5</v>
      </c>
      <c r="D71" s="8">
        <v>1.46</v>
      </c>
      <c r="E71" s="12">
        <v>0</v>
      </c>
      <c r="F71" s="8">
        <v>0</v>
      </c>
      <c r="G71" s="12">
        <v>4</v>
      </c>
      <c r="H71" s="8">
        <v>2.61</v>
      </c>
      <c r="I71" s="12">
        <v>0</v>
      </c>
    </row>
    <row r="72" spans="2:9" ht="15" customHeight="1" x14ac:dyDescent="0.2">
      <c r="B72" t="s">
        <v>307</v>
      </c>
      <c r="C72" s="12">
        <v>5</v>
      </c>
      <c r="D72" s="8">
        <v>1.46</v>
      </c>
      <c r="E72" s="12">
        <v>2</v>
      </c>
      <c r="F72" s="8">
        <v>1.1200000000000001</v>
      </c>
      <c r="G72" s="12">
        <v>2</v>
      </c>
      <c r="H72" s="8">
        <v>1.31</v>
      </c>
      <c r="I72" s="12">
        <v>0</v>
      </c>
    </row>
    <row r="74" spans="2:9" ht="15" customHeight="1" x14ac:dyDescent="0.2">
      <c r="B7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E0B45-5D08-499B-8355-123F71368BB8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559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310</v>
      </c>
      <c r="D6" s="8">
        <v>17</v>
      </c>
      <c r="E6" s="12">
        <v>52</v>
      </c>
      <c r="F6" s="8">
        <v>5.85</v>
      </c>
      <c r="G6" s="12">
        <v>258</v>
      </c>
      <c r="H6" s="8">
        <v>28.01</v>
      </c>
      <c r="I6" s="12">
        <v>0</v>
      </c>
    </row>
    <row r="7" spans="2:9" ht="15" customHeight="1" x14ac:dyDescent="0.2">
      <c r="B7" t="s">
        <v>192</v>
      </c>
      <c r="C7" s="12">
        <v>73</v>
      </c>
      <c r="D7" s="8">
        <v>4</v>
      </c>
      <c r="E7" s="12">
        <v>7</v>
      </c>
      <c r="F7" s="8">
        <v>0.79</v>
      </c>
      <c r="G7" s="12">
        <v>66</v>
      </c>
      <c r="H7" s="8">
        <v>7.17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19</v>
      </c>
      <c r="D9" s="8">
        <v>1.04</v>
      </c>
      <c r="E9" s="12">
        <v>1</v>
      </c>
      <c r="F9" s="8">
        <v>0.11</v>
      </c>
      <c r="G9" s="12">
        <v>18</v>
      </c>
      <c r="H9" s="8">
        <v>1.95</v>
      </c>
      <c r="I9" s="12">
        <v>0</v>
      </c>
    </row>
    <row r="10" spans="2:9" ht="15" customHeight="1" x14ac:dyDescent="0.2">
      <c r="B10" t="s">
        <v>195</v>
      </c>
      <c r="C10" s="12">
        <v>37</v>
      </c>
      <c r="D10" s="8">
        <v>2.0299999999999998</v>
      </c>
      <c r="E10" s="12">
        <v>12</v>
      </c>
      <c r="F10" s="8">
        <v>1.35</v>
      </c>
      <c r="G10" s="12">
        <v>25</v>
      </c>
      <c r="H10" s="8">
        <v>2.71</v>
      </c>
      <c r="I10" s="12">
        <v>0</v>
      </c>
    </row>
    <row r="11" spans="2:9" ht="15" customHeight="1" x14ac:dyDescent="0.2">
      <c r="B11" t="s">
        <v>196</v>
      </c>
      <c r="C11" s="12">
        <v>350</v>
      </c>
      <c r="D11" s="8">
        <v>19.2</v>
      </c>
      <c r="E11" s="12">
        <v>109</v>
      </c>
      <c r="F11" s="8">
        <v>12.26</v>
      </c>
      <c r="G11" s="12">
        <v>240</v>
      </c>
      <c r="H11" s="8">
        <v>26.06</v>
      </c>
      <c r="I11" s="12">
        <v>1</v>
      </c>
    </row>
    <row r="12" spans="2:9" ht="15" customHeight="1" x14ac:dyDescent="0.2">
      <c r="B12" t="s">
        <v>197</v>
      </c>
      <c r="C12" s="12">
        <v>11</v>
      </c>
      <c r="D12" s="8">
        <v>0.6</v>
      </c>
      <c r="E12" s="12">
        <v>4</v>
      </c>
      <c r="F12" s="8">
        <v>0.45</v>
      </c>
      <c r="G12" s="12">
        <v>7</v>
      </c>
      <c r="H12" s="8">
        <v>0.76</v>
      </c>
      <c r="I12" s="12">
        <v>0</v>
      </c>
    </row>
    <row r="13" spans="2:9" ht="15" customHeight="1" x14ac:dyDescent="0.2">
      <c r="B13" t="s">
        <v>198</v>
      </c>
      <c r="C13" s="12">
        <v>160</v>
      </c>
      <c r="D13" s="8">
        <v>8.7799999999999994</v>
      </c>
      <c r="E13" s="12">
        <v>99</v>
      </c>
      <c r="F13" s="8">
        <v>11.14</v>
      </c>
      <c r="G13" s="12">
        <v>61</v>
      </c>
      <c r="H13" s="8">
        <v>6.62</v>
      </c>
      <c r="I13" s="12">
        <v>0</v>
      </c>
    </row>
    <row r="14" spans="2:9" ht="15" customHeight="1" x14ac:dyDescent="0.2">
      <c r="B14" t="s">
        <v>199</v>
      </c>
      <c r="C14" s="12">
        <v>87</v>
      </c>
      <c r="D14" s="8">
        <v>4.7699999999999996</v>
      </c>
      <c r="E14" s="12">
        <v>45</v>
      </c>
      <c r="F14" s="8">
        <v>5.0599999999999996</v>
      </c>
      <c r="G14" s="12">
        <v>42</v>
      </c>
      <c r="H14" s="8">
        <v>4.5599999999999996</v>
      </c>
      <c r="I14" s="12">
        <v>0</v>
      </c>
    </row>
    <row r="15" spans="2:9" ht="15" customHeight="1" x14ac:dyDescent="0.2">
      <c r="B15" t="s">
        <v>200</v>
      </c>
      <c r="C15" s="12">
        <v>189</v>
      </c>
      <c r="D15" s="8">
        <v>10.37</v>
      </c>
      <c r="E15" s="12">
        <v>142</v>
      </c>
      <c r="F15" s="8">
        <v>15.97</v>
      </c>
      <c r="G15" s="12">
        <v>47</v>
      </c>
      <c r="H15" s="8">
        <v>5.0999999999999996</v>
      </c>
      <c r="I15" s="12">
        <v>0</v>
      </c>
    </row>
    <row r="16" spans="2:9" ht="15" customHeight="1" x14ac:dyDescent="0.2">
      <c r="B16" t="s">
        <v>201</v>
      </c>
      <c r="C16" s="12">
        <v>243</v>
      </c>
      <c r="D16" s="8">
        <v>13.33</v>
      </c>
      <c r="E16" s="12">
        <v>194</v>
      </c>
      <c r="F16" s="8">
        <v>21.82</v>
      </c>
      <c r="G16" s="12">
        <v>49</v>
      </c>
      <c r="H16" s="8">
        <v>5.32</v>
      </c>
      <c r="I16" s="12">
        <v>0</v>
      </c>
    </row>
    <row r="17" spans="2:9" ht="15" customHeight="1" x14ac:dyDescent="0.2">
      <c r="B17" t="s">
        <v>202</v>
      </c>
      <c r="C17" s="12">
        <v>121</v>
      </c>
      <c r="D17" s="8">
        <v>6.64</v>
      </c>
      <c r="E17" s="12">
        <v>98</v>
      </c>
      <c r="F17" s="8">
        <v>11.02</v>
      </c>
      <c r="G17" s="12">
        <v>19</v>
      </c>
      <c r="H17" s="8">
        <v>2.06</v>
      </c>
      <c r="I17" s="12">
        <v>0</v>
      </c>
    </row>
    <row r="18" spans="2:9" ht="15" customHeight="1" x14ac:dyDescent="0.2">
      <c r="B18" t="s">
        <v>203</v>
      </c>
      <c r="C18" s="12">
        <v>165</v>
      </c>
      <c r="D18" s="8">
        <v>9.0500000000000007</v>
      </c>
      <c r="E18" s="12">
        <v>107</v>
      </c>
      <c r="F18" s="8">
        <v>12.04</v>
      </c>
      <c r="G18" s="12">
        <v>51</v>
      </c>
      <c r="H18" s="8">
        <v>5.54</v>
      </c>
      <c r="I18" s="12">
        <v>0</v>
      </c>
    </row>
    <row r="19" spans="2:9" ht="15" customHeight="1" x14ac:dyDescent="0.2">
      <c r="B19" t="s">
        <v>204</v>
      </c>
      <c r="C19" s="12">
        <v>58</v>
      </c>
      <c r="D19" s="8">
        <v>3.18</v>
      </c>
      <c r="E19" s="12">
        <v>19</v>
      </c>
      <c r="F19" s="8">
        <v>2.14</v>
      </c>
      <c r="G19" s="12">
        <v>38</v>
      </c>
      <c r="H19" s="8">
        <v>4.13</v>
      </c>
      <c r="I19" s="12">
        <v>1</v>
      </c>
    </row>
    <row r="20" spans="2:9" ht="15" customHeight="1" x14ac:dyDescent="0.2">
      <c r="B20" s="9" t="s">
        <v>529</v>
      </c>
      <c r="C20" s="12">
        <f>SUM(LTBL_01217[総数／事業所数])</f>
        <v>1823</v>
      </c>
      <c r="E20" s="12">
        <f>SUBTOTAL(109,LTBL_01217[個人／事業所数])</f>
        <v>889</v>
      </c>
      <c r="G20" s="12">
        <f>SUBTOTAL(109,LTBL_01217[法人／事業所数])</f>
        <v>921</v>
      </c>
      <c r="I20" s="12">
        <f>SUBTOTAL(109,LTBL_01217[法人以外の団体／事業所数])</f>
        <v>2</v>
      </c>
    </row>
    <row r="21" spans="2:9" ht="15" customHeight="1" x14ac:dyDescent="0.2">
      <c r="E21" s="11">
        <f>LTBL_01217[[#Totals],[個人／事業所数]]/LTBL_01217[[#Totals],[総数／事業所数]]</f>
        <v>0.48765770707624795</v>
      </c>
      <c r="G21" s="11">
        <f>LTBL_01217[[#Totals],[法人／事業所数]]/LTBL_01217[[#Totals],[総数／事業所数]]</f>
        <v>0.50521119034558415</v>
      </c>
      <c r="I21" s="11">
        <f>LTBL_01217[[#Totals],[法人以外の団体／事業所数]]/LTBL_01217[[#Totals],[総数／事業所数]]</f>
        <v>1.0970927043335162E-3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212</v>
      </c>
      <c r="D24" s="8">
        <v>11.63</v>
      </c>
      <c r="E24" s="12">
        <v>174</v>
      </c>
      <c r="F24" s="8">
        <v>19.57</v>
      </c>
      <c r="G24" s="12">
        <v>38</v>
      </c>
      <c r="H24" s="8">
        <v>4.13</v>
      </c>
      <c r="I24" s="12">
        <v>0</v>
      </c>
    </row>
    <row r="25" spans="2:9" ht="15" customHeight="1" x14ac:dyDescent="0.2">
      <c r="B25" t="s">
        <v>227</v>
      </c>
      <c r="C25" s="12">
        <v>167</v>
      </c>
      <c r="D25" s="8">
        <v>9.16</v>
      </c>
      <c r="E25" s="12">
        <v>134</v>
      </c>
      <c r="F25" s="8">
        <v>15.07</v>
      </c>
      <c r="G25" s="12">
        <v>33</v>
      </c>
      <c r="H25" s="8">
        <v>3.58</v>
      </c>
      <c r="I25" s="12">
        <v>0</v>
      </c>
    </row>
    <row r="26" spans="2:9" ht="15" customHeight="1" x14ac:dyDescent="0.2">
      <c r="B26" t="s">
        <v>224</v>
      </c>
      <c r="C26" s="12">
        <v>145</v>
      </c>
      <c r="D26" s="8">
        <v>7.95</v>
      </c>
      <c r="E26" s="12">
        <v>98</v>
      </c>
      <c r="F26" s="8">
        <v>11.02</v>
      </c>
      <c r="G26" s="12">
        <v>47</v>
      </c>
      <c r="H26" s="8">
        <v>5.0999999999999996</v>
      </c>
      <c r="I26" s="12">
        <v>0</v>
      </c>
    </row>
    <row r="27" spans="2:9" ht="15" customHeight="1" x14ac:dyDescent="0.2">
      <c r="B27" t="s">
        <v>214</v>
      </c>
      <c r="C27" s="12">
        <v>133</v>
      </c>
      <c r="D27" s="8">
        <v>7.3</v>
      </c>
      <c r="E27" s="12">
        <v>32</v>
      </c>
      <c r="F27" s="8">
        <v>3.6</v>
      </c>
      <c r="G27" s="12">
        <v>101</v>
      </c>
      <c r="H27" s="8">
        <v>10.97</v>
      </c>
      <c r="I27" s="12">
        <v>0</v>
      </c>
    </row>
    <row r="28" spans="2:9" ht="15" customHeight="1" x14ac:dyDescent="0.2">
      <c r="B28" t="s">
        <v>230</v>
      </c>
      <c r="C28" s="12">
        <v>121</v>
      </c>
      <c r="D28" s="8">
        <v>6.64</v>
      </c>
      <c r="E28" s="12">
        <v>98</v>
      </c>
      <c r="F28" s="8">
        <v>11.02</v>
      </c>
      <c r="G28" s="12">
        <v>19</v>
      </c>
      <c r="H28" s="8">
        <v>2.06</v>
      </c>
      <c r="I28" s="12">
        <v>0</v>
      </c>
    </row>
    <row r="29" spans="2:9" ht="15" customHeight="1" x14ac:dyDescent="0.2">
      <c r="B29" t="s">
        <v>231</v>
      </c>
      <c r="C29" s="12">
        <v>115</v>
      </c>
      <c r="D29" s="8">
        <v>6.31</v>
      </c>
      <c r="E29" s="12">
        <v>104</v>
      </c>
      <c r="F29" s="8">
        <v>11.7</v>
      </c>
      <c r="G29" s="12">
        <v>11</v>
      </c>
      <c r="H29" s="8">
        <v>1.19</v>
      </c>
      <c r="I29" s="12">
        <v>0</v>
      </c>
    </row>
    <row r="30" spans="2:9" ht="15" customHeight="1" x14ac:dyDescent="0.2">
      <c r="B30" t="s">
        <v>223</v>
      </c>
      <c r="C30" s="12">
        <v>112</v>
      </c>
      <c r="D30" s="8">
        <v>6.14</v>
      </c>
      <c r="E30" s="12">
        <v>40</v>
      </c>
      <c r="F30" s="8">
        <v>4.5</v>
      </c>
      <c r="G30" s="12">
        <v>72</v>
      </c>
      <c r="H30" s="8">
        <v>7.82</v>
      </c>
      <c r="I30" s="12">
        <v>0</v>
      </c>
    </row>
    <row r="31" spans="2:9" ht="15" customHeight="1" x14ac:dyDescent="0.2">
      <c r="B31" t="s">
        <v>213</v>
      </c>
      <c r="C31" s="12">
        <v>101</v>
      </c>
      <c r="D31" s="8">
        <v>5.54</v>
      </c>
      <c r="E31" s="12">
        <v>12</v>
      </c>
      <c r="F31" s="8">
        <v>1.35</v>
      </c>
      <c r="G31" s="12">
        <v>89</v>
      </c>
      <c r="H31" s="8">
        <v>9.66</v>
      </c>
      <c r="I31" s="12">
        <v>0</v>
      </c>
    </row>
    <row r="32" spans="2:9" ht="15" customHeight="1" x14ac:dyDescent="0.2">
      <c r="B32" t="s">
        <v>215</v>
      </c>
      <c r="C32" s="12">
        <v>76</v>
      </c>
      <c r="D32" s="8">
        <v>4.17</v>
      </c>
      <c r="E32" s="12">
        <v>8</v>
      </c>
      <c r="F32" s="8">
        <v>0.9</v>
      </c>
      <c r="G32" s="12">
        <v>68</v>
      </c>
      <c r="H32" s="8">
        <v>7.38</v>
      </c>
      <c r="I32" s="12">
        <v>0</v>
      </c>
    </row>
    <row r="33" spans="2:9" ht="15" customHeight="1" x14ac:dyDescent="0.2">
      <c r="B33" t="s">
        <v>222</v>
      </c>
      <c r="C33" s="12">
        <v>61</v>
      </c>
      <c r="D33" s="8">
        <v>3.35</v>
      </c>
      <c r="E33" s="12">
        <v>18</v>
      </c>
      <c r="F33" s="8">
        <v>2.02</v>
      </c>
      <c r="G33" s="12">
        <v>43</v>
      </c>
      <c r="H33" s="8">
        <v>4.67</v>
      </c>
      <c r="I33" s="12">
        <v>0</v>
      </c>
    </row>
    <row r="34" spans="2:9" ht="15" customHeight="1" x14ac:dyDescent="0.2">
      <c r="B34" t="s">
        <v>232</v>
      </c>
      <c r="C34" s="12">
        <v>50</v>
      </c>
      <c r="D34" s="8">
        <v>2.74</v>
      </c>
      <c r="E34" s="12">
        <v>3</v>
      </c>
      <c r="F34" s="8">
        <v>0.34</v>
      </c>
      <c r="G34" s="12">
        <v>40</v>
      </c>
      <c r="H34" s="8">
        <v>4.34</v>
      </c>
      <c r="I34" s="12">
        <v>0</v>
      </c>
    </row>
    <row r="35" spans="2:9" ht="15" customHeight="1" x14ac:dyDescent="0.2">
      <c r="B35" t="s">
        <v>221</v>
      </c>
      <c r="C35" s="12">
        <v>49</v>
      </c>
      <c r="D35" s="8">
        <v>2.69</v>
      </c>
      <c r="E35" s="12">
        <v>28</v>
      </c>
      <c r="F35" s="8">
        <v>3.15</v>
      </c>
      <c r="G35" s="12">
        <v>20</v>
      </c>
      <c r="H35" s="8">
        <v>2.17</v>
      </c>
      <c r="I35" s="12">
        <v>1</v>
      </c>
    </row>
    <row r="36" spans="2:9" ht="15" customHeight="1" x14ac:dyDescent="0.2">
      <c r="B36" t="s">
        <v>226</v>
      </c>
      <c r="C36" s="12">
        <v>46</v>
      </c>
      <c r="D36" s="8">
        <v>2.52</v>
      </c>
      <c r="E36" s="12">
        <v>15</v>
      </c>
      <c r="F36" s="8">
        <v>1.69</v>
      </c>
      <c r="G36" s="12">
        <v>31</v>
      </c>
      <c r="H36" s="8">
        <v>3.37</v>
      </c>
      <c r="I36" s="12">
        <v>0</v>
      </c>
    </row>
    <row r="37" spans="2:9" ht="15" customHeight="1" x14ac:dyDescent="0.2">
      <c r="B37" t="s">
        <v>225</v>
      </c>
      <c r="C37" s="12">
        <v>40</v>
      </c>
      <c r="D37" s="8">
        <v>2.19</v>
      </c>
      <c r="E37" s="12">
        <v>30</v>
      </c>
      <c r="F37" s="8">
        <v>3.37</v>
      </c>
      <c r="G37" s="12">
        <v>10</v>
      </c>
      <c r="H37" s="8">
        <v>1.0900000000000001</v>
      </c>
      <c r="I37" s="12">
        <v>0</v>
      </c>
    </row>
    <row r="38" spans="2:9" ht="15" customHeight="1" x14ac:dyDescent="0.2">
      <c r="B38" t="s">
        <v>218</v>
      </c>
      <c r="C38" s="12">
        <v>26</v>
      </c>
      <c r="D38" s="8">
        <v>1.43</v>
      </c>
      <c r="E38" s="12">
        <v>2</v>
      </c>
      <c r="F38" s="8">
        <v>0.22</v>
      </c>
      <c r="G38" s="12">
        <v>24</v>
      </c>
      <c r="H38" s="8">
        <v>2.61</v>
      </c>
      <c r="I38" s="12">
        <v>0</v>
      </c>
    </row>
    <row r="39" spans="2:9" ht="15" customHeight="1" x14ac:dyDescent="0.2">
      <c r="B39" t="s">
        <v>217</v>
      </c>
      <c r="C39" s="12">
        <v>24</v>
      </c>
      <c r="D39" s="8">
        <v>1.32</v>
      </c>
      <c r="E39" s="12">
        <v>2</v>
      </c>
      <c r="F39" s="8">
        <v>0.22</v>
      </c>
      <c r="G39" s="12">
        <v>22</v>
      </c>
      <c r="H39" s="8">
        <v>2.39</v>
      </c>
      <c r="I39" s="12">
        <v>0</v>
      </c>
    </row>
    <row r="40" spans="2:9" ht="15" customHeight="1" x14ac:dyDescent="0.2">
      <c r="B40" t="s">
        <v>229</v>
      </c>
      <c r="C40" s="12">
        <v>24</v>
      </c>
      <c r="D40" s="8">
        <v>1.32</v>
      </c>
      <c r="E40" s="12">
        <v>17</v>
      </c>
      <c r="F40" s="8">
        <v>1.91</v>
      </c>
      <c r="G40" s="12">
        <v>7</v>
      </c>
      <c r="H40" s="8">
        <v>0.76</v>
      </c>
      <c r="I40" s="12">
        <v>0</v>
      </c>
    </row>
    <row r="41" spans="2:9" ht="15" customHeight="1" x14ac:dyDescent="0.2">
      <c r="B41" t="s">
        <v>220</v>
      </c>
      <c r="C41" s="12">
        <v>22</v>
      </c>
      <c r="D41" s="8">
        <v>1.21</v>
      </c>
      <c r="E41" s="12">
        <v>12</v>
      </c>
      <c r="F41" s="8">
        <v>1.35</v>
      </c>
      <c r="G41" s="12">
        <v>10</v>
      </c>
      <c r="H41" s="8">
        <v>1.0900000000000001</v>
      </c>
      <c r="I41" s="12">
        <v>0</v>
      </c>
    </row>
    <row r="42" spans="2:9" ht="15" customHeight="1" x14ac:dyDescent="0.2">
      <c r="B42" t="s">
        <v>240</v>
      </c>
      <c r="C42" s="12">
        <v>22</v>
      </c>
      <c r="D42" s="8">
        <v>1.21</v>
      </c>
      <c r="E42" s="12">
        <v>9</v>
      </c>
      <c r="F42" s="8">
        <v>1.01</v>
      </c>
      <c r="G42" s="12">
        <v>13</v>
      </c>
      <c r="H42" s="8">
        <v>1.41</v>
      </c>
      <c r="I42" s="12">
        <v>0</v>
      </c>
    </row>
    <row r="43" spans="2:9" ht="15" customHeight="1" x14ac:dyDescent="0.2">
      <c r="B43" t="s">
        <v>219</v>
      </c>
      <c r="C43" s="12">
        <v>20</v>
      </c>
      <c r="D43" s="8">
        <v>1.1000000000000001</v>
      </c>
      <c r="E43" s="12">
        <v>3</v>
      </c>
      <c r="F43" s="8">
        <v>0.34</v>
      </c>
      <c r="G43" s="12">
        <v>17</v>
      </c>
      <c r="H43" s="8">
        <v>1.85</v>
      </c>
      <c r="I43" s="12">
        <v>0</v>
      </c>
    </row>
    <row r="44" spans="2:9" ht="15" customHeight="1" x14ac:dyDescent="0.2">
      <c r="B44" t="s">
        <v>236</v>
      </c>
      <c r="C44" s="12">
        <v>20</v>
      </c>
      <c r="D44" s="8">
        <v>1.1000000000000001</v>
      </c>
      <c r="E44" s="12">
        <v>1</v>
      </c>
      <c r="F44" s="8">
        <v>0.11</v>
      </c>
      <c r="G44" s="12">
        <v>19</v>
      </c>
      <c r="H44" s="8">
        <v>2.06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297</v>
      </c>
      <c r="C48" s="12">
        <v>119</v>
      </c>
      <c r="D48" s="8">
        <v>6.53</v>
      </c>
      <c r="E48" s="12">
        <v>93</v>
      </c>
      <c r="F48" s="8">
        <v>10.46</v>
      </c>
      <c r="G48" s="12">
        <v>26</v>
      </c>
      <c r="H48" s="8">
        <v>2.82</v>
      </c>
      <c r="I48" s="12">
        <v>0</v>
      </c>
    </row>
    <row r="49" spans="2:9" ht="15" customHeight="1" x14ac:dyDescent="0.2">
      <c r="B49" t="s">
        <v>304</v>
      </c>
      <c r="C49" s="12">
        <v>109</v>
      </c>
      <c r="D49" s="8">
        <v>5.98</v>
      </c>
      <c r="E49" s="12">
        <v>92</v>
      </c>
      <c r="F49" s="8">
        <v>10.35</v>
      </c>
      <c r="G49" s="12">
        <v>17</v>
      </c>
      <c r="H49" s="8">
        <v>1.85</v>
      </c>
      <c r="I49" s="12">
        <v>0</v>
      </c>
    </row>
    <row r="50" spans="2:9" ht="15" customHeight="1" x14ac:dyDescent="0.2">
      <c r="B50" t="s">
        <v>305</v>
      </c>
      <c r="C50" s="12">
        <v>89</v>
      </c>
      <c r="D50" s="8">
        <v>4.88</v>
      </c>
      <c r="E50" s="12">
        <v>79</v>
      </c>
      <c r="F50" s="8">
        <v>8.89</v>
      </c>
      <c r="G50" s="12">
        <v>10</v>
      </c>
      <c r="H50" s="8">
        <v>1.0900000000000001</v>
      </c>
      <c r="I50" s="12">
        <v>0</v>
      </c>
    </row>
    <row r="51" spans="2:9" ht="15" customHeight="1" x14ac:dyDescent="0.2">
      <c r="B51" t="s">
        <v>303</v>
      </c>
      <c r="C51" s="12">
        <v>75</v>
      </c>
      <c r="D51" s="8">
        <v>4.1100000000000003</v>
      </c>
      <c r="E51" s="12">
        <v>70</v>
      </c>
      <c r="F51" s="8">
        <v>7.87</v>
      </c>
      <c r="G51" s="12">
        <v>5</v>
      </c>
      <c r="H51" s="8">
        <v>0.54</v>
      </c>
      <c r="I51" s="12">
        <v>0</v>
      </c>
    </row>
    <row r="52" spans="2:9" ht="15" customHeight="1" x14ac:dyDescent="0.2">
      <c r="B52" t="s">
        <v>306</v>
      </c>
      <c r="C52" s="12">
        <v>73</v>
      </c>
      <c r="D52" s="8">
        <v>4</v>
      </c>
      <c r="E52" s="12">
        <v>70</v>
      </c>
      <c r="F52" s="8">
        <v>7.87</v>
      </c>
      <c r="G52" s="12">
        <v>3</v>
      </c>
      <c r="H52" s="8">
        <v>0.33</v>
      </c>
      <c r="I52" s="12">
        <v>0</v>
      </c>
    </row>
    <row r="53" spans="2:9" ht="15" customHeight="1" x14ac:dyDescent="0.2">
      <c r="B53" t="s">
        <v>301</v>
      </c>
      <c r="C53" s="12">
        <v>47</v>
      </c>
      <c r="D53" s="8">
        <v>2.58</v>
      </c>
      <c r="E53" s="12">
        <v>44</v>
      </c>
      <c r="F53" s="8">
        <v>4.95</v>
      </c>
      <c r="G53" s="12">
        <v>3</v>
      </c>
      <c r="H53" s="8">
        <v>0.33</v>
      </c>
      <c r="I53" s="12">
        <v>0</v>
      </c>
    </row>
    <row r="54" spans="2:9" ht="15" customHeight="1" x14ac:dyDescent="0.2">
      <c r="B54" t="s">
        <v>293</v>
      </c>
      <c r="C54" s="12">
        <v>41</v>
      </c>
      <c r="D54" s="8">
        <v>2.25</v>
      </c>
      <c r="E54" s="12">
        <v>11</v>
      </c>
      <c r="F54" s="8">
        <v>1.24</v>
      </c>
      <c r="G54" s="12">
        <v>30</v>
      </c>
      <c r="H54" s="8">
        <v>3.26</v>
      </c>
      <c r="I54" s="12">
        <v>0</v>
      </c>
    </row>
    <row r="55" spans="2:9" ht="15" customHeight="1" x14ac:dyDescent="0.2">
      <c r="B55" t="s">
        <v>295</v>
      </c>
      <c r="C55" s="12">
        <v>38</v>
      </c>
      <c r="D55" s="8">
        <v>2.08</v>
      </c>
      <c r="E55" s="12">
        <v>16</v>
      </c>
      <c r="F55" s="8">
        <v>1.8</v>
      </c>
      <c r="G55" s="12">
        <v>22</v>
      </c>
      <c r="H55" s="8">
        <v>2.39</v>
      </c>
      <c r="I55" s="12">
        <v>0</v>
      </c>
    </row>
    <row r="56" spans="2:9" ht="15" customHeight="1" x14ac:dyDescent="0.2">
      <c r="B56" t="s">
        <v>299</v>
      </c>
      <c r="C56" s="12">
        <v>36</v>
      </c>
      <c r="D56" s="8">
        <v>1.97</v>
      </c>
      <c r="E56" s="12">
        <v>25</v>
      </c>
      <c r="F56" s="8">
        <v>2.81</v>
      </c>
      <c r="G56" s="12">
        <v>11</v>
      </c>
      <c r="H56" s="8">
        <v>1.19</v>
      </c>
      <c r="I56" s="12">
        <v>0</v>
      </c>
    </row>
    <row r="57" spans="2:9" ht="15" customHeight="1" x14ac:dyDescent="0.2">
      <c r="B57" t="s">
        <v>291</v>
      </c>
      <c r="C57" s="12">
        <v>32</v>
      </c>
      <c r="D57" s="8">
        <v>1.76</v>
      </c>
      <c r="E57" s="12">
        <v>3</v>
      </c>
      <c r="F57" s="8">
        <v>0.34</v>
      </c>
      <c r="G57" s="12">
        <v>29</v>
      </c>
      <c r="H57" s="8">
        <v>3.15</v>
      </c>
      <c r="I57" s="12">
        <v>0</v>
      </c>
    </row>
    <row r="58" spans="2:9" ht="15" customHeight="1" x14ac:dyDescent="0.2">
      <c r="B58" t="s">
        <v>298</v>
      </c>
      <c r="C58" s="12">
        <v>30</v>
      </c>
      <c r="D58" s="8">
        <v>1.65</v>
      </c>
      <c r="E58" s="12">
        <v>9</v>
      </c>
      <c r="F58" s="8">
        <v>1.01</v>
      </c>
      <c r="G58" s="12">
        <v>21</v>
      </c>
      <c r="H58" s="8">
        <v>2.2799999999999998</v>
      </c>
      <c r="I58" s="12">
        <v>0</v>
      </c>
    </row>
    <row r="59" spans="2:9" ht="15" customHeight="1" x14ac:dyDescent="0.2">
      <c r="B59" t="s">
        <v>288</v>
      </c>
      <c r="C59" s="12">
        <v>29</v>
      </c>
      <c r="D59" s="8">
        <v>1.59</v>
      </c>
      <c r="E59" s="12">
        <v>4</v>
      </c>
      <c r="F59" s="8">
        <v>0.45</v>
      </c>
      <c r="G59" s="12">
        <v>25</v>
      </c>
      <c r="H59" s="8">
        <v>2.71</v>
      </c>
      <c r="I59" s="12">
        <v>0</v>
      </c>
    </row>
    <row r="60" spans="2:9" ht="15" customHeight="1" x14ac:dyDescent="0.2">
      <c r="B60" t="s">
        <v>294</v>
      </c>
      <c r="C60" s="12">
        <v>29</v>
      </c>
      <c r="D60" s="8">
        <v>1.59</v>
      </c>
      <c r="E60" s="12">
        <v>6</v>
      </c>
      <c r="F60" s="8">
        <v>0.67</v>
      </c>
      <c r="G60" s="12">
        <v>23</v>
      </c>
      <c r="H60" s="8">
        <v>2.5</v>
      </c>
      <c r="I60" s="12">
        <v>0</v>
      </c>
    </row>
    <row r="61" spans="2:9" ht="15" customHeight="1" x14ac:dyDescent="0.2">
      <c r="B61" t="s">
        <v>290</v>
      </c>
      <c r="C61" s="12">
        <v>28</v>
      </c>
      <c r="D61" s="8">
        <v>1.54</v>
      </c>
      <c r="E61" s="12">
        <v>3</v>
      </c>
      <c r="F61" s="8">
        <v>0.34</v>
      </c>
      <c r="G61" s="12">
        <v>25</v>
      </c>
      <c r="H61" s="8">
        <v>2.71</v>
      </c>
      <c r="I61" s="12">
        <v>0</v>
      </c>
    </row>
    <row r="62" spans="2:9" ht="15" customHeight="1" x14ac:dyDescent="0.2">
      <c r="B62" t="s">
        <v>312</v>
      </c>
      <c r="C62" s="12">
        <v>28</v>
      </c>
      <c r="D62" s="8">
        <v>1.54</v>
      </c>
      <c r="E62" s="12">
        <v>24</v>
      </c>
      <c r="F62" s="8">
        <v>2.7</v>
      </c>
      <c r="G62" s="12">
        <v>4</v>
      </c>
      <c r="H62" s="8">
        <v>0.43</v>
      </c>
      <c r="I62" s="12">
        <v>0</v>
      </c>
    </row>
    <row r="63" spans="2:9" ht="15" customHeight="1" x14ac:dyDescent="0.2">
      <c r="B63" t="s">
        <v>333</v>
      </c>
      <c r="C63" s="12">
        <v>27</v>
      </c>
      <c r="D63" s="8">
        <v>1.48</v>
      </c>
      <c r="E63" s="12">
        <v>9</v>
      </c>
      <c r="F63" s="8">
        <v>1.01</v>
      </c>
      <c r="G63" s="12">
        <v>18</v>
      </c>
      <c r="H63" s="8">
        <v>1.95</v>
      </c>
      <c r="I63" s="12">
        <v>0</v>
      </c>
    </row>
    <row r="64" spans="2:9" ht="15" customHeight="1" x14ac:dyDescent="0.2">
      <c r="B64" t="s">
        <v>300</v>
      </c>
      <c r="C64" s="12">
        <v>27</v>
      </c>
      <c r="D64" s="8">
        <v>1.48</v>
      </c>
      <c r="E64" s="12">
        <v>23</v>
      </c>
      <c r="F64" s="8">
        <v>2.59</v>
      </c>
      <c r="G64" s="12">
        <v>4</v>
      </c>
      <c r="H64" s="8">
        <v>0.43</v>
      </c>
      <c r="I64" s="12">
        <v>0</v>
      </c>
    </row>
    <row r="65" spans="2:9" ht="15" customHeight="1" x14ac:dyDescent="0.2">
      <c r="B65" t="s">
        <v>289</v>
      </c>
      <c r="C65" s="12">
        <v>25</v>
      </c>
      <c r="D65" s="8">
        <v>1.37</v>
      </c>
      <c r="E65" s="12">
        <v>1</v>
      </c>
      <c r="F65" s="8">
        <v>0.11</v>
      </c>
      <c r="G65" s="12">
        <v>24</v>
      </c>
      <c r="H65" s="8">
        <v>2.61</v>
      </c>
      <c r="I65" s="12">
        <v>0</v>
      </c>
    </row>
    <row r="66" spans="2:9" ht="15" customHeight="1" x14ac:dyDescent="0.2">
      <c r="B66" t="s">
        <v>319</v>
      </c>
      <c r="C66" s="12">
        <v>25</v>
      </c>
      <c r="D66" s="8">
        <v>1.37</v>
      </c>
      <c r="E66" s="12">
        <v>4</v>
      </c>
      <c r="F66" s="8">
        <v>0.45</v>
      </c>
      <c r="G66" s="12">
        <v>21</v>
      </c>
      <c r="H66" s="8">
        <v>2.2799999999999998</v>
      </c>
      <c r="I66" s="12">
        <v>0</v>
      </c>
    </row>
    <row r="67" spans="2:9" ht="15" customHeight="1" x14ac:dyDescent="0.2">
      <c r="B67" t="s">
        <v>320</v>
      </c>
      <c r="C67" s="12">
        <v>25</v>
      </c>
      <c r="D67" s="8">
        <v>1.37</v>
      </c>
      <c r="E67" s="12">
        <v>5</v>
      </c>
      <c r="F67" s="8">
        <v>0.56000000000000005</v>
      </c>
      <c r="G67" s="12">
        <v>20</v>
      </c>
      <c r="H67" s="8">
        <v>2.17</v>
      </c>
      <c r="I67" s="12">
        <v>0</v>
      </c>
    </row>
    <row r="68" spans="2:9" ht="15" customHeight="1" x14ac:dyDescent="0.2">
      <c r="B68" t="s">
        <v>302</v>
      </c>
      <c r="C68" s="12">
        <v>25</v>
      </c>
      <c r="D68" s="8">
        <v>1.37</v>
      </c>
      <c r="E68" s="12">
        <v>22</v>
      </c>
      <c r="F68" s="8">
        <v>2.4700000000000002</v>
      </c>
      <c r="G68" s="12">
        <v>3</v>
      </c>
      <c r="H68" s="8">
        <v>0.33</v>
      </c>
      <c r="I68" s="12">
        <v>0</v>
      </c>
    </row>
    <row r="69" spans="2:9" ht="15" customHeight="1" x14ac:dyDescent="0.2">
      <c r="B69" t="s">
        <v>327</v>
      </c>
      <c r="C69" s="12">
        <v>25</v>
      </c>
      <c r="D69" s="8">
        <v>1.37</v>
      </c>
      <c r="E69" s="12">
        <v>19</v>
      </c>
      <c r="F69" s="8">
        <v>2.14</v>
      </c>
      <c r="G69" s="12">
        <v>6</v>
      </c>
      <c r="H69" s="8">
        <v>0.65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1B67D-2C48-4907-B4B0-9251B8988EEF}">
  <sheetPr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32</v>
      </c>
      <c r="D6" s="8">
        <v>13.33</v>
      </c>
      <c r="E6" s="12">
        <v>11</v>
      </c>
      <c r="F6" s="8">
        <v>9.91</v>
      </c>
      <c r="G6" s="12">
        <v>21</v>
      </c>
      <c r="H6" s="8">
        <v>18.920000000000002</v>
      </c>
      <c r="I6" s="12">
        <v>0</v>
      </c>
    </row>
    <row r="7" spans="2:9" ht="15" customHeight="1" x14ac:dyDescent="0.2">
      <c r="B7" t="s">
        <v>192</v>
      </c>
      <c r="C7" s="12">
        <v>12</v>
      </c>
      <c r="D7" s="8">
        <v>5</v>
      </c>
      <c r="E7" s="12">
        <v>1</v>
      </c>
      <c r="F7" s="8">
        <v>0.9</v>
      </c>
      <c r="G7" s="12">
        <v>11</v>
      </c>
      <c r="H7" s="8">
        <v>9.91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0.42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0.42</v>
      </c>
      <c r="E9" s="12">
        <v>0</v>
      </c>
      <c r="F9" s="8">
        <v>0</v>
      </c>
      <c r="G9" s="12">
        <v>1</v>
      </c>
      <c r="H9" s="8">
        <v>0.9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0.83</v>
      </c>
      <c r="E10" s="12">
        <v>0</v>
      </c>
      <c r="F10" s="8">
        <v>0</v>
      </c>
      <c r="G10" s="12">
        <v>2</v>
      </c>
      <c r="H10" s="8">
        <v>1.8</v>
      </c>
      <c r="I10" s="12">
        <v>0</v>
      </c>
    </row>
    <row r="11" spans="2:9" ht="15" customHeight="1" x14ac:dyDescent="0.2">
      <c r="B11" t="s">
        <v>196</v>
      </c>
      <c r="C11" s="12">
        <v>75</v>
      </c>
      <c r="D11" s="8">
        <v>31.25</v>
      </c>
      <c r="E11" s="12">
        <v>26</v>
      </c>
      <c r="F11" s="8">
        <v>23.42</v>
      </c>
      <c r="G11" s="12">
        <v>47</v>
      </c>
      <c r="H11" s="8">
        <v>42.34</v>
      </c>
      <c r="I11" s="12">
        <v>2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5</v>
      </c>
      <c r="D13" s="8">
        <v>2.08</v>
      </c>
      <c r="E13" s="12">
        <v>2</v>
      </c>
      <c r="F13" s="8">
        <v>1.8</v>
      </c>
      <c r="G13" s="12">
        <v>3</v>
      </c>
      <c r="H13" s="8">
        <v>2.7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1.25</v>
      </c>
      <c r="E14" s="12">
        <v>1</v>
      </c>
      <c r="F14" s="8">
        <v>0.9</v>
      </c>
      <c r="G14" s="12">
        <v>2</v>
      </c>
      <c r="H14" s="8">
        <v>1.8</v>
      </c>
      <c r="I14" s="12">
        <v>0</v>
      </c>
    </row>
    <row r="15" spans="2:9" ht="15" customHeight="1" x14ac:dyDescent="0.2">
      <c r="B15" t="s">
        <v>200</v>
      </c>
      <c r="C15" s="12">
        <v>36</v>
      </c>
      <c r="D15" s="8">
        <v>15</v>
      </c>
      <c r="E15" s="12">
        <v>25</v>
      </c>
      <c r="F15" s="8">
        <v>22.52</v>
      </c>
      <c r="G15" s="12">
        <v>10</v>
      </c>
      <c r="H15" s="8">
        <v>9.01</v>
      </c>
      <c r="I15" s="12">
        <v>0</v>
      </c>
    </row>
    <row r="16" spans="2:9" ht="15" customHeight="1" x14ac:dyDescent="0.2">
      <c r="B16" t="s">
        <v>201</v>
      </c>
      <c r="C16" s="12">
        <v>42</v>
      </c>
      <c r="D16" s="8">
        <v>17.5</v>
      </c>
      <c r="E16" s="12">
        <v>35</v>
      </c>
      <c r="F16" s="8">
        <v>31.53</v>
      </c>
      <c r="G16" s="12">
        <v>7</v>
      </c>
      <c r="H16" s="8">
        <v>6.31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2.08</v>
      </c>
      <c r="E17" s="12">
        <v>2</v>
      </c>
      <c r="F17" s="8">
        <v>1.8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20</v>
      </c>
      <c r="D18" s="8">
        <v>8.33</v>
      </c>
      <c r="E18" s="12">
        <v>6</v>
      </c>
      <c r="F18" s="8">
        <v>5.41</v>
      </c>
      <c r="G18" s="12">
        <v>4</v>
      </c>
      <c r="H18" s="8">
        <v>3.6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2.5</v>
      </c>
      <c r="E19" s="12">
        <v>2</v>
      </c>
      <c r="F19" s="8">
        <v>1.8</v>
      </c>
      <c r="G19" s="12">
        <v>3</v>
      </c>
      <c r="H19" s="8">
        <v>2.7</v>
      </c>
      <c r="I19" s="12">
        <v>0</v>
      </c>
    </row>
    <row r="20" spans="2:9" ht="15" customHeight="1" x14ac:dyDescent="0.2">
      <c r="B20" s="9" t="s">
        <v>529</v>
      </c>
      <c r="C20" s="12">
        <f>SUM(LTBL_01218[総数／事業所数])</f>
        <v>240</v>
      </c>
      <c r="E20" s="12">
        <f>SUBTOTAL(109,LTBL_01218[個人／事業所数])</f>
        <v>111</v>
      </c>
      <c r="G20" s="12">
        <f>SUBTOTAL(109,LTBL_01218[法人／事業所数])</f>
        <v>111</v>
      </c>
      <c r="I20" s="12">
        <f>SUBTOTAL(109,LTBL_01218[法人以外の団体／事業所数])</f>
        <v>2</v>
      </c>
    </row>
    <row r="21" spans="2:9" ht="15" customHeight="1" x14ac:dyDescent="0.2">
      <c r="E21" s="11">
        <f>LTBL_01218[[#Totals],[個人／事業所数]]/LTBL_01218[[#Totals],[総数／事業所数]]</f>
        <v>0.46250000000000002</v>
      </c>
      <c r="G21" s="11">
        <f>LTBL_01218[[#Totals],[法人／事業所数]]/LTBL_01218[[#Totals],[総数／事業所数]]</f>
        <v>0.46250000000000002</v>
      </c>
      <c r="I21" s="11">
        <f>LTBL_01218[[#Totals],[法人以外の団体／事業所数]]/LTBL_01218[[#Totals],[総数／事業所数]]</f>
        <v>8.3333333333333332E-3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36</v>
      </c>
      <c r="D24" s="8">
        <v>15</v>
      </c>
      <c r="E24" s="12">
        <v>33</v>
      </c>
      <c r="F24" s="8">
        <v>29.73</v>
      </c>
      <c r="G24" s="12">
        <v>3</v>
      </c>
      <c r="H24" s="8">
        <v>2.7</v>
      </c>
      <c r="I24" s="12">
        <v>0</v>
      </c>
    </row>
    <row r="25" spans="2:9" ht="15" customHeight="1" x14ac:dyDescent="0.2">
      <c r="B25" t="s">
        <v>227</v>
      </c>
      <c r="C25" s="12">
        <v>32</v>
      </c>
      <c r="D25" s="8">
        <v>13.33</v>
      </c>
      <c r="E25" s="12">
        <v>25</v>
      </c>
      <c r="F25" s="8">
        <v>22.52</v>
      </c>
      <c r="G25" s="12">
        <v>7</v>
      </c>
      <c r="H25" s="8">
        <v>6.31</v>
      </c>
      <c r="I25" s="12">
        <v>0</v>
      </c>
    </row>
    <row r="26" spans="2:9" ht="15" customHeight="1" x14ac:dyDescent="0.2">
      <c r="B26" t="s">
        <v>223</v>
      </c>
      <c r="C26" s="12">
        <v>31</v>
      </c>
      <c r="D26" s="8">
        <v>12.92</v>
      </c>
      <c r="E26" s="12">
        <v>11</v>
      </c>
      <c r="F26" s="8">
        <v>9.91</v>
      </c>
      <c r="G26" s="12">
        <v>20</v>
      </c>
      <c r="H26" s="8">
        <v>18.02</v>
      </c>
      <c r="I26" s="12">
        <v>0</v>
      </c>
    </row>
    <row r="27" spans="2:9" ht="15" customHeight="1" x14ac:dyDescent="0.2">
      <c r="B27" t="s">
        <v>221</v>
      </c>
      <c r="C27" s="12">
        <v>20</v>
      </c>
      <c r="D27" s="8">
        <v>8.33</v>
      </c>
      <c r="E27" s="12">
        <v>5</v>
      </c>
      <c r="F27" s="8">
        <v>4.5</v>
      </c>
      <c r="G27" s="12">
        <v>14</v>
      </c>
      <c r="H27" s="8">
        <v>12.61</v>
      </c>
      <c r="I27" s="12">
        <v>1</v>
      </c>
    </row>
    <row r="28" spans="2:9" ht="15" customHeight="1" x14ac:dyDescent="0.2">
      <c r="B28" t="s">
        <v>214</v>
      </c>
      <c r="C28" s="12">
        <v>14</v>
      </c>
      <c r="D28" s="8">
        <v>5.83</v>
      </c>
      <c r="E28" s="12">
        <v>7</v>
      </c>
      <c r="F28" s="8">
        <v>6.31</v>
      </c>
      <c r="G28" s="12">
        <v>7</v>
      </c>
      <c r="H28" s="8">
        <v>6.31</v>
      </c>
      <c r="I28" s="12">
        <v>0</v>
      </c>
    </row>
    <row r="29" spans="2:9" ht="15" customHeight="1" x14ac:dyDescent="0.2">
      <c r="B29" t="s">
        <v>232</v>
      </c>
      <c r="C29" s="12">
        <v>13</v>
      </c>
      <c r="D29" s="8">
        <v>5.42</v>
      </c>
      <c r="E29" s="12">
        <v>0</v>
      </c>
      <c r="F29" s="8">
        <v>0</v>
      </c>
      <c r="G29" s="12">
        <v>3</v>
      </c>
      <c r="H29" s="8">
        <v>2.7</v>
      </c>
      <c r="I29" s="12">
        <v>0</v>
      </c>
    </row>
    <row r="30" spans="2:9" ht="15" customHeight="1" x14ac:dyDescent="0.2">
      <c r="B30" t="s">
        <v>213</v>
      </c>
      <c r="C30" s="12">
        <v>9</v>
      </c>
      <c r="D30" s="8">
        <v>3.75</v>
      </c>
      <c r="E30" s="12">
        <v>1</v>
      </c>
      <c r="F30" s="8">
        <v>0.9</v>
      </c>
      <c r="G30" s="12">
        <v>8</v>
      </c>
      <c r="H30" s="8">
        <v>7.21</v>
      </c>
      <c r="I30" s="12">
        <v>0</v>
      </c>
    </row>
    <row r="31" spans="2:9" ht="15" customHeight="1" x14ac:dyDescent="0.2">
      <c r="B31" t="s">
        <v>215</v>
      </c>
      <c r="C31" s="12">
        <v>9</v>
      </c>
      <c r="D31" s="8">
        <v>3.75</v>
      </c>
      <c r="E31" s="12">
        <v>3</v>
      </c>
      <c r="F31" s="8">
        <v>2.7</v>
      </c>
      <c r="G31" s="12">
        <v>6</v>
      </c>
      <c r="H31" s="8">
        <v>5.41</v>
      </c>
      <c r="I31" s="12">
        <v>0</v>
      </c>
    </row>
    <row r="32" spans="2:9" ht="15" customHeight="1" x14ac:dyDescent="0.2">
      <c r="B32" t="s">
        <v>222</v>
      </c>
      <c r="C32" s="12">
        <v>9</v>
      </c>
      <c r="D32" s="8">
        <v>3.75</v>
      </c>
      <c r="E32" s="12">
        <v>6</v>
      </c>
      <c r="F32" s="8">
        <v>5.41</v>
      </c>
      <c r="G32" s="12">
        <v>3</v>
      </c>
      <c r="H32" s="8">
        <v>2.7</v>
      </c>
      <c r="I32" s="12">
        <v>0</v>
      </c>
    </row>
    <row r="33" spans="2:9" ht="15" customHeight="1" x14ac:dyDescent="0.2">
      <c r="B33" t="s">
        <v>231</v>
      </c>
      <c r="C33" s="12">
        <v>7</v>
      </c>
      <c r="D33" s="8">
        <v>2.92</v>
      </c>
      <c r="E33" s="12">
        <v>6</v>
      </c>
      <c r="F33" s="8">
        <v>5.41</v>
      </c>
      <c r="G33" s="12">
        <v>1</v>
      </c>
      <c r="H33" s="8">
        <v>0.9</v>
      </c>
      <c r="I33" s="12">
        <v>0</v>
      </c>
    </row>
    <row r="34" spans="2:9" ht="15" customHeight="1" x14ac:dyDescent="0.2">
      <c r="B34" t="s">
        <v>220</v>
      </c>
      <c r="C34" s="12">
        <v>6</v>
      </c>
      <c r="D34" s="8">
        <v>2.5</v>
      </c>
      <c r="E34" s="12">
        <v>2</v>
      </c>
      <c r="F34" s="8">
        <v>1.8</v>
      </c>
      <c r="G34" s="12">
        <v>4</v>
      </c>
      <c r="H34" s="8">
        <v>3.6</v>
      </c>
      <c r="I34" s="12">
        <v>0</v>
      </c>
    </row>
    <row r="35" spans="2:9" ht="15" customHeight="1" x14ac:dyDescent="0.2">
      <c r="B35" t="s">
        <v>229</v>
      </c>
      <c r="C35" s="12">
        <v>5</v>
      </c>
      <c r="D35" s="8">
        <v>2.08</v>
      </c>
      <c r="E35" s="12">
        <v>2</v>
      </c>
      <c r="F35" s="8">
        <v>1.8</v>
      </c>
      <c r="G35" s="12">
        <v>3</v>
      </c>
      <c r="H35" s="8">
        <v>2.7</v>
      </c>
      <c r="I35" s="12">
        <v>0</v>
      </c>
    </row>
    <row r="36" spans="2:9" ht="15" customHeight="1" x14ac:dyDescent="0.2">
      <c r="B36" t="s">
        <v>230</v>
      </c>
      <c r="C36" s="12">
        <v>5</v>
      </c>
      <c r="D36" s="8">
        <v>2.08</v>
      </c>
      <c r="E36" s="12">
        <v>2</v>
      </c>
      <c r="F36" s="8">
        <v>1.8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217</v>
      </c>
      <c r="C37" s="12">
        <v>4</v>
      </c>
      <c r="D37" s="8">
        <v>1.67</v>
      </c>
      <c r="E37" s="12">
        <v>1</v>
      </c>
      <c r="F37" s="8">
        <v>0.9</v>
      </c>
      <c r="G37" s="12">
        <v>2</v>
      </c>
      <c r="H37" s="8">
        <v>1.8</v>
      </c>
      <c r="I37" s="12">
        <v>1</v>
      </c>
    </row>
    <row r="38" spans="2:9" ht="15" customHeight="1" x14ac:dyDescent="0.2">
      <c r="B38" t="s">
        <v>224</v>
      </c>
      <c r="C38" s="12">
        <v>4</v>
      </c>
      <c r="D38" s="8">
        <v>1.67</v>
      </c>
      <c r="E38" s="12">
        <v>2</v>
      </c>
      <c r="F38" s="8">
        <v>1.8</v>
      </c>
      <c r="G38" s="12">
        <v>2</v>
      </c>
      <c r="H38" s="8">
        <v>1.8</v>
      </c>
      <c r="I38" s="12">
        <v>0</v>
      </c>
    </row>
    <row r="39" spans="2:9" ht="15" customHeight="1" x14ac:dyDescent="0.2">
      <c r="B39" t="s">
        <v>239</v>
      </c>
      <c r="C39" s="12">
        <v>3</v>
      </c>
      <c r="D39" s="8">
        <v>1.25</v>
      </c>
      <c r="E39" s="12">
        <v>0</v>
      </c>
      <c r="F39" s="8">
        <v>0</v>
      </c>
      <c r="G39" s="12">
        <v>2</v>
      </c>
      <c r="H39" s="8">
        <v>1.8</v>
      </c>
      <c r="I39" s="12">
        <v>0</v>
      </c>
    </row>
    <row r="40" spans="2:9" ht="15" customHeight="1" x14ac:dyDescent="0.2">
      <c r="B40" t="s">
        <v>249</v>
      </c>
      <c r="C40" s="12">
        <v>3</v>
      </c>
      <c r="D40" s="8">
        <v>1.25</v>
      </c>
      <c r="E40" s="12">
        <v>0</v>
      </c>
      <c r="F40" s="8">
        <v>0</v>
      </c>
      <c r="G40" s="12">
        <v>2</v>
      </c>
      <c r="H40" s="8">
        <v>1.8</v>
      </c>
      <c r="I40" s="12">
        <v>0</v>
      </c>
    </row>
    <row r="41" spans="2:9" ht="15" customHeight="1" x14ac:dyDescent="0.2">
      <c r="B41" t="s">
        <v>241</v>
      </c>
      <c r="C41" s="12">
        <v>2</v>
      </c>
      <c r="D41" s="8">
        <v>0.83</v>
      </c>
      <c r="E41" s="12">
        <v>1</v>
      </c>
      <c r="F41" s="8">
        <v>0.9</v>
      </c>
      <c r="G41" s="12">
        <v>1</v>
      </c>
      <c r="H41" s="8">
        <v>0.9</v>
      </c>
      <c r="I41" s="12">
        <v>0</v>
      </c>
    </row>
    <row r="42" spans="2:9" ht="15" customHeight="1" x14ac:dyDescent="0.2">
      <c r="B42" t="s">
        <v>244</v>
      </c>
      <c r="C42" s="12">
        <v>2</v>
      </c>
      <c r="D42" s="8">
        <v>0.83</v>
      </c>
      <c r="E42" s="12">
        <v>0</v>
      </c>
      <c r="F42" s="8">
        <v>0</v>
      </c>
      <c r="G42" s="12">
        <v>2</v>
      </c>
      <c r="H42" s="8">
        <v>1.8</v>
      </c>
      <c r="I42" s="12">
        <v>0</v>
      </c>
    </row>
    <row r="43" spans="2:9" ht="15" customHeight="1" x14ac:dyDescent="0.2">
      <c r="B43" t="s">
        <v>252</v>
      </c>
      <c r="C43" s="12">
        <v>2</v>
      </c>
      <c r="D43" s="8">
        <v>0.83</v>
      </c>
      <c r="E43" s="12">
        <v>0</v>
      </c>
      <c r="F43" s="8">
        <v>0</v>
      </c>
      <c r="G43" s="12">
        <v>2</v>
      </c>
      <c r="H43" s="8">
        <v>1.8</v>
      </c>
      <c r="I43" s="12">
        <v>0</v>
      </c>
    </row>
    <row r="44" spans="2:9" ht="15" customHeight="1" x14ac:dyDescent="0.2">
      <c r="B44" t="s">
        <v>253</v>
      </c>
      <c r="C44" s="12">
        <v>2</v>
      </c>
      <c r="D44" s="8">
        <v>0.83</v>
      </c>
      <c r="E44" s="12">
        <v>0</v>
      </c>
      <c r="F44" s="8">
        <v>0</v>
      </c>
      <c r="G44" s="12">
        <v>2</v>
      </c>
      <c r="H44" s="8">
        <v>1.8</v>
      </c>
      <c r="I44" s="12">
        <v>0</v>
      </c>
    </row>
    <row r="45" spans="2:9" ht="15" customHeight="1" x14ac:dyDescent="0.2">
      <c r="B45" t="s">
        <v>218</v>
      </c>
      <c r="C45" s="12">
        <v>2</v>
      </c>
      <c r="D45" s="8">
        <v>0.83</v>
      </c>
      <c r="E45" s="12">
        <v>1</v>
      </c>
      <c r="F45" s="8">
        <v>0.9</v>
      </c>
      <c r="G45" s="12">
        <v>1</v>
      </c>
      <c r="H45" s="8">
        <v>0.9</v>
      </c>
      <c r="I45" s="12">
        <v>0</v>
      </c>
    </row>
    <row r="46" spans="2:9" ht="15" customHeight="1" x14ac:dyDescent="0.2">
      <c r="B46" t="s">
        <v>226</v>
      </c>
      <c r="C46" s="12">
        <v>2</v>
      </c>
      <c r="D46" s="8">
        <v>0.83</v>
      </c>
      <c r="E46" s="12">
        <v>0</v>
      </c>
      <c r="F46" s="8">
        <v>0</v>
      </c>
      <c r="G46" s="12">
        <v>2</v>
      </c>
      <c r="H46" s="8">
        <v>1.8</v>
      </c>
      <c r="I46" s="12">
        <v>0</v>
      </c>
    </row>
    <row r="47" spans="2:9" ht="15" customHeight="1" x14ac:dyDescent="0.2">
      <c r="B47" t="s">
        <v>240</v>
      </c>
      <c r="C47" s="12">
        <v>2</v>
      </c>
      <c r="D47" s="8">
        <v>0.83</v>
      </c>
      <c r="E47" s="12">
        <v>1</v>
      </c>
      <c r="F47" s="8">
        <v>0.9</v>
      </c>
      <c r="G47" s="12">
        <v>1</v>
      </c>
      <c r="H47" s="8">
        <v>0.9</v>
      </c>
      <c r="I47" s="12">
        <v>0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303</v>
      </c>
      <c r="C51" s="12">
        <v>17</v>
      </c>
      <c r="D51" s="8">
        <v>7.08</v>
      </c>
      <c r="E51" s="12">
        <v>16</v>
      </c>
      <c r="F51" s="8">
        <v>14.41</v>
      </c>
      <c r="G51" s="12">
        <v>1</v>
      </c>
      <c r="H51" s="8">
        <v>0.9</v>
      </c>
      <c r="I51" s="12">
        <v>0</v>
      </c>
    </row>
    <row r="52" spans="2:9" ht="15" customHeight="1" x14ac:dyDescent="0.2">
      <c r="B52" t="s">
        <v>304</v>
      </c>
      <c r="C52" s="12">
        <v>16</v>
      </c>
      <c r="D52" s="8">
        <v>6.67</v>
      </c>
      <c r="E52" s="12">
        <v>16</v>
      </c>
      <c r="F52" s="8">
        <v>14.41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301</v>
      </c>
      <c r="C53" s="12">
        <v>10</v>
      </c>
      <c r="D53" s="8">
        <v>4.17</v>
      </c>
      <c r="E53" s="12">
        <v>9</v>
      </c>
      <c r="F53" s="8">
        <v>8.11</v>
      </c>
      <c r="G53" s="12">
        <v>1</v>
      </c>
      <c r="H53" s="8">
        <v>0.9</v>
      </c>
      <c r="I53" s="12">
        <v>0</v>
      </c>
    </row>
    <row r="54" spans="2:9" ht="15" customHeight="1" x14ac:dyDescent="0.2">
      <c r="B54" t="s">
        <v>292</v>
      </c>
      <c r="C54" s="12">
        <v>8</v>
      </c>
      <c r="D54" s="8">
        <v>3.33</v>
      </c>
      <c r="E54" s="12">
        <v>0</v>
      </c>
      <c r="F54" s="8">
        <v>0</v>
      </c>
      <c r="G54" s="12">
        <v>7</v>
      </c>
      <c r="H54" s="8">
        <v>6.31</v>
      </c>
      <c r="I54" s="12">
        <v>1</v>
      </c>
    </row>
    <row r="55" spans="2:9" ht="15" customHeight="1" x14ac:dyDescent="0.2">
      <c r="B55" t="s">
        <v>294</v>
      </c>
      <c r="C55" s="12">
        <v>8</v>
      </c>
      <c r="D55" s="8">
        <v>3.33</v>
      </c>
      <c r="E55" s="12">
        <v>4</v>
      </c>
      <c r="F55" s="8">
        <v>3.6</v>
      </c>
      <c r="G55" s="12">
        <v>4</v>
      </c>
      <c r="H55" s="8">
        <v>3.6</v>
      </c>
      <c r="I55" s="12">
        <v>0</v>
      </c>
    </row>
    <row r="56" spans="2:9" ht="15" customHeight="1" x14ac:dyDescent="0.2">
      <c r="B56" t="s">
        <v>330</v>
      </c>
      <c r="C56" s="12">
        <v>8</v>
      </c>
      <c r="D56" s="8">
        <v>3.33</v>
      </c>
      <c r="E56" s="12">
        <v>0</v>
      </c>
      <c r="F56" s="8">
        <v>0</v>
      </c>
      <c r="G56" s="12">
        <v>8</v>
      </c>
      <c r="H56" s="8">
        <v>7.21</v>
      </c>
      <c r="I56" s="12">
        <v>0</v>
      </c>
    </row>
    <row r="57" spans="2:9" ht="15" customHeight="1" x14ac:dyDescent="0.2">
      <c r="B57" t="s">
        <v>333</v>
      </c>
      <c r="C57" s="12">
        <v>6</v>
      </c>
      <c r="D57" s="8">
        <v>2.5</v>
      </c>
      <c r="E57" s="12">
        <v>3</v>
      </c>
      <c r="F57" s="8">
        <v>2.7</v>
      </c>
      <c r="G57" s="12">
        <v>3</v>
      </c>
      <c r="H57" s="8">
        <v>2.7</v>
      </c>
      <c r="I57" s="12">
        <v>0</v>
      </c>
    </row>
    <row r="58" spans="2:9" ht="15" customHeight="1" x14ac:dyDescent="0.2">
      <c r="B58" t="s">
        <v>341</v>
      </c>
      <c r="C58" s="12">
        <v>6</v>
      </c>
      <c r="D58" s="8">
        <v>2.5</v>
      </c>
      <c r="E58" s="12">
        <v>0</v>
      </c>
      <c r="F58" s="8">
        <v>0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331</v>
      </c>
      <c r="C59" s="12">
        <v>6</v>
      </c>
      <c r="D59" s="8">
        <v>2.5</v>
      </c>
      <c r="E59" s="12">
        <v>0</v>
      </c>
      <c r="F59" s="8">
        <v>0</v>
      </c>
      <c r="G59" s="12">
        <v>2</v>
      </c>
      <c r="H59" s="8">
        <v>1.8</v>
      </c>
      <c r="I59" s="12">
        <v>0</v>
      </c>
    </row>
    <row r="60" spans="2:9" ht="15" customHeight="1" x14ac:dyDescent="0.2">
      <c r="B60" t="s">
        <v>288</v>
      </c>
      <c r="C60" s="12">
        <v>5</v>
      </c>
      <c r="D60" s="8">
        <v>2.08</v>
      </c>
      <c r="E60" s="12">
        <v>0</v>
      </c>
      <c r="F60" s="8">
        <v>0</v>
      </c>
      <c r="G60" s="12">
        <v>5</v>
      </c>
      <c r="H60" s="8">
        <v>4.5</v>
      </c>
      <c r="I60" s="12">
        <v>0</v>
      </c>
    </row>
    <row r="61" spans="2:9" ht="15" customHeight="1" x14ac:dyDescent="0.2">
      <c r="B61" t="s">
        <v>335</v>
      </c>
      <c r="C61" s="12">
        <v>5</v>
      </c>
      <c r="D61" s="8">
        <v>2.08</v>
      </c>
      <c r="E61" s="12">
        <v>4</v>
      </c>
      <c r="F61" s="8">
        <v>3.6</v>
      </c>
      <c r="G61" s="12">
        <v>1</v>
      </c>
      <c r="H61" s="8">
        <v>0.9</v>
      </c>
      <c r="I61" s="12">
        <v>0</v>
      </c>
    </row>
    <row r="62" spans="2:9" ht="15" customHeight="1" x14ac:dyDescent="0.2">
      <c r="B62" t="s">
        <v>295</v>
      </c>
      <c r="C62" s="12">
        <v>5</v>
      </c>
      <c r="D62" s="8">
        <v>2.08</v>
      </c>
      <c r="E62" s="12">
        <v>2</v>
      </c>
      <c r="F62" s="8">
        <v>1.8</v>
      </c>
      <c r="G62" s="12">
        <v>3</v>
      </c>
      <c r="H62" s="8">
        <v>2.7</v>
      </c>
      <c r="I62" s="12">
        <v>0</v>
      </c>
    </row>
    <row r="63" spans="2:9" ht="15" customHeight="1" x14ac:dyDescent="0.2">
      <c r="B63" t="s">
        <v>334</v>
      </c>
      <c r="C63" s="12">
        <v>5</v>
      </c>
      <c r="D63" s="8">
        <v>2.08</v>
      </c>
      <c r="E63" s="12">
        <v>4</v>
      </c>
      <c r="F63" s="8">
        <v>3.6</v>
      </c>
      <c r="G63" s="12">
        <v>1</v>
      </c>
      <c r="H63" s="8">
        <v>0.9</v>
      </c>
      <c r="I63" s="12">
        <v>0</v>
      </c>
    </row>
    <row r="64" spans="2:9" ht="15" customHeight="1" x14ac:dyDescent="0.2">
      <c r="B64" t="s">
        <v>299</v>
      </c>
      <c r="C64" s="12">
        <v>5</v>
      </c>
      <c r="D64" s="8">
        <v>2.08</v>
      </c>
      <c r="E64" s="12">
        <v>3</v>
      </c>
      <c r="F64" s="8">
        <v>2.7</v>
      </c>
      <c r="G64" s="12">
        <v>2</v>
      </c>
      <c r="H64" s="8">
        <v>1.8</v>
      </c>
      <c r="I64" s="12">
        <v>0</v>
      </c>
    </row>
    <row r="65" spans="2:9" ht="15" customHeight="1" x14ac:dyDescent="0.2">
      <c r="B65" t="s">
        <v>349</v>
      </c>
      <c r="C65" s="12">
        <v>5</v>
      </c>
      <c r="D65" s="8">
        <v>2.08</v>
      </c>
      <c r="E65" s="12">
        <v>4</v>
      </c>
      <c r="F65" s="8">
        <v>3.6</v>
      </c>
      <c r="G65" s="12">
        <v>1</v>
      </c>
      <c r="H65" s="8">
        <v>0.9</v>
      </c>
      <c r="I65" s="12">
        <v>0</v>
      </c>
    </row>
    <row r="66" spans="2:9" ht="15" customHeight="1" x14ac:dyDescent="0.2">
      <c r="B66" t="s">
        <v>300</v>
      </c>
      <c r="C66" s="12">
        <v>5</v>
      </c>
      <c r="D66" s="8">
        <v>2.08</v>
      </c>
      <c r="E66" s="12">
        <v>5</v>
      </c>
      <c r="F66" s="8">
        <v>4.5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290</v>
      </c>
      <c r="C67" s="12">
        <v>4</v>
      </c>
      <c r="D67" s="8">
        <v>1.67</v>
      </c>
      <c r="E67" s="12">
        <v>0</v>
      </c>
      <c r="F67" s="8">
        <v>0</v>
      </c>
      <c r="G67" s="12">
        <v>4</v>
      </c>
      <c r="H67" s="8">
        <v>3.6</v>
      </c>
      <c r="I67" s="12">
        <v>0</v>
      </c>
    </row>
    <row r="68" spans="2:9" ht="15" customHeight="1" x14ac:dyDescent="0.2">
      <c r="B68" t="s">
        <v>314</v>
      </c>
      <c r="C68" s="12">
        <v>4</v>
      </c>
      <c r="D68" s="8">
        <v>1.67</v>
      </c>
      <c r="E68" s="12">
        <v>1</v>
      </c>
      <c r="F68" s="8">
        <v>0.9</v>
      </c>
      <c r="G68" s="12">
        <v>3</v>
      </c>
      <c r="H68" s="8">
        <v>2.7</v>
      </c>
      <c r="I68" s="12">
        <v>0</v>
      </c>
    </row>
    <row r="69" spans="2:9" ht="15" customHeight="1" x14ac:dyDescent="0.2">
      <c r="B69" t="s">
        <v>329</v>
      </c>
      <c r="C69" s="12">
        <v>4</v>
      </c>
      <c r="D69" s="8">
        <v>1.67</v>
      </c>
      <c r="E69" s="12">
        <v>2</v>
      </c>
      <c r="F69" s="8">
        <v>1.8</v>
      </c>
      <c r="G69" s="12">
        <v>2</v>
      </c>
      <c r="H69" s="8">
        <v>1.8</v>
      </c>
      <c r="I69" s="12">
        <v>0</v>
      </c>
    </row>
    <row r="70" spans="2:9" ht="15" customHeight="1" x14ac:dyDescent="0.2">
      <c r="B70" t="s">
        <v>297</v>
      </c>
      <c r="C70" s="12">
        <v>4</v>
      </c>
      <c r="D70" s="8">
        <v>1.67</v>
      </c>
      <c r="E70" s="12">
        <v>2</v>
      </c>
      <c r="F70" s="8">
        <v>1.8</v>
      </c>
      <c r="G70" s="12">
        <v>2</v>
      </c>
      <c r="H70" s="8">
        <v>1.8</v>
      </c>
      <c r="I70" s="12">
        <v>0</v>
      </c>
    </row>
    <row r="71" spans="2:9" ht="15" customHeight="1" x14ac:dyDescent="0.2">
      <c r="B71" t="s">
        <v>306</v>
      </c>
      <c r="C71" s="12">
        <v>4</v>
      </c>
      <c r="D71" s="8">
        <v>1.67</v>
      </c>
      <c r="E71" s="12">
        <v>4</v>
      </c>
      <c r="F71" s="8">
        <v>3.6</v>
      </c>
      <c r="G71" s="12">
        <v>0</v>
      </c>
      <c r="H71" s="8">
        <v>0</v>
      </c>
      <c r="I71" s="12">
        <v>0</v>
      </c>
    </row>
    <row r="73" spans="2:9" ht="15" customHeight="1" x14ac:dyDescent="0.2">
      <c r="B7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4F066-0409-43BB-9082-4F3C869BA765}">
  <sheetPr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86</v>
      </c>
      <c r="D6" s="8">
        <v>10.94</v>
      </c>
      <c r="E6" s="12">
        <v>40</v>
      </c>
      <c r="F6" s="8">
        <v>8.9499999999999993</v>
      </c>
      <c r="G6" s="12">
        <v>46</v>
      </c>
      <c r="H6" s="8">
        <v>14.6</v>
      </c>
      <c r="I6" s="12">
        <v>0</v>
      </c>
    </row>
    <row r="7" spans="2:9" ht="15" customHeight="1" x14ac:dyDescent="0.2">
      <c r="B7" t="s">
        <v>192</v>
      </c>
      <c r="C7" s="12">
        <v>47</v>
      </c>
      <c r="D7" s="8">
        <v>5.98</v>
      </c>
      <c r="E7" s="12">
        <v>16</v>
      </c>
      <c r="F7" s="8">
        <v>3.58</v>
      </c>
      <c r="G7" s="12">
        <v>31</v>
      </c>
      <c r="H7" s="8">
        <v>9.84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0.13</v>
      </c>
      <c r="E8" s="12">
        <v>0</v>
      </c>
      <c r="F8" s="8">
        <v>0</v>
      </c>
      <c r="G8" s="12">
        <v>1</v>
      </c>
      <c r="H8" s="8">
        <v>0.32</v>
      </c>
      <c r="I8" s="12">
        <v>0</v>
      </c>
    </row>
    <row r="9" spans="2:9" ht="15" customHeight="1" x14ac:dyDescent="0.2">
      <c r="B9" t="s">
        <v>194</v>
      </c>
      <c r="C9" s="12">
        <v>6</v>
      </c>
      <c r="D9" s="8">
        <v>0.76</v>
      </c>
      <c r="E9" s="12">
        <v>1</v>
      </c>
      <c r="F9" s="8">
        <v>0.22</v>
      </c>
      <c r="G9" s="12">
        <v>5</v>
      </c>
      <c r="H9" s="8">
        <v>1.59</v>
      </c>
      <c r="I9" s="12">
        <v>0</v>
      </c>
    </row>
    <row r="10" spans="2:9" ht="15" customHeight="1" x14ac:dyDescent="0.2">
      <c r="B10" t="s">
        <v>195</v>
      </c>
      <c r="C10" s="12">
        <v>16</v>
      </c>
      <c r="D10" s="8">
        <v>2.04</v>
      </c>
      <c r="E10" s="12">
        <v>3</v>
      </c>
      <c r="F10" s="8">
        <v>0.67</v>
      </c>
      <c r="G10" s="12">
        <v>13</v>
      </c>
      <c r="H10" s="8">
        <v>4.13</v>
      </c>
      <c r="I10" s="12">
        <v>0</v>
      </c>
    </row>
    <row r="11" spans="2:9" ht="15" customHeight="1" x14ac:dyDescent="0.2">
      <c r="B11" t="s">
        <v>196</v>
      </c>
      <c r="C11" s="12">
        <v>183</v>
      </c>
      <c r="D11" s="8">
        <v>23.28</v>
      </c>
      <c r="E11" s="12">
        <v>67</v>
      </c>
      <c r="F11" s="8">
        <v>14.99</v>
      </c>
      <c r="G11" s="12">
        <v>116</v>
      </c>
      <c r="H11" s="8">
        <v>36.83</v>
      </c>
      <c r="I11" s="12">
        <v>0</v>
      </c>
    </row>
    <row r="12" spans="2:9" ht="15" customHeight="1" x14ac:dyDescent="0.2">
      <c r="B12" t="s">
        <v>197</v>
      </c>
      <c r="C12" s="12">
        <v>15</v>
      </c>
      <c r="D12" s="8">
        <v>1.91</v>
      </c>
      <c r="E12" s="12">
        <v>1</v>
      </c>
      <c r="F12" s="8">
        <v>0.22</v>
      </c>
      <c r="G12" s="12">
        <v>14</v>
      </c>
      <c r="H12" s="8">
        <v>4.4400000000000004</v>
      </c>
      <c r="I12" s="12">
        <v>0</v>
      </c>
    </row>
    <row r="13" spans="2:9" ht="15" customHeight="1" x14ac:dyDescent="0.2">
      <c r="B13" t="s">
        <v>198</v>
      </c>
      <c r="C13" s="12">
        <v>73</v>
      </c>
      <c r="D13" s="8">
        <v>9.2899999999999991</v>
      </c>
      <c r="E13" s="12">
        <v>48</v>
      </c>
      <c r="F13" s="8">
        <v>10.74</v>
      </c>
      <c r="G13" s="12">
        <v>25</v>
      </c>
      <c r="H13" s="8">
        <v>7.94</v>
      </c>
      <c r="I13" s="12">
        <v>0</v>
      </c>
    </row>
    <row r="14" spans="2:9" ht="15" customHeight="1" x14ac:dyDescent="0.2">
      <c r="B14" t="s">
        <v>199</v>
      </c>
      <c r="C14" s="12">
        <v>28</v>
      </c>
      <c r="D14" s="8">
        <v>3.56</v>
      </c>
      <c r="E14" s="12">
        <v>18</v>
      </c>
      <c r="F14" s="8">
        <v>4.03</v>
      </c>
      <c r="G14" s="12">
        <v>6</v>
      </c>
      <c r="H14" s="8">
        <v>1.9</v>
      </c>
      <c r="I14" s="12">
        <v>3</v>
      </c>
    </row>
    <row r="15" spans="2:9" ht="15" customHeight="1" x14ac:dyDescent="0.2">
      <c r="B15" t="s">
        <v>200</v>
      </c>
      <c r="C15" s="12">
        <v>153</v>
      </c>
      <c r="D15" s="8">
        <v>19.47</v>
      </c>
      <c r="E15" s="12">
        <v>123</v>
      </c>
      <c r="F15" s="8">
        <v>27.52</v>
      </c>
      <c r="G15" s="12">
        <v>29</v>
      </c>
      <c r="H15" s="8">
        <v>9.2100000000000009</v>
      </c>
      <c r="I15" s="12">
        <v>0</v>
      </c>
    </row>
    <row r="16" spans="2:9" ht="15" customHeight="1" x14ac:dyDescent="0.2">
      <c r="B16" t="s">
        <v>201</v>
      </c>
      <c r="C16" s="12">
        <v>100</v>
      </c>
      <c r="D16" s="8">
        <v>12.72</v>
      </c>
      <c r="E16" s="12">
        <v>88</v>
      </c>
      <c r="F16" s="8">
        <v>19.690000000000001</v>
      </c>
      <c r="G16" s="12">
        <v>12</v>
      </c>
      <c r="H16" s="8">
        <v>3.81</v>
      </c>
      <c r="I16" s="12">
        <v>0</v>
      </c>
    </row>
    <row r="17" spans="2:9" ht="15" customHeight="1" x14ac:dyDescent="0.2">
      <c r="B17" t="s">
        <v>202</v>
      </c>
      <c r="C17" s="12">
        <v>15</v>
      </c>
      <c r="D17" s="8">
        <v>1.91</v>
      </c>
      <c r="E17" s="12">
        <v>12</v>
      </c>
      <c r="F17" s="8">
        <v>2.68</v>
      </c>
      <c r="G17" s="12">
        <v>2</v>
      </c>
      <c r="H17" s="8">
        <v>0.63</v>
      </c>
      <c r="I17" s="12">
        <v>0</v>
      </c>
    </row>
    <row r="18" spans="2:9" ht="15" customHeight="1" x14ac:dyDescent="0.2">
      <c r="B18" t="s">
        <v>203</v>
      </c>
      <c r="C18" s="12">
        <v>33</v>
      </c>
      <c r="D18" s="8">
        <v>4.2</v>
      </c>
      <c r="E18" s="12">
        <v>14</v>
      </c>
      <c r="F18" s="8">
        <v>3.13</v>
      </c>
      <c r="G18" s="12">
        <v>4</v>
      </c>
      <c r="H18" s="8">
        <v>1.27</v>
      </c>
      <c r="I18" s="12">
        <v>0</v>
      </c>
    </row>
    <row r="19" spans="2:9" ht="15" customHeight="1" x14ac:dyDescent="0.2">
      <c r="B19" t="s">
        <v>204</v>
      </c>
      <c r="C19" s="12">
        <v>30</v>
      </c>
      <c r="D19" s="8">
        <v>3.82</v>
      </c>
      <c r="E19" s="12">
        <v>16</v>
      </c>
      <c r="F19" s="8">
        <v>3.58</v>
      </c>
      <c r="G19" s="12">
        <v>11</v>
      </c>
      <c r="H19" s="8">
        <v>3.49</v>
      </c>
      <c r="I19" s="12">
        <v>1</v>
      </c>
    </row>
    <row r="20" spans="2:9" ht="15" customHeight="1" x14ac:dyDescent="0.2">
      <c r="B20" s="9" t="s">
        <v>529</v>
      </c>
      <c r="C20" s="12">
        <f>SUM(LTBL_01219[総数／事業所数])</f>
        <v>786</v>
      </c>
      <c r="E20" s="12">
        <f>SUBTOTAL(109,LTBL_01219[個人／事業所数])</f>
        <v>447</v>
      </c>
      <c r="G20" s="12">
        <f>SUBTOTAL(109,LTBL_01219[法人／事業所数])</f>
        <v>315</v>
      </c>
      <c r="I20" s="12">
        <f>SUBTOTAL(109,LTBL_01219[法人以外の団体／事業所数])</f>
        <v>4</v>
      </c>
    </row>
    <row r="21" spans="2:9" ht="15" customHeight="1" x14ac:dyDescent="0.2">
      <c r="E21" s="11">
        <f>LTBL_01219[[#Totals],[個人／事業所数]]/LTBL_01219[[#Totals],[総数／事業所数]]</f>
        <v>0.56870229007633588</v>
      </c>
      <c r="G21" s="11">
        <f>LTBL_01219[[#Totals],[法人／事業所数]]/LTBL_01219[[#Totals],[総数／事業所数]]</f>
        <v>0.40076335877862596</v>
      </c>
      <c r="I21" s="11">
        <f>LTBL_01219[[#Totals],[法人以外の団体／事業所数]]/LTBL_01219[[#Totals],[総数／事業所数]]</f>
        <v>5.0890585241730284E-3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133</v>
      </c>
      <c r="D24" s="8">
        <v>16.920000000000002</v>
      </c>
      <c r="E24" s="12">
        <v>117</v>
      </c>
      <c r="F24" s="8">
        <v>26.17</v>
      </c>
      <c r="G24" s="12">
        <v>16</v>
      </c>
      <c r="H24" s="8">
        <v>5.08</v>
      </c>
      <c r="I24" s="12">
        <v>0</v>
      </c>
    </row>
    <row r="25" spans="2:9" ht="15" customHeight="1" x14ac:dyDescent="0.2">
      <c r="B25" t="s">
        <v>228</v>
      </c>
      <c r="C25" s="12">
        <v>88</v>
      </c>
      <c r="D25" s="8">
        <v>11.2</v>
      </c>
      <c r="E25" s="12">
        <v>79</v>
      </c>
      <c r="F25" s="8">
        <v>17.670000000000002</v>
      </c>
      <c r="G25" s="12">
        <v>9</v>
      </c>
      <c r="H25" s="8">
        <v>2.86</v>
      </c>
      <c r="I25" s="12">
        <v>0</v>
      </c>
    </row>
    <row r="26" spans="2:9" ht="15" customHeight="1" x14ac:dyDescent="0.2">
      <c r="B26" t="s">
        <v>224</v>
      </c>
      <c r="C26" s="12">
        <v>63</v>
      </c>
      <c r="D26" s="8">
        <v>8.02</v>
      </c>
      <c r="E26" s="12">
        <v>43</v>
      </c>
      <c r="F26" s="8">
        <v>9.6199999999999992</v>
      </c>
      <c r="G26" s="12">
        <v>20</v>
      </c>
      <c r="H26" s="8">
        <v>6.35</v>
      </c>
      <c r="I26" s="12">
        <v>0</v>
      </c>
    </row>
    <row r="27" spans="2:9" ht="15" customHeight="1" x14ac:dyDescent="0.2">
      <c r="B27" t="s">
        <v>223</v>
      </c>
      <c r="C27" s="12">
        <v>46</v>
      </c>
      <c r="D27" s="8">
        <v>5.85</v>
      </c>
      <c r="E27" s="12">
        <v>18</v>
      </c>
      <c r="F27" s="8">
        <v>4.03</v>
      </c>
      <c r="G27" s="12">
        <v>28</v>
      </c>
      <c r="H27" s="8">
        <v>8.89</v>
      </c>
      <c r="I27" s="12">
        <v>0</v>
      </c>
    </row>
    <row r="28" spans="2:9" ht="15" customHeight="1" x14ac:dyDescent="0.2">
      <c r="B28" t="s">
        <v>213</v>
      </c>
      <c r="C28" s="12">
        <v>38</v>
      </c>
      <c r="D28" s="8">
        <v>4.83</v>
      </c>
      <c r="E28" s="12">
        <v>12</v>
      </c>
      <c r="F28" s="8">
        <v>2.68</v>
      </c>
      <c r="G28" s="12">
        <v>26</v>
      </c>
      <c r="H28" s="8">
        <v>8.25</v>
      </c>
      <c r="I28" s="12">
        <v>0</v>
      </c>
    </row>
    <row r="29" spans="2:9" ht="15" customHeight="1" x14ac:dyDescent="0.2">
      <c r="B29" t="s">
        <v>221</v>
      </c>
      <c r="C29" s="12">
        <v>33</v>
      </c>
      <c r="D29" s="8">
        <v>4.2</v>
      </c>
      <c r="E29" s="12">
        <v>16</v>
      </c>
      <c r="F29" s="8">
        <v>3.58</v>
      </c>
      <c r="G29" s="12">
        <v>17</v>
      </c>
      <c r="H29" s="8">
        <v>5.4</v>
      </c>
      <c r="I29" s="12">
        <v>0</v>
      </c>
    </row>
    <row r="30" spans="2:9" ht="15" customHeight="1" x14ac:dyDescent="0.2">
      <c r="B30" t="s">
        <v>214</v>
      </c>
      <c r="C30" s="12">
        <v>29</v>
      </c>
      <c r="D30" s="8">
        <v>3.69</v>
      </c>
      <c r="E30" s="12">
        <v>22</v>
      </c>
      <c r="F30" s="8">
        <v>4.92</v>
      </c>
      <c r="G30" s="12">
        <v>7</v>
      </c>
      <c r="H30" s="8">
        <v>2.2200000000000002</v>
      </c>
      <c r="I30" s="12">
        <v>0</v>
      </c>
    </row>
    <row r="31" spans="2:9" ht="15" customHeight="1" x14ac:dyDescent="0.2">
      <c r="B31" t="s">
        <v>222</v>
      </c>
      <c r="C31" s="12">
        <v>24</v>
      </c>
      <c r="D31" s="8">
        <v>3.05</v>
      </c>
      <c r="E31" s="12">
        <v>15</v>
      </c>
      <c r="F31" s="8">
        <v>3.36</v>
      </c>
      <c r="G31" s="12">
        <v>9</v>
      </c>
      <c r="H31" s="8">
        <v>2.86</v>
      </c>
      <c r="I31" s="12">
        <v>0</v>
      </c>
    </row>
    <row r="32" spans="2:9" ht="15" customHeight="1" x14ac:dyDescent="0.2">
      <c r="B32" t="s">
        <v>215</v>
      </c>
      <c r="C32" s="12">
        <v>19</v>
      </c>
      <c r="D32" s="8">
        <v>2.42</v>
      </c>
      <c r="E32" s="12">
        <v>6</v>
      </c>
      <c r="F32" s="8">
        <v>1.34</v>
      </c>
      <c r="G32" s="12">
        <v>13</v>
      </c>
      <c r="H32" s="8">
        <v>4.13</v>
      </c>
      <c r="I32" s="12">
        <v>0</v>
      </c>
    </row>
    <row r="33" spans="2:9" ht="15" customHeight="1" x14ac:dyDescent="0.2">
      <c r="B33" t="s">
        <v>225</v>
      </c>
      <c r="C33" s="12">
        <v>18</v>
      </c>
      <c r="D33" s="8">
        <v>2.29</v>
      </c>
      <c r="E33" s="12">
        <v>14</v>
      </c>
      <c r="F33" s="8">
        <v>3.13</v>
      </c>
      <c r="G33" s="12">
        <v>3</v>
      </c>
      <c r="H33" s="8">
        <v>0.95</v>
      </c>
      <c r="I33" s="12">
        <v>1</v>
      </c>
    </row>
    <row r="34" spans="2:9" ht="15" customHeight="1" x14ac:dyDescent="0.2">
      <c r="B34" t="s">
        <v>216</v>
      </c>
      <c r="C34" s="12">
        <v>17</v>
      </c>
      <c r="D34" s="8">
        <v>2.16</v>
      </c>
      <c r="E34" s="12">
        <v>2</v>
      </c>
      <c r="F34" s="8">
        <v>0.45</v>
      </c>
      <c r="G34" s="12">
        <v>15</v>
      </c>
      <c r="H34" s="8">
        <v>4.76</v>
      </c>
      <c r="I34" s="12">
        <v>0</v>
      </c>
    </row>
    <row r="35" spans="2:9" ht="15" customHeight="1" x14ac:dyDescent="0.2">
      <c r="B35" t="s">
        <v>217</v>
      </c>
      <c r="C35" s="12">
        <v>17</v>
      </c>
      <c r="D35" s="8">
        <v>2.16</v>
      </c>
      <c r="E35" s="12">
        <v>3</v>
      </c>
      <c r="F35" s="8">
        <v>0.67</v>
      </c>
      <c r="G35" s="12">
        <v>14</v>
      </c>
      <c r="H35" s="8">
        <v>4.4400000000000004</v>
      </c>
      <c r="I35" s="12">
        <v>0</v>
      </c>
    </row>
    <row r="36" spans="2:9" ht="15" customHeight="1" x14ac:dyDescent="0.2">
      <c r="B36" t="s">
        <v>231</v>
      </c>
      <c r="C36" s="12">
        <v>17</v>
      </c>
      <c r="D36" s="8">
        <v>2.16</v>
      </c>
      <c r="E36" s="12">
        <v>14</v>
      </c>
      <c r="F36" s="8">
        <v>3.13</v>
      </c>
      <c r="G36" s="12">
        <v>3</v>
      </c>
      <c r="H36" s="8">
        <v>0.95</v>
      </c>
      <c r="I36" s="12">
        <v>0</v>
      </c>
    </row>
    <row r="37" spans="2:9" ht="15" customHeight="1" x14ac:dyDescent="0.2">
      <c r="B37" t="s">
        <v>219</v>
      </c>
      <c r="C37" s="12">
        <v>16</v>
      </c>
      <c r="D37" s="8">
        <v>2.04</v>
      </c>
      <c r="E37" s="12">
        <v>1</v>
      </c>
      <c r="F37" s="8">
        <v>0.22</v>
      </c>
      <c r="G37" s="12">
        <v>15</v>
      </c>
      <c r="H37" s="8">
        <v>4.76</v>
      </c>
      <c r="I37" s="12">
        <v>0</v>
      </c>
    </row>
    <row r="38" spans="2:9" ht="15" customHeight="1" x14ac:dyDescent="0.2">
      <c r="B38" t="s">
        <v>232</v>
      </c>
      <c r="C38" s="12">
        <v>16</v>
      </c>
      <c r="D38" s="8">
        <v>2.04</v>
      </c>
      <c r="E38" s="12">
        <v>0</v>
      </c>
      <c r="F38" s="8">
        <v>0</v>
      </c>
      <c r="G38" s="12">
        <v>1</v>
      </c>
      <c r="H38" s="8">
        <v>0.32</v>
      </c>
      <c r="I38" s="12">
        <v>0</v>
      </c>
    </row>
    <row r="39" spans="2:9" ht="15" customHeight="1" x14ac:dyDescent="0.2">
      <c r="B39" t="s">
        <v>237</v>
      </c>
      <c r="C39" s="12">
        <v>15</v>
      </c>
      <c r="D39" s="8">
        <v>1.91</v>
      </c>
      <c r="E39" s="12">
        <v>1</v>
      </c>
      <c r="F39" s="8">
        <v>0.22</v>
      </c>
      <c r="G39" s="12">
        <v>14</v>
      </c>
      <c r="H39" s="8">
        <v>4.4400000000000004</v>
      </c>
      <c r="I39" s="12">
        <v>0</v>
      </c>
    </row>
    <row r="40" spans="2:9" ht="15" customHeight="1" x14ac:dyDescent="0.2">
      <c r="B40" t="s">
        <v>230</v>
      </c>
      <c r="C40" s="12">
        <v>15</v>
      </c>
      <c r="D40" s="8">
        <v>1.91</v>
      </c>
      <c r="E40" s="12">
        <v>12</v>
      </c>
      <c r="F40" s="8">
        <v>2.68</v>
      </c>
      <c r="G40" s="12">
        <v>2</v>
      </c>
      <c r="H40" s="8">
        <v>0.63</v>
      </c>
      <c r="I40" s="12">
        <v>0</v>
      </c>
    </row>
    <row r="41" spans="2:9" ht="15" customHeight="1" x14ac:dyDescent="0.2">
      <c r="B41" t="s">
        <v>240</v>
      </c>
      <c r="C41" s="12">
        <v>13</v>
      </c>
      <c r="D41" s="8">
        <v>1.65</v>
      </c>
      <c r="E41" s="12">
        <v>11</v>
      </c>
      <c r="F41" s="8">
        <v>2.46</v>
      </c>
      <c r="G41" s="12">
        <v>2</v>
      </c>
      <c r="H41" s="8">
        <v>0.63</v>
      </c>
      <c r="I41" s="12">
        <v>0</v>
      </c>
    </row>
    <row r="42" spans="2:9" ht="15" customHeight="1" x14ac:dyDescent="0.2">
      <c r="B42" t="s">
        <v>241</v>
      </c>
      <c r="C42" s="12">
        <v>12</v>
      </c>
      <c r="D42" s="8">
        <v>1.53</v>
      </c>
      <c r="E42" s="12">
        <v>5</v>
      </c>
      <c r="F42" s="8">
        <v>1.1200000000000001</v>
      </c>
      <c r="G42" s="12">
        <v>7</v>
      </c>
      <c r="H42" s="8">
        <v>2.2200000000000002</v>
      </c>
      <c r="I42" s="12">
        <v>0</v>
      </c>
    </row>
    <row r="43" spans="2:9" ht="15" customHeight="1" x14ac:dyDescent="0.2">
      <c r="B43" t="s">
        <v>218</v>
      </c>
      <c r="C43" s="12">
        <v>11</v>
      </c>
      <c r="D43" s="8">
        <v>1.4</v>
      </c>
      <c r="E43" s="12">
        <v>2</v>
      </c>
      <c r="F43" s="8">
        <v>0.45</v>
      </c>
      <c r="G43" s="12">
        <v>9</v>
      </c>
      <c r="H43" s="8">
        <v>2.86</v>
      </c>
      <c r="I43" s="12">
        <v>0</v>
      </c>
    </row>
    <row r="44" spans="2:9" ht="15" customHeight="1" x14ac:dyDescent="0.2">
      <c r="B44" t="s">
        <v>243</v>
      </c>
      <c r="C44" s="12">
        <v>11</v>
      </c>
      <c r="D44" s="8">
        <v>1.4</v>
      </c>
      <c r="E44" s="12">
        <v>5</v>
      </c>
      <c r="F44" s="8">
        <v>1.1200000000000001</v>
      </c>
      <c r="G44" s="12">
        <v>6</v>
      </c>
      <c r="H44" s="8">
        <v>1.9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301</v>
      </c>
      <c r="C48" s="12">
        <v>59</v>
      </c>
      <c r="D48" s="8">
        <v>7.51</v>
      </c>
      <c r="E48" s="12">
        <v>58</v>
      </c>
      <c r="F48" s="8">
        <v>12.98</v>
      </c>
      <c r="G48" s="12">
        <v>1</v>
      </c>
      <c r="H48" s="8">
        <v>0.32</v>
      </c>
      <c r="I48" s="12">
        <v>0</v>
      </c>
    </row>
    <row r="49" spans="2:9" ht="15" customHeight="1" x14ac:dyDescent="0.2">
      <c r="B49" t="s">
        <v>297</v>
      </c>
      <c r="C49" s="12">
        <v>52</v>
      </c>
      <c r="D49" s="8">
        <v>6.62</v>
      </c>
      <c r="E49" s="12">
        <v>41</v>
      </c>
      <c r="F49" s="8">
        <v>9.17</v>
      </c>
      <c r="G49" s="12">
        <v>11</v>
      </c>
      <c r="H49" s="8">
        <v>3.49</v>
      </c>
      <c r="I49" s="12">
        <v>0</v>
      </c>
    </row>
    <row r="50" spans="2:9" ht="15" customHeight="1" x14ac:dyDescent="0.2">
      <c r="B50" t="s">
        <v>304</v>
      </c>
      <c r="C50" s="12">
        <v>44</v>
      </c>
      <c r="D50" s="8">
        <v>5.6</v>
      </c>
      <c r="E50" s="12">
        <v>41</v>
      </c>
      <c r="F50" s="8">
        <v>9.17</v>
      </c>
      <c r="G50" s="12">
        <v>3</v>
      </c>
      <c r="H50" s="8">
        <v>0.95</v>
      </c>
      <c r="I50" s="12">
        <v>0</v>
      </c>
    </row>
    <row r="51" spans="2:9" ht="15" customHeight="1" x14ac:dyDescent="0.2">
      <c r="B51" t="s">
        <v>303</v>
      </c>
      <c r="C51" s="12">
        <v>34</v>
      </c>
      <c r="D51" s="8">
        <v>4.33</v>
      </c>
      <c r="E51" s="12">
        <v>34</v>
      </c>
      <c r="F51" s="8">
        <v>7.61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300</v>
      </c>
      <c r="C52" s="12">
        <v>25</v>
      </c>
      <c r="D52" s="8">
        <v>3.18</v>
      </c>
      <c r="E52" s="12">
        <v>24</v>
      </c>
      <c r="F52" s="8">
        <v>5.37</v>
      </c>
      <c r="G52" s="12">
        <v>1</v>
      </c>
      <c r="H52" s="8">
        <v>0.32</v>
      </c>
      <c r="I52" s="12">
        <v>0</v>
      </c>
    </row>
    <row r="53" spans="2:9" ht="15" customHeight="1" x14ac:dyDescent="0.2">
      <c r="B53" t="s">
        <v>299</v>
      </c>
      <c r="C53" s="12">
        <v>23</v>
      </c>
      <c r="D53" s="8">
        <v>2.93</v>
      </c>
      <c r="E53" s="12">
        <v>16</v>
      </c>
      <c r="F53" s="8">
        <v>3.58</v>
      </c>
      <c r="G53" s="12">
        <v>7</v>
      </c>
      <c r="H53" s="8">
        <v>2.2200000000000002</v>
      </c>
      <c r="I53" s="12">
        <v>0</v>
      </c>
    </row>
    <row r="54" spans="2:9" ht="15" customHeight="1" x14ac:dyDescent="0.2">
      <c r="B54" t="s">
        <v>288</v>
      </c>
      <c r="C54" s="12">
        <v>20</v>
      </c>
      <c r="D54" s="8">
        <v>2.54</v>
      </c>
      <c r="E54" s="12">
        <v>3</v>
      </c>
      <c r="F54" s="8">
        <v>0.67</v>
      </c>
      <c r="G54" s="12">
        <v>17</v>
      </c>
      <c r="H54" s="8">
        <v>5.4</v>
      </c>
      <c r="I54" s="12">
        <v>0</v>
      </c>
    </row>
    <row r="55" spans="2:9" ht="15" customHeight="1" x14ac:dyDescent="0.2">
      <c r="B55" t="s">
        <v>309</v>
      </c>
      <c r="C55" s="12">
        <v>14</v>
      </c>
      <c r="D55" s="8">
        <v>1.78</v>
      </c>
      <c r="E55" s="12">
        <v>1</v>
      </c>
      <c r="F55" s="8">
        <v>0.22</v>
      </c>
      <c r="G55" s="12">
        <v>13</v>
      </c>
      <c r="H55" s="8">
        <v>4.13</v>
      </c>
      <c r="I55" s="12">
        <v>0</v>
      </c>
    </row>
    <row r="56" spans="2:9" ht="15" customHeight="1" x14ac:dyDescent="0.2">
      <c r="B56" t="s">
        <v>295</v>
      </c>
      <c r="C56" s="12">
        <v>14</v>
      </c>
      <c r="D56" s="8">
        <v>1.78</v>
      </c>
      <c r="E56" s="12">
        <v>6</v>
      </c>
      <c r="F56" s="8">
        <v>1.34</v>
      </c>
      <c r="G56" s="12">
        <v>8</v>
      </c>
      <c r="H56" s="8">
        <v>2.54</v>
      </c>
      <c r="I56" s="12">
        <v>0</v>
      </c>
    </row>
    <row r="57" spans="2:9" ht="15" customHeight="1" x14ac:dyDescent="0.2">
      <c r="B57" t="s">
        <v>333</v>
      </c>
      <c r="C57" s="12">
        <v>13</v>
      </c>
      <c r="D57" s="8">
        <v>1.65</v>
      </c>
      <c r="E57" s="12">
        <v>10</v>
      </c>
      <c r="F57" s="8">
        <v>2.2400000000000002</v>
      </c>
      <c r="G57" s="12">
        <v>3</v>
      </c>
      <c r="H57" s="8">
        <v>0.95</v>
      </c>
      <c r="I57" s="12">
        <v>0</v>
      </c>
    </row>
    <row r="58" spans="2:9" ht="15" customHeight="1" x14ac:dyDescent="0.2">
      <c r="B58" t="s">
        <v>292</v>
      </c>
      <c r="C58" s="12">
        <v>13</v>
      </c>
      <c r="D58" s="8">
        <v>1.65</v>
      </c>
      <c r="E58" s="12">
        <v>7</v>
      </c>
      <c r="F58" s="8">
        <v>1.57</v>
      </c>
      <c r="G58" s="12">
        <v>6</v>
      </c>
      <c r="H58" s="8">
        <v>1.9</v>
      </c>
      <c r="I58" s="12">
        <v>0</v>
      </c>
    </row>
    <row r="59" spans="2:9" ht="15" customHeight="1" x14ac:dyDescent="0.2">
      <c r="B59" t="s">
        <v>306</v>
      </c>
      <c r="C59" s="12">
        <v>13</v>
      </c>
      <c r="D59" s="8">
        <v>1.65</v>
      </c>
      <c r="E59" s="12">
        <v>12</v>
      </c>
      <c r="F59" s="8">
        <v>2.68</v>
      </c>
      <c r="G59" s="12">
        <v>1</v>
      </c>
      <c r="H59" s="8">
        <v>0.32</v>
      </c>
      <c r="I59" s="12">
        <v>0</v>
      </c>
    </row>
    <row r="60" spans="2:9" ht="15" customHeight="1" x14ac:dyDescent="0.2">
      <c r="B60" t="s">
        <v>307</v>
      </c>
      <c r="C60" s="12">
        <v>13</v>
      </c>
      <c r="D60" s="8">
        <v>1.65</v>
      </c>
      <c r="E60" s="12">
        <v>11</v>
      </c>
      <c r="F60" s="8">
        <v>2.46</v>
      </c>
      <c r="G60" s="12">
        <v>2</v>
      </c>
      <c r="H60" s="8">
        <v>0.63</v>
      </c>
      <c r="I60" s="12">
        <v>0</v>
      </c>
    </row>
    <row r="61" spans="2:9" ht="15" customHeight="1" x14ac:dyDescent="0.2">
      <c r="B61" t="s">
        <v>293</v>
      </c>
      <c r="C61" s="12">
        <v>12</v>
      </c>
      <c r="D61" s="8">
        <v>1.53</v>
      </c>
      <c r="E61" s="12">
        <v>7</v>
      </c>
      <c r="F61" s="8">
        <v>1.57</v>
      </c>
      <c r="G61" s="12">
        <v>5</v>
      </c>
      <c r="H61" s="8">
        <v>1.59</v>
      </c>
      <c r="I61" s="12">
        <v>0</v>
      </c>
    </row>
    <row r="62" spans="2:9" ht="15" customHeight="1" x14ac:dyDescent="0.2">
      <c r="B62" t="s">
        <v>335</v>
      </c>
      <c r="C62" s="12">
        <v>12</v>
      </c>
      <c r="D62" s="8">
        <v>1.53</v>
      </c>
      <c r="E62" s="12">
        <v>8</v>
      </c>
      <c r="F62" s="8">
        <v>1.79</v>
      </c>
      <c r="G62" s="12">
        <v>4</v>
      </c>
      <c r="H62" s="8">
        <v>1.27</v>
      </c>
      <c r="I62" s="12">
        <v>0</v>
      </c>
    </row>
    <row r="63" spans="2:9" ht="15" customHeight="1" x14ac:dyDescent="0.2">
      <c r="B63" t="s">
        <v>342</v>
      </c>
      <c r="C63" s="12">
        <v>11</v>
      </c>
      <c r="D63" s="8">
        <v>1.4</v>
      </c>
      <c r="E63" s="12">
        <v>5</v>
      </c>
      <c r="F63" s="8">
        <v>1.1200000000000001</v>
      </c>
      <c r="G63" s="12">
        <v>6</v>
      </c>
      <c r="H63" s="8">
        <v>1.9</v>
      </c>
      <c r="I63" s="12">
        <v>0</v>
      </c>
    </row>
    <row r="64" spans="2:9" ht="15" customHeight="1" x14ac:dyDescent="0.2">
      <c r="B64" t="s">
        <v>302</v>
      </c>
      <c r="C64" s="12">
        <v>10</v>
      </c>
      <c r="D64" s="8">
        <v>1.27</v>
      </c>
      <c r="E64" s="12">
        <v>8</v>
      </c>
      <c r="F64" s="8">
        <v>1.79</v>
      </c>
      <c r="G64" s="12">
        <v>2</v>
      </c>
      <c r="H64" s="8">
        <v>0.63</v>
      </c>
      <c r="I64" s="12">
        <v>0</v>
      </c>
    </row>
    <row r="65" spans="2:9" ht="15" customHeight="1" x14ac:dyDescent="0.2">
      <c r="B65" t="s">
        <v>328</v>
      </c>
      <c r="C65" s="12">
        <v>9</v>
      </c>
      <c r="D65" s="8">
        <v>1.1499999999999999</v>
      </c>
      <c r="E65" s="12">
        <v>6</v>
      </c>
      <c r="F65" s="8">
        <v>1.34</v>
      </c>
      <c r="G65" s="12">
        <v>3</v>
      </c>
      <c r="H65" s="8">
        <v>0.95</v>
      </c>
      <c r="I65" s="12">
        <v>0</v>
      </c>
    </row>
    <row r="66" spans="2:9" ht="15" customHeight="1" x14ac:dyDescent="0.2">
      <c r="B66" t="s">
        <v>290</v>
      </c>
      <c r="C66" s="12">
        <v>9</v>
      </c>
      <c r="D66" s="8">
        <v>1.1499999999999999</v>
      </c>
      <c r="E66" s="12">
        <v>4</v>
      </c>
      <c r="F66" s="8">
        <v>0.89</v>
      </c>
      <c r="G66" s="12">
        <v>5</v>
      </c>
      <c r="H66" s="8">
        <v>1.59</v>
      </c>
      <c r="I66" s="12">
        <v>0</v>
      </c>
    </row>
    <row r="67" spans="2:9" ht="15" customHeight="1" x14ac:dyDescent="0.2">
      <c r="B67" t="s">
        <v>350</v>
      </c>
      <c r="C67" s="12">
        <v>9</v>
      </c>
      <c r="D67" s="8">
        <v>1.1499999999999999</v>
      </c>
      <c r="E67" s="12">
        <v>2</v>
      </c>
      <c r="F67" s="8">
        <v>0.45</v>
      </c>
      <c r="G67" s="12">
        <v>7</v>
      </c>
      <c r="H67" s="8">
        <v>2.2200000000000002</v>
      </c>
      <c r="I67" s="12">
        <v>0</v>
      </c>
    </row>
    <row r="68" spans="2:9" ht="15" customHeight="1" x14ac:dyDescent="0.2">
      <c r="B68" t="s">
        <v>344</v>
      </c>
      <c r="C68" s="12">
        <v>9</v>
      </c>
      <c r="D68" s="8">
        <v>1.1499999999999999</v>
      </c>
      <c r="E68" s="12">
        <v>4</v>
      </c>
      <c r="F68" s="8">
        <v>0.89</v>
      </c>
      <c r="G68" s="12">
        <v>5</v>
      </c>
      <c r="H68" s="8">
        <v>1.59</v>
      </c>
      <c r="I68" s="12">
        <v>0</v>
      </c>
    </row>
    <row r="69" spans="2:9" ht="15" customHeight="1" x14ac:dyDescent="0.2">
      <c r="B69" t="s">
        <v>322</v>
      </c>
      <c r="C69" s="12">
        <v>9</v>
      </c>
      <c r="D69" s="8">
        <v>1.1499999999999999</v>
      </c>
      <c r="E69" s="12">
        <v>1</v>
      </c>
      <c r="F69" s="8">
        <v>0.22</v>
      </c>
      <c r="G69" s="12">
        <v>8</v>
      </c>
      <c r="H69" s="8">
        <v>2.54</v>
      </c>
      <c r="I69" s="12">
        <v>0</v>
      </c>
    </row>
    <row r="70" spans="2:9" ht="15" customHeight="1" x14ac:dyDescent="0.2">
      <c r="B70" t="s">
        <v>296</v>
      </c>
      <c r="C70" s="12">
        <v>9</v>
      </c>
      <c r="D70" s="8">
        <v>1.1499999999999999</v>
      </c>
      <c r="E70" s="12">
        <v>2</v>
      </c>
      <c r="F70" s="8">
        <v>0.45</v>
      </c>
      <c r="G70" s="12">
        <v>7</v>
      </c>
      <c r="H70" s="8">
        <v>2.2200000000000002</v>
      </c>
      <c r="I70" s="12">
        <v>0</v>
      </c>
    </row>
    <row r="71" spans="2:9" ht="15" customHeight="1" x14ac:dyDescent="0.2">
      <c r="B71" t="s">
        <v>339</v>
      </c>
      <c r="C71" s="12">
        <v>9</v>
      </c>
      <c r="D71" s="8">
        <v>1.1499999999999999</v>
      </c>
      <c r="E71" s="12">
        <v>4</v>
      </c>
      <c r="F71" s="8">
        <v>0.89</v>
      </c>
      <c r="G71" s="12">
        <v>5</v>
      </c>
      <c r="H71" s="8">
        <v>1.59</v>
      </c>
      <c r="I71" s="12">
        <v>0</v>
      </c>
    </row>
    <row r="72" spans="2:9" ht="15" customHeight="1" x14ac:dyDescent="0.2">
      <c r="B72" t="s">
        <v>323</v>
      </c>
      <c r="C72" s="12">
        <v>9</v>
      </c>
      <c r="D72" s="8">
        <v>1.1499999999999999</v>
      </c>
      <c r="E72" s="12">
        <v>4</v>
      </c>
      <c r="F72" s="8">
        <v>0.89</v>
      </c>
      <c r="G72" s="12">
        <v>5</v>
      </c>
      <c r="H72" s="8">
        <v>1.59</v>
      </c>
      <c r="I72" s="12">
        <v>0</v>
      </c>
    </row>
    <row r="73" spans="2:9" ht="15" customHeight="1" x14ac:dyDescent="0.2">
      <c r="B73" t="s">
        <v>305</v>
      </c>
      <c r="C73" s="12">
        <v>9</v>
      </c>
      <c r="D73" s="8">
        <v>1.1499999999999999</v>
      </c>
      <c r="E73" s="12">
        <v>8</v>
      </c>
      <c r="F73" s="8">
        <v>1.79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341</v>
      </c>
      <c r="C74" s="12">
        <v>9</v>
      </c>
      <c r="D74" s="8">
        <v>1.1499999999999999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6" spans="2:9" ht="15" customHeight="1" x14ac:dyDescent="0.2">
      <c r="B7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96EED-DC28-4274-AFE6-D5D98DFA4030}">
  <sheetPr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0.17</v>
      </c>
      <c r="E5" s="12">
        <v>0</v>
      </c>
      <c r="F5" s="8">
        <v>0</v>
      </c>
      <c r="G5" s="12">
        <v>1</v>
      </c>
      <c r="H5" s="8">
        <v>0.45</v>
      </c>
      <c r="I5" s="12">
        <v>0</v>
      </c>
    </row>
    <row r="6" spans="2:9" ht="15" customHeight="1" x14ac:dyDescent="0.2">
      <c r="B6" t="s">
        <v>191</v>
      </c>
      <c r="C6" s="12">
        <v>68</v>
      </c>
      <c r="D6" s="8">
        <v>11.64</v>
      </c>
      <c r="E6" s="12">
        <v>24</v>
      </c>
      <c r="F6" s="8">
        <v>6.98</v>
      </c>
      <c r="G6" s="12">
        <v>44</v>
      </c>
      <c r="H6" s="8">
        <v>19.82</v>
      </c>
      <c r="I6" s="12">
        <v>0</v>
      </c>
    </row>
    <row r="7" spans="2:9" ht="15" customHeight="1" x14ac:dyDescent="0.2">
      <c r="B7" t="s">
        <v>192</v>
      </c>
      <c r="C7" s="12">
        <v>37</v>
      </c>
      <c r="D7" s="8">
        <v>6.34</v>
      </c>
      <c r="E7" s="12">
        <v>6</v>
      </c>
      <c r="F7" s="8">
        <v>1.74</v>
      </c>
      <c r="G7" s="12">
        <v>30</v>
      </c>
      <c r="H7" s="8">
        <v>13.51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0.51</v>
      </c>
      <c r="E8" s="12">
        <v>0</v>
      </c>
      <c r="F8" s="8">
        <v>0</v>
      </c>
      <c r="G8" s="12">
        <v>2</v>
      </c>
      <c r="H8" s="8">
        <v>0.9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0.17</v>
      </c>
      <c r="E9" s="12">
        <v>0</v>
      </c>
      <c r="F9" s="8">
        <v>0</v>
      </c>
      <c r="G9" s="12">
        <v>1</v>
      </c>
      <c r="H9" s="8">
        <v>0.45</v>
      </c>
      <c r="I9" s="12">
        <v>0</v>
      </c>
    </row>
    <row r="10" spans="2:9" ht="15" customHeight="1" x14ac:dyDescent="0.2">
      <c r="B10" t="s">
        <v>195</v>
      </c>
      <c r="C10" s="12">
        <v>7</v>
      </c>
      <c r="D10" s="8">
        <v>1.2</v>
      </c>
      <c r="E10" s="12">
        <v>1</v>
      </c>
      <c r="F10" s="8">
        <v>0.28999999999999998</v>
      </c>
      <c r="G10" s="12">
        <v>4</v>
      </c>
      <c r="H10" s="8">
        <v>1.8</v>
      </c>
      <c r="I10" s="12">
        <v>2</v>
      </c>
    </row>
    <row r="11" spans="2:9" ht="15" customHeight="1" x14ac:dyDescent="0.2">
      <c r="B11" t="s">
        <v>196</v>
      </c>
      <c r="C11" s="12">
        <v>135</v>
      </c>
      <c r="D11" s="8">
        <v>23.12</v>
      </c>
      <c r="E11" s="12">
        <v>62</v>
      </c>
      <c r="F11" s="8">
        <v>18.02</v>
      </c>
      <c r="G11" s="12">
        <v>73</v>
      </c>
      <c r="H11" s="8">
        <v>32.880000000000003</v>
      </c>
      <c r="I11" s="12">
        <v>0</v>
      </c>
    </row>
    <row r="12" spans="2:9" ht="15" customHeight="1" x14ac:dyDescent="0.2">
      <c r="B12" t="s">
        <v>197</v>
      </c>
      <c r="C12" s="12">
        <v>4</v>
      </c>
      <c r="D12" s="8">
        <v>0.68</v>
      </c>
      <c r="E12" s="12">
        <v>1</v>
      </c>
      <c r="F12" s="8">
        <v>0.28999999999999998</v>
      </c>
      <c r="G12" s="12">
        <v>3</v>
      </c>
      <c r="H12" s="8">
        <v>1.35</v>
      </c>
      <c r="I12" s="12">
        <v>0</v>
      </c>
    </row>
    <row r="13" spans="2:9" ht="15" customHeight="1" x14ac:dyDescent="0.2">
      <c r="B13" t="s">
        <v>198</v>
      </c>
      <c r="C13" s="12">
        <v>41</v>
      </c>
      <c r="D13" s="8">
        <v>7.02</v>
      </c>
      <c r="E13" s="12">
        <v>33</v>
      </c>
      <c r="F13" s="8">
        <v>9.59</v>
      </c>
      <c r="G13" s="12">
        <v>7</v>
      </c>
      <c r="H13" s="8">
        <v>3.15</v>
      </c>
      <c r="I13" s="12">
        <v>0</v>
      </c>
    </row>
    <row r="14" spans="2:9" ht="15" customHeight="1" x14ac:dyDescent="0.2">
      <c r="B14" t="s">
        <v>199</v>
      </c>
      <c r="C14" s="12">
        <v>20</v>
      </c>
      <c r="D14" s="8">
        <v>3.42</v>
      </c>
      <c r="E14" s="12">
        <v>9</v>
      </c>
      <c r="F14" s="8">
        <v>2.62</v>
      </c>
      <c r="G14" s="12">
        <v>10</v>
      </c>
      <c r="H14" s="8">
        <v>4.5</v>
      </c>
      <c r="I14" s="12">
        <v>1</v>
      </c>
    </row>
    <row r="15" spans="2:9" ht="15" customHeight="1" x14ac:dyDescent="0.2">
      <c r="B15" t="s">
        <v>200</v>
      </c>
      <c r="C15" s="12">
        <v>107</v>
      </c>
      <c r="D15" s="8">
        <v>18.32</v>
      </c>
      <c r="E15" s="12">
        <v>97</v>
      </c>
      <c r="F15" s="8">
        <v>28.2</v>
      </c>
      <c r="G15" s="12">
        <v>10</v>
      </c>
      <c r="H15" s="8">
        <v>4.5</v>
      </c>
      <c r="I15" s="12">
        <v>0</v>
      </c>
    </row>
    <row r="16" spans="2:9" ht="15" customHeight="1" x14ac:dyDescent="0.2">
      <c r="B16" t="s">
        <v>201</v>
      </c>
      <c r="C16" s="12">
        <v>77</v>
      </c>
      <c r="D16" s="8">
        <v>13.18</v>
      </c>
      <c r="E16" s="12">
        <v>69</v>
      </c>
      <c r="F16" s="8">
        <v>20.059999999999999</v>
      </c>
      <c r="G16" s="12">
        <v>7</v>
      </c>
      <c r="H16" s="8">
        <v>3.15</v>
      </c>
      <c r="I16" s="12">
        <v>1</v>
      </c>
    </row>
    <row r="17" spans="2:9" ht="15" customHeight="1" x14ac:dyDescent="0.2">
      <c r="B17" t="s">
        <v>202</v>
      </c>
      <c r="C17" s="12">
        <v>24</v>
      </c>
      <c r="D17" s="8">
        <v>4.1100000000000003</v>
      </c>
      <c r="E17" s="12">
        <v>14</v>
      </c>
      <c r="F17" s="8">
        <v>4.07</v>
      </c>
      <c r="G17" s="12">
        <v>2</v>
      </c>
      <c r="H17" s="8">
        <v>0.9</v>
      </c>
      <c r="I17" s="12">
        <v>1</v>
      </c>
    </row>
    <row r="18" spans="2:9" ht="15" customHeight="1" x14ac:dyDescent="0.2">
      <c r="B18" t="s">
        <v>203</v>
      </c>
      <c r="C18" s="12">
        <v>39</v>
      </c>
      <c r="D18" s="8">
        <v>6.68</v>
      </c>
      <c r="E18" s="12">
        <v>15</v>
      </c>
      <c r="F18" s="8">
        <v>4.3600000000000003</v>
      </c>
      <c r="G18" s="12">
        <v>22</v>
      </c>
      <c r="H18" s="8">
        <v>9.91</v>
      </c>
      <c r="I18" s="12">
        <v>1</v>
      </c>
    </row>
    <row r="19" spans="2:9" ht="15" customHeight="1" x14ac:dyDescent="0.2">
      <c r="B19" t="s">
        <v>204</v>
      </c>
      <c r="C19" s="12">
        <v>20</v>
      </c>
      <c r="D19" s="8">
        <v>3.42</v>
      </c>
      <c r="E19" s="12">
        <v>13</v>
      </c>
      <c r="F19" s="8">
        <v>3.78</v>
      </c>
      <c r="G19" s="12">
        <v>6</v>
      </c>
      <c r="H19" s="8">
        <v>2.7</v>
      </c>
      <c r="I19" s="12">
        <v>0</v>
      </c>
    </row>
    <row r="20" spans="2:9" ht="15" customHeight="1" x14ac:dyDescent="0.2">
      <c r="B20" s="9" t="s">
        <v>529</v>
      </c>
      <c r="C20" s="12">
        <f>SUM(LTBL_01220[総数／事業所数])</f>
        <v>584</v>
      </c>
      <c r="E20" s="12">
        <f>SUBTOTAL(109,LTBL_01220[個人／事業所数])</f>
        <v>344</v>
      </c>
      <c r="G20" s="12">
        <f>SUBTOTAL(109,LTBL_01220[法人／事業所数])</f>
        <v>222</v>
      </c>
      <c r="I20" s="12">
        <f>SUBTOTAL(109,LTBL_01220[法人以外の団体／事業所数])</f>
        <v>6</v>
      </c>
    </row>
    <row r="21" spans="2:9" ht="15" customHeight="1" x14ac:dyDescent="0.2">
      <c r="E21" s="11">
        <f>LTBL_01220[[#Totals],[個人／事業所数]]/LTBL_01220[[#Totals],[総数／事業所数]]</f>
        <v>0.58904109589041098</v>
      </c>
      <c r="G21" s="11">
        <f>LTBL_01220[[#Totals],[法人／事業所数]]/LTBL_01220[[#Totals],[総数／事業所数]]</f>
        <v>0.38013698630136988</v>
      </c>
      <c r="I21" s="11">
        <f>LTBL_01220[[#Totals],[法人以外の団体／事業所数]]/LTBL_01220[[#Totals],[総数／事業所数]]</f>
        <v>1.0273972602739725E-2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92</v>
      </c>
      <c r="D24" s="8">
        <v>15.75</v>
      </c>
      <c r="E24" s="12">
        <v>87</v>
      </c>
      <c r="F24" s="8">
        <v>25.29</v>
      </c>
      <c r="G24" s="12">
        <v>5</v>
      </c>
      <c r="H24" s="8">
        <v>2.25</v>
      </c>
      <c r="I24" s="12">
        <v>0</v>
      </c>
    </row>
    <row r="25" spans="2:9" ht="15" customHeight="1" x14ac:dyDescent="0.2">
      <c r="B25" t="s">
        <v>228</v>
      </c>
      <c r="C25" s="12">
        <v>65</v>
      </c>
      <c r="D25" s="8">
        <v>11.13</v>
      </c>
      <c r="E25" s="12">
        <v>63</v>
      </c>
      <c r="F25" s="8">
        <v>18.309999999999999</v>
      </c>
      <c r="G25" s="12">
        <v>2</v>
      </c>
      <c r="H25" s="8">
        <v>0.9</v>
      </c>
      <c r="I25" s="12">
        <v>0</v>
      </c>
    </row>
    <row r="26" spans="2:9" ht="15" customHeight="1" x14ac:dyDescent="0.2">
      <c r="B26" t="s">
        <v>223</v>
      </c>
      <c r="C26" s="12">
        <v>49</v>
      </c>
      <c r="D26" s="8">
        <v>8.39</v>
      </c>
      <c r="E26" s="12">
        <v>21</v>
      </c>
      <c r="F26" s="8">
        <v>6.1</v>
      </c>
      <c r="G26" s="12">
        <v>28</v>
      </c>
      <c r="H26" s="8">
        <v>12.61</v>
      </c>
      <c r="I26" s="12">
        <v>0</v>
      </c>
    </row>
    <row r="27" spans="2:9" ht="15" customHeight="1" x14ac:dyDescent="0.2">
      <c r="B27" t="s">
        <v>224</v>
      </c>
      <c r="C27" s="12">
        <v>38</v>
      </c>
      <c r="D27" s="8">
        <v>6.51</v>
      </c>
      <c r="E27" s="12">
        <v>33</v>
      </c>
      <c r="F27" s="8">
        <v>9.59</v>
      </c>
      <c r="G27" s="12">
        <v>4</v>
      </c>
      <c r="H27" s="8">
        <v>1.8</v>
      </c>
      <c r="I27" s="12">
        <v>0</v>
      </c>
    </row>
    <row r="28" spans="2:9" ht="15" customHeight="1" x14ac:dyDescent="0.2">
      <c r="B28" t="s">
        <v>214</v>
      </c>
      <c r="C28" s="12">
        <v>31</v>
      </c>
      <c r="D28" s="8">
        <v>5.31</v>
      </c>
      <c r="E28" s="12">
        <v>18</v>
      </c>
      <c r="F28" s="8">
        <v>5.23</v>
      </c>
      <c r="G28" s="12">
        <v>13</v>
      </c>
      <c r="H28" s="8">
        <v>5.86</v>
      </c>
      <c r="I28" s="12">
        <v>0</v>
      </c>
    </row>
    <row r="29" spans="2:9" ht="15" customHeight="1" x14ac:dyDescent="0.2">
      <c r="B29" t="s">
        <v>221</v>
      </c>
      <c r="C29" s="12">
        <v>27</v>
      </c>
      <c r="D29" s="8">
        <v>4.62</v>
      </c>
      <c r="E29" s="12">
        <v>13</v>
      </c>
      <c r="F29" s="8">
        <v>3.78</v>
      </c>
      <c r="G29" s="12">
        <v>14</v>
      </c>
      <c r="H29" s="8">
        <v>6.31</v>
      </c>
      <c r="I29" s="12">
        <v>0</v>
      </c>
    </row>
    <row r="30" spans="2:9" ht="15" customHeight="1" x14ac:dyDescent="0.2">
      <c r="B30" t="s">
        <v>213</v>
      </c>
      <c r="C30" s="12">
        <v>25</v>
      </c>
      <c r="D30" s="8">
        <v>4.28</v>
      </c>
      <c r="E30" s="12">
        <v>2</v>
      </c>
      <c r="F30" s="8">
        <v>0.57999999999999996</v>
      </c>
      <c r="G30" s="12">
        <v>23</v>
      </c>
      <c r="H30" s="8">
        <v>10.36</v>
      </c>
      <c r="I30" s="12">
        <v>0</v>
      </c>
    </row>
    <row r="31" spans="2:9" ht="15" customHeight="1" x14ac:dyDescent="0.2">
      <c r="B31" t="s">
        <v>230</v>
      </c>
      <c r="C31" s="12">
        <v>24</v>
      </c>
      <c r="D31" s="8">
        <v>4.1100000000000003</v>
      </c>
      <c r="E31" s="12">
        <v>14</v>
      </c>
      <c r="F31" s="8">
        <v>4.07</v>
      </c>
      <c r="G31" s="12">
        <v>2</v>
      </c>
      <c r="H31" s="8">
        <v>0.9</v>
      </c>
      <c r="I31" s="12">
        <v>1</v>
      </c>
    </row>
    <row r="32" spans="2:9" ht="15" customHeight="1" x14ac:dyDescent="0.2">
      <c r="B32" t="s">
        <v>231</v>
      </c>
      <c r="C32" s="12">
        <v>20</v>
      </c>
      <c r="D32" s="8">
        <v>3.42</v>
      </c>
      <c r="E32" s="12">
        <v>15</v>
      </c>
      <c r="F32" s="8">
        <v>4.3600000000000003</v>
      </c>
      <c r="G32" s="12">
        <v>5</v>
      </c>
      <c r="H32" s="8">
        <v>2.25</v>
      </c>
      <c r="I32" s="12">
        <v>0</v>
      </c>
    </row>
    <row r="33" spans="2:9" ht="15" customHeight="1" x14ac:dyDescent="0.2">
      <c r="B33" t="s">
        <v>222</v>
      </c>
      <c r="C33" s="12">
        <v>19</v>
      </c>
      <c r="D33" s="8">
        <v>3.25</v>
      </c>
      <c r="E33" s="12">
        <v>14</v>
      </c>
      <c r="F33" s="8">
        <v>4.07</v>
      </c>
      <c r="G33" s="12">
        <v>5</v>
      </c>
      <c r="H33" s="8">
        <v>2.25</v>
      </c>
      <c r="I33" s="12">
        <v>0</v>
      </c>
    </row>
    <row r="34" spans="2:9" ht="15" customHeight="1" x14ac:dyDescent="0.2">
      <c r="B34" t="s">
        <v>232</v>
      </c>
      <c r="C34" s="12">
        <v>19</v>
      </c>
      <c r="D34" s="8">
        <v>3.25</v>
      </c>
      <c r="E34" s="12">
        <v>0</v>
      </c>
      <c r="F34" s="8">
        <v>0</v>
      </c>
      <c r="G34" s="12">
        <v>17</v>
      </c>
      <c r="H34" s="8">
        <v>7.66</v>
      </c>
      <c r="I34" s="12">
        <v>1</v>
      </c>
    </row>
    <row r="35" spans="2:9" ht="15" customHeight="1" x14ac:dyDescent="0.2">
      <c r="B35" t="s">
        <v>240</v>
      </c>
      <c r="C35" s="12">
        <v>13</v>
      </c>
      <c r="D35" s="8">
        <v>2.23</v>
      </c>
      <c r="E35" s="12">
        <v>11</v>
      </c>
      <c r="F35" s="8">
        <v>3.2</v>
      </c>
      <c r="G35" s="12">
        <v>2</v>
      </c>
      <c r="H35" s="8">
        <v>0.9</v>
      </c>
      <c r="I35" s="12">
        <v>0</v>
      </c>
    </row>
    <row r="36" spans="2:9" ht="15" customHeight="1" x14ac:dyDescent="0.2">
      <c r="B36" t="s">
        <v>215</v>
      </c>
      <c r="C36" s="12">
        <v>12</v>
      </c>
      <c r="D36" s="8">
        <v>2.0499999999999998</v>
      </c>
      <c r="E36" s="12">
        <v>4</v>
      </c>
      <c r="F36" s="8">
        <v>1.1599999999999999</v>
      </c>
      <c r="G36" s="12">
        <v>8</v>
      </c>
      <c r="H36" s="8">
        <v>3.6</v>
      </c>
      <c r="I36" s="12">
        <v>0</v>
      </c>
    </row>
    <row r="37" spans="2:9" ht="15" customHeight="1" x14ac:dyDescent="0.2">
      <c r="B37" t="s">
        <v>243</v>
      </c>
      <c r="C37" s="12">
        <v>11</v>
      </c>
      <c r="D37" s="8">
        <v>1.88</v>
      </c>
      <c r="E37" s="12">
        <v>9</v>
      </c>
      <c r="F37" s="8">
        <v>2.62</v>
      </c>
      <c r="G37" s="12">
        <v>2</v>
      </c>
      <c r="H37" s="8">
        <v>0.9</v>
      </c>
      <c r="I37" s="12">
        <v>0</v>
      </c>
    </row>
    <row r="38" spans="2:9" ht="15" customHeight="1" x14ac:dyDescent="0.2">
      <c r="B38" t="s">
        <v>219</v>
      </c>
      <c r="C38" s="12">
        <v>10</v>
      </c>
      <c r="D38" s="8">
        <v>1.71</v>
      </c>
      <c r="E38" s="12">
        <v>4</v>
      </c>
      <c r="F38" s="8">
        <v>1.1599999999999999</v>
      </c>
      <c r="G38" s="12">
        <v>6</v>
      </c>
      <c r="H38" s="8">
        <v>2.7</v>
      </c>
      <c r="I38" s="12">
        <v>0</v>
      </c>
    </row>
    <row r="39" spans="2:9" ht="15" customHeight="1" x14ac:dyDescent="0.2">
      <c r="B39" t="s">
        <v>220</v>
      </c>
      <c r="C39" s="12">
        <v>10</v>
      </c>
      <c r="D39" s="8">
        <v>1.71</v>
      </c>
      <c r="E39" s="12">
        <v>4</v>
      </c>
      <c r="F39" s="8">
        <v>1.1599999999999999</v>
      </c>
      <c r="G39" s="12">
        <v>6</v>
      </c>
      <c r="H39" s="8">
        <v>2.7</v>
      </c>
      <c r="I39" s="12">
        <v>0</v>
      </c>
    </row>
    <row r="40" spans="2:9" ht="15" customHeight="1" x14ac:dyDescent="0.2">
      <c r="B40" t="s">
        <v>229</v>
      </c>
      <c r="C40" s="12">
        <v>10</v>
      </c>
      <c r="D40" s="8">
        <v>1.71</v>
      </c>
      <c r="E40" s="12">
        <v>6</v>
      </c>
      <c r="F40" s="8">
        <v>1.74</v>
      </c>
      <c r="G40" s="12">
        <v>4</v>
      </c>
      <c r="H40" s="8">
        <v>1.8</v>
      </c>
      <c r="I40" s="12">
        <v>0</v>
      </c>
    </row>
    <row r="41" spans="2:9" ht="15" customHeight="1" x14ac:dyDescent="0.2">
      <c r="B41" t="s">
        <v>217</v>
      </c>
      <c r="C41" s="12">
        <v>9</v>
      </c>
      <c r="D41" s="8">
        <v>1.54</v>
      </c>
      <c r="E41" s="12">
        <v>3</v>
      </c>
      <c r="F41" s="8">
        <v>0.87</v>
      </c>
      <c r="G41" s="12">
        <v>6</v>
      </c>
      <c r="H41" s="8">
        <v>2.7</v>
      </c>
      <c r="I41" s="12">
        <v>0</v>
      </c>
    </row>
    <row r="42" spans="2:9" ht="15" customHeight="1" x14ac:dyDescent="0.2">
      <c r="B42" t="s">
        <v>225</v>
      </c>
      <c r="C42" s="12">
        <v>9</v>
      </c>
      <c r="D42" s="8">
        <v>1.54</v>
      </c>
      <c r="E42" s="12">
        <v>7</v>
      </c>
      <c r="F42" s="8">
        <v>2.0299999999999998</v>
      </c>
      <c r="G42" s="12">
        <v>2</v>
      </c>
      <c r="H42" s="8">
        <v>0.9</v>
      </c>
      <c r="I42" s="12">
        <v>0</v>
      </c>
    </row>
    <row r="43" spans="2:9" ht="15" customHeight="1" x14ac:dyDescent="0.2">
      <c r="B43" t="s">
        <v>226</v>
      </c>
      <c r="C43" s="12">
        <v>9</v>
      </c>
      <c r="D43" s="8">
        <v>1.54</v>
      </c>
      <c r="E43" s="12">
        <v>2</v>
      </c>
      <c r="F43" s="8">
        <v>0.57999999999999996</v>
      </c>
      <c r="G43" s="12">
        <v>7</v>
      </c>
      <c r="H43" s="8">
        <v>3.15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301</v>
      </c>
      <c r="C47" s="12">
        <v>40</v>
      </c>
      <c r="D47" s="8">
        <v>6.85</v>
      </c>
      <c r="E47" s="12">
        <v>40</v>
      </c>
      <c r="F47" s="8">
        <v>11.63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304</v>
      </c>
      <c r="C48" s="12">
        <v>36</v>
      </c>
      <c r="D48" s="8">
        <v>6.16</v>
      </c>
      <c r="E48" s="12">
        <v>35</v>
      </c>
      <c r="F48" s="8">
        <v>10.17</v>
      </c>
      <c r="G48" s="12">
        <v>1</v>
      </c>
      <c r="H48" s="8">
        <v>0.45</v>
      </c>
      <c r="I48" s="12">
        <v>0</v>
      </c>
    </row>
    <row r="49" spans="2:9" ht="15" customHeight="1" x14ac:dyDescent="0.2">
      <c r="B49" t="s">
        <v>297</v>
      </c>
      <c r="C49" s="12">
        <v>35</v>
      </c>
      <c r="D49" s="8">
        <v>5.99</v>
      </c>
      <c r="E49" s="12">
        <v>33</v>
      </c>
      <c r="F49" s="8">
        <v>9.59</v>
      </c>
      <c r="G49" s="12">
        <v>1</v>
      </c>
      <c r="H49" s="8">
        <v>0.45</v>
      </c>
      <c r="I49" s="12">
        <v>0</v>
      </c>
    </row>
    <row r="50" spans="2:9" ht="15" customHeight="1" x14ac:dyDescent="0.2">
      <c r="B50" t="s">
        <v>303</v>
      </c>
      <c r="C50" s="12">
        <v>24</v>
      </c>
      <c r="D50" s="8">
        <v>4.1100000000000003</v>
      </c>
      <c r="E50" s="12">
        <v>24</v>
      </c>
      <c r="F50" s="8">
        <v>6.98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300</v>
      </c>
      <c r="C51" s="12">
        <v>21</v>
      </c>
      <c r="D51" s="8">
        <v>3.6</v>
      </c>
      <c r="E51" s="12">
        <v>19</v>
      </c>
      <c r="F51" s="8">
        <v>5.52</v>
      </c>
      <c r="G51" s="12">
        <v>2</v>
      </c>
      <c r="H51" s="8">
        <v>0.9</v>
      </c>
      <c r="I51" s="12">
        <v>0</v>
      </c>
    </row>
    <row r="52" spans="2:9" ht="15" customHeight="1" x14ac:dyDescent="0.2">
      <c r="B52" t="s">
        <v>306</v>
      </c>
      <c r="C52" s="12">
        <v>15</v>
      </c>
      <c r="D52" s="8">
        <v>2.57</v>
      </c>
      <c r="E52" s="12">
        <v>13</v>
      </c>
      <c r="F52" s="8">
        <v>3.78</v>
      </c>
      <c r="G52" s="12">
        <v>2</v>
      </c>
      <c r="H52" s="8">
        <v>0.9</v>
      </c>
      <c r="I52" s="12">
        <v>0</v>
      </c>
    </row>
    <row r="53" spans="2:9" ht="15" customHeight="1" x14ac:dyDescent="0.2">
      <c r="B53" t="s">
        <v>333</v>
      </c>
      <c r="C53" s="12">
        <v>13</v>
      </c>
      <c r="D53" s="8">
        <v>2.23</v>
      </c>
      <c r="E53" s="12">
        <v>8</v>
      </c>
      <c r="F53" s="8">
        <v>2.33</v>
      </c>
      <c r="G53" s="12">
        <v>5</v>
      </c>
      <c r="H53" s="8">
        <v>2.25</v>
      </c>
      <c r="I53" s="12">
        <v>0</v>
      </c>
    </row>
    <row r="54" spans="2:9" ht="15" customHeight="1" x14ac:dyDescent="0.2">
      <c r="B54" t="s">
        <v>307</v>
      </c>
      <c r="C54" s="12">
        <v>13</v>
      </c>
      <c r="D54" s="8">
        <v>2.23</v>
      </c>
      <c r="E54" s="12">
        <v>11</v>
      </c>
      <c r="F54" s="8">
        <v>3.2</v>
      </c>
      <c r="G54" s="12">
        <v>2</v>
      </c>
      <c r="H54" s="8">
        <v>0.9</v>
      </c>
      <c r="I54" s="12">
        <v>0</v>
      </c>
    </row>
    <row r="55" spans="2:9" ht="15" customHeight="1" x14ac:dyDescent="0.2">
      <c r="B55" t="s">
        <v>299</v>
      </c>
      <c r="C55" s="12">
        <v>12</v>
      </c>
      <c r="D55" s="8">
        <v>2.0499999999999998</v>
      </c>
      <c r="E55" s="12">
        <v>11</v>
      </c>
      <c r="F55" s="8">
        <v>3.2</v>
      </c>
      <c r="G55" s="12">
        <v>1</v>
      </c>
      <c r="H55" s="8">
        <v>0.45</v>
      </c>
      <c r="I55" s="12">
        <v>0</v>
      </c>
    </row>
    <row r="56" spans="2:9" ht="15" customHeight="1" x14ac:dyDescent="0.2">
      <c r="B56" t="s">
        <v>295</v>
      </c>
      <c r="C56" s="12">
        <v>11</v>
      </c>
      <c r="D56" s="8">
        <v>1.88</v>
      </c>
      <c r="E56" s="12">
        <v>8</v>
      </c>
      <c r="F56" s="8">
        <v>2.33</v>
      </c>
      <c r="G56" s="12">
        <v>3</v>
      </c>
      <c r="H56" s="8">
        <v>1.35</v>
      </c>
      <c r="I56" s="12">
        <v>0</v>
      </c>
    </row>
    <row r="57" spans="2:9" ht="15" customHeight="1" x14ac:dyDescent="0.2">
      <c r="B57" t="s">
        <v>305</v>
      </c>
      <c r="C57" s="12">
        <v>10</v>
      </c>
      <c r="D57" s="8">
        <v>1.71</v>
      </c>
      <c r="E57" s="12">
        <v>9</v>
      </c>
      <c r="F57" s="8">
        <v>2.62</v>
      </c>
      <c r="G57" s="12">
        <v>1</v>
      </c>
      <c r="H57" s="8">
        <v>0.45</v>
      </c>
      <c r="I57" s="12">
        <v>0</v>
      </c>
    </row>
    <row r="58" spans="2:9" ht="15" customHeight="1" x14ac:dyDescent="0.2">
      <c r="B58" t="s">
        <v>347</v>
      </c>
      <c r="C58" s="12">
        <v>10</v>
      </c>
      <c r="D58" s="8">
        <v>1.71</v>
      </c>
      <c r="E58" s="12">
        <v>0</v>
      </c>
      <c r="F58" s="8">
        <v>0</v>
      </c>
      <c r="G58" s="12">
        <v>10</v>
      </c>
      <c r="H58" s="8">
        <v>4.5</v>
      </c>
      <c r="I58" s="12">
        <v>0</v>
      </c>
    </row>
    <row r="59" spans="2:9" ht="15" customHeight="1" x14ac:dyDescent="0.2">
      <c r="B59" t="s">
        <v>292</v>
      </c>
      <c r="C59" s="12">
        <v>9</v>
      </c>
      <c r="D59" s="8">
        <v>1.54</v>
      </c>
      <c r="E59" s="12">
        <v>5</v>
      </c>
      <c r="F59" s="8">
        <v>1.45</v>
      </c>
      <c r="G59" s="12">
        <v>4</v>
      </c>
      <c r="H59" s="8">
        <v>1.8</v>
      </c>
      <c r="I59" s="12">
        <v>0</v>
      </c>
    </row>
    <row r="60" spans="2:9" ht="15" customHeight="1" x14ac:dyDescent="0.2">
      <c r="B60" t="s">
        <v>335</v>
      </c>
      <c r="C60" s="12">
        <v>9</v>
      </c>
      <c r="D60" s="8">
        <v>1.54</v>
      </c>
      <c r="E60" s="12">
        <v>5</v>
      </c>
      <c r="F60" s="8">
        <v>1.45</v>
      </c>
      <c r="G60" s="12">
        <v>4</v>
      </c>
      <c r="H60" s="8">
        <v>1.8</v>
      </c>
      <c r="I60" s="12">
        <v>0</v>
      </c>
    </row>
    <row r="61" spans="2:9" ht="15" customHeight="1" x14ac:dyDescent="0.2">
      <c r="B61" t="s">
        <v>293</v>
      </c>
      <c r="C61" s="12">
        <v>8</v>
      </c>
      <c r="D61" s="8">
        <v>1.37</v>
      </c>
      <c r="E61" s="12">
        <v>7</v>
      </c>
      <c r="F61" s="8">
        <v>2.0299999999999998</v>
      </c>
      <c r="G61" s="12">
        <v>1</v>
      </c>
      <c r="H61" s="8">
        <v>0.45</v>
      </c>
      <c r="I61" s="12">
        <v>0</v>
      </c>
    </row>
    <row r="62" spans="2:9" ht="15" customHeight="1" x14ac:dyDescent="0.2">
      <c r="B62" t="s">
        <v>294</v>
      </c>
      <c r="C62" s="12">
        <v>8</v>
      </c>
      <c r="D62" s="8">
        <v>1.37</v>
      </c>
      <c r="E62" s="12">
        <v>4</v>
      </c>
      <c r="F62" s="8">
        <v>1.1599999999999999</v>
      </c>
      <c r="G62" s="12">
        <v>4</v>
      </c>
      <c r="H62" s="8">
        <v>1.8</v>
      </c>
      <c r="I62" s="12">
        <v>0</v>
      </c>
    </row>
    <row r="63" spans="2:9" ht="15" customHeight="1" x14ac:dyDescent="0.2">
      <c r="B63" t="s">
        <v>302</v>
      </c>
      <c r="C63" s="12">
        <v>8</v>
      </c>
      <c r="D63" s="8">
        <v>1.37</v>
      </c>
      <c r="E63" s="12">
        <v>8</v>
      </c>
      <c r="F63" s="8">
        <v>2.33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340</v>
      </c>
      <c r="C64" s="12">
        <v>8</v>
      </c>
      <c r="D64" s="8">
        <v>1.37</v>
      </c>
      <c r="E64" s="12">
        <v>0</v>
      </c>
      <c r="F64" s="8">
        <v>0</v>
      </c>
      <c r="G64" s="12">
        <v>1</v>
      </c>
      <c r="H64" s="8">
        <v>0.45</v>
      </c>
      <c r="I64" s="12">
        <v>1</v>
      </c>
    </row>
    <row r="65" spans="2:9" ht="15" customHeight="1" x14ac:dyDescent="0.2">
      <c r="B65" t="s">
        <v>288</v>
      </c>
      <c r="C65" s="12">
        <v>7</v>
      </c>
      <c r="D65" s="8">
        <v>1.2</v>
      </c>
      <c r="E65" s="12">
        <v>0</v>
      </c>
      <c r="F65" s="8">
        <v>0</v>
      </c>
      <c r="G65" s="12">
        <v>7</v>
      </c>
      <c r="H65" s="8">
        <v>3.15</v>
      </c>
      <c r="I65" s="12">
        <v>0</v>
      </c>
    </row>
    <row r="66" spans="2:9" ht="15" customHeight="1" x14ac:dyDescent="0.2">
      <c r="B66" t="s">
        <v>328</v>
      </c>
      <c r="C66" s="12">
        <v>7</v>
      </c>
      <c r="D66" s="8">
        <v>1.2</v>
      </c>
      <c r="E66" s="12">
        <v>1</v>
      </c>
      <c r="F66" s="8">
        <v>0.28999999999999998</v>
      </c>
      <c r="G66" s="12">
        <v>6</v>
      </c>
      <c r="H66" s="8">
        <v>2.7</v>
      </c>
      <c r="I66" s="12">
        <v>0</v>
      </c>
    </row>
    <row r="67" spans="2:9" ht="15" customHeight="1" x14ac:dyDescent="0.2">
      <c r="B67" t="s">
        <v>290</v>
      </c>
      <c r="C67" s="12">
        <v>7</v>
      </c>
      <c r="D67" s="8">
        <v>1.2</v>
      </c>
      <c r="E67" s="12">
        <v>2</v>
      </c>
      <c r="F67" s="8">
        <v>0.57999999999999996</v>
      </c>
      <c r="G67" s="12">
        <v>5</v>
      </c>
      <c r="H67" s="8">
        <v>2.25</v>
      </c>
      <c r="I67" s="12">
        <v>0</v>
      </c>
    </row>
    <row r="68" spans="2:9" ht="15" customHeight="1" x14ac:dyDescent="0.2">
      <c r="B68" t="s">
        <v>351</v>
      </c>
      <c r="C68" s="12">
        <v>7</v>
      </c>
      <c r="D68" s="8">
        <v>1.2</v>
      </c>
      <c r="E68" s="12">
        <v>1</v>
      </c>
      <c r="F68" s="8">
        <v>0.28999999999999998</v>
      </c>
      <c r="G68" s="12">
        <v>6</v>
      </c>
      <c r="H68" s="8">
        <v>2.7</v>
      </c>
      <c r="I68" s="12">
        <v>0</v>
      </c>
    </row>
    <row r="69" spans="2:9" ht="15" customHeight="1" x14ac:dyDescent="0.2">
      <c r="B69" t="s">
        <v>330</v>
      </c>
      <c r="C69" s="12">
        <v>7</v>
      </c>
      <c r="D69" s="8">
        <v>1.2</v>
      </c>
      <c r="E69" s="12">
        <v>1</v>
      </c>
      <c r="F69" s="8">
        <v>0.28999999999999998</v>
      </c>
      <c r="G69" s="12">
        <v>6</v>
      </c>
      <c r="H69" s="8">
        <v>2.7</v>
      </c>
      <c r="I69" s="12">
        <v>0</v>
      </c>
    </row>
    <row r="70" spans="2:9" ht="15" customHeight="1" x14ac:dyDescent="0.2">
      <c r="B70" t="s">
        <v>339</v>
      </c>
      <c r="C70" s="12">
        <v>7</v>
      </c>
      <c r="D70" s="8">
        <v>1.2</v>
      </c>
      <c r="E70" s="12">
        <v>7</v>
      </c>
      <c r="F70" s="8">
        <v>2.0299999999999998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352</v>
      </c>
      <c r="C71" s="12">
        <v>7</v>
      </c>
      <c r="D71" s="8">
        <v>1.2</v>
      </c>
      <c r="E71" s="12">
        <v>5</v>
      </c>
      <c r="F71" s="8">
        <v>1.45</v>
      </c>
      <c r="G71" s="12">
        <v>2</v>
      </c>
      <c r="H71" s="8">
        <v>0.9</v>
      </c>
      <c r="I71" s="12">
        <v>0</v>
      </c>
    </row>
    <row r="72" spans="2:9" ht="15" customHeight="1" x14ac:dyDescent="0.2">
      <c r="B72" t="s">
        <v>331</v>
      </c>
      <c r="C72" s="12">
        <v>7</v>
      </c>
      <c r="D72" s="8">
        <v>1.2</v>
      </c>
      <c r="E72" s="12">
        <v>0</v>
      </c>
      <c r="F72" s="8">
        <v>0</v>
      </c>
      <c r="G72" s="12">
        <v>7</v>
      </c>
      <c r="H72" s="8">
        <v>3.15</v>
      </c>
      <c r="I72" s="12">
        <v>0</v>
      </c>
    </row>
    <row r="74" spans="2:9" ht="15" customHeight="1" x14ac:dyDescent="0.2">
      <c r="B7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E92B6-8F47-4A5B-B3BF-C354D0B3DD39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65</v>
      </c>
      <c r="D6" s="8">
        <v>8.31</v>
      </c>
      <c r="E6" s="12">
        <v>28</v>
      </c>
      <c r="F6" s="8">
        <v>5.89</v>
      </c>
      <c r="G6" s="12">
        <v>37</v>
      </c>
      <c r="H6" s="8">
        <v>12.67</v>
      </c>
      <c r="I6" s="12">
        <v>0</v>
      </c>
    </row>
    <row r="7" spans="2:9" ht="15" customHeight="1" x14ac:dyDescent="0.2">
      <c r="B7" t="s">
        <v>192</v>
      </c>
      <c r="C7" s="12">
        <v>31</v>
      </c>
      <c r="D7" s="8">
        <v>3.96</v>
      </c>
      <c r="E7" s="12">
        <v>6</v>
      </c>
      <c r="F7" s="8">
        <v>1.26</v>
      </c>
      <c r="G7" s="12">
        <v>25</v>
      </c>
      <c r="H7" s="8">
        <v>8.56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0.26</v>
      </c>
      <c r="E8" s="12">
        <v>0</v>
      </c>
      <c r="F8" s="8">
        <v>0</v>
      </c>
      <c r="G8" s="12">
        <v>1</v>
      </c>
      <c r="H8" s="8">
        <v>0.34</v>
      </c>
      <c r="I8" s="12">
        <v>0</v>
      </c>
    </row>
    <row r="9" spans="2:9" ht="15" customHeight="1" x14ac:dyDescent="0.2">
      <c r="B9" t="s">
        <v>194</v>
      </c>
      <c r="C9" s="12">
        <v>3</v>
      </c>
      <c r="D9" s="8">
        <v>0.38</v>
      </c>
      <c r="E9" s="12">
        <v>1</v>
      </c>
      <c r="F9" s="8">
        <v>0.21</v>
      </c>
      <c r="G9" s="12">
        <v>2</v>
      </c>
      <c r="H9" s="8">
        <v>0.68</v>
      </c>
      <c r="I9" s="12">
        <v>0</v>
      </c>
    </row>
    <row r="10" spans="2:9" ht="15" customHeight="1" x14ac:dyDescent="0.2">
      <c r="B10" t="s">
        <v>195</v>
      </c>
      <c r="C10" s="12">
        <v>10</v>
      </c>
      <c r="D10" s="8">
        <v>1.28</v>
      </c>
      <c r="E10" s="12">
        <v>3</v>
      </c>
      <c r="F10" s="8">
        <v>0.63</v>
      </c>
      <c r="G10" s="12">
        <v>7</v>
      </c>
      <c r="H10" s="8">
        <v>2.4</v>
      </c>
      <c r="I10" s="12">
        <v>0</v>
      </c>
    </row>
    <row r="11" spans="2:9" ht="15" customHeight="1" x14ac:dyDescent="0.2">
      <c r="B11" t="s">
        <v>196</v>
      </c>
      <c r="C11" s="12">
        <v>166</v>
      </c>
      <c r="D11" s="8">
        <v>21.23</v>
      </c>
      <c r="E11" s="12">
        <v>68</v>
      </c>
      <c r="F11" s="8">
        <v>14.32</v>
      </c>
      <c r="G11" s="12">
        <v>98</v>
      </c>
      <c r="H11" s="8">
        <v>33.56</v>
      </c>
      <c r="I11" s="12">
        <v>0</v>
      </c>
    </row>
    <row r="12" spans="2:9" ht="15" customHeight="1" x14ac:dyDescent="0.2">
      <c r="B12" t="s">
        <v>197</v>
      </c>
      <c r="C12" s="12">
        <v>13</v>
      </c>
      <c r="D12" s="8">
        <v>1.66</v>
      </c>
      <c r="E12" s="12">
        <v>3</v>
      </c>
      <c r="F12" s="8">
        <v>0.63</v>
      </c>
      <c r="G12" s="12">
        <v>10</v>
      </c>
      <c r="H12" s="8">
        <v>3.42</v>
      </c>
      <c r="I12" s="12">
        <v>0</v>
      </c>
    </row>
    <row r="13" spans="2:9" ht="15" customHeight="1" x14ac:dyDescent="0.2">
      <c r="B13" t="s">
        <v>198</v>
      </c>
      <c r="C13" s="12">
        <v>123</v>
      </c>
      <c r="D13" s="8">
        <v>15.73</v>
      </c>
      <c r="E13" s="12">
        <v>95</v>
      </c>
      <c r="F13" s="8">
        <v>20</v>
      </c>
      <c r="G13" s="12">
        <v>28</v>
      </c>
      <c r="H13" s="8">
        <v>9.59</v>
      </c>
      <c r="I13" s="12">
        <v>0</v>
      </c>
    </row>
    <row r="14" spans="2:9" ht="15" customHeight="1" x14ac:dyDescent="0.2">
      <c r="B14" t="s">
        <v>199</v>
      </c>
      <c r="C14" s="12">
        <v>24</v>
      </c>
      <c r="D14" s="8">
        <v>3.07</v>
      </c>
      <c r="E14" s="12">
        <v>18</v>
      </c>
      <c r="F14" s="8">
        <v>3.79</v>
      </c>
      <c r="G14" s="12">
        <v>5</v>
      </c>
      <c r="H14" s="8">
        <v>1.71</v>
      </c>
      <c r="I14" s="12">
        <v>0</v>
      </c>
    </row>
    <row r="15" spans="2:9" ht="15" customHeight="1" x14ac:dyDescent="0.2">
      <c r="B15" t="s">
        <v>200</v>
      </c>
      <c r="C15" s="12">
        <v>130</v>
      </c>
      <c r="D15" s="8">
        <v>16.62</v>
      </c>
      <c r="E15" s="12">
        <v>118</v>
      </c>
      <c r="F15" s="8">
        <v>24.84</v>
      </c>
      <c r="G15" s="12">
        <v>12</v>
      </c>
      <c r="H15" s="8">
        <v>4.1100000000000003</v>
      </c>
      <c r="I15" s="12">
        <v>0</v>
      </c>
    </row>
    <row r="16" spans="2:9" ht="15" customHeight="1" x14ac:dyDescent="0.2">
      <c r="B16" t="s">
        <v>201</v>
      </c>
      <c r="C16" s="12">
        <v>112</v>
      </c>
      <c r="D16" s="8">
        <v>14.32</v>
      </c>
      <c r="E16" s="12">
        <v>86</v>
      </c>
      <c r="F16" s="8">
        <v>18.11</v>
      </c>
      <c r="G16" s="12">
        <v>25</v>
      </c>
      <c r="H16" s="8">
        <v>8.56</v>
      </c>
      <c r="I16" s="12">
        <v>1</v>
      </c>
    </row>
    <row r="17" spans="2:9" ht="15" customHeight="1" x14ac:dyDescent="0.2">
      <c r="B17" t="s">
        <v>202</v>
      </c>
      <c r="C17" s="12">
        <v>21</v>
      </c>
      <c r="D17" s="8">
        <v>2.69</v>
      </c>
      <c r="E17" s="12">
        <v>16</v>
      </c>
      <c r="F17" s="8">
        <v>3.37</v>
      </c>
      <c r="G17" s="12">
        <v>2</v>
      </c>
      <c r="H17" s="8">
        <v>0.68</v>
      </c>
      <c r="I17" s="12">
        <v>0</v>
      </c>
    </row>
    <row r="18" spans="2:9" ht="15" customHeight="1" x14ac:dyDescent="0.2">
      <c r="B18" t="s">
        <v>203</v>
      </c>
      <c r="C18" s="12">
        <v>51</v>
      </c>
      <c r="D18" s="8">
        <v>6.52</v>
      </c>
      <c r="E18" s="12">
        <v>24</v>
      </c>
      <c r="F18" s="8">
        <v>5.05</v>
      </c>
      <c r="G18" s="12">
        <v>23</v>
      </c>
      <c r="H18" s="8">
        <v>7.88</v>
      </c>
      <c r="I18" s="12">
        <v>0</v>
      </c>
    </row>
    <row r="19" spans="2:9" ht="15" customHeight="1" x14ac:dyDescent="0.2">
      <c r="B19" t="s">
        <v>204</v>
      </c>
      <c r="C19" s="12">
        <v>31</v>
      </c>
      <c r="D19" s="8">
        <v>3.96</v>
      </c>
      <c r="E19" s="12">
        <v>9</v>
      </c>
      <c r="F19" s="8">
        <v>1.89</v>
      </c>
      <c r="G19" s="12">
        <v>17</v>
      </c>
      <c r="H19" s="8">
        <v>5.82</v>
      </c>
      <c r="I19" s="12">
        <v>2</v>
      </c>
    </row>
    <row r="20" spans="2:9" ht="15" customHeight="1" x14ac:dyDescent="0.2">
      <c r="B20" s="9" t="s">
        <v>529</v>
      </c>
      <c r="C20" s="12">
        <f>SUM(LTBL_01221[総数／事業所数])</f>
        <v>782</v>
      </c>
      <c r="E20" s="12">
        <f>SUBTOTAL(109,LTBL_01221[個人／事業所数])</f>
        <v>475</v>
      </c>
      <c r="G20" s="12">
        <f>SUBTOTAL(109,LTBL_01221[法人／事業所数])</f>
        <v>292</v>
      </c>
      <c r="I20" s="12">
        <f>SUBTOTAL(109,LTBL_01221[法人以外の団体／事業所数])</f>
        <v>3</v>
      </c>
    </row>
    <row r="21" spans="2:9" ht="15" customHeight="1" x14ac:dyDescent="0.2">
      <c r="E21" s="11">
        <f>LTBL_01221[[#Totals],[個人／事業所数]]/LTBL_01221[[#Totals],[総数／事業所数]]</f>
        <v>0.60741687979539638</v>
      </c>
      <c r="G21" s="11">
        <f>LTBL_01221[[#Totals],[法人／事業所数]]/LTBL_01221[[#Totals],[総数／事業所数]]</f>
        <v>0.37340153452685421</v>
      </c>
      <c r="I21" s="11">
        <f>LTBL_01221[[#Totals],[法人以外の団体／事業所数]]/LTBL_01221[[#Totals],[総数／事業所数]]</f>
        <v>3.8363171355498722E-3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115</v>
      </c>
      <c r="D24" s="8">
        <v>14.71</v>
      </c>
      <c r="E24" s="12">
        <v>95</v>
      </c>
      <c r="F24" s="8">
        <v>20</v>
      </c>
      <c r="G24" s="12">
        <v>20</v>
      </c>
      <c r="H24" s="8">
        <v>6.85</v>
      </c>
      <c r="I24" s="12">
        <v>0</v>
      </c>
    </row>
    <row r="25" spans="2:9" ht="15" customHeight="1" x14ac:dyDescent="0.2">
      <c r="B25" t="s">
        <v>227</v>
      </c>
      <c r="C25" s="12">
        <v>114</v>
      </c>
      <c r="D25" s="8">
        <v>14.58</v>
      </c>
      <c r="E25" s="12">
        <v>106</v>
      </c>
      <c r="F25" s="8">
        <v>22.32</v>
      </c>
      <c r="G25" s="12">
        <v>8</v>
      </c>
      <c r="H25" s="8">
        <v>2.74</v>
      </c>
      <c r="I25" s="12">
        <v>0</v>
      </c>
    </row>
    <row r="26" spans="2:9" ht="15" customHeight="1" x14ac:dyDescent="0.2">
      <c r="B26" t="s">
        <v>228</v>
      </c>
      <c r="C26" s="12">
        <v>89</v>
      </c>
      <c r="D26" s="8">
        <v>11.38</v>
      </c>
      <c r="E26" s="12">
        <v>76</v>
      </c>
      <c r="F26" s="8">
        <v>16</v>
      </c>
      <c r="G26" s="12">
        <v>13</v>
      </c>
      <c r="H26" s="8">
        <v>4.45</v>
      </c>
      <c r="I26" s="12">
        <v>0</v>
      </c>
    </row>
    <row r="27" spans="2:9" ht="15" customHeight="1" x14ac:dyDescent="0.2">
      <c r="B27" t="s">
        <v>223</v>
      </c>
      <c r="C27" s="12">
        <v>58</v>
      </c>
      <c r="D27" s="8">
        <v>7.42</v>
      </c>
      <c r="E27" s="12">
        <v>22</v>
      </c>
      <c r="F27" s="8">
        <v>4.63</v>
      </c>
      <c r="G27" s="12">
        <v>36</v>
      </c>
      <c r="H27" s="8">
        <v>12.33</v>
      </c>
      <c r="I27" s="12">
        <v>0</v>
      </c>
    </row>
    <row r="28" spans="2:9" ht="15" customHeight="1" x14ac:dyDescent="0.2">
      <c r="B28" t="s">
        <v>221</v>
      </c>
      <c r="C28" s="12">
        <v>35</v>
      </c>
      <c r="D28" s="8">
        <v>4.4800000000000004</v>
      </c>
      <c r="E28" s="12">
        <v>20</v>
      </c>
      <c r="F28" s="8">
        <v>4.21</v>
      </c>
      <c r="G28" s="12">
        <v>15</v>
      </c>
      <c r="H28" s="8">
        <v>5.14</v>
      </c>
      <c r="I28" s="12">
        <v>0</v>
      </c>
    </row>
    <row r="29" spans="2:9" ht="15" customHeight="1" x14ac:dyDescent="0.2">
      <c r="B29" t="s">
        <v>231</v>
      </c>
      <c r="C29" s="12">
        <v>32</v>
      </c>
      <c r="D29" s="8">
        <v>4.09</v>
      </c>
      <c r="E29" s="12">
        <v>24</v>
      </c>
      <c r="F29" s="8">
        <v>5.05</v>
      </c>
      <c r="G29" s="12">
        <v>8</v>
      </c>
      <c r="H29" s="8">
        <v>2.74</v>
      </c>
      <c r="I29" s="12">
        <v>0</v>
      </c>
    </row>
    <row r="30" spans="2:9" ht="15" customHeight="1" x14ac:dyDescent="0.2">
      <c r="B30" t="s">
        <v>214</v>
      </c>
      <c r="C30" s="12">
        <v>26</v>
      </c>
      <c r="D30" s="8">
        <v>3.32</v>
      </c>
      <c r="E30" s="12">
        <v>14</v>
      </c>
      <c r="F30" s="8">
        <v>2.95</v>
      </c>
      <c r="G30" s="12">
        <v>12</v>
      </c>
      <c r="H30" s="8">
        <v>4.1100000000000003</v>
      </c>
      <c r="I30" s="12">
        <v>0</v>
      </c>
    </row>
    <row r="31" spans="2:9" ht="15" customHeight="1" x14ac:dyDescent="0.2">
      <c r="B31" t="s">
        <v>213</v>
      </c>
      <c r="C31" s="12">
        <v>24</v>
      </c>
      <c r="D31" s="8">
        <v>3.07</v>
      </c>
      <c r="E31" s="12">
        <v>10</v>
      </c>
      <c r="F31" s="8">
        <v>2.11</v>
      </c>
      <c r="G31" s="12">
        <v>14</v>
      </c>
      <c r="H31" s="8">
        <v>4.79</v>
      </c>
      <c r="I31" s="12">
        <v>0</v>
      </c>
    </row>
    <row r="32" spans="2:9" ht="15" customHeight="1" x14ac:dyDescent="0.2">
      <c r="B32" t="s">
        <v>222</v>
      </c>
      <c r="C32" s="12">
        <v>21</v>
      </c>
      <c r="D32" s="8">
        <v>2.69</v>
      </c>
      <c r="E32" s="12">
        <v>11</v>
      </c>
      <c r="F32" s="8">
        <v>2.3199999999999998</v>
      </c>
      <c r="G32" s="12">
        <v>10</v>
      </c>
      <c r="H32" s="8">
        <v>3.42</v>
      </c>
      <c r="I32" s="12">
        <v>0</v>
      </c>
    </row>
    <row r="33" spans="2:9" ht="15" customHeight="1" x14ac:dyDescent="0.2">
      <c r="B33" t="s">
        <v>230</v>
      </c>
      <c r="C33" s="12">
        <v>21</v>
      </c>
      <c r="D33" s="8">
        <v>2.69</v>
      </c>
      <c r="E33" s="12">
        <v>16</v>
      </c>
      <c r="F33" s="8">
        <v>3.37</v>
      </c>
      <c r="G33" s="12">
        <v>2</v>
      </c>
      <c r="H33" s="8">
        <v>0.68</v>
      </c>
      <c r="I33" s="12">
        <v>0</v>
      </c>
    </row>
    <row r="34" spans="2:9" ht="15" customHeight="1" x14ac:dyDescent="0.2">
      <c r="B34" t="s">
        <v>232</v>
      </c>
      <c r="C34" s="12">
        <v>19</v>
      </c>
      <c r="D34" s="8">
        <v>2.4300000000000002</v>
      </c>
      <c r="E34" s="12">
        <v>0</v>
      </c>
      <c r="F34" s="8">
        <v>0</v>
      </c>
      <c r="G34" s="12">
        <v>15</v>
      </c>
      <c r="H34" s="8">
        <v>5.14</v>
      </c>
      <c r="I34" s="12">
        <v>0</v>
      </c>
    </row>
    <row r="35" spans="2:9" ht="15" customHeight="1" x14ac:dyDescent="0.2">
      <c r="B35" t="s">
        <v>215</v>
      </c>
      <c r="C35" s="12">
        <v>15</v>
      </c>
      <c r="D35" s="8">
        <v>1.92</v>
      </c>
      <c r="E35" s="12">
        <v>4</v>
      </c>
      <c r="F35" s="8">
        <v>0.84</v>
      </c>
      <c r="G35" s="12">
        <v>11</v>
      </c>
      <c r="H35" s="8">
        <v>3.77</v>
      </c>
      <c r="I35" s="12">
        <v>0</v>
      </c>
    </row>
    <row r="36" spans="2:9" ht="15" customHeight="1" x14ac:dyDescent="0.2">
      <c r="B36" t="s">
        <v>220</v>
      </c>
      <c r="C36" s="12">
        <v>13</v>
      </c>
      <c r="D36" s="8">
        <v>1.66</v>
      </c>
      <c r="E36" s="12">
        <v>5</v>
      </c>
      <c r="F36" s="8">
        <v>1.05</v>
      </c>
      <c r="G36" s="12">
        <v>8</v>
      </c>
      <c r="H36" s="8">
        <v>2.74</v>
      </c>
      <c r="I36" s="12">
        <v>0</v>
      </c>
    </row>
    <row r="37" spans="2:9" ht="15" customHeight="1" x14ac:dyDescent="0.2">
      <c r="B37" t="s">
        <v>237</v>
      </c>
      <c r="C37" s="12">
        <v>13</v>
      </c>
      <c r="D37" s="8">
        <v>1.66</v>
      </c>
      <c r="E37" s="12">
        <v>3</v>
      </c>
      <c r="F37" s="8">
        <v>0.63</v>
      </c>
      <c r="G37" s="12">
        <v>10</v>
      </c>
      <c r="H37" s="8">
        <v>3.42</v>
      </c>
      <c r="I37" s="12">
        <v>0</v>
      </c>
    </row>
    <row r="38" spans="2:9" ht="15" customHeight="1" x14ac:dyDescent="0.2">
      <c r="B38" t="s">
        <v>226</v>
      </c>
      <c r="C38" s="12">
        <v>13</v>
      </c>
      <c r="D38" s="8">
        <v>1.66</v>
      </c>
      <c r="E38" s="12">
        <v>8</v>
      </c>
      <c r="F38" s="8">
        <v>1.68</v>
      </c>
      <c r="G38" s="12">
        <v>4</v>
      </c>
      <c r="H38" s="8">
        <v>1.37</v>
      </c>
      <c r="I38" s="12">
        <v>0</v>
      </c>
    </row>
    <row r="39" spans="2:9" ht="15" customHeight="1" x14ac:dyDescent="0.2">
      <c r="B39" t="s">
        <v>243</v>
      </c>
      <c r="C39" s="12">
        <v>13</v>
      </c>
      <c r="D39" s="8">
        <v>1.66</v>
      </c>
      <c r="E39" s="12">
        <v>12</v>
      </c>
      <c r="F39" s="8">
        <v>2.5299999999999998</v>
      </c>
      <c r="G39" s="12">
        <v>1</v>
      </c>
      <c r="H39" s="8">
        <v>0.34</v>
      </c>
      <c r="I39" s="12">
        <v>0</v>
      </c>
    </row>
    <row r="40" spans="2:9" ht="15" customHeight="1" x14ac:dyDescent="0.2">
      <c r="B40" t="s">
        <v>229</v>
      </c>
      <c r="C40" s="12">
        <v>13</v>
      </c>
      <c r="D40" s="8">
        <v>1.66</v>
      </c>
      <c r="E40" s="12">
        <v>7</v>
      </c>
      <c r="F40" s="8">
        <v>1.47</v>
      </c>
      <c r="G40" s="12">
        <v>6</v>
      </c>
      <c r="H40" s="8">
        <v>2.0499999999999998</v>
      </c>
      <c r="I40" s="12">
        <v>0</v>
      </c>
    </row>
    <row r="41" spans="2:9" ht="15" customHeight="1" x14ac:dyDescent="0.2">
      <c r="B41" t="s">
        <v>234</v>
      </c>
      <c r="C41" s="12">
        <v>13</v>
      </c>
      <c r="D41" s="8">
        <v>1.66</v>
      </c>
      <c r="E41" s="12">
        <v>2</v>
      </c>
      <c r="F41" s="8">
        <v>0.42</v>
      </c>
      <c r="G41" s="12">
        <v>10</v>
      </c>
      <c r="H41" s="8">
        <v>3.42</v>
      </c>
      <c r="I41" s="12">
        <v>1</v>
      </c>
    </row>
    <row r="42" spans="2:9" ht="15" customHeight="1" x14ac:dyDescent="0.2">
      <c r="B42" t="s">
        <v>225</v>
      </c>
      <c r="C42" s="12">
        <v>11</v>
      </c>
      <c r="D42" s="8">
        <v>1.41</v>
      </c>
      <c r="E42" s="12">
        <v>10</v>
      </c>
      <c r="F42" s="8">
        <v>2.11</v>
      </c>
      <c r="G42" s="12">
        <v>1</v>
      </c>
      <c r="H42" s="8">
        <v>0.34</v>
      </c>
      <c r="I42" s="12">
        <v>0</v>
      </c>
    </row>
    <row r="43" spans="2:9" ht="15" customHeight="1" x14ac:dyDescent="0.2">
      <c r="B43" t="s">
        <v>241</v>
      </c>
      <c r="C43" s="12">
        <v>10</v>
      </c>
      <c r="D43" s="8">
        <v>1.28</v>
      </c>
      <c r="E43" s="12">
        <v>3</v>
      </c>
      <c r="F43" s="8">
        <v>0.63</v>
      </c>
      <c r="G43" s="12">
        <v>7</v>
      </c>
      <c r="H43" s="8">
        <v>2.4</v>
      </c>
      <c r="I43" s="12">
        <v>0</v>
      </c>
    </row>
    <row r="44" spans="2:9" ht="15" customHeight="1" x14ac:dyDescent="0.2">
      <c r="B44" t="s">
        <v>217</v>
      </c>
      <c r="C44" s="12">
        <v>10</v>
      </c>
      <c r="D44" s="8">
        <v>1.28</v>
      </c>
      <c r="E44" s="12">
        <v>1</v>
      </c>
      <c r="F44" s="8">
        <v>0.21</v>
      </c>
      <c r="G44" s="12">
        <v>9</v>
      </c>
      <c r="H44" s="8">
        <v>3.08</v>
      </c>
      <c r="I44" s="12">
        <v>0</v>
      </c>
    </row>
    <row r="45" spans="2:9" ht="15" customHeight="1" x14ac:dyDescent="0.2">
      <c r="B45" t="s">
        <v>247</v>
      </c>
      <c r="C45" s="12">
        <v>10</v>
      </c>
      <c r="D45" s="8">
        <v>1.28</v>
      </c>
      <c r="E45" s="12">
        <v>3</v>
      </c>
      <c r="F45" s="8">
        <v>0.63</v>
      </c>
      <c r="G45" s="12">
        <v>6</v>
      </c>
      <c r="H45" s="8">
        <v>2.0499999999999998</v>
      </c>
      <c r="I45" s="12">
        <v>1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297</v>
      </c>
      <c r="C49" s="12">
        <v>107</v>
      </c>
      <c r="D49" s="8">
        <v>13.68</v>
      </c>
      <c r="E49" s="12">
        <v>92</v>
      </c>
      <c r="F49" s="8">
        <v>19.37</v>
      </c>
      <c r="G49" s="12">
        <v>15</v>
      </c>
      <c r="H49" s="8">
        <v>5.14</v>
      </c>
      <c r="I49" s="12">
        <v>0</v>
      </c>
    </row>
    <row r="50" spans="2:9" ht="15" customHeight="1" x14ac:dyDescent="0.2">
      <c r="B50" t="s">
        <v>301</v>
      </c>
      <c r="C50" s="12">
        <v>55</v>
      </c>
      <c r="D50" s="8">
        <v>7.03</v>
      </c>
      <c r="E50" s="12">
        <v>55</v>
      </c>
      <c r="F50" s="8">
        <v>11.58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304</v>
      </c>
      <c r="C51" s="12">
        <v>39</v>
      </c>
      <c r="D51" s="8">
        <v>4.99</v>
      </c>
      <c r="E51" s="12">
        <v>36</v>
      </c>
      <c r="F51" s="8">
        <v>7.58</v>
      </c>
      <c r="G51" s="12">
        <v>3</v>
      </c>
      <c r="H51" s="8">
        <v>1.03</v>
      </c>
      <c r="I51" s="12">
        <v>0</v>
      </c>
    </row>
    <row r="52" spans="2:9" ht="15" customHeight="1" x14ac:dyDescent="0.2">
      <c r="B52" t="s">
        <v>303</v>
      </c>
      <c r="C52" s="12">
        <v>37</v>
      </c>
      <c r="D52" s="8">
        <v>4.7300000000000004</v>
      </c>
      <c r="E52" s="12">
        <v>35</v>
      </c>
      <c r="F52" s="8">
        <v>7.37</v>
      </c>
      <c r="G52" s="12">
        <v>2</v>
      </c>
      <c r="H52" s="8">
        <v>0.68</v>
      </c>
      <c r="I52" s="12">
        <v>0</v>
      </c>
    </row>
    <row r="53" spans="2:9" ht="15" customHeight="1" x14ac:dyDescent="0.2">
      <c r="B53" t="s">
        <v>299</v>
      </c>
      <c r="C53" s="12">
        <v>21</v>
      </c>
      <c r="D53" s="8">
        <v>2.69</v>
      </c>
      <c r="E53" s="12">
        <v>17</v>
      </c>
      <c r="F53" s="8">
        <v>3.58</v>
      </c>
      <c r="G53" s="12">
        <v>4</v>
      </c>
      <c r="H53" s="8">
        <v>1.37</v>
      </c>
      <c r="I53" s="12">
        <v>0</v>
      </c>
    </row>
    <row r="54" spans="2:9" ht="15" customHeight="1" x14ac:dyDescent="0.2">
      <c r="B54" t="s">
        <v>300</v>
      </c>
      <c r="C54" s="12">
        <v>20</v>
      </c>
      <c r="D54" s="8">
        <v>2.56</v>
      </c>
      <c r="E54" s="12">
        <v>19</v>
      </c>
      <c r="F54" s="8">
        <v>4</v>
      </c>
      <c r="G54" s="12">
        <v>1</v>
      </c>
      <c r="H54" s="8">
        <v>0.34</v>
      </c>
      <c r="I54" s="12">
        <v>0</v>
      </c>
    </row>
    <row r="55" spans="2:9" ht="15" customHeight="1" x14ac:dyDescent="0.2">
      <c r="B55" t="s">
        <v>306</v>
      </c>
      <c r="C55" s="12">
        <v>20</v>
      </c>
      <c r="D55" s="8">
        <v>2.56</v>
      </c>
      <c r="E55" s="12">
        <v>17</v>
      </c>
      <c r="F55" s="8">
        <v>3.58</v>
      </c>
      <c r="G55" s="12">
        <v>3</v>
      </c>
      <c r="H55" s="8">
        <v>1.03</v>
      </c>
      <c r="I55" s="12">
        <v>0</v>
      </c>
    </row>
    <row r="56" spans="2:9" ht="15" customHeight="1" x14ac:dyDescent="0.2">
      <c r="B56" t="s">
        <v>292</v>
      </c>
      <c r="C56" s="12">
        <v>17</v>
      </c>
      <c r="D56" s="8">
        <v>2.17</v>
      </c>
      <c r="E56" s="12">
        <v>10</v>
      </c>
      <c r="F56" s="8">
        <v>2.11</v>
      </c>
      <c r="G56" s="12">
        <v>7</v>
      </c>
      <c r="H56" s="8">
        <v>2.4</v>
      </c>
      <c r="I56" s="12">
        <v>0</v>
      </c>
    </row>
    <row r="57" spans="2:9" ht="15" customHeight="1" x14ac:dyDescent="0.2">
      <c r="B57" t="s">
        <v>295</v>
      </c>
      <c r="C57" s="12">
        <v>17</v>
      </c>
      <c r="D57" s="8">
        <v>2.17</v>
      </c>
      <c r="E57" s="12">
        <v>7</v>
      </c>
      <c r="F57" s="8">
        <v>1.47</v>
      </c>
      <c r="G57" s="12">
        <v>10</v>
      </c>
      <c r="H57" s="8">
        <v>3.42</v>
      </c>
      <c r="I57" s="12">
        <v>0</v>
      </c>
    </row>
    <row r="58" spans="2:9" ht="15" customHeight="1" x14ac:dyDescent="0.2">
      <c r="B58" t="s">
        <v>305</v>
      </c>
      <c r="C58" s="12">
        <v>14</v>
      </c>
      <c r="D58" s="8">
        <v>1.79</v>
      </c>
      <c r="E58" s="12">
        <v>13</v>
      </c>
      <c r="F58" s="8">
        <v>2.74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333</v>
      </c>
      <c r="C59" s="12">
        <v>10</v>
      </c>
      <c r="D59" s="8">
        <v>1.28</v>
      </c>
      <c r="E59" s="12">
        <v>5</v>
      </c>
      <c r="F59" s="8">
        <v>1.05</v>
      </c>
      <c r="G59" s="12">
        <v>5</v>
      </c>
      <c r="H59" s="8">
        <v>1.71</v>
      </c>
      <c r="I59" s="12">
        <v>0</v>
      </c>
    </row>
    <row r="60" spans="2:9" ht="15" customHeight="1" x14ac:dyDescent="0.2">
      <c r="B60" t="s">
        <v>335</v>
      </c>
      <c r="C60" s="12">
        <v>10</v>
      </c>
      <c r="D60" s="8">
        <v>1.28</v>
      </c>
      <c r="E60" s="12">
        <v>4</v>
      </c>
      <c r="F60" s="8">
        <v>0.84</v>
      </c>
      <c r="G60" s="12">
        <v>6</v>
      </c>
      <c r="H60" s="8">
        <v>2.0499999999999998</v>
      </c>
      <c r="I60" s="12">
        <v>0</v>
      </c>
    </row>
    <row r="61" spans="2:9" ht="15" customHeight="1" x14ac:dyDescent="0.2">
      <c r="B61" t="s">
        <v>294</v>
      </c>
      <c r="C61" s="12">
        <v>10</v>
      </c>
      <c r="D61" s="8">
        <v>1.28</v>
      </c>
      <c r="E61" s="12">
        <v>7</v>
      </c>
      <c r="F61" s="8">
        <v>1.47</v>
      </c>
      <c r="G61" s="12">
        <v>3</v>
      </c>
      <c r="H61" s="8">
        <v>1.03</v>
      </c>
      <c r="I61" s="12">
        <v>0</v>
      </c>
    </row>
    <row r="62" spans="2:9" ht="15" customHeight="1" x14ac:dyDescent="0.2">
      <c r="B62" t="s">
        <v>330</v>
      </c>
      <c r="C62" s="12">
        <v>10</v>
      </c>
      <c r="D62" s="8">
        <v>1.28</v>
      </c>
      <c r="E62" s="12">
        <v>0</v>
      </c>
      <c r="F62" s="8">
        <v>0</v>
      </c>
      <c r="G62" s="12">
        <v>10</v>
      </c>
      <c r="H62" s="8">
        <v>3.42</v>
      </c>
      <c r="I62" s="12">
        <v>0</v>
      </c>
    </row>
    <row r="63" spans="2:9" ht="15" customHeight="1" x14ac:dyDescent="0.2">
      <c r="B63" t="s">
        <v>328</v>
      </c>
      <c r="C63" s="12">
        <v>9</v>
      </c>
      <c r="D63" s="8">
        <v>1.1499999999999999</v>
      </c>
      <c r="E63" s="12">
        <v>6</v>
      </c>
      <c r="F63" s="8">
        <v>1.26</v>
      </c>
      <c r="G63" s="12">
        <v>3</v>
      </c>
      <c r="H63" s="8">
        <v>1.03</v>
      </c>
      <c r="I63" s="12">
        <v>0</v>
      </c>
    </row>
    <row r="64" spans="2:9" ht="15" customHeight="1" x14ac:dyDescent="0.2">
      <c r="B64" t="s">
        <v>291</v>
      </c>
      <c r="C64" s="12">
        <v>9</v>
      </c>
      <c r="D64" s="8">
        <v>1.1499999999999999</v>
      </c>
      <c r="E64" s="12">
        <v>3</v>
      </c>
      <c r="F64" s="8">
        <v>0.63</v>
      </c>
      <c r="G64" s="12">
        <v>6</v>
      </c>
      <c r="H64" s="8">
        <v>2.0499999999999998</v>
      </c>
      <c r="I64" s="12">
        <v>0</v>
      </c>
    </row>
    <row r="65" spans="2:9" ht="15" customHeight="1" x14ac:dyDescent="0.2">
      <c r="B65" t="s">
        <v>322</v>
      </c>
      <c r="C65" s="12">
        <v>9</v>
      </c>
      <c r="D65" s="8">
        <v>1.1499999999999999</v>
      </c>
      <c r="E65" s="12">
        <v>3</v>
      </c>
      <c r="F65" s="8">
        <v>0.63</v>
      </c>
      <c r="G65" s="12">
        <v>6</v>
      </c>
      <c r="H65" s="8">
        <v>2.0499999999999998</v>
      </c>
      <c r="I65" s="12">
        <v>0</v>
      </c>
    </row>
    <row r="66" spans="2:9" ht="15" customHeight="1" x14ac:dyDescent="0.2">
      <c r="B66" t="s">
        <v>334</v>
      </c>
      <c r="C66" s="12">
        <v>9</v>
      </c>
      <c r="D66" s="8">
        <v>1.1499999999999999</v>
      </c>
      <c r="E66" s="12">
        <v>8</v>
      </c>
      <c r="F66" s="8">
        <v>1.68</v>
      </c>
      <c r="G66" s="12">
        <v>1</v>
      </c>
      <c r="H66" s="8">
        <v>0.34</v>
      </c>
      <c r="I66" s="12">
        <v>0</v>
      </c>
    </row>
    <row r="67" spans="2:9" ht="15" customHeight="1" x14ac:dyDescent="0.2">
      <c r="B67" t="s">
        <v>323</v>
      </c>
      <c r="C67" s="12">
        <v>9</v>
      </c>
      <c r="D67" s="8">
        <v>1.1499999999999999</v>
      </c>
      <c r="E67" s="12">
        <v>2</v>
      </c>
      <c r="F67" s="8">
        <v>0.42</v>
      </c>
      <c r="G67" s="12">
        <v>7</v>
      </c>
      <c r="H67" s="8">
        <v>2.4</v>
      </c>
      <c r="I67" s="12">
        <v>0</v>
      </c>
    </row>
    <row r="68" spans="2:9" ht="15" customHeight="1" x14ac:dyDescent="0.2">
      <c r="B68" t="s">
        <v>312</v>
      </c>
      <c r="C68" s="12">
        <v>9</v>
      </c>
      <c r="D68" s="8">
        <v>1.1499999999999999</v>
      </c>
      <c r="E68" s="12">
        <v>6</v>
      </c>
      <c r="F68" s="8">
        <v>1.26</v>
      </c>
      <c r="G68" s="12">
        <v>3</v>
      </c>
      <c r="H68" s="8">
        <v>1.03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16A4F-1C11-4F58-8DD9-C637E936949D}">
  <sheetPr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30</v>
      </c>
      <c r="D6" s="8">
        <v>16.04</v>
      </c>
      <c r="E6" s="12">
        <v>5</v>
      </c>
      <c r="F6" s="8">
        <v>6.67</v>
      </c>
      <c r="G6" s="12">
        <v>25</v>
      </c>
      <c r="H6" s="8">
        <v>24.27</v>
      </c>
      <c r="I6" s="12">
        <v>0</v>
      </c>
    </row>
    <row r="7" spans="2:9" ht="15" customHeight="1" x14ac:dyDescent="0.2">
      <c r="B7" t="s">
        <v>192</v>
      </c>
      <c r="C7" s="12">
        <v>13</v>
      </c>
      <c r="D7" s="8">
        <v>6.95</v>
      </c>
      <c r="E7" s="12">
        <v>2</v>
      </c>
      <c r="F7" s="8">
        <v>2.67</v>
      </c>
      <c r="G7" s="12">
        <v>11</v>
      </c>
      <c r="H7" s="8">
        <v>10.68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1.6</v>
      </c>
      <c r="E8" s="12">
        <v>0</v>
      </c>
      <c r="F8" s="8">
        <v>0</v>
      </c>
      <c r="G8" s="12">
        <v>1</v>
      </c>
      <c r="H8" s="8">
        <v>0.97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60</v>
      </c>
      <c r="D11" s="8">
        <v>32.090000000000003</v>
      </c>
      <c r="E11" s="12">
        <v>21</v>
      </c>
      <c r="F11" s="8">
        <v>28</v>
      </c>
      <c r="G11" s="12">
        <v>39</v>
      </c>
      <c r="H11" s="8">
        <v>37.86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0.53</v>
      </c>
      <c r="E12" s="12">
        <v>0</v>
      </c>
      <c r="F12" s="8">
        <v>0</v>
      </c>
      <c r="G12" s="12">
        <v>1</v>
      </c>
      <c r="H12" s="8">
        <v>0.97</v>
      </c>
      <c r="I12" s="12">
        <v>0</v>
      </c>
    </row>
    <row r="13" spans="2:9" ht="15" customHeight="1" x14ac:dyDescent="0.2">
      <c r="B13" t="s">
        <v>198</v>
      </c>
      <c r="C13" s="12">
        <v>5</v>
      </c>
      <c r="D13" s="8">
        <v>2.67</v>
      </c>
      <c r="E13" s="12">
        <v>0</v>
      </c>
      <c r="F13" s="8">
        <v>0</v>
      </c>
      <c r="G13" s="12">
        <v>4</v>
      </c>
      <c r="H13" s="8">
        <v>3.88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1.6</v>
      </c>
      <c r="E14" s="12">
        <v>1</v>
      </c>
      <c r="F14" s="8">
        <v>1.33</v>
      </c>
      <c r="G14" s="12">
        <v>1</v>
      </c>
      <c r="H14" s="8">
        <v>0.97</v>
      </c>
      <c r="I14" s="12">
        <v>0</v>
      </c>
    </row>
    <row r="15" spans="2:9" ht="15" customHeight="1" x14ac:dyDescent="0.2">
      <c r="B15" t="s">
        <v>200</v>
      </c>
      <c r="C15" s="12">
        <v>24</v>
      </c>
      <c r="D15" s="8">
        <v>12.83</v>
      </c>
      <c r="E15" s="12">
        <v>17</v>
      </c>
      <c r="F15" s="8">
        <v>22.67</v>
      </c>
      <c r="G15" s="12">
        <v>6</v>
      </c>
      <c r="H15" s="8">
        <v>5.83</v>
      </c>
      <c r="I15" s="12">
        <v>0</v>
      </c>
    </row>
    <row r="16" spans="2:9" ht="15" customHeight="1" x14ac:dyDescent="0.2">
      <c r="B16" t="s">
        <v>201</v>
      </c>
      <c r="C16" s="12">
        <v>32</v>
      </c>
      <c r="D16" s="8">
        <v>17.11</v>
      </c>
      <c r="E16" s="12">
        <v>23</v>
      </c>
      <c r="F16" s="8">
        <v>30.67</v>
      </c>
      <c r="G16" s="12">
        <v>9</v>
      </c>
      <c r="H16" s="8">
        <v>8.74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1.6</v>
      </c>
      <c r="E17" s="12">
        <v>1</v>
      </c>
      <c r="F17" s="8">
        <v>1.33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6</v>
      </c>
      <c r="D18" s="8">
        <v>3.21</v>
      </c>
      <c r="E18" s="12">
        <v>1</v>
      </c>
      <c r="F18" s="8">
        <v>1.33</v>
      </c>
      <c r="G18" s="12">
        <v>4</v>
      </c>
      <c r="H18" s="8">
        <v>3.88</v>
      </c>
      <c r="I18" s="12">
        <v>1</v>
      </c>
    </row>
    <row r="19" spans="2:9" ht="15" customHeight="1" x14ac:dyDescent="0.2">
      <c r="B19" t="s">
        <v>204</v>
      </c>
      <c r="C19" s="12">
        <v>7</v>
      </c>
      <c r="D19" s="8">
        <v>3.74</v>
      </c>
      <c r="E19" s="12">
        <v>4</v>
      </c>
      <c r="F19" s="8">
        <v>5.33</v>
      </c>
      <c r="G19" s="12">
        <v>2</v>
      </c>
      <c r="H19" s="8">
        <v>1.94</v>
      </c>
      <c r="I19" s="12">
        <v>1</v>
      </c>
    </row>
    <row r="20" spans="2:9" ht="15" customHeight="1" x14ac:dyDescent="0.2">
      <c r="B20" s="9" t="s">
        <v>529</v>
      </c>
      <c r="C20" s="12">
        <f>SUM(LTBL_01222[総数／事業所数])</f>
        <v>187</v>
      </c>
      <c r="E20" s="12">
        <f>SUBTOTAL(109,LTBL_01222[個人／事業所数])</f>
        <v>75</v>
      </c>
      <c r="G20" s="12">
        <f>SUBTOTAL(109,LTBL_01222[法人／事業所数])</f>
        <v>103</v>
      </c>
      <c r="I20" s="12">
        <f>SUBTOTAL(109,LTBL_01222[法人以外の団体／事業所数])</f>
        <v>2</v>
      </c>
    </row>
    <row r="21" spans="2:9" ht="15" customHeight="1" x14ac:dyDescent="0.2">
      <c r="E21" s="11">
        <f>LTBL_01222[[#Totals],[個人／事業所数]]/LTBL_01222[[#Totals],[総数／事業所数]]</f>
        <v>0.40106951871657753</v>
      </c>
      <c r="G21" s="11">
        <f>LTBL_01222[[#Totals],[法人／事業所数]]/LTBL_01222[[#Totals],[総数／事業所数]]</f>
        <v>0.55080213903743314</v>
      </c>
      <c r="I21" s="11">
        <f>LTBL_01222[[#Totals],[法人以外の団体／事業所数]]/LTBL_01222[[#Totals],[総数／事業所数]]</f>
        <v>1.06951871657754E-2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28</v>
      </c>
      <c r="D24" s="8">
        <v>14.97</v>
      </c>
      <c r="E24" s="12">
        <v>23</v>
      </c>
      <c r="F24" s="8">
        <v>30.67</v>
      </c>
      <c r="G24" s="12">
        <v>5</v>
      </c>
      <c r="H24" s="8">
        <v>4.8499999999999996</v>
      </c>
      <c r="I24" s="12">
        <v>0</v>
      </c>
    </row>
    <row r="25" spans="2:9" ht="15" customHeight="1" x14ac:dyDescent="0.2">
      <c r="B25" t="s">
        <v>227</v>
      </c>
      <c r="C25" s="12">
        <v>19</v>
      </c>
      <c r="D25" s="8">
        <v>10.16</v>
      </c>
      <c r="E25" s="12">
        <v>17</v>
      </c>
      <c r="F25" s="8">
        <v>22.67</v>
      </c>
      <c r="G25" s="12">
        <v>2</v>
      </c>
      <c r="H25" s="8">
        <v>1.94</v>
      </c>
      <c r="I25" s="12">
        <v>0</v>
      </c>
    </row>
    <row r="26" spans="2:9" ht="15" customHeight="1" x14ac:dyDescent="0.2">
      <c r="B26" t="s">
        <v>221</v>
      </c>
      <c r="C26" s="12">
        <v>17</v>
      </c>
      <c r="D26" s="8">
        <v>9.09</v>
      </c>
      <c r="E26" s="12">
        <v>7</v>
      </c>
      <c r="F26" s="8">
        <v>9.33</v>
      </c>
      <c r="G26" s="12">
        <v>10</v>
      </c>
      <c r="H26" s="8">
        <v>9.7100000000000009</v>
      </c>
      <c r="I26" s="12">
        <v>0</v>
      </c>
    </row>
    <row r="27" spans="2:9" ht="15" customHeight="1" x14ac:dyDescent="0.2">
      <c r="B27" t="s">
        <v>223</v>
      </c>
      <c r="C27" s="12">
        <v>17</v>
      </c>
      <c r="D27" s="8">
        <v>9.09</v>
      </c>
      <c r="E27" s="12">
        <v>7</v>
      </c>
      <c r="F27" s="8">
        <v>9.33</v>
      </c>
      <c r="G27" s="12">
        <v>10</v>
      </c>
      <c r="H27" s="8">
        <v>9.7100000000000009</v>
      </c>
      <c r="I27" s="12">
        <v>0</v>
      </c>
    </row>
    <row r="28" spans="2:9" ht="15" customHeight="1" x14ac:dyDescent="0.2">
      <c r="B28" t="s">
        <v>213</v>
      </c>
      <c r="C28" s="12">
        <v>14</v>
      </c>
      <c r="D28" s="8">
        <v>7.49</v>
      </c>
      <c r="E28" s="12">
        <v>2</v>
      </c>
      <c r="F28" s="8">
        <v>2.67</v>
      </c>
      <c r="G28" s="12">
        <v>12</v>
      </c>
      <c r="H28" s="8">
        <v>11.65</v>
      </c>
      <c r="I28" s="12">
        <v>0</v>
      </c>
    </row>
    <row r="29" spans="2:9" ht="15" customHeight="1" x14ac:dyDescent="0.2">
      <c r="B29" t="s">
        <v>214</v>
      </c>
      <c r="C29" s="12">
        <v>9</v>
      </c>
      <c r="D29" s="8">
        <v>4.8099999999999996</v>
      </c>
      <c r="E29" s="12">
        <v>2</v>
      </c>
      <c r="F29" s="8">
        <v>2.67</v>
      </c>
      <c r="G29" s="12">
        <v>7</v>
      </c>
      <c r="H29" s="8">
        <v>6.8</v>
      </c>
      <c r="I29" s="12">
        <v>0</v>
      </c>
    </row>
    <row r="30" spans="2:9" ht="15" customHeight="1" x14ac:dyDescent="0.2">
      <c r="B30" t="s">
        <v>220</v>
      </c>
      <c r="C30" s="12">
        <v>9</v>
      </c>
      <c r="D30" s="8">
        <v>4.8099999999999996</v>
      </c>
      <c r="E30" s="12">
        <v>5</v>
      </c>
      <c r="F30" s="8">
        <v>6.67</v>
      </c>
      <c r="G30" s="12">
        <v>4</v>
      </c>
      <c r="H30" s="8">
        <v>3.88</v>
      </c>
      <c r="I30" s="12">
        <v>0</v>
      </c>
    </row>
    <row r="31" spans="2:9" ht="15" customHeight="1" x14ac:dyDescent="0.2">
      <c r="B31" t="s">
        <v>215</v>
      </c>
      <c r="C31" s="12">
        <v>7</v>
      </c>
      <c r="D31" s="8">
        <v>3.74</v>
      </c>
      <c r="E31" s="12">
        <v>1</v>
      </c>
      <c r="F31" s="8">
        <v>1.33</v>
      </c>
      <c r="G31" s="12">
        <v>6</v>
      </c>
      <c r="H31" s="8">
        <v>5.83</v>
      </c>
      <c r="I31" s="12">
        <v>0</v>
      </c>
    </row>
    <row r="32" spans="2:9" ht="15" customHeight="1" x14ac:dyDescent="0.2">
      <c r="B32" t="s">
        <v>222</v>
      </c>
      <c r="C32" s="12">
        <v>6</v>
      </c>
      <c r="D32" s="8">
        <v>3.21</v>
      </c>
      <c r="E32" s="12">
        <v>1</v>
      </c>
      <c r="F32" s="8">
        <v>1.33</v>
      </c>
      <c r="G32" s="12">
        <v>5</v>
      </c>
      <c r="H32" s="8">
        <v>4.8499999999999996</v>
      </c>
      <c r="I32" s="12">
        <v>0</v>
      </c>
    </row>
    <row r="33" spans="2:9" ht="15" customHeight="1" x14ac:dyDescent="0.2">
      <c r="B33" t="s">
        <v>236</v>
      </c>
      <c r="C33" s="12">
        <v>5</v>
      </c>
      <c r="D33" s="8">
        <v>2.67</v>
      </c>
      <c r="E33" s="12">
        <v>0</v>
      </c>
      <c r="F33" s="8">
        <v>0</v>
      </c>
      <c r="G33" s="12">
        <v>5</v>
      </c>
      <c r="H33" s="8">
        <v>4.8499999999999996</v>
      </c>
      <c r="I33" s="12">
        <v>0</v>
      </c>
    </row>
    <row r="34" spans="2:9" ht="15" customHeight="1" x14ac:dyDescent="0.2">
      <c r="B34" t="s">
        <v>232</v>
      </c>
      <c r="C34" s="12">
        <v>5</v>
      </c>
      <c r="D34" s="8">
        <v>2.67</v>
      </c>
      <c r="E34" s="12">
        <v>0</v>
      </c>
      <c r="F34" s="8">
        <v>0</v>
      </c>
      <c r="G34" s="12">
        <v>4</v>
      </c>
      <c r="H34" s="8">
        <v>3.88</v>
      </c>
      <c r="I34" s="12">
        <v>1</v>
      </c>
    </row>
    <row r="35" spans="2:9" ht="15" customHeight="1" x14ac:dyDescent="0.2">
      <c r="B35" t="s">
        <v>244</v>
      </c>
      <c r="C35" s="12">
        <v>3</v>
      </c>
      <c r="D35" s="8">
        <v>1.6</v>
      </c>
      <c r="E35" s="12">
        <v>1</v>
      </c>
      <c r="F35" s="8">
        <v>1.33</v>
      </c>
      <c r="G35" s="12">
        <v>2</v>
      </c>
      <c r="H35" s="8">
        <v>1.94</v>
      </c>
      <c r="I35" s="12">
        <v>0</v>
      </c>
    </row>
    <row r="36" spans="2:9" ht="15" customHeight="1" x14ac:dyDescent="0.2">
      <c r="B36" t="s">
        <v>255</v>
      </c>
      <c r="C36" s="12">
        <v>3</v>
      </c>
      <c r="D36" s="8">
        <v>1.6</v>
      </c>
      <c r="E36" s="12">
        <v>0</v>
      </c>
      <c r="F36" s="8">
        <v>0</v>
      </c>
      <c r="G36" s="12">
        <v>1</v>
      </c>
      <c r="H36" s="8">
        <v>0.97</v>
      </c>
      <c r="I36" s="12">
        <v>0</v>
      </c>
    </row>
    <row r="37" spans="2:9" ht="15" customHeight="1" x14ac:dyDescent="0.2">
      <c r="B37" t="s">
        <v>217</v>
      </c>
      <c r="C37" s="12">
        <v>3</v>
      </c>
      <c r="D37" s="8">
        <v>1.6</v>
      </c>
      <c r="E37" s="12">
        <v>1</v>
      </c>
      <c r="F37" s="8">
        <v>1.33</v>
      </c>
      <c r="G37" s="12">
        <v>2</v>
      </c>
      <c r="H37" s="8">
        <v>1.94</v>
      </c>
      <c r="I37" s="12">
        <v>0</v>
      </c>
    </row>
    <row r="38" spans="2:9" ht="15" customHeight="1" x14ac:dyDescent="0.2">
      <c r="B38" t="s">
        <v>224</v>
      </c>
      <c r="C38" s="12">
        <v>3</v>
      </c>
      <c r="D38" s="8">
        <v>1.6</v>
      </c>
      <c r="E38" s="12">
        <v>0</v>
      </c>
      <c r="F38" s="8">
        <v>0</v>
      </c>
      <c r="G38" s="12">
        <v>2</v>
      </c>
      <c r="H38" s="8">
        <v>1.94</v>
      </c>
      <c r="I38" s="12">
        <v>0</v>
      </c>
    </row>
    <row r="39" spans="2:9" ht="15" customHeight="1" x14ac:dyDescent="0.2">
      <c r="B39" t="s">
        <v>239</v>
      </c>
      <c r="C39" s="12">
        <v>3</v>
      </c>
      <c r="D39" s="8">
        <v>1.6</v>
      </c>
      <c r="E39" s="12">
        <v>0</v>
      </c>
      <c r="F39" s="8">
        <v>0</v>
      </c>
      <c r="G39" s="12">
        <v>3</v>
      </c>
      <c r="H39" s="8">
        <v>2.91</v>
      </c>
      <c r="I39" s="12">
        <v>0</v>
      </c>
    </row>
    <row r="40" spans="2:9" ht="15" customHeight="1" x14ac:dyDescent="0.2">
      <c r="B40" t="s">
        <v>230</v>
      </c>
      <c r="C40" s="12">
        <v>3</v>
      </c>
      <c r="D40" s="8">
        <v>1.6</v>
      </c>
      <c r="E40" s="12">
        <v>1</v>
      </c>
      <c r="F40" s="8">
        <v>1.33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234</v>
      </c>
      <c r="C41" s="12">
        <v>3</v>
      </c>
      <c r="D41" s="8">
        <v>1.6</v>
      </c>
      <c r="E41" s="12">
        <v>1</v>
      </c>
      <c r="F41" s="8">
        <v>1.33</v>
      </c>
      <c r="G41" s="12">
        <v>2</v>
      </c>
      <c r="H41" s="8">
        <v>1.94</v>
      </c>
      <c r="I41" s="12">
        <v>0</v>
      </c>
    </row>
    <row r="42" spans="2:9" ht="15" customHeight="1" x14ac:dyDescent="0.2">
      <c r="B42" t="s">
        <v>241</v>
      </c>
      <c r="C42" s="12">
        <v>2</v>
      </c>
      <c r="D42" s="8">
        <v>1.07</v>
      </c>
      <c r="E42" s="12">
        <v>0</v>
      </c>
      <c r="F42" s="8">
        <v>0</v>
      </c>
      <c r="G42" s="12">
        <v>2</v>
      </c>
      <c r="H42" s="8">
        <v>1.94</v>
      </c>
      <c r="I42" s="12">
        <v>0</v>
      </c>
    </row>
    <row r="43" spans="2:9" ht="15" customHeight="1" x14ac:dyDescent="0.2">
      <c r="B43" t="s">
        <v>254</v>
      </c>
      <c r="C43" s="12">
        <v>2</v>
      </c>
      <c r="D43" s="8">
        <v>1.07</v>
      </c>
      <c r="E43" s="12">
        <v>0</v>
      </c>
      <c r="F43" s="8">
        <v>0</v>
      </c>
      <c r="G43" s="12">
        <v>2</v>
      </c>
      <c r="H43" s="8">
        <v>1.94</v>
      </c>
      <c r="I43" s="12">
        <v>0</v>
      </c>
    </row>
    <row r="44" spans="2:9" ht="15" customHeight="1" x14ac:dyDescent="0.2">
      <c r="B44" t="s">
        <v>218</v>
      </c>
      <c r="C44" s="12">
        <v>2</v>
      </c>
      <c r="D44" s="8">
        <v>1.07</v>
      </c>
      <c r="E44" s="12">
        <v>0</v>
      </c>
      <c r="F44" s="8">
        <v>0</v>
      </c>
      <c r="G44" s="12">
        <v>2</v>
      </c>
      <c r="H44" s="8">
        <v>1.94</v>
      </c>
      <c r="I44" s="12">
        <v>0</v>
      </c>
    </row>
    <row r="45" spans="2:9" ht="15" customHeight="1" x14ac:dyDescent="0.2">
      <c r="B45" t="s">
        <v>256</v>
      </c>
      <c r="C45" s="12">
        <v>2</v>
      </c>
      <c r="D45" s="8">
        <v>1.07</v>
      </c>
      <c r="E45" s="12">
        <v>0</v>
      </c>
      <c r="F45" s="8">
        <v>0</v>
      </c>
      <c r="G45" s="12">
        <v>1</v>
      </c>
      <c r="H45" s="8">
        <v>0.97</v>
      </c>
      <c r="I45" s="12">
        <v>0</v>
      </c>
    </row>
    <row r="46" spans="2:9" ht="15" customHeight="1" x14ac:dyDescent="0.2">
      <c r="B46" t="s">
        <v>243</v>
      </c>
      <c r="C46" s="12">
        <v>2</v>
      </c>
      <c r="D46" s="8">
        <v>1.07</v>
      </c>
      <c r="E46" s="12">
        <v>0</v>
      </c>
      <c r="F46" s="8">
        <v>0</v>
      </c>
      <c r="G46" s="12">
        <v>1</v>
      </c>
      <c r="H46" s="8">
        <v>0.97</v>
      </c>
      <c r="I46" s="12">
        <v>0</v>
      </c>
    </row>
    <row r="47" spans="2:9" ht="15" customHeight="1" x14ac:dyDescent="0.2">
      <c r="B47" t="s">
        <v>229</v>
      </c>
      <c r="C47" s="12">
        <v>2</v>
      </c>
      <c r="D47" s="8">
        <v>1.07</v>
      </c>
      <c r="E47" s="12">
        <v>0</v>
      </c>
      <c r="F47" s="8">
        <v>0</v>
      </c>
      <c r="G47" s="12">
        <v>2</v>
      </c>
      <c r="H47" s="8">
        <v>1.94</v>
      </c>
      <c r="I47" s="12">
        <v>0</v>
      </c>
    </row>
    <row r="48" spans="2:9" ht="15" customHeight="1" x14ac:dyDescent="0.2">
      <c r="B48" t="s">
        <v>247</v>
      </c>
      <c r="C48" s="12">
        <v>2</v>
      </c>
      <c r="D48" s="8">
        <v>1.07</v>
      </c>
      <c r="E48" s="12">
        <v>0</v>
      </c>
      <c r="F48" s="8">
        <v>0</v>
      </c>
      <c r="G48" s="12">
        <v>2</v>
      </c>
      <c r="H48" s="8">
        <v>1.94</v>
      </c>
      <c r="I48" s="12">
        <v>0</v>
      </c>
    </row>
    <row r="49" spans="2:9" ht="15" customHeight="1" x14ac:dyDescent="0.2">
      <c r="B49" t="s">
        <v>242</v>
      </c>
      <c r="C49" s="12">
        <v>2</v>
      </c>
      <c r="D49" s="8">
        <v>1.07</v>
      </c>
      <c r="E49" s="12">
        <v>2</v>
      </c>
      <c r="F49" s="8">
        <v>2.67</v>
      </c>
      <c r="G49" s="12">
        <v>0</v>
      </c>
      <c r="H49" s="8">
        <v>0</v>
      </c>
      <c r="I49" s="12">
        <v>0</v>
      </c>
    </row>
    <row r="52" spans="2:9" ht="33" customHeight="1" x14ac:dyDescent="0.2">
      <c r="B52" t="s">
        <v>531</v>
      </c>
      <c r="C52" s="10" t="s">
        <v>206</v>
      </c>
      <c r="D52" s="10" t="s">
        <v>207</v>
      </c>
      <c r="E52" s="10" t="s">
        <v>208</v>
      </c>
      <c r="F52" s="10" t="s">
        <v>209</v>
      </c>
      <c r="G52" s="10" t="s">
        <v>210</v>
      </c>
      <c r="H52" s="10" t="s">
        <v>211</v>
      </c>
      <c r="I52" s="10" t="s">
        <v>212</v>
      </c>
    </row>
    <row r="53" spans="2:9" ht="15" customHeight="1" x14ac:dyDescent="0.2">
      <c r="B53" t="s">
        <v>304</v>
      </c>
      <c r="C53" s="12">
        <v>15</v>
      </c>
      <c r="D53" s="8">
        <v>8.02</v>
      </c>
      <c r="E53" s="12">
        <v>14</v>
      </c>
      <c r="F53" s="8">
        <v>18.670000000000002</v>
      </c>
      <c r="G53" s="12">
        <v>1</v>
      </c>
      <c r="H53" s="8">
        <v>0.97</v>
      </c>
      <c r="I53" s="12">
        <v>0</v>
      </c>
    </row>
    <row r="54" spans="2:9" ht="15" customHeight="1" x14ac:dyDescent="0.2">
      <c r="B54" t="s">
        <v>303</v>
      </c>
      <c r="C54" s="12">
        <v>9</v>
      </c>
      <c r="D54" s="8">
        <v>4.8099999999999996</v>
      </c>
      <c r="E54" s="12">
        <v>8</v>
      </c>
      <c r="F54" s="8">
        <v>10.67</v>
      </c>
      <c r="G54" s="12">
        <v>1</v>
      </c>
      <c r="H54" s="8">
        <v>0.97</v>
      </c>
      <c r="I54" s="12">
        <v>0</v>
      </c>
    </row>
    <row r="55" spans="2:9" ht="15" customHeight="1" x14ac:dyDescent="0.2">
      <c r="B55" t="s">
        <v>288</v>
      </c>
      <c r="C55" s="12">
        <v>8</v>
      </c>
      <c r="D55" s="8">
        <v>4.28</v>
      </c>
      <c r="E55" s="12">
        <v>1</v>
      </c>
      <c r="F55" s="8">
        <v>1.33</v>
      </c>
      <c r="G55" s="12">
        <v>7</v>
      </c>
      <c r="H55" s="8">
        <v>6.8</v>
      </c>
      <c r="I55" s="12">
        <v>0</v>
      </c>
    </row>
    <row r="56" spans="2:9" ht="15" customHeight="1" x14ac:dyDescent="0.2">
      <c r="B56" t="s">
        <v>330</v>
      </c>
      <c r="C56" s="12">
        <v>8</v>
      </c>
      <c r="D56" s="8">
        <v>4.28</v>
      </c>
      <c r="E56" s="12">
        <v>2</v>
      </c>
      <c r="F56" s="8">
        <v>2.67</v>
      </c>
      <c r="G56" s="12">
        <v>6</v>
      </c>
      <c r="H56" s="8">
        <v>5.83</v>
      </c>
      <c r="I56" s="12">
        <v>0</v>
      </c>
    </row>
    <row r="57" spans="2:9" ht="15" customHeight="1" x14ac:dyDescent="0.2">
      <c r="B57" t="s">
        <v>300</v>
      </c>
      <c r="C57" s="12">
        <v>7</v>
      </c>
      <c r="D57" s="8">
        <v>3.74</v>
      </c>
      <c r="E57" s="12">
        <v>5</v>
      </c>
      <c r="F57" s="8">
        <v>6.67</v>
      </c>
      <c r="G57" s="12">
        <v>2</v>
      </c>
      <c r="H57" s="8">
        <v>1.94</v>
      </c>
      <c r="I57" s="12">
        <v>0</v>
      </c>
    </row>
    <row r="58" spans="2:9" ht="15" customHeight="1" x14ac:dyDescent="0.2">
      <c r="B58" t="s">
        <v>292</v>
      </c>
      <c r="C58" s="12">
        <v>6</v>
      </c>
      <c r="D58" s="8">
        <v>3.21</v>
      </c>
      <c r="E58" s="12">
        <v>2</v>
      </c>
      <c r="F58" s="8">
        <v>2.67</v>
      </c>
      <c r="G58" s="12">
        <v>4</v>
      </c>
      <c r="H58" s="8">
        <v>3.88</v>
      </c>
      <c r="I58" s="12">
        <v>0</v>
      </c>
    </row>
    <row r="59" spans="2:9" ht="15" customHeight="1" x14ac:dyDescent="0.2">
      <c r="B59" t="s">
        <v>301</v>
      </c>
      <c r="C59" s="12">
        <v>6</v>
      </c>
      <c r="D59" s="8">
        <v>3.21</v>
      </c>
      <c r="E59" s="12">
        <v>6</v>
      </c>
      <c r="F59" s="8">
        <v>8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314</v>
      </c>
      <c r="C60" s="12">
        <v>5</v>
      </c>
      <c r="D60" s="8">
        <v>2.67</v>
      </c>
      <c r="E60" s="12">
        <v>3</v>
      </c>
      <c r="F60" s="8">
        <v>4</v>
      </c>
      <c r="G60" s="12">
        <v>2</v>
      </c>
      <c r="H60" s="8">
        <v>1.94</v>
      </c>
      <c r="I60" s="12">
        <v>0</v>
      </c>
    </row>
    <row r="61" spans="2:9" ht="15" customHeight="1" x14ac:dyDescent="0.2">
      <c r="B61" t="s">
        <v>291</v>
      </c>
      <c r="C61" s="12">
        <v>4</v>
      </c>
      <c r="D61" s="8">
        <v>2.14</v>
      </c>
      <c r="E61" s="12">
        <v>1</v>
      </c>
      <c r="F61" s="8">
        <v>1.33</v>
      </c>
      <c r="G61" s="12">
        <v>3</v>
      </c>
      <c r="H61" s="8">
        <v>2.91</v>
      </c>
      <c r="I61" s="12">
        <v>0</v>
      </c>
    </row>
    <row r="62" spans="2:9" ht="15" customHeight="1" x14ac:dyDescent="0.2">
      <c r="B62" t="s">
        <v>293</v>
      </c>
      <c r="C62" s="12">
        <v>4</v>
      </c>
      <c r="D62" s="8">
        <v>2.14</v>
      </c>
      <c r="E62" s="12">
        <v>0</v>
      </c>
      <c r="F62" s="8">
        <v>0</v>
      </c>
      <c r="G62" s="12">
        <v>4</v>
      </c>
      <c r="H62" s="8">
        <v>3.88</v>
      </c>
      <c r="I62" s="12">
        <v>0</v>
      </c>
    </row>
    <row r="63" spans="2:9" ht="15" customHeight="1" x14ac:dyDescent="0.2">
      <c r="B63" t="s">
        <v>355</v>
      </c>
      <c r="C63" s="12">
        <v>4</v>
      </c>
      <c r="D63" s="8">
        <v>2.14</v>
      </c>
      <c r="E63" s="12">
        <v>0</v>
      </c>
      <c r="F63" s="8">
        <v>0</v>
      </c>
      <c r="G63" s="12">
        <v>4</v>
      </c>
      <c r="H63" s="8">
        <v>3.88</v>
      </c>
      <c r="I63" s="12">
        <v>0</v>
      </c>
    </row>
    <row r="64" spans="2:9" ht="15" customHeight="1" x14ac:dyDescent="0.2">
      <c r="B64" t="s">
        <v>356</v>
      </c>
      <c r="C64" s="12">
        <v>4</v>
      </c>
      <c r="D64" s="8">
        <v>2.14</v>
      </c>
      <c r="E64" s="12">
        <v>1</v>
      </c>
      <c r="F64" s="8">
        <v>1.33</v>
      </c>
      <c r="G64" s="12">
        <v>3</v>
      </c>
      <c r="H64" s="8">
        <v>2.91</v>
      </c>
      <c r="I64" s="12">
        <v>0</v>
      </c>
    </row>
    <row r="65" spans="2:9" ht="15" customHeight="1" x14ac:dyDescent="0.2">
      <c r="B65" t="s">
        <v>331</v>
      </c>
      <c r="C65" s="12">
        <v>4</v>
      </c>
      <c r="D65" s="8">
        <v>2.14</v>
      </c>
      <c r="E65" s="12">
        <v>0</v>
      </c>
      <c r="F65" s="8">
        <v>0</v>
      </c>
      <c r="G65" s="12">
        <v>3</v>
      </c>
      <c r="H65" s="8">
        <v>2.91</v>
      </c>
      <c r="I65" s="12">
        <v>1</v>
      </c>
    </row>
    <row r="66" spans="2:9" ht="15" customHeight="1" x14ac:dyDescent="0.2">
      <c r="B66" t="s">
        <v>289</v>
      </c>
      <c r="C66" s="12">
        <v>3</v>
      </c>
      <c r="D66" s="8">
        <v>1.6</v>
      </c>
      <c r="E66" s="12">
        <v>1</v>
      </c>
      <c r="F66" s="8">
        <v>1.33</v>
      </c>
      <c r="G66" s="12">
        <v>2</v>
      </c>
      <c r="H66" s="8">
        <v>1.94</v>
      </c>
      <c r="I66" s="12">
        <v>0</v>
      </c>
    </row>
    <row r="67" spans="2:9" ht="15" customHeight="1" x14ac:dyDescent="0.2">
      <c r="B67" t="s">
        <v>353</v>
      </c>
      <c r="C67" s="12">
        <v>3</v>
      </c>
      <c r="D67" s="8">
        <v>1.6</v>
      </c>
      <c r="E67" s="12">
        <v>1</v>
      </c>
      <c r="F67" s="8">
        <v>1.33</v>
      </c>
      <c r="G67" s="12">
        <v>2</v>
      </c>
      <c r="H67" s="8">
        <v>1.94</v>
      </c>
      <c r="I67" s="12">
        <v>0</v>
      </c>
    </row>
    <row r="68" spans="2:9" ht="15" customHeight="1" x14ac:dyDescent="0.2">
      <c r="B68" t="s">
        <v>290</v>
      </c>
      <c r="C68" s="12">
        <v>3</v>
      </c>
      <c r="D68" s="8">
        <v>1.6</v>
      </c>
      <c r="E68" s="12">
        <v>0</v>
      </c>
      <c r="F68" s="8">
        <v>0</v>
      </c>
      <c r="G68" s="12">
        <v>3</v>
      </c>
      <c r="H68" s="8">
        <v>2.91</v>
      </c>
      <c r="I68" s="12">
        <v>0</v>
      </c>
    </row>
    <row r="69" spans="2:9" ht="15" customHeight="1" x14ac:dyDescent="0.2">
      <c r="B69" t="s">
        <v>354</v>
      </c>
      <c r="C69" s="12">
        <v>3</v>
      </c>
      <c r="D69" s="8">
        <v>1.6</v>
      </c>
      <c r="E69" s="12">
        <v>1</v>
      </c>
      <c r="F69" s="8">
        <v>1.33</v>
      </c>
      <c r="G69" s="12">
        <v>2</v>
      </c>
      <c r="H69" s="8">
        <v>1.94</v>
      </c>
      <c r="I69" s="12">
        <v>0</v>
      </c>
    </row>
    <row r="70" spans="2:9" ht="15" customHeight="1" x14ac:dyDescent="0.2">
      <c r="B70" t="s">
        <v>336</v>
      </c>
      <c r="C70" s="12">
        <v>3</v>
      </c>
      <c r="D70" s="8">
        <v>1.6</v>
      </c>
      <c r="E70" s="12">
        <v>2</v>
      </c>
      <c r="F70" s="8">
        <v>2.67</v>
      </c>
      <c r="G70" s="12">
        <v>1</v>
      </c>
      <c r="H70" s="8">
        <v>0.97</v>
      </c>
      <c r="I70" s="12">
        <v>0</v>
      </c>
    </row>
    <row r="71" spans="2:9" ht="15" customHeight="1" x14ac:dyDescent="0.2">
      <c r="B71" t="s">
        <v>329</v>
      </c>
      <c r="C71" s="12">
        <v>3</v>
      </c>
      <c r="D71" s="8">
        <v>1.6</v>
      </c>
      <c r="E71" s="12">
        <v>1</v>
      </c>
      <c r="F71" s="8">
        <v>1.33</v>
      </c>
      <c r="G71" s="12">
        <v>2</v>
      </c>
      <c r="H71" s="8">
        <v>1.94</v>
      </c>
      <c r="I71" s="12">
        <v>0</v>
      </c>
    </row>
    <row r="72" spans="2:9" ht="15" customHeight="1" x14ac:dyDescent="0.2">
      <c r="B72" t="s">
        <v>297</v>
      </c>
      <c r="C72" s="12">
        <v>3</v>
      </c>
      <c r="D72" s="8">
        <v>1.6</v>
      </c>
      <c r="E72" s="12">
        <v>0</v>
      </c>
      <c r="F72" s="8">
        <v>0</v>
      </c>
      <c r="G72" s="12">
        <v>2</v>
      </c>
      <c r="H72" s="8">
        <v>1.94</v>
      </c>
      <c r="I72" s="12">
        <v>0</v>
      </c>
    </row>
    <row r="73" spans="2:9" ht="15" customHeight="1" x14ac:dyDescent="0.2">
      <c r="B73" t="s">
        <v>299</v>
      </c>
      <c r="C73" s="12">
        <v>3</v>
      </c>
      <c r="D73" s="8">
        <v>1.6</v>
      </c>
      <c r="E73" s="12">
        <v>3</v>
      </c>
      <c r="F73" s="8">
        <v>4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325</v>
      </c>
      <c r="C74" s="12">
        <v>3</v>
      </c>
      <c r="D74" s="8">
        <v>1.6</v>
      </c>
      <c r="E74" s="12">
        <v>0</v>
      </c>
      <c r="F74" s="8">
        <v>0</v>
      </c>
      <c r="G74" s="12">
        <v>3</v>
      </c>
      <c r="H74" s="8">
        <v>2.91</v>
      </c>
      <c r="I74" s="12">
        <v>0</v>
      </c>
    </row>
    <row r="76" spans="2:9" ht="15" customHeight="1" x14ac:dyDescent="0.2">
      <c r="B7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5C3D2-B565-47BB-9B73-81772BD4BAF2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82</v>
      </c>
      <c r="D6" s="8">
        <v>10.199999999999999</v>
      </c>
      <c r="E6" s="12">
        <v>29</v>
      </c>
      <c r="F6" s="8">
        <v>6.67</v>
      </c>
      <c r="G6" s="12">
        <v>53</v>
      </c>
      <c r="H6" s="8">
        <v>15.36</v>
      </c>
      <c r="I6" s="12">
        <v>0</v>
      </c>
    </row>
    <row r="7" spans="2:9" ht="15" customHeight="1" x14ac:dyDescent="0.2">
      <c r="B7" t="s">
        <v>192</v>
      </c>
      <c r="C7" s="12">
        <v>79</v>
      </c>
      <c r="D7" s="8">
        <v>9.83</v>
      </c>
      <c r="E7" s="12">
        <v>23</v>
      </c>
      <c r="F7" s="8">
        <v>5.29</v>
      </c>
      <c r="G7" s="12">
        <v>55</v>
      </c>
      <c r="H7" s="8">
        <v>15.94</v>
      </c>
      <c r="I7" s="12">
        <v>1</v>
      </c>
    </row>
    <row r="8" spans="2:9" ht="15" customHeight="1" x14ac:dyDescent="0.2">
      <c r="B8" t="s">
        <v>193</v>
      </c>
      <c r="C8" s="12">
        <v>4</v>
      </c>
      <c r="D8" s="8">
        <v>0.5</v>
      </c>
      <c r="E8" s="12">
        <v>0</v>
      </c>
      <c r="F8" s="8">
        <v>0</v>
      </c>
      <c r="G8" s="12">
        <v>3</v>
      </c>
      <c r="H8" s="8">
        <v>0.87</v>
      </c>
      <c r="I8" s="12">
        <v>0</v>
      </c>
    </row>
    <row r="9" spans="2:9" ht="15" customHeight="1" x14ac:dyDescent="0.2">
      <c r="B9" t="s">
        <v>194</v>
      </c>
      <c r="C9" s="12">
        <v>7</v>
      </c>
      <c r="D9" s="8">
        <v>0.87</v>
      </c>
      <c r="E9" s="12">
        <v>1</v>
      </c>
      <c r="F9" s="8">
        <v>0.23</v>
      </c>
      <c r="G9" s="12">
        <v>6</v>
      </c>
      <c r="H9" s="8">
        <v>1.74</v>
      </c>
      <c r="I9" s="12">
        <v>0</v>
      </c>
    </row>
    <row r="10" spans="2:9" ht="15" customHeight="1" x14ac:dyDescent="0.2">
      <c r="B10" t="s">
        <v>195</v>
      </c>
      <c r="C10" s="12">
        <v>14</v>
      </c>
      <c r="D10" s="8">
        <v>1.74</v>
      </c>
      <c r="E10" s="12">
        <v>0</v>
      </c>
      <c r="F10" s="8">
        <v>0</v>
      </c>
      <c r="G10" s="12">
        <v>10</v>
      </c>
      <c r="H10" s="8">
        <v>2.9</v>
      </c>
      <c r="I10" s="12">
        <v>2</v>
      </c>
    </row>
    <row r="11" spans="2:9" ht="15" customHeight="1" x14ac:dyDescent="0.2">
      <c r="B11" t="s">
        <v>196</v>
      </c>
      <c r="C11" s="12">
        <v>184</v>
      </c>
      <c r="D11" s="8">
        <v>22.89</v>
      </c>
      <c r="E11" s="12">
        <v>70</v>
      </c>
      <c r="F11" s="8">
        <v>16.09</v>
      </c>
      <c r="G11" s="12">
        <v>114</v>
      </c>
      <c r="H11" s="8">
        <v>33.04</v>
      </c>
      <c r="I11" s="12">
        <v>0</v>
      </c>
    </row>
    <row r="12" spans="2:9" ht="15" customHeight="1" x14ac:dyDescent="0.2">
      <c r="B12" t="s">
        <v>197</v>
      </c>
      <c r="C12" s="12">
        <v>9</v>
      </c>
      <c r="D12" s="8">
        <v>1.1200000000000001</v>
      </c>
      <c r="E12" s="12">
        <v>3</v>
      </c>
      <c r="F12" s="8">
        <v>0.69</v>
      </c>
      <c r="G12" s="12">
        <v>6</v>
      </c>
      <c r="H12" s="8">
        <v>1.74</v>
      </c>
      <c r="I12" s="12">
        <v>0</v>
      </c>
    </row>
    <row r="13" spans="2:9" ht="15" customHeight="1" x14ac:dyDescent="0.2">
      <c r="B13" t="s">
        <v>198</v>
      </c>
      <c r="C13" s="12">
        <v>49</v>
      </c>
      <c r="D13" s="8">
        <v>6.09</v>
      </c>
      <c r="E13" s="12">
        <v>16</v>
      </c>
      <c r="F13" s="8">
        <v>3.68</v>
      </c>
      <c r="G13" s="12">
        <v>31</v>
      </c>
      <c r="H13" s="8">
        <v>8.99</v>
      </c>
      <c r="I13" s="12">
        <v>0</v>
      </c>
    </row>
    <row r="14" spans="2:9" ht="15" customHeight="1" x14ac:dyDescent="0.2">
      <c r="B14" t="s">
        <v>199</v>
      </c>
      <c r="C14" s="12">
        <v>19</v>
      </c>
      <c r="D14" s="8">
        <v>2.36</v>
      </c>
      <c r="E14" s="12">
        <v>11</v>
      </c>
      <c r="F14" s="8">
        <v>2.5299999999999998</v>
      </c>
      <c r="G14" s="12">
        <v>6</v>
      </c>
      <c r="H14" s="8">
        <v>1.74</v>
      </c>
      <c r="I14" s="12">
        <v>0</v>
      </c>
    </row>
    <row r="15" spans="2:9" ht="15" customHeight="1" x14ac:dyDescent="0.2">
      <c r="B15" t="s">
        <v>200</v>
      </c>
      <c r="C15" s="12">
        <v>148</v>
      </c>
      <c r="D15" s="8">
        <v>18.41</v>
      </c>
      <c r="E15" s="12">
        <v>133</v>
      </c>
      <c r="F15" s="8">
        <v>30.57</v>
      </c>
      <c r="G15" s="12">
        <v>15</v>
      </c>
      <c r="H15" s="8">
        <v>4.3499999999999996</v>
      </c>
      <c r="I15" s="12">
        <v>0</v>
      </c>
    </row>
    <row r="16" spans="2:9" ht="15" customHeight="1" x14ac:dyDescent="0.2">
      <c r="B16" t="s">
        <v>201</v>
      </c>
      <c r="C16" s="12">
        <v>126</v>
      </c>
      <c r="D16" s="8">
        <v>15.67</v>
      </c>
      <c r="E16" s="12">
        <v>104</v>
      </c>
      <c r="F16" s="8">
        <v>23.91</v>
      </c>
      <c r="G16" s="12">
        <v>20</v>
      </c>
      <c r="H16" s="8">
        <v>5.8</v>
      </c>
      <c r="I16" s="12">
        <v>0</v>
      </c>
    </row>
    <row r="17" spans="2:9" ht="15" customHeight="1" x14ac:dyDescent="0.2">
      <c r="B17" t="s">
        <v>202</v>
      </c>
      <c r="C17" s="12">
        <v>19</v>
      </c>
      <c r="D17" s="8">
        <v>2.36</v>
      </c>
      <c r="E17" s="12">
        <v>16</v>
      </c>
      <c r="F17" s="8">
        <v>3.68</v>
      </c>
      <c r="G17" s="12">
        <v>1</v>
      </c>
      <c r="H17" s="8">
        <v>0.28999999999999998</v>
      </c>
      <c r="I17" s="12">
        <v>0</v>
      </c>
    </row>
    <row r="18" spans="2:9" ht="15" customHeight="1" x14ac:dyDescent="0.2">
      <c r="B18" t="s">
        <v>203</v>
      </c>
      <c r="C18" s="12">
        <v>30</v>
      </c>
      <c r="D18" s="8">
        <v>3.73</v>
      </c>
      <c r="E18" s="12">
        <v>14</v>
      </c>
      <c r="F18" s="8">
        <v>3.22</v>
      </c>
      <c r="G18" s="12">
        <v>10</v>
      </c>
      <c r="H18" s="8">
        <v>2.9</v>
      </c>
      <c r="I18" s="12">
        <v>0</v>
      </c>
    </row>
    <row r="19" spans="2:9" ht="15" customHeight="1" x14ac:dyDescent="0.2">
      <c r="B19" t="s">
        <v>204</v>
      </c>
      <c r="C19" s="12">
        <v>34</v>
      </c>
      <c r="D19" s="8">
        <v>4.2300000000000004</v>
      </c>
      <c r="E19" s="12">
        <v>15</v>
      </c>
      <c r="F19" s="8">
        <v>3.45</v>
      </c>
      <c r="G19" s="12">
        <v>15</v>
      </c>
      <c r="H19" s="8">
        <v>4.3499999999999996</v>
      </c>
      <c r="I19" s="12">
        <v>0</v>
      </c>
    </row>
    <row r="20" spans="2:9" ht="15" customHeight="1" x14ac:dyDescent="0.2">
      <c r="B20" s="9" t="s">
        <v>529</v>
      </c>
      <c r="C20" s="12">
        <f>SUM(LTBL_01223[総数／事業所数])</f>
        <v>804</v>
      </c>
      <c r="E20" s="12">
        <f>SUBTOTAL(109,LTBL_01223[個人／事業所数])</f>
        <v>435</v>
      </c>
      <c r="G20" s="12">
        <f>SUBTOTAL(109,LTBL_01223[法人／事業所数])</f>
        <v>345</v>
      </c>
      <c r="I20" s="12">
        <f>SUBTOTAL(109,LTBL_01223[法人以外の団体／事業所数])</f>
        <v>3</v>
      </c>
    </row>
    <row r="21" spans="2:9" ht="15" customHeight="1" x14ac:dyDescent="0.2">
      <c r="E21" s="11">
        <f>LTBL_01223[[#Totals],[個人／事業所数]]/LTBL_01223[[#Totals],[総数／事業所数]]</f>
        <v>0.54104477611940294</v>
      </c>
      <c r="G21" s="11">
        <f>LTBL_01223[[#Totals],[法人／事業所数]]/LTBL_01223[[#Totals],[総数／事業所数]]</f>
        <v>0.42910447761194032</v>
      </c>
      <c r="I21" s="11">
        <f>LTBL_01223[[#Totals],[法人以外の団体／事業所数]]/LTBL_01223[[#Totals],[総数／事業所数]]</f>
        <v>3.7313432835820895E-3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125</v>
      </c>
      <c r="D24" s="8">
        <v>15.55</v>
      </c>
      <c r="E24" s="12">
        <v>118</v>
      </c>
      <c r="F24" s="8">
        <v>27.13</v>
      </c>
      <c r="G24" s="12">
        <v>7</v>
      </c>
      <c r="H24" s="8">
        <v>2.0299999999999998</v>
      </c>
      <c r="I24" s="12">
        <v>0</v>
      </c>
    </row>
    <row r="25" spans="2:9" ht="15" customHeight="1" x14ac:dyDescent="0.2">
      <c r="B25" t="s">
        <v>228</v>
      </c>
      <c r="C25" s="12">
        <v>109</v>
      </c>
      <c r="D25" s="8">
        <v>13.56</v>
      </c>
      <c r="E25" s="12">
        <v>96</v>
      </c>
      <c r="F25" s="8">
        <v>22.07</v>
      </c>
      <c r="G25" s="12">
        <v>13</v>
      </c>
      <c r="H25" s="8">
        <v>3.77</v>
      </c>
      <c r="I25" s="12">
        <v>0</v>
      </c>
    </row>
    <row r="26" spans="2:9" ht="15" customHeight="1" x14ac:dyDescent="0.2">
      <c r="B26" t="s">
        <v>223</v>
      </c>
      <c r="C26" s="12">
        <v>55</v>
      </c>
      <c r="D26" s="8">
        <v>6.84</v>
      </c>
      <c r="E26" s="12">
        <v>20</v>
      </c>
      <c r="F26" s="8">
        <v>4.5999999999999996</v>
      </c>
      <c r="G26" s="12">
        <v>35</v>
      </c>
      <c r="H26" s="8">
        <v>10.14</v>
      </c>
      <c r="I26" s="12">
        <v>0</v>
      </c>
    </row>
    <row r="27" spans="2:9" ht="15" customHeight="1" x14ac:dyDescent="0.2">
      <c r="B27" t="s">
        <v>224</v>
      </c>
      <c r="C27" s="12">
        <v>43</v>
      </c>
      <c r="D27" s="8">
        <v>5.35</v>
      </c>
      <c r="E27" s="12">
        <v>16</v>
      </c>
      <c r="F27" s="8">
        <v>3.68</v>
      </c>
      <c r="G27" s="12">
        <v>25</v>
      </c>
      <c r="H27" s="8">
        <v>7.25</v>
      </c>
      <c r="I27" s="12">
        <v>0</v>
      </c>
    </row>
    <row r="28" spans="2:9" ht="15" customHeight="1" x14ac:dyDescent="0.2">
      <c r="B28" t="s">
        <v>241</v>
      </c>
      <c r="C28" s="12">
        <v>40</v>
      </c>
      <c r="D28" s="8">
        <v>4.9800000000000004</v>
      </c>
      <c r="E28" s="12">
        <v>11</v>
      </c>
      <c r="F28" s="8">
        <v>2.5299999999999998</v>
      </c>
      <c r="G28" s="12">
        <v>28</v>
      </c>
      <c r="H28" s="8">
        <v>8.1199999999999992</v>
      </c>
      <c r="I28" s="12">
        <v>1</v>
      </c>
    </row>
    <row r="29" spans="2:9" ht="15" customHeight="1" x14ac:dyDescent="0.2">
      <c r="B29" t="s">
        <v>213</v>
      </c>
      <c r="C29" s="12">
        <v>37</v>
      </c>
      <c r="D29" s="8">
        <v>4.5999999999999996</v>
      </c>
      <c r="E29" s="12">
        <v>9</v>
      </c>
      <c r="F29" s="8">
        <v>2.0699999999999998</v>
      </c>
      <c r="G29" s="12">
        <v>28</v>
      </c>
      <c r="H29" s="8">
        <v>8.1199999999999992</v>
      </c>
      <c r="I29" s="12">
        <v>0</v>
      </c>
    </row>
    <row r="30" spans="2:9" ht="15" customHeight="1" x14ac:dyDescent="0.2">
      <c r="B30" t="s">
        <v>221</v>
      </c>
      <c r="C30" s="12">
        <v>34</v>
      </c>
      <c r="D30" s="8">
        <v>4.2300000000000004</v>
      </c>
      <c r="E30" s="12">
        <v>22</v>
      </c>
      <c r="F30" s="8">
        <v>5.0599999999999996</v>
      </c>
      <c r="G30" s="12">
        <v>12</v>
      </c>
      <c r="H30" s="8">
        <v>3.48</v>
      </c>
      <c r="I30" s="12">
        <v>0</v>
      </c>
    </row>
    <row r="31" spans="2:9" ht="15" customHeight="1" x14ac:dyDescent="0.2">
      <c r="B31" t="s">
        <v>214</v>
      </c>
      <c r="C31" s="12">
        <v>32</v>
      </c>
      <c r="D31" s="8">
        <v>3.98</v>
      </c>
      <c r="E31" s="12">
        <v>18</v>
      </c>
      <c r="F31" s="8">
        <v>4.1399999999999997</v>
      </c>
      <c r="G31" s="12">
        <v>14</v>
      </c>
      <c r="H31" s="8">
        <v>4.0599999999999996</v>
      </c>
      <c r="I31" s="12">
        <v>0</v>
      </c>
    </row>
    <row r="32" spans="2:9" ht="15" customHeight="1" x14ac:dyDescent="0.2">
      <c r="B32" t="s">
        <v>216</v>
      </c>
      <c r="C32" s="12">
        <v>27</v>
      </c>
      <c r="D32" s="8">
        <v>3.36</v>
      </c>
      <c r="E32" s="12">
        <v>4</v>
      </c>
      <c r="F32" s="8">
        <v>0.92</v>
      </c>
      <c r="G32" s="12">
        <v>23</v>
      </c>
      <c r="H32" s="8">
        <v>6.67</v>
      </c>
      <c r="I32" s="12">
        <v>0</v>
      </c>
    </row>
    <row r="33" spans="2:9" ht="15" customHeight="1" x14ac:dyDescent="0.2">
      <c r="B33" t="s">
        <v>230</v>
      </c>
      <c r="C33" s="12">
        <v>19</v>
      </c>
      <c r="D33" s="8">
        <v>2.36</v>
      </c>
      <c r="E33" s="12">
        <v>16</v>
      </c>
      <c r="F33" s="8">
        <v>3.68</v>
      </c>
      <c r="G33" s="12">
        <v>1</v>
      </c>
      <c r="H33" s="8">
        <v>0.28999999999999998</v>
      </c>
      <c r="I33" s="12">
        <v>0</v>
      </c>
    </row>
    <row r="34" spans="2:9" ht="15" customHeight="1" x14ac:dyDescent="0.2">
      <c r="B34" t="s">
        <v>243</v>
      </c>
      <c r="C34" s="12">
        <v>17</v>
      </c>
      <c r="D34" s="8">
        <v>2.11</v>
      </c>
      <c r="E34" s="12">
        <v>12</v>
      </c>
      <c r="F34" s="8">
        <v>2.76</v>
      </c>
      <c r="G34" s="12">
        <v>5</v>
      </c>
      <c r="H34" s="8">
        <v>1.45</v>
      </c>
      <c r="I34" s="12">
        <v>0</v>
      </c>
    </row>
    <row r="35" spans="2:9" ht="15" customHeight="1" x14ac:dyDescent="0.2">
      <c r="B35" t="s">
        <v>220</v>
      </c>
      <c r="C35" s="12">
        <v>16</v>
      </c>
      <c r="D35" s="8">
        <v>1.99</v>
      </c>
      <c r="E35" s="12">
        <v>11</v>
      </c>
      <c r="F35" s="8">
        <v>2.5299999999999998</v>
      </c>
      <c r="G35" s="12">
        <v>5</v>
      </c>
      <c r="H35" s="8">
        <v>1.45</v>
      </c>
      <c r="I35" s="12">
        <v>0</v>
      </c>
    </row>
    <row r="36" spans="2:9" ht="15" customHeight="1" x14ac:dyDescent="0.2">
      <c r="B36" t="s">
        <v>232</v>
      </c>
      <c r="C36" s="12">
        <v>16</v>
      </c>
      <c r="D36" s="8">
        <v>1.99</v>
      </c>
      <c r="E36" s="12">
        <v>1</v>
      </c>
      <c r="F36" s="8">
        <v>0.23</v>
      </c>
      <c r="G36" s="12">
        <v>9</v>
      </c>
      <c r="H36" s="8">
        <v>2.61</v>
      </c>
      <c r="I36" s="12">
        <v>0</v>
      </c>
    </row>
    <row r="37" spans="2:9" ht="15" customHeight="1" x14ac:dyDescent="0.2">
      <c r="B37" t="s">
        <v>222</v>
      </c>
      <c r="C37" s="12">
        <v>15</v>
      </c>
      <c r="D37" s="8">
        <v>1.87</v>
      </c>
      <c r="E37" s="12">
        <v>5</v>
      </c>
      <c r="F37" s="8">
        <v>1.1499999999999999</v>
      </c>
      <c r="G37" s="12">
        <v>10</v>
      </c>
      <c r="H37" s="8">
        <v>2.9</v>
      </c>
      <c r="I37" s="12">
        <v>0</v>
      </c>
    </row>
    <row r="38" spans="2:9" ht="15" customHeight="1" x14ac:dyDescent="0.2">
      <c r="B38" t="s">
        <v>231</v>
      </c>
      <c r="C38" s="12">
        <v>14</v>
      </c>
      <c r="D38" s="8">
        <v>1.74</v>
      </c>
      <c r="E38" s="12">
        <v>13</v>
      </c>
      <c r="F38" s="8">
        <v>2.99</v>
      </c>
      <c r="G38" s="12">
        <v>1</v>
      </c>
      <c r="H38" s="8">
        <v>0.28999999999999998</v>
      </c>
      <c r="I38" s="12">
        <v>0</v>
      </c>
    </row>
    <row r="39" spans="2:9" ht="15" customHeight="1" x14ac:dyDescent="0.2">
      <c r="B39" t="s">
        <v>240</v>
      </c>
      <c r="C39" s="12">
        <v>14</v>
      </c>
      <c r="D39" s="8">
        <v>1.74</v>
      </c>
      <c r="E39" s="12">
        <v>9</v>
      </c>
      <c r="F39" s="8">
        <v>2.0699999999999998</v>
      </c>
      <c r="G39" s="12">
        <v>5</v>
      </c>
      <c r="H39" s="8">
        <v>1.45</v>
      </c>
      <c r="I39" s="12">
        <v>0</v>
      </c>
    </row>
    <row r="40" spans="2:9" ht="15" customHeight="1" x14ac:dyDescent="0.2">
      <c r="B40" t="s">
        <v>215</v>
      </c>
      <c r="C40" s="12">
        <v>13</v>
      </c>
      <c r="D40" s="8">
        <v>1.62</v>
      </c>
      <c r="E40" s="12">
        <v>2</v>
      </c>
      <c r="F40" s="8">
        <v>0.46</v>
      </c>
      <c r="G40" s="12">
        <v>11</v>
      </c>
      <c r="H40" s="8">
        <v>3.19</v>
      </c>
      <c r="I40" s="12">
        <v>0</v>
      </c>
    </row>
    <row r="41" spans="2:9" ht="15" customHeight="1" x14ac:dyDescent="0.2">
      <c r="B41" t="s">
        <v>217</v>
      </c>
      <c r="C41" s="12">
        <v>12</v>
      </c>
      <c r="D41" s="8">
        <v>1.49</v>
      </c>
      <c r="E41" s="12">
        <v>3</v>
      </c>
      <c r="F41" s="8">
        <v>0.69</v>
      </c>
      <c r="G41" s="12">
        <v>9</v>
      </c>
      <c r="H41" s="8">
        <v>2.61</v>
      </c>
      <c r="I41" s="12">
        <v>0</v>
      </c>
    </row>
    <row r="42" spans="2:9" ht="15" customHeight="1" x14ac:dyDescent="0.2">
      <c r="B42" t="s">
        <v>226</v>
      </c>
      <c r="C42" s="12">
        <v>12</v>
      </c>
      <c r="D42" s="8">
        <v>1.49</v>
      </c>
      <c r="E42" s="12">
        <v>5</v>
      </c>
      <c r="F42" s="8">
        <v>1.1499999999999999</v>
      </c>
      <c r="G42" s="12">
        <v>6</v>
      </c>
      <c r="H42" s="8">
        <v>1.74</v>
      </c>
      <c r="I42" s="12">
        <v>0</v>
      </c>
    </row>
    <row r="43" spans="2:9" ht="15" customHeight="1" x14ac:dyDescent="0.2">
      <c r="B43" t="s">
        <v>257</v>
      </c>
      <c r="C43" s="12">
        <v>11</v>
      </c>
      <c r="D43" s="8">
        <v>1.37</v>
      </c>
      <c r="E43" s="12">
        <v>4</v>
      </c>
      <c r="F43" s="8">
        <v>0.92</v>
      </c>
      <c r="G43" s="12">
        <v>7</v>
      </c>
      <c r="H43" s="8">
        <v>2.0299999999999998</v>
      </c>
      <c r="I43" s="12">
        <v>0</v>
      </c>
    </row>
    <row r="44" spans="2:9" ht="15" customHeight="1" x14ac:dyDescent="0.2">
      <c r="B44" t="s">
        <v>229</v>
      </c>
      <c r="C44" s="12">
        <v>11</v>
      </c>
      <c r="D44" s="8">
        <v>1.37</v>
      </c>
      <c r="E44" s="12">
        <v>7</v>
      </c>
      <c r="F44" s="8">
        <v>1.61</v>
      </c>
      <c r="G44" s="12">
        <v>3</v>
      </c>
      <c r="H44" s="8">
        <v>0.87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304</v>
      </c>
      <c r="C48" s="12">
        <v>53</v>
      </c>
      <c r="D48" s="8">
        <v>6.59</v>
      </c>
      <c r="E48" s="12">
        <v>51</v>
      </c>
      <c r="F48" s="8">
        <v>11.72</v>
      </c>
      <c r="G48" s="12">
        <v>2</v>
      </c>
      <c r="H48" s="8">
        <v>0.57999999999999996</v>
      </c>
      <c r="I48" s="12">
        <v>0</v>
      </c>
    </row>
    <row r="49" spans="2:9" ht="15" customHeight="1" x14ac:dyDescent="0.2">
      <c r="B49" t="s">
        <v>301</v>
      </c>
      <c r="C49" s="12">
        <v>46</v>
      </c>
      <c r="D49" s="8">
        <v>5.72</v>
      </c>
      <c r="E49" s="12">
        <v>46</v>
      </c>
      <c r="F49" s="8">
        <v>10.57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303</v>
      </c>
      <c r="C50" s="12">
        <v>39</v>
      </c>
      <c r="D50" s="8">
        <v>4.8499999999999996</v>
      </c>
      <c r="E50" s="12">
        <v>39</v>
      </c>
      <c r="F50" s="8">
        <v>8.9700000000000006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342</v>
      </c>
      <c r="C51" s="12">
        <v>34</v>
      </c>
      <c r="D51" s="8">
        <v>4.2300000000000004</v>
      </c>
      <c r="E51" s="12">
        <v>10</v>
      </c>
      <c r="F51" s="8">
        <v>2.2999999999999998</v>
      </c>
      <c r="G51" s="12">
        <v>23</v>
      </c>
      <c r="H51" s="8">
        <v>6.67</v>
      </c>
      <c r="I51" s="12">
        <v>1</v>
      </c>
    </row>
    <row r="52" spans="2:9" ht="15" customHeight="1" x14ac:dyDescent="0.2">
      <c r="B52" t="s">
        <v>297</v>
      </c>
      <c r="C52" s="12">
        <v>34</v>
      </c>
      <c r="D52" s="8">
        <v>4.2300000000000004</v>
      </c>
      <c r="E52" s="12">
        <v>15</v>
      </c>
      <c r="F52" s="8">
        <v>3.45</v>
      </c>
      <c r="G52" s="12">
        <v>17</v>
      </c>
      <c r="H52" s="8">
        <v>4.93</v>
      </c>
      <c r="I52" s="12">
        <v>0</v>
      </c>
    </row>
    <row r="53" spans="2:9" ht="15" customHeight="1" x14ac:dyDescent="0.2">
      <c r="B53" t="s">
        <v>295</v>
      </c>
      <c r="C53" s="12">
        <v>22</v>
      </c>
      <c r="D53" s="8">
        <v>2.74</v>
      </c>
      <c r="E53" s="12">
        <v>10</v>
      </c>
      <c r="F53" s="8">
        <v>2.2999999999999998</v>
      </c>
      <c r="G53" s="12">
        <v>12</v>
      </c>
      <c r="H53" s="8">
        <v>3.48</v>
      </c>
      <c r="I53" s="12">
        <v>0</v>
      </c>
    </row>
    <row r="54" spans="2:9" ht="15" customHeight="1" x14ac:dyDescent="0.2">
      <c r="B54" t="s">
        <v>300</v>
      </c>
      <c r="C54" s="12">
        <v>22</v>
      </c>
      <c r="D54" s="8">
        <v>2.74</v>
      </c>
      <c r="E54" s="12">
        <v>20</v>
      </c>
      <c r="F54" s="8">
        <v>4.5999999999999996</v>
      </c>
      <c r="G54" s="12">
        <v>2</v>
      </c>
      <c r="H54" s="8">
        <v>0.57999999999999996</v>
      </c>
      <c r="I54" s="12">
        <v>0</v>
      </c>
    </row>
    <row r="55" spans="2:9" ht="15" customHeight="1" x14ac:dyDescent="0.2">
      <c r="B55" t="s">
        <v>299</v>
      </c>
      <c r="C55" s="12">
        <v>19</v>
      </c>
      <c r="D55" s="8">
        <v>2.36</v>
      </c>
      <c r="E55" s="12">
        <v>17</v>
      </c>
      <c r="F55" s="8">
        <v>3.91</v>
      </c>
      <c r="G55" s="12">
        <v>2</v>
      </c>
      <c r="H55" s="8">
        <v>0.57999999999999996</v>
      </c>
      <c r="I55" s="12">
        <v>0</v>
      </c>
    </row>
    <row r="56" spans="2:9" ht="15" customHeight="1" x14ac:dyDescent="0.2">
      <c r="B56" t="s">
        <v>302</v>
      </c>
      <c r="C56" s="12">
        <v>19</v>
      </c>
      <c r="D56" s="8">
        <v>2.36</v>
      </c>
      <c r="E56" s="12">
        <v>19</v>
      </c>
      <c r="F56" s="8">
        <v>4.37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328</v>
      </c>
      <c r="C57" s="12">
        <v>17</v>
      </c>
      <c r="D57" s="8">
        <v>2.11</v>
      </c>
      <c r="E57" s="12">
        <v>6</v>
      </c>
      <c r="F57" s="8">
        <v>1.38</v>
      </c>
      <c r="G57" s="12">
        <v>11</v>
      </c>
      <c r="H57" s="8">
        <v>3.19</v>
      </c>
      <c r="I57" s="12">
        <v>0</v>
      </c>
    </row>
    <row r="58" spans="2:9" ht="15" customHeight="1" x14ac:dyDescent="0.2">
      <c r="B58" t="s">
        <v>324</v>
      </c>
      <c r="C58" s="12">
        <v>15</v>
      </c>
      <c r="D58" s="8">
        <v>1.87</v>
      </c>
      <c r="E58" s="12">
        <v>2</v>
      </c>
      <c r="F58" s="8">
        <v>0.46</v>
      </c>
      <c r="G58" s="12">
        <v>13</v>
      </c>
      <c r="H58" s="8">
        <v>3.77</v>
      </c>
      <c r="I58" s="12">
        <v>0</v>
      </c>
    </row>
    <row r="59" spans="2:9" ht="15" customHeight="1" x14ac:dyDescent="0.2">
      <c r="B59" t="s">
        <v>330</v>
      </c>
      <c r="C59" s="12">
        <v>14</v>
      </c>
      <c r="D59" s="8">
        <v>1.74</v>
      </c>
      <c r="E59" s="12">
        <v>2</v>
      </c>
      <c r="F59" s="8">
        <v>0.46</v>
      </c>
      <c r="G59" s="12">
        <v>12</v>
      </c>
      <c r="H59" s="8">
        <v>3.48</v>
      </c>
      <c r="I59" s="12">
        <v>0</v>
      </c>
    </row>
    <row r="60" spans="2:9" ht="15" customHeight="1" x14ac:dyDescent="0.2">
      <c r="B60" t="s">
        <v>339</v>
      </c>
      <c r="C60" s="12">
        <v>14</v>
      </c>
      <c r="D60" s="8">
        <v>1.74</v>
      </c>
      <c r="E60" s="12">
        <v>9</v>
      </c>
      <c r="F60" s="8">
        <v>2.0699999999999998</v>
      </c>
      <c r="G60" s="12">
        <v>5</v>
      </c>
      <c r="H60" s="8">
        <v>1.45</v>
      </c>
      <c r="I60" s="12">
        <v>0</v>
      </c>
    </row>
    <row r="61" spans="2:9" ht="15" customHeight="1" x14ac:dyDescent="0.2">
      <c r="B61" t="s">
        <v>307</v>
      </c>
      <c r="C61" s="12">
        <v>14</v>
      </c>
      <c r="D61" s="8">
        <v>1.74</v>
      </c>
      <c r="E61" s="12">
        <v>9</v>
      </c>
      <c r="F61" s="8">
        <v>2.0699999999999998</v>
      </c>
      <c r="G61" s="12">
        <v>5</v>
      </c>
      <c r="H61" s="8">
        <v>1.45</v>
      </c>
      <c r="I61" s="12">
        <v>0</v>
      </c>
    </row>
    <row r="62" spans="2:9" ht="15" customHeight="1" x14ac:dyDescent="0.2">
      <c r="B62" t="s">
        <v>358</v>
      </c>
      <c r="C62" s="12">
        <v>12</v>
      </c>
      <c r="D62" s="8">
        <v>1.49</v>
      </c>
      <c r="E62" s="12">
        <v>2</v>
      </c>
      <c r="F62" s="8">
        <v>0.46</v>
      </c>
      <c r="G62" s="12">
        <v>10</v>
      </c>
      <c r="H62" s="8">
        <v>2.9</v>
      </c>
      <c r="I62" s="12">
        <v>0</v>
      </c>
    </row>
    <row r="63" spans="2:9" ht="15" customHeight="1" x14ac:dyDescent="0.2">
      <c r="B63" t="s">
        <v>334</v>
      </c>
      <c r="C63" s="12">
        <v>12</v>
      </c>
      <c r="D63" s="8">
        <v>1.49</v>
      </c>
      <c r="E63" s="12">
        <v>11</v>
      </c>
      <c r="F63" s="8">
        <v>2.5299999999999998</v>
      </c>
      <c r="G63" s="12">
        <v>1</v>
      </c>
      <c r="H63" s="8">
        <v>0.28999999999999998</v>
      </c>
      <c r="I63" s="12">
        <v>0</v>
      </c>
    </row>
    <row r="64" spans="2:9" ht="15" customHeight="1" x14ac:dyDescent="0.2">
      <c r="B64" t="s">
        <v>323</v>
      </c>
      <c r="C64" s="12">
        <v>12</v>
      </c>
      <c r="D64" s="8">
        <v>1.49</v>
      </c>
      <c r="E64" s="12">
        <v>2</v>
      </c>
      <c r="F64" s="8">
        <v>0.46</v>
      </c>
      <c r="G64" s="12">
        <v>10</v>
      </c>
      <c r="H64" s="8">
        <v>2.9</v>
      </c>
      <c r="I64" s="12">
        <v>0</v>
      </c>
    </row>
    <row r="65" spans="2:9" ht="15" customHeight="1" x14ac:dyDescent="0.2">
      <c r="B65" t="s">
        <v>305</v>
      </c>
      <c r="C65" s="12">
        <v>12</v>
      </c>
      <c r="D65" s="8">
        <v>1.49</v>
      </c>
      <c r="E65" s="12">
        <v>11</v>
      </c>
      <c r="F65" s="8">
        <v>2.5299999999999998</v>
      </c>
      <c r="G65" s="12">
        <v>1</v>
      </c>
      <c r="H65" s="8">
        <v>0.28999999999999998</v>
      </c>
      <c r="I65" s="12">
        <v>0</v>
      </c>
    </row>
    <row r="66" spans="2:9" ht="15" customHeight="1" x14ac:dyDescent="0.2">
      <c r="B66" t="s">
        <v>357</v>
      </c>
      <c r="C66" s="12">
        <v>11</v>
      </c>
      <c r="D66" s="8">
        <v>1.37</v>
      </c>
      <c r="E66" s="12">
        <v>4</v>
      </c>
      <c r="F66" s="8">
        <v>0.92</v>
      </c>
      <c r="G66" s="12">
        <v>7</v>
      </c>
      <c r="H66" s="8">
        <v>2.0299999999999998</v>
      </c>
      <c r="I66" s="12">
        <v>0</v>
      </c>
    </row>
    <row r="67" spans="2:9" ht="15" customHeight="1" x14ac:dyDescent="0.2">
      <c r="B67" t="s">
        <v>306</v>
      </c>
      <c r="C67" s="12">
        <v>11</v>
      </c>
      <c r="D67" s="8">
        <v>1.37</v>
      </c>
      <c r="E67" s="12">
        <v>11</v>
      </c>
      <c r="F67" s="8">
        <v>2.5299999999999998</v>
      </c>
      <c r="G67" s="12">
        <v>0</v>
      </c>
      <c r="H67" s="8">
        <v>0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3F031-1B50-49A2-9EEB-981347F77CD7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173</v>
      </c>
      <c r="D6" s="8">
        <v>11.34</v>
      </c>
      <c r="E6" s="12">
        <v>19</v>
      </c>
      <c r="F6" s="8">
        <v>3.04</v>
      </c>
      <c r="G6" s="12">
        <v>154</v>
      </c>
      <c r="H6" s="8">
        <v>17.3</v>
      </c>
      <c r="I6" s="12">
        <v>0</v>
      </c>
    </row>
    <row r="7" spans="2:9" ht="15" customHeight="1" x14ac:dyDescent="0.2">
      <c r="B7" t="s">
        <v>192</v>
      </c>
      <c r="C7" s="12">
        <v>64</v>
      </c>
      <c r="D7" s="8">
        <v>4.2</v>
      </c>
      <c r="E7" s="12">
        <v>9</v>
      </c>
      <c r="F7" s="8">
        <v>1.44</v>
      </c>
      <c r="G7" s="12">
        <v>55</v>
      </c>
      <c r="H7" s="8">
        <v>6.18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7.0000000000000007E-2</v>
      </c>
      <c r="E8" s="12">
        <v>0</v>
      </c>
      <c r="F8" s="8">
        <v>0</v>
      </c>
      <c r="G8" s="12">
        <v>1</v>
      </c>
      <c r="H8" s="8">
        <v>0.11</v>
      </c>
      <c r="I8" s="12">
        <v>0</v>
      </c>
    </row>
    <row r="9" spans="2:9" ht="15" customHeight="1" x14ac:dyDescent="0.2">
      <c r="B9" t="s">
        <v>194</v>
      </c>
      <c r="C9" s="12">
        <v>14</v>
      </c>
      <c r="D9" s="8">
        <v>0.92</v>
      </c>
      <c r="E9" s="12">
        <v>0</v>
      </c>
      <c r="F9" s="8">
        <v>0</v>
      </c>
      <c r="G9" s="12">
        <v>14</v>
      </c>
      <c r="H9" s="8">
        <v>1.57</v>
      </c>
      <c r="I9" s="12">
        <v>0</v>
      </c>
    </row>
    <row r="10" spans="2:9" ht="15" customHeight="1" x14ac:dyDescent="0.2">
      <c r="B10" t="s">
        <v>195</v>
      </c>
      <c r="C10" s="12">
        <v>48</v>
      </c>
      <c r="D10" s="8">
        <v>3.15</v>
      </c>
      <c r="E10" s="12">
        <v>3</v>
      </c>
      <c r="F10" s="8">
        <v>0.48</v>
      </c>
      <c r="G10" s="12">
        <v>45</v>
      </c>
      <c r="H10" s="8">
        <v>5.0599999999999996</v>
      </c>
      <c r="I10" s="12">
        <v>0</v>
      </c>
    </row>
    <row r="11" spans="2:9" ht="15" customHeight="1" x14ac:dyDescent="0.2">
      <c r="B11" t="s">
        <v>196</v>
      </c>
      <c r="C11" s="12">
        <v>349</v>
      </c>
      <c r="D11" s="8">
        <v>22.89</v>
      </c>
      <c r="E11" s="12">
        <v>81</v>
      </c>
      <c r="F11" s="8">
        <v>12.98</v>
      </c>
      <c r="G11" s="12">
        <v>268</v>
      </c>
      <c r="H11" s="8">
        <v>30.11</v>
      </c>
      <c r="I11" s="12">
        <v>0</v>
      </c>
    </row>
    <row r="12" spans="2:9" ht="15" customHeight="1" x14ac:dyDescent="0.2">
      <c r="B12" t="s">
        <v>197</v>
      </c>
      <c r="C12" s="12">
        <v>15</v>
      </c>
      <c r="D12" s="8">
        <v>0.98</v>
      </c>
      <c r="E12" s="12">
        <v>2</v>
      </c>
      <c r="F12" s="8">
        <v>0.32</v>
      </c>
      <c r="G12" s="12">
        <v>13</v>
      </c>
      <c r="H12" s="8">
        <v>1.46</v>
      </c>
      <c r="I12" s="12">
        <v>0</v>
      </c>
    </row>
    <row r="13" spans="2:9" ht="15" customHeight="1" x14ac:dyDescent="0.2">
      <c r="B13" t="s">
        <v>198</v>
      </c>
      <c r="C13" s="12">
        <v>92</v>
      </c>
      <c r="D13" s="8">
        <v>6.03</v>
      </c>
      <c r="E13" s="12">
        <v>4</v>
      </c>
      <c r="F13" s="8">
        <v>0.64</v>
      </c>
      <c r="G13" s="12">
        <v>86</v>
      </c>
      <c r="H13" s="8">
        <v>9.66</v>
      </c>
      <c r="I13" s="12">
        <v>0</v>
      </c>
    </row>
    <row r="14" spans="2:9" ht="15" customHeight="1" x14ac:dyDescent="0.2">
      <c r="B14" t="s">
        <v>199</v>
      </c>
      <c r="C14" s="12">
        <v>65</v>
      </c>
      <c r="D14" s="8">
        <v>4.26</v>
      </c>
      <c r="E14" s="12">
        <v>35</v>
      </c>
      <c r="F14" s="8">
        <v>5.61</v>
      </c>
      <c r="G14" s="12">
        <v>30</v>
      </c>
      <c r="H14" s="8">
        <v>3.37</v>
      </c>
      <c r="I14" s="12">
        <v>0</v>
      </c>
    </row>
    <row r="15" spans="2:9" ht="15" customHeight="1" x14ac:dyDescent="0.2">
      <c r="B15" t="s">
        <v>200</v>
      </c>
      <c r="C15" s="12">
        <v>290</v>
      </c>
      <c r="D15" s="8">
        <v>19.02</v>
      </c>
      <c r="E15" s="12">
        <v>205</v>
      </c>
      <c r="F15" s="8">
        <v>32.85</v>
      </c>
      <c r="G15" s="12">
        <v>85</v>
      </c>
      <c r="H15" s="8">
        <v>9.5500000000000007</v>
      </c>
      <c r="I15" s="12">
        <v>0</v>
      </c>
    </row>
    <row r="16" spans="2:9" ht="15" customHeight="1" x14ac:dyDescent="0.2">
      <c r="B16" t="s">
        <v>201</v>
      </c>
      <c r="C16" s="12">
        <v>208</v>
      </c>
      <c r="D16" s="8">
        <v>13.64</v>
      </c>
      <c r="E16" s="12">
        <v>150</v>
      </c>
      <c r="F16" s="8">
        <v>24.04</v>
      </c>
      <c r="G16" s="12">
        <v>57</v>
      </c>
      <c r="H16" s="8">
        <v>6.4</v>
      </c>
      <c r="I16" s="12">
        <v>0</v>
      </c>
    </row>
    <row r="17" spans="2:9" ht="15" customHeight="1" x14ac:dyDescent="0.2">
      <c r="B17" t="s">
        <v>202</v>
      </c>
      <c r="C17" s="12">
        <v>65</v>
      </c>
      <c r="D17" s="8">
        <v>4.26</v>
      </c>
      <c r="E17" s="12">
        <v>49</v>
      </c>
      <c r="F17" s="8">
        <v>7.85</v>
      </c>
      <c r="G17" s="12">
        <v>16</v>
      </c>
      <c r="H17" s="8">
        <v>1.8</v>
      </c>
      <c r="I17" s="12">
        <v>0</v>
      </c>
    </row>
    <row r="18" spans="2:9" ht="15" customHeight="1" x14ac:dyDescent="0.2">
      <c r="B18" t="s">
        <v>203</v>
      </c>
      <c r="C18" s="12">
        <v>86</v>
      </c>
      <c r="D18" s="8">
        <v>5.64</v>
      </c>
      <c r="E18" s="12">
        <v>53</v>
      </c>
      <c r="F18" s="8">
        <v>8.49</v>
      </c>
      <c r="G18" s="12">
        <v>29</v>
      </c>
      <c r="H18" s="8">
        <v>3.26</v>
      </c>
      <c r="I18" s="12">
        <v>0</v>
      </c>
    </row>
    <row r="19" spans="2:9" ht="15" customHeight="1" x14ac:dyDescent="0.2">
      <c r="B19" t="s">
        <v>204</v>
      </c>
      <c r="C19" s="12">
        <v>55</v>
      </c>
      <c r="D19" s="8">
        <v>3.61</v>
      </c>
      <c r="E19" s="12">
        <v>14</v>
      </c>
      <c r="F19" s="8">
        <v>2.2400000000000002</v>
      </c>
      <c r="G19" s="12">
        <v>37</v>
      </c>
      <c r="H19" s="8">
        <v>4.16</v>
      </c>
      <c r="I19" s="12">
        <v>0</v>
      </c>
    </row>
    <row r="20" spans="2:9" ht="15" customHeight="1" x14ac:dyDescent="0.2">
      <c r="B20" s="9" t="s">
        <v>529</v>
      </c>
      <c r="C20" s="12">
        <f>SUM(LTBL_01224[総数／事業所数])</f>
        <v>1525</v>
      </c>
      <c r="E20" s="12">
        <f>SUBTOTAL(109,LTBL_01224[個人／事業所数])</f>
        <v>624</v>
      </c>
      <c r="G20" s="12">
        <f>SUBTOTAL(109,LTBL_01224[法人／事業所数])</f>
        <v>890</v>
      </c>
      <c r="I20" s="12">
        <f>SUBTOTAL(109,LTBL_01224[法人以外の団体／事業所数])</f>
        <v>0</v>
      </c>
    </row>
    <row r="21" spans="2:9" ht="15" customHeight="1" x14ac:dyDescent="0.2">
      <c r="E21" s="11">
        <f>LTBL_01224[[#Totals],[個人／事業所数]]/LTBL_01224[[#Totals],[総数／事業所数]]</f>
        <v>0.40918032786885244</v>
      </c>
      <c r="G21" s="11">
        <f>LTBL_01224[[#Totals],[法人／事業所数]]/LTBL_01224[[#Totals],[総数／事業所数]]</f>
        <v>0.58360655737704914</v>
      </c>
      <c r="I21" s="11">
        <f>LTBL_01224[[#Totals],[法人以外の団体／事業所数]]/LTBL_01224[[#Totals],[総数／事業所数]]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267</v>
      </c>
      <c r="D24" s="8">
        <v>17.510000000000002</v>
      </c>
      <c r="E24" s="12">
        <v>202</v>
      </c>
      <c r="F24" s="8">
        <v>32.369999999999997</v>
      </c>
      <c r="G24" s="12">
        <v>65</v>
      </c>
      <c r="H24" s="8">
        <v>7.3</v>
      </c>
      <c r="I24" s="12">
        <v>0</v>
      </c>
    </row>
    <row r="25" spans="2:9" ht="15" customHeight="1" x14ac:dyDescent="0.2">
      <c r="B25" t="s">
        <v>228</v>
      </c>
      <c r="C25" s="12">
        <v>176</v>
      </c>
      <c r="D25" s="8">
        <v>11.54</v>
      </c>
      <c r="E25" s="12">
        <v>139</v>
      </c>
      <c r="F25" s="8">
        <v>22.28</v>
      </c>
      <c r="G25" s="12">
        <v>37</v>
      </c>
      <c r="H25" s="8">
        <v>4.16</v>
      </c>
      <c r="I25" s="12">
        <v>0</v>
      </c>
    </row>
    <row r="26" spans="2:9" ht="15" customHeight="1" x14ac:dyDescent="0.2">
      <c r="B26" t="s">
        <v>223</v>
      </c>
      <c r="C26" s="12">
        <v>107</v>
      </c>
      <c r="D26" s="8">
        <v>7.02</v>
      </c>
      <c r="E26" s="12">
        <v>30</v>
      </c>
      <c r="F26" s="8">
        <v>4.8099999999999996</v>
      </c>
      <c r="G26" s="12">
        <v>77</v>
      </c>
      <c r="H26" s="8">
        <v>8.65</v>
      </c>
      <c r="I26" s="12">
        <v>0</v>
      </c>
    </row>
    <row r="27" spans="2:9" ht="15" customHeight="1" x14ac:dyDescent="0.2">
      <c r="B27" t="s">
        <v>213</v>
      </c>
      <c r="C27" s="12">
        <v>66</v>
      </c>
      <c r="D27" s="8">
        <v>4.33</v>
      </c>
      <c r="E27" s="12">
        <v>5</v>
      </c>
      <c r="F27" s="8">
        <v>0.8</v>
      </c>
      <c r="G27" s="12">
        <v>61</v>
      </c>
      <c r="H27" s="8">
        <v>6.85</v>
      </c>
      <c r="I27" s="12">
        <v>0</v>
      </c>
    </row>
    <row r="28" spans="2:9" ht="15" customHeight="1" x14ac:dyDescent="0.2">
      <c r="B28" t="s">
        <v>230</v>
      </c>
      <c r="C28" s="12">
        <v>65</v>
      </c>
      <c r="D28" s="8">
        <v>4.26</v>
      </c>
      <c r="E28" s="12">
        <v>49</v>
      </c>
      <c r="F28" s="8">
        <v>7.85</v>
      </c>
      <c r="G28" s="12">
        <v>16</v>
      </c>
      <c r="H28" s="8">
        <v>1.8</v>
      </c>
      <c r="I28" s="12">
        <v>0</v>
      </c>
    </row>
    <row r="29" spans="2:9" ht="15" customHeight="1" x14ac:dyDescent="0.2">
      <c r="B29" t="s">
        <v>221</v>
      </c>
      <c r="C29" s="12">
        <v>63</v>
      </c>
      <c r="D29" s="8">
        <v>4.13</v>
      </c>
      <c r="E29" s="12">
        <v>24</v>
      </c>
      <c r="F29" s="8">
        <v>3.85</v>
      </c>
      <c r="G29" s="12">
        <v>39</v>
      </c>
      <c r="H29" s="8">
        <v>4.38</v>
      </c>
      <c r="I29" s="12">
        <v>0</v>
      </c>
    </row>
    <row r="30" spans="2:9" ht="15" customHeight="1" x14ac:dyDescent="0.2">
      <c r="B30" t="s">
        <v>231</v>
      </c>
      <c r="C30" s="12">
        <v>63</v>
      </c>
      <c r="D30" s="8">
        <v>4.13</v>
      </c>
      <c r="E30" s="12">
        <v>53</v>
      </c>
      <c r="F30" s="8">
        <v>8.49</v>
      </c>
      <c r="G30" s="12">
        <v>10</v>
      </c>
      <c r="H30" s="8">
        <v>1.1200000000000001</v>
      </c>
      <c r="I30" s="12">
        <v>0</v>
      </c>
    </row>
    <row r="31" spans="2:9" ht="15" customHeight="1" x14ac:dyDescent="0.2">
      <c r="B31" t="s">
        <v>214</v>
      </c>
      <c r="C31" s="12">
        <v>59</v>
      </c>
      <c r="D31" s="8">
        <v>3.87</v>
      </c>
      <c r="E31" s="12">
        <v>10</v>
      </c>
      <c r="F31" s="8">
        <v>1.6</v>
      </c>
      <c r="G31" s="12">
        <v>49</v>
      </c>
      <c r="H31" s="8">
        <v>5.51</v>
      </c>
      <c r="I31" s="12">
        <v>0</v>
      </c>
    </row>
    <row r="32" spans="2:9" ht="15" customHeight="1" x14ac:dyDescent="0.2">
      <c r="B32" t="s">
        <v>224</v>
      </c>
      <c r="C32" s="12">
        <v>57</v>
      </c>
      <c r="D32" s="8">
        <v>3.74</v>
      </c>
      <c r="E32" s="12">
        <v>4</v>
      </c>
      <c r="F32" s="8">
        <v>0.64</v>
      </c>
      <c r="G32" s="12">
        <v>51</v>
      </c>
      <c r="H32" s="8">
        <v>5.73</v>
      </c>
      <c r="I32" s="12">
        <v>0</v>
      </c>
    </row>
    <row r="33" spans="2:9" ht="15" customHeight="1" x14ac:dyDescent="0.2">
      <c r="B33" t="s">
        <v>220</v>
      </c>
      <c r="C33" s="12">
        <v>52</v>
      </c>
      <c r="D33" s="8">
        <v>3.41</v>
      </c>
      <c r="E33" s="12">
        <v>10</v>
      </c>
      <c r="F33" s="8">
        <v>1.6</v>
      </c>
      <c r="G33" s="12">
        <v>42</v>
      </c>
      <c r="H33" s="8">
        <v>4.72</v>
      </c>
      <c r="I33" s="12">
        <v>0</v>
      </c>
    </row>
    <row r="34" spans="2:9" ht="15" customHeight="1" x14ac:dyDescent="0.2">
      <c r="B34" t="s">
        <v>215</v>
      </c>
      <c r="C34" s="12">
        <v>48</v>
      </c>
      <c r="D34" s="8">
        <v>3.15</v>
      </c>
      <c r="E34" s="12">
        <v>4</v>
      </c>
      <c r="F34" s="8">
        <v>0.64</v>
      </c>
      <c r="G34" s="12">
        <v>44</v>
      </c>
      <c r="H34" s="8">
        <v>4.9400000000000004</v>
      </c>
      <c r="I34" s="12">
        <v>0</v>
      </c>
    </row>
    <row r="35" spans="2:9" ht="15" customHeight="1" x14ac:dyDescent="0.2">
      <c r="B35" t="s">
        <v>222</v>
      </c>
      <c r="C35" s="12">
        <v>44</v>
      </c>
      <c r="D35" s="8">
        <v>2.89</v>
      </c>
      <c r="E35" s="12">
        <v>13</v>
      </c>
      <c r="F35" s="8">
        <v>2.08</v>
      </c>
      <c r="G35" s="12">
        <v>31</v>
      </c>
      <c r="H35" s="8">
        <v>3.48</v>
      </c>
      <c r="I35" s="12">
        <v>0</v>
      </c>
    </row>
    <row r="36" spans="2:9" ht="15" customHeight="1" x14ac:dyDescent="0.2">
      <c r="B36" t="s">
        <v>226</v>
      </c>
      <c r="C36" s="12">
        <v>34</v>
      </c>
      <c r="D36" s="8">
        <v>2.23</v>
      </c>
      <c r="E36" s="12">
        <v>14</v>
      </c>
      <c r="F36" s="8">
        <v>2.2400000000000002</v>
      </c>
      <c r="G36" s="12">
        <v>20</v>
      </c>
      <c r="H36" s="8">
        <v>2.25</v>
      </c>
      <c r="I36" s="12">
        <v>0</v>
      </c>
    </row>
    <row r="37" spans="2:9" ht="15" customHeight="1" x14ac:dyDescent="0.2">
      <c r="B37" t="s">
        <v>225</v>
      </c>
      <c r="C37" s="12">
        <v>29</v>
      </c>
      <c r="D37" s="8">
        <v>1.9</v>
      </c>
      <c r="E37" s="12">
        <v>20</v>
      </c>
      <c r="F37" s="8">
        <v>3.21</v>
      </c>
      <c r="G37" s="12">
        <v>9</v>
      </c>
      <c r="H37" s="8">
        <v>1.01</v>
      </c>
      <c r="I37" s="12">
        <v>0</v>
      </c>
    </row>
    <row r="38" spans="2:9" ht="15" customHeight="1" x14ac:dyDescent="0.2">
      <c r="B38" t="s">
        <v>232</v>
      </c>
      <c r="C38" s="12">
        <v>23</v>
      </c>
      <c r="D38" s="8">
        <v>1.51</v>
      </c>
      <c r="E38" s="12">
        <v>0</v>
      </c>
      <c r="F38" s="8">
        <v>0</v>
      </c>
      <c r="G38" s="12">
        <v>19</v>
      </c>
      <c r="H38" s="8">
        <v>2.13</v>
      </c>
      <c r="I38" s="12">
        <v>0</v>
      </c>
    </row>
    <row r="39" spans="2:9" ht="15" customHeight="1" x14ac:dyDescent="0.2">
      <c r="B39" t="s">
        <v>217</v>
      </c>
      <c r="C39" s="12">
        <v>22</v>
      </c>
      <c r="D39" s="8">
        <v>1.44</v>
      </c>
      <c r="E39" s="12">
        <v>0</v>
      </c>
      <c r="F39" s="8">
        <v>0</v>
      </c>
      <c r="G39" s="12">
        <v>22</v>
      </c>
      <c r="H39" s="8">
        <v>2.4700000000000002</v>
      </c>
      <c r="I39" s="12">
        <v>0</v>
      </c>
    </row>
    <row r="40" spans="2:9" ht="15" customHeight="1" x14ac:dyDescent="0.2">
      <c r="B40" t="s">
        <v>229</v>
      </c>
      <c r="C40" s="12">
        <v>21</v>
      </c>
      <c r="D40" s="8">
        <v>1.38</v>
      </c>
      <c r="E40" s="12">
        <v>9</v>
      </c>
      <c r="F40" s="8">
        <v>1.44</v>
      </c>
      <c r="G40" s="12">
        <v>12</v>
      </c>
      <c r="H40" s="8">
        <v>1.35</v>
      </c>
      <c r="I40" s="12">
        <v>0</v>
      </c>
    </row>
    <row r="41" spans="2:9" ht="15" customHeight="1" x14ac:dyDescent="0.2">
      <c r="B41" t="s">
        <v>233</v>
      </c>
      <c r="C41" s="12">
        <v>20</v>
      </c>
      <c r="D41" s="8">
        <v>1.31</v>
      </c>
      <c r="E41" s="12">
        <v>0</v>
      </c>
      <c r="F41" s="8">
        <v>0</v>
      </c>
      <c r="G41" s="12">
        <v>20</v>
      </c>
      <c r="H41" s="8">
        <v>2.25</v>
      </c>
      <c r="I41" s="12">
        <v>0</v>
      </c>
    </row>
    <row r="42" spans="2:9" ht="15" customHeight="1" x14ac:dyDescent="0.2">
      <c r="B42" t="s">
        <v>240</v>
      </c>
      <c r="C42" s="12">
        <v>20</v>
      </c>
      <c r="D42" s="8">
        <v>1.31</v>
      </c>
      <c r="E42" s="12">
        <v>10</v>
      </c>
      <c r="F42" s="8">
        <v>1.6</v>
      </c>
      <c r="G42" s="12">
        <v>10</v>
      </c>
      <c r="H42" s="8">
        <v>1.1200000000000001</v>
      </c>
      <c r="I42" s="12">
        <v>0</v>
      </c>
    </row>
    <row r="43" spans="2:9" ht="15" customHeight="1" x14ac:dyDescent="0.2">
      <c r="B43" t="s">
        <v>218</v>
      </c>
      <c r="C43" s="12">
        <v>17</v>
      </c>
      <c r="D43" s="8">
        <v>1.1100000000000001</v>
      </c>
      <c r="E43" s="12">
        <v>1</v>
      </c>
      <c r="F43" s="8">
        <v>0.16</v>
      </c>
      <c r="G43" s="12">
        <v>16</v>
      </c>
      <c r="H43" s="8">
        <v>1.8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82</v>
      </c>
      <c r="D47" s="8">
        <v>5.38</v>
      </c>
      <c r="E47" s="12">
        <v>72</v>
      </c>
      <c r="F47" s="8">
        <v>11.54</v>
      </c>
      <c r="G47" s="12">
        <v>10</v>
      </c>
      <c r="H47" s="8">
        <v>1.1200000000000001</v>
      </c>
      <c r="I47" s="12">
        <v>0</v>
      </c>
    </row>
    <row r="48" spans="2:9" ht="15" customHeight="1" x14ac:dyDescent="0.2">
      <c r="B48" t="s">
        <v>301</v>
      </c>
      <c r="C48" s="12">
        <v>75</v>
      </c>
      <c r="D48" s="8">
        <v>4.92</v>
      </c>
      <c r="E48" s="12">
        <v>68</v>
      </c>
      <c r="F48" s="8">
        <v>10.9</v>
      </c>
      <c r="G48" s="12">
        <v>7</v>
      </c>
      <c r="H48" s="8">
        <v>0.79</v>
      </c>
      <c r="I48" s="12">
        <v>0</v>
      </c>
    </row>
    <row r="49" spans="2:9" ht="15" customHeight="1" x14ac:dyDescent="0.2">
      <c r="B49" t="s">
        <v>299</v>
      </c>
      <c r="C49" s="12">
        <v>69</v>
      </c>
      <c r="D49" s="8">
        <v>4.5199999999999996</v>
      </c>
      <c r="E49" s="12">
        <v>45</v>
      </c>
      <c r="F49" s="8">
        <v>7.21</v>
      </c>
      <c r="G49" s="12">
        <v>24</v>
      </c>
      <c r="H49" s="8">
        <v>2.7</v>
      </c>
      <c r="I49" s="12">
        <v>0</v>
      </c>
    </row>
    <row r="50" spans="2:9" ht="15" customHeight="1" x14ac:dyDescent="0.2">
      <c r="B50" t="s">
        <v>300</v>
      </c>
      <c r="C50" s="12">
        <v>58</v>
      </c>
      <c r="D50" s="8">
        <v>3.8</v>
      </c>
      <c r="E50" s="12">
        <v>50</v>
      </c>
      <c r="F50" s="8">
        <v>8.01</v>
      </c>
      <c r="G50" s="12">
        <v>8</v>
      </c>
      <c r="H50" s="8">
        <v>0.9</v>
      </c>
      <c r="I50" s="12">
        <v>0</v>
      </c>
    </row>
    <row r="51" spans="2:9" ht="15" customHeight="1" x14ac:dyDescent="0.2">
      <c r="B51" t="s">
        <v>303</v>
      </c>
      <c r="C51" s="12">
        <v>53</v>
      </c>
      <c r="D51" s="8">
        <v>3.48</v>
      </c>
      <c r="E51" s="12">
        <v>48</v>
      </c>
      <c r="F51" s="8">
        <v>7.69</v>
      </c>
      <c r="G51" s="12">
        <v>5</v>
      </c>
      <c r="H51" s="8">
        <v>0.56000000000000005</v>
      </c>
      <c r="I51" s="12">
        <v>0</v>
      </c>
    </row>
    <row r="52" spans="2:9" ht="15" customHeight="1" x14ac:dyDescent="0.2">
      <c r="B52" t="s">
        <v>306</v>
      </c>
      <c r="C52" s="12">
        <v>41</v>
      </c>
      <c r="D52" s="8">
        <v>2.69</v>
      </c>
      <c r="E52" s="12">
        <v>36</v>
      </c>
      <c r="F52" s="8">
        <v>5.77</v>
      </c>
      <c r="G52" s="12">
        <v>5</v>
      </c>
      <c r="H52" s="8">
        <v>0.56000000000000005</v>
      </c>
      <c r="I52" s="12">
        <v>0</v>
      </c>
    </row>
    <row r="53" spans="2:9" ht="15" customHeight="1" x14ac:dyDescent="0.2">
      <c r="B53" t="s">
        <v>305</v>
      </c>
      <c r="C53" s="12">
        <v>39</v>
      </c>
      <c r="D53" s="8">
        <v>2.56</v>
      </c>
      <c r="E53" s="12">
        <v>33</v>
      </c>
      <c r="F53" s="8">
        <v>5.29</v>
      </c>
      <c r="G53" s="12">
        <v>6</v>
      </c>
      <c r="H53" s="8">
        <v>0.67</v>
      </c>
      <c r="I53" s="12">
        <v>0</v>
      </c>
    </row>
    <row r="54" spans="2:9" ht="15" customHeight="1" x14ac:dyDescent="0.2">
      <c r="B54" t="s">
        <v>297</v>
      </c>
      <c r="C54" s="12">
        <v>31</v>
      </c>
      <c r="D54" s="8">
        <v>2.0299999999999998</v>
      </c>
      <c r="E54" s="12">
        <v>4</v>
      </c>
      <c r="F54" s="8">
        <v>0.64</v>
      </c>
      <c r="G54" s="12">
        <v>27</v>
      </c>
      <c r="H54" s="8">
        <v>3.03</v>
      </c>
      <c r="I54" s="12">
        <v>0</v>
      </c>
    </row>
    <row r="55" spans="2:9" ht="15" customHeight="1" x14ac:dyDescent="0.2">
      <c r="B55" t="s">
        <v>295</v>
      </c>
      <c r="C55" s="12">
        <v>29</v>
      </c>
      <c r="D55" s="8">
        <v>1.9</v>
      </c>
      <c r="E55" s="12">
        <v>12</v>
      </c>
      <c r="F55" s="8">
        <v>1.92</v>
      </c>
      <c r="G55" s="12">
        <v>17</v>
      </c>
      <c r="H55" s="8">
        <v>1.91</v>
      </c>
      <c r="I55" s="12">
        <v>0</v>
      </c>
    </row>
    <row r="56" spans="2:9" ht="15" customHeight="1" x14ac:dyDescent="0.2">
      <c r="B56" t="s">
        <v>323</v>
      </c>
      <c r="C56" s="12">
        <v>26</v>
      </c>
      <c r="D56" s="8">
        <v>1.7</v>
      </c>
      <c r="E56" s="12">
        <v>9</v>
      </c>
      <c r="F56" s="8">
        <v>1.44</v>
      </c>
      <c r="G56" s="12">
        <v>17</v>
      </c>
      <c r="H56" s="8">
        <v>1.91</v>
      </c>
      <c r="I56" s="12">
        <v>0</v>
      </c>
    </row>
    <row r="57" spans="2:9" ht="15" customHeight="1" x14ac:dyDescent="0.2">
      <c r="B57" t="s">
        <v>294</v>
      </c>
      <c r="C57" s="12">
        <v>25</v>
      </c>
      <c r="D57" s="8">
        <v>1.64</v>
      </c>
      <c r="E57" s="12">
        <v>8</v>
      </c>
      <c r="F57" s="8">
        <v>1.28</v>
      </c>
      <c r="G57" s="12">
        <v>17</v>
      </c>
      <c r="H57" s="8">
        <v>1.91</v>
      </c>
      <c r="I57" s="12">
        <v>0</v>
      </c>
    </row>
    <row r="58" spans="2:9" ht="15" customHeight="1" x14ac:dyDescent="0.2">
      <c r="B58" t="s">
        <v>302</v>
      </c>
      <c r="C58" s="12">
        <v>25</v>
      </c>
      <c r="D58" s="8">
        <v>1.64</v>
      </c>
      <c r="E58" s="12">
        <v>20</v>
      </c>
      <c r="F58" s="8">
        <v>3.21</v>
      </c>
      <c r="G58" s="12">
        <v>5</v>
      </c>
      <c r="H58" s="8">
        <v>0.56000000000000005</v>
      </c>
      <c r="I58" s="12">
        <v>0</v>
      </c>
    </row>
    <row r="59" spans="2:9" ht="15" customHeight="1" x14ac:dyDescent="0.2">
      <c r="B59" t="s">
        <v>329</v>
      </c>
      <c r="C59" s="12">
        <v>24</v>
      </c>
      <c r="D59" s="8">
        <v>1.57</v>
      </c>
      <c r="E59" s="12">
        <v>13</v>
      </c>
      <c r="F59" s="8">
        <v>2.08</v>
      </c>
      <c r="G59" s="12">
        <v>11</v>
      </c>
      <c r="H59" s="8">
        <v>1.24</v>
      </c>
      <c r="I59" s="12">
        <v>0</v>
      </c>
    </row>
    <row r="60" spans="2:9" ht="15" customHeight="1" x14ac:dyDescent="0.2">
      <c r="B60" t="s">
        <v>327</v>
      </c>
      <c r="C60" s="12">
        <v>23</v>
      </c>
      <c r="D60" s="8">
        <v>1.51</v>
      </c>
      <c r="E60" s="12">
        <v>16</v>
      </c>
      <c r="F60" s="8">
        <v>2.56</v>
      </c>
      <c r="G60" s="12">
        <v>7</v>
      </c>
      <c r="H60" s="8">
        <v>0.79</v>
      </c>
      <c r="I60" s="12">
        <v>0</v>
      </c>
    </row>
    <row r="61" spans="2:9" ht="15" customHeight="1" x14ac:dyDescent="0.2">
      <c r="B61" t="s">
        <v>293</v>
      </c>
      <c r="C61" s="12">
        <v>22</v>
      </c>
      <c r="D61" s="8">
        <v>1.44</v>
      </c>
      <c r="E61" s="12">
        <v>6</v>
      </c>
      <c r="F61" s="8">
        <v>0.96</v>
      </c>
      <c r="G61" s="12">
        <v>16</v>
      </c>
      <c r="H61" s="8">
        <v>1.8</v>
      </c>
      <c r="I61" s="12">
        <v>0</v>
      </c>
    </row>
    <row r="62" spans="2:9" ht="15" customHeight="1" x14ac:dyDescent="0.2">
      <c r="B62" t="s">
        <v>288</v>
      </c>
      <c r="C62" s="12">
        <v>21</v>
      </c>
      <c r="D62" s="8">
        <v>1.38</v>
      </c>
      <c r="E62" s="12">
        <v>3</v>
      </c>
      <c r="F62" s="8">
        <v>0.48</v>
      </c>
      <c r="G62" s="12">
        <v>18</v>
      </c>
      <c r="H62" s="8">
        <v>2.02</v>
      </c>
      <c r="I62" s="12">
        <v>0</v>
      </c>
    </row>
    <row r="63" spans="2:9" ht="15" customHeight="1" x14ac:dyDescent="0.2">
      <c r="B63" t="s">
        <v>289</v>
      </c>
      <c r="C63" s="12">
        <v>21</v>
      </c>
      <c r="D63" s="8">
        <v>1.38</v>
      </c>
      <c r="E63" s="12">
        <v>0</v>
      </c>
      <c r="F63" s="8">
        <v>0</v>
      </c>
      <c r="G63" s="12">
        <v>21</v>
      </c>
      <c r="H63" s="8">
        <v>2.36</v>
      </c>
      <c r="I63" s="12">
        <v>0</v>
      </c>
    </row>
    <row r="64" spans="2:9" ht="15" customHeight="1" x14ac:dyDescent="0.2">
      <c r="B64" t="s">
        <v>333</v>
      </c>
      <c r="C64" s="12">
        <v>20</v>
      </c>
      <c r="D64" s="8">
        <v>1.31</v>
      </c>
      <c r="E64" s="12">
        <v>6</v>
      </c>
      <c r="F64" s="8">
        <v>0.96</v>
      </c>
      <c r="G64" s="12">
        <v>14</v>
      </c>
      <c r="H64" s="8">
        <v>1.57</v>
      </c>
      <c r="I64" s="12">
        <v>0</v>
      </c>
    </row>
    <row r="65" spans="2:9" ht="15" customHeight="1" x14ac:dyDescent="0.2">
      <c r="B65" t="s">
        <v>312</v>
      </c>
      <c r="C65" s="12">
        <v>20</v>
      </c>
      <c r="D65" s="8">
        <v>1.31</v>
      </c>
      <c r="E65" s="12">
        <v>16</v>
      </c>
      <c r="F65" s="8">
        <v>2.56</v>
      </c>
      <c r="G65" s="12">
        <v>4</v>
      </c>
      <c r="H65" s="8">
        <v>0.45</v>
      </c>
      <c r="I65" s="12">
        <v>0</v>
      </c>
    </row>
    <row r="66" spans="2:9" ht="15" customHeight="1" x14ac:dyDescent="0.2">
      <c r="B66" t="s">
        <v>314</v>
      </c>
      <c r="C66" s="12">
        <v>19</v>
      </c>
      <c r="D66" s="8">
        <v>1.25</v>
      </c>
      <c r="E66" s="12">
        <v>4</v>
      </c>
      <c r="F66" s="8">
        <v>0.64</v>
      </c>
      <c r="G66" s="12">
        <v>15</v>
      </c>
      <c r="H66" s="8">
        <v>1.69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83DA4-DDE8-4E1C-B787-56B470983D35}">
  <sheetPr>
    <pageSetUpPr fitToPage="1"/>
  </sheetPr>
  <dimension ref="A1:I5752"/>
  <sheetViews>
    <sheetView workbookViewId="0"/>
  </sheetViews>
  <sheetFormatPr defaultRowHeight="13.2" x14ac:dyDescent="0.2"/>
  <cols>
    <col min="1" max="1" width="13" customWidth="1"/>
    <col min="2" max="2" width="45.77734375" customWidth="1"/>
    <col min="3" max="9" width="10.44140625" customWidth="1"/>
    <col min="10" max="10" width="27.109375" bestFit="1" customWidth="1"/>
  </cols>
  <sheetData>
    <row r="1" spans="1:9" ht="37.5" customHeight="1" x14ac:dyDescent="0.2">
      <c r="A1" s="6" t="s">
        <v>286</v>
      </c>
      <c r="B1" s="3" t="s">
        <v>526</v>
      </c>
      <c r="C1" s="7" t="s">
        <v>206</v>
      </c>
      <c r="D1" s="7" t="s">
        <v>207</v>
      </c>
      <c r="E1" s="7" t="s">
        <v>208</v>
      </c>
      <c r="F1" s="7" t="s">
        <v>209</v>
      </c>
      <c r="G1" s="7" t="s">
        <v>210</v>
      </c>
      <c r="H1" s="7" t="s">
        <v>211</v>
      </c>
      <c r="I1" s="7" t="s">
        <v>212</v>
      </c>
    </row>
    <row r="2" spans="1:9" x14ac:dyDescent="0.2">
      <c r="A2" s="1" t="s">
        <v>0</v>
      </c>
      <c r="C2" s="4"/>
      <c r="D2" s="8"/>
      <c r="E2" s="4"/>
      <c r="F2" s="8"/>
      <c r="G2" s="4"/>
      <c r="H2" s="8"/>
      <c r="I2" s="4"/>
    </row>
    <row r="3" spans="1:9" x14ac:dyDescent="0.2">
      <c r="A3" s="2">
        <v>1</v>
      </c>
      <c r="B3" s="1" t="s">
        <v>297</v>
      </c>
      <c r="C3" s="4">
        <v>7822</v>
      </c>
      <c r="D3" s="8">
        <v>6.5</v>
      </c>
      <c r="E3" s="4">
        <v>5061</v>
      </c>
      <c r="F3" s="8">
        <v>9.3699999999999992</v>
      </c>
      <c r="G3" s="4">
        <v>2704</v>
      </c>
      <c r="H3" s="8">
        <v>4.2</v>
      </c>
      <c r="I3" s="4">
        <v>0</v>
      </c>
    </row>
    <row r="4" spans="1:9" x14ac:dyDescent="0.2">
      <c r="A4" s="2">
        <v>2</v>
      </c>
      <c r="B4" s="1" t="s">
        <v>304</v>
      </c>
      <c r="C4" s="4">
        <v>6275</v>
      </c>
      <c r="D4" s="8">
        <v>5.21</v>
      </c>
      <c r="E4" s="4">
        <v>5588</v>
      </c>
      <c r="F4" s="8">
        <v>10.35</v>
      </c>
      <c r="G4" s="4">
        <v>687</v>
      </c>
      <c r="H4" s="8">
        <v>1.07</v>
      </c>
      <c r="I4" s="4">
        <v>0</v>
      </c>
    </row>
    <row r="5" spans="1:9" x14ac:dyDescent="0.2">
      <c r="A5" s="2">
        <v>3</v>
      </c>
      <c r="B5" s="1" t="s">
        <v>301</v>
      </c>
      <c r="C5" s="4">
        <v>4508</v>
      </c>
      <c r="D5" s="8">
        <v>3.75</v>
      </c>
      <c r="E5" s="4">
        <v>4195</v>
      </c>
      <c r="F5" s="8">
        <v>7.77</v>
      </c>
      <c r="G5" s="4">
        <v>313</v>
      </c>
      <c r="H5" s="8">
        <v>0.49</v>
      </c>
      <c r="I5" s="4">
        <v>0</v>
      </c>
    </row>
    <row r="6" spans="1:9" x14ac:dyDescent="0.2">
      <c r="A6" s="2">
        <v>4</v>
      </c>
      <c r="B6" s="1" t="s">
        <v>303</v>
      </c>
      <c r="C6" s="4">
        <v>4322</v>
      </c>
      <c r="D6" s="8">
        <v>3.59</v>
      </c>
      <c r="E6" s="4">
        <v>4041</v>
      </c>
      <c r="F6" s="8">
        <v>7.48</v>
      </c>
      <c r="G6" s="4">
        <v>281</v>
      </c>
      <c r="H6" s="8">
        <v>0.44</v>
      </c>
      <c r="I6" s="4">
        <v>0</v>
      </c>
    </row>
    <row r="7" spans="1:9" x14ac:dyDescent="0.2">
      <c r="A7" s="2">
        <v>5</v>
      </c>
      <c r="B7" s="1" t="s">
        <v>299</v>
      </c>
      <c r="C7" s="4">
        <v>3329</v>
      </c>
      <c r="D7" s="8">
        <v>2.77</v>
      </c>
      <c r="E7" s="4">
        <v>2438</v>
      </c>
      <c r="F7" s="8">
        <v>4.5199999999999996</v>
      </c>
      <c r="G7" s="4">
        <v>889</v>
      </c>
      <c r="H7" s="8">
        <v>1.38</v>
      </c>
      <c r="I7" s="4">
        <v>2</v>
      </c>
    </row>
    <row r="8" spans="1:9" x14ac:dyDescent="0.2">
      <c r="A8" s="2">
        <v>6</v>
      </c>
      <c r="B8" s="1" t="s">
        <v>300</v>
      </c>
      <c r="C8" s="4">
        <v>3069</v>
      </c>
      <c r="D8" s="8">
        <v>2.5499999999999998</v>
      </c>
      <c r="E8" s="4">
        <v>2633</v>
      </c>
      <c r="F8" s="8">
        <v>4.88</v>
      </c>
      <c r="G8" s="4">
        <v>436</v>
      </c>
      <c r="H8" s="8">
        <v>0.68</v>
      </c>
      <c r="I8" s="4">
        <v>0</v>
      </c>
    </row>
    <row r="9" spans="1:9" x14ac:dyDescent="0.2">
      <c r="A9" s="2">
        <v>7</v>
      </c>
      <c r="B9" s="1" t="s">
        <v>306</v>
      </c>
      <c r="C9" s="4">
        <v>2699</v>
      </c>
      <c r="D9" s="8">
        <v>2.2400000000000002</v>
      </c>
      <c r="E9" s="4">
        <v>2380</v>
      </c>
      <c r="F9" s="8">
        <v>4.41</v>
      </c>
      <c r="G9" s="4">
        <v>319</v>
      </c>
      <c r="H9" s="8">
        <v>0.5</v>
      </c>
      <c r="I9" s="4">
        <v>0</v>
      </c>
    </row>
    <row r="10" spans="1:9" x14ac:dyDescent="0.2">
      <c r="A10" s="2">
        <v>8</v>
      </c>
      <c r="B10" s="1" t="s">
        <v>295</v>
      </c>
      <c r="C10" s="4">
        <v>2222</v>
      </c>
      <c r="D10" s="8">
        <v>1.85</v>
      </c>
      <c r="E10" s="4">
        <v>1006</v>
      </c>
      <c r="F10" s="8">
        <v>1.86</v>
      </c>
      <c r="G10" s="4">
        <v>1213</v>
      </c>
      <c r="H10" s="8">
        <v>1.88</v>
      </c>
      <c r="I10" s="4">
        <v>3</v>
      </c>
    </row>
    <row r="11" spans="1:9" x14ac:dyDescent="0.2">
      <c r="A11" s="2">
        <v>9</v>
      </c>
      <c r="B11" s="1" t="s">
        <v>305</v>
      </c>
      <c r="C11" s="4">
        <v>2094</v>
      </c>
      <c r="D11" s="8">
        <v>1.74</v>
      </c>
      <c r="E11" s="4">
        <v>1711</v>
      </c>
      <c r="F11" s="8">
        <v>3.17</v>
      </c>
      <c r="G11" s="4">
        <v>372</v>
      </c>
      <c r="H11" s="8">
        <v>0.57999999999999996</v>
      </c>
      <c r="I11" s="4">
        <v>4</v>
      </c>
    </row>
    <row r="12" spans="1:9" x14ac:dyDescent="0.2">
      <c r="A12" s="2">
        <v>10</v>
      </c>
      <c r="B12" s="1" t="s">
        <v>302</v>
      </c>
      <c r="C12" s="4">
        <v>1772</v>
      </c>
      <c r="D12" s="8">
        <v>1.47</v>
      </c>
      <c r="E12" s="4">
        <v>1497</v>
      </c>
      <c r="F12" s="8">
        <v>2.77</v>
      </c>
      <c r="G12" s="4">
        <v>269</v>
      </c>
      <c r="H12" s="8">
        <v>0.42</v>
      </c>
      <c r="I12" s="4">
        <v>6</v>
      </c>
    </row>
    <row r="13" spans="1:9" x14ac:dyDescent="0.2">
      <c r="A13" s="2">
        <v>11</v>
      </c>
      <c r="B13" s="1" t="s">
        <v>288</v>
      </c>
      <c r="C13" s="4">
        <v>1750</v>
      </c>
      <c r="D13" s="8">
        <v>1.45</v>
      </c>
      <c r="E13" s="4">
        <v>117</v>
      </c>
      <c r="F13" s="8">
        <v>0.22</v>
      </c>
      <c r="G13" s="4">
        <v>1633</v>
      </c>
      <c r="H13" s="8">
        <v>2.54</v>
      </c>
      <c r="I13" s="4">
        <v>0</v>
      </c>
    </row>
    <row r="14" spans="1:9" x14ac:dyDescent="0.2">
      <c r="A14" s="2">
        <v>12</v>
      </c>
      <c r="B14" s="1" t="s">
        <v>293</v>
      </c>
      <c r="C14" s="4">
        <v>1655</v>
      </c>
      <c r="D14" s="8">
        <v>1.38</v>
      </c>
      <c r="E14" s="4">
        <v>489</v>
      </c>
      <c r="F14" s="8">
        <v>0.91</v>
      </c>
      <c r="G14" s="4">
        <v>1166</v>
      </c>
      <c r="H14" s="8">
        <v>1.81</v>
      </c>
      <c r="I14" s="4">
        <v>0</v>
      </c>
    </row>
    <row r="15" spans="1:9" x14ac:dyDescent="0.2">
      <c r="A15" s="2">
        <v>13</v>
      </c>
      <c r="B15" s="1" t="s">
        <v>292</v>
      </c>
      <c r="C15" s="4">
        <v>1646</v>
      </c>
      <c r="D15" s="8">
        <v>1.37</v>
      </c>
      <c r="E15" s="4">
        <v>815</v>
      </c>
      <c r="F15" s="8">
        <v>1.51</v>
      </c>
      <c r="G15" s="4">
        <v>819</v>
      </c>
      <c r="H15" s="8">
        <v>1.27</v>
      </c>
      <c r="I15" s="4">
        <v>12</v>
      </c>
    </row>
    <row r="16" spans="1:9" x14ac:dyDescent="0.2">
      <c r="A16" s="2">
        <v>14</v>
      </c>
      <c r="B16" s="1" t="s">
        <v>290</v>
      </c>
      <c r="C16" s="4">
        <v>1602</v>
      </c>
      <c r="D16" s="8">
        <v>1.33</v>
      </c>
      <c r="E16" s="4">
        <v>269</v>
      </c>
      <c r="F16" s="8">
        <v>0.5</v>
      </c>
      <c r="G16" s="4">
        <v>1333</v>
      </c>
      <c r="H16" s="8">
        <v>2.0699999999999998</v>
      </c>
      <c r="I16" s="4">
        <v>0</v>
      </c>
    </row>
    <row r="17" spans="1:9" x14ac:dyDescent="0.2">
      <c r="A17" s="2">
        <v>14</v>
      </c>
      <c r="B17" s="1" t="s">
        <v>291</v>
      </c>
      <c r="C17" s="4">
        <v>1602</v>
      </c>
      <c r="D17" s="8">
        <v>1.33</v>
      </c>
      <c r="E17" s="4">
        <v>264</v>
      </c>
      <c r="F17" s="8">
        <v>0.49</v>
      </c>
      <c r="G17" s="4">
        <v>1338</v>
      </c>
      <c r="H17" s="8">
        <v>2.08</v>
      </c>
      <c r="I17" s="4">
        <v>0</v>
      </c>
    </row>
    <row r="18" spans="1:9" x14ac:dyDescent="0.2">
      <c r="A18" s="2">
        <v>16</v>
      </c>
      <c r="B18" s="1" t="s">
        <v>296</v>
      </c>
      <c r="C18" s="4">
        <v>1543</v>
      </c>
      <c r="D18" s="8">
        <v>1.28</v>
      </c>
      <c r="E18" s="4">
        <v>239</v>
      </c>
      <c r="F18" s="8">
        <v>0.44</v>
      </c>
      <c r="G18" s="4">
        <v>1300</v>
      </c>
      <c r="H18" s="8">
        <v>2.02</v>
      </c>
      <c r="I18" s="4">
        <v>4</v>
      </c>
    </row>
    <row r="19" spans="1:9" x14ac:dyDescent="0.2">
      <c r="A19" s="2">
        <v>17</v>
      </c>
      <c r="B19" s="1" t="s">
        <v>298</v>
      </c>
      <c r="C19" s="4">
        <v>1530</v>
      </c>
      <c r="D19" s="8">
        <v>1.27</v>
      </c>
      <c r="E19" s="4">
        <v>306</v>
      </c>
      <c r="F19" s="8">
        <v>0.56999999999999995</v>
      </c>
      <c r="G19" s="4">
        <v>1216</v>
      </c>
      <c r="H19" s="8">
        <v>1.89</v>
      </c>
      <c r="I19" s="4">
        <v>1</v>
      </c>
    </row>
    <row r="20" spans="1:9" x14ac:dyDescent="0.2">
      <c r="A20" s="2">
        <v>18</v>
      </c>
      <c r="B20" s="1" t="s">
        <v>289</v>
      </c>
      <c r="C20" s="4">
        <v>1522</v>
      </c>
      <c r="D20" s="8">
        <v>1.26</v>
      </c>
      <c r="E20" s="4">
        <v>146</v>
      </c>
      <c r="F20" s="8">
        <v>0.27</v>
      </c>
      <c r="G20" s="4">
        <v>1376</v>
      </c>
      <c r="H20" s="8">
        <v>2.14</v>
      </c>
      <c r="I20" s="4">
        <v>0</v>
      </c>
    </row>
    <row r="21" spans="1:9" x14ac:dyDescent="0.2">
      <c r="A21" s="2">
        <v>19</v>
      </c>
      <c r="B21" s="1" t="s">
        <v>294</v>
      </c>
      <c r="C21" s="4">
        <v>1474</v>
      </c>
      <c r="D21" s="8">
        <v>1.22</v>
      </c>
      <c r="E21" s="4">
        <v>394</v>
      </c>
      <c r="F21" s="8">
        <v>0.73</v>
      </c>
      <c r="G21" s="4">
        <v>1079</v>
      </c>
      <c r="H21" s="8">
        <v>1.68</v>
      </c>
      <c r="I21" s="4">
        <v>1</v>
      </c>
    </row>
    <row r="22" spans="1:9" x14ac:dyDescent="0.2">
      <c r="A22" s="2">
        <v>20</v>
      </c>
      <c r="B22" s="1" t="s">
        <v>307</v>
      </c>
      <c r="C22" s="4">
        <v>1455</v>
      </c>
      <c r="D22" s="8">
        <v>1.21</v>
      </c>
      <c r="E22" s="4">
        <v>719</v>
      </c>
      <c r="F22" s="8">
        <v>1.33</v>
      </c>
      <c r="G22" s="4">
        <v>734</v>
      </c>
      <c r="H22" s="8">
        <v>1.1399999999999999</v>
      </c>
      <c r="I22" s="4">
        <v>0</v>
      </c>
    </row>
    <row r="23" spans="1:9" x14ac:dyDescent="0.2">
      <c r="A23" s="1"/>
      <c r="C23" s="4"/>
      <c r="D23" s="8"/>
      <c r="E23" s="4"/>
      <c r="F23" s="8"/>
      <c r="G23" s="4"/>
      <c r="H23" s="8"/>
      <c r="I23" s="4"/>
    </row>
    <row r="24" spans="1:9" x14ac:dyDescent="0.2">
      <c r="A24" s="1" t="s">
        <v>1</v>
      </c>
      <c r="C24" s="4"/>
      <c r="D24" s="8"/>
      <c r="E24" s="4"/>
      <c r="F24" s="8"/>
      <c r="G24" s="4"/>
      <c r="H24" s="8"/>
      <c r="I24" s="4"/>
    </row>
    <row r="25" spans="1:9" x14ac:dyDescent="0.2">
      <c r="A25" s="2">
        <v>1</v>
      </c>
      <c r="B25" s="1" t="s">
        <v>297</v>
      </c>
      <c r="C25" s="4">
        <v>3363</v>
      </c>
      <c r="D25" s="8">
        <v>8.6199999999999992</v>
      </c>
      <c r="E25" s="4">
        <v>1918</v>
      </c>
      <c r="F25" s="8">
        <v>13.95</v>
      </c>
      <c r="G25" s="4">
        <v>1444</v>
      </c>
      <c r="H25" s="8">
        <v>5.74</v>
      </c>
      <c r="I25" s="4">
        <v>0</v>
      </c>
    </row>
    <row r="26" spans="1:9" x14ac:dyDescent="0.2">
      <c r="A26" s="2">
        <v>2</v>
      </c>
      <c r="B26" s="1" t="s">
        <v>304</v>
      </c>
      <c r="C26" s="4">
        <v>1711</v>
      </c>
      <c r="D26" s="8">
        <v>4.3899999999999997</v>
      </c>
      <c r="E26" s="4">
        <v>1372</v>
      </c>
      <c r="F26" s="8">
        <v>9.98</v>
      </c>
      <c r="G26" s="4">
        <v>339</v>
      </c>
      <c r="H26" s="8">
        <v>1.35</v>
      </c>
      <c r="I26" s="4">
        <v>0</v>
      </c>
    </row>
    <row r="27" spans="1:9" x14ac:dyDescent="0.2">
      <c r="A27" s="2">
        <v>3</v>
      </c>
      <c r="B27" s="1" t="s">
        <v>301</v>
      </c>
      <c r="C27" s="4">
        <v>1287</v>
      </c>
      <c r="D27" s="8">
        <v>3.3</v>
      </c>
      <c r="E27" s="4">
        <v>1130</v>
      </c>
      <c r="F27" s="8">
        <v>8.2200000000000006</v>
      </c>
      <c r="G27" s="4">
        <v>157</v>
      </c>
      <c r="H27" s="8">
        <v>0.62</v>
      </c>
      <c r="I27" s="4">
        <v>0</v>
      </c>
    </row>
    <row r="28" spans="1:9" x14ac:dyDescent="0.2">
      <c r="A28" s="2">
        <v>4</v>
      </c>
      <c r="B28" s="1" t="s">
        <v>299</v>
      </c>
      <c r="C28" s="4">
        <v>1093</v>
      </c>
      <c r="D28" s="8">
        <v>2.8</v>
      </c>
      <c r="E28" s="4">
        <v>692</v>
      </c>
      <c r="F28" s="8">
        <v>5.03</v>
      </c>
      <c r="G28" s="4">
        <v>401</v>
      </c>
      <c r="H28" s="8">
        <v>1.6</v>
      </c>
      <c r="I28" s="4">
        <v>0</v>
      </c>
    </row>
    <row r="29" spans="1:9" x14ac:dyDescent="0.2">
      <c r="A29" s="2">
        <v>5</v>
      </c>
      <c r="B29" s="1" t="s">
        <v>303</v>
      </c>
      <c r="C29" s="4">
        <v>1071</v>
      </c>
      <c r="D29" s="8">
        <v>2.74</v>
      </c>
      <c r="E29" s="4">
        <v>941</v>
      </c>
      <c r="F29" s="8">
        <v>6.84</v>
      </c>
      <c r="G29" s="4">
        <v>130</v>
      </c>
      <c r="H29" s="8">
        <v>0.52</v>
      </c>
      <c r="I29" s="4">
        <v>0</v>
      </c>
    </row>
    <row r="30" spans="1:9" x14ac:dyDescent="0.2">
      <c r="A30" s="2">
        <v>6</v>
      </c>
      <c r="B30" s="1" t="s">
        <v>300</v>
      </c>
      <c r="C30" s="4">
        <v>1009</v>
      </c>
      <c r="D30" s="8">
        <v>2.59</v>
      </c>
      <c r="E30" s="4">
        <v>811</v>
      </c>
      <c r="F30" s="8">
        <v>5.9</v>
      </c>
      <c r="G30" s="4">
        <v>198</v>
      </c>
      <c r="H30" s="8">
        <v>0.79</v>
      </c>
      <c r="I30" s="4">
        <v>0</v>
      </c>
    </row>
    <row r="31" spans="1:9" x14ac:dyDescent="0.2">
      <c r="A31" s="2">
        <v>7</v>
      </c>
      <c r="B31" s="1" t="s">
        <v>306</v>
      </c>
      <c r="C31" s="4">
        <v>974</v>
      </c>
      <c r="D31" s="8">
        <v>2.5</v>
      </c>
      <c r="E31" s="4">
        <v>783</v>
      </c>
      <c r="F31" s="8">
        <v>5.69</v>
      </c>
      <c r="G31" s="4">
        <v>191</v>
      </c>
      <c r="H31" s="8">
        <v>0.76</v>
      </c>
      <c r="I31" s="4">
        <v>0</v>
      </c>
    </row>
    <row r="32" spans="1:9" x14ac:dyDescent="0.2">
      <c r="A32" s="2">
        <v>8</v>
      </c>
      <c r="B32" s="1" t="s">
        <v>296</v>
      </c>
      <c r="C32" s="4">
        <v>815</v>
      </c>
      <c r="D32" s="8">
        <v>2.09</v>
      </c>
      <c r="E32" s="4">
        <v>123</v>
      </c>
      <c r="F32" s="8">
        <v>0.89</v>
      </c>
      <c r="G32" s="4">
        <v>688</v>
      </c>
      <c r="H32" s="8">
        <v>2.74</v>
      </c>
      <c r="I32" s="4">
        <v>4</v>
      </c>
    </row>
    <row r="33" spans="1:9" x14ac:dyDescent="0.2">
      <c r="A33" s="2">
        <v>9</v>
      </c>
      <c r="B33" s="1" t="s">
        <v>298</v>
      </c>
      <c r="C33" s="4">
        <v>775</v>
      </c>
      <c r="D33" s="8">
        <v>1.99</v>
      </c>
      <c r="E33" s="4">
        <v>95</v>
      </c>
      <c r="F33" s="8">
        <v>0.69</v>
      </c>
      <c r="G33" s="4">
        <v>680</v>
      </c>
      <c r="H33" s="8">
        <v>2.7</v>
      </c>
      <c r="I33" s="4">
        <v>0</v>
      </c>
    </row>
    <row r="34" spans="1:9" x14ac:dyDescent="0.2">
      <c r="A34" s="2">
        <v>10</v>
      </c>
      <c r="B34" s="1" t="s">
        <v>305</v>
      </c>
      <c r="C34" s="4">
        <v>724</v>
      </c>
      <c r="D34" s="8">
        <v>1.86</v>
      </c>
      <c r="E34" s="4">
        <v>523</v>
      </c>
      <c r="F34" s="8">
        <v>3.8</v>
      </c>
      <c r="G34" s="4">
        <v>199</v>
      </c>
      <c r="H34" s="8">
        <v>0.79</v>
      </c>
      <c r="I34" s="4">
        <v>2</v>
      </c>
    </row>
    <row r="35" spans="1:9" x14ac:dyDescent="0.2">
      <c r="A35" s="2">
        <v>11</v>
      </c>
      <c r="B35" s="1" t="s">
        <v>291</v>
      </c>
      <c r="C35" s="4">
        <v>615</v>
      </c>
      <c r="D35" s="8">
        <v>1.58</v>
      </c>
      <c r="E35" s="4">
        <v>34</v>
      </c>
      <c r="F35" s="8">
        <v>0.25</v>
      </c>
      <c r="G35" s="4">
        <v>581</v>
      </c>
      <c r="H35" s="8">
        <v>2.31</v>
      </c>
      <c r="I35" s="4">
        <v>0</v>
      </c>
    </row>
    <row r="36" spans="1:9" x14ac:dyDescent="0.2">
      <c r="A36" s="2">
        <v>12</v>
      </c>
      <c r="B36" s="1" t="s">
        <v>295</v>
      </c>
      <c r="C36" s="4">
        <v>603</v>
      </c>
      <c r="D36" s="8">
        <v>1.55</v>
      </c>
      <c r="E36" s="4">
        <v>210</v>
      </c>
      <c r="F36" s="8">
        <v>1.53</v>
      </c>
      <c r="G36" s="4">
        <v>392</v>
      </c>
      <c r="H36" s="8">
        <v>1.56</v>
      </c>
      <c r="I36" s="4">
        <v>1</v>
      </c>
    </row>
    <row r="37" spans="1:9" x14ac:dyDescent="0.2">
      <c r="A37" s="2">
        <v>13</v>
      </c>
      <c r="B37" s="1" t="s">
        <v>310</v>
      </c>
      <c r="C37" s="4">
        <v>579</v>
      </c>
      <c r="D37" s="8">
        <v>1.48</v>
      </c>
      <c r="E37" s="4">
        <v>17</v>
      </c>
      <c r="F37" s="8">
        <v>0.12</v>
      </c>
      <c r="G37" s="4">
        <v>562</v>
      </c>
      <c r="H37" s="8">
        <v>2.2400000000000002</v>
      </c>
      <c r="I37" s="4">
        <v>0</v>
      </c>
    </row>
    <row r="38" spans="1:9" x14ac:dyDescent="0.2">
      <c r="A38" s="2">
        <v>14</v>
      </c>
      <c r="B38" s="1" t="s">
        <v>309</v>
      </c>
      <c r="C38" s="4">
        <v>539</v>
      </c>
      <c r="D38" s="8">
        <v>1.38</v>
      </c>
      <c r="E38" s="4">
        <v>18</v>
      </c>
      <c r="F38" s="8">
        <v>0.13</v>
      </c>
      <c r="G38" s="4">
        <v>520</v>
      </c>
      <c r="H38" s="8">
        <v>2.0699999999999998</v>
      </c>
      <c r="I38" s="4">
        <v>1</v>
      </c>
    </row>
    <row r="39" spans="1:9" x14ac:dyDescent="0.2">
      <c r="A39" s="2">
        <v>15</v>
      </c>
      <c r="B39" s="1" t="s">
        <v>290</v>
      </c>
      <c r="C39" s="4">
        <v>505</v>
      </c>
      <c r="D39" s="8">
        <v>1.29</v>
      </c>
      <c r="E39" s="4">
        <v>24</v>
      </c>
      <c r="F39" s="8">
        <v>0.17</v>
      </c>
      <c r="G39" s="4">
        <v>481</v>
      </c>
      <c r="H39" s="8">
        <v>1.91</v>
      </c>
      <c r="I39" s="4">
        <v>0</v>
      </c>
    </row>
    <row r="40" spans="1:9" x14ac:dyDescent="0.2">
      <c r="A40" s="2">
        <v>16</v>
      </c>
      <c r="B40" s="1" t="s">
        <v>308</v>
      </c>
      <c r="C40" s="4">
        <v>492</v>
      </c>
      <c r="D40" s="8">
        <v>1.26</v>
      </c>
      <c r="E40" s="4">
        <v>40</v>
      </c>
      <c r="F40" s="8">
        <v>0.28999999999999998</v>
      </c>
      <c r="G40" s="4">
        <v>452</v>
      </c>
      <c r="H40" s="8">
        <v>1.8</v>
      </c>
      <c r="I40" s="4">
        <v>0</v>
      </c>
    </row>
    <row r="41" spans="1:9" x14ac:dyDescent="0.2">
      <c r="A41" s="2">
        <v>17</v>
      </c>
      <c r="B41" s="1" t="s">
        <v>312</v>
      </c>
      <c r="C41" s="4">
        <v>487</v>
      </c>
      <c r="D41" s="8">
        <v>1.25</v>
      </c>
      <c r="E41" s="4">
        <v>424</v>
      </c>
      <c r="F41" s="8">
        <v>3.08</v>
      </c>
      <c r="G41" s="4">
        <v>63</v>
      </c>
      <c r="H41" s="8">
        <v>0.25</v>
      </c>
      <c r="I41" s="4">
        <v>0</v>
      </c>
    </row>
    <row r="42" spans="1:9" x14ac:dyDescent="0.2">
      <c r="A42" s="2">
        <v>18</v>
      </c>
      <c r="B42" s="1" t="s">
        <v>294</v>
      </c>
      <c r="C42" s="4">
        <v>484</v>
      </c>
      <c r="D42" s="8">
        <v>1.24</v>
      </c>
      <c r="E42" s="4">
        <v>82</v>
      </c>
      <c r="F42" s="8">
        <v>0.6</v>
      </c>
      <c r="G42" s="4">
        <v>401</v>
      </c>
      <c r="H42" s="8">
        <v>1.6</v>
      </c>
      <c r="I42" s="4">
        <v>1</v>
      </c>
    </row>
    <row r="43" spans="1:9" x14ac:dyDescent="0.2">
      <c r="A43" s="2">
        <v>19</v>
      </c>
      <c r="B43" s="1" t="s">
        <v>311</v>
      </c>
      <c r="C43" s="4">
        <v>476</v>
      </c>
      <c r="D43" s="8">
        <v>1.22</v>
      </c>
      <c r="E43" s="4">
        <v>13</v>
      </c>
      <c r="F43" s="8">
        <v>0.09</v>
      </c>
      <c r="G43" s="4">
        <v>458</v>
      </c>
      <c r="H43" s="8">
        <v>1.82</v>
      </c>
      <c r="I43" s="4">
        <v>2</v>
      </c>
    </row>
    <row r="44" spans="1:9" x14ac:dyDescent="0.2">
      <c r="A44" s="2">
        <v>20</v>
      </c>
      <c r="B44" s="1" t="s">
        <v>289</v>
      </c>
      <c r="C44" s="4">
        <v>475</v>
      </c>
      <c r="D44" s="8">
        <v>1.22</v>
      </c>
      <c r="E44" s="4">
        <v>6</v>
      </c>
      <c r="F44" s="8">
        <v>0.04</v>
      </c>
      <c r="G44" s="4">
        <v>469</v>
      </c>
      <c r="H44" s="8">
        <v>1.87</v>
      </c>
      <c r="I44" s="4">
        <v>0</v>
      </c>
    </row>
    <row r="45" spans="1:9" x14ac:dyDescent="0.2">
      <c r="A45" s="1"/>
      <c r="C45" s="4"/>
      <c r="D45" s="8"/>
      <c r="E45" s="4"/>
      <c r="F45" s="8"/>
      <c r="G45" s="4"/>
      <c r="H45" s="8"/>
      <c r="I45" s="4"/>
    </row>
    <row r="46" spans="1:9" x14ac:dyDescent="0.2">
      <c r="A46" s="1" t="s">
        <v>2</v>
      </c>
      <c r="C46" s="4"/>
      <c r="D46" s="8"/>
      <c r="E46" s="4"/>
      <c r="F46" s="8"/>
      <c r="G46" s="4"/>
      <c r="H46" s="8"/>
      <c r="I46" s="4"/>
    </row>
    <row r="47" spans="1:9" x14ac:dyDescent="0.2">
      <c r="A47" s="2">
        <v>1</v>
      </c>
      <c r="B47" s="1" t="s">
        <v>301</v>
      </c>
      <c r="C47" s="4">
        <v>841</v>
      </c>
      <c r="D47" s="8">
        <v>7.72</v>
      </c>
      <c r="E47" s="4">
        <v>718</v>
      </c>
      <c r="F47" s="8">
        <v>17.7</v>
      </c>
      <c r="G47" s="4">
        <v>123</v>
      </c>
      <c r="H47" s="8">
        <v>1.81</v>
      </c>
      <c r="I47" s="4">
        <v>0</v>
      </c>
    </row>
    <row r="48" spans="1:9" x14ac:dyDescent="0.2">
      <c r="A48" s="2">
        <v>2</v>
      </c>
      <c r="B48" s="1" t="s">
        <v>297</v>
      </c>
      <c r="C48" s="4">
        <v>571</v>
      </c>
      <c r="D48" s="8">
        <v>5.24</v>
      </c>
      <c r="E48" s="4">
        <v>260</v>
      </c>
      <c r="F48" s="8">
        <v>6.41</v>
      </c>
      <c r="G48" s="4">
        <v>310</v>
      </c>
      <c r="H48" s="8">
        <v>4.55</v>
      </c>
      <c r="I48" s="4">
        <v>0</v>
      </c>
    </row>
    <row r="49" spans="1:9" x14ac:dyDescent="0.2">
      <c r="A49" s="2">
        <v>3</v>
      </c>
      <c r="B49" s="1" t="s">
        <v>299</v>
      </c>
      <c r="C49" s="4">
        <v>523</v>
      </c>
      <c r="D49" s="8">
        <v>4.8</v>
      </c>
      <c r="E49" s="4">
        <v>297</v>
      </c>
      <c r="F49" s="8">
        <v>7.32</v>
      </c>
      <c r="G49" s="4">
        <v>226</v>
      </c>
      <c r="H49" s="8">
        <v>3.32</v>
      </c>
      <c r="I49" s="4">
        <v>0</v>
      </c>
    </row>
    <row r="50" spans="1:9" x14ac:dyDescent="0.2">
      <c r="A50" s="2">
        <v>4</v>
      </c>
      <c r="B50" s="1" t="s">
        <v>300</v>
      </c>
      <c r="C50" s="4">
        <v>505</v>
      </c>
      <c r="D50" s="8">
        <v>4.63</v>
      </c>
      <c r="E50" s="4">
        <v>374</v>
      </c>
      <c r="F50" s="8">
        <v>9.2200000000000006</v>
      </c>
      <c r="G50" s="4">
        <v>131</v>
      </c>
      <c r="H50" s="8">
        <v>1.92</v>
      </c>
      <c r="I50" s="4">
        <v>0</v>
      </c>
    </row>
    <row r="51" spans="1:9" x14ac:dyDescent="0.2">
      <c r="A51" s="2">
        <v>5</v>
      </c>
      <c r="B51" s="1" t="s">
        <v>304</v>
      </c>
      <c r="C51" s="4">
        <v>436</v>
      </c>
      <c r="D51" s="8">
        <v>4</v>
      </c>
      <c r="E51" s="4">
        <v>324</v>
      </c>
      <c r="F51" s="8">
        <v>7.99</v>
      </c>
      <c r="G51" s="4">
        <v>112</v>
      </c>
      <c r="H51" s="8">
        <v>1.64</v>
      </c>
      <c r="I51" s="4">
        <v>0</v>
      </c>
    </row>
    <row r="52" spans="1:9" x14ac:dyDescent="0.2">
      <c r="A52" s="2">
        <v>6</v>
      </c>
      <c r="B52" s="1" t="s">
        <v>315</v>
      </c>
      <c r="C52" s="4">
        <v>250</v>
      </c>
      <c r="D52" s="8">
        <v>2.29</v>
      </c>
      <c r="E52" s="4">
        <v>224</v>
      </c>
      <c r="F52" s="8">
        <v>5.52</v>
      </c>
      <c r="G52" s="4">
        <v>26</v>
      </c>
      <c r="H52" s="8">
        <v>0.38</v>
      </c>
      <c r="I52" s="4">
        <v>0</v>
      </c>
    </row>
    <row r="53" spans="1:9" x14ac:dyDescent="0.2">
      <c r="A53" s="2">
        <v>7</v>
      </c>
      <c r="B53" s="1" t="s">
        <v>296</v>
      </c>
      <c r="C53" s="4">
        <v>238</v>
      </c>
      <c r="D53" s="8">
        <v>2.1800000000000002</v>
      </c>
      <c r="E53" s="4">
        <v>35</v>
      </c>
      <c r="F53" s="8">
        <v>0.86</v>
      </c>
      <c r="G53" s="4">
        <v>203</v>
      </c>
      <c r="H53" s="8">
        <v>2.98</v>
      </c>
      <c r="I53" s="4">
        <v>0</v>
      </c>
    </row>
    <row r="54" spans="1:9" x14ac:dyDescent="0.2">
      <c r="A54" s="2">
        <v>8</v>
      </c>
      <c r="B54" s="1" t="s">
        <v>306</v>
      </c>
      <c r="C54" s="4">
        <v>230</v>
      </c>
      <c r="D54" s="8">
        <v>2.11</v>
      </c>
      <c r="E54" s="4">
        <v>180</v>
      </c>
      <c r="F54" s="8">
        <v>4.4400000000000004</v>
      </c>
      <c r="G54" s="4">
        <v>50</v>
      </c>
      <c r="H54" s="8">
        <v>0.73</v>
      </c>
      <c r="I54" s="4">
        <v>0</v>
      </c>
    </row>
    <row r="55" spans="1:9" x14ac:dyDescent="0.2">
      <c r="A55" s="2">
        <v>9</v>
      </c>
      <c r="B55" s="1" t="s">
        <v>305</v>
      </c>
      <c r="C55" s="4">
        <v>222</v>
      </c>
      <c r="D55" s="8">
        <v>2.04</v>
      </c>
      <c r="E55" s="4">
        <v>141</v>
      </c>
      <c r="F55" s="8">
        <v>3.48</v>
      </c>
      <c r="G55" s="4">
        <v>81</v>
      </c>
      <c r="H55" s="8">
        <v>1.19</v>
      </c>
      <c r="I55" s="4">
        <v>0</v>
      </c>
    </row>
    <row r="56" spans="1:9" x14ac:dyDescent="0.2">
      <c r="A56" s="2">
        <v>10</v>
      </c>
      <c r="B56" s="1" t="s">
        <v>298</v>
      </c>
      <c r="C56" s="4">
        <v>218</v>
      </c>
      <c r="D56" s="8">
        <v>2</v>
      </c>
      <c r="E56" s="4">
        <v>35</v>
      </c>
      <c r="F56" s="8">
        <v>0.86</v>
      </c>
      <c r="G56" s="4">
        <v>183</v>
      </c>
      <c r="H56" s="8">
        <v>2.69</v>
      </c>
      <c r="I56" s="4">
        <v>0</v>
      </c>
    </row>
    <row r="57" spans="1:9" x14ac:dyDescent="0.2">
      <c r="A57" s="2">
        <v>11</v>
      </c>
      <c r="B57" s="1" t="s">
        <v>295</v>
      </c>
      <c r="C57" s="4">
        <v>206</v>
      </c>
      <c r="D57" s="8">
        <v>1.89</v>
      </c>
      <c r="E57" s="4">
        <v>73</v>
      </c>
      <c r="F57" s="8">
        <v>1.8</v>
      </c>
      <c r="G57" s="4">
        <v>132</v>
      </c>
      <c r="H57" s="8">
        <v>1.94</v>
      </c>
      <c r="I57" s="4">
        <v>1</v>
      </c>
    </row>
    <row r="58" spans="1:9" x14ac:dyDescent="0.2">
      <c r="A58" s="2">
        <v>12</v>
      </c>
      <c r="B58" s="1" t="s">
        <v>310</v>
      </c>
      <c r="C58" s="4">
        <v>205</v>
      </c>
      <c r="D58" s="8">
        <v>1.88</v>
      </c>
      <c r="E58" s="4">
        <v>1</v>
      </c>
      <c r="F58" s="8">
        <v>0.02</v>
      </c>
      <c r="G58" s="4">
        <v>204</v>
      </c>
      <c r="H58" s="8">
        <v>3</v>
      </c>
      <c r="I58" s="4">
        <v>0</v>
      </c>
    </row>
    <row r="59" spans="1:9" x14ac:dyDescent="0.2">
      <c r="A59" s="2">
        <v>13</v>
      </c>
      <c r="B59" s="1" t="s">
        <v>318</v>
      </c>
      <c r="C59" s="4">
        <v>191</v>
      </c>
      <c r="D59" s="8">
        <v>1.75</v>
      </c>
      <c r="E59" s="4">
        <v>5</v>
      </c>
      <c r="F59" s="8">
        <v>0.12</v>
      </c>
      <c r="G59" s="4">
        <v>177</v>
      </c>
      <c r="H59" s="8">
        <v>2.6</v>
      </c>
      <c r="I59" s="4">
        <v>9</v>
      </c>
    </row>
    <row r="60" spans="1:9" x14ac:dyDescent="0.2">
      <c r="A60" s="2">
        <v>14</v>
      </c>
      <c r="B60" s="1" t="s">
        <v>316</v>
      </c>
      <c r="C60" s="4">
        <v>189</v>
      </c>
      <c r="D60" s="8">
        <v>1.73</v>
      </c>
      <c r="E60" s="4">
        <v>172</v>
      </c>
      <c r="F60" s="8">
        <v>4.24</v>
      </c>
      <c r="G60" s="4">
        <v>17</v>
      </c>
      <c r="H60" s="8">
        <v>0.25</v>
      </c>
      <c r="I60" s="4">
        <v>0</v>
      </c>
    </row>
    <row r="61" spans="1:9" x14ac:dyDescent="0.2">
      <c r="A61" s="2">
        <v>15</v>
      </c>
      <c r="B61" s="1" t="s">
        <v>302</v>
      </c>
      <c r="C61" s="4">
        <v>166</v>
      </c>
      <c r="D61" s="8">
        <v>1.52</v>
      </c>
      <c r="E61" s="4">
        <v>117</v>
      </c>
      <c r="F61" s="8">
        <v>2.88</v>
      </c>
      <c r="G61" s="4">
        <v>49</v>
      </c>
      <c r="H61" s="8">
        <v>0.72</v>
      </c>
      <c r="I61" s="4">
        <v>0</v>
      </c>
    </row>
    <row r="62" spans="1:9" x14ac:dyDescent="0.2">
      <c r="A62" s="2">
        <v>16</v>
      </c>
      <c r="B62" s="1" t="s">
        <v>314</v>
      </c>
      <c r="C62" s="4">
        <v>164</v>
      </c>
      <c r="D62" s="8">
        <v>1.5</v>
      </c>
      <c r="E62" s="4">
        <v>26</v>
      </c>
      <c r="F62" s="8">
        <v>0.64</v>
      </c>
      <c r="G62" s="4">
        <v>138</v>
      </c>
      <c r="H62" s="8">
        <v>2.0299999999999998</v>
      </c>
      <c r="I62" s="4">
        <v>0</v>
      </c>
    </row>
    <row r="63" spans="1:9" x14ac:dyDescent="0.2">
      <c r="A63" s="2">
        <v>17</v>
      </c>
      <c r="B63" s="1" t="s">
        <v>317</v>
      </c>
      <c r="C63" s="4">
        <v>160</v>
      </c>
      <c r="D63" s="8">
        <v>1.47</v>
      </c>
      <c r="E63" s="4">
        <v>87</v>
      </c>
      <c r="F63" s="8">
        <v>2.14</v>
      </c>
      <c r="G63" s="4">
        <v>73</v>
      </c>
      <c r="H63" s="8">
        <v>1.07</v>
      </c>
      <c r="I63" s="4">
        <v>0</v>
      </c>
    </row>
    <row r="64" spans="1:9" x14ac:dyDescent="0.2">
      <c r="A64" s="2">
        <v>18</v>
      </c>
      <c r="B64" s="1" t="s">
        <v>294</v>
      </c>
      <c r="C64" s="4">
        <v>146</v>
      </c>
      <c r="D64" s="8">
        <v>1.34</v>
      </c>
      <c r="E64" s="4">
        <v>15</v>
      </c>
      <c r="F64" s="8">
        <v>0.37</v>
      </c>
      <c r="G64" s="4">
        <v>130</v>
      </c>
      <c r="H64" s="8">
        <v>1.91</v>
      </c>
      <c r="I64" s="4">
        <v>1</v>
      </c>
    </row>
    <row r="65" spans="1:9" x14ac:dyDescent="0.2">
      <c r="A65" s="2">
        <v>19</v>
      </c>
      <c r="B65" s="1" t="s">
        <v>313</v>
      </c>
      <c r="C65" s="4">
        <v>145</v>
      </c>
      <c r="D65" s="8">
        <v>1.33</v>
      </c>
      <c r="E65" s="4">
        <v>2</v>
      </c>
      <c r="F65" s="8">
        <v>0.05</v>
      </c>
      <c r="G65" s="4">
        <v>143</v>
      </c>
      <c r="H65" s="8">
        <v>2.1</v>
      </c>
      <c r="I65" s="4">
        <v>0</v>
      </c>
    </row>
    <row r="66" spans="1:9" x14ac:dyDescent="0.2">
      <c r="A66" s="2">
        <v>20</v>
      </c>
      <c r="B66" s="1" t="s">
        <v>303</v>
      </c>
      <c r="C66" s="4">
        <v>143</v>
      </c>
      <c r="D66" s="8">
        <v>1.31</v>
      </c>
      <c r="E66" s="4">
        <v>117</v>
      </c>
      <c r="F66" s="8">
        <v>2.88</v>
      </c>
      <c r="G66" s="4">
        <v>26</v>
      </c>
      <c r="H66" s="8">
        <v>0.38</v>
      </c>
      <c r="I66" s="4">
        <v>0</v>
      </c>
    </row>
    <row r="67" spans="1:9" x14ac:dyDescent="0.2">
      <c r="A67" s="1"/>
      <c r="C67" s="4"/>
      <c r="D67" s="8"/>
      <c r="E67" s="4"/>
      <c r="F67" s="8"/>
      <c r="G67" s="4"/>
      <c r="H67" s="8"/>
      <c r="I67" s="4"/>
    </row>
    <row r="68" spans="1:9" x14ac:dyDescent="0.2">
      <c r="A68" s="1" t="s">
        <v>3</v>
      </c>
      <c r="C68" s="4"/>
      <c r="D68" s="8"/>
      <c r="E68" s="4"/>
      <c r="F68" s="8"/>
      <c r="G68" s="4"/>
      <c r="H68" s="8"/>
      <c r="I68" s="4"/>
    </row>
    <row r="69" spans="1:9" x14ac:dyDescent="0.2">
      <c r="A69" s="2">
        <v>1</v>
      </c>
      <c r="B69" s="1" t="s">
        <v>297</v>
      </c>
      <c r="C69" s="4">
        <v>368</v>
      </c>
      <c r="D69" s="8">
        <v>7.41</v>
      </c>
      <c r="E69" s="4">
        <v>178</v>
      </c>
      <c r="F69" s="8">
        <v>11.31</v>
      </c>
      <c r="G69" s="4">
        <v>190</v>
      </c>
      <c r="H69" s="8">
        <v>5.62</v>
      </c>
      <c r="I69" s="4">
        <v>0</v>
      </c>
    </row>
    <row r="70" spans="1:9" x14ac:dyDescent="0.2">
      <c r="A70" s="2">
        <v>2</v>
      </c>
      <c r="B70" s="1" t="s">
        <v>304</v>
      </c>
      <c r="C70" s="4">
        <v>237</v>
      </c>
      <c r="D70" s="8">
        <v>4.7699999999999996</v>
      </c>
      <c r="E70" s="4">
        <v>195</v>
      </c>
      <c r="F70" s="8">
        <v>12.39</v>
      </c>
      <c r="G70" s="4">
        <v>42</v>
      </c>
      <c r="H70" s="8">
        <v>1.24</v>
      </c>
      <c r="I70" s="4">
        <v>0</v>
      </c>
    </row>
    <row r="71" spans="1:9" x14ac:dyDescent="0.2">
      <c r="A71" s="2">
        <v>3</v>
      </c>
      <c r="B71" s="1" t="s">
        <v>303</v>
      </c>
      <c r="C71" s="4">
        <v>171</v>
      </c>
      <c r="D71" s="8">
        <v>3.44</v>
      </c>
      <c r="E71" s="4">
        <v>154</v>
      </c>
      <c r="F71" s="8">
        <v>9.7799999999999994</v>
      </c>
      <c r="G71" s="4">
        <v>17</v>
      </c>
      <c r="H71" s="8">
        <v>0.5</v>
      </c>
      <c r="I71" s="4">
        <v>0</v>
      </c>
    </row>
    <row r="72" spans="1:9" x14ac:dyDescent="0.2">
      <c r="A72" s="2">
        <v>4</v>
      </c>
      <c r="B72" s="1" t="s">
        <v>291</v>
      </c>
      <c r="C72" s="4">
        <v>133</v>
      </c>
      <c r="D72" s="8">
        <v>2.68</v>
      </c>
      <c r="E72" s="4">
        <v>6</v>
      </c>
      <c r="F72" s="8">
        <v>0.38</v>
      </c>
      <c r="G72" s="4">
        <v>127</v>
      </c>
      <c r="H72" s="8">
        <v>3.76</v>
      </c>
      <c r="I72" s="4">
        <v>0</v>
      </c>
    </row>
    <row r="73" spans="1:9" x14ac:dyDescent="0.2">
      <c r="A73" s="2">
        <v>5</v>
      </c>
      <c r="B73" s="1" t="s">
        <v>306</v>
      </c>
      <c r="C73" s="4">
        <v>131</v>
      </c>
      <c r="D73" s="8">
        <v>2.64</v>
      </c>
      <c r="E73" s="4">
        <v>103</v>
      </c>
      <c r="F73" s="8">
        <v>6.54</v>
      </c>
      <c r="G73" s="4">
        <v>28</v>
      </c>
      <c r="H73" s="8">
        <v>0.83</v>
      </c>
      <c r="I73" s="4">
        <v>0</v>
      </c>
    </row>
    <row r="74" spans="1:9" x14ac:dyDescent="0.2">
      <c r="A74" s="2">
        <v>6</v>
      </c>
      <c r="B74" s="1" t="s">
        <v>298</v>
      </c>
      <c r="C74" s="4">
        <v>113</v>
      </c>
      <c r="D74" s="8">
        <v>2.27</v>
      </c>
      <c r="E74" s="4">
        <v>12</v>
      </c>
      <c r="F74" s="8">
        <v>0.76</v>
      </c>
      <c r="G74" s="4">
        <v>101</v>
      </c>
      <c r="H74" s="8">
        <v>2.99</v>
      </c>
      <c r="I74" s="4">
        <v>0</v>
      </c>
    </row>
    <row r="75" spans="1:9" x14ac:dyDescent="0.2">
      <c r="A75" s="2">
        <v>7</v>
      </c>
      <c r="B75" s="1" t="s">
        <v>290</v>
      </c>
      <c r="C75" s="4">
        <v>107</v>
      </c>
      <c r="D75" s="8">
        <v>2.15</v>
      </c>
      <c r="E75" s="4">
        <v>4</v>
      </c>
      <c r="F75" s="8">
        <v>0.25</v>
      </c>
      <c r="G75" s="4">
        <v>103</v>
      </c>
      <c r="H75" s="8">
        <v>3.05</v>
      </c>
      <c r="I75" s="4">
        <v>0</v>
      </c>
    </row>
    <row r="76" spans="1:9" x14ac:dyDescent="0.2">
      <c r="A76" s="2">
        <v>8</v>
      </c>
      <c r="B76" s="1" t="s">
        <v>300</v>
      </c>
      <c r="C76" s="4">
        <v>99</v>
      </c>
      <c r="D76" s="8">
        <v>1.99</v>
      </c>
      <c r="E76" s="4">
        <v>83</v>
      </c>
      <c r="F76" s="8">
        <v>5.27</v>
      </c>
      <c r="G76" s="4">
        <v>16</v>
      </c>
      <c r="H76" s="8">
        <v>0.47</v>
      </c>
      <c r="I76" s="4">
        <v>0</v>
      </c>
    </row>
    <row r="77" spans="1:9" x14ac:dyDescent="0.2">
      <c r="A77" s="2">
        <v>9</v>
      </c>
      <c r="B77" s="1" t="s">
        <v>299</v>
      </c>
      <c r="C77" s="4">
        <v>94</v>
      </c>
      <c r="D77" s="8">
        <v>1.89</v>
      </c>
      <c r="E77" s="4">
        <v>63</v>
      </c>
      <c r="F77" s="8">
        <v>4</v>
      </c>
      <c r="G77" s="4">
        <v>31</v>
      </c>
      <c r="H77" s="8">
        <v>0.92</v>
      </c>
      <c r="I77" s="4">
        <v>0</v>
      </c>
    </row>
    <row r="78" spans="1:9" x14ac:dyDescent="0.2">
      <c r="A78" s="2">
        <v>10</v>
      </c>
      <c r="B78" s="1" t="s">
        <v>289</v>
      </c>
      <c r="C78" s="4">
        <v>84</v>
      </c>
      <c r="D78" s="8">
        <v>1.69</v>
      </c>
      <c r="E78" s="4">
        <v>0</v>
      </c>
      <c r="F78" s="8">
        <v>0</v>
      </c>
      <c r="G78" s="4">
        <v>84</v>
      </c>
      <c r="H78" s="8">
        <v>2.4900000000000002</v>
      </c>
      <c r="I78" s="4">
        <v>0</v>
      </c>
    </row>
    <row r="79" spans="1:9" x14ac:dyDescent="0.2">
      <c r="A79" s="2">
        <v>11</v>
      </c>
      <c r="B79" s="1" t="s">
        <v>320</v>
      </c>
      <c r="C79" s="4">
        <v>83</v>
      </c>
      <c r="D79" s="8">
        <v>1.67</v>
      </c>
      <c r="E79" s="4">
        <v>6</v>
      </c>
      <c r="F79" s="8">
        <v>0.38</v>
      </c>
      <c r="G79" s="4">
        <v>77</v>
      </c>
      <c r="H79" s="8">
        <v>2.2799999999999998</v>
      </c>
      <c r="I79" s="4">
        <v>0</v>
      </c>
    </row>
    <row r="80" spans="1:9" x14ac:dyDescent="0.2">
      <c r="A80" s="2">
        <v>12</v>
      </c>
      <c r="B80" s="1" t="s">
        <v>301</v>
      </c>
      <c r="C80" s="4">
        <v>77</v>
      </c>
      <c r="D80" s="8">
        <v>1.55</v>
      </c>
      <c r="E80" s="4">
        <v>71</v>
      </c>
      <c r="F80" s="8">
        <v>4.51</v>
      </c>
      <c r="G80" s="4">
        <v>6</v>
      </c>
      <c r="H80" s="8">
        <v>0.18</v>
      </c>
      <c r="I80" s="4">
        <v>0</v>
      </c>
    </row>
    <row r="81" spans="1:9" x14ac:dyDescent="0.2">
      <c r="A81" s="2">
        <v>13</v>
      </c>
      <c r="B81" s="1" t="s">
        <v>293</v>
      </c>
      <c r="C81" s="4">
        <v>76</v>
      </c>
      <c r="D81" s="8">
        <v>1.53</v>
      </c>
      <c r="E81" s="4">
        <v>20</v>
      </c>
      <c r="F81" s="8">
        <v>1.27</v>
      </c>
      <c r="G81" s="4">
        <v>56</v>
      </c>
      <c r="H81" s="8">
        <v>1.66</v>
      </c>
      <c r="I81" s="4">
        <v>0</v>
      </c>
    </row>
    <row r="82" spans="1:9" x14ac:dyDescent="0.2">
      <c r="A82" s="2">
        <v>14</v>
      </c>
      <c r="B82" s="1" t="s">
        <v>319</v>
      </c>
      <c r="C82" s="4">
        <v>75</v>
      </c>
      <c r="D82" s="8">
        <v>1.51</v>
      </c>
      <c r="E82" s="4">
        <v>4</v>
      </c>
      <c r="F82" s="8">
        <v>0.25</v>
      </c>
      <c r="G82" s="4">
        <v>71</v>
      </c>
      <c r="H82" s="8">
        <v>2.1</v>
      </c>
      <c r="I82" s="4">
        <v>0</v>
      </c>
    </row>
    <row r="83" spans="1:9" x14ac:dyDescent="0.2">
      <c r="A83" s="2">
        <v>15</v>
      </c>
      <c r="B83" s="1" t="s">
        <v>296</v>
      </c>
      <c r="C83" s="4">
        <v>72</v>
      </c>
      <c r="D83" s="8">
        <v>1.45</v>
      </c>
      <c r="E83" s="4">
        <v>9</v>
      </c>
      <c r="F83" s="8">
        <v>0.56999999999999995</v>
      </c>
      <c r="G83" s="4">
        <v>62</v>
      </c>
      <c r="H83" s="8">
        <v>1.84</v>
      </c>
      <c r="I83" s="4">
        <v>1</v>
      </c>
    </row>
    <row r="84" spans="1:9" x14ac:dyDescent="0.2">
      <c r="A84" s="2">
        <v>15</v>
      </c>
      <c r="B84" s="1" t="s">
        <v>305</v>
      </c>
      <c r="C84" s="4">
        <v>72</v>
      </c>
      <c r="D84" s="8">
        <v>1.45</v>
      </c>
      <c r="E84" s="4">
        <v>49</v>
      </c>
      <c r="F84" s="8">
        <v>3.11</v>
      </c>
      <c r="G84" s="4">
        <v>23</v>
      </c>
      <c r="H84" s="8">
        <v>0.68</v>
      </c>
      <c r="I84" s="4">
        <v>0</v>
      </c>
    </row>
    <row r="85" spans="1:9" x14ac:dyDescent="0.2">
      <c r="A85" s="2">
        <v>17</v>
      </c>
      <c r="B85" s="1" t="s">
        <v>308</v>
      </c>
      <c r="C85" s="4">
        <v>71</v>
      </c>
      <c r="D85" s="8">
        <v>1.43</v>
      </c>
      <c r="E85" s="4">
        <v>3</v>
      </c>
      <c r="F85" s="8">
        <v>0.19</v>
      </c>
      <c r="G85" s="4">
        <v>68</v>
      </c>
      <c r="H85" s="8">
        <v>2.0099999999999998</v>
      </c>
      <c r="I85" s="4">
        <v>0</v>
      </c>
    </row>
    <row r="86" spans="1:9" x14ac:dyDescent="0.2">
      <c r="A86" s="2">
        <v>18</v>
      </c>
      <c r="B86" s="1" t="s">
        <v>295</v>
      </c>
      <c r="C86" s="4">
        <v>68</v>
      </c>
      <c r="D86" s="8">
        <v>1.37</v>
      </c>
      <c r="E86" s="4">
        <v>25</v>
      </c>
      <c r="F86" s="8">
        <v>1.59</v>
      </c>
      <c r="G86" s="4">
        <v>43</v>
      </c>
      <c r="H86" s="8">
        <v>1.27</v>
      </c>
      <c r="I86" s="4">
        <v>0</v>
      </c>
    </row>
    <row r="87" spans="1:9" x14ac:dyDescent="0.2">
      <c r="A87" s="2">
        <v>19</v>
      </c>
      <c r="B87" s="1" t="s">
        <v>288</v>
      </c>
      <c r="C87" s="4">
        <v>67</v>
      </c>
      <c r="D87" s="8">
        <v>1.35</v>
      </c>
      <c r="E87" s="4">
        <v>2</v>
      </c>
      <c r="F87" s="8">
        <v>0.13</v>
      </c>
      <c r="G87" s="4">
        <v>65</v>
      </c>
      <c r="H87" s="8">
        <v>1.92</v>
      </c>
      <c r="I87" s="4">
        <v>0</v>
      </c>
    </row>
    <row r="88" spans="1:9" x14ac:dyDescent="0.2">
      <c r="A88" s="2">
        <v>19</v>
      </c>
      <c r="B88" s="1" t="s">
        <v>310</v>
      </c>
      <c r="C88" s="4">
        <v>67</v>
      </c>
      <c r="D88" s="8">
        <v>1.35</v>
      </c>
      <c r="E88" s="4">
        <v>2</v>
      </c>
      <c r="F88" s="8">
        <v>0.13</v>
      </c>
      <c r="G88" s="4">
        <v>65</v>
      </c>
      <c r="H88" s="8">
        <v>1.92</v>
      </c>
      <c r="I88" s="4">
        <v>0</v>
      </c>
    </row>
    <row r="89" spans="1:9" x14ac:dyDescent="0.2">
      <c r="A89" s="1"/>
      <c r="C89" s="4"/>
      <c r="D89" s="8"/>
      <c r="E89" s="4"/>
      <c r="F89" s="8"/>
      <c r="G89" s="4"/>
      <c r="H89" s="8"/>
      <c r="I89" s="4"/>
    </row>
    <row r="90" spans="1:9" x14ac:dyDescent="0.2">
      <c r="A90" s="1" t="s">
        <v>4</v>
      </c>
      <c r="C90" s="4"/>
      <c r="D90" s="8"/>
      <c r="E90" s="4"/>
      <c r="F90" s="8"/>
      <c r="G90" s="4"/>
      <c r="H90" s="8"/>
      <c r="I90" s="4"/>
    </row>
    <row r="91" spans="1:9" x14ac:dyDescent="0.2">
      <c r="A91" s="2">
        <v>1</v>
      </c>
      <c r="B91" s="1" t="s">
        <v>297</v>
      </c>
      <c r="C91" s="4">
        <v>434</v>
      </c>
      <c r="D91" s="8">
        <v>9.33</v>
      </c>
      <c r="E91" s="4">
        <v>254</v>
      </c>
      <c r="F91" s="8">
        <v>18.7</v>
      </c>
      <c r="G91" s="4">
        <v>180</v>
      </c>
      <c r="H91" s="8">
        <v>5.49</v>
      </c>
      <c r="I91" s="4">
        <v>0</v>
      </c>
    </row>
    <row r="92" spans="1:9" x14ac:dyDescent="0.2">
      <c r="A92" s="2">
        <v>2</v>
      </c>
      <c r="B92" s="1" t="s">
        <v>304</v>
      </c>
      <c r="C92" s="4">
        <v>170</v>
      </c>
      <c r="D92" s="8">
        <v>3.65</v>
      </c>
      <c r="E92" s="4">
        <v>142</v>
      </c>
      <c r="F92" s="8">
        <v>10.46</v>
      </c>
      <c r="G92" s="4">
        <v>28</v>
      </c>
      <c r="H92" s="8">
        <v>0.85</v>
      </c>
      <c r="I92" s="4">
        <v>0</v>
      </c>
    </row>
    <row r="93" spans="1:9" x14ac:dyDescent="0.2">
      <c r="A93" s="2">
        <v>3</v>
      </c>
      <c r="B93" s="1" t="s">
        <v>303</v>
      </c>
      <c r="C93" s="4">
        <v>145</v>
      </c>
      <c r="D93" s="8">
        <v>3.12</v>
      </c>
      <c r="E93" s="4">
        <v>131</v>
      </c>
      <c r="F93" s="8">
        <v>9.65</v>
      </c>
      <c r="G93" s="4">
        <v>14</v>
      </c>
      <c r="H93" s="8">
        <v>0.43</v>
      </c>
      <c r="I93" s="4">
        <v>0</v>
      </c>
    </row>
    <row r="94" spans="1:9" x14ac:dyDescent="0.2">
      <c r="A94" s="2">
        <v>4</v>
      </c>
      <c r="B94" s="1" t="s">
        <v>296</v>
      </c>
      <c r="C94" s="4">
        <v>115</v>
      </c>
      <c r="D94" s="8">
        <v>2.4700000000000002</v>
      </c>
      <c r="E94" s="4">
        <v>17</v>
      </c>
      <c r="F94" s="8">
        <v>1.25</v>
      </c>
      <c r="G94" s="4">
        <v>97</v>
      </c>
      <c r="H94" s="8">
        <v>2.96</v>
      </c>
      <c r="I94" s="4">
        <v>1</v>
      </c>
    </row>
    <row r="95" spans="1:9" x14ac:dyDescent="0.2">
      <c r="A95" s="2">
        <v>5</v>
      </c>
      <c r="B95" s="1" t="s">
        <v>291</v>
      </c>
      <c r="C95" s="4">
        <v>107</v>
      </c>
      <c r="D95" s="8">
        <v>2.2999999999999998</v>
      </c>
      <c r="E95" s="4">
        <v>3</v>
      </c>
      <c r="F95" s="8">
        <v>0.22</v>
      </c>
      <c r="G95" s="4">
        <v>104</v>
      </c>
      <c r="H95" s="8">
        <v>3.17</v>
      </c>
      <c r="I95" s="4">
        <v>0</v>
      </c>
    </row>
    <row r="96" spans="1:9" x14ac:dyDescent="0.2">
      <c r="A96" s="2">
        <v>6</v>
      </c>
      <c r="B96" s="1" t="s">
        <v>306</v>
      </c>
      <c r="C96" s="4">
        <v>93</v>
      </c>
      <c r="D96" s="8">
        <v>2</v>
      </c>
      <c r="E96" s="4">
        <v>80</v>
      </c>
      <c r="F96" s="8">
        <v>5.89</v>
      </c>
      <c r="G96" s="4">
        <v>13</v>
      </c>
      <c r="H96" s="8">
        <v>0.4</v>
      </c>
      <c r="I96" s="4">
        <v>0</v>
      </c>
    </row>
    <row r="97" spans="1:9" x14ac:dyDescent="0.2">
      <c r="A97" s="2">
        <v>7</v>
      </c>
      <c r="B97" s="1" t="s">
        <v>320</v>
      </c>
      <c r="C97" s="4">
        <v>90</v>
      </c>
      <c r="D97" s="8">
        <v>1.93</v>
      </c>
      <c r="E97" s="4">
        <v>6</v>
      </c>
      <c r="F97" s="8">
        <v>0.44</v>
      </c>
      <c r="G97" s="4">
        <v>84</v>
      </c>
      <c r="H97" s="8">
        <v>2.56</v>
      </c>
      <c r="I97" s="4">
        <v>0</v>
      </c>
    </row>
    <row r="98" spans="1:9" x14ac:dyDescent="0.2">
      <c r="A98" s="2">
        <v>7</v>
      </c>
      <c r="B98" s="1" t="s">
        <v>290</v>
      </c>
      <c r="C98" s="4">
        <v>90</v>
      </c>
      <c r="D98" s="8">
        <v>1.93</v>
      </c>
      <c r="E98" s="4">
        <v>6</v>
      </c>
      <c r="F98" s="8">
        <v>0.44</v>
      </c>
      <c r="G98" s="4">
        <v>84</v>
      </c>
      <c r="H98" s="8">
        <v>2.56</v>
      </c>
      <c r="I98" s="4">
        <v>0</v>
      </c>
    </row>
    <row r="99" spans="1:9" x14ac:dyDescent="0.2">
      <c r="A99" s="2">
        <v>9</v>
      </c>
      <c r="B99" s="1" t="s">
        <v>293</v>
      </c>
      <c r="C99" s="4">
        <v>84</v>
      </c>
      <c r="D99" s="8">
        <v>1.81</v>
      </c>
      <c r="E99" s="4">
        <v>5</v>
      </c>
      <c r="F99" s="8">
        <v>0.37</v>
      </c>
      <c r="G99" s="4">
        <v>79</v>
      </c>
      <c r="H99" s="8">
        <v>2.41</v>
      </c>
      <c r="I99" s="4">
        <v>0</v>
      </c>
    </row>
    <row r="100" spans="1:9" x14ac:dyDescent="0.2">
      <c r="A100" s="2">
        <v>10</v>
      </c>
      <c r="B100" s="1" t="s">
        <v>309</v>
      </c>
      <c r="C100" s="4">
        <v>79</v>
      </c>
      <c r="D100" s="8">
        <v>1.7</v>
      </c>
      <c r="E100" s="4">
        <v>1</v>
      </c>
      <c r="F100" s="8">
        <v>7.0000000000000007E-2</v>
      </c>
      <c r="G100" s="4">
        <v>77</v>
      </c>
      <c r="H100" s="8">
        <v>2.35</v>
      </c>
      <c r="I100" s="4">
        <v>1</v>
      </c>
    </row>
    <row r="101" spans="1:9" x14ac:dyDescent="0.2">
      <c r="A101" s="2">
        <v>11</v>
      </c>
      <c r="B101" s="1" t="s">
        <v>319</v>
      </c>
      <c r="C101" s="4">
        <v>78</v>
      </c>
      <c r="D101" s="8">
        <v>1.68</v>
      </c>
      <c r="E101" s="4">
        <v>5</v>
      </c>
      <c r="F101" s="8">
        <v>0.37</v>
      </c>
      <c r="G101" s="4">
        <v>73</v>
      </c>
      <c r="H101" s="8">
        <v>2.23</v>
      </c>
      <c r="I101" s="4">
        <v>0</v>
      </c>
    </row>
    <row r="102" spans="1:9" x14ac:dyDescent="0.2">
      <c r="A102" s="2">
        <v>11</v>
      </c>
      <c r="B102" s="1" t="s">
        <v>321</v>
      </c>
      <c r="C102" s="4">
        <v>78</v>
      </c>
      <c r="D102" s="8">
        <v>1.68</v>
      </c>
      <c r="E102" s="4">
        <v>2</v>
      </c>
      <c r="F102" s="8">
        <v>0.15</v>
      </c>
      <c r="G102" s="4">
        <v>76</v>
      </c>
      <c r="H102" s="8">
        <v>2.3199999999999998</v>
      </c>
      <c r="I102" s="4">
        <v>0</v>
      </c>
    </row>
    <row r="103" spans="1:9" x14ac:dyDescent="0.2">
      <c r="A103" s="2">
        <v>13</v>
      </c>
      <c r="B103" s="1" t="s">
        <v>289</v>
      </c>
      <c r="C103" s="4">
        <v>77</v>
      </c>
      <c r="D103" s="8">
        <v>1.66</v>
      </c>
      <c r="E103" s="4">
        <v>2</v>
      </c>
      <c r="F103" s="8">
        <v>0.15</v>
      </c>
      <c r="G103" s="4">
        <v>75</v>
      </c>
      <c r="H103" s="8">
        <v>2.29</v>
      </c>
      <c r="I103" s="4">
        <v>0</v>
      </c>
    </row>
    <row r="104" spans="1:9" x14ac:dyDescent="0.2">
      <c r="A104" s="2">
        <v>14</v>
      </c>
      <c r="B104" s="1" t="s">
        <v>299</v>
      </c>
      <c r="C104" s="4">
        <v>72</v>
      </c>
      <c r="D104" s="8">
        <v>1.55</v>
      </c>
      <c r="E104" s="4">
        <v>53</v>
      </c>
      <c r="F104" s="8">
        <v>3.9</v>
      </c>
      <c r="G104" s="4">
        <v>19</v>
      </c>
      <c r="H104" s="8">
        <v>0.57999999999999996</v>
      </c>
      <c r="I104" s="4">
        <v>0</v>
      </c>
    </row>
    <row r="105" spans="1:9" x14ac:dyDescent="0.2">
      <c r="A105" s="2">
        <v>15</v>
      </c>
      <c r="B105" s="1" t="s">
        <v>298</v>
      </c>
      <c r="C105" s="4">
        <v>71</v>
      </c>
      <c r="D105" s="8">
        <v>1.53</v>
      </c>
      <c r="E105" s="4">
        <v>10</v>
      </c>
      <c r="F105" s="8">
        <v>0.74</v>
      </c>
      <c r="G105" s="4">
        <v>61</v>
      </c>
      <c r="H105" s="8">
        <v>1.86</v>
      </c>
      <c r="I105" s="4">
        <v>0</v>
      </c>
    </row>
    <row r="106" spans="1:9" x14ac:dyDescent="0.2">
      <c r="A106" s="2">
        <v>16</v>
      </c>
      <c r="B106" s="1" t="s">
        <v>308</v>
      </c>
      <c r="C106" s="4">
        <v>68</v>
      </c>
      <c r="D106" s="8">
        <v>1.46</v>
      </c>
      <c r="E106" s="4">
        <v>5</v>
      </c>
      <c r="F106" s="8">
        <v>0.37</v>
      </c>
      <c r="G106" s="4">
        <v>63</v>
      </c>
      <c r="H106" s="8">
        <v>1.92</v>
      </c>
      <c r="I106" s="4">
        <v>0</v>
      </c>
    </row>
    <row r="107" spans="1:9" x14ac:dyDescent="0.2">
      <c r="A107" s="2">
        <v>16</v>
      </c>
      <c r="B107" s="1" t="s">
        <v>310</v>
      </c>
      <c r="C107" s="4">
        <v>68</v>
      </c>
      <c r="D107" s="8">
        <v>1.46</v>
      </c>
      <c r="E107" s="4">
        <v>3</v>
      </c>
      <c r="F107" s="8">
        <v>0.22</v>
      </c>
      <c r="G107" s="4">
        <v>65</v>
      </c>
      <c r="H107" s="8">
        <v>1.98</v>
      </c>
      <c r="I107" s="4">
        <v>0</v>
      </c>
    </row>
    <row r="108" spans="1:9" x14ac:dyDescent="0.2">
      <c r="A108" s="2">
        <v>18</v>
      </c>
      <c r="B108" s="1" t="s">
        <v>311</v>
      </c>
      <c r="C108" s="4">
        <v>67</v>
      </c>
      <c r="D108" s="8">
        <v>1.44</v>
      </c>
      <c r="E108" s="4">
        <v>2</v>
      </c>
      <c r="F108" s="8">
        <v>0.15</v>
      </c>
      <c r="G108" s="4">
        <v>65</v>
      </c>
      <c r="H108" s="8">
        <v>1.98</v>
      </c>
      <c r="I108" s="4">
        <v>0</v>
      </c>
    </row>
    <row r="109" spans="1:9" x14ac:dyDescent="0.2">
      <c r="A109" s="2">
        <v>19</v>
      </c>
      <c r="B109" s="1" t="s">
        <v>305</v>
      </c>
      <c r="C109" s="4">
        <v>64</v>
      </c>
      <c r="D109" s="8">
        <v>1.38</v>
      </c>
      <c r="E109" s="4">
        <v>48</v>
      </c>
      <c r="F109" s="8">
        <v>3.53</v>
      </c>
      <c r="G109" s="4">
        <v>16</v>
      </c>
      <c r="H109" s="8">
        <v>0.49</v>
      </c>
      <c r="I109" s="4">
        <v>0</v>
      </c>
    </row>
    <row r="110" spans="1:9" x14ac:dyDescent="0.2">
      <c r="A110" s="2">
        <v>20</v>
      </c>
      <c r="B110" s="1" t="s">
        <v>295</v>
      </c>
      <c r="C110" s="4">
        <v>63</v>
      </c>
      <c r="D110" s="8">
        <v>1.35</v>
      </c>
      <c r="E110" s="4">
        <v>13</v>
      </c>
      <c r="F110" s="8">
        <v>0.96</v>
      </c>
      <c r="G110" s="4">
        <v>50</v>
      </c>
      <c r="H110" s="8">
        <v>1.52</v>
      </c>
      <c r="I110" s="4">
        <v>0</v>
      </c>
    </row>
    <row r="111" spans="1:9" x14ac:dyDescent="0.2">
      <c r="A111" s="1"/>
      <c r="C111" s="4"/>
      <c r="D111" s="8"/>
      <c r="E111" s="4"/>
      <c r="F111" s="8"/>
      <c r="G111" s="4"/>
      <c r="H111" s="8"/>
      <c r="I111" s="4"/>
    </row>
    <row r="112" spans="1:9" x14ac:dyDescent="0.2">
      <c r="A112" s="1" t="s">
        <v>5</v>
      </c>
      <c r="C112" s="4"/>
      <c r="D112" s="8"/>
      <c r="E112" s="4"/>
      <c r="F112" s="8"/>
      <c r="G112" s="4"/>
      <c r="H112" s="8"/>
      <c r="I112" s="4"/>
    </row>
    <row r="113" spans="1:9" x14ac:dyDescent="0.2">
      <c r="A113" s="2">
        <v>1</v>
      </c>
      <c r="B113" s="1" t="s">
        <v>297</v>
      </c>
      <c r="C113" s="4">
        <v>552</v>
      </c>
      <c r="D113" s="8">
        <v>12.36</v>
      </c>
      <c r="E113" s="4">
        <v>389</v>
      </c>
      <c r="F113" s="8">
        <v>26.2</v>
      </c>
      <c r="G113" s="4">
        <v>163</v>
      </c>
      <c r="H113" s="8">
        <v>5.49</v>
      </c>
      <c r="I113" s="4">
        <v>0</v>
      </c>
    </row>
    <row r="114" spans="1:9" x14ac:dyDescent="0.2">
      <c r="A114" s="2">
        <v>2</v>
      </c>
      <c r="B114" s="1" t="s">
        <v>304</v>
      </c>
      <c r="C114" s="4">
        <v>180</v>
      </c>
      <c r="D114" s="8">
        <v>4.03</v>
      </c>
      <c r="E114" s="4">
        <v>156</v>
      </c>
      <c r="F114" s="8">
        <v>10.51</v>
      </c>
      <c r="G114" s="4">
        <v>24</v>
      </c>
      <c r="H114" s="8">
        <v>0.81</v>
      </c>
      <c r="I114" s="4">
        <v>0</v>
      </c>
    </row>
    <row r="115" spans="1:9" x14ac:dyDescent="0.2">
      <c r="A115" s="2">
        <v>3</v>
      </c>
      <c r="B115" s="1" t="s">
        <v>303</v>
      </c>
      <c r="C115" s="4">
        <v>112</v>
      </c>
      <c r="D115" s="8">
        <v>2.5099999999999998</v>
      </c>
      <c r="E115" s="4">
        <v>99</v>
      </c>
      <c r="F115" s="8">
        <v>6.67</v>
      </c>
      <c r="G115" s="4">
        <v>13</v>
      </c>
      <c r="H115" s="8">
        <v>0.44</v>
      </c>
      <c r="I115" s="4">
        <v>0</v>
      </c>
    </row>
    <row r="116" spans="1:9" x14ac:dyDescent="0.2">
      <c r="A116" s="2">
        <v>4</v>
      </c>
      <c r="B116" s="1" t="s">
        <v>309</v>
      </c>
      <c r="C116" s="4">
        <v>104</v>
      </c>
      <c r="D116" s="8">
        <v>2.33</v>
      </c>
      <c r="E116" s="4">
        <v>4</v>
      </c>
      <c r="F116" s="8">
        <v>0.27</v>
      </c>
      <c r="G116" s="4">
        <v>100</v>
      </c>
      <c r="H116" s="8">
        <v>3.37</v>
      </c>
      <c r="I116" s="4">
        <v>0</v>
      </c>
    </row>
    <row r="117" spans="1:9" x14ac:dyDescent="0.2">
      <c r="A117" s="2">
        <v>4</v>
      </c>
      <c r="B117" s="1" t="s">
        <v>306</v>
      </c>
      <c r="C117" s="4">
        <v>104</v>
      </c>
      <c r="D117" s="8">
        <v>2.33</v>
      </c>
      <c r="E117" s="4">
        <v>85</v>
      </c>
      <c r="F117" s="8">
        <v>5.72</v>
      </c>
      <c r="G117" s="4">
        <v>19</v>
      </c>
      <c r="H117" s="8">
        <v>0.64</v>
      </c>
      <c r="I117" s="4">
        <v>0</v>
      </c>
    </row>
    <row r="118" spans="1:9" x14ac:dyDescent="0.2">
      <c r="A118" s="2">
        <v>6</v>
      </c>
      <c r="B118" s="1" t="s">
        <v>300</v>
      </c>
      <c r="C118" s="4">
        <v>99</v>
      </c>
      <c r="D118" s="8">
        <v>2.2200000000000002</v>
      </c>
      <c r="E118" s="4">
        <v>83</v>
      </c>
      <c r="F118" s="8">
        <v>5.59</v>
      </c>
      <c r="G118" s="4">
        <v>16</v>
      </c>
      <c r="H118" s="8">
        <v>0.54</v>
      </c>
      <c r="I118" s="4">
        <v>0</v>
      </c>
    </row>
    <row r="119" spans="1:9" x14ac:dyDescent="0.2">
      <c r="A119" s="2">
        <v>7</v>
      </c>
      <c r="B119" s="1" t="s">
        <v>291</v>
      </c>
      <c r="C119" s="4">
        <v>98</v>
      </c>
      <c r="D119" s="8">
        <v>2.19</v>
      </c>
      <c r="E119" s="4">
        <v>2</v>
      </c>
      <c r="F119" s="8">
        <v>0.13</v>
      </c>
      <c r="G119" s="4">
        <v>96</v>
      </c>
      <c r="H119" s="8">
        <v>3.24</v>
      </c>
      <c r="I119" s="4">
        <v>0</v>
      </c>
    </row>
    <row r="120" spans="1:9" x14ac:dyDescent="0.2">
      <c r="A120" s="2">
        <v>8</v>
      </c>
      <c r="B120" s="1" t="s">
        <v>293</v>
      </c>
      <c r="C120" s="4">
        <v>91</v>
      </c>
      <c r="D120" s="8">
        <v>2.04</v>
      </c>
      <c r="E120" s="4">
        <v>15</v>
      </c>
      <c r="F120" s="8">
        <v>1.01</v>
      </c>
      <c r="G120" s="4">
        <v>76</v>
      </c>
      <c r="H120" s="8">
        <v>2.56</v>
      </c>
      <c r="I120" s="4">
        <v>0</v>
      </c>
    </row>
    <row r="121" spans="1:9" x14ac:dyDescent="0.2">
      <c r="A121" s="2">
        <v>9</v>
      </c>
      <c r="B121" s="1" t="s">
        <v>298</v>
      </c>
      <c r="C121" s="4">
        <v>84</v>
      </c>
      <c r="D121" s="8">
        <v>1.88</v>
      </c>
      <c r="E121" s="4">
        <v>6</v>
      </c>
      <c r="F121" s="8">
        <v>0.4</v>
      </c>
      <c r="G121" s="4">
        <v>78</v>
      </c>
      <c r="H121" s="8">
        <v>2.63</v>
      </c>
      <c r="I121" s="4">
        <v>0</v>
      </c>
    </row>
    <row r="122" spans="1:9" x14ac:dyDescent="0.2">
      <c r="A122" s="2">
        <v>10</v>
      </c>
      <c r="B122" s="1" t="s">
        <v>308</v>
      </c>
      <c r="C122" s="4">
        <v>77</v>
      </c>
      <c r="D122" s="8">
        <v>1.72</v>
      </c>
      <c r="E122" s="4">
        <v>10</v>
      </c>
      <c r="F122" s="8">
        <v>0.67</v>
      </c>
      <c r="G122" s="4">
        <v>67</v>
      </c>
      <c r="H122" s="8">
        <v>2.2599999999999998</v>
      </c>
      <c r="I122" s="4">
        <v>0</v>
      </c>
    </row>
    <row r="123" spans="1:9" x14ac:dyDescent="0.2">
      <c r="A123" s="2">
        <v>11</v>
      </c>
      <c r="B123" s="1" t="s">
        <v>321</v>
      </c>
      <c r="C123" s="4">
        <v>76</v>
      </c>
      <c r="D123" s="8">
        <v>1.7</v>
      </c>
      <c r="E123" s="4">
        <v>1</v>
      </c>
      <c r="F123" s="8">
        <v>7.0000000000000007E-2</v>
      </c>
      <c r="G123" s="4">
        <v>75</v>
      </c>
      <c r="H123" s="8">
        <v>2.5299999999999998</v>
      </c>
      <c r="I123" s="4">
        <v>0</v>
      </c>
    </row>
    <row r="124" spans="1:9" x14ac:dyDescent="0.2">
      <c r="A124" s="2">
        <v>12</v>
      </c>
      <c r="B124" s="1" t="s">
        <v>289</v>
      </c>
      <c r="C124" s="4">
        <v>74</v>
      </c>
      <c r="D124" s="8">
        <v>1.66</v>
      </c>
      <c r="E124" s="4">
        <v>0</v>
      </c>
      <c r="F124" s="8">
        <v>0</v>
      </c>
      <c r="G124" s="4">
        <v>74</v>
      </c>
      <c r="H124" s="8">
        <v>2.4900000000000002</v>
      </c>
      <c r="I124" s="4">
        <v>0</v>
      </c>
    </row>
    <row r="125" spans="1:9" x14ac:dyDescent="0.2">
      <c r="A125" s="2">
        <v>13</v>
      </c>
      <c r="B125" s="1" t="s">
        <v>299</v>
      </c>
      <c r="C125" s="4">
        <v>72</v>
      </c>
      <c r="D125" s="8">
        <v>1.61</v>
      </c>
      <c r="E125" s="4">
        <v>56</v>
      </c>
      <c r="F125" s="8">
        <v>3.77</v>
      </c>
      <c r="G125" s="4">
        <v>16</v>
      </c>
      <c r="H125" s="8">
        <v>0.54</v>
      </c>
      <c r="I125" s="4">
        <v>0</v>
      </c>
    </row>
    <row r="126" spans="1:9" x14ac:dyDescent="0.2">
      <c r="A126" s="2">
        <v>14</v>
      </c>
      <c r="B126" s="1" t="s">
        <v>296</v>
      </c>
      <c r="C126" s="4">
        <v>71</v>
      </c>
      <c r="D126" s="8">
        <v>1.59</v>
      </c>
      <c r="E126" s="4">
        <v>17</v>
      </c>
      <c r="F126" s="8">
        <v>1.1399999999999999</v>
      </c>
      <c r="G126" s="4">
        <v>54</v>
      </c>
      <c r="H126" s="8">
        <v>1.82</v>
      </c>
      <c r="I126" s="4">
        <v>0</v>
      </c>
    </row>
    <row r="127" spans="1:9" x14ac:dyDescent="0.2">
      <c r="A127" s="2">
        <v>15</v>
      </c>
      <c r="B127" s="1" t="s">
        <v>290</v>
      </c>
      <c r="C127" s="4">
        <v>69</v>
      </c>
      <c r="D127" s="8">
        <v>1.55</v>
      </c>
      <c r="E127" s="4">
        <v>2</v>
      </c>
      <c r="F127" s="8">
        <v>0.13</v>
      </c>
      <c r="G127" s="4">
        <v>67</v>
      </c>
      <c r="H127" s="8">
        <v>2.2599999999999998</v>
      </c>
      <c r="I127" s="4">
        <v>0</v>
      </c>
    </row>
    <row r="128" spans="1:9" x14ac:dyDescent="0.2">
      <c r="A128" s="2">
        <v>16</v>
      </c>
      <c r="B128" s="1" t="s">
        <v>301</v>
      </c>
      <c r="C128" s="4">
        <v>68</v>
      </c>
      <c r="D128" s="8">
        <v>1.52</v>
      </c>
      <c r="E128" s="4">
        <v>66</v>
      </c>
      <c r="F128" s="8">
        <v>4.4400000000000004</v>
      </c>
      <c r="G128" s="4">
        <v>2</v>
      </c>
      <c r="H128" s="8">
        <v>7.0000000000000007E-2</v>
      </c>
      <c r="I128" s="4">
        <v>0</v>
      </c>
    </row>
    <row r="129" spans="1:9" x14ac:dyDescent="0.2">
      <c r="A129" s="2">
        <v>17</v>
      </c>
      <c r="B129" s="1" t="s">
        <v>320</v>
      </c>
      <c r="C129" s="4">
        <v>65</v>
      </c>
      <c r="D129" s="8">
        <v>1.46</v>
      </c>
      <c r="E129" s="4">
        <v>2</v>
      </c>
      <c r="F129" s="8">
        <v>0.13</v>
      </c>
      <c r="G129" s="4">
        <v>63</v>
      </c>
      <c r="H129" s="8">
        <v>2.12</v>
      </c>
      <c r="I129" s="4">
        <v>0</v>
      </c>
    </row>
    <row r="130" spans="1:9" x14ac:dyDescent="0.2">
      <c r="A130" s="2">
        <v>18</v>
      </c>
      <c r="B130" s="1" t="s">
        <v>295</v>
      </c>
      <c r="C130" s="4">
        <v>59</v>
      </c>
      <c r="D130" s="8">
        <v>1.32</v>
      </c>
      <c r="E130" s="4">
        <v>34</v>
      </c>
      <c r="F130" s="8">
        <v>2.29</v>
      </c>
      <c r="G130" s="4">
        <v>25</v>
      </c>
      <c r="H130" s="8">
        <v>0.84</v>
      </c>
      <c r="I130" s="4">
        <v>0</v>
      </c>
    </row>
    <row r="131" spans="1:9" x14ac:dyDescent="0.2">
      <c r="A131" s="2">
        <v>19</v>
      </c>
      <c r="B131" s="1" t="s">
        <v>319</v>
      </c>
      <c r="C131" s="4">
        <v>56</v>
      </c>
      <c r="D131" s="8">
        <v>1.25</v>
      </c>
      <c r="E131" s="4">
        <v>0</v>
      </c>
      <c r="F131" s="8">
        <v>0</v>
      </c>
      <c r="G131" s="4">
        <v>56</v>
      </c>
      <c r="H131" s="8">
        <v>1.89</v>
      </c>
      <c r="I131" s="4">
        <v>0</v>
      </c>
    </row>
    <row r="132" spans="1:9" x14ac:dyDescent="0.2">
      <c r="A132" s="2">
        <v>20</v>
      </c>
      <c r="B132" s="1" t="s">
        <v>310</v>
      </c>
      <c r="C132" s="4">
        <v>53</v>
      </c>
      <c r="D132" s="8">
        <v>1.19</v>
      </c>
      <c r="E132" s="4">
        <v>3</v>
      </c>
      <c r="F132" s="8">
        <v>0.2</v>
      </c>
      <c r="G132" s="4">
        <v>50</v>
      </c>
      <c r="H132" s="8">
        <v>1.69</v>
      </c>
      <c r="I132" s="4">
        <v>0</v>
      </c>
    </row>
    <row r="133" spans="1:9" x14ac:dyDescent="0.2">
      <c r="A133" s="1"/>
      <c r="C133" s="4"/>
      <c r="D133" s="8"/>
      <c r="E133" s="4"/>
      <c r="F133" s="8"/>
      <c r="G133" s="4"/>
      <c r="H133" s="8"/>
      <c r="I133" s="4"/>
    </row>
    <row r="134" spans="1:9" x14ac:dyDescent="0.2">
      <c r="A134" s="1" t="s">
        <v>6</v>
      </c>
      <c r="C134" s="4"/>
      <c r="D134" s="8"/>
      <c r="E134" s="4"/>
      <c r="F134" s="8"/>
      <c r="G134" s="4"/>
      <c r="H134" s="8"/>
      <c r="I134" s="4"/>
    </row>
    <row r="135" spans="1:9" x14ac:dyDescent="0.2">
      <c r="A135" s="2">
        <v>1</v>
      </c>
      <c r="B135" s="1" t="s">
        <v>297</v>
      </c>
      <c r="C135" s="4">
        <v>527</v>
      </c>
      <c r="D135" s="8">
        <v>15.38</v>
      </c>
      <c r="E135" s="4">
        <v>357</v>
      </c>
      <c r="F135" s="8">
        <v>26.41</v>
      </c>
      <c r="G135" s="4">
        <v>170</v>
      </c>
      <c r="H135" s="8">
        <v>8.23</v>
      </c>
      <c r="I135" s="4">
        <v>0</v>
      </c>
    </row>
    <row r="136" spans="1:9" x14ac:dyDescent="0.2">
      <c r="A136" s="2">
        <v>2</v>
      </c>
      <c r="B136" s="1" t="s">
        <v>304</v>
      </c>
      <c r="C136" s="4">
        <v>176</v>
      </c>
      <c r="D136" s="8">
        <v>5.14</v>
      </c>
      <c r="E136" s="4">
        <v>138</v>
      </c>
      <c r="F136" s="8">
        <v>10.210000000000001</v>
      </c>
      <c r="G136" s="4">
        <v>38</v>
      </c>
      <c r="H136" s="8">
        <v>1.84</v>
      </c>
      <c r="I136" s="4">
        <v>0</v>
      </c>
    </row>
    <row r="137" spans="1:9" x14ac:dyDescent="0.2">
      <c r="A137" s="2">
        <v>3</v>
      </c>
      <c r="B137" s="1" t="s">
        <v>303</v>
      </c>
      <c r="C137" s="4">
        <v>127</v>
      </c>
      <c r="D137" s="8">
        <v>3.71</v>
      </c>
      <c r="E137" s="4">
        <v>113</v>
      </c>
      <c r="F137" s="8">
        <v>8.36</v>
      </c>
      <c r="G137" s="4">
        <v>14</v>
      </c>
      <c r="H137" s="8">
        <v>0.68</v>
      </c>
      <c r="I137" s="4">
        <v>0</v>
      </c>
    </row>
    <row r="138" spans="1:9" x14ac:dyDescent="0.2">
      <c r="A138" s="2">
        <v>4</v>
      </c>
      <c r="B138" s="1" t="s">
        <v>306</v>
      </c>
      <c r="C138" s="4">
        <v>98</v>
      </c>
      <c r="D138" s="8">
        <v>2.86</v>
      </c>
      <c r="E138" s="4">
        <v>76</v>
      </c>
      <c r="F138" s="8">
        <v>5.62</v>
      </c>
      <c r="G138" s="4">
        <v>22</v>
      </c>
      <c r="H138" s="8">
        <v>1.06</v>
      </c>
      <c r="I138" s="4">
        <v>0</v>
      </c>
    </row>
    <row r="139" spans="1:9" x14ac:dyDescent="0.2">
      <c r="A139" s="2">
        <v>5</v>
      </c>
      <c r="B139" s="1" t="s">
        <v>296</v>
      </c>
      <c r="C139" s="4">
        <v>80</v>
      </c>
      <c r="D139" s="8">
        <v>2.33</v>
      </c>
      <c r="E139" s="4">
        <v>11</v>
      </c>
      <c r="F139" s="8">
        <v>0.81</v>
      </c>
      <c r="G139" s="4">
        <v>68</v>
      </c>
      <c r="H139" s="8">
        <v>3.29</v>
      </c>
      <c r="I139" s="4">
        <v>1</v>
      </c>
    </row>
    <row r="140" spans="1:9" x14ac:dyDescent="0.2">
      <c r="A140" s="2">
        <v>6</v>
      </c>
      <c r="B140" s="1" t="s">
        <v>299</v>
      </c>
      <c r="C140" s="4">
        <v>77</v>
      </c>
      <c r="D140" s="8">
        <v>2.25</v>
      </c>
      <c r="E140" s="4">
        <v>58</v>
      </c>
      <c r="F140" s="8">
        <v>4.29</v>
      </c>
      <c r="G140" s="4">
        <v>19</v>
      </c>
      <c r="H140" s="8">
        <v>0.92</v>
      </c>
      <c r="I140" s="4">
        <v>0</v>
      </c>
    </row>
    <row r="141" spans="1:9" x14ac:dyDescent="0.2">
      <c r="A141" s="2">
        <v>7</v>
      </c>
      <c r="B141" s="1" t="s">
        <v>305</v>
      </c>
      <c r="C141" s="4">
        <v>72</v>
      </c>
      <c r="D141" s="8">
        <v>2.1</v>
      </c>
      <c r="E141" s="4">
        <v>55</v>
      </c>
      <c r="F141" s="8">
        <v>4.07</v>
      </c>
      <c r="G141" s="4">
        <v>17</v>
      </c>
      <c r="H141" s="8">
        <v>0.82</v>
      </c>
      <c r="I141" s="4">
        <v>0</v>
      </c>
    </row>
    <row r="142" spans="1:9" x14ac:dyDescent="0.2">
      <c r="A142" s="2">
        <v>8</v>
      </c>
      <c r="B142" s="1" t="s">
        <v>298</v>
      </c>
      <c r="C142" s="4">
        <v>70</v>
      </c>
      <c r="D142" s="8">
        <v>2.04</v>
      </c>
      <c r="E142" s="4">
        <v>9</v>
      </c>
      <c r="F142" s="8">
        <v>0.67</v>
      </c>
      <c r="G142" s="4">
        <v>61</v>
      </c>
      <c r="H142" s="8">
        <v>2.95</v>
      </c>
      <c r="I142" s="4">
        <v>0</v>
      </c>
    </row>
    <row r="143" spans="1:9" x14ac:dyDescent="0.2">
      <c r="A143" s="2">
        <v>9</v>
      </c>
      <c r="B143" s="1" t="s">
        <v>310</v>
      </c>
      <c r="C143" s="4">
        <v>67</v>
      </c>
      <c r="D143" s="8">
        <v>1.96</v>
      </c>
      <c r="E143" s="4">
        <v>2</v>
      </c>
      <c r="F143" s="8">
        <v>0.15</v>
      </c>
      <c r="G143" s="4">
        <v>65</v>
      </c>
      <c r="H143" s="8">
        <v>3.15</v>
      </c>
      <c r="I143" s="4">
        <v>0</v>
      </c>
    </row>
    <row r="144" spans="1:9" x14ac:dyDescent="0.2">
      <c r="A144" s="2">
        <v>10</v>
      </c>
      <c r="B144" s="1" t="s">
        <v>300</v>
      </c>
      <c r="C144" s="4">
        <v>66</v>
      </c>
      <c r="D144" s="8">
        <v>1.93</v>
      </c>
      <c r="E144" s="4">
        <v>60</v>
      </c>
      <c r="F144" s="8">
        <v>4.4400000000000004</v>
      </c>
      <c r="G144" s="4">
        <v>6</v>
      </c>
      <c r="H144" s="8">
        <v>0.28999999999999998</v>
      </c>
      <c r="I144" s="4">
        <v>0</v>
      </c>
    </row>
    <row r="145" spans="1:9" x14ac:dyDescent="0.2">
      <c r="A145" s="2">
        <v>11</v>
      </c>
      <c r="B145" s="1" t="s">
        <v>311</v>
      </c>
      <c r="C145" s="4">
        <v>65</v>
      </c>
      <c r="D145" s="8">
        <v>1.9</v>
      </c>
      <c r="E145" s="4">
        <v>3</v>
      </c>
      <c r="F145" s="8">
        <v>0.22</v>
      </c>
      <c r="G145" s="4">
        <v>61</v>
      </c>
      <c r="H145" s="8">
        <v>2.95</v>
      </c>
      <c r="I145" s="4">
        <v>1</v>
      </c>
    </row>
    <row r="146" spans="1:9" x14ac:dyDescent="0.2">
      <c r="A146" s="2">
        <v>12</v>
      </c>
      <c r="B146" s="1" t="s">
        <v>308</v>
      </c>
      <c r="C146" s="4">
        <v>53</v>
      </c>
      <c r="D146" s="8">
        <v>1.55</v>
      </c>
      <c r="E146" s="4">
        <v>3</v>
      </c>
      <c r="F146" s="8">
        <v>0.22</v>
      </c>
      <c r="G146" s="4">
        <v>50</v>
      </c>
      <c r="H146" s="8">
        <v>2.42</v>
      </c>
      <c r="I146" s="4">
        <v>0</v>
      </c>
    </row>
    <row r="147" spans="1:9" x14ac:dyDescent="0.2">
      <c r="A147" s="2">
        <v>12</v>
      </c>
      <c r="B147" s="1" t="s">
        <v>312</v>
      </c>
      <c r="C147" s="4">
        <v>53</v>
      </c>
      <c r="D147" s="8">
        <v>1.55</v>
      </c>
      <c r="E147" s="4">
        <v>46</v>
      </c>
      <c r="F147" s="8">
        <v>3.4</v>
      </c>
      <c r="G147" s="4">
        <v>7</v>
      </c>
      <c r="H147" s="8">
        <v>0.34</v>
      </c>
      <c r="I147" s="4">
        <v>0</v>
      </c>
    </row>
    <row r="148" spans="1:9" x14ac:dyDescent="0.2">
      <c r="A148" s="2">
        <v>14</v>
      </c>
      <c r="B148" s="1" t="s">
        <v>295</v>
      </c>
      <c r="C148" s="4">
        <v>51</v>
      </c>
      <c r="D148" s="8">
        <v>1.49</v>
      </c>
      <c r="E148" s="4">
        <v>16</v>
      </c>
      <c r="F148" s="8">
        <v>1.18</v>
      </c>
      <c r="G148" s="4">
        <v>35</v>
      </c>
      <c r="H148" s="8">
        <v>1.69</v>
      </c>
      <c r="I148" s="4">
        <v>0</v>
      </c>
    </row>
    <row r="149" spans="1:9" x14ac:dyDescent="0.2">
      <c r="A149" s="2">
        <v>15</v>
      </c>
      <c r="B149" s="1" t="s">
        <v>309</v>
      </c>
      <c r="C149" s="4">
        <v>50</v>
      </c>
      <c r="D149" s="8">
        <v>1.46</v>
      </c>
      <c r="E149" s="4">
        <v>2</v>
      </c>
      <c r="F149" s="8">
        <v>0.15</v>
      </c>
      <c r="G149" s="4">
        <v>48</v>
      </c>
      <c r="H149" s="8">
        <v>2.3199999999999998</v>
      </c>
      <c r="I149" s="4">
        <v>0</v>
      </c>
    </row>
    <row r="150" spans="1:9" x14ac:dyDescent="0.2">
      <c r="A150" s="2">
        <v>16</v>
      </c>
      <c r="B150" s="1" t="s">
        <v>323</v>
      </c>
      <c r="C150" s="4">
        <v>49</v>
      </c>
      <c r="D150" s="8">
        <v>1.43</v>
      </c>
      <c r="E150" s="4">
        <v>12</v>
      </c>
      <c r="F150" s="8">
        <v>0.89</v>
      </c>
      <c r="G150" s="4">
        <v>37</v>
      </c>
      <c r="H150" s="8">
        <v>1.79</v>
      </c>
      <c r="I150" s="4">
        <v>0</v>
      </c>
    </row>
    <row r="151" spans="1:9" x14ac:dyDescent="0.2">
      <c r="A151" s="2">
        <v>17</v>
      </c>
      <c r="B151" s="1" t="s">
        <v>291</v>
      </c>
      <c r="C151" s="4">
        <v>47</v>
      </c>
      <c r="D151" s="8">
        <v>1.37</v>
      </c>
      <c r="E151" s="4">
        <v>4</v>
      </c>
      <c r="F151" s="8">
        <v>0.3</v>
      </c>
      <c r="G151" s="4">
        <v>43</v>
      </c>
      <c r="H151" s="8">
        <v>2.08</v>
      </c>
      <c r="I151" s="4">
        <v>0</v>
      </c>
    </row>
    <row r="152" spans="1:9" x14ac:dyDescent="0.2">
      <c r="A152" s="2">
        <v>18</v>
      </c>
      <c r="B152" s="1" t="s">
        <v>319</v>
      </c>
      <c r="C152" s="4">
        <v>46</v>
      </c>
      <c r="D152" s="8">
        <v>1.34</v>
      </c>
      <c r="E152" s="4">
        <v>2</v>
      </c>
      <c r="F152" s="8">
        <v>0.15</v>
      </c>
      <c r="G152" s="4">
        <v>44</v>
      </c>
      <c r="H152" s="8">
        <v>2.13</v>
      </c>
      <c r="I152" s="4">
        <v>0</v>
      </c>
    </row>
    <row r="153" spans="1:9" x14ac:dyDescent="0.2">
      <c r="A153" s="2">
        <v>19</v>
      </c>
      <c r="B153" s="1" t="s">
        <v>322</v>
      </c>
      <c r="C153" s="4">
        <v>44</v>
      </c>
      <c r="D153" s="8">
        <v>1.28</v>
      </c>
      <c r="E153" s="4">
        <v>2</v>
      </c>
      <c r="F153" s="8">
        <v>0.15</v>
      </c>
      <c r="G153" s="4">
        <v>42</v>
      </c>
      <c r="H153" s="8">
        <v>2.0299999999999998</v>
      </c>
      <c r="I153" s="4">
        <v>0</v>
      </c>
    </row>
    <row r="154" spans="1:9" x14ac:dyDescent="0.2">
      <c r="A154" s="2">
        <v>20</v>
      </c>
      <c r="B154" s="1" t="s">
        <v>294</v>
      </c>
      <c r="C154" s="4">
        <v>43</v>
      </c>
      <c r="D154" s="8">
        <v>1.25</v>
      </c>
      <c r="E154" s="4">
        <v>7</v>
      </c>
      <c r="F154" s="8">
        <v>0.52</v>
      </c>
      <c r="G154" s="4">
        <v>36</v>
      </c>
      <c r="H154" s="8">
        <v>1.74</v>
      </c>
      <c r="I154" s="4">
        <v>0</v>
      </c>
    </row>
    <row r="155" spans="1:9" x14ac:dyDescent="0.2">
      <c r="A155" s="1"/>
      <c r="C155" s="4"/>
      <c r="D155" s="8"/>
      <c r="E155" s="4"/>
      <c r="F155" s="8"/>
      <c r="G155" s="4"/>
      <c r="H155" s="8"/>
      <c r="I155" s="4"/>
    </row>
    <row r="156" spans="1:9" x14ac:dyDescent="0.2">
      <c r="A156" s="1" t="s">
        <v>7</v>
      </c>
      <c r="C156" s="4"/>
      <c r="D156" s="8"/>
      <c r="E156" s="4"/>
      <c r="F156" s="8"/>
      <c r="G156" s="4"/>
      <c r="H156" s="8"/>
      <c r="I156" s="4"/>
    </row>
    <row r="157" spans="1:9" x14ac:dyDescent="0.2">
      <c r="A157" s="2">
        <v>1</v>
      </c>
      <c r="B157" s="1" t="s">
        <v>297</v>
      </c>
      <c r="C157" s="4">
        <v>199</v>
      </c>
      <c r="D157" s="8">
        <v>9.77</v>
      </c>
      <c r="E157" s="4">
        <v>124</v>
      </c>
      <c r="F157" s="8">
        <v>15.18</v>
      </c>
      <c r="G157" s="4">
        <v>75</v>
      </c>
      <c r="H157" s="8">
        <v>6.24</v>
      </c>
      <c r="I157" s="4">
        <v>0</v>
      </c>
    </row>
    <row r="158" spans="1:9" x14ac:dyDescent="0.2">
      <c r="A158" s="2">
        <v>2</v>
      </c>
      <c r="B158" s="1" t="s">
        <v>304</v>
      </c>
      <c r="C158" s="4">
        <v>110</v>
      </c>
      <c r="D158" s="8">
        <v>5.4</v>
      </c>
      <c r="E158" s="4">
        <v>91</v>
      </c>
      <c r="F158" s="8">
        <v>11.14</v>
      </c>
      <c r="G158" s="4">
        <v>19</v>
      </c>
      <c r="H158" s="8">
        <v>1.58</v>
      </c>
      <c r="I158" s="4">
        <v>0</v>
      </c>
    </row>
    <row r="159" spans="1:9" x14ac:dyDescent="0.2">
      <c r="A159" s="2">
        <v>3</v>
      </c>
      <c r="B159" s="1" t="s">
        <v>303</v>
      </c>
      <c r="C159" s="4">
        <v>79</v>
      </c>
      <c r="D159" s="8">
        <v>3.88</v>
      </c>
      <c r="E159" s="4">
        <v>68</v>
      </c>
      <c r="F159" s="8">
        <v>8.32</v>
      </c>
      <c r="G159" s="4">
        <v>11</v>
      </c>
      <c r="H159" s="8">
        <v>0.92</v>
      </c>
      <c r="I159" s="4">
        <v>0</v>
      </c>
    </row>
    <row r="160" spans="1:9" x14ac:dyDescent="0.2">
      <c r="A160" s="2">
        <v>4</v>
      </c>
      <c r="B160" s="1" t="s">
        <v>299</v>
      </c>
      <c r="C160" s="4">
        <v>61</v>
      </c>
      <c r="D160" s="8">
        <v>2.99</v>
      </c>
      <c r="E160" s="4">
        <v>34</v>
      </c>
      <c r="F160" s="8">
        <v>4.16</v>
      </c>
      <c r="G160" s="4">
        <v>27</v>
      </c>
      <c r="H160" s="8">
        <v>2.25</v>
      </c>
      <c r="I160" s="4">
        <v>0</v>
      </c>
    </row>
    <row r="161" spans="1:9" x14ac:dyDescent="0.2">
      <c r="A161" s="2">
        <v>5</v>
      </c>
      <c r="B161" s="1" t="s">
        <v>306</v>
      </c>
      <c r="C161" s="4">
        <v>51</v>
      </c>
      <c r="D161" s="8">
        <v>2.5</v>
      </c>
      <c r="E161" s="4">
        <v>41</v>
      </c>
      <c r="F161" s="8">
        <v>5.0199999999999996</v>
      </c>
      <c r="G161" s="4">
        <v>10</v>
      </c>
      <c r="H161" s="8">
        <v>0.83</v>
      </c>
      <c r="I161" s="4">
        <v>0</v>
      </c>
    </row>
    <row r="162" spans="1:9" x14ac:dyDescent="0.2">
      <c r="A162" s="2">
        <v>6</v>
      </c>
      <c r="B162" s="1" t="s">
        <v>296</v>
      </c>
      <c r="C162" s="4">
        <v>49</v>
      </c>
      <c r="D162" s="8">
        <v>2.41</v>
      </c>
      <c r="E162" s="4">
        <v>9</v>
      </c>
      <c r="F162" s="8">
        <v>1.1000000000000001</v>
      </c>
      <c r="G162" s="4">
        <v>39</v>
      </c>
      <c r="H162" s="8">
        <v>3.24</v>
      </c>
      <c r="I162" s="4">
        <v>1</v>
      </c>
    </row>
    <row r="163" spans="1:9" x14ac:dyDescent="0.2">
      <c r="A163" s="2">
        <v>7</v>
      </c>
      <c r="B163" s="1" t="s">
        <v>298</v>
      </c>
      <c r="C163" s="4">
        <v>47</v>
      </c>
      <c r="D163" s="8">
        <v>2.31</v>
      </c>
      <c r="E163" s="4">
        <v>8</v>
      </c>
      <c r="F163" s="8">
        <v>0.98</v>
      </c>
      <c r="G163" s="4">
        <v>39</v>
      </c>
      <c r="H163" s="8">
        <v>3.24</v>
      </c>
      <c r="I163" s="4">
        <v>0</v>
      </c>
    </row>
    <row r="164" spans="1:9" x14ac:dyDescent="0.2">
      <c r="A164" s="2">
        <v>8</v>
      </c>
      <c r="B164" s="1" t="s">
        <v>301</v>
      </c>
      <c r="C164" s="4">
        <v>44</v>
      </c>
      <c r="D164" s="8">
        <v>2.16</v>
      </c>
      <c r="E164" s="4">
        <v>41</v>
      </c>
      <c r="F164" s="8">
        <v>5.0199999999999996</v>
      </c>
      <c r="G164" s="4">
        <v>3</v>
      </c>
      <c r="H164" s="8">
        <v>0.25</v>
      </c>
      <c r="I164" s="4">
        <v>0</v>
      </c>
    </row>
    <row r="165" spans="1:9" x14ac:dyDescent="0.2">
      <c r="A165" s="2">
        <v>9</v>
      </c>
      <c r="B165" s="1" t="s">
        <v>305</v>
      </c>
      <c r="C165" s="4">
        <v>40</v>
      </c>
      <c r="D165" s="8">
        <v>1.96</v>
      </c>
      <c r="E165" s="4">
        <v>32</v>
      </c>
      <c r="F165" s="8">
        <v>3.92</v>
      </c>
      <c r="G165" s="4">
        <v>8</v>
      </c>
      <c r="H165" s="8">
        <v>0.67</v>
      </c>
      <c r="I165" s="4">
        <v>0</v>
      </c>
    </row>
    <row r="166" spans="1:9" x14ac:dyDescent="0.2">
      <c r="A166" s="2">
        <v>10</v>
      </c>
      <c r="B166" s="1" t="s">
        <v>300</v>
      </c>
      <c r="C166" s="4">
        <v>39</v>
      </c>
      <c r="D166" s="8">
        <v>1.91</v>
      </c>
      <c r="E166" s="4">
        <v>35</v>
      </c>
      <c r="F166" s="8">
        <v>4.28</v>
      </c>
      <c r="G166" s="4">
        <v>4</v>
      </c>
      <c r="H166" s="8">
        <v>0.33</v>
      </c>
      <c r="I166" s="4">
        <v>0</v>
      </c>
    </row>
    <row r="167" spans="1:9" x14ac:dyDescent="0.2">
      <c r="A167" s="2">
        <v>11</v>
      </c>
      <c r="B167" s="1" t="s">
        <v>288</v>
      </c>
      <c r="C167" s="4">
        <v>38</v>
      </c>
      <c r="D167" s="8">
        <v>1.87</v>
      </c>
      <c r="E167" s="4">
        <v>2</v>
      </c>
      <c r="F167" s="8">
        <v>0.24</v>
      </c>
      <c r="G167" s="4">
        <v>36</v>
      </c>
      <c r="H167" s="8">
        <v>3</v>
      </c>
      <c r="I167" s="4">
        <v>0</v>
      </c>
    </row>
    <row r="168" spans="1:9" x14ac:dyDescent="0.2">
      <c r="A168" s="2">
        <v>12</v>
      </c>
      <c r="B168" s="1" t="s">
        <v>295</v>
      </c>
      <c r="C168" s="4">
        <v>37</v>
      </c>
      <c r="D168" s="8">
        <v>1.82</v>
      </c>
      <c r="E168" s="4">
        <v>14</v>
      </c>
      <c r="F168" s="8">
        <v>1.71</v>
      </c>
      <c r="G168" s="4">
        <v>23</v>
      </c>
      <c r="H168" s="8">
        <v>1.91</v>
      </c>
      <c r="I168" s="4">
        <v>0</v>
      </c>
    </row>
    <row r="169" spans="1:9" x14ac:dyDescent="0.2">
      <c r="A169" s="2">
        <v>13</v>
      </c>
      <c r="B169" s="1" t="s">
        <v>302</v>
      </c>
      <c r="C169" s="4">
        <v>34</v>
      </c>
      <c r="D169" s="8">
        <v>1.67</v>
      </c>
      <c r="E169" s="4">
        <v>27</v>
      </c>
      <c r="F169" s="8">
        <v>3.3</v>
      </c>
      <c r="G169" s="4">
        <v>7</v>
      </c>
      <c r="H169" s="8">
        <v>0.57999999999999996</v>
      </c>
      <c r="I169" s="4">
        <v>0</v>
      </c>
    </row>
    <row r="170" spans="1:9" x14ac:dyDescent="0.2">
      <c r="A170" s="2">
        <v>14</v>
      </c>
      <c r="B170" s="1" t="s">
        <v>291</v>
      </c>
      <c r="C170" s="4">
        <v>32</v>
      </c>
      <c r="D170" s="8">
        <v>1.57</v>
      </c>
      <c r="E170" s="4">
        <v>3</v>
      </c>
      <c r="F170" s="8">
        <v>0.37</v>
      </c>
      <c r="G170" s="4">
        <v>29</v>
      </c>
      <c r="H170" s="8">
        <v>2.41</v>
      </c>
      <c r="I170" s="4">
        <v>0</v>
      </c>
    </row>
    <row r="171" spans="1:9" x14ac:dyDescent="0.2">
      <c r="A171" s="2">
        <v>14</v>
      </c>
      <c r="B171" s="1" t="s">
        <v>323</v>
      </c>
      <c r="C171" s="4">
        <v>32</v>
      </c>
      <c r="D171" s="8">
        <v>1.57</v>
      </c>
      <c r="E171" s="4">
        <v>5</v>
      </c>
      <c r="F171" s="8">
        <v>0.61</v>
      </c>
      <c r="G171" s="4">
        <v>27</v>
      </c>
      <c r="H171" s="8">
        <v>2.25</v>
      </c>
      <c r="I171" s="4">
        <v>0</v>
      </c>
    </row>
    <row r="172" spans="1:9" x14ac:dyDescent="0.2">
      <c r="A172" s="2">
        <v>16</v>
      </c>
      <c r="B172" s="1" t="s">
        <v>319</v>
      </c>
      <c r="C172" s="4">
        <v>31</v>
      </c>
      <c r="D172" s="8">
        <v>1.52</v>
      </c>
      <c r="E172" s="4">
        <v>2</v>
      </c>
      <c r="F172" s="8">
        <v>0.24</v>
      </c>
      <c r="G172" s="4">
        <v>28</v>
      </c>
      <c r="H172" s="8">
        <v>2.33</v>
      </c>
      <c r="I172" s="4">
        <v>1</v>
      </c>
    </row>
    <row r="173" spans="1:9" x14ac:dyDescent="0.2">
      <c r="A173" s="2">
        <v>17</v>
      </c>
      <c r="B173" s="1" t="s">
        <v>308</v>
      </c>
      <c r="C173" s="4">
        <v>30</v>
      </c>
      <c r="D173" s="8">
        <v>1.47</v>
      </c>
      <c r="E173" s="4">
        <v>2</v>
      </c>
      <c r="F173" s="8">
        <v>0.24</v>
      </c>
      <c r="G173" s="4">
        <v>28</v>
      </c>
      <c r="H173" s="8">
        <v>2.33</v>
      </c>
      <c r="I173" s="4">
        <v>0</v>
      </c>
    </row>
    <row r="174" spans="1:9" x14ac:dyDescent="0.2">
      <c r="A174" s="2">
        <v>17</v>
      </c>
      <c r="B174" s="1" t="s">
        <v>294</v>
      </c>
      <c r="C174" s="4">
        <v>30</v>
      </c>
      <c r="D174" s="8">
        <v>1.47</v>
      </c>
      <c r="E174" s="4">
        <v>4</v>
      </c>
      <c r="F174" s="8">
        <v>0.49</v>
      </c>
      <c r="G174" s="4">
        <v>26</v>
      </c>
      <c r="H174" s="8">
        <v>2.16</v>
      </c>
      <c r="I174" s="4">
        <v>0</v>
      </c>
    </row>
    <row r="175" spans="1:9" x14ac:dyDescent="0.2">
      <c r="A175" s="2">
        <v>17</v>
      </c>
      <c r="B175" s="1" t="s">
        <v>311</v>
      </c>
      <c r="C175" s="4">
        <v>30</v>
      </c>
      <c r="D175" s="8">
        <v>1.47</v>
      </c>
      <c r="E175" s="4">
        <v>0</v>
      </c>
      <c r="F175" s="8">
        <v>0</v>
      </c>
      <c r="G175" s="4">
        <v>27</v>
      </c>
      <c r="H175" s="8">
        <v>2.25</v>
      </c>
      <c r="I175" s="4">
        <v>1</v>
      </c>
    </row>
    <row r="176" spans="1:9" x14ac:dyDescent="0.2">
      <c r="A176" s="2">
        <v>17</v>
      </c>
      <c r="B176" s="1" t="s">
        <v>312</v>
      </c>
      <c r="C176" s="4">
        <v>30</v>
      </c>
      <c r="D176" s="8">
        <v>1.47</v>
      </c>
      <c r="E176" s="4">
        <v>26</v>
      </c>
      <c r="F176" s="8">
        <v>3.18</v>
      </c>
      <c r="G176" s="4">
        <v>4</v>
      </c>
      <c r="H176" s="8">
        <v>0.33</v>
      </c>
      <c r="I176" s="4">
        <v>0</v>
      </c>
    </row>
    <row r="177" spans="1:9" x14ac:dyDescent="0.2">
      <c r="A177" s="1"/>
      <c r="C177" s="4"/>
      <c r="D177" s="8"/>
      <c r="E177" s="4"/>
      <c r="F177" s="8"/>
      <c r="G177" s="4"/>
      <c r="H177" s="8"/>
      <c r="I177" s="4"/>
    </row>
    <row r="178" spans="1:9" x14ac:dyDescent="0.2">
      <c r="A178" s="1" t="s">
        <v>8</v>
      </c>
      <c r="C178" s="4"/>
      <c r="D178" s="8"/>
      <c r="E178" s="4"/>
      <c r="F178" s="8"/>
      <c r="G178" s="4"/>
      <c r="H178" s="8"/>
      <c r="I178" s="4"/>
    </row>
    <row r="179" spans="1:9" x14ac:dyDescent="0.2">
      <c r="A179" s="2">
        <v>1</v>
      </c>
      <c r="B179" s="1" t="s">
        <v>297</v>
      </c>
      <c r="C179" s="4">
        <v>370</v>
      </c>
      <c r="D179" s="8">
        <v>10.11</v>
      </c>
      <c r="E179" s="4">
        <v>226</v>
      </c>
      <c r="F179" s="8">
        <v>16.46</v>
      </c>
      <c r="G179" s="4">
        <v>144</v>
      </c>
      <c r="H179" s="8">
        <v>6.34</v>
      </c>
      <c r="I179" s="4">
        <v>0</v>
      </c>
    </row>
    <row r="180" spans="1:9" x14ac:dyDescent="0.2">
      <c r="A180" s="2">
        <v>2</v>
      </c>
      <c r="B180" s="1" t="s">
        <v>304</v>
      </c>
      <c r="C180" s="4">
        <v>149</v>
      </c>
      <c r="D180" s="8">
        <v>4.07</v>
      </c>
      <c r="E180" s="4">
        <v>121</v>
      </c>
      <c r="F180" s="8">
        <v>8.81</v>
      </c>
      <c r="G180" s="4">
        <v>28</v>
      </c>
      <c r="H180" s="8">
        <v>1.23</v>
      </c>
      <c r="I180" s="4">
        <v>0</v>
      </c>
    </row>
    <row r="181" spans="1:9" x14ac:dyDescent="0.2">
      <c r="A181" s="2">
        <v>3</v>
      </c>
      <c r="B181" s="1" t="s">
        <v>306</v>
      </c>
      <c r="C181" s="4">
        <v>117</v>
      </c>
      <c r="D181" s="8">
        <v>3.2</v>
      </c>
      <c r="E181" s="4">
        <v>93</v>
      </c>
      <c r="F181" s="8">
        <v>6.77</v>
      </c>
      <c r="G181" s="4">
        <v>24</v>
      </c>
      <c r="H181" s="8">
        <v>1.06</v>
      </c>
      <c r="I181" s="4">
        <v>0</v>
      </c>
    </row>
    <row r="182" spans="1:9" x14ac:dyDescent="0.2">
      <c r="A182" s="2">
        <v>4</v>
      </c>
      <c r="B182" s="1" t="s">
        <v>301</v>
      </c>
      <c r="C182" s="4">
        <v>102</v>
      </c>
      <c r="D182" s="8">
        <v>2.79</v>
      </c>
      <c r="E182" s="4">
        <v>93</v>
      </c>
      <c r="F182" s="8">
        <v>6.77</v>
      </c>
      <c r="G182" s="4">
        <v>9</v>
      </c>
      <c r="H182" s="8">
        <v>0.4</v>
      </c>
      <c r="I182" s="4">
        <v>0</v>
      </c>
    </row>
    <row r="183" spans="1:9" x14ac:dyDescent="0.2">
      <c r="A183" s="2">
        <v>5</v>
      </c>
      <c r="B183" s="1" t="s">
        <v>303</v>
      </c>
      <c r="C183" s="4">
        <v>100</v>
      </c>
      <c r="D183" s="8">
        <v>2.73</v>
      </c>
      <c r="E183" s="4">
        <v>87</v>
      </c>
      <c r="F183" s="8">
        <v>6.34</v>
      </c>
      <c r="G183" s="4">
        <v>13</v>
      </c>
      <c r="H183" s="8">
        <v>0.56999999999999995</v>
      </c>
      <c r="I183" s="4">
        <v>0</v>
      </c>
    </row>
    <row r="184" spans="1:9" x14ac:dyDescent="0.2">
      <c r="A184" s="2">
        <v>6</v>
      </c>
      <c r="B184" s="1" t="s">
        <v>299</v>
      </c>
      <c r="C184" s="4">
        <v>90</v>
      </c>
      <c r="D184" s="8">
        <v>2.46</v>
      </c>
      <c r="E184" s="4">
        <v>62</v>
      </c>
      <c r="F184" s="8">
        <v>4.5199999999999996</v>
      </c>
      <c r="G184" s="4">
        <v>28</v>
      </c>
      <c r="H184" s="8">
        <v>1.23</v>
      </c>
      <c r="I184" s="4">
        <v>0</v>
      </c>
    </row>
    <row r="185" spans="1:9" x14ac:dyDescent="0.2">
      <c r="A185" s="2">
        <v>6</v>
      </c>
      <c r="B185" s="1" t="s">
        <v>305</v>
      </c>
      <c r="C185" s="4">
        <v>90</v>
      </c>
      <c r="D185" s="8">
        <v>2.46</v>
      </c>
      <c r="E185" s="4">
        <v>65</v>
      </c>
      <c r="F185" s="8">
        <v>4.7300000000000004</v>
      </c>
      <c r="G185" s="4">
        <v>24</v>
      </c>
      <c r="H185" s="8">
        <v>1.06</v>
      </c>
      <c r="I185" s="4">
        <v>1</v>
      </c>
    </row>
    <row r="186" spans="1:9" x14ac:dyDescent="0.2">
      <c r="A186" s="2">
        <v>8</v>
      </c>
      <c r="B186" s="1" t="s">
        <v>296</v>
      </c>
      <c r="C186" s="4">
        <v>88</v>
      </c>
      <c r="D186" s="8">
        <v>2.4</v>
      </c>
      <c r="E186" s="4">
        <v>19</v>
      </c>
      <c r="F186" s="8">
        <v>1.38</v>
      </c>
      <c r="G186" s="4">
        <v>69</v>
      </c>
      <c r="H186" s="8">
        <v>3.04</v>
      </c>
      <c r="I186" s="4">
        <v>0</v>
      </c>
    </row>
    <row r="187" spans="1:9" x14ac:dyDescent="0.2">
      <c r="A187" s="2">
        <v>8</v>
      </c>
      <c r="B187" s="1" t="s">
        <v>298</v>
      </c>
      <c r="C187" s="4">
        <v>88</v>
      </c>
      <c r="D187" s="8">
        <v>2.4</v>
      </c>
      <c r="E187" s="4">
        <v>7</v>
      </c>
      <c r="F187" s="8">
        <v>0.51</v>
      </c>
      <c r="G187" s="4">
        <v>81</v>
      </c>
      <c r="H187" s="8">
        <v>3.56</v>
      </c>
      <c r="I187" s="4">
        <v>0</v>
      </c>
    </row>
    <row r="188" spans="1:9" x14ac:dyDescent="0.2">
      <c r="A188" s="2">
        <v>10</v>
      </c>
      <c r="B188" s="1" t="s">
        <v>300</v>
      </c>
      <c r="C188" s="4">
        <v>78</v>
      </c>
      <c r="D188" s="8">
        <v>2.13</v>
      </c>
      <c r="E188" s="4">
        <v>69</v>
      </c>
      <c r="F188" s="8">
        <v>5.03</v>
      </c>
      <c r="G188" s="4">
        <v>9</v>
      </c>
      <c r="H188" s="8">
        <v>0.4</v>
      </c>
      <c r="I188" s="4">
        <v>0</v>
      </c>
    </row>
    <row r="189" spans="1:9" x14ac:dyDescent="0.2">
      <c r="A189" s="2">
        <v>11</v>
      </c>
      <c r="B189" s="1" t="s">
        <v>291</v>
      </c>
      <c r="C189" s="4">
        <v>58</v>
      </c>
      <c r="D189" s="8">
        <v>1.58</v>
      </c>
      <c r="E189" s="4">
        <v>4</v>
      </c>
      <c r="F189" s="8">
        <v>0.28999999999999998</v>
      </c>
      <c r="G189" s="4">
        <v>54</v>
      </c>
      <c r="H189" s="8">
        <v>2.38</v>
      </c>
      <c r="I189" s="4">
        <v>0</v>
      </c>
    </row>
    <row r="190" spans="1:9" x14ac:dyDescent="0.2">
      <c r="A190" s="2">
        <v>12</v>
      </c>
      <c r="B190" s="1" t="s">
        <v>308</v>
      </c>
      <c r="C190" s="4">
        <v>53</v>
      </c>
      <c r="D190" s="8">
        <v>1.45</v>
      </c>
      <c r="E190" s="4">
        <v>7</v>
      </c>
      <c r="F190" s="8">
        <v>0.51</v>
      </c>
      <c r="G190" s="4">
        <v>46</v>
      </c>
      <c r="H190" s="8">
        <v>2.02</v>
      </c>
      <c r="I190" s="4">
        <v>0</v>
      </c>
    </row>
    <row r="191" spans="1:9" x14ac:dyDescent="0.2">
      <c r="A191" s="2">
        <v>13</v>
      </c>
      <c r="B191" s="1" t="s">
        <v>324</v>
      </c>
      <c r="C191" s="4">
        <v>52</v>
      </c>
      <c r="D191" s="8">
        <v>1.42</v>
      </c>
      <c r="E191" s="4">
        <v>2</v>
      </c>
      <c r="F191" s="8">
        <v>0.15</v>
      </c>
      <c r="G191" s="4">
        <v>50</v>
      </c>
      <c r="H191" s="8">
        <v>2.2000000000000002</v>
      </c>
      <c r="I191" s="4">
        <v>0</v>
      </c>
    </row>
    <row r="192" spans="1:9" x14ac:dyDescent="0.2">
      <c r="A192" s="2">
        <v>13</v>
      </c>
      <c r="B192" s="1" t="s">
        <v>295</v>
      </c>
      <c r="C192" s="4">
        <v>52</v>
      </c>
      <c r="D192" s="8">
        <v>1.42</v>
      </c>
      <c r="E192" s="4">
        <v>21</v>
      </c>
      <c r="F192" s="8">
        <v>1.53</v>
      </c>
      <c r="G192" s="4">
        <v>31</v>
      </c>
      <c r="H192" s="8">
        <v>1.36</v>
      </c>
      <c r="I192" s="4">
        <v>0</v>
      </c>
    </row>
    <row r="193" spans="1:9" x14ac:dyDescent="0.2">
      <c r="A193" s="2">
        <v>15</v>
      </c>
      <c r="B193" s="1" t="s">
        <v>323</v>
      </c>
      <c r="C193" s="4">
        <v>51</v>
      </c>
      <c r="D193" s="8">
        <v>1.39</v>
      </c>
      <c r="E193" s="4">
        <v>10</v>
      </c>
      <c r="F193" s="8">
        <v>0.73</v>
      </c>
      <c r="G193" s="4">
        <v>41</v>
      </c>
      <c r="H193" s="8">
        <v>1.8</v>
      </c>
      <c r="I193" s="4">
        <v>0</v>
      </c>
    </row>
    <row r="194" spans="1:9" x14ac:dyDescent="0.2">
      <c r="A194" s="2">
        <v>16</v>
      </c>
      <c r="B194" s="1" t="s">
        <v>310</v>
      </c>
      <c r="C194" s="4">
        <v>49</v>
      </c>
      <c r="D194" s="8">
        <v>1.34</v>
      </c>
      <c r="E194" s="4">
        <v>5</v>
      </c>
      <c r="F194" s="8">
        <v>0.36</v>
      </c>
      <c r="G194" s="4">
        <v>44</v>
      </c>
      <c r="H194" s="8">
        <v>1.94</v>
      </c>
      <c r="I194" s="4">
        <v>0</v>
      </c>
    </row>
    <row r="195" spans="1:9" x14ac:dyDescent="0.2">
      <c r="A195" s="2">
        <v>17</v>
      </c>
      <c r="B195" s="1" t="s">
        <v>312</v>
      </c>
      <c r="C195" s="4">
        <v>48</v>
      </c>
      <c r="D195" s="8">
        <v>1.31</v>
      </c>
      <c r="E195" s="4">
        <v>40</v>
      </c>
      <c r="F195" s="8">
        <v>2.91</v>
      </c>
      <c r="G195" s="4">
        <v>8</v>
      </c>
      <c r="H195" s="8">
        <v>0.35</v>
      </c>
      <c r="I195" s="4">
        <v>0</v>
      </c>
    </row>
    <row r="196" spans="1:9" x14ac:dyDescent="0.2">
      <c r="A196" s="2">
        <v>18</v>
      </c>
      <c r="B196" s="1" t="s">
        <v>319</v>
      </c>
      <c r="C196" s="4">
        <v>47</v>
      </c>
      <c r="D196" s="8">
        <v>1.28</v>
      </c>
      <c r="E196" s="4">
        <v>1</v>
      </c>
      <c r="F196" s="8">
        <v>7.0000000000000007E-2</v>
      </c>
      <c r="G196" s="4">
        <v>46</v>
      </c>
      <c r="H196" s="8">
        <v>2.02</v>
      </c>
      <c r="I196" s="4">
        <v>0</v>
      </c>
    </row>
    <row r="197" spans="1:9" x14ac:dyDescent="0.2">
      <c r="A197" s="2">
        <v>19</v>
      </c>
      <c r="B197" s="1" t="s">
        <v>290</v>
      </c>
      <c r="C197" s="4">
        <v>45</v>
      </c>
      <c r="D197" s="8">
        <v>1.23</v>
      </c>
      <c r="E197" s="4">
        <v>1</v>
      </c>
      <c r="F197" s="8">
        <v>7.0000000000000007E-2</v>
      </c>
      <c r="G197" s="4">
        <v>44</v>
      </c>
      <c r="H197" s="8">
        <v>1.94</v>
      </c>
      <c r="I197" s="4">
        <v>0</v>
      </c>
    </row>
    <row r="198" spans="1:9" x14ac:dyDescent="0.2">
      <c r="A198" s="2">
        <v>19</v>
      </c>
      <c r="B198" s="1" t="s">
        <v>302</v>
      </c>
      <c r="C198" s="4">
        <v>45</v>
      </c>
      <c r="D198" s="8">
        <v>1.23</v>
      </c>
      <c r="E198" s="4">
        <v>34</v>
      </c>
      <c r="F198" s="8">
        <v>2.48</v>
      </c>
      <c r="G198" s="4">
        <v>11</v>
      </c>
      <c r="H198" s="8">
        <v>0.48</v>
      </c>
      <c r="I198" s="4">
        <v>0</v>
      </c>
    </row>
    <row r="199" spans="1:9" x14ac:dyDescent="0.2">
      <c r="A199" s="1"/>
      <c r="C199" s="4"/>
      <c r="D199" s="8"/>
      <c r="E199" s="4"/>
      <c r="F199" s="8"/>
      <c r="G199" s="4"/>
      <c r="H199" s="8"/>
      <c r="I199" s="4"/>
    </row>
    <row r="200" spans="1:9" x14ac:dyDescent="0.2">
      <c r="A200" s="1" t="s">
        <v>9</v>
      </c>
      <c r="C200" s="4"/>
      <c r="D200" s="8"/>
      <c r="E200" s="4"/>
      <c r="F200" s="8"/>
      <c r="G200" s="4"/>
      <c r="H200" s="8"/>
      <c r="I200" s="4"/>
    </row>
    <row r="201" spans="1:9" x14ac:dyDescent="0.2">
      <c r="A201" s="2">
        <v>1</v>
      </c>
      <c r="B201" s="1" t="s">
        <v>297</v>
      </c>
      <c r="C201" s="4">
        <v>152</v>
      </c>
      <c r="D201" s="8">
        <v>11.05</v>
      </c>
      <c r="E201" s="4">
        <v>58</v>
      </c>
      <c r="F201" s="8">
        <v>14.39</v>
      </c>
      <c r="G201" s="4">
        <v>94</v>
      </c>
      <c r="H201" s="8">
        <v>9.7200000000000006</v>
      </c>
      <c r="I201" s="4">
        <v>0</v>
      </c>
    </row>
    <row r="202" spans="1:9" x14ac:dyDescent="0.2">
      <c r="A202" s="2">
        <v>2</v>
      </c>
      <c r="B202" s="1" t="s">
        <v>304</v>
      </c>
      <c r="C202" s="4">
        <v>61</v>
      </c>
      <c r="D202" s="8">
        <v>4.4400000000000004</v>
      </c>
      <c r="E202" s="4">
        <v>47</v>
      </c>
      <c r="F202" s="8">
        <v>11.66</v>
      </c>
      <c r="G202" s="4">
        <v>14</v>
      </c>
      <c r="H202" s="8">
        <v>1.45</v>
      </c>
      <c r="I202" s="4">
        <v>0</v>
      </c>
    </row>
    <row r="203" spans="1:9" x14ac:dyDescent="0.2">
      <c r="A203" s="2">
        <v>3</v>
      </c>
      <c r="B203" s="1" t="s">
        <v>303</v>
      </c>
      <c r="C203" s="4">
        <v>57</v>
      </c>
      <c r="D203" s="8">
        <v>4.1500000000000004</v>
      </c>
      <c r="E203" s="4">
        <v>46</v>
      </c>
      <c r="F203" s="8">
        <v>11.41</v>
      </c>
      <c r="G203" s="4">
        <v>11</v>
      </c>
      <c r="H203" s="8">
        <v>1.1399999999999999</v>
      </c>
      <c r="I203" s="4">
        <v>0</v>
      </c>
    </row>
    <row r="204" spans="1:9" x14ac:dyDescent="0.2">
      <c r="A204" s="2">
        <v>4</v>
      </c>
      <c r="B204" s="1" t="s">
        <v>296</v>
      </c>
      <c r="C204" s="4">
        <v>37</v>
      </c>
      <c r="D204" s="8">
        <v>2.69</v>
      </c>
      <c r="E204" s="4">
        <v>3</v>
      </c>
      <c r="F204" s="8">
        <v>0.74</v>
      </c>
      <c r="G204" s="4">
        <v>34</v>
      </c>
      <c r="H204" s="8">
        <v>3.52</v>
      </c>
      <c r="I204" s="4">
        <v>0</v>
      </c>
    </row>
    <row r="205" spans="1:9" x14ac:dyDescent="0.2">
      <c r="A205" s="2">
        <v>5</v>
      </c>
      <c r="B205" s="1" t="s">
        <v>306</v>
      </c>
      <c r="C205" s="4">
        <v>36</v>
      </c>
      <c r="D205" s="8">
        <v>2.62</v>
      </c>
      <c r="E205" s="4">
        <v>27</v>
      </c>
      <c r="F205" s="8">
        <v>6.7</v>
      </c>
      <c r="G205" s="4">
        <v>9</v>
      </c>
      <c r="H205" s="8">
        <v>0.93</v>
      </c>
      <c r="I205" s="4">
        <v>0</v>
      </c>
    </row>
    <row r="206" spans="1:9" x14ac:dyDescent="0.2">
      <c r="A206" s="2">
        <v>6</v>
      </c>
      <c r="B206" s="1" t="s">
        <v>301</v>
      </c>
      <c r="C206" s="4">
        <v>30</v>
      </c>
      <c r="D206" s="8">
        <v>2.1800000000000002</v>
      </c>
      <c r="E206" s="4">
        <v>25</v>
      </c>
      <c r="F206" s="8">
        <v>6.2</v>
      </c>
      <c r="G206" s="4">
        <v>5</v>
      </c>
      <c r="H206" s="8">
        <v>0.52</v>
      </c>
      <c r="I206" s="4">
        <v>0</v>
      </c>
    </row>
    <row r="207" spans="1:9" x14ac:dyDescent="0.2">
      <c r="A207" s="2">
        <v>7</v>
      </c>
      <c r="B207" s="1" t="s">
        <v>294</v>
      </c>
      <c r="C207" s="4">
        <v>28</v>
      </c>
      <c r="D207" s="8">
        <v>2.04</v>
      </c>
      <c r="E207" s="4">
        <v>8</v>
      </c>
      <c r="F207" s="8">
        <v>1.99</v>
      </c>
      <c r="G207" s="4">
        <v>20</v>
      </c>
      <c r="H207" s="8">
        <v>2.0699999999999998</v>
      </c>
      <c r="I207" s="4">
        <v>0</v>
      </c>
    </row>
    <row r="208" spans="1:9" x14ac:dyDescent="0.2">
      <c r="A208" s="2">
        <v>8</v>
      </c>
      <c r="B208" s="1" t="s">
        <v>299</v>
      </c>
      <c r="C208" s="4">
        <v>27</v>
      </c>
      <c r="D208" s="8">
        <v>1.96</v>
      </c>
      <c r="E208" s="4">
        <v>14</v>
      </c>
      <c r="F208" s="8">
        <v>3.47</v>
      </c>
      <c r="G208" s="4">
        <v>13</v>
      </c>
      <c r="H208" s="8">
        <v>1.34</v>
      </c>
      <c r="I208" s="4">
        <v>0</v>
      </c>
    </row>
    <row r="209" spans="1:9" x14ac:dyDescent="0.2">
      <c r="A209" s="2">
        <v>9</v>
      </c>
      <c r="B209" s="1" t="s">
        <v>313</v>
      </c>
      <c r="C209" s="4">
        <v>26</v>
      </c>
      <c r="D209" s="8">
        <v>1.89</v>
      </c>
      <c r="E209" s="4">
        <v>0</v>
      </c>
      <c r="F209" s="8">
        <v>0</v>
      </c>
      <c r="G209" s="4">
        <v>26</v>
      </c>
      <c r="H209" s="8">
        <v>2.69</v>
      </c>
      <c r="I209" s="4">
        <v>0</v>
      </c>
    </row>
    <row r="210" spans="1:9" x14ac:dyDescent="0.2">
      <c r="A210" s="2">
        <v>9</v>
      </c>
      <c r="B210" s="1" t="s">
        <v>323</v>
      </c>
      <c r="C210" s="4">
        <v>26</v>
      </c>
      <c r="D210" s="8">
        <v>1.89</v>
      </c>
      <c r="E210" s="4">
        <v>4</v>
      </c>
      <c r="F210" s="8">
        <v>0.99</v>
      </c>
      <c r="G210" s="4">
        <v>22</v>
      </c>
      <c r="H210" s="8">
        <v>2.2799999999999998</v>
      </c>
      <c r="I210" s="4">
        <v>0</v>
      </c>
    </row>
    <row r="211" spans="1:9" x14ac:dyDescent="0.2">
      <c r="A211" s="2">
        <v>9</v>
      </c>
      <c r="B211" s="1" t="s">
        <v>305</v>
      </c>
      <c r="C211" s="4">
        <v>26</v>
      </c>
      <c r="D211" s="8">
        <v>1.89</v>
      </c>
      <c r="E211" s="4">
        <v>17</v>
      </c>
      <c r="F211" s="8">
        <v>4.22</v>
      </c>
      <c r="G211" s="4">
        <v>9</v>
      </c>
      <c r="H211" s="8">
        <v>0.93</v>
      </c>
      <c r="I211" s="4">
        <v>0</v>
      </c>
    </row>
    <row r="212" spans="1:9" x14ac:dyDescent="0.2">
      <c r="A212" s="2">
        <v>12</v>
      </c>
      <c r="B212" s="1" t="s">
        <v>312</v>
      </c>
      <c r="C212" s="4">
        <v>25</v>
      </c>
      <c r="D212" s="8">
        <v>1.82</v>
      </c>
      <c r="E212" s="4">
        <v>19</v>
      </c>
      <c r="F212" s="8">
        <v>4.71</v>
      </c>
      <c r="G212" s="4">
        <v>6</v>
      </c>
      <c r="H212" s="8">
        <v>0.62</v>
      </c>
      <c r="I212" s="4">
        <v>0</v>
      </c>
    </row>
    <row r="213" spans="1:9" x14ac:dyDescent="0.2">
      <c r="A213" s="2">
        <v>13</v>
      </c>
      <c r="B213" s="1" t="s">
        <v>309</v>
      </c>
      <c r="C213" s="4">
        <v>24</v>
      </c>
      <c r="D213" s="8">
        <v>1.75</v>
      </c>
      <c r="E213" s="4">
        <v>2</v>
      </c>
      <c r="F213" s="8">
        <v>0.5</v>
      </c>
      <c r="G213" s="4">
        <v>22</v>
      </c>
      <c r="H213" s="8">
        <v>2.2799999999999998</v>
      </c>
      <c r="I213" s="4">
        <v>0</v>
      </c>
    </row>
    <row r="214" spans="1:9" x14ac:dyDescent="0.2">
      <c r="A214" s="2">
        <v>13</v>
      </c>
      <c r="B214" s="1" t="s">
        <v>298</v>
      </c>
      <c r="C214" s="4">
        <v>24</v>
      </c>
      <c r="D214" s="8">
        <v>1.75</v>
      </c>
      <c r="E214" s="4">
        <v>0</v>
      </c>
      <c r="F214" s="8">
        <v>0</v>
      </c>
      <c r="G214" s="4">
        <v>24</v>
      </c>
      <c r="H214" s="8">
        <v>2.48</v>
      </c>
      <c r="I214" s="4">
        <v>0</v>
      </c>
    </row>
    <row r="215" spans="1:9" x14ac:dyDescent="0.2">
      <c r="A215" s="2">
        <v>15</v>
      </c>
      <c r="B215" s="1" t="s">
        <v>314</v>
      </c>
      <c r="C215" s="4">
        <v>23</v>
      </c>
      <c r="D215" s="8">
        <v>1.67</v>
      </c>
      <c r="E215" s="4">
        <v>0</v>
      </c>
      <c r="F215" s="8">
        <v>0</v>
      </c>
      <c r="G215" s="4">
        <v>23</v>
      </c>
      <c r="H215" s="8">
        <v>2.38</v>
      </c>
      <c r="I215" s="4">
        <v>0</v>
      </c>
    </row>
    <row r="216" spans="1:9" x14ac:dyDescent="0.2">
      <c r="A216" s="2">
        <v>16</v>
      </c>
      <c r="B216" s="1" t="s">
        <v>325</v>
      </c>
      <c r="C216" s="4">
        <v>21</v>
      </c>
      <c r="D216" s="8">
        <v>1.53</v>
      </c>
      <c r="E216" s="4">
        <v>0</v>
      </c>
      <c r="F216" s="8">
        <v>0</v>
      </c>
      <c r="G216" s="4">
        <v>21</v>
      </c>
      <c r="H216" s="8">
        <v>2.17</v>
      </c>
      <c r="I216" s="4">
        <v>0</v>
      </c>
    </row>
    <row r="217" spans="1:9" x14ac:dyDescent="0.2">
      <c r="A217" s="2">
        <v>17</v>
      </c>
      <c r="B217" s="1" t="s">
        <v>308</v>
      </c>
      <c r="C217" s="4">
        <v>19</v>
      </c>
      <c r="D217" s="8">
        <v>1.38</v>
      </c>
      <c r="E217" s="4">
        <v>2</v>
      </c>
      <c r="F217" s="8">
        <v>0.5</v>
      </c>
      <c r="G217" s="4">
        <v>17</v>
      </c>
      <c r="H217" s="8">
        <v>1.76</v>
      </c>
      <c r="I217" s="4">
        <v>0</v>
      </c>
    </row>
    <row r="218" spans="1:9" x14ac:dyDescent="0.2">
      <c r="A218" s="2">
        <v>17</v>
      </c>
      <c r="B218" s="1" t="s">
        <v>290</v>
      </c>
      <c r="C218" s="4">
        <v>19</v>
      </c>
      <c r="D218" s="8">
        <v>1.38</v>
      </c>
      <c r="E218" s="4">
        <v>2</v>
      </c>
      <c r="F218" s="8">
        <v>0.5</v>
      </c>
      <c r="G218" s="4">
        <v>17</v>
      </c>
      <c r="H218" s="8">
        <v>1.76</v>
      </c>
      <c r="I218" s="4">
        <v>0</v>
      </c>
    </row>
    <row r="219" spans="1:9" x14ac:dyDescent="0.2">
      <c r="A219" s="2">
        <v>17</v>
      </c>
      <c r="B219" s="1" t="s">
        <v>311</v>
      </c>
      <c r="C219" s="4">
        <v>19</v>
      </c>
      <c r="D219" s="8">
        <v>1.38</v>
      </c>
      <c r="E219" s="4">
        <v>2</v>
      </c>
      <c r="F219" s="8">
        <v>0.5</v>
      </c>
      <c r="G219" s="4">
        <v>17</v>
      </c>
      <c r="H219" s="8">
        <v>1.76</v>
      </c>
      <c r="I219" s="4">
        <v>0</v>
      </c>
    </row>
    <row r="220" spans="1:9" x14ac:dyDescent="0.2">
      <c r="A220" s="2">
        <v>17</v>
      </c>
      <c r="B220" s="1" t="s">
        <v>300</v>
      </c>
      <c r="C220" s="4">
        <v>19</v>
      </c>
      <c r="D220" s="8">
        <v>1.38</v>
      </c>
      <c r="E220" s="4">
        <v>12</v>
      </c>
      <c r="F220" s="8">
        <v>2.98</v>
      </c>
      <c r="G220" s="4">
        <v>7</v>
      </c>
      <c r="H220" s="8">
        <v>0.72</v>
      </c>
      <c r="I220" s="4">
        <v>0</v>
      </c>
    </row>
    <row r="221" spans="1:9" x14ac:dyDescent="0.2">
      <c r="A221" s="1"/>
      <c r="C221" s="4"/>
      <c r="D221" s="8"/>
      <c r="E221" s="4"/>
      <c r="F221" s="8"/>
      <c r="G221" s="4"/>
      <c r="H221" s="8"/>
      <c r="I221" s="4"/>
    </row>
    <row r="222" spans="1:9" x14ac:dyDescent="0.2">
      <c r="A222" s="1" t="s">
        <v>10</v>
      </c>
      <c r="C222" s="4"/>
      <c r="D222" s="8"/>
      <c r="E222" s="4"/>
      <c r="F222" s="8"/>
      <c r="G222" s="4"/>
      <c r="H222" s="8"/>
      <c r="I222" s="4"/>
    </row>
    <row r="223" spans="1:9" x14ac:dyDescent="0.2">
      <c r="A223" s="2">
        <v>1</v>
      </c>
      <c r="B223" s="1" t="s">
        <v>304</v>
      </c>
      <c r="C223" s="4">
        <v>106</v>
      </c>
      <c r="D223" s="8">
        <v>5.58</v>
      </c>
      <c r="E223" s="4">
        <v>92</v>
      </c>
      <c r="F223" s="8">
        <v>12.2</v>
      </c>
      <c r="G223" s="4">
        <v>14</v>
      </c>
      <c r="H223" s="8">
        <v>1.23</v>
      </c>
      <c r="I223" s="4">
        <v>0</v>
      </c>
    </row>
    <row r="224" spans="1:9" x14ac:dyDescent="0.2">
      <c r="A224" s="2">
        <v>2</v>
      </c>
      <c r="B224" s="1" t="s">
        <v>297</v>
      </c>
      <c r="C224" s="4">
        <v>103</v>
      </c>
      <c r="D224" s="8">
        <v>5.43</v>
      </c>
      <c r="E224" s="4">
        <v>43</v>
      </c>
      <c r="F224" s="8">
        <v>5.7</v>
      </c>
      <c r="G224" s="4">
        <v>60</v>
      </c>
      <c r="H224" s="8">
        <v>5.26</v>
      </c>
      <c r="I224" s="4">
        <v>0</v>
      </c>
    </row>
    <row r="225" spans="1:9" x14ac:dyDescent="0.2">
      <c r="A225" s="2">
        <v>3</v>
      </c>
      <c r="B225" s="1" t="s">
        <v>303</v>
      </c>
      <c r="C225" s="4">
        <v>77</v>
      </c>
      <c r="D225" s="8">
        <v>4.0599999999999996</v>
      </c>
      <c r="E225" s="4">
        <v>72</v>
      </c>
      <c r="F225" s="8">
        <v>9.5500000000000007</v>
      </c>
      <c r="G225" s="4">
        <v>5</v>
      </c>
      <c r="H225" s="8">
        <v>0.44</v>
      </c>
      <c r="I225" s="4">
        <v>0</v>
      </c>
    </row>
    <row r="226" spans="1:9" x14ac:dyDescent="0.2">
      <c r="A226" s="2">
        <v>4</v>
      </c>
      <c r="B226" s="1" t="s">
        <v>306</v>
      </c>
      <c r="C226" s="4">
        <v>70</v>
      </c>
      <c r="D226" s="8">
        <v>3.69</v>
      </c>
      <c r="E226" s="4">
        <v>64</v>
      </c>
      <c r="F226" s="8">
        <v>8.49</v>
      </c>
      <c r="G226" s="4">
        <v>6</v>
      </c>
      <c r="H226" s="8">
        <v>0.53</v>
      </c>
      <c r="I226" s="4">
        <v>0</v>
      </c>
    </row>
    <row r="227" spans="1:9" x14ac:dyDescent="0.2">
      <c r="A227" s="2">
        <v>5</v>
      </c>
      <c r="B227" s="1" t="s">
        <v>305</v>
      </c>
      <c r="C227" s="4">
        <v>56</v>
      </c>
      <c r="D227" s="8">
        <v>2.95</v>
      </c>
      <c r="E227" s="4">
        <v>47</v>
      </c>
      <c r="F227" s="8">
        <v>6.23</v>
      </c>
      <c r="G227" s="4">
        <v>9</v>
      </c>
      <c r="H227" s="8">
        <v>0.79</v>
      </c>
      <c r="I227" s="4">
        <v>0</v>
      </c>
    </row>
    <row r="228" spans="1:9" x14ac:dyDescent="0.2">
      <c r="A228" s="2">
        <v>6</v>
      </c>
      <c r="B228" s="1" t="s">
        <v>326</v>
      </c>
      <c r="C228" s="4">
        <v>48</v>
      </c>
      <c r="D228" s="8">
        <v>2.5299999999999998</v>
      </c>
      <c r="E228" s="4">
        <v>47</v>
      </c>
      <c r="F228" s="8">
        <v>6.23</v>
      </c>
      <c r="G228" s="4">
        <v>1</v>
      </c>
      <c r="H228" s="8">
        <v>0.09</v>
      </c>
      <c r="I228" s="4">
        <v>0</v>
      </c>
    </row>
    <row r="229" spans="1:9" x14ac:dyDescent="0.2">
      <c r="A229" s="2">
        <v>7</v>
      </c>
      <c r="B229" s="1" t="s">
        <v>293</v>
      </c>
      <c r="C229" s="4">
        <v>44</v>
      </c>
      <c r="D229" s="8">
        <v>2.3199999999999998</v>
      </c>
      <c r="E229" s="4">
        <v>12</v>
      </c>
      <c r="F229" s="8">
        <v>1.59</v>
      </c>
      <c r="G229" s="4">
        <v>32</v>
      </c>
      <c r="H229" s="8">
        <v>2.81</v>
      </c>
      <c r="I229" s="4">
        <v>0</v>
      </c>
    </row>
    <row r="230" spans="1:9" x14ac:dyDescent="0.2">
      <c r="A230" s="2">
        <v>8</v>
      </c>
      <c r="B230" s="1" t="s">
        <v>319</v>
      </c>
      <c r="C230" s="4">
        <v>42</v>
      </c>
      <c r="D230" s="8">
        <v>2.21</v>
      </c>
      <c r="E230" s="4">
        <v>4</v>
      </c>
      <c r="F230" s="8">
        <v>0.53</v>
      </c>
      <c r="G230" s="4">
        <v>38</v>
      </c>
      <c r="H230" s="8">
        <v>3.33</v>
      </c>
      <c r="I230" s="4">
        <v>0</v>
      </c>
    </row>
    <row r="231" spans="1:9" x14ac:dyDescent="0.2">
      <c r="A231" s="2">
        <v>9</v>
      </c>
      <c r="B231" s="1" t="s">
        <v>299</v>
      </c>
      <c r="C231" s="4">
        <v>41</v>
      </c>
      <c r="D231" s="8">
        <v>2.16</v>
      </c>
      <c r="E231" s="4">
        <v>30</v>
      </c>
      <c r="F231" s="8">
        <v>3.98</v>
      </c>
      <c r="G231" s="4">
        <v>11</v>
      </c>
      <c r="H231" s="8">
        <v>0.96</v>
      </c>
      <c r="I231" s="4">
        <v>0</v>
      </c>
    </row>
    <row r="232" spans="1:9" x14ac:dyDescent="0.2">
      <c r="A232" s="2">
        <v>10</v>
      </c>
      <c r="B232" s="1" t="s">
        <v>290</v>
      </c>
      <c r="C232" s="4">
        <v>37</v>
      </c>
      <c r="D232" s="8">
        <v>1.95</v>
      </c>
      <c r="E232" s="4">
        <v>3</v>
      </c>
      <c r="F232" s="8">
        <v>0.4</v>
      </c>
      <c r="G232" s="4">
        <v>34</v>
      </c>
      <c r="H232" s="8">
        <v>2.98</v>
      </c>
      <c r="I232" s="4">
        <v>0</v>
      </c>
    </row>
    <row r="233" spans="1:9" x14ac:dyDescent="0.2">
      <c r="A233" s="2">
        <v>10</v>
      </c>
      <c r="B233" s="1" t="s">
        <v>291</v>
      </c>
      <c r="C233" s="4">
        <v>37</v>
      </c>
      <c r="D233" s="8">
        <v>1.95</v>
      </c>
      <c r="E233" s="4">
        <v>5</v>
      </c>
      <c r="F233" s="8">
        <v>0.66</v>
      </c>
      <c r="G233" s="4">
        <v>32</v>
      </c>
      <c r="H233" s="8">
        <v>2.81</v>
      </c>
      <c r="I233" s="4">
        <v>0</v>
      </c>
    </row>
    <row r="234" spans="1:9" x14ac:dyDescent="0.2">
      <c r="A234" s="2">
        <v>12</v>
      </c>
      <c r="B234" s="1" t="s">
        <v>301</v>
      </c>
      <c r="C234" s="4">
        <v>36</v>
      </c>
      <c r="D234" s="8">
        <v>1.9</v>
      </c>
      <c r="E234" s="4">
        <v>33</v>
      </c>
      <c r="F234" s="8">
        <v>4.38</v>
      </c>
      <c r="G234" s="4">
        <v>3</v>
      </c>
      <c r="H234" s="8">
        <v>0.26</v>
      </c>
      <c r="I234" s="4">
        <v>0</v>
      </c>
    </row>
    <row r="235" spans="1:9" x14ac:dyDescent="0.2">
      <c r="A235" s="2">
        <v>13</v>
      </c>
      <c r="B235" s="1" t="s">
        <v>294</v>
      </c>
      <c r="C235" s="4">
        <v>31</v>
      </c>
      <c r="D235" s="8">
        <v>1.63</v>
      </c>
      <c r="E235" s="4">
        <v>4</v>
      </c>
      <c r="F235" s="8">
        <v>0.53</v>
      </c>
      <c r="G235" s="4">
        <v>27</v>
      </c>
      <c r="H235" s="8">
        <v>2.37</v>
      </c>
      <c r="I235" s="4">
        <v>0</v>
      </c>
    </row>
    <row r="236" spans="1:9" x14ac:dyDescent="0.2">
      <c r="A236" s="2">
        <v>13</v>
      </c>
      <c r="B236" s="1" t="s">
        <v>327</v>
      </c>
      <c r="C236" s="4">
        <v>31</v>
      </c>
      <c r="D236" s="8">
        <v>1.63</v>
      </c>
      <c r="E236" s="4">
        <v>18</v>
      </c>
      <c r="F236" s="8">
        <v>2.39</v>
      </c>
      <c r="G236" s="4">
        <v>13</v>
      </c>
      <c r="H236" s="8">
        <v>1.1399999999999999</v>
      </c>
      <c r="I236" s="4">
        <v>0</v>
      </c>
    </row>
    <row r="237" spans="1:9" x14ac:dyDescent="0.2">
      <c r="A237" s="2">
        <v>15</v>
      </c>
      <c r="B237" s="1" t="s">
        <v>289</v>
      </c>
      <c r="C237" s="4">
        <v>30</v>
      </c>
      <c r="D237" s="8">
        <v>1.58</v>
      </c>
      <c r="E237" s="4">
        <v>4</v>
      </c>
      <c r="F237" s="8">
        <v>0.53</v>
      </c>
      <c r="G237" s="4">
        <v>26</v>
      </c>
      <c r="H237" s="8">
        <v>2.2799999999999998</v>
      </c>
      <c r="I237" s="4">
        <v>0</v>
      </c>
    </row>
    <row r="238" spans="1:9" x14ac:dyDescent="0.2">
      <c r="A238" s="2">
        <v>15</v>
      </c>
      <c r="B238" s="1" t="s">
        <v>308</v>
      </c>
      <c r="C238" s="4">
        <v>30</v>
      </c>
      <c r="D238" s="8">
        <v>1.58</v>
      </c>
      <c r="E238" s="4">
        <v>4</v>
      </c>
      <c r="F238" s="8">
        <v>0.53</v>
      </c>
      <c r="G238" s="4">
        <v>26</v>
      </c>
      <c r="H238" s="8">
        <v>2.2799999999999998</v>
      </c>
      <c r="I238" s="4">
        <v>0</v>
      </c>
    </row>
    <row r="239" spans="1:9" x14ac:dyDescent="0.2">
      <c r="A239" s="2">
        <v>17</v>
      </c>
      <c r="B239" s="1" t="s">
        <v>298</v>
      </c>
      <c r="C239" s="4">
        <v>28</v>
      </c>
      <c r="D239" s="8">
        <v>1.48</v>
      </c>
      <c r="E239" s="4">
        <v>4</v>
      </c>
      <c r="F239" s="8">
        <v>0.53</v>
      </c>
      <c r="G239" s="4">
        <v>24</v>
      </c>
      <c r="H239" s="8">
        <v>2.11</v>
      </c>
      <c r="I239" s="4">
        <v>0</v>
      </c>
    </row>
    <row r="240" spans="1:9" x14ac:dyDescent="0.2">
      <c r="A240" s="2">
        <v>17</v>
      </c>
      <c r="B240" s="1" t="s">
        <v>312</v>
      </c>
      <c r="C240" s="4">
        <v>28</v>
      </c>
      <c r="D240" s="8">
        <v>1.48</v>
      </c>
      <c r="E240" s="4">
        <v>27</v>
      </c>
      <c r="F240" s="8">
        <v>3.58</v>
      </c>
      <c r="G240" s="4">
        <v>1</v>
      </c>
      <c r="H240" s="8">
        <v>0.09</v>
      </c>
      <c r="I240" s="4">
        <v>0</v>
      </c>
    </row>
    <row r="241" spans="1:9" x14ac:dyDescent="0.2">
      <c r="A241" s="2">
        <v>19</v>
      </c>
      <c r="B241" s="1" t="s">
        <v>296</v>
      </c>
      <c r="C241" s="4">
        <v>26</v>
      </c>
      <c r="D241" s="8">
        <v>1.37</v>
      </c>
      <c r="E241" s="4">
        <v>2</v>
      </c>
      <c r="F241" s="8">
        <v>0.27</v>
      </c>
      <c r="G241" s="4">
        <v>24</v>
      </c>
      <c r="H241" s="8">
        <v>2.11</v>
      </c>
      <c r="I241" s="4">
        <v>0</v>
      </c>
    </row>
    <row r="242" spans="1:9" x14ac:dyDescent="0.2">
      <c r="A242" s="2">
        <v>20</v>
      </c>
      <c r="B242" s="1" t="s">
        <v>325</v>
      </c>
      <c r="C242" s="4">
        <v>25</v>
      </c>
      <c r="D242" s="8">
        <v>1.32</v>
      </c>
      <c r="E242" s="4">
        <v>0</v>
      </c>
      <c r="F242" s="8">
        <v>0</v>
      </c>
      <c r="G242" s="4">
        <v>25</v>
      </c>
      <c r="H242" s="8">
        <v>2.19</v>
      </c>
      <c r="I242" s="4">
        <v>0</v>
      </c>
    </row>
    <row r="243" spans="1:9" x14ac:dyDescent="0.2">
      <c r="A243" s="2">
        <v>20</v>
      </c>
      <c r="B243" s="1" t="s">
        <v>323</v>
      </c>
      <c r="C243" s="4">
        <v>25</v>
      </c>
      <c r="D243" s="8">
        <v>1.32</v>
      </c>
      <c r="E243" s="4">
        <v>7</v>
      </c>
      <c r="F243" s="8">
        <v>0.93</v>
      </c>
      <c r="G243" s="4">
        <v>18</v>
      </c>
      <c r="H243" s="8">
        <v>1.58</v>
      </c>
      <c r="I243" s="4">
        <v>0</v>
      </c>
    </row>
    <row r="244" spans="1:9" x14ac:dyDescent="0.2">
      <c r="A244" s="1"/>
      <c r="C244" s="4"/>
      <c r="D244" s="8"/>
      <c r="E244" s="4"/>
      <c r="F244" s="8"/>
      <c r="G244" s="4"/>
      <c r="H244" s="8"/>
      <c r="I244" s="4"/>
    </row>
    <row r="245" spans="1:9" x14ac:dyDescent="0.2">
      <c r="A245" s="1" t="s">
        <v>11</v>
      </c>
      <c r="C245" s="4"/>
      <c r="D245" s="8"/>
      <c r="E245" s="4"/>
      <c r="F245" s="8"/>
      <c r="G245" s="4"/>
      <c r="H245" s="8"/>
      <c r="I245" s="4"/>
    </row>
    <row r="246" spans="1:9" x14ac:dyDescent="0.2">
      <c r="A246" s="2">
        <v>1</v>
      </c>
      <c r="B246" s="1" t="s">
        <v>297</v>
      </c>
      <c r="C246" s="4">
        <v>87</v>
      </c>
      <c r="D246" s="8">
        <v>5.32</v>
      </c>
      <c r="E246" s="4">
        <v>29</v>
      </c>
      <c r="F246" s="8">
        <v>5.03</v>
      </c>
      <c r="G246" s="4">
        <v>58</v>
      </c>
      <c r="H246" s="8">
        <v>5.5</v>
      </c>
      <c r="I246" s="4">
        <v>0</v>
      </c>
    </row>
    <row r="247" spans="1:9" x14ac:dyDescent="0.2">
      <c r="A247" s="2">
        <v>2</v>
      </c>
      <c r="B247" s="1" t="s">
        <v>304</v>
      </c>
      <c r="C247" s="4">
        <v>86</v>
      </c>
      <c r="D247" s="8">
        <v>5.26</v>
      </c>
      <c r="E247" s="4">
        <v>66</v>
      </c>
      <c r="F247" s="8">
        <v>11.44</v>
      </c>
      <c r="G247" s="4">
        <v>20</v>
      </c>
      <c r="H247" s="8">
        <v>1.9</v>
      </c>
      <c r="I247" s="4">
        <v>0</v>
      </c>
    </row>
    <row r="248" spans="1:9" x14ac:dyDescent="0.2">
      <c r="A248" s="2">
        <v>3</v>
      </c>
      <c r="B248" s="1" t="s">
        <v>303</v>
      </c>
      <c r="C248" s="4">
        <v>60</v>
      </c>
      <c r="D248" s="8">
        <v>3.67</v>
      </c>
      <c r="E248" s="4">
        <v>54</v>
      </c>
      <c r="F248" s="8">
        <v>9.36</v>
      </c>
      <c r="G248" s="4">
        <v>6</v>
      </c>
      <c r="H248" s="8">
        <v>0.56999999999999995</v>
      </c>
      <c r="I248" s="4">
        <v>0</v>
      </c>
    </row>
    <row r="249" spans="1:9" x14ac:dyDescent="0.2">
      <c r="A249" s="2">
        <v>4</v>
      </c>
      <c r="B249" s="1" t="s">
        <v>305</v>
      </c>
      <c r="C249" s="4">
        <v>48</v>
      </c>
      <c r="D249" s="8">
        <v>2.94</v>
      </c>
      <c r="E249" s="4">
        <v>39</v>
      </c>
      <c r="F249" s="8">
        <v>6.76</v>
      </c>
      <c r="G249" s="4">
        <v>9</v>
      </c>
      <c r="H249" s="8">
        <v>0.85</v>
      </c>
      <c r="I249" s="4">
        <v>0</v>
      </c>
    </row>
    <row r="250" spans="1:9" x14ac:dyDescent="0.2">
      <c r="A250" s="2">
        <v>5</v>
      </c>
      <c r="B250" s="1" t="s">
        <v>293</v>
      </c>
      <c r="C250" s="4">
        <v>45</v>
      </c>
      <c r="D250" s="8">
        <v>2.75</v>
      </c>
      <c r="E250" s="4">
        <v>6</v>
      </c>
      <c r="F250" s="8">
        <v>1.04</v>
      </c>
      <c r="G250" s="4">
        <v>39</v>
      </c>
      <c r="H250" s="8">
        <v>3.7</v>
      </c>
      <c r="I250" s="4">
        <v>0</v>
      </c>
    </row>
    <row r="251" spans="1:9" x14ac:dyDescent="0.2">
      <c r="A251" s="2">
        <v>6</v>
      </c>
      <c r="B251" s="1" t="s">
        <v>306</v>
      </c>
      <c r="C251" s="4">
        <v>44</v>
      </c>
      <c r="D251" s="8">
        <v>2.69</v>
      </c>
      <c r="E251" s="4">
        <v>34</v>
      </c>
      <c r="F251" s="8">
        <v>5.89</v>
      </c>
      <c r="G251" s="4">
        <v>10</v>
      </c>
      <c r="H251" s="8">
        <v>0.95</v>
      </c>
      <c r="I251" s="4">
        <v>0</v>
      </c>
    </row>
    <row r="252" spans="1:9" x14ac:dyDescent="0.2">
      <c r="A252" s="2">
        <v>7</v>
      </c>
      <c r="B252" s="1" t="s">
        <v>326</v>
      </c>
      <c r="C252" s="4">
        <v>42</v>
      </c>
      <c r="D252" s="8">
        <v>2.57</v>
      </c>
      <c r="E252" s="4">
        <v>41</v>
      </c>
      <c r="F252" s="8">
        <v>7.11</v>
      </c>
      <c r="G252" s="4">
        <v>1</v>
      </c>
      <c r="H252" s="8">
        <v>0.09</v>
      </c>
      <c r="I252" s="4">
        <v>0</v>
      </c>
    </row>
    <row r="253" spans="1:9" x14ac:dyDescent="0.2">
      <c r="A253" s="2">
        <v>8</v>
      </c>
      <c r="B253" s="1" t="s">
        <v>296</v>
      </c>
      <c r="C253" s="4">
        <v>39</v>
      </c>
      <c r="D253" s="8">
        <v>2.39</v>
      </c>
      <c r="E253" s="4">
        <v>1</v>
      </c>
      <c r="F253" s="8">
        <v>0.17</v>
      </c>
      <c r="G253" s="4">
        <v>38</v>
      </c>
      <c r="H253" s="8">
        <v>3.6</v>
      </c>
      <c r="I253" s="4">
        <v>0</v>
      </c>
    </row>
    <row r="254" spans="1:9" x14ac:dyDescent="0.2">
      <c r="A254" s="2">
        <v>9</v>
      </c>
      <c r="B254" s="1" t="s">
        <v>290</v>
      </c>
      <c r="C254" s="4">
        <v>38</v>
      </c>
      <c r="D254" s="8">
        <v>2.3199999999999998</v>
      </c>
      <c r="E254" s="4">
        <v>4</v>
      </c>
      <c r="F254" s="8">
        <v>0.69</v>
      </c>
      <c r="G254" s="4">
        <v>34</v>
      </c>
      <c r="H254" s="8">
        <v>3.22</v>
      </c>
      <c r="I254" s="4">
        <v>0</v>
      </c>
    </row>
    <row r="255" spans="1:9" x14ac:dyDescent="0.2">
      <c r="A255" s="2">
        <v>10</v>
      </c>
      <c r="B255" s="1" t="s">
        <v>299</v>
      </c>
      <c r="C255" s="4">
        <v>36</v>
      </c>
      <c r="D255" s="8">
        <v>2.2000000000000002</v>
      </c>
      <c r="E255" s="4">
        <v>25</v>
      </c>
      <c r="F255" s="8">
        <v>4.33</v>
      </c>
      <c r="G255" s="4">
        <v>11</v>
      </c>
      <c r="H255" s="8">
        <v>1.04</v>
      </c>
      <c r="I255" s="4">
        <v>0</v>
      </c>
    </row>
    <row r="256" spans="1:9" x14ac:dyDescent="0.2">
      <c r="A256" s="2">
        <v>11</v>
      </c>
      <c r="B256" s="1" t="s">
        <v>288</v>
      </c>
      <c r="C256" s="4">
        <v>35</v>
      </c>
      <c r="D256" s="8">
        <v>2.14</v>
      </c>
      <c r="E256" s="4">
        <v>1</v>
      </c>
      <c r="F256" s="8">
        <v>0.17</v>
      </c>
      <c r="G256" s="4">
        <v>34</v>
      </c>
      <c r="H256" s="8">
        <v>3.22</v>
      </c>
      <c r="I256" s="4">
        <v>0</v>
      </c>
    </row>
    <row r="257" spans="1:9" x14ac:dyDescent="0.2">
      <c r="A257" s="2">
        <v>11</v>
      </c>
      <c r="B257" s="1" t="s">
        <v>291</v>
      </c>
      <c r="C257" s="4">
        <v>35</v>
      </c>
      <c r="D257" s="8">
        <v>2.14</v>
      </c>
      <c r="E257" s="4">
        <v>4</v>
      </c>
      <c r="F257" s="8">
        <v>0.69</v>
      </c>
      <c r="G257" s="4">
        <v>31</v>
      </c>
      <c r="H257" s="8">
        <v>2.94</v>
      </c>
      <c r="I257" s="4">
        <v>0</v>
      </c>
    </row>
    <row r="258" spans="1:9" x14ac:dyDescent="0.2">
      <c r="A258" s="2">
        <v>13</v>
      </c>
      <c r="B258" s="1" t="s">
        <v>298</v>
      </c>
      <c r="C258" s="4">
        <v>32</v>
      </c>
      <c r="D258" s="8">
        <v>1.96</v>
      </c>
      <c r="E258" s="4">
        <v>4</v>
      </c>
      <c r="F258" s="8">
        <v>0.69</v>
      </c>
      <c r="G258" s="4">
        <v>28</v>
      </c>
      <c r="H258" s="8">
        <v>2.65</v>
      </c>
      <c r="I258" s="4">
        <v>0</v>
      </c>
    </row>
    <row r="259" spans="1:9" x14ac:dyDescent="0.2">
      <c r="A259" s="2">
        <v>14</v>
      </c>
      <c r="B259" s="1" t="s">
        <v>319</v>
      </c>
      <c r="C259" s="4">
        <v>29</v>
      </c>
      <c r="D259" s="8">
        <v>1.77</v>
      </c>
      <c r="E259" s="4">
        <v>0</v>
      </c>
      <c r="F259" s="8">
        <v>0</v>
      </c>
      <c r="G259" s="4">
        <v>29</v>
      </c>
      <c r="H259" s="8">
        <v>2.75</v>
      </c>
      <c r="I259" s="4">
        <v>0</v>
      </c>
    </row>
    <row r="260" spans="1:9" x14ac:dyDescent="0.2">
      <c r="A260" s="2">
        <v>15</v>
      </c>
      <c r="B260" s="1" t="s">
        <v>295</v>
      </c>
      <c r="C260" s="4">
        <v>28</v>
      </c>
      <c r="D260" s="8">
        <v>1.71</v>
      </c>
      <c r="E260" s="4">
        <v>4</v>
      </c>
      <c r="F260" s="8">
        <v>0.69</v>
      </c>
      <c r="G260" s="4">
        <v>24</v>
      </c>
      <c r="H260" s="8">
        <v>2.27</v>
      </c>
      <c r="I260" s="4">
        <v>0</v>
      </c>
    </row>
    <row r="261" spans="1:9" x14ac:dyDescent="0.2">
      <c r="A261" s="2">
        <v>15</v>
      </c>
      <c r="B261" s="1" t="s">
        <v>327</v>
      </c>
      <c r="C261" s="4">
        <v>28</v>
      </c>
      <c r="D261" s="8">
        <v>1.71</v>
      </c>
      <c r="E261" s="4">
        <v>17</v>
      </c>
      <c r="F261" s="8">
        <v>2.95</v>
      </c>
      <c r="G261" s="4">
        <v>11</v>
      </c>
      <c r="H261" s="8">
        <v>1.04</v>
      </c>
      <c r="I261" s="4">
        <v>0</v>
      </c>
    </row>
    <row r="262" spans="1:9" x14ac:dyDescent="0.2">
      <c r="A262" s="2">
        <v>17</v>
      </c>
      <c r="B262" s="1" t="s">
        <v>308</v>
      </c>
      <c r="C262" s="4">
        <v>26</v>
      </c>
      <c r="D262" s="8">
        <v>1.59</v>
      </c>
      <c r="E262" s="4">
        <v>2</v>
      </c>
      <c r="F262" s="8">
        <v>0.35</v>
      </c>
      <c r="G262" s="4">
        <v>24</v>
      </c>
      <c r="H262" s="8">
        <v>2.27</v>
      </c>
      <c r="I262" s="4">
        <v>0</v>
      </c>
    </row>
    <row r="263" spans="1:9" x14ac:dyDescent="0.2">
      <c r="A263" s="2">
        <v>18</v>
      </c>
      <c r="B263" s="1" t="s">
        <v>300</v>
      </c>
      <c r="C263" s="4">
        <v>25</v>
      </c>
      <c r="D263" s="8">
        <v>1.53</v>
      </c>
      <c r="E263" s="4">
        <v>25</v>
      </c>
      <c r="F263" s="8">
        <v>4.33</v>
      </c>
      <c r="G263" s="4">
        <v>0</v>
      </c>
      <c r="H263" s="8">
        <v>0</v>
      </c>
      <c r="I263" s="4">
        <v>0</v>
      </c>
    </row>
    <row r="264" spans="1:9" x14ac:dyDescent="0.2">
      <c r="A264" s="2">
        <v>19</v>
      </c>
      <c r="B264" s="1" t="s">
        <v>328</v>
      </c>
      <c r="C264" s="4">
        <v>24</v>
      </c>
      <c r="D264" s="8">
        <v>1.47</v>
      </c>
      <c r="E264" s="4">
        <v>2</v>
      </c>
      <c r="F264" s="8">
        <v>0.35</v>
      </c>
      <c r="G264" s="4">
        <v>22</v>
      </c>
      <c r="H264" s="8">
        <v>2.09</v>
      </c>
      <c r="I264" s="4">
        <v>0</v>
      </c>
    </row>
    <row r="265" spans="1:9" x14ac:dyDescent="0.2">
      <c r="A265" s="2">
        <v>20</v>
      </c>
      <c r="B265" s="1" t="s">
        <v>307</v>
      </c>
      <c r="C265" s="4">
        <v>21</v>
      </c>
      <c r="D265" s="8">
        <v>1.28</v>
      </c>
      <c r="E265" s="4">
        <v>4</v>
      </c>
      <c r="F265" s="8">
        <v>0.69</v>
      </c>
      <c r="G265" s="4">
        <v>17</v>
      </c>
      <c r="H265" s="8">
        <v>1.61</v>
      </c>
      <c r="I265" s="4">
        <v>0</v>
      </c>
    </row>
    <row r="266" spans="1:9" x14ac:dyDescent="0.2">
      <c r="A266" s="1"/>
      <c r="C266" s="4"/>
      <c r="D266" s="8"/>
      <c r="E266" s="4"/>
      <c r="F266" s="8"/>
      <c r="G266" s="4"/>
      <c r="H266" s="8"/>
      <c r="I266" s="4"/>
    </row>
    <row r="267" spans="1:9" x14ac:dyDescent="0.2">
      <c r="A267" s="1" t="s">
        <v>12</v>
      </c>
      <c r="C267" s="4"/>
      <c r="D267" s="8"/>
      <c r="E267" s="4"/>
      <c r="F267" s="8"/>
      <c r="G267" s="4"/>
      <c r="H267" s="8"/>
      <c r="I267" s="4"/>
    </row>
    <row r="268" spans="1:9" x14ac:dyDescent="0.2">
      <c r="A268" s="2">
        <v>1</v>
      </c>
      <c r="B268" s="1" t="s">
        <v>304</v>
      </c>
      <c r="C268" s="4">
        <v>420</v>
      </c>
      <c r="D268" s="8">
        <v>6.28</v>
      </c>
      <c r="E268" s="4">
        <v>389</v>
      </c>
      <c r="F268" s="8">
        <v>12.21</v>
      </c>
      <c r="G268" s="4">
        <v>31</v>
      </c>
      <c r="H268" s="8">
        <v>0.89</v>
      </c>
      <c r="I268" s="4">
        <v>0</v>
      </c>
    </row>
    <row r="269" spans="1:9" x14ac:dyDescent="0.2">
      <c r="A269" s="2">
        <v>2</v>
      </c>
      <c r="B269" s="1" t="s">
        <v>297</v>
      </c>
      <c r="C269" s="4">
        <v>415</v>
      </c>
      <c r="D269" s="8">
        <v>6.21</v>
      </c>
      <c r="E269" s="4">
        <v>255</v>
      </c>
      <c r="F269" s="8">
        <v>8.01</v>
      </c>
      <c r="G269" s="4">
        <v>159</v>
      </c>
      <c r="H269" s="8">
        <v>4.59</v>
      </c>
      <c r="I269" s="4">
        <v>0</v>
      </c>
    </row>
    <row r="270" spans="1:9" x14ac:dyDescent="0.2">
      <c r="A270" s="2">
        <v>3</v>
      </c>
      <c r="B270" s="1" t="s">
        <v>303</v>
      </c>
      <c r="C270" s="4">
        <v>240</v>
      </c>
      <c r="D270" s="8">
        <v>3.59</v>
      </c>
      <c r="E270" s="4">
        <v>216</v>
      </c>
      <c r="F270" s="8">
        <v>6.78</v>
      </c>
      <c r="G270" s="4">
        <v>24</v>
      </c>
      <c r="H270" s="8">
        <v>0.69</v>
      </c>
      <c r="I270" s="4">
        <v>0</v>
      </c>
    </row>
    <row r="271" spans="1:9" x14ac:dyDescent="0.2">
      <c r="A271" s="2">
        <v>4</v>
      </c>
      <c r="B271" s="1" t="s">
        <v>301</v>
      </c>
      <c r="C271" s="4">
        <v>219</v>
      </c>
      <c r="D271" s="8">
        <v>3.27</v>
      </c>
      <c r="E271" s="4">
        <v>198</v>
      </c>
      <c r="F271" s="8">
        <v>6.22</v>
      </c>
      <c r="G271" s="4">
        <v>21</v>
      </c>
      <c r="H271" s="8">
        <v>0.61</v>
      </c>
      <c r="I271" s="4">
        <v>0</v>
      </c>
    </row>
    <row r="272" spans="1:9" x14ac:dyDescent="0.2">
      <c r="A272" s="2">
        <v>5</v>
      </c>
      <c r="B272" s="1" t="s">
        <v>299</v>
      </c>
      <c r="C272" s="4">
        <v>193</v>
      </c>
      <c r="D272" s="8">
        <v>2.89</v>
      </c>
      <c r="E272" s="4">
        <v>140</v>
      </c>
      <c r="F272" s="8">
        <v>4.4000000000000004</v>
      </c>
      <c r="G272" s="4">
        <v>53</v>
      </c>
      <c r="H272" s="8">
        <v>1.53</v>
      </c>
      <c r="I272" s="4">
        <v>0</v>
      </c>
    </row>
    <row r="273" spans="1:9" x14ac:dyDescent="0.2">
      <c r="A273" s="2">
        <v>6</v>
      </c>
      <c r="B273" s="1" t="s">
        <v>306</v>
      </c>
      <c r="C273" s="4">
        <v>146</v>
      </c>
      <c r="D273" s="8">
        <v>2.1800000000000002</v>
      </c>
      <c r="E273" s="4">
        <v>129</v>
      </c>
      <c r="F273" s="8">
        <v>4.05</v>
      </c>
      <c r="G273" s="4">
        <v>17</v>
      </c>
      <c r="H273" s="8">
        <v>0.49</v>
      </c>
      <c r="I273" s="4">
        <v>0</v>
      </c>
    </row>
    <row r="274" spans="1:9" x14ac:dyDescent="0.2">
      <c r="A274" s="2">
        <v>7</v>
      </c>
      <c r="B274" s="1" t="s">
        <v>295</v>
      </c>
      <c r="C274" s="4">
        <v>144</v>
      </c>
      <c r="D274" s="8">
        <v>2.15</v>
      </c>
      <c r="E274" s="4">
        <v>75</v>
      </c>
      <c r="F274" s="8">
        <v>2.35</v>
      </c>
      <c r="G274" s="4">
        <v>69</v>
      </c>
      <c r="H274" s="8">
        <v>1.99</v>
      </c>
      <c r="I274" s="4">
        <v>0</v>
      </c>
    </row>
    <row r="275" spans="1:9" x14ac:dyDescent="0.2">
      <c r="A275" s="2">
        <v>8</v>
      </c>
      <c r="B275" s="1" t="s">
        <v>300</v>
      </c>
      <c r="C275" s="4">
        <v>141</v>
      </c>
      <c r="D275" s="8">
        <v>2.11</v>
      </c>
      <c r="E275" s="4">
        <v>126</v>
      </c>
      <c r="F275" s="8">
        <v>3.96</v>
      </c>
      <c r="G275" s="4">
        <v>15</v>
      </c>
      <c r="H275" s="8">
        <v>0.43</v>
      </c>
      <c r="I275" s="4">
        <v>0</v>
      </c>
    </row>
    <row r="276" spans="1:9" x14ac:dyDescent="0.2">
      <c r="A276" s="2">
        <v>9</v>
      </c>
      <c r="B276" s="1" t="s">
        <v>292</v>
      </c>
      <c r="C276" s="4">
        <v>136</v>
      </c>
      <c r="D276" s="8">
        <v>2.0299999999999998</v>
      </c>
      <c r="E276" s="4">
        <v>68</v>
      </c>
      <c r="F276" s="8">
        <v>2.14</v>
      </c>
      <c r="G276" s="4">
        <v>68</v>
      </c>
      <c r="H276" s="8">
        <v>1.96</v>
      </c>
      <c r="I276" s="4">
        <v>0</v>
      </c>
    </row>
    <row r="277" spans="1:9" x14ac:dyDescent="0.2">
      <c r="A277" s="2">
        <v>10</v>
      </c>
      <c r="B277" s="1" t="s">
        <v>302</v>
      </c>
      <c r="C277" s="4">
        <v>132</v>
      </c>
      <c r="D277" s="8">
        <v>1.97</v>
      </c>
      <c r="E277" s="4">
        <v>110</v>
      </c>
      <c r="F277" s="8">
        <v>3.45</v>
      </c>
      <c r="G277" s="4">
        <v>22</v>
      </c>
      <c r="H277" s="8">
        <v>0.63</v>
      </c>
      <c r="I277" s="4">
        <v>0</v>
      </c>
    </row>
    <row r="278" spans="1:9" x14ac:dyDescent="0.2">
      <c r="A278" s="2">
        <v>11</v>
      </c>
      <c r="B278" s="1" t="s">
        <v>305</v>
      </c>
      <c r="C278" s="4">
        <v>126</v>
      </c>
      <c r="D278" s="8">
        <v>1.88</v>
      </c>
      <c r="E278" s="4">
        <v>105</v>
      </c>
      <c r="F278" s="8">
        <v>3.3</v>
      </c>
      <c r="G278" s="4">
        <v>21</v>
      </c>
      <c r="H278" s="8">
        <v>0.61</v>
      </c>
      <c r="I278" s="4">
        <v>0</v>
      </c>
    </row>
    <row r="279" spans="1:9" x14ac:dyDescent="0.2">
      <c r="A279" s="2">
        <v>12</v>
      </c>
      <c r="B279" s="1" t="s">
        <v>294</v>
      </c>
      <c r="C279" s="4">
        <v>110</v>
      </c>
      <c r="D279" s="8">
        <v>1.64</v>
      </c>
      <c r="E279" s="4">
        <v>27</v>
      </c>
      <c r="F279" s="8">
        <v>0.85</v>
      </c>
      <c r="G279" s="4">
        <v>83</v>
      </c>
      <c r="H279" s="8">
        <v>2.39</v>
      </c>
      <c r="I279" s="4">
        <v>0</v>
      </c>
    </row>
    <row r="280" spans="1:9" x14ac:dyDescent="0.2">
      <c r="A280" s="2">
        <v>13</v>
      </c>
      <c r="B280" s="1" t="s">
        <v>288</v>
      </c>
      <c r="C280" s="4">
        <v>104</v>
      </c>
      <c r="D280" s="8">
        <v>1.56</v>
      </c>
      <c r="E280" s="4">
        <v>3</v>
      </c>
      <c r="F280" s="8">
        <v>0.09</v>
      </c>
      <c r="G280" s="4">
        <v>101</v>
      </c>
      <c r="H280" s="8">
        <v>2.91</v>
      </c>
      <c r="I280" s="4">
        <v>0</v>
      </c>
    </row>
    <row r="281" spans="1:9" x14ac:dyDescent="0.2">
      <c r="A281" s="2">
        <v>14</v>
      </c>
      <c r="B281" s="1" t="s">
        <v>291</v>
      </c>
      <c r="C281" s="4">
        <v>103</v>
      </c>
      <c r="D281" s="8">
        <v>1.54</v>
      </c>
      <c r="E281" s="4">
        <v>17</v>
      </c>
      <c r="F281" s="8">
        <v>0.53</v>
      </c>
      <c r="G281" s="4">
        <v>86</v>
      </c>
      <c r="H281" s="8">
        <v>2.48</v>
      </c>
      <c r="I281" s="4">
        <v>0</v>
      </c>
    </row>
    <row r="282" spans="1:9" x14ac:dyDescent="0.2">
      <c r="A282" s="2">
        <v>15</v>
      </c>
      <c r="B282" s="1" t="s">
        <v>329</v>
      </c>
      <c r="C282" s="4">
        <v>101</v>
      </c>
      <c r="D282" s="8">
        <v>1.51</v>
      </c>
      <c r="E282" s="4">
        <v>53</v>
      </c>
      <c r="F282" s="8">
        <v>1.66</v>
      </c>
      <c r="G282" s="4">
        <v>48</v>
      </c>
      <c r="H282" s="8">
        <v>1.38</v>
      </c>
      <c r="I282" s="4">
        <v>0</v>
      </c>
    </row>
    <row r="283" spans="1:9" x14ac:dyDescent="0.2">
      <c r="A283" s="2">
        <v>16</v>
      </c>
      <c r="B283" s="1" t="s">
        <v>328</v>
      </c>
      <c r="C283" s="4">
        <v>100</v>
      </c>
      <c r="D283" s="8">
        <v>1.5</v>
      </c>
      <c r="E283" s="4">
        <v>31</v>
      </c>
      <c r="F283" s="8">
        <v>0.97</v>
      </c>
      <c r="G283" s="4">
        <v>69</v>
      </c>
      <c r="H283" s="8">
        <v>1.99</v>
      </c>
      <c r="I283" s="4">
        <v>0</v>
      </c>
    </row>
    <row r="284" spans="1:9" x14ac:dyDescent="0.2">
      <c r="A284" s="2">
        <v>16</v>
      </c>
      <c r="B284" s="1" t="s">
        <v>293</v>
      </c>
      <c r="C284" s="4">
        <v>100</v>
      </c>
      <c r="D284" s="8">
        <v>1.5</v>
      </c>
      <c r="E284" s="4">
        <v>33</v>
      </c>
      <c r="F284" s="8">
        <v>1.04</v>
      </c>
      <c r="G284" s="4">
        <v>67</v>
      </c>
      <c r="H284" s="8">
        <v>1.93</v>
      </c>
      <c r="I284" s="4">
        <v>0</v>
      </c>
    </row>
    <row r="285" spans="1:9" x14ac:dyDescent="0.2">
      <c r="A285" s="2">
        <v>18</v>
      </c>
      <c r="B285" s="1" t="s">
        <v>307</v>
      </c>
      <c r="C285" s="4">
        <v>99</v>
      </c>
      <c r="D285" s="8">
        <v>1.48</v>
      </c>
      <c r="E285" s="4">
        <v>55</v>
      </c>
      <c r="F285" s="8">
        <v>1.73</v>
      </c>
      <c r="G285" s="4">
        <v>44</v>
      </c>
      <c r="H285" s="8">
        <v>1.27</v>
      </c>
      <c r="I285" s="4">
        <v>0</v>
      </c>
    </row>
    <row r="286" spans="1:9" x14ac:dyDescent="0.2">
      <c r="A286" s="2">
        <v>19</v>
      </c>
      <c r="B286" s="1" t="s">
        <v>289</v>
      </c>
      <c r="C286" s="4">
        <v>90</v>
      </c>
      <c r="D286" s="8">
        <v>1.35</v>
      </c>
      <c r="E286" s="4">
        <v>13</v>
      </c>
      <c r="F286" s="8">
        <v>0.41</v>
      </c>
      <c r="G286" s="4">
        <v>77</v>
      </c>
      <c r="H286" s="8">
        <v>2.2200000000000002</v>
      </c>
      <c r="I286" s="4">
        <v>0</v>
      </c>
    </row>
    <row r="287" spans="1:9" x14ac:dyDescent="0.2">
      <c r="A287" s="2">
        <v>20</v>
      </c>
      <c r="B287" s="1" t="s">
        <v>298</v>
      </c>
      <c r="C287" s="4">
        <v>89</v>
      </c>
      <c r="D287" s="8">
        <v>1.33</v>
      </c>
      <c r="E287" s="4">
        <v>21</v>
      </c>
      <c r="F287" s="8">
        <v>0.66</v>
      </c>
      <c r="G287" s="4">
        <v>68</v>
      </c>
      <c r="H287" s="8">
        <v>1.96</v>
      </c>
      <c r="I287" s="4">
        <v>0</v>
      </c>
    </row>
    <row r="288" spans="1:9" x14ac:dyDescent="0.2">
      <c r="A288" s="1"/>
      <c r="C288" s="4"/>
      <c r="D288" s="8"/>
      <c r="E288" s="4"/>
      <c r="F288" s="8"/>
      <c r="G288" s="4"/>
      <c r="H288" s="8"/>
      <c r="I288" s="4"/>
    </row>
    <row r="289" spans="1:9" x14ac:dyDescent="0.2">
      <c r="A289" s="1" t="s">
        <v>13</v>
      </c>
      <c r="C289" s="4"/>
      <c r="D289" s="8"/>
      <c r="E289" s="4"/>
      <c r="F289" s="8"/>
      <c r="G289" s="4"/>
      <c r="H289" s="8"/>
      <c r="I289" s="4"/>
    </row>
    <row r="290" spans="1:9" x14ac:dyDescent="0.2">
      <c r="A290" s="2">
        <v>1</v>
      </c>
      <c r="B290" s="1" t="s">
        <v>304</v>
      </c>
      <c r="C290" s="4">
        <v>171</v>
      </c>
      <c r="D290" s="8">
        <v>5.78</v>
      </c>
      <c r="E290" s="4">
        <v>158</v>
      </c>
      <c r="F290" s="8">
        <v>12.04</v>
      </c>
      <c r="G290" s="4">
        <v>13</v>
      </c>
      <c r="H290" s="8">
        <v>0.8</v>
      </c>
      <c r="I290" s="4">
        <v>0</v>
      </c>
    </row>
    <row r="291" spans="1:9" x14ac:dyDescent="0.2">
      <c r="A291" s="2">
        <v>2</v>
      </c>
      <c r="B291" s="1" t="s">
        <v>301</v>
      </c>
      <c r="C291" s="4">
        <v>123</v>
      </c>
      <c r="D291" s="8">
        <v>4.16</v>
      </c>
      <c r="E291" s="4">
        <v>114</v>
      </c>
      <c r="F291" s="8">
        <v>8.69</v>
      </c>
      <c r="G291" s="4">
        <v>9</v>
      </c>
      <c r="H291" s="8">
        <v>0.55000000000000004</v>
      </c>
      <c r="I291" s="4">
        <v>0</v>
      </c>
    </row>
    <row r="292" spans="1:9" x14ac:dyDescent="0.2">
      <c r="A292" s="2">
        <v>3</v>
      </c>
      <c r="B292" s="1" t="s">
        <v>303</v>
      </c>
      <c r="C292" s="4">
        <v>98</v>
      </c>
      <c r="D292" s="8">
        <v>3.32</v>
      </c>
      <c r="E292" s="4">
        <v>90</v>
      </c>
      <c r="F292" s="8">
        <v>6.86</v>
      </c>
      <c r="G292" s="4">
        <v>8</v>
      </c>
      <c r="H292" s="8">
        <v>0.49</v>
      </c>
      <c r="I292" s="4">
        <v>0</v>
      </c>
    </row>
    <row r="293" spans="1:9" x14ac:dyDescent="0.2">
      <c r="A293" s="2">
        <v>4</v>
      </c>
      <c r="B293" s="1" t="s">
        <v>299</v>
      </c>
      <c r="C293" s="4">
        <v>96</v>
      </c>
      <c r="D293" s="8">
        <v>3.25</v>
      </c>
      <c r="E293" s="4">
        <v>68</v>
      </c>
      <c r="F293" s="8">
        <v>5.18</v>
      </c>
      <c r="G293" s="4">
        <v>28</v>
      </c>
      <c r="H293" s="8">
        <v>1.72</v>
      </c>
      <c r="I293" s="4">
        <v>0</v>
      </c>
    </row>
    <row r="294" spans="1:9" x14ac:dyDescent="0.2">
      <c r="A294" s="2">
        <v>5</v>
      </c>
      <c r="B294" s="1" t="s">
        <v>300</v>
      </c>
      <c r="C294" s="4">
        <v>89</v>
      </c>
      <c r="D294" s="8">
        <v>3.01</v>
      </c>
      <c r="E294" s="4">
        <v>79</v>
      </c>
      <c r="F294" s="8">
        <v>6.02</v>
      </c>
      <c r="G294" s="4">
        <v>10</v>
      </c>
      <c r="H294" s="8">
        <v>0.61</v>
      </c>
      <c r="I294" s="4">
        <v>0</v>
      </c>
    </row>
    <row r="295" spans="1:9" x14ac:dyDescent="0.2">
      <c r="A295" s="2">
        <v>6</v>
      </c>
      <c r="B295" s="1" t="s">
        <v>292</v>
      </c>
      <c r="C295" s="4">
        <v>81</v>
      </c>
      <c r="D295" s="8">
        <v>2.74</v>
      </c>
      <c r="E295" s="4">
        <v>37</v>
      </c>
      <c r="F295" s="8">
        <v>2.82</v>
      </c>
      <c r="G295" s="4">
        <v>43</v>
      </c>
      <c r="H295" s="8">
        <v>2.64</v>
      </c>
      <c r="I295" s="4">
        <v>1</v>
      </c>
    </row>
    <row r="296" spans="1:9" x14ac:dyDescent="0.2">
      <c r="A296" s="2">
        <v>7</v>
      </c>
      <c r="B296" s="1" t="s">
        <v>306</v>
      </c>
      <c r="C296" s="4">
        <v>80</v>
      </c>
      <c r="D296" s="8">
        <v>2.71</v>
      </c>
      <c r="E296" s="4">
        <v>71</v>
      </c>
      <c r="F296" s="8">
        <v>5.41</v>
      </c>
      <c r="G296" s="4">
        <v>9</v>
      </c>
      <c r="H296" s="8">
        <v>0.55000000000000004</v>
      </c>
      <c r="I296" s="4">
        <v>0</v>
      </c>
    </row>
    <row r="297" spans="1:9" x14ac:dyDescent="0.2">
      <c r="A297" s="2">
        <v>8</v>
      </c>
      <c r="B297" s="1" t="s">
        <v>295</v>
      </c>
      <c r="C297" s="4">
        <v>79</v>
      </c>
      <c r="D297" s="8">
        <v>2.67</v>
      </c>
      <c r="E297" s="4">
        <v>33</v>
      </c>
      <c r="F297" s="8">
        <v>2.52</v>
      </c>
      <c r="G297" s="4">
        <v>46</v>
      </c>
      <c r="H297" s="8">
        <v>2.83</v>
      </c>
      <c r="I297" s="4">
        <v>0</v>
      </c>
    </row>
    <row r="298" spans="1:9" x14ac:dyDescent="0.2">
      <c r="A298" s="2">
        <v>9</v>
      </c>
      <c r="B298" s="1" t="s">
        <v>297</v>
      </c>
      <c r="C298" s="4">
        <v>68</v>
      </c>
      <c r="D298" s="8">
        <v>2.2999999999999998</v>
      </c>
      <c r="E298" s="4">
        <v>19</v>
      </c>
      <c r="F298" s="8">
        <v>1.45</v>
      </c>
      <c r="G298" s="4">
        <v>49</v>
      </c>
      <c r="H298" s="8">
        <v>3.01</v>
      </c>
      <c r="I298" s="4">
        <v>0</v>
      </c>
    </row>
    <row r="299" spans="1:9" x14ac:dyDescent="0.2">
      <c r="A299" s="2">
        <v>10</v>
      </c>
      <c r="B299" s="1" t="s">
        <v>302</v>
      </c>
      <c r="C299" s="4">
        <v>62</v>
      </c>
      <c r="D299" s="8">
        <v>2.1</v>
      </c>
      <c r="E299" s="4">
        <v>47</v>
      </c>
      <c r="F299" s="8">
        <v>3.58</v>
      </c>
      <c r="G299" s="4">
        <v>15</v>
      </c>
      <c r="H299" s="8">
        <v>0.92</v>
      </c>
      <c r="I299" s="4">
        <v>0</v>
      </c>
    </row>
    <row r="300" spans="1:9" x14ac:dyDescent="0.2">
      <c r="A300" s="2">
        <v>11</v>
      </c>
      <c r="B300" s="1" t="s">
        <v>294</v>
      </c>
      <c r="C300" s="4">
        <v>57</v>
      </c>
      <c r="D300" s="8">
        <v>1.93</v>
      </c>
      <c r="E300" s="4">
        <v>14</v>
      </c>
      <c r="F300" s="8">
        <v>1.07</v>
      </c>
      <c r="G300" s="4">
        <v>43</v>
      </c>
      <c r="H300" s="8">
        <v>2.64</v>
      </c>
      <c r="I300" s="4">
        <v>0</v>
      </c>
    </row>
    <row r="301" spans="1:9" x14ac:dyDescent="0.2">
      <c r="A301" s="2">
        <v>12</v>
      </c>
      <c r="B301" s="1" t="s">
        <v>330</v>
      </c>
      <c r="C301" s="4">
        <v>53</v>
      </c>
      <c r="D301" s="8">
        <v>1.79</v>
      </c>
      <c r="E301" s="4">
        <v>13</v>
      </c>
      <c r="F301" s="8">
        <v>0.99</v>
      </c>
      <c r="G301" s="4">
        <v>40</v>
      </c>
      <c r="H301" s="8">
        <v>2.46</v>
      </c>
      <c r="I301" s="4">
        <v>0</v>
      </c>
    </row>
    <row r="302" spans="1:9" x14ac:dyDescent="0.2">
      <c r="A302" s="2">
        <v>13</v>
      </c>
      <c r="B302" s="1" t="s">
        <v>314</v>
      </c>
      <c r="C302" s="4">
        <v>48</v>
      </c>
      <c r="D302" s="8">
        <v>1.62</v>
      </c>
      <c r="E302" s="4">
        <v>17</v>
      </c>
      <c r="F302" s="8">
        <v>1.3</v>
      </c>
      <c r="G302" s="4">
        <v>31</v>
      </c>
      <c r="H302" s="8">
        <v>1.9</v>
      </c>
      <c r="I302" s="4">
        <v>0</v>
      </c>
    </row>
    <row r="303" spans="1:9" x14ac:dyDescent="0.2">
      <c r="A303" s="2">
        <v>13</v>
      </c>
      <c r="B303" s="1" t="s">
        <v>329</v>
      </c>
      <c r="C303" s="4">
        <v>48</v>
      </c>
      <c r="D303" s="8">
        <v>1.62</v>
      </c>
      <c r="E303" s="4">
        <v>19</v>
      </c>
      <c r="F303" s="8">
        <v>1.45</v>
      </c>
      <c r="G303" s="4">
        <v>29</v>
      </c>
      <c r="H303" s="8">
        <v>1.78</v>
      </c>
      <c r="I303" s="4">
        <v>0</v>
      </c>
    </row>
    <row r="304" spans="1:9" x14ac:dyDescent="0.2">
      <c r="A304" s="2">
        <v>13</v>
      </c>
      <c r="B304" s="1" t="s">
        <v>293</v>
      </c>
      <c r="C304" s="4">
        <v>48</v>
      </c>
      <c r="D304" s="8">
        <v>1.62</v>
      </c>
      <c r="E304" s="4">
        <v>10</v>
      </c>
      <c r="F304" s="8">
        <v>0.76</v>
      </c>
      <c r="G304" s="4">
        <v>38</v>
      </c>
      <c r="H304" s="8">
        <v>2.33</v>
      </c>
      <c r="I304" s="4">
        <v>0</v>
      </c>
    </row>
    <row r="305" spans="1:9" x14ac:dyDescent="0.2">
      <c r="A305" s="2">
        <v>16</v>
      </c>
      <c r="B305" s="1" t="s">
        <v>305</v>
      </c>
      <c r="C305" s="4">
        <v>42</v>
      </c>
      <c r="D305" s="8">
        <v>1.42</v>
      </c>
      <c r="E305" s="4">
        <v>29</v>
      </c>
      <c r="F305" s="8">
        <v>2.21</v>
      </c>
      <c r="G305" s="4">
        <v>12</v>
      </c>
      <c r="H305" s="8">
        <v>0.74</v>
      </c>
      <c r="I305" s="4">
        <v>1</v>
      </c>
    </row>
    <row r="306" spans="1:9" x14ac:dyDescent="0.2">
      <c r="A306" s="2">
        <v>17</v>
      </c>
      <c r="B306" s="1" t="s">
        <v>296</v>
      </c>
      <c r="C306" s="4">
        <v>39</v>
      </c>
      <c r="D306" s="8">
        <v>1.32</v>
      </c>
      <c r="E306" s="4">
        <v>2</v>
      </c>
      <c r="F306" s="8">
        <v>0.15</v>
      </c>
      <c r="G306" s="4">
        <v>37</v>
      </c>
      <c r="H306" s="8">
        <v>2.27</v>
      </c>
      <c r="I306" s="4">
        <v>0</v>
      </c>
    </row>
    <row r="307" spans="1:9" x14ac:dyDescent="0.2">
      <c r="A307" s="2">
        <v>18</v>
      </c>
      <c r="B307" s="1" t="s">
        <v>312</v>
      </c>
      <c r="C307" s="4">
        <v>37</v>
      </c>
      <c r="D307" s="8">
        <v>1.25</v>
      </c>
      <c r="E307" s="4">
        <v>34</v>
      </c>
      <c r="F307" s="8">
        <v>2.59</v>
      </c>
      <c r="G307" s="4">
        <v>3</v>
      </c>
      <c r="H307" s="8">
        <v>0.18</v>
      </c>
      <c r="I307" s="4">
        <v>0</v>
      </c>
    </row>
    <row r="308" spans="1:9" x14ac:dyDescent="0.2">
      <c r="A308" s="2">
        <v>19</v>
      </c>
      <c r="B308" s="1" t="s">
        <v>290</v>
      </c>
      <c r="C308" s="4">
        <v>34</v>
      </c>
      <c r="D308" s="8">
        <v>1.1499999999999999</v>
      </c>
      <c r="E308" s="4">
        <v>6</v>
      </c>
      <c r="F308" s="8">
        <v>0.46</v>
      </c>
      <c r="G308" s="4">
        <v>28</v>
      </c>
      <c r="H308" s="8">
        <v>1.72</v>
      </c>
      <c r="I308" s="4">
        <v>0</v>
      </c>
    </row>
    <row r="309" spans="1:9" x14ac:dyDescent="0.2">
      <c r="A309" s="2">
        <v>20</v>
      </c>
      <c r="B309" s="1" t="s">
        <v>288</v>
      </c>
      <c r="C309" s="4">
        <v>33</v>
      </c>
      <c r="D309" s="8">
        <v>1.1200000000000001</v>
      </c>
      <c r="E309" s="4">
        <v>3</v>
      </c>
      <c r="F309" s="8">
        <v>0.23</v>
      </c>
      <c r="G309" s="4">
        <v>30</v>
      </c>
      <c r="H309" s="8">
        <v>1.84</v>
      </c>
      <c r="I309" s="4">
        <v>0</v>
      </c>
    </row>
    <row r="310" spans="1:9" x14ac:dyDescent="0.2">
      <c r="A310" s="2">
        <v>20</v>
      </c>
      <c r="B310" s="1" t="s">
        <v>289</v>
      </c>
      <c r="C310" s="4">
        <v>33</v>
      </c>
      <c r="D310" s="8">
        <v>1.1200000000000001</v>
      </c>
      <c r="E310" s="4">
        <v>7</v>
      </c>
      <c r="F310" s="8">
        <v>0.53</v>
      </c>
      <c r="G310" s="4">
        <v>26</v>
      </c>
      <c r="H310" s="8">
        <v>1.6</v>
      </c>
      <c r="I310" s="4">
        <v>0</v>
      </c>
    </row>
    <row r="311" spans="1:9" x14ac:dyDescent="0.2">
      <c r="A311" s="1"/>
      <c r="C311" s="4"/>
      <c r="D311" s="8"/>
      <c r="E311" s="4"/>
      <c r="F311" s="8"/>
      <c r="G311" s="4"/>
      <c r="H311" s="8"/>
      <c r="I311" s="4"/>
    </row>
    <row r="312" spans="1:9" x14ac:dyDescent="0.2">
      <c r="A312" s="1" t="s">
        <v>14</v>
      </c>
      <c r="C312" s="4"/>
      <c r="D312" s="8"/>
      <c r="E312" s="4"/>
      <c r="F312" s="8"/>
      <c r="G312" s="4"/>
      <c r="H312" s="8"/>
      <c r="I312" s="4"/>
    </row>
    <row r="313" spans="1:9" x14ac:dyDescent="0.2">
      <c r="A313" s="2">
        <v>1</v>
      </c>
      <c r="B313" s="1" t="s">
        <v>297</v>
      </c>
      <c r="C313" s="4">
        <v>509</v>
      </c>
      <c r="D313" s="8">
        <v>6.46</v>
      </c>
      <c r="E313" s="4">
        <v>362</v>
      </c>
      <c r="F313" s="8">
        <v>9.74</v>
      </c>
      <c r="G313" s="4">
        <v>146</v>
      </c>
      <c r="H313" s="8">
        <v>3.54</v>
      </c>
      <c r="I313" s="4">
        <v>0</v>
      </c>
    </row>
    <row r="314" spans="1:9" x14ac:dyDescent="0.2">
      <c r="A314" s="2">
        <v>2</v>
      </c>
      <c r="B314" s="1" t="s">
        <v>304</v>
      </c>
      <c r="C314" s="4">
        <v>458</v>
      </c>
      <c r="D314" s="8">
        <v>5.81</v>
      </c>
      <c r="E314" s="4">
        <v>415</v>
      </c>
      <c r="F314" s="8">
        <v>11.17</v>
      </c>
      <c r="G314" s="4">
        <v>43</v>
      </c>
      <c r="H314" s="8">
        <v>1.04</v>
      </c>
      <c r="I314" s="4">
        <v>0</v>
      </c>
    </row>
    <row r="315" spans="1:9" x14ac:dyDescent="0.2">
      <c r="A315" s="2">
        <v>3</v>
      </c>
      <c r="B315" s="1" t="s">
        <v>303</v>
      </c>
      <c r="C315" s="4">
        <v>306</v>
      </c>
      <c r="D315" s="8">
        <v>3.88</v>
      </c>
      <c r="E315" s="4">
        <v>288</v>
      </c>
      <c r="F315" s="8">
        <v>7.75</v>
      </c>
      <c r="G315" s="4">
        <v>18</v>
      </c>
      <c r="H315" s="8">
        <v>0.44</v>
      </c>
      <c r="I315" s="4">
        <v>0</v>
      </c>
    </row>
    <row r="316" spans="1:9" x14ac:dyDescent="0.2">
      <c r="A316" s="2">
        <v>4</v>
      </c>
      <c r="B316" s="1" t="s">
        <v>301</v>
      </c>
      <c r="C316" s="4">
        <v>276</v>
      </c>
      <c r="D316" s="8">
        <v>3.5</v>
      </c>
      <c r="E316" s="4">
        <v>266</v>
      </c>
      <c r="F316" s="8">
        <v>7.16</v>
      </c>
      <c r="G316" s="4">
        <v>10</v>
      </c>
      <c r="H316" s="8">
        <v>0.24</v>
      </c>
      <c r="I316" s="4">
        <v>0</v>
      </c>
    </row>
    <row r="317" spans="1:9" x14ac:dyDescent="0.2">
      <c r="A317" s="2">
        <v>5</v>
      </c>
      <c r="B317" s="1" t="s">
        <v>299</v>
      </c>
      <c r="C317" s="4">
        <v>256</v>
      </c>
      <c r="D317" s="8">
        <v>3.25</v>
      </c>
      <c r="E317" s="4">
        <v>201</v>
      </c>
      <c r="F317" s="8">
        <v>5.41</v>
      </c>
      <c r="G317" s="4">
        <v>55</v>
      </c>
      <c r="H317" s="8">
        <v>1.33</v>
      </c>
      <c r="I317" s="4">
        <v>0</v>
      </c>
    </row>
    <row r="318" spans="1:9" x14ac:dyDescent="0.2">
      <c r="A318" s="2">
        <v>6</v>
      </c>
      <c r="B318" s="1" t="s">
        <v>300</v>
      </c>
      <c r="C318" s="4">
        <v>231</v>
      </c>
      <c r="D318" s="8">
        <v>2.93</v>
      </c>
      <c r="E318" s="4">
        <v>187</v>
      </c>
      <c r="F318" s="8">
        <v>5.03</v>
      </c>
      <c r="G318" s="4">
        <v>44</v>
      </c>
      <c r="H318" s="8">
        <v>1.07</v>
      </c>
      <c r="I318" s="4">
        <v>0</v>
      </c>
    </row>
    <row r="319" spans="1:9" x14ac:dyDescent="0.2">
      <c r="A319" s="2">
        <v>7</v>
      </c>
      <c r="B319" s="1" t="s">
        <v>306</v>
      </c>
      <c r="C319" s="4">
        <v>226</v>
      </c>
      <c r="D319" s="8">
        <v>2.87</v>
      </c>
      <c r="E319" s="4">
        <v>206</v>
      </c>
      <c r="F319" s="8">
        <v>5.55</v>
      </c>
      <c r="G319" s="4">
        <v>20</v>
      </c>
      <c r="H319" s="8">
        <v>0.49</v>
      </c>
      <c r="I319" s="4">
        <v>0</v>
      </c>
    </row>
    <row r="320" spans="1:9" x14ac:dyDescent="0.2">
      <c r="A320" s="2">
        <v>8</v>
      </c>
      <c r="B320" s="1" t="s">
        <v>295</v>
      </c>
      <c r="C320" s="4">
        <v>149</v>
      </c>
      <c r="D320" s="8">
        <v>1.89</v>
      </c>
      <c r="E320" s="4">
        <v>62</v>
      </c>
      <c r="F320" s="8">
        <v>1.67</v>
      </c>
      <c r="G320" s="4">
        <v>87</v>
      </c>
      <c r="H320" s="8">
        <v>2.11</v>
      </c>
      <c r="I320" s="4">
        <v>0</v>
      </c>
    </row>
    <row r="321" spans="1:9" x14ac:dyDescent="0.2">
      <c r="A321" s="2">
        <v>9</v>
      </c>
      <c r="B321" s="1" t="s">
        <v>293</v>
      </c>
      <c r="C321" s="4">
        <v>136</v>
      </c>
      <c r="D321" s="8">
        <v>1.73</v>
      </c>
      <c r="E321" s="4">
        <v>34</v>
      </c>
      <c r="F321" s="8">
        <v>0.92</v>
      </c>
      <c r="G321" s="4">
        <v>102</v>
      </c>
      <c r="H321" s="8">
        <v>2.4700000000000002</v>
      </c>
      <c r="I321" s="4">
        <v>0</v>
      </c>
    </row>
    <row r="322" spans="1:9" x14ac:dyDescent="0.2">
      <c r="A322" s="2">
        <v>10</v>
      </c>
      <c r="B322" s="1" t="s">
        <v>302</v>
      </c>
      <c r="C322" s="4">
        <v>128</v>
      </c>
      <c r="D322" s="8">
        <v>1.62</v>
      </c>
      <c r="E322" s="4">
        <v>115</v>
      </c>
      <c r="F322" s="8">
        <v>3.1</v>
      </c>
      <c r="G322" s="4">
        <v>13</v>
      </c>
      <c r="H322" s="8">
        <v>0.32</v>
      </c>
      <c r="I322" s="4">
        <v>0</v>
      </c>
    </row>
    <row r="323" spans="1:9" x14ac:dyDescent="0.2">
      <c r="A323" s="2">
        <v>11</v>
      </c>
      <c r="B323" s="1" t="s">
        <v>314</v>
      </c>
      <c r="C323" s="4">
        <v>113</v>
      </c>
      <c r="D323" s="8">
        <v>1.43</v>
      </c>
      <c r="E323" s="4">
        <v>42</v>
      </c>
      <c r="F323" s="8">
        <v>1.1299999999999999</v>
      </c>
      <c r="G323" s="4">
        <v>71</v>
      </c>
      <c r="H323" s="8">
        <v>1.72</v>
      </c>
      <c r="I323" s="4">
        <v>0</v>
      </c>
    </row>
    <row r="324" spans="1:9" x14ac:dyDescent="0.2">
      <c r="A324" s="2">
        <v>12</v>
      </c>
      <c r="B324" s="1" t="s">
        <v>291</v>
      </c>
      <c r="C324" s="4">
        <v>110</v>
      </c>
      <c r="D324" s="8">
        <v>1.4</v>
      </c>
      <c r="E324" s="4">
        <v>19</v>
      </c>
      <c r="F324" s="8">
        <v>0.51</v>
      </c>
      <c r="G324" s="4">
        <v>91</v>
      </c>
      <c r="H324" s="8">
        <v>2.21</v>
      </c>
      <c r="I324" s="4">
        <v>0</v>
      </c>
    </row>
    <row r="325" spans="1:9" x14ac:dyDescent="0.2">
      <c r="A325" s="2">
        <v>13</v>
      </c>
      <c r="B325" s="1" t="s">
        <v>296</v>
      </c>
      <c r="C325" s="4">
        <v>108</v>
      </c>
      <c r="D325" s="8">
        <v>1.37</v>
      </c>
      <c r="E325" s="4">
        <v>17</v>
      </c>
      <c r="F325" s="8">
        <v>0.46</v>
      </c>
      <c r="G325" s="4">
        <v>91</v>
      </c>
      <c r="H325" s="8">
        <v>2.21</v>
      </c>
      <c r="I325" s="4">
        <v>0</v>
      </c>
    </row>
    <row r="326" spans="1:9" x14ac:dyDescent="0.2">
      <c r="A326" s="2">
        <v>14</v>
      </c>
      <c r="B326" s="1" t="s">
        <v>292</v>
      </c>
      <c r="C326" s="4">
        <v>106</v>
      </c>
      <c r="D326" s="8">
        <v>1.35</v>
      </c>
      <c r="E326" s="4">
        <v>48</v>
      </c>
      <c r="F326" s="8">
        <v>1.29</v>
      </c>
      <c r="G326" s="4">
        <v>58</v>
      </c>
      <c r="H326" s="8">
        <v>1.41</v>
      </c>
      <c r="I326" s="4">
        <v>0</v>
      </c>
    </row>
    <row r="327" spans="1:9" x14ac:dyDescent="0.2">
      <c r="A327" s="2">
        <v>14</v>
      </c>
      <c r="B327" s="1" t="s">
        <v>305</v>
      </c>
      <c r="C327" s="4">
        <v>106</v>
      </c>
      <c r="D327" s="8">
        <v>1.35</v>
      </c>
      <c r="E327" s="4">
        <v>83</v>
      </c>
      <c r="F327" s="8">
        <v>2.23</v>
      </c>
      <c r="G327" s="4">
        <v>22</v>
      </c>
      <c r="H327" s="8">
        <v>0.53</v>
      </c>
      <c r="I327" s="4">
        <v>1</v>
      </c>
    </row>
    <row r="328" spans="1:9" x14ac:dyDescent="0.2">
      <c r="A328" s="2">
        <v>16</v>
      </c>
      <c r="B328" s="1" t="s">
        <v>288</v>
      </c>
      <c r="C328" s="4">
        <v>98</v>
      </c>
      <c r="D328" s="8">
        <v>1.24</v>
      </c>
      <c r="E328" s="4">
        <v>3</v>
      </c>
      <c r="F328" s="8">
        <v>0.08</v>
      </c>
      <c r="G328" s="4">
        <v>95</v>
      </c>
      <c r="H328" s="8">
        <v>2.2999999999999998</v>
      </c>
      <c r="I328" s="4">
        <v>0</v>
      </c>
    </row>
    <row r="329" spans="1:9" x14ac:dyDescent="0.2">
      <c r="A329" s="2">
        <v>17</v>
      </c>
      <c r="B329" s="1" t="s">
        <v>307</v>
      </c>
      <c r="C329" s="4">
        <v>97</v>
      </c>
      <c r="D329" s="8">
        <v>1.23</v>
      </c>
      <c r="E329" s="4">
        <v>57</v>
      </c>
      <c r="F329" s="8">
        <v>1.53</v>
      </c>
      <c r="G329" s="4">
        <v>40</v>
      </c>
      <c r="H329" s="8">
        <v>0.97</v>
      </c>
      <c r="I329" s="4">
        <v>0</v>
      </c>
    </row>
    <row r="330" spans="1:9" x14ac:dyDescent="0.2">
      <c r="A330" s="2">
        <v>18</v>
      </c>
      <c r="B330" s="1" t="s">
        <v>331</v>
      </c>
      <c r="C330" s="4">
        <v>94</v>
      </c>
      <c r="D330" s="8">
        <v>1.19</v>
      </c>
      <c r="E330" s="4">
        <v>1</v>
      </c>
      <c r="F330" s="8">
        <v>0.03</v>
      </c>
      <c r="G330" s="4">
        <v>93</v>
      </c>
      <c r="H330" s="8">
        <v>2.2599999999999998</v>
      </c>
      <c r="I330" s="4">
        <v>0</v>
      </c>
    </row>
    <row r="331" spans="1:9" x14ac:dyDescent="0.2">
      <c r="A331" s="2">
        <v>19</v>
      </c>
      <c r="B331" s="1" t="s">
        <v>289</v>
      </c>
      <c r="C331" s="4">
        <v>93</v>
      </c>
      <c r="D331" s="8">
        <v>1.18</v>
      </c>
      <c r="E331" s="4">
        <v>13</v>
      </c>
      <c r="F331" s="8">
        <v>0.35</v>
      </c>
      <c r="G331" s="4">
        <v>80</v>
      </c>
      <c r="H331" s="8">
        <v>1.94</v>
      </c>
      <c r="I331" s="4">
        <v>0</v>
      </c>
    </row>
    <row r="332" spans="1:9" x14ac:dyDescent="0.2">
      <c r="A332" s="2">
        <v>20</v>
      </c>
      <c r="B332" s="1" t="s">
        <v>290</v>
      </c>
      <c r="C332" s="4">
        <v>91</v>
      </c>
      <c r="D332" s="8">
        <v>1.1499999999999999</v>
      </c>
      <c r="E332" s="4">
        <v>20</v>
      </c>
      <c r="F332" s="8">
        <v>0.54</v>
      </c>
      <c r="G332" s="4">
        <v>71</v>
      </c>
      <c r="H332" s="8">
        <v>1.72</v>
      </c>
      <c r="I332" s="4">
        <v>0</v>
      </c>
    </row>
    <row r="333" spans="1:9" x14ac:dyDescent="0.2">
      <c r="A333" s="1"/>
      <c r="C333" s="4"/>
      <c r="D333" s="8"/>
      <c r="E333" s="4"/>
      <c r="F333" s="8"/>
      <c r="G333" s="4"/>
      <c r="H333" s="8"/>
      <c r="I333" s="4"/>
    </row>
    <row r="334" spans="1:9" x14ac:dyDescent="0.2">
      <c r="A334" s="1" t="s">
        <v>15</v>
      </c>
      <c r="C334" s="4"/>
      <c r="D334" s="8"/>
      <c r="E334" s="4"/>
      <c r="F334" s="8"/>
      <c r="G334" s="4"/>
      <c r="H334" s="8"/>
      <c r="I334" s="4"/>
    </row>
    <row r="335" spans="1:9" x14ac:dyDescent="0.2">
      <c r="A335" s="2">
        <v>1</v>
      </c>
      <c r="B335" s="1" t="s">
        <v>297</v>
      </c>
      <c r="C335" s="4">
        <v>131</v>
      </c>
      <c r="D335" s="8">
        <v>6.34</v>
      </c>
      <c r="E335" s="4">
        <v>82</v>
      </c>
      <c r="F335" s="8">
        <v>8.25</v>
      </c>
      <c r="G335" s="4">
        <v>48</v>
      </c>
      <c r="H335" s="8">
        <v>4.5599999999999996</v>
      </c>
      <c r="I335" s="4">
        <v>0</v>
      </c>
    </row>
    <row r="336" spans="1:9" x14ac:dyDescent="0.2">
      <c r="A336" s="2">
        <v>2</v>
      </c>
      <c r="B336" s="1" t="s">
        <v>301</v>
      </c>
      <c r="C336" s="4">
        <v>128</v>
      </c>
      <c r="D336" s="8">
        <v>6.2</v>
      </c>
      <c r="E336" s="4">
        <v>118</v>
      </c>
      <c r="F336" s="8">
        <v>11.87</v>
      </c>
      <c r="G336" s="4">
        <v>10</v>
      </c>
      <c r="H336" s="8">
        <v>0.95</v>
      </c>
      <c r="I336" s="4">
        <v>0</v>
      </c>
    </row>
    <row r="337" spans="1:9" x14ac:dyDescent="0.2">
      <c r="A337" s="2">
        <v>3</v>
      </c>
      <c r="B337" s="1" t="s">
        <v>304</v>
      </c>
      <c r="C337" s="4">
        <v>101</v>
      </c>
      <c r="D337" s="8">
        <v>4.8899999999999997</v>
      </c>
      <c r="E337" s="4">
        <v>90</v>
      </c>
      <c r="F337" s="8">
        <v>9.0500000000000007</v>
      </c>
      <c r="G337" s="4">
        <v>11</v>
      </c>
      <c r="H337" s="8">
        <v>1.05</v>
      </c>
      <c r="I337" s="4">
        <v>0</v>
      </c>
    </row>
    <row r="338" spans="1:9" x14ac:dyDescent="0.2">
      <c r="A338" s="2">
        <v>4</v>
      </c>
      <c r="B338" s="1" t="s">
        <v>303</v>
      </c>
      <c r="C338" s="4">
        <v>93</v>
      </c>
      <c r="D338" s="8">
        <v>4.5</v>
      </c>
      <c r="E338" s="4">
        <v>86</v>
      </c>
      <c r="F338" s="8">
        <v>8.65</v>
      </c>
      <c r="G338" s="4">
        <v>7</v>
      </c>
      <c r="H338" s="8">
        <v>0.67</v>
      </c>
      <c r="I338" s="4">
        <v>0</v>
      </c>
    </row>
    <row r="339" spans="1:9" x14ac:dyDescent="0.2">
      <c r="A339" s="2">
        <v>5</v>
      </c>
      <c r="B339" s="1" t="s">
        <v>299</v>
      </c>
      <c r="C339" s="4">
        <v>59</v>
      </c>
      <c r="D339" s="8">
        <v>2.86</v>
      </c>
      <c r="E339" s="4">
        <v>50</v>
      </c>
      <c r="F339" s="8">
        <v>5.03</v>
      </c>
      <c r="G339" s="4">
        <v>9</v>
      </c>
      <c r="H339" s="8">
        <v>0.86</v>
      </c>
      <c r="I339" s="4">
        <v>0</v>
      </c>
    </row>
    <row r="340" spans="1:9" x14ac:dyDescent="0.2">
      <c r="A340" s="2">
        <v>6</v>
      </c>
      <c r="B340" s="1" t="s">
        <v>300</v>
      </c>
      <c r="C340" s="4">
        <v>57</v>
      </c>
      <c r="D340" s="8">
        <v>2.76</v>
      </c>
      <c r="E340" s="4">
        <v>50</v>
      </c>
      <c r="F340" s="8">
        <v>5.03</v>
      </c>
      <c r="G340" s="4">
        <v>7</v>
      </c>
      <c r="H340" s="8">
        <v>0.67</v>
      </c>
      <c r="I340" s="4">
        <v>0</v>
      </c>
    </row>
    <row r="341" spans="1:9" x14ac:dyDescent="0.2">
      <c r="A341" s="2">
        <v>7</v>
      </c>
      <c r="B341" s="1" t="s">
        <v>295</v>
      </c>
      <c r="C341" s="4">
        <v>43</v>
      </c>
      <c r="D341" s="8">
        <v>2.08</v>
      </c>
      <c r="E341" s="4">
        <v>23</v>
      </c>
      <c r="F341" s="8">
        <v>2.31</v>
      </c>
      <c r="G341" s="4">
        <v>20</v>
      </c>
      <c r="H341" s="8">
        <v>1.9</v>
      </c>
      <c r="I341" s="4">
        <v>0</v>
      </c>
    </row>
    <row r="342" spans="1:9" x14ac:dyDescent="0.2">
      <c r="A342" s="2">
        <v>7</v>
      </c>
      <c r="B342" s="1" t="s">
        <v>302</v>
      </c>
      <c r="C342" s="4">
        <v>43</v>
      </c>
      <c r="D342" s="8">
        <v>2.08</v>
      </c>
      <c r="E342" s="4">
        <v>41</v>
      </c>
      <c r="F342" s="8">
        <v>4.12</v>
      </c>
      <c r="G342" s="4">
        <v>2</v>
      </c>
      <c r="H342" s="8">
        <v>0.19</v>
      </c>
      <c r="I342" s="4">
        <v>0</v>
      </c>
    </row>
    <row r="343" spans="1:9" x14ac:dyDescent="0.2">
      <c r="A343" s="2">
        <v>9</v>
      </c>
      <c r="B343" s="1" t="s">
        <v>294</v>
      </c>
      <c r="C343" s="4">
        <v>34</v>
      </c>
      <c r="D343" s="8">
        <v>1.65</v>
      </c>
      <c r="E343" s="4">
        <v>6</v>
      </c>
      <c r="F343" s="8">
        <v>0.6</v>
      </c>
      <c r="G343" s="4">
        <v>28</v>
      </c>
      <c r="H343" s="8">
        <v>2.66</v>
      </c>
      <c r="I343" s="4">
        <v>0</v>
      </c>
    </row>
    <row r="344" spans="1:9" x14ac:dyDescent="0.2">
      <c r="A344" s="2">
        <v>10</v>
      </c>
      <c r="B344" s="1" t="s">
        <v>306</v>
      </c>
      <c r="C344" s="4">
        <v>32</v>
      </c>
      <c r="D344" s="8">
        <v>1.55</v>
      </c>
      <c r="E344" s="4">
        <v>30</v>
      </c>
      <c r="F344" s="8">
        <v>3.02</v>
      </c>
      <c r="G344" s="4">
        <v>2</v>
      </c>
      <c r="H344" s="8">
        <v>0.19</v>
      </c>
      <c r="I344" s="4">
        <v>0</v>
      </c>
    </row>
    <row r="345" spans="1:9" x14ac:dyDescent="0.2">
      <c r="A345" s="2">
        <v>11</v>
      </c>
      <c r="B345" s="1" t="s">
        <v>291</v>
      </c>
      <c r="C345" s="4">
        <v>29</v>
      </c>
      <c r="D345" s="8">
        <v>1.4</v>
      </c>
      <c r="E345" s="4">
        <v>3</v>
      </c>
      <c r="F345" s="8">
        <v>0.3</v>
      </c>
      <c r="G345" s="4">
        <v>26</v>
      </c>
      <c r="H345" s="8">
        <v>2.4700000000000002</v>
      </c>
      <c r="I345" s="4">
        <v>0</v>
      </c>
    </row>
    <row r="346" spans="1:9" x14ac:dyDescent="0.2">
      <c r="A346" s="2">
        <v>12</v>
      </c>
      <c r="B346" s="1" t="s">
        <v>288</v>
      </c>
      <c r="C346" s="4">
        <v>28</v>
      </c>
      <c r="D346" s="8">
        <v>1.36</v>
      </c>
      <c r="E346" s="4">
        <v>2</v>
      </c>
      <c r="F346" s="8">
        <v>0.2</v>
      </c>
      <c r="G346" s="4">
        <v>26</v>
      </c>
      <c r="H346" s="8">
        <v>2.4700000000000002</v>
      </c>
      <c r="I346" s="4">
        <v>0</v>
      </c>
    </row>
    <row r="347" spans="1:9" x14ac:dyDescent="0.2">
      <c r="A347" s="2">
        <v>12</v>
      </c>
      <c r="B347" s="1" t="s">
        <v>290</v>
      </c>
      <c r="C347" s="4">
        <v>28</v>
      </c>
      <c r="D347" s="8">
        <v>1.36</v>
      </c>
      <c r="E347" s="4">
        <v>4</v>
      </c>
      <c r="F347" s="8">
        <v>0.4</v>
      </c>
      <c r="G347" s="4">
        <v>24</v>
      </c>
      <c r="H347" s="8">
        <v>2.2799999999999998</v>
      </c>
      <c r="I347" s="4">
        <v>0</v>
      </c>
    </row>
    <row r="348" spans="1:9" x14ac:dyDescent="0.2">
      <c r="A348" s="2">
        <v>14</v>
      </c>
      <c r="B348" s="1" t="s">
        <v>322</v>
      </c>
      <c r="C348" s="4">
        <v>26</v>
      </c>
      <c r="D348" s="8">
        <v>1.26</v>
      </c>
      <c r="E348" s="4">
        <v>5</v>
      </c>
      <c r="F348" s="8">
        <v>0.5</v>
      </c>
      <c r="G348" s="4">
        <v>21</v>
      </c>
      <c r="H348" s="8">
        <v>2</v>
      </c>
      <c r="I348" s="4">
        <v>0</v>
      </c>
    </row>
    <row r="349" spans="1:9" x14ac:dyDescent="0.2">
      <c r="A349" s="2">
        <v>14</v>
      </c>
      <c r="B349" s="1" t="s">
        <v>296</v>
      </c>
      <c r="C349" s="4">
        <v>26</v>
      </c>
      <c r="D349" s="8">
        <v>1.26</v>
      </c>
      <c r="E349" s="4">
        <v>4</v>
      </c>
      <c r="F349" s="8">
        <v>0.4</v>
      </c>
      <c r="G349" s="4">
        <v>22</v>
      </c>
      <c r="H349" s="8">
        <v>2.09</v>
      </c>
      <c r="I349" s="4">
        <v>0</v>
      </c>
    </row>
    <row r="350" spans="1:9" x14ac:dyDescent="0.2">
      <c r="A350" s="2">
        <v>16</v>
      </c>
      <c r="B350" s="1" t="s">
        <v>319</v>
      </c>
      <c r="C350" s="4">
        <v>25</v>
      </c>
      <c r="D350" s="8">
        <v>1.21</v>
      </c>
      <c r="E350" s="4">
        <v>2</v>
      </c>
      <c r="F350" s="8">
        <v>0.2</v>
      </c>
      <c r="G350" s="4">
        <v>23</v>
      </c>
      <c r="H350" s="8">
        <v>2.19</v>
      </c>
      <c r="I350" s="4">
        <v>0</v>
      </c>
    </row>
    <row r="351" spans="1:9" x14ac:dyDescent="0.2">
      <c r="A351" s="2">
        <v>16</v>
      </c>
      <c r="B351" s="1" t="s">
        <v>307</v>
      </c>
      <c r="C351" s="4">
        <v>25</v>
      </c>
      <c r="D351" s="8">
        <v>1.21</v>
      </c>
      <c r="E351" s="4">
        <v>13</v>
      </c>
      <c r="F351" s="8">
        <v>1.31</v>
      </c>
      <c r="G351" s="4">
        <v>12</v>
      </c>
      <c r="H351" s="8">
        <v>1.1399999999999999</v>
      </c>
      <c r="I351" s="4">
        <v>0</v>
      </c>
    </row>
    <row r="352" spans="1:9" x14ac:dyDescent="0.2">
      <c r="A352" s="2">
        <v>18</v>
      </c>
      <c r="B352" s="1" t="s">
        <v>292</v>
      </c>
      <c r="C352" s="4">
        <v>24</v>
      </c>
      <c r="D352" s="8">
        <v>1.1599999999999999</v>
      </c>
      <c r="E352" s="4">
        <v>12</v>
      </c>
      <c r="F352" s="8">
        <v>1.21</v>
      </c>
      <c r="G352" s="4">
        <v>12</v>
      </c>
      <c r="H352" s="8">
        <v>1.1399999999999999</v>
      </c>
      <c r="I352" s="4">
        <v>0</v>
      </c>
    </row>
    <row r="353" spans="1:9" x14ac:dyDescent="0.2">
      <c r="A353" s="2">
        <v>18</v>
      </c>
      <c r="B353" s="1" t="s">
        <v>293</v>
      </c>
      <c r="C353" s="4">
        <v>24</v>
      </c>
      <c r="D353" s="8">
        <v>1.1599999999999999</v>
      </c>
      <c r="E353" s="4">
        <v>12</v>
      </c>
      <c r="F353" s="8">
        <v>1.21</v>
      </c>
      <c r="G353" s="4">
        <v>12</v>
      </c>
      <c r="H353" s="8">
        <v>1.1399999999999999</v>
      </c>
      <c r="I353" s="4">
        <v>0</v>
      </c>
    </row>
    <row r="354" spans="1:9" x14ac:dyDescent="0.2">
      <c r="A354" s="2">
        <v>20</v>
      </c>
      <c r="B354" s="1" t="s">
        <v>332</v>
      </c>
      <c r="C354" s="4">
        <v>23</v>
      </c>
      <c r="D354" s="8">
        <v>1.1100000000000001</v>
      </c>
      <c r="E354" s="4">
        <v>11</v>
      </c>
      <c r="F354" s="8">
        <v>1.1100000000000001</v>
      </c>
      <c r="G354" s="4">
        <v>12</v>
      </c>
      <c r="H354" s="8">
        <v>1.1399999999999999</v>
      </c>
      <c r="I354" s="4">
        <v>0</v>
      </c>
    </row>
    <row r="355" spans="1:9" x14ac:dyDescent="0.2">
      <c r="A355" s="1"/>
      <c r="C355" s="4"/>
      <c r="D355" s="8"/>
      <c r="E355" s="4"/>
      <c r="F355" s="8"/>
      <c r="G355" s="4"/>
      <c r="H355" s="8"/>
      <c r="I355" s="4"/>
    </row>
    <row r="356" spans="1:9" x14ac:dyDescent="0.2">
      <c r="A356" s="1" t="s">
        <v>16</v>
      </c>
      <c r="C356" s="4"/>
      <c r="D356" s="8"/>
      <c r="E356" s="4"/>
      <c r="F356" s="8"/>
      <c r="G356" s="4"/>
      <c r="H356" s="8"/>
      <c r="I356" s="4"/>
    </row>
    <row r="357" spans="1:9" x14ac:dyDescent="0.2">
      <c r="A357" s="2">
        <v>1</v>
      </c>
      <c r="B357" s="1" t="s">
        <v>297</v>
      </c>
      <c r="C357" s="4">
        <v>435</v>
      </c>
      <c r="D357" s="8">
        <v>9.5</v>
      </c>
      <c r="E357" s="4">
        <v>363</v>
      </c>
      <c r="F357" s="8">
        <v>15.36</v>
      </c>
      <c r="G357" s="4">
        <v>71</v>
      </c>
      <c r="H357" s="8">
        <v>3.26</v>
      </c>
      <c r="I357" s="4">
        <v>0</v>
      </c>
    </row>
    <row r="358" spans="1:9" x14ac:dyDescent="0.2">
      <c r="A358" s="2">
        <v>2</v>
      </c>
      <c r="B358" s="1" t="s">
        <v>304</v>
      </c>
      <c r="C358" s="4">
        <v>267</v>
      </c>
      <c r="D358" s="8">
        <v>5.83</v>
      </c>
      <c r="E358" s="4">
        <v>239</v>
      </c>
      <c r="F358" s="8">
        <v>10.11</v>
      </c>
      <c r="G358" s="4">
        <v>28</v>
      </c>
      <c r="H358" s="8">
        <v>1.28</v>
      </c>
      <c r="I358" s="4">
        <v>0</v>
      </c>
    </row>
    <row r="359" spans="1:9" x14ac:dyDescent="0.2">
      <c r="A359" s="2">
        <v>3</v>
      </c>
      <c r="B359" s="1" t="s">
        <v>301</v>
      </c>
      <c r="C359" s="4">
        <v>231</v>
      </c>
      <c r="D359" s="8">
        <v>5.04</v>
      </c>
      <c r="E359" s="4">
        <v>221</v>
      </c>
      <c r="F359" s="8">
        <v>9.35</v>
      </c>
      <c r="G359" s="4">
        <v>10</v>
      </c>
      <c r="H359" s="8">
        <v>0.46</v>
      </c>
      <c r="I359" s="4">
        <v>0</v>
      </c>
    </row>
    <row r="360" spans="1:9" x14ac:dyDescent="0.2">
      <c r="A360" s="2">
        <v>4</v>
      </c>
      <c r="B360" s="1" t="s">
        <v>300</v>
      </c>
      <c r="C360" s="4">
        <v>191</v>
      </c>
      <c r="D360" s="8">
        <v>4.17</v>
      </c>
      <c r="E360" s="4">
        <v>173</v>
      </c>
      <c r="F360" s="8">
        <v>7.32</v>
      </c>
      <c r="G360" s="4">
        <v>18</v>
      </c>
      <c r="H360" s="8">
        <v>0.83</v>
      </c>
      <c r="I360" s="4">
        <v>0</v>
      </c>
    </row>
    <row r="361" spans="1:9" x14ac:dyDescent="0.2">
      <c r="A361" s="2">
        <v>5</v>
      </c>
      <c r="B361" s="1" t="s">
        <v>303</v>
      </c>
      <c r="C361" s="4">
        <v>185</v>
      </c>
      <c r="D361" s="8">
        <v>4.04</v>
      </c>
      <c r="E361" s="4">
        <v>173</v>
      </c>
      <c r="F361" s="8">
        <v>7.32</v>
      </c>
      <c r="G361" s="4">
        <v>12</v>
      </c>
      <c r="H361" s="8">
        <v>0.55000000000000004</v>
      </c>
      <c r="I361" s="4">
        <v>0</v>
      </c>
    </row>
    <row r="362" spans="1:9" x14ac:dyDescent="0.2">
      <c r="A362" s="2">
        <v>6</v>
      </c>
      <c r="B362" s="1" t="s">
        <v>299</v>
      </c>
      <c r="C362" s="4">
        <v>144</v>
      </c>
      <c r="D362" s="8">
        <v>3.14</v>
      </c>
      <c r="E362" s="4">
        <v>120</v>
      </c>
      <c r="F362" s="8">
        <v>5.08</v>
      </c>
      <c r="G362" s="4">
        <v>24</v>
      </c>
      <c r="H362" s="8">
        <v>1.1000000000000001</v>
      </c>
      <c r="I362" s="4">
        <v>0</v>
      </c>
    </row>
    <row r="363" spans="1:9" x14ac:dyDescent="0.2">
      <c r="A363" s="2">
        <v>7</v>
      </c>
      <c r="B363" s="1" t="s">
        <v>295</v>
      </c>
      <c r="C363" s="4">
        <v>106</v>
      </c>
      <c r="D363" s="8">
        <v>2.31</v>
      </c>
      <c r="E363" s="4">
        <v>56</v>
      </c>
      <c r="F363" s="8">
        <v>2.37</v>
      </c>
      <c r="G363" s="4">
        <v>50</v>
      </c>
      <c r="H363" s="8">
        <v>2.29</v>
      </c>
      <c r="I363" s="4">
        <v>0</v>
      </c>
    </row>
    <row r="364" spans="1:9" x14ac:dyDescent="0.2">
      <c r="A364" s="2">
        <v>8</v>
      </c>
      <c r="B364" s="1" t="s">
        <v>293</v>
      </c>
      <c r="C364" s="4">
        <v>94</v>
      </c>
      <c r="D364" s="8">
        <v>2.0499999999999998</v>
      </c>
      <c r="E364" s="4">
        <v>25</v>
      </c>
      <c r="F364" s="8">
        <v>1.06</v>
      </c>
      <c r="G364" s="4">
        <v>69</v>
      </c>
      <c r="H364" s="8">
        <v>3.16</v>
      </c>
      <c r="I364" s="4">
        <v>0</v>
      </c>
    </row>
    <row r="365" spans="1:9" x14ac:dyDescent="0.2">
      <c r="A365" s="2">
        <v>9</v>
      </c>
      <c r="B365" s="1" t="s">
        <v>305</v>
      </c>
      <c r="C365" s="4">
        <v>86</v>
      </c>
      <c r="D365" s="8">
        <v>1.88</v>
      </c>
      <c r="E365" s="4">
        <v>78</v>
      </c>
      <c r="F365" s="8">
        <v>3.3</v>
      </c>
      <c r="G365" s="4">
        <v>8</v>
      </c>
      <c r="H365" s="8">
        <v>0.37</v>
      </c>
      <c r="I365" s="4">
        <v>0</v>
      </c>
    </row>
    <row r="366" spans="1:9" x14ac:dyDescent="0.2">
      <c r="A366" s="2">
        <v>10</v>
      </c>
      <c r="B366" s="1" t="s">
        <v>302</v>
      </c>
      <c r="C366" s="4">
        <v>79</v>
      </c>
      <c r="D366" s="8">
        <v>1.72</v>
      </c>
      <c r="E366" s="4">
        <v>72</v>
      </c>
      <c r="F366" s="8">
        <v>3.05</v>
      </c>
      <c r="G366" s="4">
        <v>6</v>
      </c>
      <c r="H366" s="8">
        <v>0.28000000000000003</v>
      </c>
      <c r="I366" s="4">
        <v>1</v>
      </c>
    </row>
    <row r="367" spans="1:9" x14ac:dyDescent="0.2">
      <c r="A367" s="2">
        <v>11</v>
      </c>
      <c r="B367" s="1" t="s">
        <v>307</v>
      </c>
      <c r="C367" s="4">
        <v>76</v>
      </c>
      <c r="D367" s="8">
        <v>1.66</v>
      </c>
      <c r="E367" s="4">
        <v>38</v>
      </c>
      <c r="F367" s="8">
        <v>1.61</v>
      </c>
      <c r="G367" s="4">
        <v>38</v>
      </c>
      <c r="H367" s="8">
        <v>1.74</v>
      </c>
      <c r="I367" s="4">
        <v>0</v>
      </c>
    </row>
    <row r="368" spans="1:9" x14ac:dyDescent="0.2">
      <c r="A368" s="2">
        <v>12</v>
      </c>
      <c r="B368" s="1" t="s">
        <v>306</v>
      </c>
      <c r="C368" s="4">
        <v>72</v>
      </c>
      <c r="D368" s="8">
        <v>1.57</v>
      </c>
      <c r="E368" s="4">
        <v>69</v>
      </c>
      <c r="F368" s="8">
        <v>2.92</v>
      </c>
      <c r="G368" s="4">
        <v>3</v>
      </c>
      <c r="H368" s="8">
        <v>0.14000000000000001</v>
      </c>
      <c r="I368" s="4">
        <v>0</v>
      </c>
    </row>
    <row r="369" spans="1:9" x14ac:dyDescent="0.2">
      <c r="A369" s="2">
        <v>13</v>
      </c>
      <c r="B369" s="1" t="s">
        <v>291</v>
      </c>
      <c r="C369" s="4">
        <v>68</v>
      </c>
      <c r="D369" s="8">
        <v>1.48</v>
      </c>
      <c r="E369" s="4">
        <v>15</v>
      </c>
      <c r="F369" s="8">
        <v>0.63</v>
      </c>
      <c r="G369" s="4">
        <v>53</v>
      </c>
      <c r="H369" s="8">
        <v>2.4300000000000002</v>
      </c>
      <c r="I369" s="4">
        <v>0</v>
      </c>
    </row>
    <row r="370" spans="1:9" x14ac:dyDescent="0.2">
      <c r="A370" s="2">
        <v>14</v>
      </c>
      <c r="B370" s="1" t="s">
        <v>292</v>
      </c>
      <c r="C370" s="4">
        <v>64</v>
      </c>
      <c r="D370" s="8">
        <v>1.4</v>
      </c>
      <c r="E370" s="4">
        <v>22</v>
      </c>
      <c r="F370" s="8">
        <v>0.93</v>
      </c>
      <c r="G370" s="4">
        <v>42</v>
      </c>
      <c r="H370" s="8">
        <v>1.93</v>
      </c>
      <c r="I370" s="4">
        <v>0</v>
      </c>
    </row>
    <row r="371" spans="1:9" x14ac:dyDescent="0.2">
      <c r="A371" s="2">
        <v>15</v>
      </c>
      <c r="B371" s="1" t="s">
        <v>298</v>
      </c>
      <c r="C371" s="4">
        <v>61</v>
      </c>
      <c r="D371" s="8">
        <v>1.33</v>
      </c>
      <c r="E371" s="4">
        <v>12</v>
      </c>
      <c r="F371" s="8">
        <v>0.51</v>
      </c>
      <c r="G371" s="4">
        <v>49</v>
      </c>
      <c r="H371" s="8">
        <v>2.25</v>
      </c>
      <c r="I371" s="4">
        <v>0</v>
      </c>
    </row>
    <row r="372" spans="1:9" x14ac:dyDescent="0.2">
      <c r="A372" s="2">
        <v>15</v>
      </c>
      <c r="B372" s="1" t="s">
        <v>334</v>
      </c>
      <c r="C372" s="4">
        <v>61</v>
      </c>
      <c r="D372" s="8">
        <v>1.33</v>
      </c>
      <c r="E372" s="4">
        <v>45</v>
      </c>
      <c r="F372" s="8">
        <v>1.9</v>
      </c>
      <c r="G372" s="4">
        <v>16</v>
      </c>
      <c r="H372" s="8">
        <v>0.73</v>
      </c>
      <c r="I372" s="4">
        <v>0</v>
      </c>
    </row>
    <row r="373" spans="1:9" x14ac:dyDescent="0.2">
      <c r="A373" s="2">
        <v>17</v>
      </c>
      <c r="B373" s="1" t="s">
        <v>296</v>
      </c>
      <c r="C373" s="4">
        <v>54</v>
      </c>
      <c r="D373" s="8">
        <v>1.18</v>
      </c>
      <c r="E373" s="4">
        <v>8</v>
      </c>
      <c r="F373" s="8">
        <v>0.34</v>
      </c>
      <c r="G373" s="4">
        <v>46</v>
      </c>
      <c r="H373" s="8">
        <v>2.11</v>
      </c>
      <c r="I373" s="4">
        <v>0</v>
      </c>
    </row>
    <row r="374" spans="1:9" x14ac:dyDescent="0.2">
      <c r="A374" s="2">
        <v>18</v>
      </c>
      <c r="B374" s="1" t="s">
        <v>330</v>
      </c>
      <c r="C374" s="4">
        <v>49</v>
      </c>
      <c r="D374" s="8">
        <v>1.07</v>
      </c>
      <c r="E374" s="4">
        <v>9</v>
      </c>
      <c r="F374" s="8">
        <v>0.38</v>
      </c>
      <c r="G374" s="4">
        <v>40</v>
      </c>
      <c r="H374" s="8">
        <v>1.83</v>
      </c>
      <c r="I374" s="4">
        <v>0</v>
      </c>
    </row>
    <row r="375" spans="1:9" x14ac:dyDescent="0.2">
      <c r="A375" s="2">
        <v>19</v>
      </c>
      <c r="B375" s="1" t="s">
        <v>329</v>
      </c>
      <c r="C375" s="4">
        <v>44</v>
      </c>
      <c r="D375" s="8">
        <v>0.96</v>
      </c>
      <c r="E375" s="4">
        <v>21</v>
      </c>
      <c r="F375" s="8">
        <v>0.89</v>
      </c>
      <c r="G375" s="4">
        <v>23</v>
      </c>
      <c r="H375" s="8">
        <v>1.05</v>
      </c>
      <c r="I375" s="4">
        <v>0</v>
      </c>
    </row>
    <row r="376" spans="1:9" x14ac:dyDescent="0.2">
      <c r="A376" s="2">
        <v>20</v>
      </c>
      <c r="B376" s="1" t="s">
        <v>333</v>
      </c>
      <c r="C376" s="4">
        <v>43</v>
      </c>
      <c r="D376" s="8">
        <v>0.94</v>
      </c>
      <c r="E376" s="4">
        <v>17</v>
      </c>
      <c r="F376" s="8">
        <v>0.72</v>
      </c>
      <c r="G376" s="4">
        <v>26</v>
      </c>
      <c r="H376" s="8">
        <v>1.19</v>
      </c>
      <c r="I376" s="4">
        <v>0</v>
      </c>
    </row>
    <row r="377" spans="1:9" x14ac:dyDescent="0.2">
      <c r="A377" s="2">
        <v>20</v>
      </c>
      <c r="B377" s="1" t="s">
        <v>290</v>
      </c>
      <c r="C377" s="4">
        <v>43</v>
      </c>
      <c r="D377" s="8">
        <v>0.94</v>
      </c>
      <c r="E377" s="4">
        <v>4</v>
      </c>
      <c r="F377" s="8">
        <v>0.17</v>
      </c>
      <c r="G377" s="4">
        <v>39</v>
      </c>
      <c r="H377" s="8">
        <v>1.79</v>
      </c>
      <c r="I377" s="4">
        <v>0</v>
      </c>
    </row>
    <row r="378" spans="1:9" x14ac:dyDescent="0.2">
      <c r="A378" s="2">
        <v>20</v>
      </c>
      <c r="B378" s="1" t="s">
        <v>321</v>
      </c>
      <c r="C378" s="4">
        <v>43</v>
      </c>
      <c r="D378" s="8">
        <v>0.94</v>
      </c>
      <c r="E378" s="4">
        <v>4</v>
      </c>
      <c r="F378" s="8">
        <v>0.17</v>
      </c>
      <c r="G378" s="4">
        <v>39</v>
      </c>
      <c r="H378" s="8">
        <v>1.79</v>
      </c>
      <c r="I378" s="4">
        <v>0</v>
      </c>
    </row>
    <row r="379" spans="1:9" x14ac:dyDescent="0.2">
      <c r="A379" s="2">
        <v>20</v>
      </c>
      <c r="B379" s="1" t="s">
        <v>322</v>
      </c>
      <c r="C379" s="4">
        <v>43</v>
      </c>
      <c r="D379" s="8">
        <v>0.94</v>
      </c>
      <c r="E379" s="4">
        <v>4</v>
      </c>
      <c r="F379" s="8">
        <v>0.17</v>
      </c>
      <c r="G379" s="4">
        <v>39</v>
      </c>
      <c r="H379" s="8">
        <v>1.79</v>
      </c>
      <c r="I379" s="4">
        <v>0</v>
      </c>
    </row>
    <row r="380" spans="1:9" x14ac:dyDescent="0.2">
      <c r="A380" s="1"/>
      <c r="C380" s="4"/>
      <c r="D380" s="8"/>
      <c r="E380" s="4"/>
      <c r="F380" s="8"/>
      <c r="G380" s="4"/>
      <c r="H380" s="8"/>
      <c r="I380" s="4"/>
    </row>
    <row r="381" spans="1:9" x14ac:dyDescent="0.2">
      <c r="A381" s="1" t="s">
        <v>17</v>
      </c>
      <c r="C381" s="4"/>
      <c r="D381" s="8"/>
      <c r="E381" s="4"/>
      <c r="F381" s="8"/>
      <c r="G381" s="4"/>
      <c r="H381" s="8"/>
      <c r="I381" s="4"/>
    </row>
    <row r="382" spans="1:9" x14ac:dyDescent="0.2">
      <c r="A382" s="2">
        <v>1</v>
      </c>
      <c r="B382" s="1" t="s">
        <v>304</v>
      </c>
      <c r="C382" s="4">
        <v>297</v>
      </c>
      <c r="D382" s="8">
        <v>5.97</v>
      </c>
      <c r="E382" s="4">
        <v>267</v>
      </c>
      <c r="F382" s="8">
        <v>11.11</v>
      </c>
      <c r="G382" s="4">
        <v>30</v>
      </c>
      <c r="H382" s="8">
        <v>1.19</v>
      </c>
      <c r="I382" s="4">
        <v>0</v>
      </c>
    </row>
    <row r="383" spans="1:9" x14ac:dyDescent="0.2">
      <c r="A383" s="2">
        <v>2</v>
      </c>
      <c r="B383" s="1" t="s">
        <v>301</v>
      </c>
      <c r="C383" s="4">
        <v>281</v>
      </c>
      <c r="D383" s="8">
        <v>5.64</v>
      </c>
      <c r="E383" s="4">
        <v>270</v>
      </c>
      <c r="F383" s="8">
        <v>11.24</v>
      </c>
      <c r="G383" s="4">
        <v>11</v>
      </c>
      <c r="H383" s="8">
        <v>0.44</v>
      </c>
      <c r="I383" s="4">
        <v>0</v>
      </c>
    </row>
    <row r="384" spans="1:9" x14ac:dyDescent="0.2">
      <c r="A384" s="2">
        <v>3</v>
      </c>
      <c r="B384" s="1" t="s">
        <v>297</v>
      </c>
      <c r="C384" s="4">
        <v>225</v>
      </c>
      <c r="D384" s="8">
        <v>4.5199999999999996</v>
      </c>
      <c r="E384" s="4">
        <v>122</v>
      </c>
      <c r="F384" s="8">
        <v>5.08</v>
      </c>
      <c r="G384" s="4">
        <v>103</v>
      </c>
      <c r="H384" s="8">
        <v>4.09</v>
      </c>
      <c r="I384" s="4">
        <v>0</v>
      </c>
    </row>
    <row r="385" spans="1:9" x14ac:dyDescent="0.2">
      <c r="A385" s="2">
        <v>4</v>
      </c>
      <c r="B385" s="1" t="s">
        <v>303</v>
      </c>
      <c r="C385" s="4">
        <v>161</v>
      </c>
      <c r="D385" s="8">
        <v>3.23</v>
      </c>
      <c r="E385" s="4">
        <v>151</v>
      </c>
      <c r="F385" s="8">
        <v>6.28</v>
      </c>
      <c r="G385" s="4">
        <v>10</v>
      </c>
      <c r="H385" s="8">
        <v>0.4</v>
      </c>
      <c r="I385" s="4">
        <v>0</v>
      </c>
    </row>
    <row r="386" spans="1:9" x14ac:dyDescent="0.2">
      <c r="A386" s="2">
        <v>5</v>
      </c>
      <c r="B386" s="1" t="s">
        <v>299</v>
      </c>
      <c r="C386" s="4">
        <v>158</v>
      </c>
      <c r="D386" s="8">
        <v>3.17</v>
      </c>
      <c r="E386" s="4">
        <v>127</v>
      </c>
      <c r="F386" s="8">
        <v>5.29</v>
      </c>
      <c r="G386" s="4">
        <v>31</v>
      </c>
      <c r="H386" s="8">
        <v>1.23</v>
      </c>
      <c r="I386" s="4">
        <v>0</v>
      </c>
    </row>
    <row r="387" spans="1:9" x14ac:dyDescent="0.2">
      <c r="A387" s="2">
        <v>6</v>
      </c>
      <c r="B387" s="1" t="s">
        <v>300</v>
      </c>
      <c r="C387" s="4">
        <v>138</v>
      </c>
      <c r="D387" s="8">
        <v>2.77</v>
      </c>
      <c r="E387" s="4">
        <v>124</v>
      </c>
      <c r="F387" s="8">
        <v>5.16</v>
      </c>
      <c r="G387" s="4">
        <v>14</v>
      </c>
      <c r="H387" s="8">
        <v>0.56000000000000005</v>
      </c>
      <c r="I387" s="4">
        <v>0</v>
      </c>
    </row>
    <row r="388" spans="1:9" x14ac:dyDescent="0.2">
      <c r="A388" s="2">
        <v>7</v>
      </c>
      <c r="B388" s="1" t="s">
        <v>306</v>
      </c>
      <c r="C388" s="4">
        <v>135</v>
      </c>
      <c r="D388" s="8">
        <v>2.71</v>
      </c>
      <c r="E388" s="4">
        <v>129</v>
      </c>
      <c r="F388" s="8">
        <v>5.37</v>
      </c>
      <c r="G388" s="4">
        <v>6</v>
      </c>
      <c r="H388" s="8">
        <v>0.24</v>
      </c>
      <c r="I388" s="4">
        <v>0</v>
      </c>
    </row>
    <row r="389" spans="1:9" x14ac:dyDescent="0.2">
      <c r="A389" s="2">
        <v>8</v>
      </c>
      <c r="B389" s="1" t="s">
        <v>305</v>
      </c>
      <c r="C389" s="4">
        <v>125</v>
      </c>
      <c r="D389" s="8">
        <v>2.5099999999999998</v>
      </c>
      <c r="E389" s="4">
        <v>108</v>
      </c>
      <c r="F389" s="8">
        <v>4.49</v>
      </c>
      <c r="G389" s="4">
        <v>17</v>
      </c>
      <c r="H389" s="8">
        <v>0.67</v>
      </c>
      <c r="I389" s="4">
        <v>0</v>
      </c>
    </row>
    <row r="390" spans="1:9" x14ac:dyDescent="0.2">
      <c r="A390" s="2">
        <v>9</v>
      </c>
      <c r="B390" s="1" t="s">
        <v>295</v>
      </c>
      <c r="C390" s="4">
        <v>98</v>
      </c>
      <c r="D390" s="8">
        <v>1.97</v>
      </c>
      <c r="E390" s="4">
        <v>43</v>
      </c>
      <c r="F390" s="8">
        <v>1.79</v>
      </c>
      <c r="G390" s="4">
        <v>55</v>
      </c>
      <c r="H390" s="8">
        <v>2.1800000000000002</v>
      </c>
      <c r="I390" s="4">
        <v>0</v>
      </c>
    </row>
    <row r="391" spans="1:9" x14ac:dyDescent="0.2">
      <c r="A391" s="2">
        <v>10</v>
      </c>
      <c r="B391" s="1" t="s">
        <v>302</v>
      </c>
      <c r="C391" s="4">
        <v>97</v>
      </c>
      <c r="D391" s="8">
        <v>1.95</v>
      </c>
      <c r="E391" s="4">
        <v>82</v>
      </c>
      <c r="F391" s="8">
        <v>3.41</v>
      </c>
      <c r="G391" s="4">
        <v>14</v>
      </c>
      <c r="H391" s="8">
        <v>0.56000000000000005</v>
      </c>
      <c r="I391" s="4">
        <v>1</v>
      </c>
    </row>
    <row r="392" spans="1:9" x14ac:dyDescent="0.2">
      <c r="A392" s="2">
        <v>11</v>
      </c>
      <c r="B392" s="1" t="s">
        <v>290</v>
      </c>
      <c r="C392" s="4">
        <v>90</v>
      </c>
      <c r="D392" s="8">
        <v>1.81</v>
      </c>
      <c r="E392" s="4">
        <v>25</v>
      </c>
      <c r="F392" s="8">
        <v>1.04</v>
      </c>
      <c r="G392" s="4">
        <v>65</v>
      </c>
      <c r="H392" s="8">
        <v>2.58</v>
      </c>
      <c r="I392" s="4">
        <v>0</v>
      </c>
    </row>
    <row r="393" spans="1:9" x14ac:dyDescent="0.2">
      <c r="A393" s="2">
        <v>12</v>
      </c>
      <c r="B393" s="1" t="s">
        <v>298</v>
      </c>
      <c r="C393" s="4">
        <v>86</v>
      </c>
      <c r="D393" s="8">
        <v>1.73</v>
      </c>
      <c r="E393" s="4">
        <v>35</v>
      </c>
      <c r="F393" s="8">
        <v>1.46</v>
      </c>
      <c r="G393" s="4">
        <v>51</v>
      </c>
      <c r="H393" s="8">
        <v>2.02</v>
      </c>
      <c r="I393" s="4">
        <v>0</v>
      </c>
    </row>
    <row r="394" spans="1:9" x14ac:dyDescent="0.2">
      <c r="A394" s="2">
        <v>13</v>
      </c>
      <c r="B394" s="1" t="s">
        <v>307</v>
      </c>
      <c r="C394" s="4">
        <v>82</v>
      </c>
      <c r="D394" s="8">
        <v>1.65</v>
      </c>
      <c r="E394" s="4">
        <v>52</v>
      </c>
      <c r="F394" s="8">
        <v>2.16</v>
      </c>
      <c r="G394" s="4">
        <v>30</v>
      </c>
      <c r="H394" s="8">
        <v>1.19</v>
      </c>
      <c r="I394" s="4">
        <v>0</v>
      </c>
    </row>
    <row r="395" spans="1:9" x14ac:dyDescent="0.2">
      <c r="A395" s="2">
        <v>14</v>
      </c>
      <c r="B395" s="1" t="s">
        <v>293</v>
      </c>
      <c r="C395" s="4">
        <v>80</v>
      </c>
      <c r="D395" s="8">
        <v>1.61</v>
      </c>
      <c r="E395" s="4">
        <v>29</v>
      </c>
      <c r="F395" s="8">
        <v>1.21</v>
      </c>
      <c r="G395" s="4">
        <v>51</v>
      </c>
      <c r="H395" s="8">
        <v>2.02</v>
      </c>
      <c r="I395" s="4">
        <v>0</v>
      </c>
    </row>
    <row r="396" spans="1:9" x14ac:dyDescent="0.2">
      <c r="A396" s="2">
        <v>15</v>
      </c>
      <c r="B396" s="1" t="s">
        <v>296</v>
      </c>
      <c r="C396" s="4">
        <v>65</v>
      </c>
      <c r="D396" s="8">
        <v>1.31</v>
      </c>
      <c r="E396" s="4">
        <v>8</v>
      </c>
      <c r="F396" s="8">
        <v>0.33</v>
      </c>
      <c r="G396" s="4">
        <v>57</v>
      </c>
      <c r="H396" s="8">
        <v>2.2599999999999998</v>
      </c>
      <c r="I396" s="4">
        <v>0</v>
      </c>
    </row>
    <row r="397" spans="1:9" x14ac:dyDescent="0.2">
      <c r="A397" s="2">
        <v>16</v>
      </c>
      <c r="B397" s="1" t="s">
        <v>288</v>
      </c>
      <c r="C397" s="4">
        <v>64</v>
      </c>
      <c r="D397" s="8">
        <v>1.29</v>
      </c>
      <c r="E397" s="4">
        <v>5</v>
      </c>
      <c r="F397" s="8">
        <v>0.21</v>
      </c>
      <c r="G397" s="4">
        <v>59</v>
      </c>
      <c r="H397" s="8">
        <v>2.34</v>
      </c>
      <c r="I397" s="4">
        <v>0</v>
      </c>
    </row>
    <row r="398" spans="1:9" x14ac:dyDescent="0.2">
      <c r="A398" s="2">
        <v>17</v>
      </c>
      <c r="B398" s="1" t="s">
        <v>328</v>
      </c>
      <c r="C398" s="4">
        <v>62</v>
      </c>
      <c r="D398" s="8">
        <v>1.25</v>
      </c>
      <c r="E398" s="4">
        <v>14</v>
      </c>
      <c r="F398" s="8">
        <v>0.57999999999999996</v>
      </c>
      <c r="G398" s="4">
        <v>48</v>
      </c>
      <c r="H398" s="8">
        <v>1.9</v>
      </c>
      <c r="I398" s="4">
        <v>0</v>
      </c>
    </row>
    <row r="399" spans="1:9" x14ac:dyDescent="0.2">
      <c r="A399" s="2">
        <v>18</v>
      </c>
      <c r="B399" s="1" t="s">
        <v>289</v>
      </c>
      <c r="C399" s="4">
        <v>61</v>
      </c>
      <c r="D399" s="8">
        <v>1.23</v>
      </c>
      <c r="E399" s="4">
        <v>6</v>
      </c>
      <c r="F399" s="8">
        <v>0.25</v>
      </c>
      <c r="G399" s="4">
        <v>55</v>
      </c>
      <c r="H399" s="8">
        <v>2.1800000000000002</v>
      </c>
      <c r="I399" s="4">
        <v>0</v>
      </c>
    </row>
    <row r="400" spans="1:9" x14ac:dyDescent="0.2">
      <c r="A400" s="2">
        <v>18</v>
      </c>
      <c r="B400" s="1" t="s">
        <v>314</v>
      </c>
      <c r="C400" s="4">
        <v>61</v>
      </c>
      <c r="D400" s="8">
        <v>1.23</v>
      </c>
      <c r="E400" s="4">
        <v>15</v>
      </c>
      <c r="F400" s="8">
        <v>0.62</v>
      </c>
      <c r="G400" s="4">
        <v>46</v>
      </c>
      <c r="H400" s="8">
        <v>1.83</v>
      </c>
      <c r="I400" s="4">
        <v>0</v>
      </c>
    </row>
    <row r="401" spans="1:9" x14ac:dyDescent="0.2">
      <c r="A401" s="2">
        <v>20</v>
      </c>
      <c r="B401" s="1" t="s">
        <v>291</v>
      </c>
      <c r="C401" s="4">
        <v>58</v>
      </c>
      <c r="D401" s="8">
        <v>1.17</v>
      </c>
      <c r="E401" s="4">
        <v>11</v>
      </c>
      <c r="F401" s="8">
        <v>0.46</v>
      </c>
      <c r="G401" s="4">
        <v>47</v>
      </c>
      <c r="H401" s="8">
        <v>1.87</v>
      </c>
      <c r="I401" s="4">
        <v>0</v>
      </c>
    </row>
    <row r="402" spans="1:9" x14ac:dyDescent="0.2">
      <c r="A402" s="1"/>
      <c r="C402" s="4"/>
      <c r="D402" s="8"/>
      <c r="E402" s="4"/>
      <c r="F402" s="8"/>
      <c r="G402" s="4"/>
      <c r="H402" s="8"/>
      <c r="I402" s="4"/>
    </row>
    <row r="403" spans="1:9" x14ac:dyDescent="0.2">
      <c r="A403" s="1" t="s">
        <v>18</v>
      </c>
      <c r="C403" s="4"/>
      <c r="D403" s="8"/>
      <c r="E403" s="4"/>
      <c r="F403" s="8"/>
      <c r="G403" s="4"/>
      <c r="H403" s="8"/>
      <c r="I403" s="4"/>
    </row>
    <row r="404" spans="1:9" x14ac:dyDescent="0.2">
      <c r="A404" s="2">
        <v>1</v>
      </c>
      <c r="B404" s="1" t="s">
        <v>297</v>
      </c>
      <c r="C404" s="4">
        <v>168</v>
      </c>
      <c r="D404" s="8">
        <v>5.99</v>
      </c>
      <c r="E404" s="4">
        <v>106</v>
      </c>
      <c r="F404" s="8">
        <v>8.1199999999999992</v>
      </c>
      <c r="G404" s="4">
        <v>62</v>
      </c>
      <c r="H404" s="8">
        <v>4.2300000000000004</v>
      </c>
      <c r="I404" s="4">
        <v>0</v>
      </c>
    </row>
    <row r="405" spans="1:9" x14ac:dyDescent="0.2">
      <c r="A405" s="2">
        <v>2</v>
      </c>
      <c r="B405" s="1" t="s">
        <v>304</v>
      </c>
      <c r="C405" s="4">
        <v>164</v>
      </c>
      <c r="D405" s="8">
        <v>5.85</v>
      </c>
      <c r="E405" s="4">
        <v>153</v>
      </c>
      <c r="F405" s="8">
        <v>11.72</v>
      </c>
      <c r="G405" s="4">
        <v>11</v>
      </c>
      <c r="H405" s="8">
        <v>0.75</v>
      </c>
      <c r="I405" s="4">
        <v>0</v>
      </c>
    </row>
    <row r="406" spans="1:9" x14ac:dyDescent="0.2">
      <c r="A406" s="2">
        <v>3</v>
      </c>
      <c r="B406" s="1" t="s">
        <v>301</v>
      </c>
      <c r="C406" s="4">
        <v>136</v>
      </c>
      <c r="D406" s="8">
        <v>4.8499999999999996</v>
      </c>
      <c r="E406" s="4">
        <v>131</v>
      </c>
      <c r="F406" s="8">
        <v>10.029999999999999</v>
      </c>
      <c r="G406" s="4">
        <v>5</v>
      </c>
      <c r="H406" s="8">
        <v>0.34</v>
      </c>
      <c r="I406" s="4">
        <v>0</v>
      </c>
    </row>
    <row r="407" spans="1:9" x14ac:dyDescent="0.2">
      <c r="A407" s="2">
        <v>4</v>
      </c>
      <c r="B407" s="1" t="s">
        <v>303</v>
      </c>
      <c r="C407" s="4">
        <v>110</v>
      </c>
      <c r="D407" s="8">
        <v>3.92</v>
      </c>
      <c r="E407" s="4">
        <v>108</v>
      </c>
      <c r="F407" s="8">
        <v>8.27</v>
      </c>
      <c r="G407" s="4">
        <v>2</v>
      </c>
      <c r="H407" s="8">
        <v>0.14000000000000001</v>
      </c>
      <c r="I407" s="4">
        <v>0</v>
      </c>
    </row>
    <row r="408" spans="1:9" x14ac:dyDescent="0.2">
      <c r="A408" s="2">
        <v>5</v>
      </c>
      <c r="B408" s="1" t="s">
        <v>299</v>
      </c>
      <c r="C408" s="4">
        <v>84</v>
      </c>
      <c r="D408" s="8">
        <v>2.99</v>
      </c>
      <c r="E408" s="4">
        <v>67</v>
      </c>
      <c r="F408" s="8">
        <v>5.13</v>
      </c>
      <c r="G408" s="4">
        <v>17</v>
      </c>
      <c r="H408" s="8">
        <v>1.1599999999999999</v>
      </c>
      <c r="I408" s="4">
        <v>0</v>
      </c>
    </row>
    <row r="409" spans="1:9" x14ac:dyDescent="0.2">
      <c r="A409" s="2">
        <v>6</v>
      </c>
      <c r="B409" s="1" t="s">
        <v>306</v>
      </c>
      <c r="C409" s="4">
        <v>64</v>
      </c>
      <c r="D409" s="8">
        <v>2.2799999999999998</v>
      </c>
      <c r="E409" s="4">
        <v>62</v>
      </c>
      <c r="F409" s="8">
        <v>4.75</v>
      </c>
      <c r="G409" s="4">
        <v>2</v>
      </c>
      <c r="H409" s="8">
        <v>0.14000000000000001</v>
      </c>
      <c r="I409" s="4">
        <v>0</v>
      </c>
    </row>
    <row r="410" spans="1:9" x14ac:dyDescent="0.2">
      <c r="A410" s="2">
        <v>7</v>
      </c>
      <c r="B410" s="1" t="s">
        <v>295</v>
      </c>
      <c r="C410" s="4">
        <v>53</v>
      </c>
      <c r="D410" s="8">
        <v>1.89</v>
      </c>
      <c r="E410" s="4">
        <v>22</v>
      </c>
      <c r="F410" s="8">
        <v>1.68</v>
      </c>
      <c r="G410" s="4">
        <v>31</v>
      </c>
      <c r="H410" s="8">
        <v>2.12</v>
      </c>
      <c r="I410" s="4">
        <v>0</v>
      </c>
    </row>
    <row r="411" spans="1:9" x14ac:dyDescent="0.2">
      <c r="A411" s="2">
        <v>8</v>
      </c>
      <c r="B411" s="1" t="s">
        <v>314</v>
      </c>
      <c r="C411" s="4">
        <v>49</v>
      </c>
      <c r="D411" s="8">
        <v>1.75</v>
      </c>
      <c r="E411" s="4">
        <v>14</v>
      </c>
      <c r="F411" s="8">
        <v>1.07</v>
      </c>
      <c r="G411" s="4">
        <v>35</v>
      </c>
      <c r="H411" s="8">
        <v>2.39</v>
      </c>
      <c r="I411" s="4">
        <v>0</v>
      </c>
    </row>
    <row r="412" spans="1:9" x14ac:dyDescent="0.2">
      <c r="A412" s="2">
        <v>9</v>
      </c>
      <c r="B412" s="1" t="s">
        <v>300</v>
      </c>
      <c r="C412" s="4">
        <v>48</v>
      </c>
      <c r="D412" s="8">
        <v>1.71</v>
      </c>
      <c r="E412" s="4">
        <v>42</v>
      </c>
      <c r="F412" s="8">
        <v>3.22</v>
      </c>
      <c r="G412" s="4">
        <v>6</v>
      </c>
      <c r="H412" s="8">
        <v>0.41</v>
      </c>
      <c r="I412" s="4">
        <v>0</v>
      </c>
    </row>
    <row r="413" spans="1:9" x14ac:dyDescent="0.2">
      <c r="A413" s="2">
        <v>10</v>
      </c>
      <c r="B413" s="1" t="s">
        <v>302</v>
      </c>
      <c r="C413" s="4">
        <v>47</v>
      </c>
      <c r="D413" s="8">
        <v>1.68</v>
      </c>
      <c r="E413" s="4">
        <v>42</v>
      </c>
      <c r="F413" s="8">
        <v>3.22</v>
      </c>
      <c r="G413" s="4">
        <v>4</v>
      </c>
      <c r="H413" s="8">
        <v>0.27</v>
      </c>
      <c r="I413" s="4">
        <v>1</v>
      </c>
    </row>
    <row r="414" spans="1:9" x14ac:dyDescent="0.2">
      <c r="A414" s="2">
        <v>11</v>
      </c>
      <c r="B414" s="1" t="s">
        <v>293</v>
      </c>
      <c r="C414" s="4">
        <v>45</v>
      </c>
      <c r="D414" s="8">
        <v>1.6</v>
      </c>
      <c r="E414" s="4">
        <v>11</v>
      </c>
      <c r="F414" s="8">
        <v>0.84</v>
      </c>
      <c r="G414" s="4">
        <v>34</v>
      </c>
      <c r="H414" s="8">
        <v>2.3199999999999998</v>
      </c>
      <c r="I414" s="4">
        <v>0</v>
      </c>
    </row>
    <row r="415" spans="1:9" x14ac:dyDescent="0.2">
      <c r="A415" s="2">
        <v>12</v>
      </c>
      <c r="B415" s="1" t="s">
        <v>309</v>
      </c>
      <c r="C415" s="4">
        <v>41</v>
      </c>
      <c r="D415" s="8">
        <v>1.46</v>
      </c>
      <c r="E415" s="4">
        <v>8</v>
      </c>
      <c r="F415" s="8">
        <v>0.61</v>
      </c>
      <c r="G415" s="4">
        <v>33</v>
      </c>
      <c r="H415" s="8">
        <v>2.25</v>
      </c>
      <c r="I415" s="4">
        <v>0</v>
      </c>
    </row>
    <row r="416" spans="1:9" x14ac:dyDescent="0.2">
      <c r="A416" s="2">
        <v>13</v>
      </c>
      <c r="B416" s="1" t="s">
        <v>328</v>
      </c>
      <c r="C416" s="4">
        <v>38</v>
      </c>
      <c r="D416" s="8">
        <v>1.35</v>
      </c>
      <c r="E416" s="4">
        <v>9</v>
      </c>
      <c r="F416" s="8">
        <v>0.69</v>
      </c>
      <c r="G416" s="4">
        <v>29</v>
      </c>
      <c r="H416" s="8">
        <v>1.98</v>
      </c>
      <c r="I416" s="4">
        <v>0</v>
      </c>
    </row>
    <row r="417" spans="1:9" x14ac:dyDescent="0.2">
      <c r="A417" s="2">
        <v>13</v>
      </c>
      <c r="B417" s="1" t="s">
        <v>307</v>
      </c>
      <c r="C417" s="4">
        <v>38</v>
      </c>
      <c r="D417" s="8">
        <v>1.35</v>
      </c>
      <c r="E417" s="4">
        <v>16</v>
      </c>
      <c r="F417" s="8">
        <v>1.23</v>
      </c>
      <c r="G417" s="4">
        <v>22</v>
      </c>
      <c r="H417" s="8">
        <v>1.5</v>
      </c>
      <c r="I417" s="4">
        <v>0</v>
      </c>
    </row>
    <row r="418" spans="1:9" x14ac:dyDescent="0.2">
      <c r="A418" s="2">
        <v>15</v>
      </c>
      <c r="B418" s="1" t="s">
        <v>290</v>
      </c>
      <c r="C418" s="4">
        <v>36</v>
      </c>
      <c r="D418" s="8">
        <v>1.28</v>
      </c>
      <c r="E418" s="4">
        <v>11</v>
      </c>
      <c r="F418" s="8">
        <v>0.84</v>
      </c>
      <c r="G418" s="4">
        <v>25</v>
      </c>
      <c r="H418" s="8">
        <v>1.71</v>
      </c>
      <c r="I418" s="4">
        <v>0</v>
      </c>
    </row>
    <row r="419" spans="1:9" x14ac:dyDescent="0.2">
      <c r="A419" s="2">
        <v>15</v>
      </c>
      <c r="B419" s="1" t="s">
        <v>321</v>
      </c>
      <c r="C419" s="4">
        <v>36</v>
      </c>
      <c r="D419" s="8">
        <v>1.28</v>
      </c>
      <c r="E419" s="4">
        <v>4</v>
      </c>
      <c r="F419" s="8">
        <v>0.31</v>
      </c>
      <c r="G419" s="4">
        <v>32</v>
      </c>
      <c r="H419" s="8">
        <v>2.1800000000000002</v>
      </c>
      <c r="I419" s="4">
        <v>0</v>
      </c>
    </row>
    <row r="420" spans="1:9" x14ac:dyDescent="0.2">
      <c r="A420" s="2">
        <v>17</v>
      </c>
      <c r="B420" s="1" t="s">
        <v>292</v>
      </c>
      <c r="C420" s="4">
        <v>35</v>
      </c>
      <c r="D420" s="8">
        <v>1.25</v>
      </c>
      <c r="E420" s="4">
        <v>21</v>
      </c>
      <c r="F420" s="8">
        <v>1.61</v>
      </c>
      <c r="G420" s="4">
        <v>14</v>
      </c>
      <c r="H420" s="8">
        <v>0.96</v>
      </c>
      <c r="I420" s="4">
        <v>0</v>
      </c>
    </row>
    <row r="421" spans="1:9" x14ac:dyDescent="0.2">
      <c r="A421" s="2">
        <v>17</v>
      </c>
      <c r="B421" s="1" t="s">
        <v>331</v>
      </c>
      <c r="C421" s="4">
        <v>35</v>
      </c>
      <c r="D421" s="8">
        <v>1.25</v>
      </c>
      <c r="E421" s="4">
        <v>0</v>
      </c>
      <c r="F421" s="8">
        <v>0</v>
      </c>
      <c r="G421" s="4">
        <v>35</v>
      </c>
      <c r="H421" s="8">
        <v>2.39</v>
      </c>
      <c r="I421" s="4">
        <v>0</v>
      </c>
    </row>
    <row r="422" spans="1:9" x14ac:dyDescent="0.2">
      <c r="A422" s="2">
        <v>19</v>
      </c>
      <c r="B422" s="1" t="s">
        <v>289</v>
      </c>
      <c r="C422" s="4">
        <v>34</v>
      </c>
      <c r="D422" s="8">
        <v>1.21</v>
      </c>
      <c r="E422" s="4">
        <v>3</v>
      </c>
      <c r="F422" s="8">
        <v>0.23</v>
      </c>
      <c r="G422" s="4">
        <v>31</v>
      </c>
      <c r="H422" s="8">
        <v>2.12</v>
      </c>
      <c r="I422" s="4">
        <v>0</v>
      </c>
    </row>
    <row r="423" spans="1:9" x14ac:dyDescent="0.2">
      <c r="A423" s="2">
        <v>19</v>
      </c>
      <c r="B423" s="1" t="s">
        <v>335</v>
      </c>
      <c r="C423" s="4">
        <v>34</v>
      </c>
      <c r="D423" s="8">
        <v>1.21</v>
      </c>
      <c r="E423" s="4">
        <v>21</v>
      </c>
      <c r="F423" s="8">
        <v>1.61</v>
      </c>
      <c r="G423" s="4">
        <v>13</v>
      </c>
      <c r="H423" s="8">
        <v>0.89</v>
      </c>
      <c r="I423" s="4">
        <v>0</v>
      </c>
    </row>
    <row r="424" spans="1:9" x14ac:dyDescent="0.2">
      <c r="A424" s="1"/>
      <c r="C424" s="4"/>
      <c r="D424" s="8"/>
      <c r="E424" s="4"/>
      <c r="F424" s="8"/>
      <c r="G424" s="4"/>
      <c r="H424" s="8"/>
      <c r="I424" s="4"/>
    </row>
    <row r="425" spans="1:9" x14ac:dyDescent="0.2">
      <c r="A425" s="1" t="s">
        <v>19</v>
      </c>
      <c r="C425" s="4"/>
      <c r="D425" s="8"/>
      <c r="E425" s="4"/>
      <c r="F425" s="8"/>
      <c r="G425" s="4"/>
      <c r="H425" s="8"/>
      <c r="I425" s="4"/>
    </row>
    <row r="426" spans="1:9" x14ac:dyDescent="0.2">
      <c r="A426" s="2">
        <v>1</v>
      </c>
      <c r="B426" s="1" t="s">
        <v>304</v>
      </c>
      <c r="C426" s="4">
        <v>16</v>
      </c>
      <c r="D426" s="8">
        <v>8.3800000000000008</v>
      </c>
      <c r="E426" s="4">
        <v>15</v>
      </c>
      <c r="F426" s="8">
        <v>14.15</v>
      </c>
      <c r="G426" s="4">
        <v>1</v>
      </c>
      <c r="H426" s="8">
        <v>1.28</v>
      </c>
      <c r="I426" s="4">
        <v>0</v>
      </c>
    </row>
    <row r="427" spans="1:9" x14ac:dyDescent="0.2">
      <c r="A427" s="2">
        <v>2</v>
      </c>
      <c r="B427" s="1" t="s">
        <v>303</v>
      </c>
      <c r="C427" s="4">
        <v>13</v>
      </c>
      <c r="D427" s="8">
        <v>6.81</v>
      </c>
      <c r="E427" s="4">
        <v>13</v>
      </c>
      <c r="F427" s="8">
        <v>12.26</v>
      </c>
      <c r="G427" s="4">
        <v>0</v>
      </c>
      <c r="H427" s="8">
        <v>0</v>
      </c>
      <c r="I427" s="4">
        <v>0</v>
      </c>
    </row>
    <row r="428" spans="1:9" x14ac:dyDescent="0.2">
      <c r="A428" s="2">
        <v>3</v>
      </c>
      <c r="B428" s="1" t="s">
        <v>330</v>
      </c>
      <c r="C428" s="4">
        <v>12</v>
      </c>
      <c r="D428" s="8">
        <v>6.28</v>
      </c>
      <c r="E428" s="4">
        <v>3</v>
      </c>
      <c r="F428" s="8">
        <v>2.83</v>
      </c>
      <c r="G428" s="4">
        <v>9</v>
      </c>
      <c r="H428" s="8">
        <v>11.54</v>
      </c>
      <c r="I428" s="4">
        <v>0</v>
      </c>
    </row>
    <row r="429" spans="1:9" x14ac:dyDescent="0.2">
      <c r="A429" s="2">
        <v>4</v>
      </c>
      <c r="B429" s="1" t="s">
        <v>336</v>
      </c>
      <c r="C429" s="4">
        <v>9</v>
      </c>
      <c r="D429" s="8">
        <v>4.71</v>
      </c>
      <c r="E429" s="4">
        <v>2</v>
      </c>
      <c r="F429" s="8">
        <v>1.89</v>
      </c>
      <c r="G429" s="4">
        <v>7</v>
      </c>
      <c r="H429" s="8">
        <v>8.9700000000000006</v>
      </c>
      <c r="I429" s="4">
        <v>0</v>
      </c>
    </row>
    <row r="430" spans="1:9" x14ac:dyDescent="0.2">
      <c r="A430" s="2">
        <v>4</v>
      </c>
      <c r="B430" s="1" t="s">
        <v>300</v>
      </c>
      <c r="C430" s="4">
        <v>9</v>
      </c>
      <c r="D430" s="8">
        <v>4.71</v>
      </c>
      <c r="E430" s="4">
        <v>9</v>
      </c>
      <c r="F430" s="8">
        <v>8.49</v>
      </c>
      <c r="G430" s="4">
        <v>0</v>
      </c>
      <c r="H430" s="8">
        <v>0</v>
      </c>
      <c r="I430" s="4">
        <v>0</v>
      </c>
    </row>
    <row r="431" spans="1:9" x14ac:dyDescent="0.2">
      <c r="A431" s="2">
        <v>6</v>
      </c>
      <c r="B431" s="1" t="s">
        <v>301</v>
      </c>
      <c r="C431" s="4">
        <v>7</v>
      </c>
      <c r="D431" s="8">
        <v>3.66</v>
      </c>
      <c r="E431" s="4">
        <v>7</v>
      </c>
      <c r="F431" s="8">
        <v>6.6</v>
      </c>
      <c r="G431" s="4">
        <v>0</v>
      </c>
      <c r="H431" s="8">
        <v>0</v>
      </c>
      <c r="I431" s="4">
        <v>0</v>
      </c>
    </row>
    <row r="432" spans="1:9" x14ac:dyDescent="0.2">
      <c r="A432" s="2">
        <v>6</v>
      </c>
      <c r="B432" s="1" t="s">
        <v>331</v>
      </c>
      <c r="C432" s="4">
        <v>7</v>
      </c>
      <c r="D432" s="8">
        <v>3.66</v>
      </c>
      <c r="E432" s="4">
        <v>0</v>
      </c>
      <c r="F432" s="8">
        <v>0</v>
      </c>
      <c r="G432" s="4">
        <v>6</v>
      </c>
      <c r="H432" s="8">
        <v>7.69</v>
      </c>
      <c r="I432" s="4">
        <v>0</v>
      </c>
    </row>
    <row r="433" spans="1:9" x14ac:dyDescent="0.2">
      <c r="A433" s="2">
        <v>8</v>
      </c>
      <c r="B433" s="1" t="s">
        <v>307</v>
      </c>
      <c r="C433" s="4">
        <v>6</v>
      </c>
      <c r="D433" s="8">
        <v>3.14</v>
      </c>
      <c r="E433" s="4">
        <v>5</v>
      </c>
      <c r="F433" s="8">
        <v>4.72</v>
      </c>
      <c r="G433" s="4">
        <v>1</v>
      </c>
      <c r="H433" s="8">
        <v>1.28</v>
      </c>
      <c r="I433" s="4">
        <v>0</v>
      </c>
    </row>
    <row r="434" spans="1:9" x14ac:dyDescent="0.2">
      <c r="A434" s="2">
        <v>9</v>
      </c>
      <c r="B434" s="1" t="s">
        <v>329</v>
      </c>
      <c r="C434" s="4">
        <v>5</v>
      </c>
      <c r="D434" s="8">
        <v>2.62</v>
      </c>
      <c r="E434" s="4">
        <v>4</v>
      </c>
      <c r="F434" s="8">
        <v>3.77</v>
      </c>
      <c r="G434" s="4">
        <v>1</v>
      </c>
      <c r="H434" s="8">
        <v>1.28</v>
      </c>
      <c r="I434" s="4">
        <v>0</v>
      </c>
    </row>
    <row r="435" spans="1:9" x14ac:dyDescent="0.2">
      <c r="A435" s="2">
        <v>9</v>
      </c>
      <c r="B435" s="1" t="s">
        <v>295</v>
      </c>
      <c r="C435" s="4">
        <v>5</v>
      </c>
      <c r="D435" s="8">
        <v>2.62</v>
      </c>
      <c r="E435" s="4">
        <v>3</v>
      </c>
      <c r="F435" s="8">
        <v>2.83</v>
      </c>
      <c r="G435" s="4">
        <v>2</v>
      </c>
      <c r="H435" s="8">
        <v>2.56</v>
      </c>
      <c r="I435" s="4">
        <v>0</v>
      </c>
    </row>
    <row r="436" spans="1:9" x14ac:dyDescent="0.2">
      <c r="A436" s="2">
        <v>11</v>
      </c>
      <c r="B436" s="1" t="s">
        <v>288</v>
      </c>
      <c r="C436" s="4">
        <v>4</v>
      </c>
      <c r="D436" s="8">
        <v>2.09</v>
      </c>
      <c r="E436" s="4">
        <v>1</v>
      </c>
      <c r="F436" s="8">
        <v>0.94</v>
      </c>
      <c r="G436" s="4">
        <v>3</v>
      </c>
      <c r="H436" s="8">
        <v>3.85</v>
      </c>
      <c r="I436" s="4">
        <v>0</v>
      </c>
    </row>
    <row r="437" spans="1:9" x14ac:dyDescent="0.2">
      <c r="A437" s="2">
        <v>11</v>
      </c>
      <c r="B437" s="1" t="s">
        <v>292</v>
      </c>
      <c r="C437" s="4">
        <v>4</v>
      </c>
      <c r="D437" s="8">
        <v>2.09</v>
      </c>
      <c r="E437" s="4">
        <v>4</v>
      </c>
      <c r="F437" s="8">
        <v>3.77</v>
      </c>
      <c r="G437" s="4">
        <v>0</v>
      </c>
      <c r="H437" s="8">
        <v>0</v>
      </c>
      <c r="I437" s="4">
        <v>0</v>
      </c>
    </row>
    <row r="438" spans="1:9" x14ac:dyDescent="0.2">
      <c r="A438" s="2">
        <v>11</v>
      </c>
      <c r="B438" s="1" t="s">
        <v>302</v>
      </c>
      <c r="C438" s="4">
        <v>4</v>
      </c>
      <c r="D438" s="8">
        <v>2.09</v>
      </c>
      <c r="E438" s="4">
        <v>4</v>
      </c>
      <c r="F438" s="8">
        <v>3.77</v>
      </c>
      <c r="G438" s="4">
        <v>0</v>
      </c>
      <c r="H438" s="8">
        <v>0</v>
      </c>
      <c r="I438" s="4">
        <v>0</v>
      </c>
    </row>
    <row r="439" spans="1:9" x14ac:dyDescent="0.2">
      <c r="A439" s="2">
        <v>14</v>
      </c>
      <c r="B439" s="1" t="s">
        <v>291</v>
      </c>
      <c r="C439" s="4">
        <v>3</v>
      </c>
      <c r="D439" s="8">
        <v>1.57</v>
      </c>
      <c r="E439" s="4">
        <v>0</v>
      </c>
      <c r="F439" s="8">
        <v>0</v>
      </c>
      <c r="G439" s="4">
        <v>3</v>
      </c>
      <c r="H439" s="8">
        <v>3.85</v>
      </c>
      <c r="I439" s="4">
        <v>0</v>
      </c>
    </row>
    <row r="440" spans="1:9" x14ac:dyDescent="0.2">
      <c r="A440" s="2">
        <v>14</v>
      </c>
      <c r="B440" s="1" t="s">
        <v>335</v>
      </c>
      <c r="C440" s="4">
        <v>3</v>
      </c>
      <c r="D440" s="8">
        <v>1.57</v>
      </c>
      <c r="E440" s="4">
        <v>2</v>
      </c>
      <c r="F440" s="8">
        <v>1.89</v>
      </c>
      <c r="G440" s="4">
        <v>1</v>
      </c>
      <c r="H440" s="8">
        <v>1.28</v>
      </c>
      <c r="I440" s="4">
        <v>0</v>
      </c>
    </row>
    <row r="441" spans="1:9" x14ac:dyDescent="0.2">
      <c r="A441" s="2">
        <v>14</v>
      </c>
      <c r="B441" s="1" t="s">
        <v>337</v>
      </c>
      <c r="C441" s="4">
        <v>3</v>
      </c>
      <c r="D441" s="8">
        <v>1.57</v>
      </c>
      <c r="E441" s="4">
        <v>1</v>
      </c>
      <c r="F441" s="8">
        <v>0.94</v>
      </c>
      <c r="G441" s="4">
        <v>2</v>
      </c>
      <c r="H441" s="8">
        <v>2.56</v>
      </c>
      <c r="I441" s="4">
        <v>0</v>
      </c>
    </row>
    <row r="442" spans="1:9" x14ac:dyDescent="0.2">
      <c r="A442" s="2">
        <v>14</v>
      </c>
      <c r="B442" s="1" t="s">
        <v>338</v>
      </c>
      <c r="C442" s="4">
        <v>3</v>
      </c>
      <c r="D442" s="8">
        <v>1.57</v>
      </c>
      <c r="E442" s="4">
        <v>3</v>
      </c>
      <c r="F442" s="8">
        <v>2.83</v>
      </c>
      <c r="G442" s="4">
        <v>0</v>
      </c>
      <c r="H442" s="8">
        <v>0</v>
      </c>
      <c r="I442" s="4">
        <v>0</v>
      </c>
    </row>
    <row r="443" spans="1:9" x14ac:dyDescent="0.2">
      <c r="A443" s="2">
        <v>14</v>
      </c>
      <c r="B443" s="1" t="s">
        <v>297</v>
      </c>
      <c r="C443" s="4">
        <v>3</v>
      </c>
      <c r="D443" s="8">
        <v>1.57</v>
      </c>
      <c r="E443" s="4">
        <v>1</v>
      </c>
      <c r="F443" s="8">
        <v>0.94</v>
      </c>
      <c r="G443" s="4">
        <v>2</v>
      </c>
      <c r="H443" s="8">
        <v>2.56</v>
      </c>
      <c r="I443" s="4">
        <v>0</v>
      </c>
    </row>
    <row r="444" spans="1:9" x14ac:dyDescent="0.2">
      <c r="A444" s="2">
        <v>14</v>
      </c>
      <c r="B444" s="1" t="s">
        <v>339</v>
      </c>
      <c r="C444" s="4">
        <v>3</v>
      </c>
      <c r="D444" s="8">
        <v>1.57</v>
      </c>
      <c r="E444" s="4">
        <v>3</v>
      </c>
      <c r="F444" s="8">
        <v>2.83</v>
      </c>
      <c r="G444" s="4">
        <v>0</v>
      </c>
      <c r="H444" s="8">
        <v>0</v>
      </c>
      <c r="I444" s="4">
        <v>0</v>
      </c>
    </row>
    <row r="445" spans="1:9" x14ac:dyDescent="0.2">
      <c r="A445" s="2">
        <v>14</v>
      </c>
      <c r="B445" s="1" t="s">
        <v>334</v>
      </c>
      <c r="C445" s="4">
        <v>3</v>
      </c>
      <c r="D445" s="8">
        <v>1.57</v>
      </c>
      <c r="E445" s="4">
        <v>2</v>
      </c>
      <c r="F445" s="8">
        <v>1.89</v>
      </c>
      <c r="G445" s="4">
        <v>1</v>
      </c>
      <c r="H445" s="8">
        <v>1.28</v>
      </c>
      <c r="I445" s="4">
        <v>0</v>
      </c>
    </row>
    <row r="446" spans="1:9" x14ac:dyDescent="0.2">
      <c r="A446" s="2">
        <v>14</v>
      </c>
      <c r="B446" s="1" t="s">
        <v>323</v>
      </c>
      <c r="C446" s="4">
        <v>3</v>
      </c>
      <c r="D446" s="8">
        <v>1.57</v>
      </c>
      <c r="E446" s="4">
        <v>2</v>
      </c>
      <c r="F446" s="8">
        <v>1.89</v>
      </c>
      <c r="G446" s="4">
        <v>1</v>
      </c>
      <c r="H446" s="8">
        <v>1.28</v>
      </c>
      <c r="I446" s="4">
        <v>0</v>
      </c>
    </row>
    <row r="447" spans="1:9" x14ac:dyDescent="0.2">
      <c r="A447" s="2">
        <v>14</v>
      </c>
      <c r="B447" s="1" t="s">
        <v>340</v>
      </c>
      <c r="C447" s="4">
        <v>3</v>
      </c>
      <c r="D447" s="8">
        <v>1.57</v>
      </c>
      <c r="E447" s="4">
        <v>0</v>
      </c>
      <c r="F447" s="8">
        <v>0</v>
      </c>
      <c r="G447" s="4">
        <v>2</v>
      </c>
      <c r="H447" s="8">
        <v>2.56</v>
      </c>
      <c r="I447" s="4">
        <v>0</v>
      </c>
    </row>
    <row r="448" spans="1:9" x14ac:dyDescent="0.2">
      <c r="A448" s="2">
        <v>14</v>
      </c>
      <c r="B448" s="1" t="s">
        <v>312</v>
      </c>
      <c r="C448" s="4">
        <v>3</v>
      </c>
      <c r="D448" s="8">
        <v>1.57</v>
      </c>
      <c r="E448" s="4">
        <v>3</v>
      </c>
      <c r="F448" s="8">
        <v>2.83</v>
      </c>
      <c r="G448" s="4">
        <v>0</v>
      </c>
      <c r="H448" s="8">
        <v>0</v>
      </c>
      <c r="I448" s="4">
        <v>0</v>
      </c>
    </row>
    <row r="449" spans="1:9" x14ac:dyDescent="0.2">
      <c r="A449" s="2">
        <v>14</v>
      </c>
      <c r="B449" s="1" t="s">
        <v>341</v>
      </c>
      <c r="C449" s="4">
        <v>3</v>
      </c>
      <c r="D449" s="8">
        <v>1.57</v>
      </c>
      <c r="E449" s="4">
        <v>0</v>
      </c>
      <c r="F449" s="8">
        <v>0</v>
      </c>
      <c r="G449" s="4">
        <v>0</v>
      </c>
      <c r="H449" s="8">
        <v>0</v>
      </c>
      <c r="I449" s="4">
        <v>0</v>
      </c>
    </row>
    <row r="450" spans="1:9" x14ac:dyDescent="0.2">
      <c r="A450" s="1"/>
      <c r="C450" s="4"/>
      <c r="D450" s="8"/>
      <c r="E450" s="4"/>
      <c r="F450" s="8"/>
      <c r="G450" s="4"/>
      <c r="H450" s="8"/>
      <c r="I450" s="4"/>
    </row>
    <row r="451" spans="1:9" x14ac:dyDescent="0.2">
      <c r="A451" s="1" t="s">
        <v>20</v>
      </c>
      <c r="C451" s="4"/>
      <c r="D451" s="8"/>
      <c r="E451" s="4"/>
      <c r="F451" s="8"/>
      <c r="G451" s="4"/>
      <c r="H451" s="8"/>
      <c r="I451" s="4"/>
    </row>
    <row r="452" spans="1:9" x14ac:dyDescent="0.2">
      <c r="A452" s="2">
        <v>1</v>
      </c>
      <c r="B452" s="1" t="s">
        <v>297</v>
      </c>
      <c r="C452" s="4">
        <v>154</v>
      </c>
      <c r="D452" s="8">
        <v>9.2799999999999994</v>
      </c>
      <c r="E452" s="4">
        <v>117</v>
      </c>
      <c r="F452" s="8">
        <v>14.64</v>
      </c>
      <c r="G452" s="4">
        <v>36</v>
      </c>
      <c r="H452" s="8">
        <v>4.4400000000000004</v>
      </c>
      <c r="I452" s="4">
        <v>0</v>
      </c>
    </row>
    <row r="453" spans="1:9" x14ac:dyDescent="0.2">
      <c r="A453" s="2">
        <v>2</v>
      </c>
      <c r="B453" s="1" t="s">
        <v>304</v>
      </c>
      <c r="C453" s="4">
        <v>101</v>
      </c>
      <c r="D453" s="8">
        <v>6.09</v>
      </c>
      <c r="E453" s="4">
        <v>90</v>
      </c>
      <c r="F453" s="8">
        <v>11.26</v>
      </c>
      <c r="G453" s="4">
        <v>11</v>
      </c>
      <c r="H453" s="8">
        <v>1.36</v>
      </c>
      <c r="I453" s="4">
        <v>0</v>
      </c>
    </row>
    <row r="454" spans="1:9" x14ac:dyDescent="0.2">
      <c r="A454" s="2">
        <v>3</v>
      </c>
      <c r="B454" s="1" t="s">
        <v>303</v>
      </c>
      <c r="C454" s="4">
        <v>74</v>
      </c>
      <c r="D454" s="8">
        <v>4.46</v>
      </c>
      <c r="E454" s="4">
        <v>69</v>
      </c>
      <c r="F454" s="8">
        <v>8.64</v>
      </c>
      <c r="G454" s="4">
        <v>5</v>
      </c>
      <c r="H454" s="8">
        <v>0.62</v>
      </c>
      <c r="I454" s="4">
        <v>0</v>
      </c>
    </row>
    <row r="455" spans="1:9" x14ac:dyDescent="0.2">
      <c r="A455" s="2">
        <v>4</v>
      </c>
      <c r="B455" s="1" t="s">
        <v>301</v>
      </c>
      <c r="C455" s="4">
        <v>55</v>
      </c>
      <c r="D455" s="8">
        <v>3.32</v>
      </c>
      <c r="E455" s="4">
        <v>52</v>
      </c>
      <c r="F455" s="8">
        <v>6.51</v>
      </c>
      <c r="G455" s="4">
        <v>3</v>
      </c>
      <c r="H455" s="8">
        <v>0.37</v>
      </c>
      <c r="I455" s="4">
        <v>0</v>
      </c>
    </row>
    <row r="456" spans="1:9" x14ac:dyDescent="0.2">
      <c r="A456" s="2">
        <v>5</v>
      </c>
      <c r="B456" s="1" t="s">
        <v>288</v>
      </c>
      <c r="C456" s="4">
        <v>39</v>
      </c>
      <c r="D456" s="8">
        <v>2.35</v>
      </c>
      <c r="E456" s="4">
        <v>0</v>
      </c>
      <c r="F456" s="8">
        <v>0</v>
      </c>
      <c r="G456" s="4">
        <v>39</v>
      </c>
      <c r="H456" s="8">
        <v>4.8099999999999996</v>
      </c>
      <c r="I456" s="4">
        <v>0</v>
      </c>
    </row>
    <row r="457" spans="1:9" x14ac:dyDescent="0.2">
      <c r="A457" s="2">
        <v>6</v>
      </c>
      <c r="B457" s="1" t="s">
        <v>300</v>
      </c>
      <c r="C457" s="4">
        <v>38</v>
      </c>
      <c r="D457" s="8">
        <v>2.29</v>
      </c>
      <c r="E457" s="4">
        <v>34</v>
      </c>
      <c r="F457" s="8">
        <v>4.26</v>
      </c>
      <c r="G457" s="4">
        <v>4</v>
      </c>
      <c r="H457" s="8">
        <v>0.49</v>
      </c>
      <c r="I457" s="4">
        <v>0</v>
      </c>
    </row>
    <row r="458" spans="1:9" x14ac:dyDescent="0.2">
      <c r="A458" s="2">
        <v>7</v>
      </c>
      <c r="B458" s="1" t="s">
        <v>306</v>
      </c>
      <c r="C458" s="4">
        <v>37</v>
      </c>
      <c r="D458" s="8">
        <v>2.23</v>
      </c>
      <c r="E458" s="4">
        <v>30</v>
      </c>
      <c r="F458" s="8">
        <v>3.75</v>
      </c>
      <c r="G458" s="4">
        <v>7</v>
      </c>
      <c r="H458" s="8">
        <v>0.86</v>
      </c>
      <c r="I458" s="4">
        <v>0</v>
      </c>
    </row>
    <row r="459" spans="1:9" x14ac:dyDescent="0.2">
      <c r="A459" s="2">
        <v>8</v>
      </c>
      <c r="B459" s="1" t="s">
        <v>295</v>
      </c>
      <c r="C459" s="4">
        <v>36</v>
      </c>
      <c r="D459" s="8">
        <v>2.17</v>
      </c>
      <c r="E459" s="4">
        <v>15</v>
      </c>
      <c r="F459" s="8">
        <v>1.88</v>
      </c>
      <c r="G459" s="4">
        <v>21</v>
      </c>
      <c r="H459" s="8">
        <v>2.59</v>
      </c>
      <c r="I459" s="4">
        <v>0</v>
      </c>
    </row>
    <row r="460" spans="1:9" x14ac:dyDescent="0.2">
      <c r="A460" s="2">
        <v>9</v>
      </c>
      <c r="B460" s="1" t="s">
        <v>305</v>
      </c>
      <c r="C460" s="4">
        <v>30</v>
      </c>
      <c r="D460" s="8">
        <v>1.81</v>
      </c>
      <c r="E460" s="4">
        <v>25</v>
      </c>
      <c r="F460" s="8">
        <v>3.13</v>
      </c>
      <c r="G460" s="4">
        <v>5</v>
      </c>
      <c r="H460" s="8">
        <v>0.62</v>
      </c>
      <c r="I460" s="4">
        <v>0</v>
      </c>
    </row>
    <row r="461" spans="1:9" x14ac:dyDescent="0.2">
      <c r="A461" s="2">
        <v>10</v>
      </c>
      <c r="B461" s="1" t="s">
        <v>299</v>
      </c>
      <c r="C461" s="4">
        <v>29</v>
      </c>
      <c r="D461" s="8">
        <v>1.75</v>
      </c>
      <c r="E461" s="4">
        <v>24</v>
      </c>
      <c r="F461" s="8">
        <v>3</v>
      </c>
      <c r="G461" s="4">
        <v>5</v>
      </c>
      <c r="H461" s="8">
        <v>0.62</v>
      </c>
      <c r="I461" s="4">
        <v>0</v>
      </c>
    </row>
    <row r="462" spans="1:9" x14ac:dyDescent="0.2">
      <c r="A462" s="2">
        <v>11</v>
      </c>
      <c r="B462" s="1" t="s">
        <v>302</v>
      </c>
      <c r="C462" s="4">
        <v>27</v>
      </c>
      <c r="D462" s="8">
        <v>1.63</v>
      </c>
      <c r="E462" s="4">
        <v>26</v>
      </c>
      <c r="F462" s="8">
        <v>3.25</v>
      </c>
      <c r="G462" s="4">
        <v>1</v>
      </c>
      <c r="H462" s="8">
        <v>0.12</v>
      </c>
      <c r="I462" s="4">
        <v>0</v>
      </c>
    </row>
    <row r="463" spans="1:9" x14ac:dyDescent="0.2">
      <c r="A463" s="2">
        <v>12</v>
      </c>
      <c r="B463" s="1" t="s">
        <v>292</v>
      </c>
      <c r="C463" s="4">
        <v>26</v>
      </c>
      <c r="D463" s="8">
        <v>1.57</v>
      </c>
      <c r="E463" s="4">
        <v>10</v>
      </c>
      <c r="F463" s="8">
        <v>1.25</v>
      </c>
      <c r="G463" s="4">
        <v>15</v>
      </c>
      <c r="H463" s="8">
        <v>1.85</v>
      </c>
      <c r="I463" s="4">
        <v>1</v>
      </c>
    </row>
    <row r="464" spans="1:9" x14ac:dyDescent="0.2">
      <c r="A464" s="2">
        <v>12</v>
      </c>
      <c r="B464" s="1" t="s">
        <v>341</v>
      </c>
      <c r="C464" s="4">
        <v>26</v>
      </c>
      <c r="D464" s="8">
        <v>1.57</v>
      </c>
      <c r="E464" s="4">
        <v>0</v>
      </c>
      <c r="F464" s="8">
        <v>0</v>
      </c>
      <c r="G464" s="4">
        <v>2</v>
      </c>
      <c r="H464" s="8">
        <v>0.25</v>
      </c>
      <c r="I464" s="4">
        <v>6</v>
      </c>
    </row>
    <row r="465" spans="1:9" x14ac:dyDescent="0.2">
      <c r="A465" s="2">
        <v>14</v>
      </c>
      <c r="B465" s="1" t="s">
        <v>293</v>
      </c>
      <c r="C465" s="4">
        <v>24</v>
      </c>
      <c r="D465" s="8">
        <v>1.45</v>
      </c>
      <c r="E465" s="4">
        <v>6</v>
      </c>
      <c r="F465" s="8">
        <v>0.75</v>
      </c>
      <c r="G465" s="4">
        <v>18</v>
      </c>
      <c r="H465" s="8">
        <v>2.2200000000000002</v>
      </c>
      <c r="I465" s="4">
        <v>0</v>
      </c>
    </row>
    <row r="466" spans="1:9" x14ac:dyDescent="0.2">
      <c r="A466" s="2">
        <v>14</v>
      </c>
      <c r="B466" s="1" t="s">
        <v>335</v>
      </c>
      <c r="C466" s="4">
        <v>24</v>
      </c>
      <c r="D466" s="8">
        <v>1.45</v>
      </c>
      <c r="E466" s="4">
        <v>8</v>
      </c>
      <c r="F466" s="8">
        <v>1</v>
      </c>
      <c r="G466" s="4">
        <v>16</v>
      </c>
      <c r="H466" s="8">
        <v>1.97</v>
      </c>
      <c r="I466" s="4">
        <v>0</v>
      </c>
    </row>
    <row r="467" spans="1:9" x14ac:dyDescent="0.2">
      <c r="A467" s="2">
        <v>16</v>
      </c>
      <c r="B467" s="1" t="s">
        <v>314</v>
      </c>
      <c r="C467" s="4">
        <v>23</v>
      </c>
      <c r="D467" s="8">
        <v>1.39</v>
      </c>
      <c r="E467" s="4">
        <v>7</v>
      </c>
      <c r="F467" s="8">
        <v>0.88</v>
      </c>
      <c r="G467" s="4">
        <v>16</v>
      </c>
      <c r="H467" s="8">
        <v>1.97</v>
      </c>
      <c r="I467" s="4">
        <v>0</v>
      </c>
    </row>
    <row r="468" spans="1:9" x14ac:dyDescent="0.2">
      <c r="A468" s="2">
        <v>16</v>
      </c>
      <c r="B468" s="1" t="s">
        <v>296</v>
      </c>
      <c r="C468" s="4">
        <v>23</v>
      </c>
      <c r="D468" s="8">
        <v>1.39</v>
      </c>
      <c r="E468" s="4">
        <v>3</v>
      </c>
      <c r="F468" s="8">
        <v>0.38</v>
      </c>
      <c r="G468" s="4">
        <v>20</v>
      </c>
      <c r="H468" s="8">
        <v>2.4700000000000002</v>
      </c>
      <c r="I468" s="4">
        <v>0</v>
      </c>
    </row>
    <row r="469" spans="1:9" x14ac:dyDescent="0.2">
      <c r="A469" s="2">
        <v>18</v>
      </c>
      <c r="B469" s="1" t="s">
        <v>291</v>
      </c>
      <c r="C469" s="4">
        <v>21</v>
      </c>
      <c r="D469" s="8">
        <v>1.27</v>
      </c>
      <c r="E469" s="4">
        <v>2</v>
      </c>
      <c r="F469" s="8">
        <v>0.25</v>
      </c>
      <c r="G469" s="4">
        <v>19</v>
      </c>
      <c r="H469" s="8">
        <v>2.34</v>
      </c>
      <c r="I469" s="4">
        <v>0</v>
      </c>
    </row>
    <row r="470" spans="1:9" x14ac:dyDescent="0.2">
      <c r="A470" s="2">
        <v>19</v>
      </c>
      <c r="B470" s="1" t="s">
        <v>290</v>
      </c>
      <c r="C470" s="4">
        <v>20</v>
      </c>
      <c r="D470" s="8">
        <v>1.21</v>
      </c>
      <c r="E470" s="4">
        <v>5</v>
      </c>
      <c r="F470" s="8">
        <v>0.63</v>
      </c>
      <c r="G470" s="4">
        <v>15</v>
      </c>
      <c r="H470" s="8">
        <v>1.85</v>
      </c>
      <c r="I470" s="4">
        <v>0</v>
      </c>
    </row>
    <row r="471" spans="1:9" x14ac:dyDescent="0.2">
      <c r="A471" s="2">
        <v>19</v>
      </c>
      <c r="B471" s="1" t="s">
        <v>329</v>
      </c>
      <c r="C471" s="4">
        <v>20</v>
      </c>
      <c r="D471" s="8">
        <v>1.21</v>
      </c>
      <c r="E471" s="4">
        <v>11</v>
      </c>
      <c r="F471" s="8">
        <v>1.38</v>
      </c>
      <c r="G471" s="4">
        <v>9</v>
      </c>
      <c r="H471" s="8">
        <v>1.1100000000000001</v>
      </c>
      <c r="I471" s="4">
        <v>0</v>
      </c>
    </row>
    <row r="472" spans="1:9" x14ac:dyDescent="0.2">
      <c r="A472" s="2">
        <v>19</v>
      </c>
      <c r="B472" s="1" t="s">
        <v>298</v>
      </c>
      <c r="C472" s="4">
        <v>20</v>
      </c>
      <c r="D472" s="8">
        <v>1.21</v>
      </c>
      <c r="E472" s="4">
        <v>2</v>
      </c>
      <c r="F472" s="8">
        <v>0.25</v>
      </c>
      <c r="G472" s="4">
        <v>17</v>
      </c>
      <c r="H472" s="8">
        <v>2.1</v>
      </c>
      <c r="I472" s="4">
        <v>0</v>
      </c>
    </row>
    <row r="473" spans="1:9" x14ac:dyDescent="0.2">
      <c r="A473" s="2">
        <v>19</v>
      </c>
      <c r="B473" s="1" t="s">
        <v>312</v>
      </c>
      <c r="C473" s="4">
        <v>20</v>
      </c>
      <c r="D473" s="8">
        <v>1.21</v>
      </c>
      <c r="E473" s="4">
        <v>18</v>
      </c>
      <c r="F473" s="8">
        <v>2.25</v>
      </c>
      <c r="G473" s="4">
        <v>2</v>
      </c>
      <c r="H473" s="8">
        <v>0.25</v>
      </c>
      <c r="I473" s="4">
        <v>0</v>
      </c>
    </row>
    <row r="474" spans="1:9" x14ac:dyDescent="0.2">
      <c r="A474" s="1"/>
      <c r="C474" s="4"/>
      <c r="D474" s="8"/>
      <c r="E474" s="4"/>
      <c r="F474" s="8"/>
      <c r="G474" s="4"/>
      <c r="H474" s="8"/>
      <c r="I474" s="4"/>
    </row>
    <row r="475" spans="1:9" x14ac:dyDescent="0.2">
      <c r="A475" s="1" t="s">
        <v>21</v>
      </c>
      <c r="C475" s="4"/>
      <c r="D475" s="8"/>
      <c r="E475" s="4"/>
      <c r="F475" s="8"/>
      <c r="G475" s="4"/>
      <c r="H475" s="8"/>
      <c r="I475" s="4"/>
    </row>
    <row r="476" spans="1:9" x14ac:dyDescent="0.2">
      <c r="A476" s="2">
        <v>1</v>
      </c>
      <c r="B476" s="1" t="s">
        <v>297</v>
      </c>
      <c r="C476" s="4">
        <v>89</v>
      </c>
      <c r="D476" s="8">
        <v>10.06</v>
      </c>
      <c r="E476" s="4">
        <v>78</v>
      </c>
      <c r="F476" s="8">
        <v>17.260000000000002</v>
      </c>
      <c r="G476" s="4">
        <v>10</v>
      </c>
      <c r="H476" s="8">
        <v>2.41</v>
      </c>
      <c r="I476" s="4">
        <v>0</v>
      </c>
    </row>
    <row r="477" spans="1:9" x14ac:dyDescent="0.2">
      <c r="A477" s="2">
        <v>2</v>
      </c>
      <c r="B477" s="1" t="s">
        <v>304</v>
      </c>
      <c r="C477" s="4">
        <v>46</v>
      </c>
      <c r="D477" s="8">
        <v>5.2</v>
      </c>
      <c r="E477" s="4">
        <v>41</v>
      </c>
      <c r="F477" s="8">
        <v>9.07</v>
      </c>
      <c r="G477" s="4">
        <v>5</v>
      </c>
      <c r="H477" s="8">
        <v>1.2</v>
      </c>
      <c r="I477" s="4">
        <v>0</v>
      </c>
    </row>
    <row r="478" spans="1:9" x14ac:dyDescent="0.2">
      <c r="A478" s="2">
        <v>3</v>
      </c>
      <c r="B478" s="1" t="s">
        <v>303</v>
      </c>
      <c r="C478" s="4">
        <v>43</v>
      </c>
      <c r="D478" s="8">
        <v>4.8600000000000003</v>
      </c>
      <c r="E478" s="4">
        <v>42</v>
      </c>
      <c r="F478" s="8">
        <v>9.2899999999999991</v>
      </c>
      <c r="G478" s="4">
        <v>1</v>
      </c>
      <c r="H478" s="8">
        <v>0.24</v>
      </c>
      <c r="I478" s="4">
        <v>0</v>
      </c>
    </row>
    <row r="479" spans="1:9" x14ac:dyDescent="0.2">
      <c r="A479" s="2">
        <v>4</v>
      </c>
      <c r="B479" s="1" t="s">
        <v>295</v>
      </c>
      <c r="C479" s="4">
        <v>25</v>
      </c>
      <c r="D479" s="8">
        <v>2.82</v>
      </c>
      <c r="E479" s="4">
        <v>11</v>
      </c>
      <c r="F479" s="8">
        <v>2.4300000000000002</v>
      </c>
      <c r="G479" s="4">
        <v>13</v>
      </c>
      <c r="H479" s="8">
        <v>3.13</v>
      </c>
      <c r="I479" s="4">
        <v>1</v>
      </c>
    </row>
    <row r="480" spans="1:9" x14ac:dyDescent="0.2">
      <c r="A480" s="2">
        <v>5</v>
      </c>
      <c r="B480" s="1" t="s">
        <v>301</v>
      </c>
      <c r="C480" s="4">
        <v>21</v>
      </c>
      <c r="D480" s="8">
        <v>2.37</v>
      </c>
      <c r="E480" s="4">
        <v>20</v>
      </c>
      <c r="F480" s="8">
        <v>4.42</v>
      </c>
      <c r="G480" s="4">
        <v>1</v>
      </c>
      <c r="H480" s="8">
        <v>0.24</v>
      </c>
      <c r="I480" s="4">
        <v>0</v>
      </c>
    </row>
    <row r="481" spans="1:9" x14ac:dyDescent="0.2">
      <c r="A481" s="2">
        <v>6</v>
      </c>
      <c r="B481" s="1" t="s">
        <v>299</v>
      </c>
      <c r="C481" s="4">
        <v>19</v>
      </c>
      <c r="D481" s="8">
        <v>2.15</v>
      </c>
      <c r="E481" s="4">
        <v>15</v>
      </c>
      <c r="F481" s="8">
        <v>3.32</v>
      </c>
      <c r="G481" s="4">
        <v>4</v>
      </c>
      <c r="H481" s="8">
        <v>0.96</v>
      </c>
      <c r="I481" s="4">
        <v>0</v>
      </c>
    </row>
    <row r="482" spans="1:9" x14ac:dyDescent="0.2">
      <c r="A482" s="2">
        <v>6</v>
      </c>
      <c r="B482" s="1" t="s">
        <v>306</v>
      </c>
      <c r="C482" s="4">
        <v>19</v>
      </c>
      <c r="D482" s="8">
        <v>2.15</v>
      </c>
      <c r="E482" s="4">
        <v>17</v>
      </c>
      <c r="F482" s="8">
        <v>3.76</v>
      </c>
      <c r="G482" s="4">
        <v>2</v>
      </c>
      <c r="H482" s="8">
        <v>0.48</v>
      </c>
      <c r="I482" s="4">
        <v>0</v>
      </c>
    </row>
    <row r="483" spans="1:9" x14ac:dyDescent="0.2">
      <c r="A483" s="2">
        <v>8</v>
      </c>
      <c r="B483" s="1" t="s">
        <v>289</v>
      </c>
      <c r="C483" s="4">
        <v>17</v>
      </c>
      <c r="D483" s="8">
        <v>1.92</v>
      </c>
      <c r="E483" s="4">
        <v>4</v>
      </c>
      <c r="F483" s="8">
        <v>0.88</v>
      </c>
      <c r="G483" s="4">
        <v>13</v>
      </c>
      <c r="H483" s="8">
        <v>3.13</v>
      </c>
      <c r="I483" s="4">
        <v>0</v>
      </c>
    </row>
    <row r="484" spans="1:9" x14ac:dyDescent="0.2">
      <c r="A484" s="2">
        <v>8</v>
      </c>
      <c r="B484" s="1" t="s">
        <v>342</v>
      </c>
      <c r="C484" s="4">
        <v>17</v>
      </c>
      <c r="D484" s="8">
        <v>1.92</v>
      </c>
      <c r="E484" s="4">
        <v>3</v>
      </c>
      <c r="F484" s="8">
        <v>0.66</v>
      </c>
      <c r="G484" s="4">
        <v>14</v>
      </c>
      <c r="H484" s="8">
        <v>3.37</v>
      </c>
      <c r="I484" s="4">
        <v>0</v>
      </c>
    </row>
    <row r="485" spans="1:9" x14ac:dyDescent="0.2">
      <c r="A485" s="2">
        <v>10</v>
      </c>
      <c r="B485" s="1" t="s">
        <v>300</v>
      </c>
      <c r="C485" s="4">
        <v>16</v>
      </c>
      <c r="D485" s="8">
        <v>1.81</v>
      </c>
      <c r="E485" s="4">
        <v>14</v>
      </c>
      <c r="F485" s="8">
        <v>3.1</v>
      </c>
      <c r="G485" s="4">
        <v>2</v>
      </c>
      <c r="H485" s="8">
        <v>0.48</v>
      </c>
      <c r="I485" s="4">
        <v>0</v>
      </c>
    </row>
    <row r="486" spans="1:9" x14ac:dyDescent="0.2">
      <c r="A486" s="2">
        <v>11</v>
      </c>
      <c r="B486" s="1" t="s">
        <v>296</v>
      </c>
      <c r="C486" s="4">
        <v>15</v>
      </c>
      <c r="D486" s="8">
        <v>1.69</v>
      </c>
      <c r="E486" s="4">
        <v>1</v>
      </c>
      <c r="F486" s="8">
        <v>0.22</v>
      </c>
      <c r="G486" s="4">
        <v>14</v>
      </c>
      <c r="H486" s="8">
        <v>3.37</v>
      </c>
      <c r="I486" s="4">
        <v>0</v>
      </c>
    </row>
    <row r="487" spans="1:9" x14ac:dyDescent="0.2">
      <c r="A487" s="2">
        <v>11</v>
      </c>
      <c r="B487" s="1" t="s">
        <v>302</v>
      </c>
      <c r="C487" s="4">
        <v>15</v>
      </c>
      <c r="D487" s="8">
        <v>1.69</v>
      </c>
      <c r="E487" s="4">
        <v>13</v>
      </c>
      <c r="F487" s="8">
        <v>2.88</v>
      </c>
      <c r="G487" s="4">
        <v>2</v>
      </c>
      <c r="H487" s="8">
        <v>0.48</v>
      </c>
      <c r="I487" s="4">
        <v>0</v>
      </c>
    </row>
    <row r="488" spans="1:9" x14ac:dyDescent="0.2">
      <c r="A488" s="2">
        <v>13</v>
      </c>
      <c r="B488" s="1" t="s">
        <v>290</v>
      </c>
      <c r="C488" s="4">
        <v>14</v>
      </c>
      <c r="D488" s="8">
        <v>1.58</v>
      </c>
      <c r="E488" s="4">
        <v>5</v>
      </c>
      <c r="F488" s="8">
        <v>1.1100000000000001</v>
      </c>
      <c r="G488" s="4">
        <v>9</v>
      </c>
      <c r="H488" s="8">
        <v>2.17</v>
      </c>
      <c r="I488" s="4">
        <v>0</v>
      </c>
    </row>
    <row r="489" spans="1:9" x14ac:dyDescent="0.2">
      <c r="A489" s="2">
        <v>13</v>
      </c>
      <c r="B489" s="1" t="s">
        <v>294</v>
      </c>
      <c r="C489" s="4">
        <v>14</v>
      </c>
      <c r="D489" s="8">
        <v>1.58</v>
      </c>
      <c r="E489" s="4">
        <v>4</v>
      </c>
      <c r="F489" s="8">
        <v>0.88</v>
      </c>
      <c r="G489" s="4">
        <v>10</v>
      </c>
      <c r="H489" s="8">
        <v>2.41</v>
      </c>
      <c r="I489" s="4">
        <v>0</v>
      </c>
    </row>
    <row r="490" spans="1:9" x14ac:dyDescent="0.2">
      <c r="A490" s="2">
        <v>15</v>
      </c>
      <c r="B490" s="1" t="s">
        <v>292</v>
      </c>
      <c r="C490" s="4">
        <v>13</v>
      </c>
      <c r="D490" s="8">
        <v>1.47</v>
      </c>
      <c r="E490" s="4">
        <v>8</v>
      </c>
      <c r="F490" s="8">
        <v>1.77</v>
      </c>
      <c r="G490" s="4">
        <v>5</v>
      </c>
      <c r="H490" s="8">
        <v>1.2</v>
      </c>
      <c r="I490" s="4">
        <v>0</v>
      </c>
    </row>
    <row r="491" spans="1:9" x14ac:dyDescent="0.2">
      <c r="A491" s="2">
        <v>16</v>
      </c>
      <c r="B491" s="1" t="s">
        <v>288</v>
      </c>
      <c r="C491" s="4">
        <v>12</v>
      </c>
      <c r="D491" s="8">
        <v>1.36</v>
      </c>
      <c r="E491" s="4">
        <v>1</v>
      </c>
      <c r="F491" s="8">
        <v>0.22</v>
      </c>
      <c r="G491" s="4">
        <v>11</v>
      </c>
      <c r="H491" s="8">
        <v>2.65</v>
      </c>
      <c r="I491" s="4">
        <v>0</v>
      </c>
    </row>
    <row r="492" spans="1:9" x14ac:dyDescent="0.2">
      <c r="A492" s="2">
        <v>16</v>
      </c>
      <c r="B492" s="1" t="s">
        <v>329</v>
      </c>
      <c r="C492" s="4">
        <v>12</v>
      </c>
      <c r="D492" s="8">
        <v>1.36</v>
      </c>
      <c r="E492" s="4">
        <v>9</v>
      </c>
      <c r="F492" s="8">
        <v>1.99</v>
      </c>
      <c r="G492" s="4">
        <v>3</v>
      </c>
      <c r="H492" s="8">
        <v>0.72</v>
      </c>
      <c r="I492" s="4">
        <v>0</v>
      </c>
    </row>
    <row r="493" spans="1:9" x14ac:dyDescent="0.2">
      <c r="A493" s="2">
        <v>18</v>
      </c>
      <c r="B493" s="1" t="s">
        <v>339</v>
      </c>
      <c r="C493" s="4">
        <v>11</v>
      </c>
      <c r="D493" s="8">
        <v>1.24</v>
      </c>
      <c r="E493" s="4">
        <v>9</v>
      </c>
      <c r="F493" s="8">
        <v>1.99</v>
      </c>
      <c r="G493" s="4">
        <v>2</v>
      </c>
      <c r="H493" s="8">
        <v>0.48</v>
      </c>
      <c r="I493" s="4">
        <v>0</v>
      </c>
    </row>
    <row r="494" spans="1:9" x14ac:dyDescent="0.2">
      <c r="A494" s="2">
        <v>19</v>
      </c>
      <c r="B494" s="1" t="s">
        <v>319</v>
      </c>
      <c r="C494" s="4">
        <v>10</v>
      </c>
      <c r="D494" s="8">
        <v>1.1299999999999999</v>
      </c>
      <c r="E494" s="4">
        <v>4</v>
      </c>
      <c r="F494" s="8">
        <v>0.88</v>
      </c>
      <c r="G494" s="4">
        <v>6</v>
      </c>
      <c r="H494" s="8">
        <v>1.45</v>
      </c>
      <c r="I494" s="4">
        <v>0</v>
      </c>
    </row>
    <row r="495" spans="1:9" x14ac:dyDescent="0.2">
      <c r="A495" s="2">
        <v>19</v>
      </c>
      <c r="B495" s="1" t="s">
        <v>293</v>
      </c>
      <c r="C495" s="4">
        <v>10</v>
      </c>
      <c r="D495" s="8">
        <v>1.1299999999999999</v>
      </c>
      <c r="E495" s="4">
        <v>6</v>
      </c>
      <c r="F495" s="8">
        <v>1.33</v>
      </c>
      <c r="G495" s="4">
        <v>4</v>
      </c>
      <c r="H495" s="8">
        <v>0.96</v>
      </c>
      <c r="I495" s="4">
        <v>0</v>
      </c>
    </row>
    <row r="496" spans="1:9" x14ac:dyDescent="0.2">
      <c r="A496" s="2">
        <v>19</v>
      </c>
      <c r="B496" s="1" t="s">
        <v>335</v>
      </c>
      <c r="C496" s="4">
        <v>10</v>
      </c>
      <c r="D496" s="8">
        <v>1.1299999999999999</v>
      </c>
      <c r="E496" s="4">
        <v>9</v>
      </c>
      <c r="F496" s="8">
        <v>1.99</v>
      </c>
      <c r="G496" s="4">
        <v>1</v>
      </c>
      <c r="H496" s="8">
        <v>0.24</v>
      </c>
      <c r="I496" s="4">
        <v>0</v>
      </c>
    </row>
    <row r="497" spans="1:9" x14ac:dyDescent="0.2">
      <c r="A497" s="1"/>
      <c r="C497" s="4"/>
      <c r="D497" s="8"/>
      <c r="E497" s="4"/>
      <c r="F497" s="8"/>
      <c r="G497" s="4"/>
      <c r="H497" s="8"/>
      <c r="I497" s="4"/>
    </row>
    <row r="498" spans="1:9" x14ac:dyDescent="0.2">
      <c r="A498" s="1" t="s">
        <v>22</v>
      </c>
      <c r="C498" s="4"/>
      <c r="D498" s="8"/>
      <c r="E498" s="4"/>
      <c r="F498" s="8"/>
      <c r="G498" s="4"/>
      <c r="H498" s="8"/>
      <c r="I498" s="4"/>
    </row>
    <row r="499" spans="1:9" x14ac:dyDescent="0.2">
      <c r="A499" s="2">
        <v>1</v>
      </c>
      <c r="B499" s="1" t="s">
        <v>301</v>
      </c>
      <c r="C499" s="4">
        <v>35</v>
      </c>
      <c r="D499" s="8">
        <v>5.74</v>
      </c>
      <c r="E499" s="4">
        <v>34</v>
      </c>
      <c r="F499" s="8">
        <v>10.27</v>
      </c>
      <c r="G499" s="4">
        <v>1</v>
      </c>
      <c r="H499" s="8">
        <v>0.38</v>
      </c>
      <c r="I499" s="4">
        <v>0</v>
      </c>
    </row>
    <row r="500" spans="1:9" x14ac:dyDescent="0.2">
      <c r="A500" s="2">
        <v>2</v>
      </c>
      <c r="B500" s="1" t="s">
        <v>304</v>
      </c>
      <c r="C500" s="4">
        <v>33</v>
      </c>
      <c r="D500" s="8">
        <v>5.41</v>
      </c>
      <c r="E500" s="4">
        <v>31</v>
      </c>
      <c r="F500" s="8">
        <v>9.3699999999999992</v>
      </c>
      <c r="G500" s="4">
        <v>2</v>
      </c>
      <c r="H500" s="8">
        <v>0.75</v>
      </c>
      <c r="I500" s="4">
        <v>0</v>
      </c>
    </row>
    <row r="501" spans="1:9" x14ac:dyDescent="0.2">
      <c r="A501" s="2">
        <v>3</v>
      </c>
      <c r="B501" s="1" t="s">
        <v>297</v>
      </c>
      <c r="C501" s="4">
        <v>32</v>
      </c>
      <c r="D501" s="8">
        <v>5.25</v>
      </c>
      <c r="E501" s="4">
        <v>16</v>
      </c>
      <c r="F501" s="8">
        <v>4.83</v>
      </c>
      <c r="G501" s="4">
        <v>15</v>
      </c>
      <c r="H501" s="8">
        <v>5.64</v>
      </c>
      <c r="I501" s="4">
        <v>0</v>
      </c>
    </row>
    <row r="502" spans="1:9" x14ac:dyDescent="0.2">
      <c r="A502" s="2">
        <v>3</v>
      </c>
      <c r="B502" s="1" t="s">
        <v>303</v>
      </c>
      <c r="C502" s="4">
        <v>32</v>
      </c>
      <c r="D502" s="8">
        <v>5.25</v>
      </c>
      <c r="E502" s="4">
        <v>31</v>
      </c>
      <c r="F502" s="8">
        <v>9.3699999999999992</v>
      </c>
      <c r="G502" s="4">
        <v>1</v>
      </c>
      <c r="H502" s="8">
        <v>0.38</v>
      </c>
      <c r="I502" s="4">
        <v>0</v>
      </c>
    </row>
    <row r="503" spans="1:9" x14ac:dyDescent="0.2">
      <c r="A503" s="2">
        <v>5</v>
      </c>
      <c r="B503" s="1" t="s">
        <v>300</v>
      </c>
      <c r="C503" s="4">
        <v>18</v>
      </c>
      <c r="D503" s="8">
        <v>2.95</v>
      </c>
      <c r="E503" s="4">
        <v>17</v>
      </c>
      <c r="F503" s="8">
        <v>5.14</v>
      </c>
      <c r="G503" s="4">
        <v>1</v>
      </c>
      <c r="H503" s="8">
        <v>0.38</v>
      </c>
      <c r="I503" s="4">
        <v>0</v>
      </c>
    </row>
    <row r="504" spans="1:9" x14ac:dyDescent="0.2">
      <c r="A504" s="2">
        <v>6</v>
      </c>
      <c r="B504" s="1" t="s">
        <v>335</v>
      </c>
      <c r="C504" s="4">
        <v>15</v>
      </c>
      <c r="D504" s="8">
        <v>2.46</v>
      </c>
      <c r="E504" s="4">
        <v>9</v>
      </c>
      <c r="F504" s="8">
        <v>2.72</v>
      </c>
      <c r="G504" s="4">
        <v>6</v>
      </c>
      <c r="H504" s="8">
        <v>2.2599999999999998</v>
      </c>
      <c r="I504" s="4">
        <v>0</v>
      </c>
    </row>
    <row r="505" spans="1:9" x14ac:dyDescent="0.2">
      <c r="A505" s="2">
        <v>7</v>
      </c>
      <c r="B505" s="1" t="s">
        <v>292</v>
      </c>
      <c r="C505" s="4">
        <v>14</v>
      </c>
      <c r="D505" s="8">
        <v>2.2999999999999998</v>
      </c>
      <c r="E505" s="4">
        <v>10</v>
      </c>
      <c r="F505" s="8">
        <v>3.02</v>
      </c>
      <c r="G505" s="4">
        <v>4</v>
      </c>
      <c r="H505" s="8">
        <v>1.5</v>
      </c>
      <c r="I505" s="4">
        <v>0</v>
      </c>
    </row>
    <row r="506" spans="1:9" x14ac:dyDescent="0.2">
      <c r="A506" s="2">
        <v>8</v>
      </c>
      <c r="B506" s="1" t="s">
        <v>299</v>
      </c>
      <c r="C506" s="4">
        <v>13</v>
      </c>
      <c r="D506" s="8">
        <v>2.13</v>
      </c>
      <c r="E506" s="4">
        <v>12</v>
      </c>
      <c r="F506" s="8">
        <v>3.63</v>
      </c>
      <c r="G506" s="4">
        <v>1</v>
      </c>
      <c r="H506" s="8">
        <v>0.38</v>
      </c>
      <c r="I506" s="4">
        <v>0</v>
      </c>
    </row>
    <row r="507" spans="1:9" x14ac:dyDescent="0.2">
      <c r="A507" s="2">
        <v>8</v>
      </c>
      <c r="B507" s="1" t="s">
        <v>306</v>
      </c>
      <c r="C507" s="4">
        <v>13</v>
      </c>
      <c r="D507" s="8">
        <v>2.13</v>
      </c>
      <c r="E507" s="4">
        <v>13</v>
      </c>
      <c r="F507" s="8">
        <v>3.93</v>
      </c>
      <c r="G507" s="4">
        <v>0</v>
      </c>
      <c r="H507" s="8">
        <v>0</v>
      </c>
      <c r="I507" s="4">
        <v>0</v>
      </c>
    </row>
    <row r="508" spans="1:9" x14ac:dyDescent="0.2">
      <c r="A508" s="2">
        <v>10</v>
      </c>
      <c r="B508" s="1" t="s">
        <v>295</v>
      </c>
      <c r="C508" s="4">
        <v>11</v>
      </c>
      <c r="D508" s="8">
        <v>1.8</v>
      </c>
      <c r="E508" s="4">
        <v>5</v>
      </c>
      <c r="F508" s="8">
        <v>1.51</v>
      </c>
      <c r="G508" s="4">
        <v>6</v>
      </c>
      <c r="H508" s="8">
        <v>2.2599999999999998</v>
      </c>
      <c r="I508" s="4">
        <v>0</v>
      </c>
    </row>
    <row r="509" spans="1:9" x14ac:dyDescent="0.2">
      <c r="A509" s="2">
        <v>10</v>
      </c>
      <c r="B509" s="1" t="s">
        <v>344</v>
      </c>
      <c r="C509" s="4">
        <v>11</v>
      </c>
      <c r="D509" s="8">
        <v>1.8</v>
      </c>
      <c r="E509" s="4">
        <v>3</v>
      </c>
      <c r="F509" s="8">
        <v>0.91</v>
      </c>
      <c r="G509" s="4">
        <v>8</v>
      </c>
      <c r="H509" s="8">
        <v>3.01</v>
      </c>
      <c r="I509" s="4">
        <v>0</v>
      </c>
    </row>
    <row r="510" spans="1:9" x14ac:dyDescent="0.2">
      <c r="A510" s="2">
        <v>10</v>
      </c>
      <c r="B510" s="1" t="s">
        <v>307</v>
      </c>
      <c r="C510" s="4">
        <v>11</v>
      </c>
      <c r="D510" s="8">
        <v>1.8</v>
      </c>
      <c r="E510" s="4">
        <v>3</v>
      </c>
      <c r="F510" s="8">
        <v>0.91</v>
      </c>
      <c r="G510" s="4">
        <v>8</v>
      </c>
      <c r="H510" s="8">
        <v>3.01</v>
      </c>
      <c r="I510" s="4">
        <v>0</v>
      </c>
    </row>
    <row r="511" spans="1:9" x14ac:dyDescent="0.2">
      <c r="A511" s="2">
        <v>13</v>
      </c>
      <c r="B511" s="1" t="s">
        <v>294</v>
      </c>
      <c r="C511" s="4">
        <v>10</v>
      </c>
      <c r="D511" s="8">
        <v>1.64</v>
      </c>
      <c r="E511" s="4">
        <v>4</v>
      </c>
      <c r="F511" s="8">
        <v>1.21</v>
      </c>
      <c r="G511" s="4">
        <v>6</v>
      </c>
      <c r="H511" s="8">
        <v>2.2599999999999998</v>
      </c>
      <c r="I511" s="4">
        <v>0</v>
      </c>
    </row>
    <row r="512" spans="1:9" x14ac:dyDescent="0.2">
      <c r="A512" s="2">
        <v>14</v>
      </c>
      <c r="B512" s="1" t="s">
        <v>343</v>
      </c>
      <c r="C512" s="4">
        <v>9</v>
      </c>
      <c r="D512" s="8">
        <v>1.48</v>
      </c>
      <c r="E512" s="4">
        <v>6</v>
      </c>
      <c r="F512" s="8">
        <v>1.81</v>
      </c>
      <c r="G512" s="4">
        <v>3</v>
      </c>
      <c r="H512" s="8">
        <v>1.1299999999999999</v>
      </c>
      <c r="I512" s="4">
        <v>0</v>
      </c>
    </row>
    <row r="513" spans="1:9" x14ac:dyDescent="0.2">
      <c r="A513" s="2">
        <v>14</v>
      </c>
      <c r="B513" s="1" t="s">
        <v>333</v>
      </c>
      <c r="C513" s="4">
        <v>9</v>
      </c>
      <c r="D513" s="8">
        <v>1.48</v>
      </c>
      <c r="E513" s="4">
        <v>6</v>
      </c>
      <c r="F513" s="8">
        <v>1.81</v>
      </c>
      <c r="G513" s="4">
        <v>3</v>
      </c>
      <c r="H513" s="8">
        <v>1.1299999999999999</v>
      </c>
      <c r="I513" s="4">
        <v>0</v>
      </c>
    </row>
    <row r="514" spans="1:9" x14ac:dyDescent="0.2">
      <c r="A514" s="2">
        <v>14</v>
      </c>
      <c r="B514" s="1" t="s">
        <v>338</v>
      </c>
      <c r="C514" s="4">
        <v>9</v>
      </c>
      <c r="D514" s="8">
        <v>1.48</v>
      </c>
      <c r="E514" s="4">
        <v>5</v>
      </c>
      <c r="F514" s="8">
        <v>1.51</v>
      </c>
      <c r="G514" s="4">
        <v>4</v>
      </c>
      <c r="H514" s="8">
        <v>1.5</v>
      </c>
      <c r="I514" s="4">
        <v>0</v>
      </c>
    </row>
    <row r="515" spans="1:9" x14ac:dyDescent="0.2">
      <c r="A515" s="2">
        <v>14</v>
      </c>
      <c r="B515" s="1" t="s">
        <v>334</v>
      </c>
      <c r="C515" s="4">
        <v>9</v>
      </c>
      <c r="D515" s="8">
        <v>1.48</v>
      </c>
      <c r="E515" s="4">
        <v>6</v>
      </c>
      <c r="F515" s="8">
        <v>1.81</v>
      </c>
      <c r="G515" s="4">
        <v>3</v>
      </c>
      <c r="H515" s="8">
        <v>1.1299999999999999</v>
      </c>
      <c r="I515" s="4">
        <v>0</v>
      </c>
    </row>
    <row r="516" spans="1:9" x14ac:dyDescent="0.2">
      <c r="A516" s="2">
        <v>18</v>
      </c>
      <c r="B516" s="1" t="s">
        <v>328</v>
      </c>
      <c r="C516" s="4">
        <v>8</v>
      </c>
      <c r="D516" s="8">
        <v>1.31</v>
      </c>
      <c r="E516" s="4">
        <v>5</v>
      </c>
      <c r="F516" s="8">
        <v>1.51</v>
      </c>
      <c r="G516" s="4">
        <v>3</v>
      </c>
      <c r="H516" s="8">
        <v>1.1299999999999999</v>
      </c>
      <c r="I516" s="4">
        <v>0</v>
      </c>
    </row>
    <row r="517" spans="1:9" x14ac:dyDescent="0.2">
      <c r="A517" s="2">
        <v>18</v>
      </c>
      <c r="B517" s="1" t="s">
        <v>291</v>
      </c>
      <c r="C517" s="4">
        <v>8</v>
      </c>
      <c r="D517" s="8">
        <v>1.31</v>
      </c>
      <c r="E517" s="4">
        <v>5</v>
      </c>
      <c r="F517" s="8">
        <v>1.51</v>
      </c>
      <c r="G517" s="4">
        <v>3</v>
      </c>
      <c r="H517" s="8">
        <v>1.1299999999999999</v>
      </c>
      <c r="I517" s="4">
        <v>0</v>
      </c>
    </row>
    <row r="518" spans="1:9" x14ac:dyDescent="0.2">
      <c r="A518" s="2">
        <v>18</v>
      </c>
      <c r="B518" s="1" t="s">
        <v>314</v>
      </c>
      <c r="C518" s="4">
        <v>8</v>
      </c>
      <c r="D518" s="8">
        <v>1.31</v>
      </c>
      <c r="E518" s="4">
        <v>5</v>
      </c>
      <c r="F518" s="8">
        <v>1.51</v>
      </c>
      <c r="G518" s="4">
        <v>3</v>
      </c>
      <c r="H518" s="8">
        <v>1.1299999999999999</v>
      </c>
      <c r="I518" s="4">
        <v>0</v>
      </c>
    </row>
    <row r="519" spans="1:9" x14ac:dyDescent="0.2">
      <c r="A519" s="2">
        <v>18</v>
      </c>
      <c r="B519" s="1" t="s">
        <v>293</v>
      </c>
      <c r="C519" s="4">
        <v>8</v>
      </c>
      <c r="D519" s="8">
        <v>1.31</v>
      </c>
      <c r="E519" s="4">
        <v>4</v>
      </c>
      <c r="F519" s="8">
        <v>1.21</v>
      </c>
      <c r="G519" s="4">
        <v>4</v>
      </c>
      <c r="H519" s="8">
        <v>1.5</v>
      </c>
      <c r="I519" s="4">
        <v>0</v>
      </c>
    </row>
    <row r="520" spans="1:9" x14ac:dyDescent="0.2">
      <c r="A520" s="2">
        <v>18</v>
      </c>
      <c r="B520" s="1" t="s">
        <v>302</v>
      </c>
      <c r="C520" s="4">
        <v>8</v>
      </c>
      <c r="D520" s="8">
        <v>1.31</v>
      </c>
      <c r="E520" s="4">
        <v>8</v>
      </c>
      <c r="F520" s="8">
        <v>2.42</v>
      </c>
      <c r="G520" s="4">
        <v>0</v>
      </c>
      <c r="H520" s="8">
        <v>0</v>
      </c>
      <c r="I520" s="4">
        <v>0</v>
      </c>
    </row>
    <row r="521" spans="1:9" x14ac:dyDescent="0.2">
      <c r="A521" s="2">
        <v>18</v>
      </c>
      <c r="B521" s="1" t="s">
        <v>345</v>
      </c>
      <c r="C521" s="4">
        <v>8</v>
      </c>
      <c r="D521" s="8">
        <v>1.31</v>
      </c>
      <c r="E521" s="4">
        <v>0</v>
      </c>
      <c r="F521" s="8">
        <v>0</v>
      </c>
      <c r="G521" s="4">
        <v>2</v>
      </c>
      <c r="H521" s="8">
        <v>0.75</v>
      </c>
      <c r="I521" s="4">
        <v>6</v>
      </c>
    </row>
    <row r="522" spans="1:9" x14ac:dyDescent="0.2">
      <c r="A522" s="1"/>
      <c r="C522" s="4"/>
      <c r="D522" s="8"/>
      <c r="E522" s="4"/>
      <c r="F522" s="8"/>
      <c r="G522" s="4"/>
      <c r="H522" s="8"/>
      <c r="I522" s="4"/>
    </row>
    <row r="523" spans="1:9" x14ac:dyDescent="0.2">
      <c r="A523" s="1" t="s">
        <v>23</v>
      </c>
      <c r="C523" s="4"/>
      <c r="D523" s="8"/>
      <c r="E523" s="4"/>
      <c r="F523" s="8"/>
      <c r="G523" s="4"/>
      <c r="H523" s="8"/>
      <c r="I523" s="4"/>
    </row>
    <row r="524" spans="1:9" x14ac:dyDescent="0.2">
      <c r="A524" s="2">
        <v>1</v>
      </c>
      <c r="B524" s="1" t="s">
        <v>304</v>
      </c>
      <c r="C524" s="4">
        <v>215</v>
      </c>
      <c r="D524" s="8">
        <v>5.9</v>
      </c>
      <c r="E524" s="4">
        <v>192</v>
      </c>
      <c r="F524" s="8">
        <v>12.4</v>
      </c>
      <c r="G524" s="4">
        <v>23</v>
      </c>
      <c r="H524" s="8">
        <v>1.1299999999999999</v>
      </c>
      <c r="I524" s="4">
        <v>0</v>
      </c>
    </row>
    <row r="525" spans="1:9" x14ac:dyDescent="0.2">
      <c r="A525" s="2">
        <v>2</v>
      </c>
      <c r="B525" s="1" t="s">
        <v>301</v>
      </c>
      <c r="C525" s="4">
        <v>152</v>
      </c>
      <c r="D525" s="8">
        <v>4.17</v>
      </c>
      <c r="E525" s="4">
        <v>142</v>
      </c>
      <c r="F525" s="8">
        <v>9.17</v>
      </c>
      <c r="G525" s="4">
        <v>10</v>
      </c>
      <c r="H525" s="8">
        <v>0.49</v>
      </c>
      <c r="I525" s="4">
        <v>0</v>
      </c>
    </row>
    <row r="526" spans="1:9" x14ac:dyDescent="0.2">
      <c r="A526" s="2">
        <v>3</v>
      </c>
      <c r="B526" s="1" t="s">
        <v>303</v>
      </c>
      <c r="C526" s="4">
        <v>146</v>
      </c>
      <c r="D526" s="8">
        <v>4.01</v>
      </c>
      <c r="E526" s="4">
        <v>139</v>
      </c>
      <c r="F526" s="8">
        <v>8.9700000000000006</v>
      </c>
      <c r="G526" s="4">
        <v>7</v>
      </c>
      <c r="H526" s="8">
        <v>0.34</v>
      </c>
      <c r="I526" s="4">
        <v>0</v>
      </c>
    </row>
    <row r="527" spans="1:9" x14ac:dyDescent="0.2">
      <c r="A527" s="2">
        <v>4</v>
      </c>
      <c r="B527" s="1" t="s">
        <v>297</v>
      </c>
      <c r="C527" s="4">
        <v>131</v>
      </c>
      <c r="D527" s="8">
        <v>3.6</v>
      </c>
      <c r="E527" s="4">
        <v>90</v>
      </c>
      <c r="F527" s="8">
        <v>5.81</v>
      </c>
      <c r="G527" s="4">
        <v>41</v>
      </c>
      <c r="H527" s="8">
        <v>2.02</v>
      </c>
      <c r="I527" s="4">
        <v>0</v>
      </c>
    </row>
    <row r="528" spans="1:9" x14ac:dyDescent="0.2">
      <c r="A528" s="2">
        <v>5</v>
      </c>
      <c r="B528" s="1" t="s">
        <v>300</v>
      </c>
      <c r="C528" s="4">
        <v>99</v>
      </c>
      <c r="D528" s="8">
        <v>2.72</v>
      </c>
      <c r="E528" s="4">
        <v>82</v>
      </c>
      <c r="F528" s="8">
        <v>5.29</v>
      </c>
      <c r="G528" s="4">
        <v>17</v>
      </c>
      <c r="H528" s="8">
        <v>0.84</v>
      </c>
      <c r="I528" s="4">
        <v>0</v>
      </c>
    </row>
    <row r="529" spans="1:9" x14ac:dyDescent="0.2">
      <c r="A529" s="2">
        <v>6</v>
      </c>
      <c r="B529" s="1" t="s">
        <v>305</v>
      </c>
      <c r="C529" s="4">
        <v>84</v>
      </c>
      <c r="D529" s="8">
        <v>2.31</v>
      </c>
      <c r="E529" s="4">
        <v>77</v>
      </c>
      <c r="F529" s="8">
        <v>4.97</v>
      </c>
      <c r="G529" s="4">
        <v>7</v>
      </c>
      <c r="H529" s="8">
        <v>0.34</v>
      </c>
      <c r="I529" s="4">
        <v>0</v>
      </c>
    </row>
    <row r="530" spans="1:9" x14ac:dyDescent="0.2">
      <c r="A530" s="2">
        <v>7</v>
      </c>
      <c r="B530" s="1" t="s">
        <v>299</v>
      </c>
      <c r="C530" s="4">
        <v>83</v>
      </c>
      <c r="D530" s="8">
        <v>2.2799999999999998</v>
      </c>
      <c r="E530" s="4">
        <v>65</v>
      </c>
      <c r="F530" s="8">
        <v>4.2</v>
      </c>
      <c r="G530" s="4">
        <v>18</v>
      </c>
      <c r="H530" s="8">
        <v>0.88</v>
      </c>
      <c r="I530" s="4">
        <v>0</v>
      </c>
    </row>
    <row r="531" spans="1:9" x14ac:dyDescent="0.2">
      <c r="A531" s="2">
        <v>8</v>
      </c>
      <c r="B531" s="1" t="s">
        <v>288</v>
      </c>
      <c r="C531" s="4">
        <v>82</v>
      </c>
      <c r="D531" s="8">
        <v>2.25</v>
      </c>
      <c r="E531" s="4">
        <v>5</v>
      </c>
      <c r="F531" s="8">
        <v>0.32</v>
      </c>
      <c r="G531" s="4">
        <v>77</v>
      </c>
      <c r="H531" s="8">
        <v>3.79</v>
      </c>
      <c r="I531" s="4">
        <v>0</v>
      </c>
    </row>
    <row r="532" spans="1:9" x14ac:dyDescent="0.2">
      <c r="A532" s="2">
        <v>9</v>
      </c>
      <c r="B532" s="1" t="s">
        <v>306</v>
      </c>
      <c r="C532" s="4">
        <v>77</v>
      </c>
      <c r="D532" s="8">
        <v>2.11</v>
      </c>
      <c r="E532" s="4">
        <v>68</v>
      </c>
      <c r="F532" s="8">
        <v>4.3899999999999997</v>
      </c>
      <c r="G532" s="4">
        <v>9</v>
      </c>
      <c r="H532" s="8">
        <v>0.44</v>
      </c>
      <c r="I532" s="4">
        <v>0</v>
      </c>
    </row>
    <row r="533" spans="1:9" x14ac:dyDescent="0.2">
      <c r="A533" s="2">
        <v>10</v>
      </c>
      <c r="B533" s="1" t="s">
        <v>290</v>
      </c>
      <c r="C533" s="4">
        <v>66</v>
      </c>
      <c r="D533" s="8">
        <v>1.81</v>
      </c>
      <c r="E533" s="4">
        <v>11</v>
      </c>
      <c r="F533" s="8">
        <v>0.71</v>
      </c>
      <c r="G533" s="4">
        <v>55</v>
      </c>
      <c r="H533" s="8">
        <v>2.7</v>
      </c>
      <c r="I533" s="4">
        <v>0</v>
      </c>
    </row>
    <row r="534" spans="1:9" x14ac:dyDescent="0.2">
      <c r="A534" s="2">
        <v>11</v>
      </c>
      <c r="B534" s="1" t="s">
        <v>295</v>
      </c>
      <c r="C534" s="4">
        <v>62</v>
      </c>
      <c r="D534" s="8">
        <v>1.7</v>
      </c>
      <c r="E534" s="4">
        <v>25</v>
      </c>
      <c r="F534" s="8">
        <v>1.61</v>
      </c>
      <c r="G534" s="4">
        <v>37</v>
      </c>
      <c r="H534" s="8">
        <v>1.82</v>
      </c>
      <c r="I534" s="4">
        <v>0</v>
      </c>
    </row>
    <row r="535" spans="1:9" x14ac:dyDescent="0.2">
      <c r="A535" s="2">
        <v>12</v>
      </c>
      <c r="B535" s="1" t="s">
        <v>344</v>
      </c>
      <c r="C535" s="4">
        <v>60</v>
      </c>
      <c r="D535" s="8">
        <v>1.65</v>
      </c>
      <c r="E535" s="4">
        <v>41</v>
      </c>
      <c r="F535" s="8">
        <v>2.65</v>
      </c>
      <c r="G535" s="4">
        <v>19</v>
      </c>
      <c r="H535" s="8">
        <v>0.93</v>
      </c>
      <c r="I535" s="4">
        <v>0</v>
      </c>
    </row>
    <row r="536" spans="1:9" x14ac:dyDescent="0.2">
      <c r="A536" s="2">
        <v>13</v>
      </c>
      <c r="B536" s="1" t="s">
        <v>333</v>
      </c>
      <c r="C536" s="4">
        <v>56</v>
      </c>
      <c r="D536" s="8">
        <v>1.54</v>
      </c>
      <c r="E536" s="4">
        <v>18</v>
      </c>
      <c r="F536" s="8">
        <v>1.1599999999999999</v>
      </c>
      <c r="G536" s="4">
        <v>38</v>
      </c>
      <c r="H536" s="8">
        <v>1.87</v>
      </c>
      <c r="I536" s="4">
        <v>0</v>
      </c>
    </row>
    <row r="537" spans="1:9" x14ac:dyDescent="0.2">
      <c r="A537" s="2">
        <v>14</v>
      </c>
      <c r="B537" s="1" t="s">
        <v>293</v>
      </c>
      <c r="C537" s="4">
        <v>52</v>
      </c>
      <c r="D537" s="8">
        <v>1.43</v>
      </c>
      <c r="E537" s="4">
        <v>15</v>
      </c>
      <c r="F537" s="8">
        <v>0.97</v>
      </c>
      <c r="G537" s="4">
        <v>37</v>
      </c>
      <c r="H537" s="8">
        <v>1.82</v>
      </c>
      <c r="I537" s="4">
        <v>0</v>
      </c>
    </row>
    <row r="538" spans="1:9" x14ac:dyDescent="0.2">
      <c r="A538" s="2">
        <v>15</v>
      </c>
      <c r="B538" s="1" t="s">
        <v>289</v>
      </c>
      <c r="C538" s="4">
        <v>50</v>
      </c>
      <c r="D538" s="8">
        <v>1.37</v>
      </c>
      <c r="E538" s="4">
        <v>2</v>
      </c>
      <c r="F538" s="8">
        <v>0.13</v>
      </c>
      <c r="G538" s="4">
        <v>48</v>
      </c>
      <c r="H538" s="8">
        <v>2.36</v>
      </c>
      <c r="I538" s="4">
        <v>0</v>
      </c>
    </row>
    <row r="539" spans="1:9" x14ac:dyDescent="0.2">
      <c r="A539" s="2">
        <v>16</v>
      </c>
      <c r="B539" s="1" t="s">
        <v>291</v>
      </c>
      <c r="C539" s="4">
        <v>49</v>
      </c>
      <c r="D539" s="8">
        <v>1.35</v>
      </c>
      <c r="E539" s="4">
        <v>3</v>
      </c>
      <c r="F539" s="8">
        <v>0.19</v>
      </c>
      <c r="G539" s="4">
        <v>46</v>
      </c>
      <c r="H539" s="8">
        <v>2.2599999999999998</v>
      </c>
      <c r="I539" s="4">
        <v>0</v>
      </c>
    </row>
    <row r="540" spans="1:9" x14ac:dyDescent="0.2">
      <c r="A540" s="2">
        <v>17</v>
      </c>
      <c r="B540" s="1" t="s">
        <v>302</v>
      </c>
      <c r="C540" s="4">
        <v>47</v>
      </c>
      <c r="D540" s="8">
        <v>1.29</v>
      </c>
      <c r="E540" s="4">
        <v>44</v>
      </c>
      <c r="F540" s="8">
        <v>2.84</v>
      </c>
      <c r="G540" s="4">
        <v>3</v>
      </c>
      <c r="H540" s="8">
        <v>0.15</v>
      </c>
      <c r="I540" s="4">
        <v>0</v>
      </c>
    </row>
    <row r="541" spans="1:9" x14ac:dyDescent="0.2">
      <c r="A541" s="2">
        <v>18</v>
      </c>
      <c r="B541" s="1" t="s">
        <v>314</v>
      </c>
      <c r="C541" s="4">
        <v>44</v>
      </c>
      <c r="D541" s="8">
        <v>1.21</v>
      </c>
      <c r="E541" s="4">
        <v>9</v>
      </c>
      <c r="F541" s="8">
        <v>0.57999999999999996</v>
      </c>
      <c r="G541" s="4">
        <v>35</v>
      </c>
      <c r="H541" s="8">
        <v>1.72</v>
      </c>
      <c r="I541" s="4">
        <v>0</v>
      </c>
    </row>
    <row r="542" spans="1:9" x14ac:dyDescent="0.2">
      <c r="A542" s="2">
        <v>18</v>
      </c>
      <c r="B542" s="1" t="s">
        <v>294</v>
      </c>
      <c r="C542" s="4">
        <v>44</v>
      </c>
      <c r="D542" s="8">
        <v>1.21</v>
      </c>
      <c r="E542" s="4">
        <v>15</v>
      </c>
      <c r="F542" s="8">
        <v>0.97</v>
      </c>
      <c r="G542" s="4">
        <v>29</v>
      </c>
      <c r="H542" s="8">
        <v>1.43</v>
      </c>
      <c r="I542" s="4">
        <v>0</v>
      </c>
    </row>
    <row r="543" spans="1:9" x14ac:dyDescent="0.2">
      <c r="A543" s="2">
        <v>18</v>
      </c>
      <c r="B543" s="1" t="s">
        <v>307</v>
      </c>
      <c r="C543" s="4">
        <v>44</v>
      </c>
      <c r="D543" s="8">
        <v>1.21</v>
      </c>
      <c r="E543" s="4">
        <v>24</v>
      </c>
      <c r="F543" s="8">
        <v>1.55</v>
      </c>
      <c r="G543" s="4">
        <v>20</v>
      </c>
      <c r="H543" s="8">
        <v>0.98</v>
      </c>
      <c r="I543" s="4">
        <v>0</v>
      </c>
    </row>
    <row r="544" spans="1:9" x14ac:dyDescent="0.2">
      <c r="A544" s="1"/>
      <c r="C544" s="4"/>
      <c r="D544" s="8"/>
      <c r="E544" s="4"/>
      <c r="F544" s="8"/>
      <c r="G544" s="4"/>
      <c r="H544" s="8"/>
      <c r="I544" s="4"/>
    </row>
    <row r="545" spans="1:9" x14ac:dyDescent="0.2">
      <c r="A545" s="1" t="s">
        <v>24</v>
      </c>
      <c r="C545" s="4"/>
      <c r="D545" s="8"/>
      <c r="E545" s="4"/>
      <c r="F545" s="8"/>
      <c r="G545" s="4"/>
      <c r="H545" s="8"/>
      <c r="I545" s="4"/>
    </row>
    <row r="546" spans="1:9" x14ac:dyDescent="0.2">
      <c r="A546" s="2">
        <v>1</v>
      </c>
      <c r="B546" s="1" t="s">
        <v>297</v>
      </c>
      <c r="C546" s="4">
        <v>59</v>
      </c>
      <c r="D546" s="8">
        <v>6.12</v>
      </c>
      <c r="E546" s="4">
        <v>44</v>
      </c>
      <c r="F546" s="8">
        <v>9.15</v>
      </c>
      <c r="G546" s="4">
        <v>13</v>
      </c>
      <c r="H546" s="8">
        <v>2.8</v>
      </c>
      <c r="I546" s="4">
        <v>0</v>
      </c>
    </row>
    <row r="547" spans="1:9" x14ac:dyDescent="0.2">
      <c r="A547" s="2">
        <v>2</v>
      </c>
      <c r="B547" s="1" t="s">
        <v>303</v>
      </c>
      <c r="C547" s="4">
        <v>53</v>
      </c>
      <c r="D547" s="8">
        <v>5.5</v>
      </c>
      <c r="E547" s="4">
        <v>49</v>
      </c>
      <c r="F547" s="8">
        <v>10.19</v>
      </c>
      <c r="G547" s="4">
        <v>4</v>
      </c>
      <c r="H547" s="8">
        <v>0.86</v>
      </c>
      <c r="I547" s="4">
        <v>0</v>
      </c>
    </row>
    <row r="548" spans="1:9" x14ac:dyDescent="0.2">
      <c r="A548" s="2">
        <v>3</v>
      </c>
      <c r="B548" s="1" t="s">
        <v>301</v>
      </c>
      <c r="C548" s="4">
        <v>52</v>
      </c>
      <c r="D548" s="8">
        <v>5.39</v>
      </c>
      <c r="E548" s="4">
        <v>51</v>
      </c>
      <c r="F548" s="8">
        <v>10.6</v>
      </c>
      <c r="G548" s="4">
        <v>1</v>
      </c>
      <c r="H548" s="8">
        <v>0.22</v>
      </c>
      <c r="I548" s="4">
        <v>0</v>
      </c>
    </row>
    <row r="549" spans="1:9" x14ac:dyDescent="0.2">
      <c r="A549" s="2">
        <v>3</v>
      </c>
      <c r="B549" s="1" t="s">
        <v>304</v>
      </c>
      <c r="C549" s="4">
        <v>52</v>
      </c>
      <c r="D549" s="8">
        <v>5.39</v>
      </c>
      <c r="E549" s="4">
        <v>50</v>
      </c>
      <c r="F549" s="8">
        <v>10.4</v>
      </c>
      <c r="G549" s="4">
        <v>2</v>
      </c>
      <c r="H549" s="8">
        <v>0.43</v>
      </c>
      <c r="I549" s="4">
        <v>0</v>
      </c>
    </row>
    <row r="550" spans="1:9" x14ac:dyDescent="0.2">
      <c r="A550" s="2">
        <v>5</v>
      </c>
      <c r="B550" s="1" t="s">
        <v>300</v>
      </c>
      <c r="C550" s="4">
        <v>32</v>
      </c>
      <c r="D550" s="8">
        <v>3.32</v>
      </c>
      <c r="E550" s="4">
        <v>29</v>
      </c>
      <c r="F550" s="8">
        <v>6.03</v>
      </c>
      <c r="G550" s="4">
        <v>3</v>
      </c>
      <c r="H550" s="8">
        <v>0.65</v>
      </c>
      <c r="I550" s="4">
        <v>0</v>
      </c>
    </row>
    <row r="551" spans="1:9" x14ac:dyDescent="0.2">
      <c r="A551" s="2">
        <v>6</v>
      </c>
      <c r="B551" s="1" t="s">
        <v>299</v>
      </c>
      <c r="C551" s="4">
        <v>27</v>
      </c>
      <c r="D551" s="8">
        <v>2.8</v>
      </c>
      <c r="E551" s="4">
        <v>19</v>
      </c>
      <c r="F551" s="8">
        <v>3.95</v>
      </c>
      <c r="G551" s="4">
        <v>8</v>
      </c>
      <c r="H551" s="8">
        <v>1.72</v>
      </c>
      <c r="I551" s="4">
        <v>0</v>
      </c>
    </row>
    <row r="552" spans="1:9" x14ac:dyDescent="0.2">
      <c r="A552" s="2">
        <v>7</v>
      </c>
      <c r="B552" s="1" t="s">
        <v>302</v>
      </c>
      <c r="C552" s="4">
        <v>24</v>
      </c>
      <c r="D552" s="8">
        <v>2.4900000000000002</v>
      </c>
      <c r="E552" s="4">
        <v>23</v>
      </c>
      <c r="F552" s="8">
        <v>4.78</v>
      </c>
      <c r="G552" s="4">
        <v>1</v>
      </c>
      <c r="H552" s="8">
        <v>0.22</v>
      </c>
      <c r="I552" s="4">
        <v>0</v>
      </c>
    </row>
    <row r="553" spans="1:9" x14ac:dyDescent="0.2">
      <c r="A553" s="2">
        <v>8</v>
      </c>
      <c r="B553" s="1" t="s">
        <v>295</v>
      </c>
      <c r="C553" s="4">
        <v>17</v>
      </c>
      <c r="D553" s="8">
        <v>1.76</v>
      </c>
      <c r="E553" s="4">
        <v>11</v>
      </c>
      <c r="F553" s="8">
        <v>2.29</v>
      </c>
      <c r="G553" s="4">
        <v>6</v>
      </c>
      <c r="H553" s="8">
        <v>1.29</v>
      </c>
      <c r="I553" s="4">
        <v>0</v>
      </c>
    </row>
    <row r="554" spans="1:9" x14ac:dyDescent="0.2">
      <c r="A554" s="2">
        <v>8</v>
      </c>
      <c r="B554" s="1" t="s">
        <v>307</v>
      </c>
      <c r="C554" s="4">
        <v>17</v>
      </c>
      <c r="D554" s="8">
        <v>1.76</v>
      </c>
      <c r="E554" s="4">
        <v>7</v>
      </c>
      <c r="F554" s="8">
        <v>1.46</v>
      </c>
      <c r="G554" s="4">
        <v>10</v>
      </c>
      <c r="H554" s="8">
        <v>2.15</v>
      </c>
      <c r="I554" s="4">
        <v>0</v>
      </c>
    </row>
    <row r="555" spans="1:9" x14ac:dyDescent="0.2">
      <c r="A555" s="2">
        <v>10</v>
      </c>
      <c r="B555" s="1" t="s">
        <v>288</v>
      </c>
      <c r="C555" s="4">
        <v>16</v>
      </c>
      <c r="D555" s="8">
        <v>1.66</v>
      </c>
      <c r="E555" s="4">
        <v>2</v>
      </c>
      <c r="F555" s="8">
        <v>0.42</v>
      </c>
      <c r="G555" s="4">
        <v>14</v>
      </c>
      <c r="H555" s="8">
        <v>3.01</v>
      </c>
      <c r="I555" s="4">
        <v>0</v>
      </c>
    </row>
    <row r="556" spans="1:9" x14ac:dyDescent="0.2">
      <c r="A556" s="2">
        <v>11</v>
      </c>
      <c r="B556" s="1" t="s">
        <v>333</v>
      </c>
      <c r="C556" s="4">
        <v>15</v>
      </c>
      <c r="D556" s="8">
        <v>1.56</v>
      </c>
      <c r="E556" s="4">
        <v>7</v>
      </c>
      <c r="F556" s="8">
        <v>1.46</v>
      </c>
      <c r="G556" s="4">
        <v>8</v>
      </c>
      <c r="H556" s="8">
        <v>1.72</v>
      </c>
      <c r="I556" s="4">
        <v>0</v>
      </c>
    </row>
    <row r="557" spans="1:9" x14ac:dyDescent="0.2">
      <c r="A557" s="2">
        <v>11</v>
      </c>
      <c r="B557" s="1" t="s">
        <v>342</v>
      </c>
      <c r="C557" s="4">
        <v>15</v>
      </c>
      <c r="D557" s="8">
        <v>1.56</v>
      </c>
      <c r="E557" s="4">
        <v>2</v>
      </c>
      <c r="F557" s="8">
        <v>0.42</v>
      </c>
      <c r="G557" s="4">
        <v>12</v>
      </c>
      <c r="H557" s="8">
        <v>2.58</v>
      </c>
      <c r="I557" s="4">
        <v>1</v>
      </c>
    </row>
    <row r="558" spans="1:9" x14ac:dyDescent="0.2">
      <c r="A558" s="2">
        <v>13</v>
      </c>
      <c r="B558" s="1" t="s">
        <v>330</v>
      </c>
      <c r="C558" s="4">
        <v>14</v>
      </c>
      <c r="D558" s="8">
        <v>1.45</v>
      </c>
      <c r="E558" s="4">
        <v>0</v>
      </c>
      <c r="F558" s="8">
        <v>0</v>
      </c>
      <c r="G558" s="4">
        <v>14</v>
      </c>
      <c r="H558" s="8">
        <v>3.01</v>
      </c>
      <c r="I558" s="4">
        <v>0</v>
      </c>
    </row>
    <row r="559" spans="1:9" x14ac:dyDescent="0.2">
      <c r="A559" s="2">
        <v>14</v>
      </c>
      <c r="B559" s="1" t="s">
        <v>289</v>
      </c>
      <c r="C559" s="4">
        <v>13</v>
      </c>
      <c r="D559" s="8">
        <v>1.35</v>
      </c>
      <c r="E559" s="4">
        <v>1</v>
      </c>
      <c r="F559" s="8">
        <v>0.21</v>
      </c>
      <c r="G559" s="4">
        <v>12</v>
      </c>
      <c r="H559" s="8">
        <v>2.58</v>
      </c>
      <c r="I559" s="4">
        <v>0</v>
      </c>
    </row>
    <row r="560" spans="1:9" x14ac:dyDescent="0.2">
      <c r="A560" s="2">
        <v>14</v>
      </c>
      <c r="B560" s="1" t="s">
        <v>328</v>
      </c>
      <c r="C560" s="4">
        <v>13</v>
      </c>
      <c r="D560" s="8">
        <v>1.35</v>
      </c>
      <c r="E560" s="4">
        <v>3</v>
      </c>
      <c r="F560" s="8">
        <v>0.62</v>
      </c>
      <c r="G560" s="4">
        <v>10</v>
      </c>
      <c r="H560" s="8">
        <v>2.15</v>
      </c>
      <c r="I560" s="4">
        <v>0</v>
      </c>
    </row>
    <row r="561" spans="1:9" x14ac:dyDescent="0.2">
      <c r="A561" s="2">
        <v>16</v>
      </c>
      <c r="B561" s="1" t="s">
        <v>292</v>
      </c>
      <c r="C561" s="4">
        <v>12</v>
      </c>
      <c r="D561" s="8">
        <v>1.24</v>
      </c>
      <c r="E561" s="4">
        <v>10</v>
      </c>
      <c r="F561" s="8">
        <v>2.08</v>
      </c>
      <c r="G561" s="4">
        <v>2</v>
      </c>
      <c r="H561" s="8">
        <v>0.43</v>
      </c>
      <c r="I561" s="4">
        <v>0</v>
      </c>
    </row>
    <row r="562" spans="1:9" x14ac:dyDescent="0.2">
      <c r="A562" s="2">
        <v>16</v>
      </c>
      <c r="B562" s="1" t="s">
        <v>339</v>
      </c>
      <c r="C562" s="4">
        <v>12</v>
      </c>
      <c r="D562" s="8">
        <v>1.24</v>
      </c>
      <c r="E562" s="4">
        <v>8</v>
      </c>
      <c r="F562" s="8">
        <v>1.66</v>
      </c>
      <c r="G562" s="4">
        <v>4</v>
      </c>
      <c r="H562" s="8">
        <v>0.86</v>
      </c>
      <c r="I562" s="4">
        <v>0</v>
      </c>
    </row>
    <row r="563" spans="1:9" x14ac:dyDescent="0.2">
      <c r="A563" s="2">
        <v>16</v>
      </c>
      <c r="B563" s="1" t="s">
        <v>334</v>
      </c>
      <c r="C563" s="4">
        <v>12</v>
      </c>
      <c r="D563" s="8">
        <v>1.24</v>
      </c>
      <c r="E563" s="4">
        <v>11</v>
      </c>
      <c r="F563" s="8">
        <v>2.29</v>
      </c>
      <c r="G563" s="4">
        <v>1</v>
      </c>
      <c r="H563" s="8">
        <v>0.22</v>
      </c>
      <c r="I563" s="4">
        <v>0</v>
      </c>
    </row>
    <row r="564" spans="1:9" x14ac:dyDescent="0.2">
      <c r="A564" s="2">
        <v>19</v>
      </c>
      <c r="B564" s="1" t="s">
        <v>346</v>
      </c>
      <c r="C564" s="4">
        <v>11</v>
      </c>
      <c r="D564" s="8">
        <v>1.1399999999999999</v>
      </c>
      <c r="E564" s="4">
        <v>0</v>
      </c>
      <c r="F564" s="8">
        <v>0</v>
      </c>
      <c r="G564" s="4">
        <v>11</v>
      </c>
      <c r="H564" s="8">
        <v>2.37</v>
      </c>
      <c r="I564" s="4">
        <v>0</v>
      </c>
    </row>
    <row r="565" spans="1:9" x14ac:dyDescent="0.2">
      <c r="A565" s="2">
        <v>19</v>
      </c>
      <c r="B565" s="1" t="s">
        <v>335</v>
      </c>
      <c r="C565" s="4">
        <v>11</v>
      </c>
      <c r="D565" s="8">
        <v>1.1399999999999999</v>
      </c>
      <c r="E565" s="4">
        <v>6</v>
      </c>
      <c r="F565" s="8">
        <v>1.25</v>
      </c>
      <c r="G565" s="4">
        <v>5</v>
      </c>
      <c r="H565" s="8">
        <v>1.08</v>
      </c>
      <c r="I565" s="4">
        <v>0</v>
      </c>
    </row>
    <row r="566" spans="1:9" x14ac:dyDescent="0.2">
      <c r="A566" s="2">
        <v>19</v>
      </c>
      <c r="B566" s="1" t="s">
        <v>294</v>
      </c>
      <c r="C566" s="4">
        <v>11</v>
      </c>
      <c r="D566" s="8">
        <v>1.1399999999999999</v>
      </c>
      <c r="E566" s="4">
        <v>3</v>
      </c>
      <c r="F566" s="8">
        <v>0.62</v>
      </c>
      <c r="G566" s="4">
        <v>8</v>
      </c>
      <c r="H566" s="8">
        <v>1.72</v>
      </c>
      <c r="I566" s="4">
        <v>0</v>
      </c>
    </row>
    <row r="567" spans="1:9" x14ac:dyDescent="0.2">
      <c r="A567" s="2">
        <v>19</v>
      </c>
      <c r="B567" s="1" t="s">
        <v>306</v>
      </c>
      <c r="C567" s="4">
        <v>11</v>
      </c>
      <c r="D567" s="8">
        <v>1.1399999999999999</v>
      </c>
      <c r="E567" s="4">
        <v>11</v>
      </c>
      <c r="F567" s="8">
        <v>2.29</v>
      </c>
      <c r="G567" s="4">
        <v>0</v>
      </c>
      <c r="H567" s="8">
        <v>0</v>
      </c>
      <c r="I567" s="4">
        <v>0</v>
      </c>
    </row>
    <row r="568" spans="1:9" x14ac:dyDescent="0.2">
      <c r="A568" s="1"/>
      <c r="C568" s="4"/>
      <c r="D568" s="8"/>
      <c r="E568" s="4"/>
      <c r="F568" s="8"/>
      <c r="G568" s="4"/>
      <c r="H568" s="8"/>
      <c r="I568" s="4"/>
    </row>
    <row r="569" spans="1:9" x14ac:dyDescent="0.2">
      <c r="A569" s="1" t="s">
        <v>25</v>
      </c>
      <c r="C569" s="4"/>
      <c r="D569" s="8"/>
      <c r="E569" s="4"/>
      <c r="F569" s="8"/>
      <c r="G569" s="4"/>
      <c r="H569" s="8"/>
      <c r="I569" s="4"/>
    </row>
    <row r="570" spans="1:9" x14ac:dyDescent="0.2">
      <c r="A570" s="2">
        <v>1</v>
      </c>
      <c r="B570" s="1" t="s">
        <v>297</v>
      </c>
      <c r="C570" s="4">
        <v>46</v>
      </c>
      <c r="D570" s="8">
        <v>9.2200000000000006</v>
      </c>
      <c r="E570" s="4">
        <v>35</v>
      </c>
      <c r="F570" s="8">
        <v>12.68</v>
      </c>
      <c r="G570" s="4">
        <v>11</v>
      </c>
      <c r="H570" s="8">
        <v>5.09</v>
      </c>
      <c r="I570" s="4">
        <v>0</v>
      </c>
    </row>
    <row r="571" spans="1:9" x14ac:dyDescent="0.2">
      <c r="A571" s="2">
        <v>2</v>
      </c>
      <c r="B571" s="1" t="s">
        <v>304</v>
      </c>
      <c r="C571" s="4">
        <v>34</v>
      </c>
      <c r="D571" s="8">
        <v>6.81</v>
      </c>
      <c r="E571" s="4">
        <v>28</v>
      </c>
      <c r="F571" s="8">
        <v>10.14</v>
      </c>
      <c r="G571" s="4">
        <v>6</v>
      </c>
      <c r="H571" s="8">
        <v>2.78</v>
      </c>
      <c r="I571" s="4">
        <v>0</v>
      </c>
    </row>
    <row r="572" spans="1:9" x14ac:dyDescent="0.2">
      <c r="A572" s="2">
        <v>3</v>
      </c>
      <c r="B572" s="1" t="s">
        <v>303</v>
      </c>
      <c r="C572" s="4">
        <v>24</v>
      </c>
      <c r="D572" s="8">
        <v>4.8099999999999996</v>
      </c>
      <c r="E572" s="4">
        <v>24</v>
      </c>
      <c r="F572" s="8">
        <v>8.6999999999999993</v>
      </c>
      <c r="G572" s="4">
        <v>0</v>
      </c>
      <c r="H572" s="8">
        <v>0</v>
      </c>
      <c r="I572" s="4">
        <v>0</v>
      </c>
    </row>
    <row r="573" spans="1:9" x14ac:dyDescent="0.2">
      <c r="A573" s="2">
        <v>4</v>
      </c>
      <c r="B573" s="1" t="s">
        <v>301</v>
      </c>
      <c r="C573" s="4">
        <v>21</v>
      </c>
      <c r="D573" s="8">
        <v>4.21</v>
      </c>
      <c r="E573" s="4">
        <v>21</v>
      </c>
      <c r="F573" s="8">
        <v>7.61</v>
      </c>
      <c r="G573" s="4">
        <v>0</v>
      </c>
      <c r="H573" s="8">
        <v>0</v>
      </c>
      <c r="I573" s="4">
        <v>0</v>
      </c>
    </row>
    <row r="574" spans="1:9" x14ac:dyDescent="0.2">
      <c r="A574" s="2">
        <v>5</v>
      </c>
      <c r="B574" s="1" t="s">
        <v>300</v>
      </c>
      <c r="C574" s="4">
        <v>15</v>
      </c>
      <c r="D574" s="8">
        <v>3.01</v>
      </c>
      <c r="E574" s="4">
        <v>14</v>
      </c>
      <c r="F574" s="8">
        <v>5.07</v>
      </c>
      <c r="G574" s="4">
        <v>1</v>
      </c>
      <c r="H574" s="8">
        <v>0.46</v>
      </c>
      <c r="I574" s="4">
        <v>0</v>
      </c>
    </row>
    <row r="575" spans="1:9" x14ac:dyDescent="0.2">
      <c r="A575" s="2">
        <v>6</v>
      </c>
      <c r="B575" s="1" t="s">
        <v>333</v>
      </c>
      <c r="C575" s="4">
        <v>12</v>
      </c>
      <c r="D575" s="8">
        <v>2.4</v>
      </c>
      <c r="E575" s="4">
        <v>8</v>
      </c>
      <c r="F575" s="8">
        <v>2.9</v>
      </c>
      <c r="G575" s="4">
        <v>4</v>
      </c>
      <c r="H575" s="8">
        <v>1.85</v>
      </c>
      <c r="I575" s="4">
        <v>0</v>
      </c>
    </row>
    <row r="576" spans="1:9" x14ac:dyDescent="0.2">
      <c r="A576" s="2">
        <v>6</v>
      </c>
      <c r="B576" s="1" t="s">
        <v>294</v>
      </c>
      <c r="C576" s="4">
        <v>12</v>
      </c>
      <c r="D576" s="8">
        <v>2.4</v>
      </c>
      <c r="E576" s="4">
        <v>6</v>
      </c>
      <c r="F576" s="8">
        <v>2.17</v>
      </c>
      <c r="G576" s="4">
        <v>6</v>
      </c>
      <c r="H576" s="8">
        <v>2.78</v>
      </c>
      <c r="I576" s="4">
        <v>0</v>
      </c>
    </row>
    <row r="577" spans="1:9" x14ac:dyDescent="0.2">
      <c r="A577" s="2">
        <v>8</v>
      </c>
      <c r="B577" s="1" t="s">
        <v>295</v>
      </c>
      <c r="C577" s="4">
        <v>11</v>
      </c>
      <c r="D577" s="8">
        <v>2.2000000000000002</v>
      </c>
      <c r="E577" s="4">
        <v>8</v>
      </c>
      <c r="F577" s="8">
        <v>2.9</v>
      </c>
      <c r="G577" s="4">
        <v>3</v>
      </c>
      <c r="H577" s="8">
        <v>1.39</v>
      </c>
      <c r="I577" s="4">
        <v>0</v>
      </c>
    </row>
    <row r="578" spans="1:9" x14ac:dyDescent="0.2">
      <c r="A578" s="2">
        <v>9</v>
      </c>
      <c r="B578" s="1" t="s">
        <v>328</v>
      </c>
      <c r="C578" s="4">
        <v>10</v>
      </c>
      <c r="D578" s="8">
        <v>2</v>
      </c>
      <c r="E578" s="4">
        <v>5</v>
      </c>
      <c r="F578" s="8">
        <v>1.81</v>
      </c>
      <c r="G578" s="4">
        <v>5</v>
      </c>
      <c r="H578" s="8">
        <v>2.31</v>
      </c>
      <c r="I578" s="4">
        <v>0</v>
      </c>
    </row>
    <row r="579" spans="1:9" x14ac:dyDescent="0.2">
      <c r="A579" s="2">
        <v>9</v>
      </c>
      <c r="B579" s="1" t="s">
        <v>330</v>
      </c>
      <c r="C579" s="4">
        <v>10</v>
      </c>
      <c r="D579" s="8">
        <v>2</v>
      </c>
      <c r="E579" s="4">
        <v>1</v>
      </c>
      <c r="F579" s="8">
        <v>0.36</v>
      </c>
      <c r="G579" s="4">
        <v>9</v>
      </c>
      <c r="H579" s="8">
        <v>4.17</v>
      </c>
      <c r="I579" s="4">
        <v>0</v>
      </c>
    </row>
    <row r="580" spans="1:9" x14ac:dyDescent="0.2">
      <c r="A580" s="2">
        <v>11</v>
      </c>
      <c r="B580" s="1" t="s">
        <v>343</v>
      </c>
      <c r="C580" s="4">
        <v>9</v>
      </c>
      <c r="D580" s="8">
        <v>1.8</v>
      </c>
      <c r="E580" s="4">
        <v>6</v>
      </c>
      <c r="F580" s="8">
        <v>2.17</v>
      </c>
      <c r="G580" s="4">
        <v>3</v>
      </c>
      <c r="H580" s="8">
        <v>1.39</v>
      </c>
      <c r="I580" s="4">
        <v>0</v>
      </c>
    </row>
    <row r="581" spans="1:9" x14ac:dyDescent="0.2">
      <c r="A581" s="2">
        <v>11</v>
      </c>
      <c r="B581" s="1" t="s">
        <v>314</v>
      </c>
      <c r="C581" s="4">
        <v>9</v>
      </c>
      <c r="D581" s="8">
        <v>1.8</v>
      </c>
      <c r="E581" s="4">
        <v>6</v>
      </c>
      <c r="F581" s="8">
        <v>2.17</v>
      </c>
      <c r="G581" s="4">
        <v>3</v>
      </c>
      <c r="H581" s="8">
        <v>1.39</v>
      </c>
      <c r="I581" s="4">
        <v>0</v>
      </c>
    </row>
    <row r="582" spans="1:9" x14ac:dyDescent="0.2">
      <c r="A582" s="2">
        <v>11</v>
      </c>
      <c r="B582" s="1" t="s">
        <v>296</v>
      </c>
      <c r="C582" s="4">
        <v>9</v>
      </c>
      <c r="D582" s="8">
        <v>1.8</v>
      </c>
      <c r="E582" s="4">
        <v>0</v>
      </c>
      <c r="F582" s="8">
        <v>0</v>
      </c>
      <c r="G582" s="4">
        <v>9</v>
      </c>
      <c r="H582" s="8">
        <v>4.17</v>
      </c>
      <c r="I582" s="4">
        <v>0</v>
      </c>
    </row>
    <row r="583" spans="1:9" x14ac:dyDescent="0.2">
      <c r="A583" s="2">
        <v>11</v>
      </c>
      <c r="B583" s="1" t="s">
        <v>306</v>
      </c>
      <c r="C583" s="4">
        <v>9</v>
      </c>
      <c r="D583" s="8">
        <v>1.8</v>
      </c>
      <c r="E583" s="4">
        <v>9</v>
      </c>
      <c r="F583" s="8">
        <v>3.26</v>
      </c>
      <c r="G583" s="4">
        <v>0</v>
      </c>
      <c r="H583" s="8">
        <v>0</v>
      </c>
      <c r="I583" s="4">
        <v>0</v>
      </c>
    </row>
    <row r="584" spans="1:9" x14ac:dyDescent="0.2">
      <c r="A584" s="2">
        <v>15</v>
      </c>
      <c r="B584" s="1" t="s">
        <v>329</v>
      </c>
      <c r="C584" s="4">
        <v>8</v>
      </c>
      <c r="D584" s="8">
        <v>1.6</v>
      </c>
      <c r="E584" s="4">
        <v>5</v>
      </c>
      <c r="F584" s="8">
        <v>1.81</v>
      </c>
      <c r="G584" s="4">
        <v>3</v>
      </c>
      <c r="H584" s="8">
        <v>1.39</v>
      </c>
      <c r="I584" s="4">
        <v>0</v>
      </c>
    </row>
    <row r="585" spans="1:9" x14ac:dyDescent="0.2">
      <c r="A585" s="2">
        <v>15</v>
      </c>
      <c r="B585" s="1" t="s">
        <v>335</v>
      </c>
      <c r="C585" s="4">
        <v>8</v>
      </c>
      <c r="D585" s="8">
        <v>1.6</v>
      </c>
      <c r="E585" s="4">
        <v>2</v>
      </c>
      <c r="F585" s="8">
        <v>0.72</v>
      </c>
      <c r="G585" s="4">
        <v>6</v>
      </c>
      <c r="H585" s="8">
        <v>2.78</v>
      </c>
      <c r="I585" s="4">
        <v>0</v>
      </c>
    </row>
    <row r="586" spans="1:9" x14ac:dyDescent="0.2">
      <c r="A586" s="2">
        <v>15</v>
      </c>
      <c r="B586" s="1" t="s">
        <v>299</v>
      </c>
      <c r="C586" s="4">
        <v>8</v>
      </c>
      <c r="D586" s="8">
        <v>1.6</v>
      </c>
      <c r="E586" s="4">
        <v>6</v>
      </c>
      <c r="F586" s="8">
        <v>2.17</v>
      </c>
      <c r="G586" s="4">
        <v>2</v>
      </c>
      <c r="H586" s="8">
        <v>0.93</v>
      </c>
      <c r="I586" s="4">
        <v>0</v>
      </c>
    </row>
    <row r="587" spans="1:9" x14ac:dyDescent="0.2">
      <c r="A587" s="2">
        <v>15</v>
      </c>
      <c r="B587" s="1" t="s">
        <v>305</v>
      </c>
      <c r="C587" s="4">
        <v>8</v>
      </c>
      <c r="D587" s="8">
        <v>1.6</v>
      </c>
      <c r="E587" s="4">
        <v>8</v>
      </c>
      <c r="F587" s="8">
        <v>2.9</v>
      </c>
      <c r="G587" s="4">
        <v>0</v>
      </c>
      <c r="H587" s="8">
        <v>0</v>
      </c>
      <c r="I587" s="4">
        <v>0</v>
      </c>
    </row>
    <row r="588" spans="1:9" x14ac:dyDescent="0.2">
      <c r="A588" s="2">
        <v>19</v>
      </c>
      <c r="B588" s="1" t="s">
        <v>290</v>
      </c>
      <c r="C588" s="4">
        <v>7</v>
      </c>
      <c r="D588" s="8">
        <v>1.4</v>
      </c>
      <c r="E588" s="4">
        <v>5</v>
      </c>
      <c r="F588" s="8">
        <v>1.81</v>
      </c>
      <c r="G588" s="4">
        <v>2</v>
      </c>
      <c r="H588" s="8">
        <v>0.93</v>
      </c>
      <c r="I588" s="4">
        <v>0</v>
      </c>
    </row>
    <row r="589" spans="1:9" x14ac:dyDescent="0.2">
      <c r="A589" s="2">
        <v>19</v>
      </c>
      <c r="B589" s="1" t="s">
        <v>338</v>
      </c>
      <c r="C589" s="4">
        <v>7</v>
      </c>
      <c r="D589" s="8">
        <v>1.4</v>
      </c>
      <c r="E589" s="4">
        <v>3</v>
      </c>
      <c r="F589" s="8">
        <v>1.0900000000000001</v>
      </c>
      <c r="G589" s="4">
        <v>4</v>
      </c>
      <c r="H589" s="8">
        <v>1.85</v>
      </c>
      <c r="I589" s="4">
        <v>0</v>
      </c>
    </row>
    <row r="590" spans="1:9" x14ac:dyDescent="0.2">
      <c r="A590" s="1"/>
      <c r="C590" s="4"/>
      <c r="D590" s="8"/>
      <c r="E590" s="4"/>
      <c r="F590" s="8"/>
      <c r="G590" s="4"/>
      <c r="H590" s="8"/>
      <c r="I590" s="4"/>
    </row>
    <row r="591" spans="1:9" x14ac:dyDescent="0.2">
      <c r="A591" s="1" t="s">
        <v>26</v>
      </c>
      <c r="C591" s="4"/>
      <c r="D591" s="8"/>
      <c r="E591" s="4"/>
      <c r="F591" s="8"/>
      <c r="G591" s="4"/>
      <c r="H591" s="8"/>
      <c r="I591" s="4"/>
    </row>
    <row r="592" spans="1:9" x14ac:dyDescent="0.2">
      <c r="A592" s="2">
        <v>1</v>
      </c>
      <c r="B592" s="1" t="s">
        <v>304</v>
      </c>
      <c r="C592" s="4">
        <v>25</v>
      </c>
      <c r="D592" s="8">
        <v>7.29</v>
      </c>
      <c r="E592" s="4">
        <v>24</v>
      </c>
      <c r="F592" s="8">
        <v>13.48</v>
      </c>
      <c r="G592" s="4">
        <v>1</v>
      </c>
      <c r="H592" s="8">
        <v>0.65</v>
      </c>
      <c r="I592" s="4">
        <v>0</v>
      </c>
    </row>
    <row r="593" spans="1:9" x14ac:dyDescent="0.2">
      <c r="A593" s="2">
        <v>2</v>
      </c>
      <c r="B593" s="1" t="s">
        <v>303</v>
      </c>
      <c r="C593" s="4">
        <v>20</v>
      </c>
      <c r="D593" s="8">
        <v>5.83</v>
      </c>
      <c r="E593" s="4">
        <v>19</v>
      </c>
      <c r="F593" s="8">
        <v>10.67</v>
      </c>
      <c r="G593" s="4">
        <v>1</v>
      </c>
      <c r="H593" s="8">
        <v>0.65</v>
      </c>
      <c r="I593" s="4">
        <v>0</v>
      </c>
    </row>
    <row r="594" spans="1:9" x14ac:dyDescent="0.2">
      <c r="A594" s="2">
        <v>3</v>
      </c>
      <c r="B594" s="1" t="s">
        <v>297</v>
      </c>
      <c r="C594" s="4">
        <v>18</v>
      </c>
      <c r="D594" s="8">
        <v>5.25</v>
      </c>
      <c r="E594" s="4">
        <v>11</v>
      </c>
      <c r="F594" s="8">
        <v>6.18</v>
      </c>
      <c r="G594" s="4">
        <v>6</v>
      </c>
      <c r="H594" s="8">
        <v>3.92</v>
      </c>
      <c r="I594" s="4">
        <v>0</v>
      </c>
    </row>
    <row r="595" spans="1:9" x14ac:dyDescent="0.2">
      <c r="A595" s="2">
        <v>4</v>
      </c>
      <c r="B595" s="1" t="s">
        <v>347</v>
      </c>
      <c r="C595" s="4">
        <v>15</v>
      </c>
      <c r="D595" s="8">
        <v>4.37</v>
      </c>
      <c r="E595" s="4">
        <v>0</v>
      </c>
      <c r="F595" s="8">
        <v>0</v>
      </c>
      <c r="G595" s="4">
        <v>15</v>
      </c>
      <c r="H595" s="8">
        <v>9.8000000000000007</v>
      </c>
      <c r="I595" s="4">
        <v>0</v>
      </c>
    </row>
    <row r="596" spans="1:9" x14ac:dyDescent="0.2">
      <c r="A596" s="2">
        <v>5</v>
      </c>
      <c r="B596" s="1" t="s">
        <v>301</v>
      </c>
      <c r="C596" s="4">
        <v>14</v>
      </c>
      <c r="D596" s="8">
        <v>4.08</v>
      </c>
      <c r="E596" s="4">
        <v>14</v>
      </c>
      <c r="F596" s="8">
        <v>7.87</v>
      </c>
      <c r="G596" s="4">
        <v>0</v>
      </c>
      <c r="H596" s="8">
        <v>0</v>
      </c>
      <c r="I596" s="4">
        <v>0</v>
      </c>
    </row>
    <row r="597" spans="1:9" x14ac:dyDescent="0.2">
      <c r="A597" s="2">
        <v>6</v>
      </c>
      <c r="B597" s="1" t="s">
        <v>299</v>
      </c>
      <c r="C597" s="4">
        <v>11</v>
      </c>
      <c r="D597" s="8">
        <v>3.21</v>
      </c>
      <c r="E597" s="4">
        <v>9</v>
      </c>
      <c r="F597" s="8">
        <v>5.0599999999999996</v>
      </c>
      <c r="G597" s="4">
        <v>2</v>
      </c>
      <c r="H597" s="8">
        <v>1.31</v>
      </c>
      <c r="I597" s="4">
        <v>0</v>
      </c>
    </row>
    <row r="598" spans="1:9" x14ac:dyDescent="0.2">
      <c r="A598" s="2">
        <v>6</v>
      </c>
      <c r="B598" s="1" t="s">
        <v>300</v>
      </c>
      <c r="C598" s="4">
        <v>11</v>
      </c>
      <c r="D598" s="8">
        <v>3.21</v>
      </c>
      <c r="E598" s="4">
        <v>11</v>
      </c>
      <c r="F598" s="8">
        <v>6.18</v>
      </c>
      <c r="G598" s="4">
        <v>0</v>
      </c>
      <c r="H598" s="8">
        <v>0</v>
      </c>
      <c r="I598" s="4">
        <v>0</v>
      </c>
    </row>
    <row r="599" spans="1:9" x14ac:dyDescent="0.2">
      <c r="A599" s="2">
        <v>8</v>
      </c>
      <c r="B599" s="1" t="s">
        <v>302</v>
      </c>
      <c r="C599" s="4">
        <v>10</v>
      </c>
      <c r="D599" s="8">
        <v>2.92</v>
      </c>
      <c r="E599" s="4">
        <v>10</v>
      </c>
      <c r="F599" s="8">
        <v>5.62</v>
      </c>
      <c r="G599" s="4">
        <v>0</v>
      </c>
      <c r="H599" s="8">
        <v>0</v>
      </c>
      <c r="I599" s="4">
        <v>0</v>
      </c>
    </row>
    <row r="600" spans="1:9" x14ac:dyDescent="0.2">
      <c r="A600" s="2">
        <v>9</v>
      </c>
      <c r="B600" s="1" t="s">
        <v>295</v>
      </c>
      <c r="C600" s="4">
        <v>9</v>
      </c>
      <c r="D600" s="8">
        <v>2.62</v>
      </c>
      <c r="E600" s="4">
        <v>5</v>
      </c>
      <c r="F600" s="8">
        <v>2.81</v>
      </c>
      <c r="G600" s="4">
        <v>4</v>
      </c>
      <c r="H600" s="8">
        <v>2.61</v>
      </c>
      <c r="I600" s="4">
        <v>0</v>
      </c>
    </row>
    <row r="601" spans="1:9" x14ac:dyDescent="0.2">
      <c r="A601" s="2">
        <v>10</v>
      </c>
      <c r="B601" s="1" t="s">
        <v>335</v>
      </c>
      <c r="C601" s="4">
        <v>7</v>
      </c>
      <c r="D601" s="8">
        <v>2.04</v>
      </c>
      <c r="E601" s="4">
        <v>1</v>
      </c>
      <c r="F601" s="8">
        <v>0.56000000000000005</v>
      </c>
      <c r="G601" s="4">
        <v>6</v>
      </c>
      <c r="H601" s="8">
        <v>3.92</v>
      </c>
      <c r="I601" s="4">
        <v>0</v>
      </c>
    </row>
    <row r="602" spans="1:9" x14ac:dyDescent="0.2">
      <c r="A602" s="2">
        <v>10</v>
      </c>
      <c r="B602" s="1" t="s">
        <v>348</v>
      </c>
      <c r="C602" s="4">
        <v>7</v>
      </c>
      <c r="D602" s="8">
        <v>2.04</v>
      </c>
      <c r="E602" s="4">
        <v>0</v>
      </c>
      <c r="F602" s="8">
        <v>0</v>
      </c>
      <c r="G602" s="4">
        <v>7</v>
      </c>
      <c r="H602" s="8">
        <v>4.58</v>
      </c>
      <c r="I602" s="4">
        <v>0</v>
      </c>
    </row>
    <row r="603" spans="1:9" x14ac:dyDescent="0.2">
      <c r="A603" s="2">
        <v>12</v>
      </c>
      <c r="B603" s="1" t="s">
        <v>314</v>
      </c>
      <c r="C603" s="4">
        <v>6</v>
      </c>
      <c r="D603" s="8">
        <v>1.75</v>
      </c>
      <c r="E603" s="4">
        <v>3</v>
      </c>
      <c r="F603" s="8">
        <v>1.69</v>
      </c>
      <c r="G603" s="4">
        <v>3</v>
      </c>
      <c r="H603" s="8">
        <v>1.96</v>
      </c>
      <c r="I603" s="4">
        <v>0</v>
      </c>
    </row>
    <row r="604" spans="1:9" x14ac:dyDescent="0.2">
      <c r="A604" s="2">
        <v>12</v>
      </c>
      <c r="B604" s="1" t="s">
        <v>293</v>
      </c>
      <c r="C604" s="4">
        <v>6</v>
      </c>
      <c r="D604" s="8">
        <v>1.75</v>
      </c>
      <c r="E604" s="4">
        <v>3</v>
      </c>
      <c r="F604" s="8">
        <v>1.69</v>
      </c>
      <c r="G604" s="4">
        <v>3</v>
      </c>
      <c r="H604" s="8">
        <v>1.96</v>
      </c>
      <c r="I604" s="4">
        <v>0</v>
      </c>
    </row>
    <row r="605" spans="1:9" x14ac:dyDescent="0.2">
      <c r="A605" s="2">
        <v>12</v>
      </c>
      <c r="B605" s="1" t="s">
        <v>306</v>
      </c>
      <c r="C605" s="4">
        <v>6</v>
      </c>
      <c r="D605" s="8">
        <v>1.75</v>
      </c>
      <c r="E605" s="4">
        <v>5</v>
      </c>
      <c r="F605" s="8">
        <v>2.81</v>
      </c>
      <c r="G605" s="4">
        <v>1</v>
      </c>
      <c r="H605" s="8">
        <v>0.65</v>
      </c>
      <c r="I605" s="4">
        <v>0</v>
      </c>
    </row>
    <row r="606" spans="1:9" x14ac:dyDescent="0.2">
      <c r="A606" s="2">
        <v>15</v>
      </c>
      <c r="B606" s="1" t="s">
        <v>288</v>
      </c>
      <c r="C606" s="4">
        <v>5</v>
      </c>
      <c r="D606" s="8">
        <v>1.46</v>
      </c>
      <c r="E606" s="4">
        <v>0</v>
      </c>
      <c r="F606" s="8">
        <v>0</v>
      </c>
      <c r="G606" s="4">
        <v>5</v>
      </c>
      <c r="H606" s="8">
        <v>3.27</v>
      </c>
      <c r="I606" s="4">
        <v>0</v>
      </c>
    </row>
    <row r="607" spans="1:9" x14ac:dyDescent="0.2">
      <c r="A607" s="2">
        <v>15</v>
      </c>
      <c r="B607" s="1" t="s">
        <v>290</v>
      </c>
      <c r="C607" s="4">
        <v>5</v>
      </c>
      <c r="D607" s="8">
        <v>1.46</v>
      </c>
      <c r="E607" s="4">
        <v>1</v>
      </c>
      <c r="F607" s="8">
        <v>0.56000000000000005</v>
      </c>
      <c r="G607" s="4">
        <v>4</v>
      </c>
      <c r="H607" s="8">
        <v>2.61</v>
      </c>
      <c r="I607" s="4">
        <v>0</v>
      </c>
    </row>
    <row r="608" spans="1:9" x14ac:dyDescent="0.2">
      <c r="A608" s="2">
        <v>15</v>
      </c>
      <c r="B608" s="1" t="s">
        <v>294</v>
      </c>
      <c r="C608" s="4">
        <v>5</v>
      </c>
      <c r="D608" s="8">
        <v>1.46</v>
      </c>
      <c r="E608" s="4">
        <v>1</v>
      </c>
      <c r="F608" s="8">
        <v>0.56000000000000005</v>
      </c>
      <c r="G608" s="4">
        <v>4</v>
      </c>
      <c r="H608" s="8">
        <v>2.61</v>
      </c>
      <c r="I608" s="4">
        <v>0</v>
      </c>
    </row>
    <row r="609" spans="1:9" x14ac:dyDescent="0.2">
      <c r="A609" s="2">
        <v>15</v>
      </c>
      <c r="B609" s="1" t="s">
        <v>334</v>
      </c>
      <c r="C609" s="4">
        <v>5</v>
      </c>
      <c r="D609" s="8">
        <v>1.46</v>
      </c>
      <c r="E609" s="4">
        <v>5</v>
      </c>
      <c r="F609" s="8">
        <v>2.81</v>
      </c>
      <c r="G609" s="4">
        <v>0</v>
      </c>
      <c r="H609" s="8">
        <v>0</v>
      </c>
      <c r="I609" s="4">
        <v>0</v>
      </c>
    </row>
    <row r="610" spans="1:9" x14ac:dyDescent="0.2">
      <c r="A610" s="2">
        <v>15</v>
      </c>
      <c r="B610" s="1" t="s">
        <v>331</v>
      </c>
      <c r="C610" s="4">
        <v>5</v>
      </c>
      <c r="D610" s="8">
        <v>1.46</v>
      </c>
      <c r="E610" s="4">
        <v>0</v>
      </c>
      <c r="F610" s="8">
        <v>0</v>
      </c>
      <c r="G610" s="4">
        <v>4</v>
      </c>
      <c r="H610" s="8">
        <v>2.61</v>
      </c>
      <c r="I610" s="4">
        <v>0</v>
      </c>
    </row>
    <row r="611" spans="1:9" x14ac:dyDescent="0.2">
      <c r="A611" s="2">
        <v>15</v>
      </c>
      <c r="B611" s="1" t="s">
        <v>307</v>
      </c>
      <c r="C611" s="4">
        <v>5</v>
      </c>
      <c r="D611" s="8">
        <v>1.46</v>
      </c>
      <c r="E611" s="4">
        <v>2</v>
      </c>
      <c r="F611" s="8">
        <v>1.1200000000000001</v>
      </c>
      <c r="G611" s="4">
        <v>2</v>
      </c>
      <c r="H611" s="8">
        <v>1.31</v>
      </c>
      <c r="I611" s="4">
        <v>0</v>
      </c>
    </row>
    <row r="612" spans="1:9" x14ac:dyDescent="0.2">
      <c r="A612" s="1"/>
      <c r="C612" s="4"/>
      <c r="D612" s="8"/>
      <c r="E612" s="4"/>
      <c r="F612" s="8"/>
      <c r="G612" s="4"/>
      <c r="H612" s="8"/>
      <c r="I612" s="4"/>
    </row>
    <row r="613" spans="1:9" x14ac:dyDescent="0.2">
      <c r="A613" s="1" t="s">
        <v>27</v>
      </c>
      <c r="C613" s="4"/>
      <c r="D613" s="8"/>
      <c r="E613" s="4"/>
      <c r="F613" s="8"/>
      <c r="G613" s="4"/>
      <c r="H613" s="8"/>
      <c r="I613" s="4"/>
    </row>
    <row r="614" spans="1:9" x14ac:dyDescent="0.2">
      <c r="A614" s="2">
        <v>1</v>
      </c>
      <c r="B614" s="1" t="s">
        <v>297</v>
      </c>
      <c r="C614" s="4">
        <v>119</v>
      </c>
      <c r="D614" s="8">
        <v>6.53</v>
      </c>
      <c r="E614" s="4">
        <v>93</v>
      </c>
      <c r="F614" s="8">
        <v>10.46</v>
      </c>
      <c r="G614" s="4">
        <v>26</v>
      </c>
      <c r="H614" s="8">
        <v>2.82</v>
      </c>
      <c r="I614" s="4">
        <v>0</v>
      </c>
    </row>
    <row r="615" spans="1:9" x14ac:dyDescent="0.2">
      <c r="A615" s="2">
        <v>2</v>
      </c>
      <c r="B615" s="1" t="s">
        <v>304</v>
      </c>
      <c r="C615" s="4">
        <v>109</v>
      </c>
      <c r="D615" s="8">
        <v>5.98</v>
      </c>
      <c r="E615" s="4">
        <v>92</v>
      </c>
      <c r="F615" s="8">
        <v>10.35</v>
      </c>
      <c r="G615" s="4">
        <v>17</v>
      </c>
      <c r="H615" s="8">
        <v>1.85</v>
      </c>
      <c r="I615" s="4">
        <v>0</v>
      </c>
    </row>
    <row r="616" spans="1:9" x14ac:dyDescent="0.2">
      <c r="A616" s="2">
        <v>3</v>
      </c>
      <c r="B616" s="1" t="s">
        <v>305</v>
      </c>
      <c r="C616" s="4">
        <v>89</v>
      </c>
      <c r="D616" s="8">
        <v>4.88</v>
      </c>
      <c r="E616" s="4">
        <v>79</v>
      </c>
      <c r="F616" s="8">
        <v>8.89</v>
      </c>
      <c r="G616" s="4">
        <v>10</v>
      </c>
      <c r="H616" s="8">
        <v>1.0900000000000001</v>
      </c>
      <c r="I616" s="4">
        <v>0</v>
      </c>
    </row>
    <row r="617" spans="1:9" x14ac:dyDescent="0.2">
      <c r="A617" s="2">
        <v>4</v>
      </c>
      <c r="B617" s="1" t="s">
        <v>303</v>
      </c>
      <c r="C617" s="4">
        <v>75</v>
      </c>
      <c r="D617" s="8">
        <v>4.1100000000000003</v>
      </c>
      <c r="E617" s="4">
        <v>70</v>
      </c>
      <c r="F617" s="8">
        <v>7.87</v>
      </c>
      <c r="G617" s="4">
        <v>5</v>
      </c>
      <c r="H617" s="8">
        <v>0.54</v>
      </c>
      <c r="I617" s="4">
        <v>0</v>
      </c>
    </row>
    <row r="618" spans="1:9" x14ac:dyDescent="0.2">
      <c r="A618" s="2">
        <v>5</v>
      </c>
      <c r="B618" s="1" t="s">
        <v>306</v>
      </c>
      <c r="C618" s="4">
        <v>73</v>
      </c>
      <c r="D618" s="8">
        <v>4</v>
      </c>
      <c r="E618" s="4">
        <v>70</v>
      </c>
      <c r="F618" s="8">
        <v>7.87</v>
      </c>
      <c r="G618" s="4">
        <v>3</v>
      </c>
      <c r="H618" s="8">
        <v>0.33</v>
      </c>
      <c r="I618" s="4">
        <v>0</v>
      </c>
    </row>
    <row r="619" spans="1:9" x14ac:dyDescent="0.2">
      <c r="A619" s="2">
        <v>6</v>
      </c>
      <c r="B619" s="1" t="s">
        <v>301</v>
      </c>
      <c r="C619" s="4">
        <v>47</v>
      </c>
      <c r="D619" s="8">
        <v>2.58</v>
      </c>
      <c r="E619" s="4">
        <v>44</v>
      </c>
      <c r="F619" s="8">
        <v>4.95</v>
      </c>
      <c r="G619" s="4">
        <v>3</v>
      </c>
      <c r="H619" s="8">
        <v>0.33</v>
      </c>
      <c r="I619" s="4">
        <v>0</v>
      </c>
    </row>
    <row r="620" spans="1:9" x14ac:dyDescent="0.2">
      <c r="A620" s="2">
        <v>7</v>
      </c>
      <c r="B620" s="1" t="s">
        <v>293</v>
      </c>
      <c r="C620" s="4">
        <v>41</v>
      </c>
      <c r="D620" s="8">
        <v>2.25</v>
      </c>
      <c r="E620" s="4">
        <v>11</v>
      </c>
      <c r="F620" s="8">
        <v>1.24</v>
      </c>
      <c r="G620" s="4">
        <v>30</v>
      </c>
      <c r="H620" s="8">
        <v>3.26</v>
      </c>
      <c r="I620" s="4">
        <v>0</v>
      </c>
    </row>
    <row r="621" spans="1:9" x14ac:dyDescent="0.2">
      <c r="A621" s="2">
        <v>8</v>
      </c>
      <c r="B621" s="1" t="s">
        <v>295</v>
      </c>
      <c r="C621" s="4">
        <v>38</v>
      </c>
      <c r="D621" s="8">
        <v>2.08</v>
      </c>
      <c r="E621" s="4">
        <v>16</v>
      </c>
      <c r="F621" s="8">
        <v>1.8</v>
      </c>
      <c r="G621" s="4">
        <v>22</v>
      </c>
      <c r="H621" s="8">
        <v>2.39</v>
      </c>
      <c r="I621" s="4">
        <v>0</v>
      </c>
    </row>
    <row r="622" spans="1:9" x14ac:dyDescent="0.2">
      <c r="A622" s="2">
        <v>9</v>
      </c>
      <c r="B622" s="1" t="s">
        <v>299</v>
      </c>
      <c r="C622" s="4">
        <v>36</v>
      </c>
      <c r="D622" s="8">
        <v>1.97</v>
      </c>
      <c r="E622" s="4">
        <v>25</v>
      </c>
      <c r="F622" s="8">
        <v>2.81</v>
      </c>
      <c r="G622" s="4">
        <v>11</v>
      </c>
      <c r="H622" s="8">
        <v>1.19</v>
      </c>
      <c r="I622" s="4">
        <v>0</v>
      </c>
    </row>
    <row r="623" spans="1:9" x14ac:dyDescent="0.2">
      <c r="A623" s="2">
        <v>10</v>
      </c>
      <c r="B623" s="1" t="s">
        <v>291</v>
      </c>
      <c r="C623" s="4">
        <v>32</v>
      </c>
      <c r="D623" s="8">
        <v>1.76</v>
      </c>
      <c r="E623" s="4">
        <v>3</v>
      </c>
      <c r="F623" s="8">
        <v>0.34</v>
      </c>
      <c r="G623" s="4">
        <v>29</v>
      </c>
      <c r="H623" s="8">
        <v>3.15</v>
      </c>
      <c r="I623" s="4">
        <v>0</v>
      </c>
    </row>
    <row r="624" spans="1:9" x14ac:dyDescent="0.2">
      <c r="A624" s="2">
        <v>11</v>
      </c>
      <c r="B624" s="1" t="s">
        <v>298</v>
      </c>
      <c r="C624" s="4">
        <v>30</v>
      </c>
      <c r="D624" s="8">
        <v>1.65</v>
      </c>
      <c r="E624" s="4">
        <v>9</v>
      </c>
      <c r="F624" s="8">
        <v>1.01</v>
      </c>
      <c r="G624" s="4">
        <v>21</v>
      </c>
      <c r="H624" s="8">
        <v>2.2799999999999998</v>
      </c>
      <c r="I624" s="4">
        <v>0</v>
      </c>
    </row>
    <row r="625" spans="1:9" x14ac:dyDescent="0.2">
      <c r="A625" s="2">
        <v>12</v>
      </c>
      <c r="B625" s="1" t="s">
        <v>288</v>
      </c>
      <c r="C625" s="4">
        <v>29</v>
      </c>
      <c r="D625" s="8">
        <v>1.59</v>
      </c>
      <c r="E625" s="4">
        <v>4</v>
      </c>
      <c r="F625" s="8">
        <v>0.45</v>
      </c>
      <c r="G625" s="4">
        <v>25</v>
      </c>
      <c r="H625" s="8">
        <v>2.71</v>
      </c>
      <c r="I625" s="4">
        <v>0</v>
      </c>
    </row>
    <row r="626" spans="1:9" x14ac:dyDescent="0.2">
      <c r="A626" s="2">
        <v>12</v>
      </c>
      <c r="B626" s="1" t="s">
        <v>294</v>
      </c>
      <c r="C626" s="4">
        <v>29</v>
      </c>
      <c r="D626" s="8">
        <v>1.59</v>
      </c>
      <c r="E626" s="4">
        <v>6</v>
      </c>
      <c r="F626" s="8">
        <v>0.67</v>
      </c>
      <c r="G626" s="4">
        <v>23</v>
      </c>
      <c r="H626" s="8">
        <v>2.5</v>
      </c>
      <c r="I626" s="4">
        <v>0</v>
      </c>
    </row>
    <row r="627" spans="1:9" x14ac:dyDescent="0.2">
      <c r="A627" s="2">
        <v>14</v>
      </c>
      <c r="B627" s="1" t="s">
        <v>290</v>
      </c>
      <c r="C627" s="4">
        <v>28</v>
      </c>
      <c r="D627" s="8">
        <v>1.54</v>
      </c>
      <c r="E627" s="4">
        <v>3</v>
      </c>
      <c r="F627" s="8">
        <v>0.34</v>
      </c>
      <c r="G627" s="4">
        <v>25</v>
      </c>
      <c r="H627" s="8">
        <v>2.71</v>
      </c>
      <c r="I627" s="4">
        <v>0</v>
      </c>
    </row>
    <row r="628" spans="1:9" x14ac:dyDescent="0.2">
      <c r="A628" s="2">
        <v>14</v>
      </c>
      <c r="B628" s="1" t="s">
        <v>312</v>
      </c>
      <c r="C628" s="4">
        <v>28</v>
      </c>
      <c r="D628" s="8">
        <v>1.54</v>
      </c>
      <c r="E628" s="4">
        <v>24</v>
      </c>
      <c r="F628" s="8">
        <v>2.7</v>
      </c>
      <c r="G628" s="4">
        <v>4</v>
      </c>
      <c r="H628" s="8">
        <v>0.43</v>
      </c>
      <c r="I628" s="4">
        <v>0</v>
      </c>
    </row>
    <row r="629" spans="1:9" x14ac:dyDescent="0.2">
      <c r="A629" s="2">
        <v>16</v>
      </c>
      <c r="B629" s="1" t="s">
        <v>333</v>
      </c>
      <c r="C629" s="4">
        <v>27</v>
      </c>
      <c r="D629" s="8">
        <v>1.48</v>
      </c>
      <c r="E629" s="4">
        <v>9</v>
      </c>
      <c r="F629" s="8">
        <v>1.01</v>
      </c>
      <c r="G629" s="4">
        <v>18</v>
      </c>
      <c r="H629" s="8">
        <v>1.95</v>
      </c>
      <c r="I629" s="4">
        <v>0</v>
      </c>
    </row>
    <row r="630" spans="1:9" x14ac:dyDescent="0.2">
      <c r="A630" s="2">
        <v>16</v>
      </c>
      <c r="B630" s="1" t="s">
        <v>300</v>
      </c>
      <c r="C630" s="4">
        <v>27</v>
      </c>
      <c r="D630" s="8">
        <v>1.48</v>
      </c>
      <c r="E630" s="4">
        <v>23</v>
      </c>
      <c r="F630" s="8">
        <v>2.59</v>
      </c>
      <c r="G630" s="4">
        <v>4</v>
      </c>
      <c r="H630" s="8">
        <v>0.43</v>
      </c>
      <c r="I630" s="4">
        <v>0</v>
      </c>
    </row>
    <row r="631" spans="1:9" x14ac:dyDescent="0.2">
      <c r="A631" s="2">
        <v>18</v>
      </c>
      <c r="B631" s="1" t="s">
        <v>289</v>
      </c>
      <c r="C631" s="4">
        <v>25</v>
      </c>
      <c r="D631" s="8">
        <v>1.37</v>
      </c>
      <c r="E631" s="4">
        <v>1</v>
      </c>
      <c r="F631" s="8">
        <v>0.11</v>
      </c>
      <c r="G631" s="4">
        <v>24</v>
      </c>
      <c r="H631" s="8">
        <v>2.61</v>
      </c>
      <c r="I631" s="4">
        <v>0</v>
      </c>
    </row>
    <row r="632" spans="1:9" x14ac:dyDescent="0.2">
      <c r="A632" s="2">
        <v>18</v>
      </c>
      <c r="B632" s="1" t="s">
        <v>319</v>
      </c>
      <c r="C632" s="4">
        <v>25</v>
      </c>
      <c r="D632" s="8">
        <v>1.37</v>
      </c>
      <c r="E632" s="4">
        <v>4</v>
      </c>
      <c r="F632" s="8">
        <v>0.45</v>
      </c>
      <c r="G632" s="4">
        <v>21</v>
      </c>
      <c r="H632" s="8">
        <v>2.2799999999999998</v>
      </c>
      <c r="I632" s="4">
        <v>0</v>
      </c>
    </row>
    <row r="633" spans="1:9" x14ac:dyDescent="0.2">
      <c r="A633" s="2">
        <v>18</v>
      </c>
      <c r="B633" s="1" t="s">
        <v>320</v>
      </c>
      <c r="C633" s="4">
        <v>25</v>
      </c>
      <c r="D633" s="8">
        <v>1.37</v>
      </c>
      <c r="E633" s="4">
        <v>5</v>
      </c>
      <c r="F633" s="8">
        <v>0.56000000000000005</v>
      </c>
      <c r="G633" s="4">
        <v>20</v>
      </c>
      <c r="H633" s="8">
        <v>2.17</v>
      </c>
      <c r="I633" s="4">
        <v>0</v>
      </c>
    </row>
    <row r="634" spans="1:9" x14ac:dyDescent="0.2">
      <c r="A634" s="2">
        <v>18</v>
      </c>
      <c r="B634" s="1" t="s">
        <v>302</v>
      </c>
      <c r="C634" s="4">
        <v>25</v>
      </c>
      <c r="D634" s="8">
        <v>1.37</v>
      </c>
      <c r="E634" s="4">
        <v>22</v>
      </c>
      <c r="F634" s="8">
        <v>2.4700000000000002</v>
      </c>
      <c r="G634" s="4">
        <v>3</v>
      </c>
      <c r="H634" s="8">
        <v>0.33</v>
      </c>
      <c r="I634" s="4">
        <v>0</v>
      </c>
    </row>
    <row r="635" spans="1:9" x14ac:dyDescent="0.2">
      <c r="A635" s="2">
        <v>18</v>
      </c>
      <c r="B635" s="1" t="s">
        <v>327</v>
      </c>
      <c r="C635" s="4">
        <v>25</v>
      </c>
      <c r="D635" s="8">
        <v>1.37</v>
      </c>
      <c r="E635" s="4">
        <v>19</v>
      </c>
      <c r="F635" s="8">
        <v>2.14</v>
      </c>
      <c r="G635" s="4">
        <v>6</v>
      </c>
      <c r="H635" s="8">
        <v>0.65</v>
      </c>
      <c r="I635" s="4">
        <v>0</v>
      </c>
    </row>
    <row r="636" spans="1:9" x14ac:dyDescent="0.2">
      <c r="A636" s="1"/>
      <c r="C636" s="4"/>
      <c r="D636" s="8"/>
      <c r="E636" s="4"/>
      <c r="F636" s="8"/>
      <c r="G636" s="4"/>
      <c r="H636" s="8"/>
      <c r="I636" s="4"/>
    </row>
    <row r="637" spans="1:9" x14ac:dyDescent="0.2">
      <c r="A637" s="1" t="s">
        <v>28</v>
      </c>
      <c r="C637" s="4"/>
      <c r="D637" s="8"/>
      <c r="E637" s="4"/>
      <c r="F637" s="8"/>
      <c r="G637" s="4"/>
      <c r="H637" s="8"/>
      <c r="I637" s="4"/>
    </row>
    <row r="638" spans="1:9" x14ac:dyDescent="0.2">
      <c r="A638" s="2">
        <v>1</v>
      </c>
      <c r="B638" s="1" t="s">
        <v>303</v>
      </c>
      <c r="C638" s="4">
        <v>17</v>
      </c>
      <c r="D638" s="8">
        <v>7.08</v>
      </c>
      <c r="E638" s="4">
        <v>16</v>
      </c>
      <c r="F638" s="8">
        <v>14.41</v>
      </c>
      <c r="G638" s="4">
        <v>1</v>
      </c>
      <c r="H638" s="8">
        <v>0.9</v>
      </c>
      <c r="I638" s="4">
        <v>0</v>
      </c>
    </row>
    <row r="639" spans="1:9" x14ac:dyDescent="0.2">
      <c r="A639" s="2">
        <v>2</v>
      </c>
      <c r="B639" s="1" t="s">
        <v>304</v>
      </c>
      <c r="C639" s="4">
        <v>16</v>
      </c>
      <c r="D639" s="8">
        <v>6.67</v>
      </c>
      <c r="E639" s="4">
        <v>16</v>
      </c>
      <c r="F639" s="8">
        <v>14.41</v>
      </c>
      <c r="G639" s="4">
        <v>0</v>
      </c>
      <c r="H639" s="8">
        <v>0</v>
      </c>
      <c r="I639" s="4">
        <v>0</v>
      </c>
    </row>
    <row r="640" spans="1:9" x14ac:dyDescent="0.2">
      <c r="A640" s="2">
        <v>3</v>
      </c>
      <c r="B640" s="1" t="s">
        <v>301</v>
      </c>
      <c r="C640" s="4">
        <v>10</v>
      </c>
      <c r="D640" s="8">
        <v>4.17</v>
      </c>
      <c r="E640" s="4">
        <v>9</v>
      </c>
      <c r="F640" s="8">
        <v>8.11</v>
      </c>
      <c r="G640" s="4">
        <v>1</v>
      </c>
      <c r="H640" s="8">
        <v>0.9</v>
      </c>
      <c r="I640" s="4">
        <v>0</v>
      </c>
    </row>
    <row r="641" spans="1:9" x14ac:dyDescent="0.2">
      <c r="A641" s="2">
        <v>4</v>
      </c>
      <c r="B641" s="1" t="s">
        <v>292</v>
      </c>
      <c r="C641" s="4">
        <v>8</v>
      </c>
      <c r="D641" s="8">
        <v>3.33</v>
      </c>
      <c r="E641" s="4">
        <v>0</v>
      </c>
      <c r="F641" s="8">
        <v>0</v>
      </c>
      <c r="G641" s="4">
        <v>7</v>
      </c>
      <c r="H641" s="8">
        <v>6.31</v>
      </c>
      <c r="I641" s="4">
        <v>1</v>
      </c>
    </row>
    <row r="642" spans="1:9" x14ac:dyDescent="0.2">
      <c r="A642" s="2">
        <v>4</v>
      </c>
      <c r="B642" s="1" t="s">
        <v>294</v>
      </c>
      <c r="C642" s="4">
        <v>8</v>
      </c>
      <c r="D642" s="8">
        <v>3.33</v>
      </c>
      <c r="E642" s="4">
        <v>4</v>
      </c>
      <c r="F642" s="8">
        <v>3.6</v>
      </c>
      <c r="G642" s="4">
        <v>4</v>
      </c>
      <c r="H642" s="8">
        <v>3.6</v>
      </c>
      <c r="I642" s="4">
        <v>0</v>
      </c>
    </row>
    <row r="643" spans="1:9" x14ac:dyDescent="0.2">
      <c r="A643" s="2">
        <v>4</v>
      </c>
      <c r="B643" s="1" t="s">
        <v>330</v>
      </c>
      <c r="C643" s="4">
        <v>8</v>
      </c>
      <c r="D643" s="8">
        <v>3.33</v>
      </c>
      <c r="E643" s="4">
        <v>0</v>
      </c>
      <c r="F643" s="8">
        <v>0</v>
      </c>
      <c r="G643" s="4">
        <v>8</v>
      </c>
      <c r="H643" s="8">
        <v>7.21</v>
      </c>
      <c r="I643" s="4">
        <v>0</v>
      </c>
    </row>
    <row r="644" spans="1:9" x14ac:dyDescent="0.2">
      <c r="A644" s="2">
        <v>7</v>
      </c>
      <c r="B644" s="1" t="s">
        <v>333</v>
      </c>
      <c r="C644" s="4">
        <v>6</v>
      </c>
      <c r="D644" s="8">
        <v>2.5</v>
      </c>
      <c r="E644" s="4">
        <v>3</v>
      </c>
      <c r="F644" s="8">
        <v>2.7</v>
      </c>
      <c r="G644" s="4">
        <v>3</v>
      </c>
      <c r="H644" s="8">
        <v>2.7</v>
      </c>
      <c r="I644" s="4">
        <v>0</v>
      </c>
    </row>
    <row r="645" spans="1:9" x14ac:dyDescent="0.2">
      <c r="A645" s="2">
        <v>7</v>
      </c>
      <c r="B645" s="1" t="s">
        <v>341</v>
      </c>
      <c r="C645" s="4">
        <v>6</v>
      </c>
      <c r="D645" s="8">
        <v>2.5</v>
      </c>
      <c r="E645" s="4">
        <v>0</v>
      </c>
      <c r="F645" s="8">
        <v>0</v>
      </c>
      <c r="G645" s="4">
        <v>0</v>
      </c>
      <c r="H645" s="8">
        <v>0</v>
      </c>
      <c r="I645" s="4">
        <v>0</v>
      </c>
    </row>
    <row r="646" spans="1:9" x14ac:dyDescent="0.2">
      <c r="A646" s="2">
        <v>7</v>
      </c>
      <c r="B646" s="1" t="s">
        <v>331</v>
      </c>
      <c r="C646" s="4">
        <v>6</v>
      </c>
      <c r="D646" s="8">
        <v>2.5</v>
      </c>
      <c r="E646" s="4">
        <v>0</v>
      </c>
      <c r="F646" s="8">
        <v>0</v>
      </c>
      <c r="G646" s="4">
        <v>2</v>
      </c>
      <c r="H646" s="8">
        <v>1.8</v>
      </c>
      <c r="I646" s="4">
        <v>0</v>
      </c>
    </row>
    <row r="647" spans="1:9" x14ac:dyDescent="0.2">
      <c r="A647" s="2">
        <v>10</v>
      </c>
      <c r="B647" s="1" t="s">
        <v>288</v>
      </c>
      <c r="C647" s="4">
        <v>5</v>
      </c>
      <c r="D647" s="8">
        <v>2.08</v>
      </c>
      <c r="E647" s="4">
        <v>0</v>
      </c>
      <c r="F647" s="8">
        <v>0</v>
      </c>
      <c r="G647" s="4">
        <v>5</v>
      </c>
      <c r="H647" s="8">
        <v>4.5</v>
      </c>
      <c r="I647" s="4">
        <v>0</v>
      </c>
    </row>
    <row r="648" spans="1:9" x14ac:dyDescent="0.2">
      <c r="A648" s="2">
        <v>10</v>
      </c>
      <c r="B648" s="1" t="s">
        <v>335</v>
      </c>
      <c r="C648" s="4">
        <v>5</v>
      </c>
      <c r="D648" s="8">
        <v>2.08</v>
      </c>
      <c r="E648" s="4">
        <v>4</v>
      </c>
      <c r="F648" s="8">
        <v>3.6</v>
      </c>
      <c r="G648" s="4">
        <v>1</v>
      </c>
      <c r="H648" s="8">
        <v>0.9</v>
      </c>
      <c r="I648" s="4">
        <v>0</v>
      </c>
    </row>
    <row r="649" spans="1:9" x14ac:dyDescent="0.2">
      <c r="A649" s="2">
        <v>10</v>
      </c>
      <c r="B649" s="1" t="s">
        <v>295</v>
      </c>
      <c r="C649" s="4">
        <v>5</v>
      </c>
      <c r="D649" s="8">
        <v>2.08</v>
      </c>
      <c r="E649" s="4">
        <v>2</v>
      </c>
      <c r="F649" s="8">
        <v>1.8</v>
      </c>
      <c r="G649" s="4">
        <v>3</v>
      </c>
      <c r="H649" s="8">
        <v>2.7</v>
      </c>
      <c r="I649" s="4">
        <v>0</v>
      </c>
    </row>
    <row r="650" spans="1:9" x14ac:dyDescent="0.2">
      <c r="A650" s="2">
        <v>10</v>
      </c>
      <c r="B650" s="1" t="s">
        <v>334</v>
      </c>
      <c r="C650" s="4">
        <v>5</v>
      </c>
      <c r="D650" s="8">
        <v>2.08</v>
      </c>
      <c r="E650" s="4">
        <v>4</v>
      </c>
      <c r="F650" s="8">
        <v>3.6</v>
      </c>
      <c r="G650" s="4">
        <v>1</v>
      </c>
      <c r="H650" s="8">
        <v>0.9</v>
      </c>
      <c r="I650" s="4">
        <v>0</v>
      </c>
    </row>
    <row r="651" spans="1:9" x14ac:dyDescent="0.2">
      <c r="A651" s="2">
        <v>10</v>
      </c>
      <c r="B651" s="1" t="s">
        <v>299</v>
      </c>
      <c r="C651" s="4">
        <v>5</v>
      </c>
      <c r="D651" s="8">
        <v>2.08</v>
      </c>
      <c r="E651" s="4">
        <v>3</v>
      </c>
      <c r="F651" s="8">
        <v>2.7</v>
      </c>
      <c r="G651" s="4">
        <v>2</v>
      </c>
      <c r="H651" s="8">
        <v>1.8</v>
      </c>
      <c r="I651" s="4">
        <v>0</v>
      </c>
    </row>
    <row r="652" spans="1:9" x14ac:dyDescent="0.2">
      <c r="A652" s="2">
        <v>10</v>
      </c>
      <c r="B652" s="1" t="s">
        <v>349</v>
      </c>
      <c r="C652" s="4">
        <v>5</v>
      </c>
      <c r="D652" s="8">
        <v>2.08</v>
      </c>
      <c r="E652" s="4">
        <v>4</v>
      </c>
      <c r="F652" s="8">
        <v>3.6</v>
      </c>
      <c r="G652" s="4">
        <v>1</v>
      </c>
      <c r="H652" s="8">
        <v>0.9</v>
      </c>
      <c r="I652" s="4">
        <v>0</v>
      </c>
    </row>
    <row r="653" spans="1:9" x14ac:dyDescent="0.2">
      <c r="A653" s="2">
        <v>10</v>
      </c>
      <c r="B653" s="1" t="s">
        <v>300</v>
      </c>
      <c r="C653" s="4">
        <v>5</v>
      </c>
      <c r="D653" s="8">
        <v>2.08</v>
      </c>
      <c r="E653" s="4">
        <v>5</v>
      </c>
      <c r="F653" s="8">
        <v>4.5</v>
      </c>
      <c r="G653" s="4">
        <v>0</v>
      </c>
      <c r="H653" s="8">
        <v>0</v>
      </c>
      <c r="I653" s="4">
        <v>0</v>
      </c>
    </row>
    <row r="654" spans="1:9" x14ac:dyDescent="0.2">
      <c r="A654" s="2">
        <v>17</v>
      </c>
      <c r="B654" s="1" t="s">
        <v>290</v>
      </c>
      <c r="C654" s="4">
        <v>4</v>
      </c>
      <c r="D654" s="8">
        <v>1.67</v>
      </c>
      <c r="E654" s="4">
        <v>0</v>
      </c>
      <c r="F654" s="8">
        <v>0</v>
      </c>
      <c r="G654" s="4">
        <v>4</v>
      </c>
      <c r="H654" s="8">
        <v>3.6</v>
      </c>
      <c r="I654" s="4">
        <v>0</v>
      </c>
    </row>
    <row r="655" spans="1:9" x14ac:dyDescent="0.2">
      <c r="A655" s="2">
        <v>17</v>
      </c>
      <c r="B655" s="1" t="s">
        <v>314</v>
      </c>
      <c r="C655" s="4">
        <v>4</v>
      </c>
      <c r="D655" s="8">
        <v>1.67</v>
      </c>
      <c r="E655" s="4">
        <v>1</v>
      </c>
      <c r="F655" s="8">
        <v>0.9</v>
      </c>
      <c r="G655" s="4">
        <v>3</v>
      </c>
      <c r="H655" s="8">
        <v>2.7</v>
      </c>
      <c r="I655" s="4">
        <v>0</v>
      </c>
    </row>
    <row r="656" spans="1:9" x14ac:dyDescent="0.2">
      <c r="A656" s="2">
        <v>17</v>
      </c>
      <c r="B656" s="1" t="s">
        <v>329</v>
      </c>
      <c r="C656" s="4">
        <v>4</v>
      </c>
      <c r="D656" s="8">
        <v>1.67</v>
      </c>
      <c r="E656" s="4">
        <v>2</v>
      </c>
      <c r="F656" s="8">
        <v>1.8</v>
      </c>
      <c r="G656" s="4">
        <v>2</v>
      </c>
      <c r="H656" s="8">
        <v>1.8</v>
      </c>
      <c r="I656" s="4">
        <v>0</v>
      </c>
    </row>
    <row r="657" spans="1:9" x14ac:dyDescent="0.2">
      <c r="A657" s="2">
        <v>17</v>
      </c>
      <c r="B657" s="1" t="s">
        <v>297</v>
      </c>
      <c r="C657" s="4">
        <v>4</v>
      </c>
      <c r="D657" s="8">
        <v>1.67</v>
      </c>
      <c r="E657" s="4">
        <v>2</v>
      </c>
      <c r="F657" s="8">
        <v>1.8</v>
      </c>
      <c r="G657" s="4">
        <v>2</v>
      </c>
      <c r="H657" s="8">
        <v>1.8</v>
      </c>
      <c r="I657" s="4">
        <v>0</v>
      </c>
    </row>
    <row r="658" spans="1:9" x14ac:dyDescent="0.2">
      <c r="A658" s="2">
        <v>17</v>
      </c>
      <c r="B658" s="1" t="s">
        <v>306</v>
      </c>
      <c r="C658" s="4">
        <v>4</v>
      </c>
      <c r="D658" s="8">
        <v>1.67</v>
      </c>
      <c r="E658" s="4">
        <v>4</v>
      </c>
      <c r="F658" s="8">
        <v>3.6</v>
      </c>
      <c r="G658" s="4">
        <v>0</v>
      </c>
      <c r="H658" s="8">
        <v>0</v>
      </c>
      <c r="I658" s="4">
        <v>0</v>
      </c>
    </row>
    <row r="659" spans="1:9" x14ac:dyDescent="0.2">
      <c r="A659" s="1"/>
      <c r="C659" s="4"/>
      <c r="D659" s="8"/>
      <c r="E659" s="4"/>
      <c r="F659" s="8"/>
      <c r="G659" s="4"/>
      <c r="H659" s="8"/>
      <c r="I659" s="4"/>
    </row>
    <row r="660" spans="1:9" x14ac:dyDescent="0.2">
      <c r="A660" s="1" t="s">
        <v>29</v>
      </c>
      <c r="C660" s="4"/>
      <c r="D660" s="8"/>
      <c r="E660" s="4"/>
      <c r="F660" s="8"/>
      <c r="G660" s="4"/>
      <c r="H660" s="8"/>
      <c r="I660" s="4"/>
    </row>
    <row r="661" spans="1:9" x14ac:dyDescent="0.2">
      <c r="A661" s="2">
        <v>1</v>
      </c>
      <c r="B661" s="1" t="s">
        <v>301</v>
      </c>
      <c r="C661" s="4">
        <v>59</v>
      </c>
      <c r="D661" s="8">
        <v>7.51</v>
      </c>
      <c r="E661" s="4">
        <v>58</v>
      </c>
      <c r="F661" s="8">
        <v>12.98</v>
      </c>
      <c r="G661" s="4">
        <v>1</v>
      </c>
      <c r="H661" s="8">
        <v>0.32</v>
      </c>
      <c r="I661" s="4">
        <v>0</v>
      </c>
    </row>
    <row r="662" spans="1:9" x14ac:dyDescent="0.2">
      <c r="A662" s="2">
        <v>2</v>
      </c>
      <c r="B662" s="1" t="s">
        <v>297</v>
      </c>
      <c r="C662" s="4">
        <v>52</v>
      </c>
      <c r="D662" s="8">
        <v>6.62</v>
      </c>
      <c r="E662" s="4">
        <v>41</v>
      </c>
      <c r="F662" s="8">
        <v>9.17</v>
      </c>
      <c r="G662" s="4">
        <v>11</v>
      </c>
      <c r="H662" s="8">
        <v>3.49</v>
      </c>
      <c r="I662" s="4">
        <v>0</v>
      </c>
    </row>
    <row r="663" spans="1:9" x14ac:dyDescent="0.2">
      <c r="A663" s="2">
        <v>3</v>
      </c>
      <c r="B663" s="1" t="s">
        <v>304</v>
      </c>
      <c r="C663" s="4">
        <v>44</v>
      </c>
      <c r="D663" s="8">
        <v>5.6</v>
      </c>
      <c r="E663" s="4">
        <v>41</v>
      </c>
      <c r="F663" s="8">
        <v>9.17</v>
      </c>
      <c r="G663" s="4">
        <v>3</v>
      </c>
      <c r="H663" s="8">
        <v>0.95</v>
      </c>
      <c r="I663" s="4">
        <v>0</v>
      </c>
    </row>
    <row r="664" spans="1:9" x14ac:dyDescent="0.2">
      <c r="A664" s="2">
        <v>4</v>
      </c>
      <c r="B664" s="1" t="s">
        <v>303</v>
      </c>
      <c r="C664" s="4">
        <v>34</v>
      </c>
      <c r="D664" s="8">
        <v>4.33</v>
      </c>
      <c r="E664" s="4">
        <v>34</v>
      </c>
      <c r="F664" s="8">
        <v>7.61</v>
      </c>
      <c r="G664" s="4">
        <v>0</v>
      </c>
      <c r="H664" s="8">
        <v>0</v>
      </c>
      <c r="I664" s="4">
        <v>0</v>
      </c>
    </row>
    <row r="665" spans="1:9" x14ac:dyDescent="0.2">
      <c r="A665" s="2">
        <v>5</v>
      </c>
      <c r="B665" s="1" t="s">
        <v>300</v>
      </c>
      <c r="C665" s="4">
        <v>25</v>
      </c>
      <c r="D665" s="8">
        <v>3.18</v>
      </c>
      <c r="E665" s="4">
        <v>24</v>
      </c>
      <c r="F665" s="8">
        <v>5.37</v>
      </c>
      <c r="G665" s="4">
        <v>1</v>
      </c>
      <c r="H665" s="8">
        <v>0.32</v>
      </c>
      <c r="I665" s="4">
        <v>0</v>
      </c>
    </row>
    <row r="666" spans="1:9" x14ac:dyDescent="0.2">
      <c r="A666" s="2">
        <v>6</v>
      </c>
      <c r="B666" s="1" t="s">
        <v>299</v>
      </c>
      <c r="C666" s="4">
        <v>23</v>
      </c>
      <c r="D666" s="8">
        <v>2.93</v>
      </c>
      <c r="E666" s="4">
        <v>16</v>
      </c>
      <c r="F666" s="8">
        <v>3.58</v>
      </c>
      <c r="G666" s="4">
        <v>7</v>
      </c>
      <c r="H666" s="8">
        <v>2.2200000000000002</v>
      </c>
      <c r="I666" s="4">
        <v>0</v>
      </c>
    </row>
    <row r="667" spans="1:9" x14ac:dyDescent="0.2">
      <c r="A667" s="2">
        <v>7</v>
      </c>
      <c r="B667" s="1" t="s">
        <v>288</v>
      </c>
      <c r="C667" s="4">
        <v>20</v>
      </c>
      <c r="D667" s="8">
        <v>2.54</v>
      </c>
      <c r="E667" s="4">
        <v>3</v>
      </c>
      <c r="F667" s="8">
        <v>0.67</v>
      </c>
      <c r="G667" s="4">
        <v>17</v>
      </c>
      <c r="H667" s="8">
        <v>5.4</v>
      </c>
      <c r="I667" s="4">
        <v>0</v>
      </c>
    </row>
    <row r="668" spans="1:9" x14ac:dyDescent="0.2">
      <c r="A668" s="2">
        <v>8</v>
      </c>
      <c r="B668" s="1" t="s">
        <v>309</v>
      </c>
      <c r="C668" s="4">
        <v>14</v>
      </c>
      <c r="D668" s="8">
        <v>1.78</v>
      </c>
      <c r="E668" s="4">
        <v>1</v>
      </c>
      <c r="F668" s="8">
        <v>0.22</v>
      </c>
      <c r="G668" s="4">
        <v>13</v>
      </c>
      <c r="H668" s="8">
        <v>4.13</v>
      </c>
      <c r="I668" s="4">
        <v>0</v>
      </c>
    </row>
    <row r="669" spans="1:9" x14ac:dyDescent="0.2">
      <c r="A669" s="2">
        <v>8</v>
      </c>
      <c r="B669" s="1" t="s">
        <v>295</v>
      </c>
      <c r="C669" s="4">
        <v>14</v>
      </c>
      <c r="D669" s="8">
        <v>1.78</v>
      </c>
      <c r="E669" s="4">
        <v>6</v>
      </c>
      <c r="F669" s="8">
        <v>1.34</v>
      </c>
      <c r="G669" s="4">
        <v>8</v>
      </c>
      <c r="H669" s="8">
        <v>2.54</v>
      </c>
      <c r="I669" s="4">
        <v>0</v>
      </c>
    </row>
    <row r="670" spans="1:9" x14ac:dyDescent="0.2">
      <c r="A670" s="2">
        <v>10</v>
      </c>
      <c r="B670" s="1" t="s">
        <v>333</v>
      </c>
      <c r="C670" s="4">
        <v>13</v>
      </c>
      <c r="D670" s="8">
        <v>1.65</v>
      </c>
      <c r="E670" s="4">
        <v>10</v>
      </c>
      <c r="F670" s="8">
        <v>2.2400000000000002</v>
      </c>
      <c r="G670" s="4">
        <v>3</v>
      </c>
      <c r="H670" s="8">
        <v>0.95</v>
      </c>
      <c r="I670" s="4">
        <v>0</v>
      </c>
    </row>
    <row r="671" spans="1:9" x14ac:dyDescent="0.2">
      <c r="A671" s="2">
        <v>10</v>
      </c>
      <c r="B671" s="1" t="s">
        <v>292</v>
      </c>
      <c r="C671" s="4">
        <v>13</v>
      </c>
      <c r="D671" s="8">
        <v>1.65</v>
      </c>
      <c r="E671" s="4">
        <v>7</v>
      </c>
      <c r="F671" s="8">
        <v>1.57</v>
      </c>
      <c r="G671" s="4">
        <v>6</v>
      </c>
      <c r="H671" s="8">
        <v>1.9</v>
      </c>
      <c r="I671" s="4">
        <v>0</v>
      </c>
    </row>
    <row r="672" spans="1:9" x14ac:dyDescent="0.2">
      <c r="A672" s="2">
        <v>10</v>
      </c>
      <c r="B672" s="1" t="s">
        <v>306</v>
      </c>
      <c r="C672" s="4">
        <v>13</v>
      </c>
      <c r="D672" s="8">
        <v>1.65</v>
      </c>
      <c r="E672" s="4">
        <v>12</v>
      </c>
      <c r="F672" s="8">
        <v>2.68</v>
      </c>
      <c r="G672" s="4">
        <v>1</v>
      </c>
      <c r="H672" s="8">
        <v>0.32</v>
      </c>
      <c r="I672" s="4">
        <v>0</v>
      </c>
    </row>
    <row r="673" spans="1:9" x14ac:dyDescent="0.2">
      <c r="A673" s="2">
        <v>10</v>
      </c>
      <c r="B673" s="1" t="s">
        <v>307</v>
      </c>
      <c r="C673" s="4">
        <v>13</v>
      </c>
      <c r="D673" s="8">
        <v>1.65</v>
      </c>
      <c r="E673" s="4">
        <v>11</v>
      </c>
      <c r="F673" s="8">
        <v>2.46</v>
      </c>
      <c r="G673" s="4">
        <v>2</v>
      </c>
      <c r="H673" s="8">
        <v>0.63</v>
      </c>
      <c r="I673" s="4">
        <v>0</v>
      </c>
    </row>
    <row r="674" spans="1:9" x14ac:dyDescent="0.2">
      <c r="A674" s="2">
        <v>14</v>
      </c>
      <c r="B674" s="1" t="s">
        <v>293</v>
      </c>
      <c r="C674" s="4">
        <v>12</v>
      </c>
      <c r="D674" s="8">
        <v>1.53</v>
      </c>
      <c r="E674" s="4">
        <v>7</v>
      </c>
      <c r="F674" s="8">
        <v>1.57</v>
      </c>
      <c r="G674" s="4">
        <v>5</v>
      </c>
      <c r="H674" s="8">
        <v>1.59</v>
      </c>
      <c r="I674" s="4">
        <v>0</v>
      </c>
    </row>
    <row r="675" spans="1:9" x14ac:dyDescent="0.2">
      <c r="A675" s="2">
        <v>14</v>
      </c>
      <c r="B675" s="1" t="s">
        <v>335</v>
      </c>
      <c r="C675" s="4">
        <v>12</v>
      </c>
      <c r="D675" s="8">
        <v>1.53</v>
      </c>
      <c r="E675" s="4">
        <v>8</v>
      </c>
      <c r="F675" s="8">
        <v>1.79</v>
      </c>
      <c r="G675" s="4">
        <v>4</v>
      </c>
      <c r="H675" s="8">
        <v>1.27</v>
      </c>
      <c r="I675" s="4">
        <v>0</v>
      </c>
    </row>
    <row r="676" spans="1:9" x14ac:dyDescent="0.2">
      <c r="A676" s="2">
        <v>16</v>
      </c>
      <c r="B676" s="1" t="s">
        <v>342</v>
      </c>
      <c r="C676" s="4">
        <v>11</v>
      </c>
      <c r="D676" s="8">
        <v>1.4</v>
      </c>
      <c r="E676" s="4">
        <v>5</v>
      </c>
      <c r="F676" s="8">
        <v>1.1200000000000001</v>
      </c>
      <c r="G676" s="4">
        <v>6</v>
      </c>
      <c r="H676" s="8">
        <v>1.9</v>
      </c>
      <c r="I676" s="4">
        <v>0</v>
      </c>
    </row>
    <row r="677" spans="1:9" x14ac:dyDescent="0.2">
      <c r="A677" s="2">
        <v>17</v>
      </c>
      <c r="B677" s="1" t="s">
        <v>302</v>
      </c>
      <c r="C677" s="4">
        <v>10</v>
      </c>
      <c r="D677" s="8">
        <v>1.27</v>
      </c>
      <c r="E677" s="4">
        <v>8</v>
      </c>
      <c r="F677" s="8">
        <v>1.79</v>
      </c>
      <c r="G677" s="4">
        <v>2</v>
      </c>
      <c r="H677" s="8">
        <v>0.63</v>
      </c>
      <c r="I677" s="4">
        <v>0</v>
      </c>
    </row>
    <row r="678" spans="1:9" x14ac:dyDescent="0.2">
      <c r="A678" s="2">
        <v>18</v>
      </c>
      <c r="B678" s="1" t="s">
        <v>328</v>
      </c>
      <c r="C678" s="4">
        <v>9</v>
      </c>
      <c r="D678" s="8">
        <v>1.1499999999999999</v>
      </c>
      <c r="E678" s="4">
        <v>6</v>
      </c>
      <c r="F678" s="8">
        <v>1.34</v>
      </c>
      <c r="G678" s="4">
        <v>3</v>
      </c>
      <c r="H678" s="8">
        <v>0.95</v>
      </c>
      <c r="I678" s="4">
        <v>0</v>
      </c>
    </row>
    <row r="679" spans="1:9" x14ac:dyDescent="0.2">
      <c r="A679" s="2">
        <v>18</v>
      </c>
      <c r="B679" s="1" t="s">
        <v>290</v>
      </c>
      <c r="C679" s="4">
        <v>9</v>
      </c>
      <c r="D679" s="8">
        <v>1.1499999999999999</v>
      </c>
      <c r="E679" s="4">
        <v>4</v>
      </c>
      <c r="F679" s="8">
        <v>0.89</v>
      </c>
      <c r="G679" s="4">
        <v>5</v>
      </c>
      <c r="H679" s="8">
        <v>1.59</v>
      </c>
      <c r="I679" s="4">
        <v>0</v>
      </c>
    </row>
    <row r="680" spans="1:9" x14ac:dyDescent="0.2">
      <c r="A680" s="2">
        <v>18</v>
      </c>
      <c r="B680" s="1" t="s">
        <v>350</v>
      </c>
      <c r="C680" s="4">
        <v>9</v>
      </c>
      <c r="D680" s="8">
        <v>1.1499999999999999</v>
      </c>
      <c r="E680" s="4">
        <v>2</v>
      </c>
      <c r="F680" s="8">
        <v>0.45</v>
      </c>
      <c r="G680" s="4">
        <v>7</v>
      </c>
      <c r="H680" s="8">
        <v>2.2200000000000002</v>
      </c>
      <c r="I680" s="4">
        <v>0</v>
      </c>
    </row>
    <row r="681" spans="1:9" x14ac:dyDescent="0.2">
      <c r="A681" s="2">
        <v>18</v>
      </c>
      <c r="B681" s="1" t="s">
        <v>344</v>
      </c>
      <c r="C681" s="4">
        <v>9</v>
      </c>
      <c r="D681" s="8">
        <v>1.1499999999999999</v>
      </c>
      <c r="E681" s="4">
        <v>4</v>
      </c>
      <c r="F681" s="8">
        <v>0.89</v>
      </c>
      <c r="G681" s="4">
        <v>5</v>
      </c>
      <c r="H681" s="8">
        <v>1.59</v>
      </c>
      <c r="I681" s="4">
        <v>0</v>
      </c>
    </row>
    <row r="682" spans="1:9" x14ac:dyDescent="0.2">
      <c r="A682" s="2">
        <v>18</v>
      </c>
      <c r="B682" s="1" t="s">
        <v>322</v>
      </c>
      <c r="C682" s="4">
        <v>9</v>
      </c>
      <c r="D682" s="8">
        <v>1.1499999999999999</v>
      </c>
      <c r="E682" s="4">
        <v>1</v>
      </c>
      <c r="F682" s="8">
        <v>0.22</v>
      </c>
      <c r="G682" s="4">
        <v>8</v>
      </c>
      <c r="H682" s="8">
        <v>2.54</v>
      </c>
      <c r="I682" s="4">
        <v>0</v>
      </c>
    </row>
    <row r="683" spans="1:9" x14ac:dyDescent="0.2">
      <c r="A683" s="2">
        <v>18</v>
      </c>
      <c r="B683" s="1" t="s">
        <v>296</v>
      </c>
      <c r="C683" s="4">
        <v>9</v>
      </c>
      <c r="D683" s="8">
        <v>1.1499999999999999</v>
      </c>
      <c r="E683" s="4">
        <v>2</v>
      </c>
      <c r="F683" s="8">
        <v>0.45</v>
      </c>
      <c r="G683" s="4">
        <v>7</v>
      </c>
      <c r="H683" s="8">
        <v>2.2200000000000002</v>
      </c>
      <c r="I683" s="4">
        <v>0</v>
      </c>
    </row>
    <row r="684" spans="1:9" x14ac:dyDescent="0.2">
      <c r="A684" s="2">
        <v>18</v>
      </c>
      <c r="B684" s="1" t="s">
        <v>339</v>
      </c>
      <c r="C684" s="4">
        <v>9</v>
      </c>
      <c r="D684" s="8">
        <v>1.1499999999999999</v>
      </c>
      <c r="E684" s="4">
        <v>4</v>
      </c>
      <c r="F684" s="8">
        <v>0.89</v>
      </c>
      <c r="G684" s="4">
        <v>5</v>
      </c>
      <c r="H684" s="8">
        <v>1.59</v>
      </c>
      <c r="I684" s="4">
        <v>0</v>
      </c>
    </row>
    <row r="685" spans="1:9" x14ac:dyDescent="0.2">
      <c r="A685" s="2">
        <v>18</v>
      </c>
      <c r="B685" s="1" t="s">
        <v>323</v>
      </c>
      <c r="C685" s="4">
        <v>9</v>
      </c>
      <c r="D685" s="8">
        <v>1.1499999999999999</v>
      </c>
      <c r="E685" s="4">
        <v>4</v>
      </c>
      <c r="F685" s="8">
        <v>0.89</v>
      </c>
      <c r="G685" s="4">
        <v>5</v>
      </c>
      <c r="H685" s="8">
        <v>1.59</v>
      </c>
      <c r="I685" s="4">
        <v>0</v>
      </c>
    </row>
    <row r="686" spans="1:9" x14ac:dyDescent="0.2">
      <c r="A686" s="2">
        <v>18</v>
      </c>
      <c r="B686" s="1" t="s">
        <v>305</v>
      </c>
      <c r="C686" s="4">
        <v>9</v>
      </c>
      <c r="D686" s="8">
        <v>1.1499999999999999</v>
      </c>
      <c r="E686" s="4">
        <v>8</v>
      </c>
      <c r="F686" s="8">
        <v>1.79</v>
      </c>
      <c r="G686" s="4">
        <v>0</v>
      </c>
      <c r="H686" s="8">
        <v>0</v>
      </c>
      <c r="I686" s="4">
        <v>0</v>
      </c>
    </row>
    <row r="687" spans="1:9" x14ac:dyDescent="0.2">
      <c r="A687" s="2">
        <v>18</v>
      </c>
      <c r="B687" s="1" t="s">
        <v>341</v>
      </c>
      <c r="C687" s="4">
        <v>9</v>
      </c>
      <c r="D687" s="8">
        <v>1.1499999999999999</v>
      </c>
      <c r="E687" s="4">
        <v>0</v>
      </c>
      <c r="F687" s="8">
        <v>0</v>
      </c>
      <c r="G687" s="4">
        <v>0</v>
      </c>
      <c r="H687" s="8">
        <v>0</v>
      </c>
      <c r="I687" s="4">
        <v>0</v>
      </c>
    </row>
    <row r="688" spans="1:9" x14ac:dyDescent="0.2">
      <c r="A688" s="1"/>
      <c r="C688" s="4"/>
      <c r="D688" s="8"/>
      <c r="E688" s="4"/>
      <c r="F688" s="8"/>
      <c r="G688" s="4"/>
      <c r="H688" s="8"/>
      <c r="I688" s="4"/>
    </row>
    <row r="689" spans="1:9" x14ac:dyDescent="0.2">
      <c r="A689" s="1" t="s">
        <v>30</v>
      </c>
      <c r="C689" s="4"/>
      <c r="D689" s="8"/>
      <c r="E689" s="4"/>
      <c r="F689" s="8"/>
      <c r="G689" s="4"/>
      <c r="H689" s="8"/>
      <c r="I689" s="4"/>
    </row>
    <row r="690" spans="1:9" x14ac:dyDescent="0.2">
      <c r="A690" s="2">
        <v>1</v>
      </c>
      <c r="B690" s="1" t="s">
        <v>301</v>
      </c>
      <c r="C690" s="4">
        <v>40</v>
      </c>
      <c r="D690" s="8">
        <v>6.85</v>
      </c>
      <c r="E690" s="4">
        <v>40</v>
      </c>
      <c r="F690" s="8">
        <v>11.63</v>
      </c>
      <c r="G690" s="4">
        <v>0</v>
      </c>
      <c r="H690" s="8">
        <v>0</v>
      </c>
      <c r="I690" s="4">
        <v>0</v>
      </c>
    </row>
    <row r="691" spans="1:9" x14ac:dyDescent="0.2">
      <c r="A691" s="2">
        <v>2</v>
      </c>
      <c r="B691" s="1" t="s">
        <v>304</v>
      </c>
      <c r="C691" s="4">
        <v>36</v>
      </c>
      <c r="D691" s="8">
        <v>6.16</v>
      </c>
      <c r="E691" s="4">
        <v>35</v>
      </c>
      <c r="F691" s="8">
        <v>10.17</v>
      </c>
      <c r="G691" s="4">
        <v>1</v>
      </c>
      <c r="H691" s="8">
        <v>0.45</v>
      </c>
      <c r="I691" s="4">
        <v>0</v>
      </c>
    </row>
    <row r="692" spans="1:9" x14ac:dyDescent="0.2">
      <c r="A692" s="2">
        <v>3</v>
      </c>
      <c r="B692" s="1" t="s">
        <v>297</v>
      </c>
      <c r="C692" s="4">
        <v>35</v>
      </c>
      <c r="D692" s="8">
        <v>5.99</v>
      </c>
      <c r="E692" s="4">
        <v>33</v>
      </c>
      <c r="F692" s="8">
        <v>9.59</v>
      </c>
      <c r="G692" s="4">
        <v>1</v>
      </c>
      <c r="H692" s="8">
        <v>0.45</v>
      </c>
      <c r="I692" s="4">
        <v>0</v>
      </c>
    </row>
    <row r="693" spans="1:9" x14ac:dyDescent="0.2">
      <c r="A693" s="2">
        <v>4</v>
      </c>
      <c r="B693" s="1" t="s">
        <v>303</v>
      </c>
      <c r="C693" s="4">
        <v>24</v>
      </c>
      <c r="D693" s="8">
        <v>4.1100000000000003</v>
      </c>
      <c r="E693" s="4">
        <v>24</v>
      </c>
      <c r="F693" s="8">
        <v>6.98</v>
      </c>
      <c r="G693" s="4">
        <v>0</v>
      </c>
      <c r="H693" s="8">
        <v>0</v>
      </c>
      <c r="I693" s="4">
        <v>0</v>
      </c>
    </row>
    <row r="694" spans="1:9" x14ac:dyDescent="0.2">
      <c r="A694" s="2">
        <v>5</v>
      </c>
      <c r="B694" s="1" t="s">
        <v>300</v>
      </c>
      <c r="C694" s="4">
        <v>21</v>
      </c>
      <c r="D694" s="8">
        <v>3.6</v>
      </c>
      <c r="E694" s="4">
        <v>19</v>
      </c>
      <c r="F694" s="8">
        <v>5.52</v>
      </c>
      <c r="G694" s="4">
        <v>2</v>
      </c>
      <c r="H694" s="8">
        <v>0.9</v>
      </c>
      <c r="I694" s="4">
        <v>0</v>
      </c>
    </row>
    <row r="695" spans="1:9" x14ac:dyDescent="0.2">
      <c r="A695" s="2">
        <v>6</v>
      </c>
      <c r="B695" s="1" t="s">
        <v>306</v>
      </c>
      <c r="C695" s="4">
        <v>15</v>
      </c>
      <c r="D695" s="8">
        <v>2.57</v>
      </c>
      <c r="E695" s="4">
        <v>13</v>
      </c>
      <c r="F695" s="8">
        <v>3.78</v>
      </c>
      <c r="G695" s="4">
        <v>2</v>
      </c>
      <c r="H695" s="8">
        <v>0.9</v>
      </c>
      <c r="I695" s="4">
        <v>0</v>
      </c>
    </row>
    <row r="696" spans="1:9" x14ac:dyDescent="0.2">
      <c r="A696" s="2">
        <v>7</v>
      </c>
      <c r="B696" s="1" t="s">
        <v>333</v>
      </c>
      <c r="C696" s="4">
        <v>13</v>
      </c>
      <c r="D696" s="8">
        <v>2.23</v>
      </c>
      <c r="E696" s="4">
        <v>8</v>
      </c>
      <c r="F696" s="8">
        <v>2.33</v>
      </c>
      <c r="G696" s="4">
        <v>5</v>
      </c>
      <c r="H696" s="8">
        <v>2.25</v>
      </c>
      <c r="I696" s="4">
        <v>0</v>
      </c>
    </row>
    <row r="697" spans="1:9" x14ac:dyDescent="0.2">
      <c r="A697" s="2">
        <v>7</v>
      </c>
      <c r="B697" s="1" t="s">
        <v>307</v>
      </c>
      <c r="C697" s="4">
        <v>13</v>
      </c>
      <c r="D697" s="8">
        <v>2.23</v>
      </c>
      <c r="E697" s="4">
        <v>11</v>
      </c>
      <c r="F697" s="8">
        <v>3.2</v>
      </c>
      <c r="G697" s="4">
        <v>2</v>
      </c>
      <c r="H697" s="8">
        <v>0.9</v>
      </c>
      <c r="I697" s="4">
        <v>0</v>
      </c>
    </row>
    <row r="698" spans="1:9" x14ac:dyDescent="0.2">
      <c r="A698" s="2">
        <v>9</v>
      </c>
      <c r="B698" s="1" t="s">
        <v>299</v>
      </c>
      <c r="C698" s="4">
        <v>12</v>
      </c>
      <c r="D698" s="8">
        <v>2.0499999999999998</v>
      </c>
      <c r="E698" s="4">
        <v>11</v>
      </c>
      <c r="F698" s="8">
        <v>3.2</v>
      </c>
      <c r="G698" s="4">
        <v>1</v>
      </c>
      <c r="H698" s="8">
        <v>0.45</v>
      </c>
      <c r="I698" s="4">
        <v>0</v>
      </c>
    </row>
    <row r="699" spans="1:9" x14ac:dyDescent="0.2">
      <c r="A699" s="2">
        <v>10</v>
      </c>
      <c r="B699" s="1" t="s">
        <v>295</v>
      </c>
      <c r="C699" s="4">
        <v>11</v>
      </c>
      <c r="D699" s="8">
        <v>1.88</v>
      </c>
      <c r="E699" s="4">
        <v>8</v>
      </c>
      <c r="F699" s="8">
        <v>2.33</v>
      </c>
      <c r="G699" s="4">
        <v>3</v>
      </c>
      <c r="H699" s="8">
        <v>1.35</v>
      </c>
      <c r="I699" s="4">
        <v>0</v>
      </c>
    </row>
    <row r="700" spans="1:9" x14ac:dyDescent="0.2">
      <c r="A700" s="2">
        <v>11</v>
      </c>
      <c r="B700" s="1" t="s">
        <v>305</v>
      </c>
      <c r="C700" s="4">
        <v>10</v>
      </c>
      <c r="D700" s="8">
        <v>1.71</v>
      </c>
      <c r="E700" s="4">
        <v>9</v>
      </c>
      <c r="F700" s="8">
        <v>2.62</v>
      </c>
      <c r="G700" s="4">
        <v>1</v>
      </c>
      <c r="H700" s="8">
        <v>0.45</v>
      </c>
      <c r="I700" s="4">
        <v>0</v>
      </c>
    </row>
    <row r="701" spans="1:9" x14ac:dyDescent="0.2">
      <c r="A701" s="2">
        <v>11</v>
      </c>
      <c r="B701" s="1" t="s">
        <v>347</v>
      </c>
      <c r="C701" s="4">
        <v>10</v>
      </c>
      <c r="D701" s="8">
        <v>1.71</v>
      </c>
      <c r="E701" s="4">
        <v>0</v>
      </c>
      <c r="F701" s="8">
        <v>0</v>
      </c>
      <c r="G701" s="4">
        <v>10</v>
      </c>
      <c r="H701" s="8">
        <v>4.5</v>
      </c>
      <c r="I701" s="4">
        <v>0</v>
      </c>
    </row>
    <row r="702" spans="1:9" x14ac:dyDescent="0.2">
      <c r="A702" s="2">
        <v>13</v>
      </c>
      <c r="B702" s="1" t="s">
        <v>292</v>
      </c>
      <c r="C702" s="4">
        <v>9</v>
      </c>
      <c r="D702" s="8">
        <v>1.54</v>
      </c>
      <c r="E702" s="4">
        <v>5</v>
      </c>
      <c r="F702" s="8">
        <v>1.45</v>
      </c>
      <c r="G702" s="4">
        <v>4</v>
      </c>
      <c r="H702" s="8">
        <v>1.8</v>
      </c>
      <c r="I702" s="4">
        <v>0</v>
      </c>
    </row>
    <row r="703" spans="1:9" x14ac:dyDescent="0.2">
      <c r="A703" s="2">
        <v>13</v>
      </c>
      <c r="B703" s="1" t="s">
        <v>335</v>
      </c>
      <c r="C703" s="4">
        <v>9</v>
      </c>
      <c r="D703" s="8">
        <v>1.54</v>
      </c>
      <c r="E703" s="4">
        <v>5</v>
      </c>
      <c r="F703" s="8">
        <v>1.45</v>
      </c>
      <c r="G703" s="4">
        <v>4</v>
      </c>
      <c r="H703" s="8">
        <v>1.8</v>
      </c>
      <c r="I703" s="4">
        <v>0</v>
      </c>
    </row>
    <row r="704" spans="1:9" x14ac:dyDescent="0.2">
      <c r="A704" s="2">
        <v>15</v>
      </c>
      <c r="B704" s="1" t="s">
        <v>293</v>
      </c>
      <c r="C704" s="4">
        <v>8</v>
      </c>
      <c r="D704" s="8">
        <v>1.37</v>
      </c>
      <c r="E704" s="4">
        <v>7</v>
      </c>
      <c r="F704" s="8">
        <v>2.0299999999999998</v>
      </c>
      <c r="G704" s="4">
        <v>1</v>
      </c>
      <c r="H704" s="8">
        <v>0.45</v>
      </c>
      <c r="I704" s="4">
        <v>0</v>
      </c>
    </row>
    <row r="705" spans="1:9" x14ac:dyDescent="0.2">
      <c r="A705" s="2">
        <v>15</v>
      </c>
      <c r="B705" s="1" t="s">
        <v>294</v>
      </c>
      <c r="C705" s="4">
        <v>8</v>
      </c>
      <c r="D705" s="8">
        <v>1.37</v>
      </c>
      <c r="E705" s="4">
        <v>4</v>
      </c>
      <c r="F705" s="8">
        <v>1.1599999999999999</v>
      </c>
      <c r="G705" s="4">
        <v>4</v>
      </c>
      <c r="H705" s="8">
        <v>1.8</v>
      </c>
      <c r="I705" s="4">
        <v>0</v>
      </c>
    </row>
    <row r="706" spans="1:9" x14ac:dyDescent="0.2">
      <c r="A706" s="2">
        <v>15</v>
      </c>
      <c r="B706" s="1" t="s">
        <v>302</v>
      </c>
      <c r="C706" s="4">
        <v>8</v>
      </c>
      <c r="D706" s="8">
        <v>1.37</v>
      </c>
      <c r="E706" s="4">
        <v>8</v>
      </c>
      <c r="F706" s="8">
        <v>2.33</v>
      </c>
      <c r="G706" s="4">
        <v>0</v>
      </c>
      <c r="H706" s="8">
        <v>0</v>
      </c>
      <c r="I706" s="4">
        <v>0</v>
      </c>
    </row>
    <row r="707" spans="1:9" x14ac:dyDescent="0.2">
      <c r="A707" s="2">
        <v>15</v>
      </c>
      <c r="B707" s="1" t="s">
        <v>340</v>
      </c>
      <c r="C707" s="4">
        <v>8</v>
      </c>
      <c r="D707" s="8">
        <v>1.37</v>
      </c>
      <c r="E707" s="4">
        <v>0</v>
      </c>
      <c r="F707" s="8">
        <v>0</v>
      </c>
      <c r="G707" s="4">
        <v>1</v>
      </c>
      <c r="H707" s="8">
        <v>0.45</v>
      </c>
      <c r="I707" s="4">
        <v>1</v>
      </c>
    </row>
    <row r="708" spans="1:9" x14ac:dyDescent="0.2">
      <c r="A708" s="2">
        <v>19</v>
      </c>
      <c r="B708" s="1" t="s">
        <v>288</v>
      </c>
      <c r="C708" s="4">
        <v>7</v>
      </c>
      <c r="D708" s="8">
        <v>1.2</v>
      </c>
      <c r="E708" s="4">
        <v>0</v>
      </c>
      <c r="F708" s="8">
        <v>0</v>
      </c>
      <c r="G708" s="4">
        <v>7</v>
      </c>
      <c r="H708" s="8">
        <v>3.15</v>
      </c>
      <c r="I708" s="4">
        <v>0</v>
      </c>
    </row>
    <row r="709" spans="1:9" x14ac:dyDescent="0.2">
      <c r="A709" s="2">
        <v>19</v>
      </c>
      <c r="B709" s="1" t="s">
        <v>328</v>
      </c>
      <c r="C709" s="4">
        <v>7</v>
      </c>
      <c r="D709" s="8">
        <v>1.2</v>
      </c>
      <c r="E709" s="4">
        <v>1</v>
      </c>
      <c r="F709" s="8">
        <v>0.28999999999999998</v>
      </c>
      <c r="G709" s="4">
        <v>6</v>
      </c>
      <c r="H709" s="8">
        <v>2.7</v>
      </c>
      <c r="I709" s="4">
        <v>0</v>
      </c>
    </row>
    <row r="710" spans="1:9" x14ac:dyDescent="0.2">
      <c r="A710" s="2">
        <v>19</v>
      </c>
      <c r="B710" s="1" t="s">
        <v>290</v>
      </c>
      <c r="C710" s="4">
        <v>7</v>
      </c>
      <c r="D710" s="8">
        <v>1.2</v>
      </c>
      <c r="E710" s="4">
        <v>2</v>
      </c>
      <c r="F710" s="8">
        <v>0.57999999999999996</v>
      </c>
      <c r="G710" s="4">
        <v>5</v>
      </c>
      <c r="H710" s="8">
        <v>2.25</v>
      </c>
      <c r="I710" s="4">
        <v>0</v>
      </c>
    </row>
    <row r="711" spans="1:9" x14ac:dyDescent="0.2">
      <c r="A711" s="2">
        <v>19</v>
      </c>
      <c r="B711" s="1" t="s">
        <v>351</v>
      </c>
      <c r="C711" s="4">
        <v>7</v>
      </c>
      <c r="D711" s="8">
        <v>1.2</v>
      </c>
      <c r="E711" s="4">
        <v>1</v>
      </c>
      <c r="F711" s="8">
        <v>0.28999999999999998</v>
      </c>
      <c r="G711" s="4">
        <v>6</v>
      </c>
      <c r="H711" s="8">
        <v>2.7</v>
      </c>
      <c r="I711" s="4">
        <v>0</v>
      </c>
    </row>
    <row r="712" spans="1:9" x14ac:dyDescent="0.2">
      <c r="A712" s="2">
        <v>19</v>
      </c>
      <c r="B712" s="1" t="s">
        <v>330</v>
      </c>
      <c r="C712" s="4">
        <v>7</v>
      </c>
      <c r="D712" s="8">
        <v>1.2</v>
      </c>
      <c r="E712" s="4">
        <v>1</v>
      </c>
      <c r="F712" s="8">
        <v>0.28999999999999998</v>
      </c>
      <c r="G712" s="4">
        <v>6</v>
      </c>
      <c r="H712" s="8">
        <v>2.7</v>
      </c>
      <c r="I712" s="4">
        <v>0</v>
      </c>
    </row>
    <row r="713" spans="1:9" x14ac:dyDescent="0.2">
      <c r="A713" s="2">
        <v>19</v>
      </c>
      <c r="B713" s="1" t="s">
        <v>339</v>
      </c>
      <c r="C713" s="4">
        <v>7</v>
      </c>
      <c r="D713" s="8">
        <v>1.2</v>
      </c>
      <c r="E713" s="4">
        <v>7</v>
      </c>
      <c r="F713" s="8">
        <v>2.0299999999999998</v>
      </c>
      <c r="G713" s="4">
        <v>0</v>
      </c>
      <c r="H713" s="8">
        <v>0</v>
      </c>
      <c r="I713" s="4">
        <v>0</v>
      </c>
    </row>
    <row r="714" spans="1:9" x14ac:dyDescent="0.2">
      <c r="A714" s="2">
        <v>19</v>
      </c>
      <c r="B714" s="1" t="s">
        <v>352</v>
      </c>
      <c r="C714" s="4">
        <v>7</v>
      </c>
      <c r="D714" s="8">
        <v>1.2</v>
      </c>
      <c r="E714" s="4">
        <v>5</v>
      </c>
      <c r="F714" s="8">
        <v>1.45</v>
      </c>
      <c r="G714" s="4">
        <v>2</v>
      </c>
      <c r="H714" s="8">
        <v>0.9</v>
      </c>
      <c r="I714" s="4">
        <v>0</v>
      </c>
    </row>
    <row r="715" spans="1:9" x14ac:dyDescent="0.2">
      <c r="A715" s="2">
        <v>19</v>
      </c>
      <c r="B715" s="1" t="s">
        <v>331</v>
      </c>
      <c r="C715" s="4">
        <v>7</v>
      </c>
      <c r="D715" s="8">
        <v>1.2</v>
      </c>
      <c r="E715" s="4">
        <v>0</v>
      </c>
      <c r="F715" s="8">
        <v>0</v>
      </c>
      <c r="G715" s="4">
        <v>7</v>
      </c>
      <c r="H715" s="8">
        <v>3.15</v>
      </c>
      <c r="I715" s="4">
        <v>0</v>
      </c>
    </row>
    <row r="716" spans="1:9" x14ac:dyDescent="0.2">
      <c r="A716" s="1"/>
      <c r="C716" s="4"/>
      <c r="D716" s="8"/>
      <c r="E716" s="4"/>
      <c r="F716" s="8"/>
      <c r="G716" s="4"/>
      <c r="H716" s="8"/>
      <c r="I716" s="4"/>
    </row>
    <row r="717" spans="1:9" x14ac:dyDescent="0.2">
      <c r="A717" s="1" t="s">
        <v>31</v>
      </c>
      <c r="C717" s="4"/>
      <c r="D717" s="8"/>
      <c r="E717" s="4"/>
      <c r="F717" s="8"/>
      <c r="G717" s="4"/>
      <c r="H717" s="8"/>
      <c r="I717" s="4"/>
    </row>
    <row r="718" spans="1:9" x14ac:dyDescent="0.2">
      <c r="A718" s="2">
        <v>1</v>
      </c>
      <c r="B718" s="1" t="s">
        <v>297</v>
      </c>
      <c r="C718" s="4">
        <v>107</v>
      </c>
      <c r="D718" s="8">
        <v>13.68</v>
      </c>
      <c r="E718" s="4">
        <v>92</v>
      </c>
      <c r="F718" s="8">
        <v>19.37</v>
      </c>
      <c r="G718" s="4">
        <v>15</v>
      </c>
      <c r="H718" s="8">
        <v>5.14</v>
      </c>
      <c r="I718" s="4">
        <v>0</v>
      </c>
    </row>
    <row r="719" spans="1:9" x14ac:dyDescent="0.2">
      <c r="A719" s="2">
        <v>2</v>
      </c>
      <c r="B719" s="1" t="s">
        <v>301</v>
      </c>
      <c r="C719" s="4">
        <v>55</v>
      </c>
      <c r="D719" s="8">
        <v>7.03</v>
      </c>
      <c r="E719" s="4">
        <v>55</v>
      </c>
      <c r="F719" s="8">
        <v>11.58</v>
      </c>
      <c r="G719" s="4">
        <v>0</v>
      </c>
      <c r="H719" s="8">
        <v>0</v>
      </c>
      <c r="I719" s="4">
        <v>0</v>
      </c>
    </row>
    <row r="720" spans="1:9" x14ac:dyDescent="0.2">
      <c r="A720" s="2">
        <v>3</v>
      </c>
      <c r="B720" s="1" t="s">
        <v>304</v>
      </c>
      <c r="C720" s="4">
        <v>39</v>
      </c>
      <c r="D720" s="8">
        <v>4.99</v>
      </c>
      <c r="E720" s="4">
        <v>36</v>
      </c>
      <c r="F720" s="8">
        <v>7.58</v>
      </c>
      <c r="G720" s="4">
        <v>3</v>
      </c>
      <c r="H720" s="8">
        <v>1.03</v>
      </c>
      <c r="I720" s="4">
        <v>0</v>
      </c>
    </row>
    <row r="721" spans="1:9" x14ac:dyDescent="0.2">
      <c r="A721" s="2">
        <v>4</v>
      </c>
      <c r="B721" s="1" t="s">
        <v>303</v>
      </c>
      <c r="C721" s="4">
        <v>37</v>
      </c>
      <c r="D721" s="8">
        <v>4.7300000000000004</v>
      </c>
      <c r="E721" s="4">
        <v>35</v>
      </c>
      <c r="F721" s="8">
        <v>7.37</v>
      </c>
      <c r="G721" s="4">
        <v>2</v>
      </c>
      <c r="H721" s="8">
        <v>0.68</v>
      </c>
      <c r="I721" s="4">
        <v>0</v>
      </c>
    </row>
    <row r="722" spans="1:9" x14ac:dyDescent="0.2">
      <c r="A722" s="2">
        <v>5</v>
      </c>
      <c r="B722" s="1" t="s">
        <v>299</v>
      </c>
      <c r="C722" s="4">
        <v>21</v>
      </c>
      <c r="D722" s="8">
        <v>2.69</v>
      </c>
      <c r="E722" s="4">
        <v>17</v>
      </c>
      <c r="F722" s="8">
        <v>3.58</v>
      </c>
      <c r="G722" s="4">
        <v>4</v>
      </c>
      <c r="H722" s="8">
        <v>1.37</v>
      </c>
      <c r="I722" s="4">
        <v>0</v>
      </c>
    </row>
    <row r="723" spans="1:9" x14ac:dyDescent="0.2">
      <c r="A723" s="2">
        <v>6</v>
      </c>
      <c r="B723" s="1" t="s">
        <v>300</v>
      </c>
      <c r="C723" s="4">
        <v>20</v>
      </c>
      <c r="D723" s="8">
        <v>2.56</v>
      </c>
      <c r="E723" s="4">
        <v>19</v>
      </c>
      <c r="F723" s="8">
        <v>4</v>
      </c>
      <c r="G723" s="4">
        <v>1</v>
      </c>
      <c r="H723" s="8">
        <v>0.34</v>
      </c>
      <c r="I723" s="4">
        <v>0</v>
      </c>
    </row>
    <row r="724" spans="1:9" x14ac:dyDescent="0.2">
      <c r="A724" s="2">
        <v>6</v>
      </c>
      <c r="B724" s="1" t="s">
        <v>306</v>
      </c>
      <c r="C724" s="4">
        <v>20</v>
      </c>
      <c r="D724" s="8">
        <v>2.56</v>
      </c>
      <c r="E724" s="4">
        <v>17</v>
      </c>
      <c r="F724" s="8">
        <v>3.58</v>
      </c>
      <c r="G724" s="4">
        <v>3</v>
      </c>
      <c r="H724" s="8">
        <v>1.03</v>
      </c>
      <c r="I724" s="4">
        <v>0</v>
      </c>
    </row>
    <row r="725" spans="1:9" x14ac:dyDescent="0.2">
      <c r="A725" s="2">
        <v>8</v>
      </c>
      <c r="B725" s="1" t="s">
        <v>292</v>
      </c>
      <c r="C725" s="4">
        <v>17</v>
      </c>
      <c r="D725" s="8">
        <v>2.17</v>
      </c>
      <c r="E725" s="4">
        <v>10</v>
      </c>
      <c r="F725" s="8">
        <v>2.11</v>
      </c>
      <c r="G725" s="4">
        <v>7</v>
      </c>
      <c r="H725" s="8">
        <v>2.4</v>
      </c>
      <c r="I725" s="4">
        <v>0</v>
      </c>
    </row>
    <row r="726" spans="1:9" x14ac:dyDescent="0.2">
      <c r="A726" s="2">
        <v>8</v>
      </c>
      <c r="B726" s="1" t="s">
        <v>295</v>
      </c>
      <c r="C726" s="4">
        <v>17</v>
      </c>
      <c r="D726" s="8">
        <v>2.17</v>
      </c>
      <c r="E726" s="4">
        <v>7</v>
      </c>
      <c r="F726" s="8">
        <v>1.47</v>
      </c>
      <c r="G726" s="4">
        <v>10</v>
      </c>
      <c r="H726" s="8">
        <v>3.42</v>
      </c>
      <c r="I726" s="4">
        <v>0</v>
      </c>
    </row>
    <row r="727" spans="1:9" x14ac:dyDescent="0.2">
      <c r="A727" s="2">
        <v>10</v>
      </c>
      <c r="B727" s="1" t="s">
        <v>305</v>
      </c>
      <c r="C727" s="4">
        <v>14</v>
      </c>
      <c r="D727" s="8">
        <v>1.79</v>
      </c>
      <c r="E727" s="4">
        <v>13</v>
      </c>
      <c r="F727" s="8">
        <v>2.74</v>
      </c>
      <c r="G727" s="4">
        <v>0</v>
      </c>
      <c r="H727" s="8">
        <v>0</v>
      </c>
      <c r="I727" s="4">
        <v>0</v>
      </c>
    </row>
    <row r="728" spans="1:9" x14ac:dyDescent="0.2">
      <c r="A728" s="2">
        <v>11</v>
      </c>
      <c r="B728" s="1" t="s">
        <v>333</v>
      </c>
      <c r="C728" s="4">
        <v>10</v>
      </c>
      <c r="D728" s="8">
        <v>1.28</v>
      </c>
      <c r="E728" s="4">
        <v>5</v>
      </c>
      <c r="F728" s="8">
        <v>1.05</v>
      </c>
      <c r="G728" s="4">
        <v>5</v>
      </c>
      <c r="H728" s="8">
        <v>1.71</v>
      </c>
      <c r="I728" s="4">
        <v>0</v>
      </c>
    </row>
    <row r="729" spans="1:9" x14ac:dyDescent="0.2">
      <c r="A729" s="2">
        <v>11</v>
      </c>
      <c r="B729" s="1" t="s">
        <v>335</v>
      </c>
      <c r="C729" s="4">
        <v>10</v>
      </c>
      <c r="D729" s="8">
        <v>1.28</v>
      </c>
      <c r="E729" s="4">
        <v>4</v>
      </c>
      <c r="F729" s="8">
        <v>0.84</v>
      </c>
      <c r="G729" s="4">
        <v>6</v>
      </c>
      <c r="H729" s="8">
        <v>2.0499999999999998</v>
      </c>
      <c r="I729" s="4">
        <v>0</v>
      </c>
    </row>
    <row r="730" spans="1:9" x14ac:dyDescent="0.2">
      <c r="A730" s="2">
        <v>11</v>
      </c>
      <c r="B730" s="1" t="s">
        <v>294</v>
      </c>
      <c r="C730" s="4">
        <v>10</v>
      </c>
      <c r="D730" s="8">
        <v>1.28</v>
      </c>
      <c r="E730" s="4">
        <v>7</v>
      </c>
      <c r="F730" s="8">
        <v>1.47</v>
      </c>
      <c r="G730" s="4">
        <v>3</v>
      </c>
      <c r="H730" s="8">
        <v>1.03</v>
      </c>
      <c r="I730" s="4">
        <v>0</v>
      </c>
    </row>
    <row r="731" spans="1:9" x14ac:dyDescent="0.2">
      <c r="A731" s="2">
        <v>11</v>
      </c>
      <c r="B731" s="1" t="s">
        <v>330</v>
      </c>
      <c r="C731" s="4">
        <v>10</v>
      </c>
      <c r="D731" s="8">
        <v>1.28</v>
      </c>
      <c r="E731" s="4">
        <v>0</v>
      </c>
      <c r="F731" s="8">
        <v>0</v>
      </c>
      <c r="G731" s="4">
        <v>10</v>
      </c>
      <c r="H731" s="8">
        <v>3.42</v>
      </c>
      <c r="I731" s="4">
        <v>0</v>
      </c>
    </row>
    <row r="732" spans="1:9" x14ac:dyDescent="0.2">
      <c r="A732" s="2">
        <v>15</v>
      </c>
      <c r="B732" s="1" t="s">
        <v>328</v>
      </c>
      <c r="C732" s="4">
        <v>9</v>
      </c>
      <c r="D732" s="8">
        <v>1.1499999999999999</v>
      </c>
      <c r="E732" s="4">
        <v>6</v>
      </c>
      <c r="F732" s="8">
        <v>1.26</v>
      </c>
      <c r="G732" s="4">
        <v>3</v>
      </c>
      <c r="H732" s="8">
        <v>1.03</v>
      </c>
      <c r="I732" s="4">
        <v>0</v>
      </c>
    </row>
    <row r="733" spans="1:9" x14ac:dyDescent="0.2">
      <c r="A733" s="2">
        <v>15</v>
      </c>
      <c r="B733" s="1" t="s">
        <v>291</v>
      </c>
      <c r="C733" s="4">
        <v>9</v>
      </c>
      <c r="D733" s="8">
        <v>1.1499999999999999</v>
      </c>
      <c r="E733" s="4">
        <v>3</v>
      </c>
      <c r="F733" s="8">
        <v>0.63</v>
      </c>
      <c r="G733" s="4">
        <v>6</v>
      </c>
      <c r="H733" s="8">
        <v>2.0499999999999998</v>
      </c>
      <c r="I733" s="4">
        <v>0</v>
      </c>
    </row>
    <row r="734" spans="1:9" x14ac:dyDescent="0.2">
      <c r="A734" s="2">
        <v>15</v>
      </c>
      <c r="B734" s="1" t="s">
        <v>322</v>
      </c>
      <c r="C734" s="4">
        <v>9</v>
      </c>
      <c r="D734" s="8">
        <v>1.1499999999999999</v>
      </c>
      <c r="E734" s="4">
        <v>3</v>
      </c>
      <c r="F734" s="8">
        <v>0.63</v>
      </c>
      <c r="G734" s="4">
        <v>6</v>
      </c>
      <c r="H734" s="8">
        <v>2.0499999999999998</v>
      </c>
      <c r="I734" s="4">
        <v>0</v>
      </c>
    </row>
    <row r="735" spans="1:9" x14ac:dyDescent="0.2">
      <c r="A735" s="2">
        <v>15</v>
      </c>
      <c r="B735" s="1" t="s">
        <v>334</v>
      </c>
      <c r="C735" s="4">
        <v>9</v>
      </c>
      <c r="D735" s="8">
        <v>1.1499999999999999</v>
      </c>
      <c r="E735" s="4">
        <v>8</v>
      </c>
      <c r="F735" s="8">
        <v>1.68</v>
      </c>
      <c r="G735" s="4">
        <v>1</v>
      </c>
      <c r="H735" s="8">
        <v>0.34</v>
      </c>
      <c r="I735" s="4">
        <v>0</v>
      </c>
    </row>
    <row r="736" spans="1:9" x14ac:dyDescent="0.2">
      <c r="A736" s="2">
        <v>15</v>
      </c>
      <c r="B736" s="1" t="s">
        <v>323</v>
      </c>
      <c r="C736" s="4">
        <v>9</v>
      </c>
      <c r="D736" s="8">
        <v>1.1499999999999999</v>
      </c>
      <c r="E736" s="4">
        <v>2</v>
      </c>
      <c r="F736" s="8">
        <v>0.42</v>
      </c>
      <c r="G736" s="4">
        <v>7</v>
      </c>
      <c r="H736" s="8">
        <v>2.4</v>
      </c>
      <c r="I736" s="4">
        <v>0</v>
      </c>
    </row>
    <row r="737" spans="1:9" x14ac:dyDescent="0.2">
      <c r="A737" s="2">
        <v>15</v>
      </c>
      <c r="B737" s="1" t="s">
        <v>312</v>
      </c>
      <c r="C737" s="4">
        <v>9</v>
      </c>
      <c r="D737" s="8">
        <v>1.1499999999999999</v>
      </c>
      <c r="E737" s="4">
        <v>6</v>
      </c>
      <c r="F737" s="8">
        <v>1.26</v>
      </c>
      <c r="G737" s="4">
        <v>3</v>
      </c>
      <c r="H737" s="8">
        <v>1.03</v>
      </c>
      <c r="I737" s="4">
        <v>0</v>
      </c>
    </row>
    <row r="738" spans="1:9" x14ac:dyDescent="0.2">
      <c r="A738" s="1"/>
      <c r="C738" s="4"/>
      <c r="D738" s="8"/>
      <c r="E738" s="4"/>
      <c r="F738" s="8"/>
      <c r="G738" s="4"/>
      <c r="H738" s="8"/>
      <c r="I738" s="4"/>
    </row>
    <row r="739" spans="1:9" x14ac:dyDescent="0.2">
      <c r="A739" s="1" t="s">
        <v>32</v>
      </c>
      <c r="C739" s="4"/>
      <c r="D739" s="8"/>
      <c r="E739" s="4"/>
      <c r="F739" s="8"/>
      <c r="G739" s="4"/>
      <c r="H739" s="8"/>
      <c r="I739" s="4"/>
    </row>
    <row r="740" spans="1:9" x14ac:dyDescent="0.2">
      <c r="A740" s="2">
        <v>1</v>
      </c>
      <c r="B740" s="1" t="s">
        <v>304</v>
      </c>
      <c r="C740" s="4">
        <v>15</v>
      </c>
      <c r="D740" s="8">
        <v>8.02</v>
      </c>
      <c r="E740" s="4">
        <v>14</v>
      </c>
      <c r="F740" s="8">
        <v>18.670000000000002</v>
      </c>
      <c r="G740" s="4">
        <v>1</v>
      </c>
      <c r="H740" s="8">
        <v>0.97</v>
      </c>
      <c r="I740" s="4">
        <v>0</v>
      </c>
    </row>
    <row r="741" spans="1:9" x14ac:dyDescent="0.2">
      <c r="A741" s="2">
        <v>2</v>
      </c>
      <c r="B741" s="1" t="s">
        <v>303</v>
      </c>
      <c r="C741" s="4">
        <v>9</v>
      </c>
      <c r="D741" s="8">
        <v>4.8099999999999996</v>
      </c>
      <c r="E741" s="4">
        <v>8</v>
      </c>
      <c r="F741" s="8">
        <v>10.67</v>
      </c>
      <c r="G741" s="4">
        <v>1</v>
      </c>
      <c r="H741" s="8">
        <v>0.97</v>
      </c>
      <c r="I741" s="4">
        <v>0</v>
      </c>
    </row>
    <row r="742" spans="1:9" x14ac:dyDescent="0.2">
      <c r="A742" s="2">
        <v>3</v>
      </c>
      <c r="B742" s="1" t="s">
        <v>288</v>
      </c>
      <c r="C742" s="4">
        <v>8</v>
      </c>
      <c r="D742" s="8">
        <v>4.28</v>
      </c>
      <c r="E742" s="4">
        <v>1</v>
      </c>
      <c r="F742" s="8">
        <v>1.33</v>
      </c>
      <c r="G742" s="4">
        <v>7</v>
      </c>
      <c r="H742" s="8">
        <v>6.8</v>
      </c>
      <c r="I742" s="4">
        <v>0</v>
      </c>
    </row>
    <row r="743" spans="1:9" x14ac:dyDescent="0.2">
      <c r="A743" s="2">
        <v>3</v>
      </c>
      <c r="B743" s="1" t="s">
        <v>330</v>
      </c>
      <c r="C743" s="4">
        <v>8</v>
      </c>
      <c r="D743" s="8">
        <v>4.28</v>
      </c>
      <c r="E743" s="4">
        <v>2</v>
      </c>
      <c r="F743" s="8">
        <v>2.67</v>
      </c>
      <c r="G743" s="4">
        <v>6</v>
      </c>
      <c r="H743" s="8">
        <v>5.83</v>
      </c>
      <c r="I743" s="4">
        <v>0</v>
      </c>
    </row>
    <row r="744" spans="1:9" x14ac:dyDescent="0.2">
      <c r="A744" s="2">
        <v>5</v>
      </c>
      <c r="B744" s="1" t="s">
        <v>300</v>
      </c>
      <c r="C744" s="4">
        <v>7</v>
      </c>
      <c r="D744" s="8">
        <v>3.74</v>
      </c>
      <c r="E744" s="4">
        <v>5</v>
      </c>
      <c r="F744" s="8">
        <v>6.67</v>
      </c>
      <c r="G744" s="4">
        <v>2</v>
      </c>
      <c r="H744" s="8">
        <v>1.94</v>
      </c>
      <c r="I744" s="4">
        <v>0</v>
      </c>
    </row>
    <row r="745" spans="1:9" x14ac:dyDescent="0.2">
      <c r="A745" s="2">
        <v>6</v>
      </c>
      <c r="B745" s="1" t="s">
        <v>292</v>
      </c>
      <c r="C745" s="4">
        <v>6</v>
      </c>
      <c r="D745" s="8">
        <v>3.21</v>
      </c>
      <c r="E745" s="4">
        <v>2</v>
      </c>
      <c r="F745" s="8">
        <v>2.67</v>
      </c>
      <c r="G745" s="4">
        <v>4</v>
      </c>
      <c r="H745" s="8">
        <v>3.88</v>
      </c>
      <c r="I745" s="4">
        <v>0</v>
      </c>
    </row>
    <row r="746" spans="1:9" x14ac:dyDescent="0.2">
      <c r="A746" s="2">
        <v>6</v>
      </c>
      <c r="B746" s="1" t="s">
        <v>301</v>
      </c>
      <c r="C746" s="4">
        <v>6</v>
      </c>
      <c r="D746" s="8">
        <v>3.21</v>
      </c>
      <c r="E746" s="4">
        <v>6</v>
      </c>
      <c r="F746" s="8">
        <v>8</v>
      </c>
      <c r="G746" s="4">
        <v>0</v>
      </c>
      <c r="H746" s="8">
        <v>0</v>
      </c>
      <c r="I746" s="4">
        <v>0</v>
      </c>
    </row>
    <row r="747" spans="1:9" x14ac:dyDescent="0.2">
      <c r="A747" s="2">
        <v>8</v>
      </c>
      <c r="B747" s="1" t="s">
        <v>314</v>
      </c>
      <c r="C747" s="4">
        <v>5</v>
      </c>
      <c r="D747" s="8">
        <v>2.67</v>
      </c>
      <c r="E747" s="4">
        <v>3</v>
      </c>
      <c r="F747" s="8">
        <v>4</v>
      </c>
      <c r="G747" s="4">
        <v>2</v>
      </c>
      <c r="H747" s="8">
        <v>1.94</v>
      </c>
      <c r="I747" s="4">
        <v>0</v>
      </c>
    </row>
    <row r="748" spans="1:9" x14ac:dyDescent="0.2">
      <c r="A748" s="2">
        <v>9</v>
      </c>
      <c r="B748" s="1" t="s">
        <v>291</v>
      </c>
      <c r="C748" s="4">
        <v>4</v>
      </c>
      <c r="D748" s="8">
        <v>2.14</v>
      </c>
      <c r="E748" s="4">
        <v>1</v>
      </c>
      <c r="F748" s="8">
        <v>1.33</v>
      </c>
      <c r="G748" s="4">
        <v>3</v>
      </c>
      <c r="H748" s="8">
        <v>2.91</v>
      </c>
      <c r="I748" s="4">
        <v>0</v>
      </c>
    </row>
    <row r="749" spans="1:9" x14ac:dyDescent="0.2">
      <c r="A749" s="2">
        <v>9</v>
      </c>
      <c r="B749" s="1" t="s">
        <v>293</v>
      </c>
      <c r="C749" s="4">
        <v>4</v>
      </c>
      <c r="D749" s="8">
        <v>2.14</v>
      </c>
      <c r="E749" s="4">
        <v>0</v>
      </c>
      <c r="F749" s="8">
        <v>0</v>
      </c>
      <c r="G749" s="4">
        <v>4</v>
      </c>
      <c r="H749" s="8">
        <v>3.88</v>
      </c>
      <c r="I749" s="4">
        <v>0</v>
      </c>
    </row>
    <row r="750" spans="1:9" x14ac:dyDescent="0.2">
      <c r="A750" s="2">
        <v>9</v>
      </c>
      <c r="B750" s="1" t="s">
        <v>355</v>
      </c>
      <c r="C750" s="4">
        <v>4</v>
      </c>
      <c r="D750" s="8">
        <v>2.14</v>
      </c>
      <c r="E750" s="4">
        <v>0</v>
      </c>
      <c r="F750" s="8">
        <v>0</v>
      </c>
      <c r="G750" s="4">
        <v>4</v>
      </c>
      <c r="H750" s="8">
        <v>3.88</v>
      </c>
      <c r="I750" s="4">
        <v>0</v>
      </c>
    </row>
    <row r="751" spans="1:9" x14ac:dyDescent="0.2">
      <c r="A751" s="2">
        <v>9</v>
      </c>
      <c r="B751" s="1" t="s">
        <v>356</v>
      </c>
      <c r="C751" s="4">
        <v>4</v>
      </c>
      <c r="D751" s="8">
        <v>2.14</v>
      </c>
      <c r="E751" s="4">
        <v>1</v>
      </c>
      <c r="F751" s="8">
        <v>1.33</v>
      </c>
      <c r="G751" s="4">
        <v>3</v>
      </c>
      <c r="H751" s="8">
        <v>2.91</v>
      </c>
      <c r="I751" s="4">
        <v>0</v>
      </c>
    </row>
    <row r="752" spans="1:9" x14ac:dyDescent="0.2">
      <c r="A752" s="2">
        <v>9</v>
      </c>
      <c r="B752" s="1" t="s">
        <v>331</v>
      </c>
      <c r="C752" s="4">
        <v>4</v>
      </c>
      <c r="D752" s="8">
        <v>2.14</v>
      </c>
      <c r="E752" s="4">
        <v>0</v>
      </c>
      <c r="F752" s="8">
        <v>0</v>
      </c>
      <c r="G752" s="4">
        <v>3</v>
      </c>
      <c r="H752" s="8">
        <v>2.91</v>
      </c>
      <c r="I752" s="4">
        <v>1</v>
      </c>
    </row>
    <row r="753" spans="1:9" x14ac:dyDescent="0.2">
      <c r="A753" s="2">
        <v>14</v>
      </c>
      <c r="B753" s="1" t="s">
        <v>289</v>
      </c>
      <c r="C753" s="4">
        <v>3</v>
      </c>
      <c r="D753" s="8">
        <v>1.6</v>
      </c>
      <c r="E753" s="4">
        <v>1</v>
      </c>
      <c r="F753" s="8">
        <v>1.33</v>
      </c>
      <c r="G753" s="4">
        <v>2</v>
      </c>
      <c r="H753" s="8">
        <v>1.94</v>
      </c>
      <c r="I753" s="4">
        <v>0</v>
      </c>
    </row>
    <row r="754" spans="1:9" x14ac:dyDescent="0.2">
      <c r="A754" s="2">
        <v>14</v>
      </c>
      <c r="B754" s="1" t="s">
        <v>353</v>
      </c>
      <c r="C754" s="4">
        <v>3</v>
      </c>
      <c r="D754" s="8">
        <v>1.6</v>
      </c>
      <c r="E754" s="4">
        <v>1</v>
      </c>
      <c r="F754" s="8">
        <v>1.33</v>
      </c>
      <c r="G754" s="4">
        <v>2</v>
      </c>
      <c r="H754" s="8">
        <v>1.94</v>
      </c>
      <c r="I754" s="4">
        <v>0</v>
      </c>
    </row>
    <row r="755" spans="1:9" x14ac:dyDescent="0.2">
      <c r="A755" s="2">
        <v>14</v>
      </c>
      <c r="B755" s="1" t="s">
        <v>290</v>
      </c>
      <c r="C755" s="4">
        <v>3</v>
      </c>
      <c r="D755" s="8">
        <v>1.6</v>
      </c>
      <c r="E755" s="4">
        <v>0</v>
      </c>
      <c r="F755" s="8">
        <v>0</v>
      </c>
      <c r="G755" s="4">
        <v>3</v>
      </c>
      <c r="H755" s="8">
        <v>2.91</v>
      </c>
      <c r="I755" s="4">
        <v>0</v>
      </c>
    </row>
    <row r="756" spans="1:9" x14ac:dyDescent="0.2">
      <c r="A756" s="2">
        <v>14</v>
      </c>
      <c r="B756" s="1" t="s">
        <v>354</v>
      </c>
      <c r="C756" s="4">
        <v>3</v>
      </c>
      <c r="D756" s="8">
        <v>1.6</v>
      </c>
      <c r="E756" s="4">
        <v>1</v>
      </c>
      <c r="F756" s="8">
        <v>1.33</v>
      </c>
      <c r="G756" s="4">
        <v>2</v>
      </c>
      <c r="H756" s="8">
        <v>1.94</v>
      </c>
      <c r="I756" s="4">
        <v>0</v>
      </c>
    </row>
    <row r="757" spans="1:9" x14ac:dyDescent="0.2">
      <c r="A757" s="2">
        <v>14</v>
      </c>
      <c r="B757" s="1" t="s">
        <v>336</v>
      </c>
      <c r="C757" s="4">
        <v>3</v>
      </c>
      <c r="D757" s="8">
        <v>1.6</v>
      </c>
      <c r="E757" s="4">
        <v>2</v>
      </c>
      <c r="F757" s="8">
        <v>2.67</v>
      </c>
      <c r="G757" s="4">
        <v>1</v>
      </c>
      <c r="H757" s="8">
        <v>0.97</v>
      </c>
      <c r="I757" s="4">
        <v>0</v>
      </c>
    </row>
    <row r="758" spans="1:9" x14ac:dyDescent="0.2">
      <c r="A758" s="2">
        <v>14</v>
      </c>
      <c r="B758" s="1" t="s">
        <v>329</v>
      </c>
      <c r="C758" s="4">
        <v>3</v>
      </c>
      <c r="D758" s="8">
        <v>1.6</v>
      </c>
      <c r="E758" s="4">
        <v>1</v>
      </c>
      <c r="F758" s="8">
        <v>1.33</v>
      </c>
      <c r="G758" s="4">
        <v>2</v>
      </c>
      <c r="H758" s="8">
        <v>1.94</v>
      </c>
      <c r="I758" s="4">
        <v>0</v>
      </c>
    </row>
    <row r="759" spans="1:9" x14ac:dyDescent="0.2">
      <c r="A759" s="2">
        <v>14</v>
      </c>
      <c r="B759" s="1" t="s">
        <v>297</v>
      </c>
      <c r="C759" s="4">
        <v>3</v>
      </c>
      <c r="D759" s="8">
        <v>1.6</v>
      </c>
      <c r="E759" s="4">
        <v>0</v>
      </c>
      <c r="F759" s="8">
        <v>0</v>
      </c>
      <c r="G759" s="4">
        <v>2</v>
      </c>
      <c r="H759" s="8">
        <v>1.94</v>
      </c>
      <c r="I759" s="4">
        <v>0</v>
      </c>
    </row>
    <row r="760" spans="1:9" x14ac:dyDescent="0.2">
      <c r="A760" s="2">
        <v>14</v>
      </c>
      <c r="B760" s="1" t="s">
        <v>299</v>
      </c>
      <c r="C760" s="4">
        <v>3</v>
      </c>
      <c r="D760" s="8">
        <v>1.6</v>
      </c>
      <c r="E760" s="4">
        <v>3</v>
      </c>
      <c r="F760" s="8">
        <v>4</v>
      </c>
      <c r="G760" s="4">
        <v>0</v>
      </c>
      <c r="H760" s="8">
        <v>0</v>
      </c>
      <c r="I760" s="4">
        <v>0</v>
      </c>
    </row>
    <row r="761" spans="1:9" x14ac:dyDescent="0.2">
      <c r="A761" s="2">
        <v>14</v>
      </c>
      <c r="B761" s="1" t="s">
        <v>325</v>
      </c>
      <c r="C761" s="4">
        <v>3</v>
      </c>
      <c r="D761" s="8">
        <v>1.6</v>
      </c>
      <c r="E761" s="4">
        <v>0</v>
      </c>
      <c r="F761" s="8">
        <v>0</v>
      </c>
      <c r="G761" s="4">
        <v>3</v>
      </c>
      <c r="H761" s="8">
        <v>2.91</v>
      </c>
      <c r="I761" s="4">
        <v>0</v>
      </c>
    </row>
    <row r="762" spans="1:9" x14ac:dyDescent="0.2">
      <c r="A762" s="1"/>
      <c r="C762" s="4"/>
      <c r="D762" s="8"/>
      <c r="E762" s="4"/>
      <c r="F762" s="8"/>
      <c r="G762" s="4"/>
      <c r="H762" s="8"/>
      <c r="I762" s="4"/>
    </row>
    <row r="763" spans="1:9" x14ac:dyDescent="0.2">
      <c r="A763" s="1" t="s">
        <v>33</v>
      </c>
      <c r="C763" s="4"/>
      <c r="D763" s="8"/>
      <c r="E763" s="4"/>
      <c r="F763" s="8"/>
      <c r="G763" s="4"/>
      <c r="H763" s="8"/>
      <c r="I763" s="4"/>
    </row>
    <row r="764" spans="1:9" x14ac:dyDescent="0.2">
      <c r="A764" s="2">
        <v>1</v>
      </c>
      <c r="B764" s="1" t="s">
        <v>304</v>
      </c>
      <c r="C764" s="4">
        <v>53</v>
      </c>
      <c r="D764" s="8">
        <v>6.59</v>
      </c>
      <c r="E764" s="4">
        <v>51</v>
      </c>
      <c r="F764" s="8">
        <v>11.72</v>
      </c>
      <c r="G764" s="4">
        <v>2</v>
      </c>
      <c r="H764" s="8">
        <v>0.57999999999999996</v>
      </c>
      <c r="I764" s="4">
        <v>0</v>
      </c>
    </row>
    <row r="765" spans="1:9" x14ac:dyDescent="0.2">
      <c r="A765" s="2">
        <v>2</v>
      </c>
      <c r="B765" s="1" t="s">
        <v>301</v>
      </c>
      <c r="C765" s="4">
        <v>46</v>
      </c>
      <c r="D765" s="8">
        <v>5.72</v>
      </c>
      <c r="E765" s="4">
        <v>46</v>
      </c>
      <c r="F765" s="8">
        <v>10.57</v>
      </c>
      <c r="G765" s="4">
        <v>0</v>
      </c>
      <c r="H765" s="8">
        <v>0</v>
      </c>
      <c r="I765" s="4">
        <v>0</v>
      </c>
    </row>
    <row r="766" spans="1:9" x14ac:dyDescent="0.2">
      <c r="A766" s="2">
        <v>3</v>
      </c>
      <c r="B766" s="1" t="s">
        <v>303</v>
      </c>
      <c r="C766" s="4">
        <v>39</v>
      </c>
      <c r="D766" s="8">
        <v>4.8499999999999996</v>
      </c>
      <c r="E766" s="4">
        <v>39</v>
      </c>
      <c r="F766" s="8">
        <v>8.9700000000000006</v>
      </c>
      <c r="G766" s="4">
        <v>0</v>
      </c>
      <c r="H766" s="8">
        <v>0</v>
      </c>
      <c r="I766" s="4">
        <v>0</v>
      </c>
    </row>
    <row r="767" spans="1:9" x14ac:dyDescent="0.2">
      <c r="A767" s="2">
        <v>4</v>
      </c>
      <c r="B767" s="1" t="s">
        <v>342</v>
      </c>
      <c r="C767" s="4">
        <v>34</v>
      </c>
      <c r="D767" s="8">
        <v>4.2300000000000004</v>
      </c>
      <c r="E767" s="4">
        <v>10</v>
      </c>
      <c r="F767" s="8">
        <v>2.2999999999999998</v>
      </c>
      <c r="G767" s="4">
        <v>23</v>
      </c>
      <c r="H767" s="8">
        <v>6.67</v>
      </c>
      <c r="I767" s="4">
        <v>1</v>
      </c>
    </row>
    <row r="768" spans="1:9" x14ac:dyDescent="0.2">
      <c r="A768" s="2">
        <v>4</v>
      </c>
      <c r="B768" s="1" t="s">
        <v>297</v>
      </c>
      <c r="C768" s="4">
        <v>34</v>
      </c>
      <c r="D768" s="8">
        <v>4.2300000000000004</v>
      </c>
      <c r="E768" s="4">
        <v>15</v>
      </c>
      <c r="F768" s="8">
        <v>3.45</v>
      </c>
      <c r="G768" s="4">
        <v>17</v>
      </c>
      <c r="H768" s="8">
        <v>4.93</v>
      </c>
      <c r="I768" s="4">
        <v>0</v>
      </c>
    </row>
    <row r="769" spans="1:9" x14ac:dyDescent="0.2">
      <c r="A769" s="2">
        <v>6</v>
      </c>
      <c r="B769" s="1" t="s">
        <v>295</v>
      </c>
      <c r="C769" s="4">
        <v>22</v>
      </c>
      <c r="D769" s="8">
        <v>2.74</v>
      </c>
      <c r="E769" s="4">
        <v>10</v>
      </c>
      <c r="F769" s="8">
        <v>2.2999999999999998</v>
      </c>
      <c r="G769" s="4">
        <v>12</v>
      </c>
      <c r="H769" s="8">
        <v>3.48</v>
      </c>
      <c r="I769" s="4">
        <v>0</v>
      </c>
    </row>
    <row r="770" spans="1:9" x14ac:dyDescent="0.2">
      <c r="A770" s="2">
        <v>6</v>
      </c>
      <c r="B770" s="1" t="s">
        <v>300</v>
      </c>
      <c r="C770" s="4">
        <v>22</v>
      </c>
      <c r="D770" s="8">
        <v>2.74</v>
      </c>
      <c r="E770" s="4">
        <v>20</v>
      </c>
      <c r="F770" s="8">
        <v>4.5999999999999996</v>
      </c>
      <c r="G770" s="4">
        <v>2</v>
      </c>
      <c r="H770" s="8">
        <v>0.57999999999999996</v>
      </c>
      <c r="I770" s="4">
        <v>0</v>
      </c>
    </row>
    <row r="771" spans="1:9" x14ac:dyDescent="0.2">
      <c r="A771" s="2">
        <v>8</v>
      </c>
      <c r="B771" s="1" t="s">
        <v>299</v>
      </c>
      <c r="C771" s="4">
        <v>19</v>
      </c>
      <c r="D771" s="8">
        <v>2.36</v>
      </c>
      <c r="E771" s="4">
        <v>17</v>
      </c>
      <c r="F771" s="8">
        <v>3.91</v>
      </c>
      <c r="G771" s="4">
        <v>2</v>
      </c>
      <c r="H771" s="8">
        <v>0.57999999999999996</v>
      </c>
      <c r="I771" s="4">
        <v>0</v>
      </c>
    </row>
    <row r="772" spans="1:9" x14ac:dyDescent="0.2">
      <c r="A772" s="2">
        <v>8</v>
      </c>
      <c r="B772" s="1" t="s">
        <v>302</v>
      </c>
      <c r="C772" s="4">
        <v>19</v>
      </c>
      <c r="D772" s="8">
        <v>2.36</v>
      </c>
      <c r="E772" s="4">
        <v>19</v>
      </c>
      <c r="F772" s="8">
        <v>4.37</v>
      </c>
      <c r="G772" s="4">
        <v>0</v>
      </c>
      <c r="H772" s="8">
        <v>0</v>
      </c>
      <c r="I772" s="4">
        <v>0</v>
      </c>
    </row>
    <row r="773" spans="1:9" x14ac:dyDescent="0.2">
      <c r="A773" s="2">
        <v>10</v>
      </c>
      <c r="B773" s="1" t="s">
        <v>328</v>
      </c>
      <c r="C773" s="4">
        <v>17</v>
      </c>
      <c r="D773" s="8">
        <v>2.11</v>
      </c>
      <c r="E773" s="4">
        <v>6</v>
      </c>
      <c r="F773" s="8">
        <v>1.38</v>
      </c>
      <c r="G773" s="4">
        <v>11</v>
      </c>
      <c r="H773" s="8">
        <v>3.19</v>
      </c>
      <c r="I773" s="4">
        <v>0</v>
      </c>
    </row>
    <row r="774" spans="1:9" x14ac:dyDescent="0.2">
      <c r="A774" s="2">
        <v>11</v>
      </c>
      <c r="B774" s="1" t="s">
        <v>324</v>
      </c>
      <c r="C774" s="4">
        <v>15</v>
      </c>
      <c r="D774" s="8">
        <v>1.87</v>
      </c>
      <c r="E774" s="4">
        <v>2</v>
      </c>
      <c r="F774" s="8">
        <v>0.46</v>
      </c>
      <c r="G774" s="4">
        <v>13</v>
      </c>
      <c r="H774" s="8">
        <v>3.77</v>
      </c>
      <c r="I774" s="4">
        <v>0</v>
      </c>
    </row>
    <row r="775" spans="1:9" x14ac:dyDescent="0.2">
      <c r="A775" s="2">
        <v>12</v>
      </c>
      <c r="B775" s="1" t="s">
        <v>330</v>
      </c>
      <c r="C775" s="4">
        <v>14</v>
      </c>
      <c r="D775" s="8">
        <v>1.74</v>
      </c>
      <c r="E775" s="4">
        <v>2</v>
      </c>
      <c r="F775" s="8">
        <v>0.46</v>
      </c>
      <c r="G775" s="4">
        <v>12</v>
      </c>
      <c r="H775" s="8">
        <v>3.48</v>
      </c>
      <c r="I775" s="4">
        <v>0</v>
      </c>
    </row>
    <row r="776" spans="1:9" x14ac:dyDescent="0.2">
      <c r="A776" s="2">
        <v>12</v>
      </c>
      <c r="B776" s="1" t="s">
        <v>339</v>
      </c>
      <c r="C776" s="4">
        <v>14</v>
      </c>
      <c r="D776" s="8">
        <v>1.74</v>
      </c>
      <c r="E776" s="4">
        <v>9</v>
      </c>
      <c r="F776" s="8">
        <v>2.0699999999999998</v>
      </c>
      <c r="G776" s="4">
        <v>5</v>
      </c>
      <c r="H776" s="8">
        <v>1.45</v>
      </c>
      <c r="I776" s="4">
        <v>0</v>
      </c>
    </row>
    <row r="777" spans="1:9" x14ac:dyDescent="0.2">
      <c r="A777" s="2">
        <v>12</v>
      </c>
      <c r="B777" s="1" t="s">
        <v>307</v>
      </c>
      <c r="C777" s="4">
        <v>14</v>
      </c>
      <c r="D777" s="8">
        <v>1.74</v>
      </c>
      <c r="E777" s="4">
        <v>9</v>
      </c>
      <c r="F777" s="8">
        <v>2.0699999999999998</v>
      </c>
      <c r="G777" s="4">
        <v>5</v>
      </c>
      <c r="H777" s="8">
        <v>1.45</v>
      </c>
      <c r="I777" s="4">
        <v>0</v>
      </c>
    </row>
    <row r="778" spans="1:9" x14ac:dyDescent="0.2">
      <c r="A778" s="2">
        <v>15</v>
      </c>
      <c r="B778" s="1" t="s">
        <v>358</v>
      </c>
      <c r="C778" s="4">
        <v>12</v>
      </c>
      <c r="D778" s="8">
        <v>1.49</v>
      </c>
      <c r="E778" s="4">
        <v>2</v>
      </c>
      <c r="F778" s="8">
        <v>0.46</v>
      </c>
      <c r="G778" s="4">
        <v>10</v>
      </c>
      <c r="H778" s="8">
        <v>2.9</v>
      </c>
      <c r="I778" s="4">
        <v>0</v>
      </c>
    </row>
    <row r="779" spans="1:9" x14ac:dyDescent="0.2">
      <c r="A779" s="2">
        <v>15</v>
      </c>
      <c r="B779" s="1" t="s">
        <v>334</v>
      </c>
      <c r="C779" s="4">
        <v>12</v>
      </c>
      <c r="D779" s="8">
        <v>1.49</v>
      </c>
      <c r="E779" s="4">
        <v>11</v>
      </c>
      <c r="F779" s="8">
        <v>2.5299999999999998</v>
      </c>
      <c r="G779" s="4">
        <v>1</v>
      </c>
      <c r="H779" s="8">
        <v>0.28999999999999998</v>
      </c>
      <c r="I779" s="4">
        <v>0</v>
      </c>
    </row>
    <row r="780" spans="1:9" x14ac:dyDescent="0.2">
      <c r="A780" s="2">
        <v>15</v>
      </c>
      <c r="B780" s="1" t="s">
        <v>323</v>
      </c>
      <c r="C780" s="4">
        <v>12</v>
      </c>
      <c r="D780" s="8">
        <v>1.49</v>
      </c>
      <c r="E780" s="4">
        <v>2</v>
      </c>
      <c r="F780" s="8">
        <v>0.46</v>
      </c>
      <c r="G780" s="4">
        <v>10</v>
      </c>
      <c r="H780" s="8">
        <v>2.9</v>
      </c>
      <c r="I780" s="4">
        <v>0</v>
      </c>
    </row>
    <row r="781" spans="1:9" x14ac:dyDescent="0.2">
      <c r="A781" s="2">
        <v>15</v>
      </c>
      <c r="B781" s="1" t="s">
        <v>305</v>
      </c>
      <c r="C781" s="4">
        <v>12</v>
      </c>
      <c r="D781" s="8">
        <v>1.49</v>
      </c>
      <c r="E781" s="4">
        <v>11</v>
      </c>
      <c r="F781" s="8">
        <v>2.5299999999999998</v>
      </c>
      <c r="G781" s="4">
        <v>1</v>
      </c>
      <c r="H781" s="8">
        <v>0.28999999999999998</v>
      </c>
      <c r="I781" s="4">
        <v>0</v>
      </c>
    </row>
    <row r="782" spans="1:9" x14ac:dyDescent="0.2">
      <c r="A782" s="2">
        <v>19</v>
      </c>
      <c r="B782" s="1" t="s">
        <v>357</v>
      </c>
      <c r="C782" s="4">
        <v>11</v>
      </c>
      <c r="D782" s="8">
        <v>1.37</v>
      </c>
      <c r="E782" s="4">
        <v>4</v>
      </c>
      <c r="F782" s="8">
        <v>0.92</v>
      </c>
      <c r="G782" s="4">
        <v>7</v>
      </c>
      <c r="H782" s="8">
        <v>2.0299999999999998</v>
      </c>
      <c r="I782" s="4">
        <v>0</v>
      </c>
    </row>
    <row r="783" spans="1:9" x14ac:dyDescent="0.2">
      <c r="A783" s="2">
        <v>19</v>
      </c>
      <c r="B783" s="1" t="s">
        <v>306</v>
      </c>
      <c r="C783" s="4">
        <v>11</v>
      </c>
      <c r="D783" s="8">
        <v>1.37</v>
      </c>
      <c r="E783" s="4">
        <v>11</v>
      </c>
      <c r="F783" s="8">
        <v>2.5299999999999998</v>
      </c>
      <c r="G783" s="4">
        <v>0</v>
      </c>
      <c r="H783" s="8">
        <v>0</v>
      </c>
      <c r="I783" s="4">
        <v>0</v>
      </c>
    </row>
    <row r="784" spans="1:9" x14ac:dyDescent="0.2">
      <c r="A784" s="1"/>
      <c r="C784" s="4"/>
      <c r="D784" s="8"/>
      <c r="E784" s="4"/>
      <c r="F784" s="8"/>
      <c r="G784" s="4"/>
      <c r="H784" s="8"/>
      <c r="I784" s="4"/>
    </row>
    <row r="785" spans="1:9" x14ac:dyDescent="0.2">
      <c r="A785" s="1" t="s">
        <v>34</v>
      </c>
      <c r="C785" s="4"/>
      <c r="D785" s="8"/>
      <c r="E785" s="4"/>
      <c r="F785" s="8"/>
      <c r="G785" s="4"/>
      <c r="H785" s="8"/>
      <c r="I785" s="4"/>
    </row>
    <row r="786" spans="1:9" x14ac:dyDescent="0.2">
      <c r="A786" s="2">
        <v>1</v>
      </c>
      <c r="B786" s="1" t="s">
        <v>304</v>
      </c>
      <c r="C786" s="4">
        <v>82</v>
      </c>
      <c r="D786" s="8">
        <v>5.38</v>
      </c>
      <c r="E786" s="4">
        <v>72</v>
      </c>
      <c r="F786" s="8">
        <v>11.54</v>
      </c>
      <c r="G786" s="4">
        <v>10</v>
      </c>
      <c r="H786" s="8">
        <v>1.1200000000000001</v>
      </c>
      <c r="I786" s="4">
        <v>0</v>
      </c>
    </row>
    <row r="787" spans="1:9" x14ac:dyDescent="0.2">
      <c r="A787" s="2">
        <v>2</v>
      </c>
      <c r="B787" s="1" t="s">
        <v>301</v>
      </c>
      <c r="C787" s="4">
        <v>75</v>
      </c>
      <c r="D787" s="8">
        <v>4.92</v>
      </c>
      <c r="E787" s="4">
        <v>68</v>
      </c>
      <c r="F787" s="8">
        <v>10.9</v>
      </c>
      <c r="G787" s="4">
        <v>7</v>
      </c>
      <c r="H787" s="8">
        <v>0.79</v>
      </c>
      <c r="I787" s="4">
        <v>0</v>
      </c>
    </row>
    <row r="788" spans="1:9" x14ac:dyDescent="0.2">
      <c r="A788" s="2">
        <v>3</v>
      </c>
      <c r="B788" s="1" t="s">
        <v>299</v>
      </c>
      <c r="C788" s="4">
        <v>69</v>
      </c>
      <c r="D788" s="8">
        <v>4.5199999999999996</v>
      </c>
      <c r="E788" s="4">
        <v>45</v>
      </c>
      <c r="F788" s="8">
        <v>7.21</v>
      </c>
      <c r="G788" s="4">
        <v>24</v>
      </c>
      <c r="H788" s="8">
        <v>2.7</v>
      </c>
      <c r="I788" s="4">
        <v>0</v>
      </c>
    </row>
    <row r="789" spans="1:9" x14ac:dyDescent="0.2">
      <c r="A789" s="2">
        <v>4</v>
      </c>
      <c r="B789" s="1" t="s">
        <v>300</v>
      </c>
      <c r="C789" s="4">
        <v>58</v>
      </c>
      <c r="D789" s="8">
        <v>3.8</v>
      </c>
      <c r="E789" s="4">
        <v>50</v>
      </c>
      <c r="F789" s="8">
        <v>8.01</v>
      </c>
      <c r="G789" s="4">
        <v>8</v>
      </c>
      <c r="H789" s="8">
        <v>0.9</v>
      </c>
      <c r="I789" s="4">
        <v>0</v>
      </c>
    </row>
    <row r="790" spans="1:9" x14ac:dyDescent="0.2">
      <c r="A790" s="2">
        <v>5</v>
      </c>
      <c r="B790" s="1" t="s">
        <v>303</v>
      </c>
      <c r="C790" s="4">
        <v>53</v>
      </c>
      <c r="D790" s="8">
        <v>3.48</v>
      </c>
      <c r="E790" s="4">
        <v>48</v>
      </c>
      <c r="F790" s="8">
        <v>7.69</v>
      </c>
      <c r="G790" s="4">
        <v>5</v>
      </c>
      <c r="H790" s="8">
        <v>0.56000000000000005</v>
      </c>
      <c r="I790" s="4">
        <v>0</v>
      </c>
    </row>
    <row r="791" spans="1:9" x14ac:dyDescent="0.2">
      <c r="A791" s="2">
        <v>6</v>
      </c>
      <c r="B791" s="1" t="s">
        <v>306</v>
      </c>
      <c r="C791" s="4">
        <v>41</v>
      </c>
      <c r="D791" s="8">
        <v>2.69</v>
      </c>
      <c r="E791" s="4">
        <v>36</v>
      </c>
      <c r="F791" s="8">
        <v>5.77</v>
      </c>
      <c r="G791" s="4">
        <v>5</v>
      </c>
      <c r="H791" s="8">
        <v>0.56000000000000005</v>
      </c>
      <c r="I791" s="4">
        <v>0</v>
      </c>
    </row>
    <row r="792" spans="1:9" x14ac:dyDescent="0.2">
      <c r="A792" s="2">
        <v>7</v>
      </c>
      <c r="B792" s="1" t="s">
        <v>305</v>
      </c>
      <c r="C792" s="4">
        <v>39</v>
      </c>
      <c r="D792" s="8">
        <v>2.56</v>
      </c>
      <c r="E792" s="4">
        <v>33</v>
      </c>
      <c r="F792" s="8">
        <v>5.29</v>
      </c>
      <c r="G792" s="4">
        <v>6</v>
      </c>
      <c r="H792" s="8">
        <v>0.67</v>
      </c>
      <c r="I792" s="4">
        <v>0</v>
      </c>
    </row>
    <row r="793" spans="1:9" x14ac:dyDescent="0.2">
      <c r="A793" s="2">
        <v>8</v>
      </c>
      <c r="B793" s="1" t="s">
        <v>297</v>
      </c>
      <c r="C793" s="4">
        <v>31</v>
      </c>
      <c r="D793" s="8">
        <v>2.0299999999999998</v>
      </c>
      <c r="E793" s="4">
        <v>4</v>
      </c>
      <c r="F793" s="8">
        <v>0.64</v>
      </c>
      <c r="G793" s="4">
        <v>27</v>
      </c>
      <c r="H793" s="8">
        <v>3.03</v>
      </c>
      <c r="I793" s="4">
        <v>0</v>
      </c>
    </row>
    <row r="794" spans="1:9" x14ac:dyDescent="0.2">
      <c r="A794" s="2">
        <v>9</v>
      </c>
      <c r="B794" s="1" t="s">
        <v>295</v>
      </c>
      <c r="C794" s="4">
        <v>29</v>
      </c>
      <c r="D794" s="8">
        <v>1.9</v>
      </c>
      <c r="E794" s="4">
        <v>12</v>
      </c>
      <c r="F794" s="8">
        <v>1.92</v>
      </c>
      <c r="G794" s="4">
        <v>17</v>
      </c>
      <c r="H794" s="8">
        <v>1.91</v>
      </c>
      <c r="I794" s="4">
        <v>0</v>
      </c>
    </row>
    <row r="795" spans="1:9" x14ac:dyDescent="0.2">
      <c r="A795" s="2">
        <v>10</v>
      </c>
      <c r="B795" s="1" t="s">
        <v>323</v>
      </c>
      <c r="C795" s="4">
        <v>26</v>
      </c>
      <c r="D795" s="8">
        <v>1.7</v>
      </c>
      <c r="E795" s="4">
        <v>9</v>
      </c>
      <c r="F795" s="8">
        <v>1.44</v>
      </c>
      <c r="G795" s="4">
        <v>17</v>
      </c>
      <c r="H795" s="8">
        <v>1.91</v>
      </c>
      <c r="I795" s="4">
        <v>0</v>
      </c>
    </row>
    <row r="796" spans="1:9" x14ac:dyDescent="0.2">
      <c r="A796" s="2">
        <v>11</v>
      </c>
      <c r="B796" s="1" t="s">
        <v>294</v>
      </c>
      <c r="C796" s="4">
        <v>25</v>
      </c>
      <c r="D796" s="8">
        <v>1.64</v>
      </c>
      <c r="E796" s="4">
        <v>8</v>
      </c>
      <c r="F796" s="8">
        <v>1.28</v>
      </c>
      <c r="G796" s="4">
        <v>17</v>
      </c>
      <c r="H796" s="8">
        <v>1.91</v>
      </c>
      <c r="I796" s="4">
        <v>0</v>
      </c>
    </row>
    <row r="797" spans="1:9" x14ac:dyDescent="0.2">
      <c r="A797" s="2">
        <v>11</v>
      </c>
      <c r="B797" s="1" t="s">
        <v>302</v>
      </c>
      <c r="C797" s="4">
        <v>25</v>
      </c>
      <c r="D797" s="8">
        <v>1.64</v>
      </c>
      <c r="E797" s="4">
        <v>20</v>
      </c>
      <c r="F797" s="8">
        <v>3.21</v>
      </c>
      <c r="G797" s="4">
        <v>5</v>
      </c>
      <c r="H797" s="8">
        <v>0.56000000000000005</v>
      </c>
      <c r="I797" s="4">
        <v>0</v>
      </c>
    </row>
    <row r="798" spans="1:9" x14ac:dyDescent="0.2">
      <c r="A798" s="2">
        <v>13</v>
      </c>
      <c r="B798" s="1" t="s">
        <v>329</v>
      </c>
      <c r="C798" s="4">
        <v>24</v>
      </c>
      <c r="D798" s="8">
        <v>1.57</v>
      </c>
      <c r="E798" s="4">
        <v>13</v>
      </c>
      <c r="F798" s="8">
        <v>2.08</v>
      </c>
      <c r="G798" s="4">
        <v>11</v>
      </c>
      <c r="H798" s="8">
        <v>1.24</v>
      </c>
      <c r="I798" s="4">
        <v>0</v>
      </c>
    </row>
    <row r="799" spans="1:9" x14ac:dyDescent="0.2">
      <c r="A799" s="2">
        <v>14</v>
      </c>
      <c r="B799" s="1" t="s">
        <v>327</v>
      </c>
      <c r="C799" s="4">
        <v>23</v>
      </c>
      <c r="D799" s="8">
        <v>1.51</v>
      </c>
      <c r="E799" s="4">
        <v>16</v>
      </c>
      <c r="F799" s="8">
        <v>2.56</v>
      </c>
      <c r="G799" s="4">
        <v>7</v>
      </c>
      <c r="H799" s="8">
        <v>0.79</v>
      </c>
      <c r="I799" s="4">
        <v>0</v>
      </c>
    </row>
    <row r="800" spans="1:9" x14ac:dyDescent="0.2">
      <c r="A800" s="2">
        <v>15</v>
      </c>
      <c r="B800" s="1" t="s">
        <v>293</v>
      </c>
      <c r="C800" s="4">
        <v>22</v>
      </c>
      <c r="D800" s="8">
        <v>1.44</v>
      </c>
      <c r="E800" s="4">
        <v>6</v>
      </c>
      <c r="F800" s="8">
        <v>0.96</v>
      </c>
      <c r="G800" s="4">
        <v>16</v>
      </c>
      <c r="H800" s="8">
        <v>1.8</v>
      </c>
      <c r="I800" s="4">
        <v>0</v>
      </c>
    </row>
    <row r="801" spans="1:9" x14ac:dyDescent="0.2">
      <c r="A801" s="2">
        <v>16</v>
      </c>
      <c r="B801" s="1" t="s">
        <v>288</v>
      </c>
      <c r="C801" s="4">
        <v>21</v>
      </c>
      <c r="D801" s="8">
        <v>1.38</v>
      </c>
      <c r="E801" s="4">
        <v>3</v>
      </c>
      <c r="F801" s="8">
        <v>0.48</v>
      </c>
      <c r="G801" s="4">
        <v>18</v>
      </c>
      <c r="H801" s="8">
        <v>2.02</v>
      </c>
      <c r="I801" s="4">
        <v>0</v>
      </c>
    </row>
    <row r="802" spans="1:9" x14ac:dyDescent="0.2">
      <c r="A802" s="2">
        <v>16</v>
      </c>
      <c r="B802" s="1" t="s">
        <v>289</v>
      </c>
      <c r="C802" s="4">
        <v>21</v>
      </c>
      <c r="D802" s="8">
        <v>1.38</v>
      </c>
      <c r="E802" s="4">
        <v>0</v>
      </c>
      <c r="F802" s="8">
        <v>0</v>
      </c>
      <c r="G802" s="4">
        <v>21</v>
      </c>
      <c r="H802" s="8">
        <v>2.36</v>
      </c>
      <c r="I802" s="4">
        <v>0</v>
      </c>
    </row>
    <row r="803" spans="1:9" x14ac:dyDescent="0.2">
      <c r="A803" s="2">
        <v>18</v>
      </c>
      <c r="B803" s="1" t="s">
        <v>333</v>
      </c>
      <c r="C803" s="4">
        <v>20</v>
      </c>
      <c r="D803" s="8">
        <v>1.31</v>
      </c>
      <c r="E803" s="4">
        <v>6</v>
      </c>
      <c r="F803" s="8">
        <v>0.96</v>
      </c>
      <c r="G803" s="4">
        <v>14</v>
      </c>
      <c r="H803" s="8">
        <v>1.57</v>
      </c>
      <c r="I803" s="4">
        <v>0</v>
      </c>
    </row>
    <row r="804" spans="1:9" x14ac:dyDescent="0.2">
      <c r="A804" s="2">
        <v>18</v>
      </c>
      <c r="B804" s="1" t="s">
        <v>312</v>
      </c>
      <c r="C804" s="4">
        <v>20</v>
      </c>
      <c r="D804" s="8">
        <v>1.31</v>
      </c>
      <c r="E804" s="4">
        <v>16</v>
      </c>
      <c r="F804" s="8">
        <v>2.56</v>
      </c>
      <c r="G804" s="4">
        <v>4</v>
      </c>
      <c r="H804" s="8">
        <v>0.45</v>
      </c>
      <c r="I804" s="4">
        <v>0</v>
      </c>
    </row>
    <row r="805" spans="1:9" x14ac:dyDescent="0.2">
      <c r="A805" s="2">
        <v>20</v>
      </c>
      <c r="B805" s="1" t="s">
        <v>314</v>
      </c>
      <c r="C805" s="4">
        <v>19</v>
      </c>
      <c r="D805" s="8">
        <v>1.25</v>
      </c>
      <c r="E805" s="4">
        <v>4</v>
      </c>
      <c r="F805" s="8">
        <v>0.64</v>
      </c>
      <c r="G805" s="4">
        <v>15</v>
      </c>
      <c r="H805" s="8">
        <v>1.69</v>
      </c>
      <c r="I805" s="4">
        <v>0</v>
      </c>
    </row>
    <row r="806" spans="1:9" x14ac:dyDescent="0.2">
      <c r="A806" s="1"/>
      <c r="C806" s="4"/>
      <c r="D806" s="8"/>
      <c r="E806" s="4"/>
      <c r="F806" s="8"/>
      <c r="G806" s="4"/>
      <c r="H806" s="8"/>
      <c r="I806" s="4"/>
    </row>
    <row r="807" spans="1:9" x14ac:dyDescent="0.2">
      <c r="A807" s="1" t="s">
        <v>35</v>
      </c>
      <c r="C807" s="4"/>
      <c r="D807" s="8"/>
      <c r="E807" s="4"/>
      <c r="F807" s="8"/>
      <c r="G807" s="4"/>
      <c r="H807" s="8"/>
      <c r="I807" s="4"/>
    </row>
    <row r="808" spans="1:9" x14ac:dyDescent="0.2">
      <c r="A808" s="2">
        <v>1</v>
      </c>
      <c r="B808" s="1" t="s">
        <v>304</v>
      </c>
      <c r="C808" s="4">
        <v>65</v>
      </c>
      <c r="D808" s="8">
        <v>6.42</v>
      </c>
      <c r="E808" s="4">
        <v>63</v>
      </c>
      <c r="F808" s="8">
        <v>12.07</v>
      </c>
      <c r="G808" s="4">
        <v>2</v>
      </c>
      <c r="H808" s="8">
        <v>0.43</v>
      </c>
      <c r="I808" s="4">
        <v>0</v>
      </c>
    </row>
    <row r="809" spans="1:9" x14ac:dyDescent="0.2">
      <c r="A809" s="2">
        <v>2</v>
      </c>
      <c r="B809" s="1" t="s">
        <v>301</v>
      </c>
      <c r="C809" s="4">
        <v>62</v>
      </c>
      <c r="D809" s="8">
        <v>6.13</v>
      </c>
      <c r="E809" s="4">
        <v>54</v>
      </c>
      <c r="F809" s="8">
        <v>10.34</v>
      </c>
      <c r="G809" s="4">
        <v>8</v>
      </c>
      <c r="H809" s="8">
        <v>1.74</v>
      </c>
      <c r="I809" s="4">
        <v>0</v>
      </c>
    </row>
    <row r="810" spans="1:9" x14ac:dyDescent="0.2">
      <c r="A810" s="2">
        <v>3</v>
      </c>
      <c r="B810" s="1" t="s">
        <v>297</v>
      </c>
      <c r="C810" s="4">
        <v>52</v>
      </c>
      <c r="D810" s="8">
        <v>5.14</v>
      </c>
      <c r="E810" s="4">
        <v>40</v>
      </c>
      <c r="F810" s="8">
        <v>7.66</v>
      </c>
      <c r="G810" s="4">
        <v>12</v>
      </c>
      <c r="H810" s="8">
        <v>2.6</v>
      </c>
      <c r="I810" s="4">
        <v>0</v>
      </c>
    </row>
    <row r="811" spans="1:9" x14ac:dyDescent="0.2">
      <c r="A811" s="2">
        <v>4</v>
      </c>
      <c r="B811" s="1" t="s">
        <v>303</v>
      </c>
      <c r="C811" s="4">
        <v>51</v>
      </c>
      <c r="D811" s="8">
        <v>5.04</v>
      </c>
      <c r="E811" s="4">
        <v>46</v>
      </c>
      <c r="F811" s="8">
        <v>8.81</v>
      </c>
      <c r="G811" s="4">
        <v>5</v>
      </c>
      <c r="H811" s="8">
        <v>1.08</v>
      </c>
      <c r="I811" s="4">
        <v>0</v>
      </c>
    </row>
    <row r="812" spans="1:9" x14ac:dyDescent="0.2">
      <c r="A812" s="2">
        <v>5</v>
      </c>
      <c r="B812" s="1" t="s">
        <v>300</v>
      </c>
      <c r="C812" s="4">
        <v>34</v>
      </c>
      <c r="D812" s="8">
        <v>3.36</v>
      </c>
      <c r="E812" s="4">
        <v>29</v>
      </c>
      <c r="F812" s="8">
        <v>5.56</v>
      </c>
      <c r="G812" s="4">
        <v>5</v>
      </c>
      <c r="H812" s="8">
        <v>1.08</v>
      </c>
      <c r="I812" s="4">
        <v>0</v>
      </c>
    </row>
    <row r="813" spans="1:9" x14ac:dyDescent="0.2">
      <c r="A813" s="2">
        <v>6</v>
      </c>
      <c r="B813" s="1" t="s">
        <v>299</v>
      </c>
      <c r="C813" s="4">
        <v>31</v>
      </c>
      <c r="D813" s="8">
        <v>3.06</v>
      </c>
      <c r="E813" s="4">
        <v>22</v>
      </c>
      <c r="F813" s="8">
        <v>4.21</v>
      </c>
      <c r="G813" s="4">
        <v>9</v>
      </c>
      <c r="H813" s="8">
        <v>1.95</v>
      </c>
      <c r="I813" s="4">
        <v>0</v>
      </c>
    </row>
    <row r="814" spans="1:9" x14ac:dyDescent="0.2">
      <c r="A814" s="2">
        <v>7</v>
      </c>
      <c r="B814" s="1" t="s">
        <v>306</v>
      </c>
      <c r="C814" s="4">
        <v>28</v>
      </c>
      <c r="D814" s="8">
        <v>2.77</v>
      </c>
      <c r="E814" s="4">
        <v>22</v>
      </c>
      <c r="F814" s="8">
        <v>4.21</v>
      </c>
      <c r="G814" s="4">
        <v>6</v>
      </c>
      <c r="H814" s="8">
        <v>1.3</v>
      </c>
      <c r="I814" s="4">
        <v>0</v>
      </c>
    </row>
    <row r="815" spans="1:9" x14ac:dyDescent="0.2">
      <c r="A815" s="2">
        <v>8</v>
      </c>
      <c r="B815" s="1" t="s">
        <v>295</v>
      </c>
      <c r="C815" s="4">
        <v>24</v>
      </c>
      <c r="D815" s="8">
        <v>2.37</v>
      </c>
      <c r="E815" s="4">
        <v>7</v>
      </c>
      <c r="F815" s="8">
        <v>1.34</v>
      </c>
      <c r="G815" s="4">
        <v>17</v>
      </c>
      <c r="H815" s="8">
        <v>3.69</v>
      </c>
      <c r="I815" s="4">
        <v>0</v>
      </c>
    </row>
    <row r="816" spans="1:9" x14ac:dyDescent="0.2">
      <c r="A816" s="2">
        <v>9</v>
      </c>
      <c r="B816" s="1" t="s">
        <v>314</v>
      </c>
      <c r="C816" s="4">
        <v>23</v>
      </c>
      <c r="D816" s="8">
        <v>2.27</v>
      </c>
      <c r="E816" s="4">
        <v>6</v>
      </c>
      <c r="F816" s="8">
        <v>1.1499999999999999</v>
      </c>
      <c r="G816" s="4">
        <v>17</v>
      </c>
      <c r="H816" s="8">
        <v>3.69</v>
      </c>
      <c r="I816" s="4">
        <v>0</v>
      </c>
    </row>
    <row r="817" spans="1:9" x14ac:dyDescent="0.2">
      <c r="A817" s="2">
        <v>10</v>
      </c>
      <c r="B817" s="1" t="s">
        <v>305</v>
      </c>
      <c r="C817" s="4">
        <v>21</v>
      </c>
      <c r="D817" s="8">
        <v>2.08</v>
      </c>
      <c r="E817" s="4">
        <v>18</v>
      </c>
      <c r="F817" s="8">
        <v>3.45</v>
      </c>
      <c r="G817" s="4">
        <v>2</v>
      </c>
      <c r="H817" s="8">
        <v>0.43</v>
      </c>
      <c r="I817" s="4">
        <v>0</v>
      </c>
    </row>
    <row r="818" spans="1:9" x14ac:dyDescent="0.2">
      <c r="A818" s="2">
        <v>11</v>
      </c>
      <c r="B818" s="1" t="s">
        <v>335</v>
      </c>
      <c r="C818" s="4">
        <v>18</v>
      </c>
      <c r="D818" s="8">
        <v>1.78</v>
      </c>
      <c r="E818" s="4">
        <v>10</v>
      </c>
      <c r="F818" s="8">
        <v>1.92</v>
      </c>
      <c r="G818" s="4">
        <v>8</v>
      </c>
      <c r="H818" s="8">
        <v>1.74</v>
      </c>
      <c r="I818" s="4">
        <v>0</v>
      </c>
    </row>
    <row r="819" spans="1:9" x14ac:dyDescent="0.2">
      <c r="A819" s="2">
        <v>12</v>
      </c>
      <c r="B819" s="1" t="s">
        <v>291</v>
      </c>
      <c r="C819" s="4">
        <v>16</v>
      </c>
      <c r="D819" s="8">
        <v>1.58</v>
      </c>
      <c r="E819" s="4">
        <v>2</v>
      </c>
      <c r="F819" s="8">
        <v>0.38</v>
      </c>
      <c r="G819" s="4">
        <v>14</v>
      </c>
      <c r="H819" s="8">
        <v>3.04</v>
      </c>
      <c r="I819" s="4">
        <v>0</v>
      </c>
    </row>
    <row r="820" spans="1:9" x14ac:dyDescent="0.2">
      <c r="A820" s="2">
        <v>12</v>
      </c>
      <c r="B820" s="1" t="s">
        <v>294</v>
      </c>
      <c r="C820" s="4">
        <v>16</v>
      </c>
      <c r="D820" s="8">
        <v>1.58</v>
      </c>
      <c r="E820" s="4">
        <v>5</v>
      </c>
      <c r="F820" s="8">
        <v>0.96</v>
      </c>
      <c r="G820" s="4">
        <v>11</v>
      </c>
      <c r="H820" s="8">
        <v>2.39</v>
      </c>
      <c r="I820" s="4">
        <v>0</v>
      </c>
    </row>
    <row r="821" spans="1:9" x14ac:dyDescent="0.2">
      <c r="A821" s="2">
        <v>12</v>
      </c>
      <c r="B821" s="1" t="s">
        <v>302</v>
      </c>
      <c r="C821" s="4">
        <v>16</v>
      </c>
      <c r="D821" s="8">
        <v>1.58</v>
      </c>
      <c r="E821" s="4">
        <v>14</v>
      </c>
      <c r="F821" s="8">
        <v>2.68</v>
      </c>
      <c r="G821" s="4">
        <v>2</v>
      </c>
      <c r="H821" s="8">
        <v>0.43</v>
      </c>
      <c r="I821" s="4">
        <v>0</v>
      </c>
    </row>
    <row r="822" spans="1:9" x14ac:dyDescent="0.2">
      <c r="A822" s="2">
        <v>12</v>
      </c>
      <c r="B822" s="1" t="s">
        <v>345</v>
      </c>
      <c r="C822" s="4">
        <v>16</v>
      </c>
      <c r="D822" s="8">
        <v>1.58</v>
      </c>
      <c r="E822" s="4">
        <v>0</v>
      </c>
      <c r="F822" s="8">
        <v>0</v>
      </c>
      <c r="G822" s="4">
        <v>5</v>
      </c>
      <c r="H822" s="8">
        <v>1.08</v>
      </c>
      <c r="I822" s="4">
        <v>11</v>
      </c>
    </row>
    <row r="823" spans="1:9" x14ac:dyDescent="0.2">
      <c r="A823" s="2">
        <v>16</v>
      </c>
      <c r="B823" s="1" t="s">
        <v>293</v>
      </c>
      <c r="C823" s="4">
        <v>15</v>
      </c>
      <c r="D823" s="8">
        <v>1.48</v>
      </c>
      <c r="E823" s="4">
        <v>6</v>
      </c>
      <c r="F823" s="8">
        <v>1.1499999999999999</v>
      </c>
      <c r="G823" s="4">
        <v>9</v>
      </c>
      <c r="H823" s="8">
        <v>1.95</v>
      </c>
      <c r="I823" s="4">
        <v>0</v>
      </c>
    </row>
    <row r="824" spans="1:9" x14ac:dyDescent="0.2">
      <c r="A824" s="2">
        <v>17</v>
      </c>
      <c r="B824" s="1" t="s">
        <v>289</v>
      </c>
      <c r="C824" s="4">
        <v>13</v>
      </c>
      <c r="D824" s="8">
        <v>1.28</v>
      </c>
      <c r="E824" s="4">
        <v>1</v>
      </c>
      <c r="F824" s="8">
        <v>0.19</v>
      </c>
      <c r="G824" s="4">
        <v>12</v>
      </c>
      <c r="H824" s="8">
        <v>2.6</v>
      </c>
      <c r="I824" s="4">
        <v>0</v>
      </c>
    </row>
    <row r="825" spans="1:9" x14ac:dyDescent="0.2">
      <c r="A825" s="2">
        <v>17</v>
      </c>
      <c r="B825" s="1" t="s">
        <v>333</v>
      </c>
      <c r="C825" s="4">
        <v>13</v>
      </c>
      <c r="D825" s="8">
        <v>1.28</v>
      </c>
      <c r="E825" s="4">
        <v>6</v>
      </c>
      <c r="F825" s="8">
        <v>1.1499999999999999</v>
      </c>
      <c r="G825" s="4">
        <v>7</v>
      </c>
      <c r="H825" s="8">
        <v>1.52</v>
      </c>
      <c r="I825" s="4">
        <v>0</v>
      </c>
    </row>
    <row r="826" spans="1:9" x14ac:dyDescent="0.2">
      <c r="A826" s="2">
        <v>17</v>
      </c>
      <c r="B826" s="1" t="s">
        <v>290</v>
      </c>
      <c r="C826" s="4">
        <v>13</v>
      </c>
      <c r="D826" s="8">
        <v>1.28</v>
      </c>
      <c r="E826" s="4">
        <v>3</v>
      </c>
      <c r="F826" s="8">
        <v>0.56999999999999995</v>
      </c>
      <c r="G826" s="4">
        <v>10</v>
      </c>
      <c r="H826" s="8">
        <v>2.17</v>
      </c>
      <c r="I826" s="4">
        <v>0</v>
      </c>
    </row>
    <row r="827" spans="1:9" x14ac:dyDescent="0.2">
      <c r="A827" s="2">
        <v>17</v>
      </c>
      <c r="B827" s="1" t="s">
        <v>334</v>
      </c>
      <c r="C827" s="4">
        <v>13</v>
      </c>
      <c r="D827" s="8">
        <v>1.28</v>
      </c>
      <c r="E827" s="4">
        <v>10</v>
      </c>
      <c r="F827" s="8">
        <v>1.92</v>
      </c>
      <c r="G827" s="4">
        <v>3</v>
      </c>
      <c r="H827" s="8">
        <v>0.65</v>
      </c>
      <c r="I827" s="4">
        <v>0</v>
      </c>
    </row>
    <row r="828" spans="1:9" x14ac:dyDescent="0.2">
      <c r="A828" s="2">
        <v>17</v>
      </c>
      <c r="B828" s="1" t="s">
        <v>307</v>
      </c>
      <c r="C828" s="4">
        <v>13</v>
      </c>
      <c r="D828" s="8">
        <v>1.28</v>
      </c>
      <c r="E828" s="4">
        <v>8</v>
      </c>
      <c r="F828" s="8">
        <v>1.53</v>
      </c>
      <c r="G828" s="4">
        <v>5</v>
      </c>
      <c r="H828" s="8">
        <v>1.08</v>
      </c>
      <c r="I828" s="4">
        <v>0</v>
      </c>
    </row>
    <row r="829" spans="1:9" x14ac:dyDescent="0.2">
      <c r="A829" s="1"/>
      <c r="C829" s="4"/>
      <c r="D829" s="8"/>
      <c r="E829" s="4"/>
      <c r="F829" s="8"/>
      <c r="G829" s="4"/>
      <c r="H829" s="8"/>
      <c r="I829" s="4"/>
    </row>
    <row r="830" spans="1:9" x14ac:dyDescent="0.2">
      <c r="A830" s="1" t="s">
        <v>36</v>
      </c>
      <c r="C830" s="4"/>
      <c r="D830" s="8"/>
      <c r="E830" s="4"/>
      <c r="F830" s="8"/>
      <c r="G830" s="4"/>
      <c r="H830" s="8"/>
      <c r="I830" s="4"/>
    </row>
    <row r="831" spans="1:9" x14ac:dyDescent="0.2">
      <c r="A831" s="2">
        <v>1</v>
      </c>
      <c r="B831" s="1" t="s">
        <v>301</v>
      </c>
      <c r="C831" s="4">
        <v>28</v>
      </c>
      <c r="D831" s="8">
        <v>6.73</v>
      </c>
      <c r="E831" s="4">
        <v>28</v>
      </c>
      <c r="F831" s="8">
        <v>12.39</v>
      </c>
      <c r="G831" s="4">
        <v>0</v>
      </c>
      <c r="H831" s="8">
        <v>0</v>
      </c>
      <c r="I831" s="4">
        <v>0</v>
      </c>
    </row>
    <row r="832" spans="1:9" x14ac:dyDescent="0.2">
      <c r="A832" s="2">
        <v>2</v>
      </c>
      <c r="B832" s="1" t="s">
        <v>304</v>
      </c>
      <c r="C832" s="4">
        <v>22</v>
      </c>
      <c r="D832" s="8">
        <v>5.29</v>
      </c>
      <c r="E832" s="4">
        <v>19</v>
      </c>
      <c r="F832" s="8">
        <v>8.41</v>
      </c>
      <c r="G832" s="4">
        <v>3</v>
      </c>
      <c r="H832" s="8">
        <v>1.69</v>
      </c>
      <c r="I832" s="4">
        <v>0</v>
      </c>
    </row>
    <row r="833" spans="1:9" x14ac:dyDescent="0.2">
      <c r="A833" s="2">
        <v>3</v>
      </c>
      <c r="B833" s="1" t="s">
        <v>297</v>
      </c>
      <c r="C833" s="4">
        <v>20</v>
      </c>
      <c r="D833" s="8">
        <v>4.8099999999999996</v>
      </c>
      <c r="E833" s="4">
        <v>13</v>
      </c>
      <c r="F833" s="8">
        <v>5.75</v>
      </c>
      <c r="G833" s="4">
        <v>6</v>
      </c>
      <c r="H833" s="8">
        <v>3.37</v>
      </c>
      <c r="I833" s="4">
        <v>0</v>
      </c>
    </row>
    <row r="834" spans="1:9" x14ac:dyDescent="0.2">
      <c r="A834" s="2">
        <v>4</v>
      </c>
      <c r="B834" s="1" t="s">
        <v>303</v>
      </c>
      <c r="C834" s="4">
        <v>17</v>
      </c>
      <c r="D834" s="8">
        <v>4.09</v>
      </c>
      <c r="E834" s="4">
        <v>16</v>
      </c>
      <c r="F834" s="8">
        <v>7.08</v>
      </c>
      <c r="G834" s="4">
        <v>1</v>
      </c>
      <c r="H834" s="8">
        <v>0.56000000000000005</v>
      </c>
      <c r="I834" s="4">
        <v>0</v>
      </c>
    </row>
    <row r="835" spans="1:9" x14ac:dyDescent="0.2">
      <c r="A835" s="2">
        <v>5</v>
      </c>
      <c r="B835" s="1" t="s">
        <v>299</v>
      </c>
      <c r="C835" s="4">
        <v>16</v>
      </c>
      <c r="D835" s="8">
        <v>3.85</v>
      </c>
      <c r="E835" s="4">
        <v>13</v>
      </c>
      <c r="F835" s="8">
        <v>5.75</v>
      </c>
      <c r="G835" s="4">
        <v>3</v>
      </c>
      <c r="H835" s="8">
        <v>1.69</v>
      </c>
      <c r="I835" s="4">
        <v>0</v>
      </c>
    </row>
    <row r="836" spans="1:9" x14ac:dyDescent="0.2">
      <c r="A836" s="2">
        <v>6</v>
      </c>
      <c r="B836" s="1" t="s">
        <v>302</v>
      </c>
      <c r="C836" s="4">
        <v>11</v>
      </c>
      <c r="D836" s="8">
        <v>2.64</v>
      </c>
      <c r="E836" s="4">
        <v>10</v>
      </c>
      <c r="F836" s="8">
        <v>4.42</v>
      </c>
      <c r="G836" s="4">
        <v>1</v>
      </c>
      <c r="H836" s="8">
        <v>0.56000000000000005</v>
      </c>
      <c r="I836" s="4">
        <v>0</v>
      </c>
    </row>
    <row r="837" spans="1:9" x14ac:dyDescent="0.2">
      <c r="A837" s="2">
        <v>7</v>
      </c>
      <c r="B837" s="1" t="s">
        <v>319</v>
      </c>
      <c r="C837" s="4">
        <v>8</v>
      </c>
      <c r="D837" s="8">
        <v>1.92</v>
      </c>
      <c r="E837" s="4">
        <v>3</v>
      </c>
      <c r="F837" s="8">
        <v>1.33</v>
      </c>
      <c r="G837" s="4">
        <v>5</v>
      </c>
      <c r="H837" s="8">
        <v>2.81</v>
      </c>
      <c r="I837" s="4">
        <v>0</v>
      </c>
    </row>
    <row r="838" spans="1:9" x14ac:dyDescent="0.2">
      <c r="A838" s="2">
        <v>7</v>
      </c>
      <c r="B838" s="1" t="s">
        <v>333</v>
      </c>
      <c r="C838" s="4">
        <v>8</v>
      </c>
      <c r="D838" s="8">
        <v>1.92</v>
      </c>
      <c r="E838" s="4">
        <v>2</v>
      </c>
      <c r="F838" s="8">
        <v>0.88</v>
      </c>
      <c r="G838" s="4">
        <v>6</v>
      </c>
      <c r="H838" s="8">
        <v>3.37</v>
      </c>
      <c r="I838" s="4">
        <v>0</v>
      </c>
    </row>
    <row r="839" spans="1:9" x14ac:dyDescent="0.2">
      <c r="A839" s="2">
        <v>7</v>
      </c>
      <c r="B839" s="1" t="s">
        <v>295</v>
      </c>
      <c r="C839" s="4">
        <v>8</v>
      </c>
      <c r="D839" s="8">
        <v>1.92</v>
      </c>
      <c r="E839" s="4">
        <v>5</v>
      </c>
      <c r="F839" s="8">
        <v>2.21</v>
      </c>
      <c r="G839" s="4">
        <v>3</v>
      </c>
      <c r="H839" s="8">
        <v>1.69</v>
      </c>
      <c r="I839" s="4">
        <v>0</v>
      </c>
    </row>
    <row r="840" spans="1:9" x14ac:dyDescent="0.2">
      <c r="A840" s="2">
        <v>7</v>
      </c>
      <c r="B840" s="1" t="s">
        <v>300</v>
      </c>
      <c r="C840" s="4">
        <v>8</v>
      </c>
      <c r="D840" s="8">
        <v>1.92</v>
      </c>
      <c r="E840" s="4">
        <v>7</v>
      </c>
      <c r="F840" s="8">
        <v>3.1</v>
      </c>
      <c r="G840" s="4">
        <v>1</v>
      </c>
      <c r="H840" s="8">
        <v>0.56000000000000005</v>
      </c>
      <c r="I840" s="4">
        <v>0</v>
      </c>
    </row>
    <row r="841" spans="1:9" x14ac:dyDescent="0.2">
      <c r="A841" s="2">
        <v>7</v>
      </c>
      <c r="B841" s="1" t="s">
        <v>306</v>
      </c>
      <c r="C841" s="4">
        <v>8</v>
      </c>
      <c r="D841" s="8">
        <v>1.92</v>
      </c>
      <c r="E841" s="4">
        <v>7</v>
      </c>
      <c r="F841" s="8">
        <v>3.1</v>
      </c>
      <c r="G841" s="4">
        <v>1</v>
      </c>
      <c r="H841" s="8">
        <v>0.56000000000000005</v>
      </c>
      <c r="I841" s="4">
        <v>0</v>
      </c>
    </row>
    <row r="842" spans="1:9" x14ac:dyDescent="0.2">
      <c r="A842" s="2">
        <v>12</v>
      </c>
      <c r="B842" s="1" t="s">
        <v>290</v>
      </c>
      <c r="C842" s="4">
        <v>7</v>
      </c>
      <c r="D842" s="8">
        <v>1.68</v>
      </c>
      <c r="E842" s="4">
        <v>2</v>
      </c>
      <c r="F842" s="8">
        <v>0.88</v>
      </c>
      <c r="G842" s="4">
        <v>5</v>
      </c>
      <c r="H842" s="8">
        <v>2.81</v>
      </c>
      <c r="I842" s="4">
        <v>0</v>
      </c>
    </row>
    <row r="843" spans="1:9" x14ac:dyDescent="0.2">
      <c r="A843" s="2">
        <v>12</v>
      </c>
      <c r="B843" s="1" t="s">
        <v>293</v>
      </c>
      <c r="C843" s="4">
        <v>7</v>
      </c>
      <c r="D843" s="8">
        <v>1.68</v>
      </c>
      <c r="E843" s="4">
        <v>3</v>
      </c>
      <c r="F843" s="8">
        <v>1.33</v>
      </c>
      <c r="G843" s="4">
        <v>4</v>
      </c>
      <c r="H843" s="8">
        <v>2.25</v>
      </c>
      <c r="I843" s="4">
        <v>0</v>
      </c>
    </row>
    <row r="844" spans="1:9" x14ac:dyDescent="0.2">
      <c r="A844" s="2">
        <v>12</v>
      </c>
      <c r="B844" s="1" t="s">
        <v>339</v>
      </c>
      <c r="C844" s="4">
        <v>7</v>
      </c>
      <c r="D844" s="8">
        <v>1.68</v>
      </c>
      <c r="E844" s="4">
        <v>5</v>
      </c>
      <c r="F844" s="8">
        <v>2.21</v>
      </c>
      <c r="G844" s="4">
        <v>2</v>
      </c>
      <c r="H844" s="8">
        <v>1.1200000000000001</v>
      </c>
      <c r="I844" s="4">
        <v>0</v>
      </c>
    </row>
    <row r="845" spans="1:9" x14ac:dyDescent="0.2">
      <c r="A845" s="2">
        <v>12</v>
      </c>
      <c r="B845" s="1" t="s">
        <v>334</v>
      </c>
      <c r="C845" s="4">
        <v>7</v>
      </c>
      <c r="D845" s="8">
        <v>1.68</v>
      </c>
      <c r="E845" s="4">
        <v>3</v>
      </c>
      <c r="F845" s="8">
        <v>1.33</v>
      </c>
      <c r="G845" s="4">
        <v>4</v>
      </c>
      <c r="H845" s="8">
        <v>2.25</v>
      </c>
      <c r="I845" s="4">
        <v>0</v>
      </c>
    </row>
    <row r="846" spans="1:9" x14ac:dyDescent="0.2">
      <c r="A846" s="2">
        <v>12</v>
      </c>
      <c r="B846" s="1" t="s">
        <v>307</v>
      </c>
      <c r="C846" s="4">
        <v>7</v>
      </c>
      <c r="D846" s="8">
        <v>1.68</v>
      </c>
      <c r="E846" s="4">
        <v>3</v>
      </c>
      <c r="F846" s="8">
        <v>1.33</v>
      </c>
      <c r="G846" s="4">
        <v>4</v>
      </c>
      <c r="H846" s="8">
        <v>2.25</v>
      </c>
      <c r="I846" s="4">
        <v>0</v>
      </c>
    </row>
    <row r="847" spans="1:9" x14ac:dyDescent="0.2">
      <c r="A847" s="2">
        <v>17</v>
      </c>
      <c r="B847" s="1" t="s">
        <v>288</v>
      </c>
      <c r="C847" s="4">
        <v>6</v>
      </c>
      <c r="D847" s="8">
        <v>1.44</v>
      </c>
      <c r="E847" s="4">
        <v>1</v>
      </c>
      <c r="F847" s="8">
        <v>0.44</v>
      </c>
      <c r="G847" s="4">
        <v>5</v>
      </c>
      <c r="H847" s="8">
        <v>2.81</v>
      </c>
      <c r="I847" s="4">
        <v>0</v>
      </c>
    </row>
    <row r="848" spans="1:9" x14ac:dyDescent="0.2">
      <c r="A848" s="2">
        <v>17</v>
      </c>
      <c r="B848" s="1" t="s">
        <v>330</v>
      </c>
      <c r="C848" s="4">
        <v>6</v>
      </c>
      <c r="D848" s="8">
        <v>1.44</v>
      </c>
      <c r="E848" s="4">
        <v>1</v>
      </c>
      <c r="F848" s="8">
        <v>0.44</v>
      </c>
      <c r="G848" s="4">
        <v>5</v>
      </c>
      <c r="H848" s="8">
        <v>2.81</v>
      </c>
      <c r="I848" s="4">
        <v>0</v>
      </c>
    </row>
    <row r="849" spans="1:9" x14ac:dyDescent="0.2">
      <c r="A849" s="2">
        <v>17</v>
      </c>
      <c r="B849" s="1" t="s">
        <v>323</v>
      </c>
      <c r="C849" s="4">
        <v>6</v>
      </c>
      <c r="D849" s="8">
        <v>1.44</v>
      </c>
      <c r="E849" s="4">
        <v>3</v>
      </c>
      <c r="F849" s="8">
        <v>1.33</v>
      </c>
      <c r="G849" s="4">
        <v>3</v>
      </c>
      <c r="H849" s="8">
        <v>1.69</v>
      </c>
      <c r="I849" s="4">
        <v>0</v>
      </c>
    </row>
    <row r="850" spans="1:9" x14ac:dyDescent="0.2">
      <c r="A850" s="2">
        <v>17</v>
      </c>
      <c r="B850" s="1" t="s">
        <v>352</v>
      </c>
      <c r="C850" s="4">
        <v>6</v>
      </c>
      <c r="D850" s="8">
        <v>1.44</v>
      </c>
      <c r="E850" s="4">
        <v>5</v>
      </c>
      <c r="F850" s="8">
        <v>2.21</v>
      </c>
      <c r="G850" s="4">
        <v>1</v>
      </c>
      <c r="H850" s="8">
        <v>0.56000000000000005</v>
      </c>
      <c r="I850" s="4">
        <v>0</v>
      </c>
    </row>
    <row r="851" spans="1:9" x14ac:dyDescent="0.2">
      <c r="A851" s="2">
        <v>17</v>
      </c>
      <c r="B851" s="1" t="s">
        <v>327</v>
      </c>
      <c r="C851" s="4">
        <v>6</v>
      </c>
      <c r="D851" s="8">
        <v>1.44</v>
      </c>
      <c r="E851" s="4">
        <v>6</v>
      </c>
      <c r="F851" s="8">
        <v>2.65</v>
      </c>
      <c r="G851" s="4">
        <v>0</v>
      </c>
      <c r="H851" s="8">
        <v>0</v>
      </c>
      <c r="I851" s="4">
        <v>0</v>
      </c>
    </row>
    <row r="852" spans="1:9" x14ac:dyDescent="0.2">
      <c r="A852" s="2">
        <v>17</v>
      </c>
      <c r="B852" s="1" t="s">
        <v>341</v>
      </c>
      <c r="C852" s="4">
        <v>6</v>
      </c>
      <c r="D852" s="8">
        <v>1.44</v>
      </c>
      <c r="E852" s="4">
        <v>0</v>
      </c>
      <c r="F852" s="8">
        <v>0</v>
      </c>
      <c r="G852" s="4">
        <v>2</v>
      </c>
      <c r="H852" s="8">
        <v>1.1200000000000001</v>
      </c>
      <c r="I852" s="4">
        <v>0</v>
      </c>
    </row>
    <row r="853" spans="1:9" x14ac:dyDescent="0.2">
      <c r="A853" s="1"/>
      <c r="C853" s="4"/>
      <c r="D853" s="8"/>
      <c r="E853" s="4"/>
      <c r="F853" s="8"/>
      <c r="G853" s="4"/>
      <c r="H853" s="8"/>
      <c r="I853" s="4"/>
    </row>
    <row r="854" spans="1:9" x14ac:dyDescent="0.2">
      <c r="A854" s="1" t="s">
        <v>37</v>
      </c>
      <c r="C854" s="4"/>
      <c r="D854" s="8"/>
      <c r="E854" s="4"/>
      <c r="F854" s="8"/>
      <c r="G854" s="4"/>
      <c r="H854" s="8"/>
      <c r="I854" s="4"/>
    </row>
    <row r="855" spans="1:9" x14ac:dyDescent="0.2">
      <c r="A855" s="2">
        <v>1</v>
      </c>
      <c r="B855" s="1" t="s">
        <v>304</v>
      </c>
      <c r="C855" s="4">
        <v>5</v>
      </c>
      <c r="D855" s="8">
        <v>7.46</v>
      </c>
      <c r="E855" s="4">
        <v>5</v>
      </c>
      <c r="F855" s="8">
        <v>15.15</v>
      </c>
      <c r="G855" s="4">
        <v>0</v>
      </c>
      <c r="H855" s="8">
        <v>0</v>
      </c>
      <c r="I855" s="4">
        <v>0</v>
      </c>
    </row>
    <row r="856" spans="1:9" x14ac:dyDescent="0.2">
      <c r="A856" s="2">
        <v>2</v>
      </c>
      <c r="B856" s="1" t="s">
        <v>330</v>
      </c>
      <c r="C856" s="4">
        <v>3</v>
      </c>
      <c r="D856" s="8">
        <v>4.4800000000000004</v>
      </c>
      <c r="E856" s="4">
        <v>1</v>
      </c>
      <c r="F856" s="8">
        <v>3.03</v>
      </c>
      <c r="G856" s="4">
        <v>2</v>
      </c>
      <c r="H856" s="8">
        <v>8.33</v>
      </c>
      <c r="I856" s="4">
        <v>0</v>
      </c>
    </row>
    <row r="857" spans="1:9" x14ac:dyDescent="0.2">
      <c r="A857" s="2">
        <v>2</v>
      </c>
      <c r="B857" s="1" t="s">
        <v>295</v>
      </c>
      <c r="C857" s="4">
        <v>3</v>
      </c>
      <c r="D857" s="8">
        <v>4.4800000000000004</v>
      </c>
      <c r="E857" s="4">
        <v>3</v>
      </c>
      <c r="F857" s="8">
        <v>9.09</v>
      </c>
      <c r="G857" s="4">
        <v>0</v>
      </c>
      <c r="H857" s="8">
        <v>0</v>
      </c>
      <c r="I857" s="4">
        <v>0</v>
      </c>
    </row>
    <row r="858" spans="1:9" x14ac:dyDescent="0.2">
      <c r="A858" s="2">
        <v>4</v>
      </c>
      <c r="B858" s="1" t="s">
        <v>288</v>
      </c>
      <c r="C858" s="4">
        <v>2</v>
      </c>
      <c r="D858" s="8">
        <v>2.99</v>
      </c>
      <c r="E858" s="4">
        <v>0</v>
      </c>
      <c r="F858" s="8">
        <v>0</v>
      </c>
      <c r="G858" s="4">
        <v>2</v>
      </c>
      <c r="H858" s="8">
        <v>8.33</v>
      </c>
      <c r="I858" s="4">
        <v>0</v>
      </c>
    </row>
    <row r="859" spans="1:9" x14ac:dyDescent="0.2">
      <c r="A859" s="2">
        <v>4</v>
      </c>
      <c r="B859" s="1" t="s">
        <v>289</v>
      </c>
      <c r="C859" s="4">
        <v>2</v>
      </c>
      <c r="D859" s="8">
        <v>2.99</v>
      </c>
      <c r="E859" s="4">
        <v>0</v>
      </c>
      <c r="F859" s="8">
        <v>0</v>
      </c>
      <c r="G859" s="4">
        <v>2</v>
      </c>
      <c r="H859" s="8">
        <v>8.33</v>
      </c>
      <c r="I859" s="4">
        <v>0</v>
      </c>
    </row>
    <row r="860" spans="1:9" x14ac:dyDescent="0.2">
      <c r="A860" s="2">
        <v>4</v>
      </c>
      <c r="B860" s="1" t="s">
        <v>291</v>
      </c>
      <c r="C860" s="4">
        <v>2</v>
      </c>
      <c r="D860" s="8">
        <v>2.99</v>
      </c>
      <c r="E860" s="4">
        <v>1</v>
      </c>
      <c r="F860" s="8">
        <v>3.03</v>
      </c>
      <c r="G860" s="4">
        <v>1</v>
      </c>
      <c r="H860" s="8">
        <v>4.17</v>
      </c>
      <c r="I860" s="4">
        <v>0</v>
      </c>
    </row>
    <row r="861" spans="1:9" x14ac:dyDescent="0.2">
      <c r="A861" s="2">
        <v>4</v>
      </c>
      <c r="B861" s="1" t="s">
        <v>335</v>
      </c>
      <c r="C861" s="4">
        <v>2</v>
      </c>
      <c r="D861" s="8">
        <v>2.99</v>
      </c>
      <c r="E861" s="4">
        <v>2</v>
      </c>
      <c r="F861" s="8">
        <v>6.06</v>
      </c>
      <c r="G861" s="4">
        <v>0</v>
      </c>
      <c r="H861" s="8">
        <v>0</v>
      </c>
      <c r="I861" s="4">
        <v>0</v>
      </c>
    </row>
    <row r="862" spans="1:9" x14ac:dyDescent="0.2">
      <c r="A862" s="2">
        <v>4</v>
      </c>
      <c r="B862" s="1" t="s">
        <v>338</v>
      </c>
      <c r="C862" s="4">
        <v>2</v>
      </c>
      <c r="D862" s="8">
        <v>2.99</v>
      </c>
      <c r="E862" s="4">
        <v>2</v>
      </c>
      <c r="F862" s="8">
        <v>6.06</v>
      </c>
      <c r="G862" s="4">
        <v>0</v>
      </c>
      <c r="H862" s="8">
        <v>0</v>
      </c>
      <c r="I862" s="4">
        <v>0</v>
      </c>
    </row>
    <row r="863" spans="1:9" x14ac:dyDescent="0.2">
      <c r="A863" s="2">
        <v>4</v>
      </c>
      <c r="B863" s="1" t="s">
        <v>339</v>
      </c>
      <c r="C863" s="4">
        <v>2</v>
      </c>
      <c r="D863" s="8">
        <v>2.99</v>
      </c>
      <c r="E863" s="4">
        <v>1</v>
      </c>
      <c r="F863" s="8">
        <v>3.03</v>
      </c>
      <c r="G863" s="4">
        <v>1</v>
      </c>
      <c r="H863" s="8">
        <v>4.17</v>
      </c>
      <c r="I863" s="4">
        <v>0</v>
      </c>
    </row>
    <row r="864" spans="1:9" x14ac:dyDescent="0.2">
      <c r="A864" s="2">
        <v>4</v>
      </c>
      <c r="B864" s="1" t="s">
        <v>301</v>
      </c>
      <c r="C864" s="4">
        <v>2</v>
      </c>
      <c r="D864" s="8">
        <v>2.99</v>
      </c>
      <c r="E864" s="4">
        <v>2</v>
      </c>
      <c r="F864" s="8">
        <v>6.06</v>
      </c>
      <c r="G864" s="4">
        <v>0</v>
      </c>
      <c r="H864" s="8">
        <v>0</v>
      </c>
      <c r="I864" s="4">
        <v>0</v>
      </c>
    </row>
    <row r="865" spans="1:9" x14ac:dyDescent="0.2">
      <c r="A865" s="2">
        <v>4</v>
      </c>
      <c r="B865" s="1" t="s">
        <v>303</v>
      </c>
      <c r="C865" s="4">
        <v>2</v>
      </c>
      <c r="D865" s="8">
        <v>2.99</v>
      </c>
      <c r="E865" s="4">
        <v>2</v>
      </c>
      <c r="F865" s="8">
        <v>6.06</v>
      </c>
      <c r="G865" s="4">
        <v>0</v>
      </c>
      <c r="H865" s="8">
        <v>0</v>
      </c>
      <c r="I865" s="4">
        <v>0</v>
      </c>
    </row>
    <row r="866" spans="1:9" x14ac:dyDescent="0.2">
      <c r="A866" s="2">
        <v>4</v>
      </c>
      <c r="B866" s="1" t="s">
        <v>340</v>
      </c>
      <c r="C866" s="4">
        <v>2</v>
      </c>
      <c r="D866" s="8">
        <v>2.99</v>
      </c>
      <c r="E866" s="4">
        <v>0</v>
      </c>
      <c r="F866" s="8">
        <v>0</v>
      </c>
      <c r="G866" s="4">
        <v>0</v>
      </c>
      <c r="H866" s="8">
        <v>0</v>
      </c>
      <c r="I866" s="4">
        <v>0</v>
      </c>
    </row>
    <row r="867" spans="1:9" x14ac:dyDescent="0.2">
      <c r="A867" s="2">
        <v>4</v>
      </c>
      <c r="B867" s="1" t="s">
        <v>305</v>
      </c>
      <c r="C867" s="4">
        <v>2</v>
      </c>
      <c r="D867" s="8">
        <v>2.99</v>
      </c>
      <c r="E867" s="4">
        <v>2</v>
      </c>
      <c r="F867" s="8">
        <v>6.06</v>
      </c>
      <c r="G867" s="4">
        <v>0</v>
      </c>
      <c r="H867" s="8">
        <v>0</v>
      </c>
      <c r="I867" s="4">
        <v>0</v>
      </c>
    </row>
    <row r="868" spans="1:9" x14ac:dyDescent="0.2">
      <c r="A868" s="2">
        <v>4</v>
      </c>
      <c r="B868" s="1" t="s">
        <v>341</v>
      </c>
      <c r="C868" s="4">
        <v>2</v>
      </c>
      <c r="D868" s="8">
        <v>2.99</v>
      </c>
      <c r="E868" s="4">
        <v>0</v>
      </c>
      <c r="F868" s="8">
        <v>0</v>
      </c>
      <c r="G868" s="4">
        <v>0</v>
      </c>
      <c r="H868" s="8">
        <v>0</v>
      </c>
      <c r="I868" s="4">
        <v>0</v>
      </c>
    </row>
    <row r="869" spans="1:9" x14ac:dyDescent="0.2">
      <c r="A869" s="2">
        <v>4</v>
      </c>
      <c r="B869" s="1" t="s">
        <v>369</v>
      </c>
      <c r="C869" s="4">
        <v>2</v>
      </c>
      <c r="D869" s="8">
        <v>2.99</v>
      </c>
      <c r="E869" s="4">
        <v>0</v>
      </c>
      <c r="F869" s="8">
        <v>0</v>
      </c>
      <c r="G869" s="4">
        <v>2</v>
      </c>
      <c r="H869" s="8">
        <v>8.33</v>
      </c>
      <c r="I869" s="4">
        <v>0</v>
      </c>
    </row>
    <row r="870" spans="1:9" x14ac:dyDescent="0.2">
      <c r="A870" s="2">
        <v>4</v>
      </c>
      <c r="B870" s="1" t="s">
        <v>370</v>
      </c>
      <c r="C870" s="4">
        <v>2</v>
      </c>
      <c r="D870" s="8">
        <v>2.99</v>
      </c>
      <c r="E870" s="4">
        <v>0</v>
      </c>
      <c r="F870" s="8">
        <v>0</v>
      </c>
      <c r="G870" s="4">
        <v>1</v>
      </c>
      <c r="H870" s="8">
        <v>4.17</v>
      </c>
      <c r="I870" s="4">
        <v>0</v>
      </c>
    </row>
    <row r="871" spans="1:9" x14ac:dyDescent="0.2">
      <c r="A871" s="2">
        <v>17</v>
      </c>
      <c r="B871" s="1" t="s">
        <v>328</v>
      </c>
      <c r="C871" s="4">
        <v>1</v>
      </c>
      <c r="D871" s="8">
        <v>1.49</v>
      </c>
      <c r="E871" s="4">
        <v>0</v>
      </c>
      <c r="F871" s="8">
        <v>0</v>
      </c>
      <c r="G871" s="4">
        <v>1</v>
      </c>
      <c r="H871" s="8">
        <v>4.17</v>
      </c>
      <c r="I871" s="4">
        <v>0</v>
      </c>
    </row>
    <row r="872" spans="1:9" x14ac:dyDescent="0.2">
      <c r="A872" s="2">
        <v>17</v>
      </c>
      <c r="B872" s="1" t="s">
        <v>353</v>
      </c>
      <c r="C872" s="4">
        <v>1</v>
      </c>
      <c r="D872" s="8">
        <v>1.49</v>
      </c>
      <c r="E872" s="4">
        <v>1</v>
      </c>
      <c r="F872" s="8">
        <v>3.03</v>
      </c>
      <c r="G872" s="4">
        <v>0</v>
      </c>
      <c r="H872" s="8">
        <v>0</v>
      </c>
      <c r="I872" s="4">
        <v>0</v>
      </c>
    </row>
    <row r="873" spans="1:9" x14ac:dyDescent="0.2">
      <c r="A873" s="2">
        <v>17</v>
      </c>
      <c r="B873" s="1" t="s">
        <v>343</v>
      </c>
      <c r="C873" s="4">
        <v>1</v>
      </c>
      <c r="D873" s="8">
        <v>1.49</v>
      </c>
      <c r="E873" s="4">
        <v>1</v>
      </c>
      <c r="F873" s="8">
        <v>3.03</v>
      </c>
      <c r="G873" s="4">
        <v>0</v>
      </c>
      <c r="H873" s="8">
        <v>0</v>
      </c>
      <c r="I873" s="4">
        <v>0</v>
      </c>
    </row>
    <row r="874" spans="1:9" x14ac:dyDescent="0.2">
      <c r="A874" s="2">
        <v>17</v>
      </c>
      <c r="B874" s="1" t="s">
        <v>333</v>
      </c>
      <c r="C874" s="4">
        <v>1</v>
      </c>
      <c r="D874" s="8">
        <v>1.49</v>
      </c>
      <c r="E874" s="4">
        <v>0</v>
      </c>
      <c r="F874" s="8">
        <v>0</v>
      </c>
      <c r="G874" s="4">
        <v>1</v>
      </c>
      <c r="H874" s="8">
        <v>4.17</v>
      </c>
      <c r="I874" s="4">
        <v>0</v>
      </c>
    </row>
    <row r="875" spans="1:9" x14ac:dyDescent="0.2">
      <c r="A875" s="2">
        <v>17</v>
      </c>
      <c r="B875" s="1" t="s">
        <v>290</v>
      </c>
      <c r="C875" s="4">
        <v>1</v>
      </c>
      <c r="D875" s="8">
        <v>1.49</v>
      </c>
      <c r="E875" s="4">
        <v>0</v>
      </c>
      <c r="F875" s="8">
        <v>0</v>
      </c>
      <c r="G875" s="4">
        <v>1</v>
      </c>
      <c r="H875" s="8">
        <v>4.17</v>
      </c>
      <c r="I875" s="4">
        <v>0</v>
      </c>
    </row>
    <row r="876" spans="1:9" x14ac:dyDescent="0.2">
      <c r="A876" s="2">
        <v>17</v>
      </c>
      <c r="B876" s="1" t="s">
        <v>359</v>
      </c>
      <c r="C876" s="4">
        <v>1</v>
      </c>
      <c r="D876" s="8">
        <v>1.49</v>
      </c>
      <c r="E876" s="4">
        <v>1</v>
      </c>
      <c r="F876" s="8">
        <v>3.03</v>
      </c>
      <c r="G876" s="4">
        <v>0</v>
      </c>
      <c r="H876" s="8">
        <v>0</v>
      </c>
      <c r="I876" s="4">
        <v>0</v>
      </c>
    </row>
    <row r="877" spans="1:9" x14ac:dyDescent="0.2">
      <c r="A877" s="2">
        <v>17</v>
      </c>
      <c r="B877" s="1" t="s">
        <v>360</v>
      </c>
      <c r="C877" s="4">
        <v>1</v>
      </c>
      <c r="D877" s="8">
        <v>1.49</v>
      </c>
      <c r="E877" s="4">
        <v>0</v>
      </c>
      <c r="F877" s="8">
        <v>0</v>
      </c>
      <c r="G877" s="4">
        <v>1</v>
      </c>
      <c r="H877" s="8">
        <v>4.17</v>
      </c>
      <c r="I877" s="4">
        <v>0</v>
      </c>
    </row>
    <row r="878" spans="1:9" x14ac:dyDescent="0.2">
      <c r="A878" s="2">
        <v>17</v>
      </c>
      <c r="B878" s="1" t="s">
        <v>361</v>
      </c>
      <c r="C878" s="4">
        <v>1</v>
      </c>
      <c r="D878" s="8">
        <v>1.49</v>
      </c>
      <c r="E878" s="4">
        <v>0</v>
      </c>
      <c r="F878" s="8">
        <v>0</v>
      </c>
      <c r="G878" s="4">
        <v>0</v>
      </c>
      <c r="H878" s="8">
        <v>0</v>
      </c>
      <c r="I878" s="4">
        <v>0</v>
      </c>
    </row>
    <row r="879" spans="1:9" x14ac:dyDescent="0.2">
      <c r="A879" s="2">
        <v>17</v>
      </c>
      <c r="B879" s="1" t="s">
        <v>362</v>
      </c>
      <c r="C879" s="4">
        <v>1</v>
      </c>
      <c r="D879" s="8">
        <v>1.49</v>
      </c>
      <c r="E879" s="4">
        <v>0</v>
      </c>
      <c r="F879" s="8">
        <v>0</v>
      </c>
      <c r="G879" s="4">
        <v>0</v>
      </c>
      <c r="H879" s="8">
        <v>0</v>
      </c>
      <c r="I879" s="4">
        <v>0</v>
      </c>
    </row>
    <row r="880" spans="1:9" x14ac:dyDescent="0.2">
      <c r="A880" s="2">
        <v>17</v>
      </c>
      <c r="B880" s="1" t="s">
        <v>313</v>
      </c>
      <c r="C880" s="4">
        <v>1</v>
      </c>
      <c r="D880" s="8">
        <v>1.49</v>
      </c>
      <c r="E880" s="4">
        <v>0</v>
      </c>
      <c r="F880" s="8">
        <v>0</v>
      </c>
      <c r="G880" s="4">
        <v>1</v>
      </c>
      <c r="H880" s="8">
        <v>4.17</v>
      </c>
      <c r="I880" s="4">
        <v>0</v>
      </c>
    </row>
    <row r="881" spans="1:9" x14ac:dyDescent="0.2">
      <c r="A881" s="2">
        <v>17</v>
      </c>
      <c r="B881" s="1" t="s">
        <v>363</v>
      </c>
      <c r="C881" s="4">
        <v>1</v>
      </c>
      <c r="D881" s="8">
        <v>1.49</v>
      </c>
      <c r="E881" s="4">
        <v>0</v>
      </c>
      <c r="F881" s="8">
        <v>0</v>
      </c>
      <c r="G881" s="4">
        <v>1</v>
      </c>
      <c r="H881" s="8">
        <v>4.17</v>
      </c>
      <c r="I881" s="4">
        <v>0</v>
      </c>
    </row>
    <row r="882" spans="1:9" x14ac:dyDescent="0.2">
      <c r="A882" s="2">
        <v>17</v>
      </c>
      <c r="B882" s="1" t="s">
        <v>364</v>
      </c>
      <c r="C882" s="4">
        <v>1</v>
      </c>
      <c r="D882" s="8">
        <v>1.49</v>
      </c>
      <c r="E882" s="4">
        <v>0</v>
      </c>
      <c r="F882" s="8">
        <v>0</v>
      </c>
      <c r="G882" s="4">
        <v>0</v>
      </c>
      <c r="H882" s="8">
        <v>0</v>
      </c>
      <c r="I882" s="4">
        <v>0</v>
      </c>
    </row>
    <row r="883" spans="1:9" x14ac:dyDescent="0.2">
      <c r="A883" s="2">
        <v>17</v>
      </c>
      <c r="B883" s="1" t="s">
        <v>314</v>
      </c>
      <c r="C883" s="4">
        <v>1</v>
      </c>
      <c r="D883" s="8">
        <v>1.49</v>
      </c>
      <c r="E883" s="4">
        <v>1</v>
      </c>
      <c r="F883" s="8">
        <v>3.03</v>
      </c>
      <c r="G883" s="4">
        <v>0</v>
      </c>
      <c r="H883" s="8">
        <v>0</v>
      </c>
      <c r="I883" s="4">
        <v>0</v>
      </c>
    </row>
    <row r="884" spans="1:9" x14ac:dyDescent="0.2">
      <c r="A884" s="2">
        <v>17</v>
      </c>
      <c r="B884" s="1" t="s">
        <v>365</v>
      </c>
      <c r="C884" s="4">
        <v>1</v>
      </c>
      <c r="D884" s="8">
        <v>1.49</v>
      </c>
      <c r="E884" s="4">
        <v>0</v>
      </c>
      <c r="F884" s="8">
        <v>0</v>
      </c>
      <c r="G884" s="4">
        <v>1</v>
      </c>
      <c r="H884" s="8">
        <v>4.17</v>
      </c>
      <c r="I884" s="4">
        <v>0</v>
      </c>
    </row>
    <row r="885" spans="1:9" x14ac:dyDescent="0.2">
      <c r="A885" s="2">
        <v>17</v>
      </c>
      <c r="B885" s="1" t="s">
        <v>366</v>
      </c>
      <c r="C885" s="4">
        <v>1</v>
      </c>
      <c r="D885" s="8">
        <v>1.49</v>
      </c>
      <c r="E885" s="4">
        <v>1</v>
      </c>
      <c r="F885" s="8">
        <v>3.03</v>
      </c>
      <c r="G885" s="4">
        <v>0</v>
      </c>
      <c r="H885" s="8">
        <v>0</v>
      </c>
      <c r="I885" s="4">
        <v>0</v>
      </c>
    </row>
    <row r="886" spans="1:9" x14ac:dyDescent="0.2">
      <c r="A886" s="2">
        <v>17</v>
      </c>
      <c r="B886" s="1" t="s">
        <v>332</v>
      </c>
      <c r="C886" s="4">
        <v>1</v>
      </c>
      <c r="D886" s="8">
        <v>1.49</v>
      </c>
      <c r="E886" s="4">
        <v>0</v>
      </c>
      <c r="F886" s="8">
        <v>0</v>
      </c>
      <c r="G886" s="4">
        <v>1</v>
      </c>
      <c r="H886" s="8">
        <v>4.17</v>
      </c>
      <c r="I886" s="4">
        <v>0</v>
      </c>
    </row>
    <row r="887" spans="1:9" x14ac:dyDescent="0.2">
      <c r="A887" s="2">
        <v>17</v>
      </c>
      <c r="B887" s="1" t="s">
        <v>337</v>
      </c>
      <c r="C887" s="4">
        <v>1</v>
      </c>
      <c r="D887" s="8">
        <v>1.49</v>
      </c>
      <c r="E887" s="4">
        <v>0</v>
      </c>
      <c r="F887" s="8">
        <v>0</v>
      </c>
      <c r="G887" s="4">
        <v>1</v>
      </c>
      <c r="H887" s="8">
        <v>4.17</v>
      </c>
      <c r="I887" s="4">
        <v>0</v>
      </c>
    </row>
    <row r="888" spans="1:9" x14ac:dyDescent="0.2">
      <c r="A888" s="2">
        <v>17</v>
      </c>
      <c r="B888" s="1" t="s">
        <v>344</v>
      </c>
      <c r="C888" s="4">
        <v>1</v>
      </c>
      <c r="D888" s="8">
        <v>1.49</v>
      </c>
      <c r="E888" s="4">
        <v>1</v>
      </c>
      <c r="F888" s="8">
        <v>3.03</v>
      </c>
      <c r="G888" s="4">
        <v>0</v>
      </c>
      <c r="H888" s="8">
        <v>0</v>
      </c>
      <c r="I888" s="4">
        <v>0</v>
      </c>
    </row>
    <row r="889" spans="1:9" x14ac:dyDescent="0.2">
      <c r="A889" s="2">
        <v>17</v>
      </c>
      <c r="B889" s="1" t="s">
        <v>322</v>
      </c>
      <c r="C889" s="4">
        <v>1</v>
      </c>
      <c r="D889" s="8">
        <v>1.49</v>
      </c>
      <c r="E889" s="4">
        <v>0</v>
      </c>
      <c r="F889" s="8">
        <v>0</v>
      </c>
      <c r="G889" s="4">
        <v>1</v>
      </c>
      <c r="H889" s="8">
        <v>4.17</v>
      </c>
      <c r="I889" s="4">
        <v>0</v>
      </c>
    </row>
    <row r="890" spans="1:9" x14ac:dyDescent="0.2">
      <c r="A890" s="2">
        <v>17</v>
      </c>
      <c r="B890" s="1" t="s">
        <v>297</v>
      </c>
      <c r="C890" s="4">
        <v>1</v>
      </c>
      <c r="D890" s="8">
        <v>1.49</v>
      </c>
      <c r="E890" s="4">
        <v>0</v>
      </c>
      <c r="F890" s="8">
        <v>0</v>
      </c>
      <c r="G890" s="4">
        <v>0</v>
      </c>
      <c r="H890" s="8">
        <v>0</v>
      </c>
      <c r="I890" s="4">
        <v>0</v>
      </c>
    </row>
    <row r="891" spans="1:9" x14ac:dyDescent="0.2">
      <c r="A891" s="2">
        <v>17</v>
      </c>
      <c r="B891" s="1" t="s">
        <v>367</v>
      </c>
      <c r="C891" s="4">
        <v>1</v>
      </c>
      <c r="D891" s="8">
        <v>1.49</v>
      </c>
      <c r="E891" s="4">
        <v>0</v>
      </c>
      <c r="F891" s="8">
        <v>0</v>
      </c>
      <c r="G891" s="4">
        <v>1</v>
      </c>
      <c r="H891" s="8">
        <v>4.17</v>
      </c>
      <c r="I891" s="4">
        <v>0</v>
      </c>
    </row>
    <row r="892" spans="1:9" x14ac:dyDescent="0.2">
      <c r="A892" s="2">
        <v>17</v>
      </c>
      <c r="B892" s="1" t="s">
        <v>300</v>
      </c>
      <c r="C892" s="4">
        <v>1</v>
      </c>
      <c r="D892" s="8">
        <v>1.49</v>
      </c>
      <c r="E892" s="4">
        <v>1</v>
      </c>
      <c r="F892" s="8">
        <v>3.03</v>
      </c>
      <c r="G892" s="4">
        <v>0</v>
      </c>
      <c r="H892" s="8">
        <v>0</v>
      </c>
      <c r="I892" s="4">
        <v>0</v>
      </c>
    </row>
    <row r="893" spans="1:9" x14ac:dyDescent="0.2">
      <c r="A893" s="2">
        <v>17</v>
      </c>
      <c r="B893" s="1" t="s">
        <v>352</v>
      </c>
      <c r="C893" s="4">
        <v>1</v>
      </c>
      <c r="D893" s="8">
        <v>1.49</v>
      </c>
      <c r="E893" s="4">
        <v>1</v>
      </c>
      <c r="F893" s="8">
        <v>3.03</v>
      </c>
      <c r="G893" s="4">
        <v>0</v>
      </c>
      <c r="H893" s="8">
        <v>0</v>
      </c>
      <c r="I893" s="4">
        <v>0</v>
      </c>
    </row>
    <row r="894" spans="1:9" x14ac:dyDescent="0.2">
      <c r="A894" s="2">
        <v>17</v>
      </c>
      <c r="B894" s="1" t="s">
        <v>368</v>
      </c>
      <c r="C894" s="4">
        <v>1</v>
      </c>
      <c r="D894" s="8">
        <v>1.49</v>
      </c>
      <c r="E894" s="4">
        <v>0</v>
      </c>
      <c r="F894" s="8">
        <v>0</v>
      </c>
      <c r="G894" s="4">
        <v>0</v>
      </c>
      <c r="H894" s="8">
        <v>0</v>
      </c>
      <c r="I894" s="4">
        <v>0</v>
      </c>
    </row>
    <row r="895" spans="1:9" x14ac:dyDescent="0.2">
      <c r="A895" s="2">
        <v>17</v>
      </c>
      <c r="B895" s="1" t="s">
        <v>312</v>
      </c>
      <c r="C895" s="4">
        <v>1</v>
      </c>
      <c r="D895" s="8">
        <v>1.49</v>
      </c>
      <c r="E895" s="4">
        <v>1</v>
      </c>
      <c r="F895" s="8">
        <v>3.03</v>
      </c>
      <c r="G895" s="4">
        <v>0</v>
      </c>
      <c r="H895" s="8">
        <v>0</v>
      </c>
      <c r="I895" s="4">
        <v>0</v>
      </c>
    </row>
    <row r="896" spans="1:9" x14ac:dyDescent="0.2">
      <c r="A896" s="2">
        <v>17</v>
      </c>
      <c r="B896" s="1" t="s">
        <v>306</v>
      </c>
      <c r="C896" s="4">
        <v>1</v>
      </c>
      <c r="D896" s="8">
        <v>1.49</v>
      </c>
      <c r="E896" s="4">
        <v>1</v>
      </c>
      <c r="F896" s="8">
        <v>3.03</v>
      </c>
      <c r="G896" s="4">
        <v>0</v>
      </c>
      <c r="H896" s="8">
        <v>0</v>
      </c>
      <c r="I896" s="4">
        <v>0</v>
      </c>
    </row>
    <row r="897" spans="1:9" x14ac:dyDescent="0.2">
      <c r="A897" s="2">
        <v>17</v>
      </c>
      <c r="B897" s="1" t="s">
        <v>331</v>
      </c>
      <c r="C897" s="4">
        <v>1</v>
      </c>
      <c r="D897" s="8">
        <v>1.49</v>
      </c>
      <c r="E897" s="4">
        <v>0</v>
      </c>
      <c r="F897" s="8">
        <v>0</v>
      </c>
      <c r="G897" s="4">
        <v>1</v>
      </c>
      <c r="H897" s="8">
        <v>4.17</v>
      </c>
      <c r="I897" s="4">
        <v>0</v>
      </c>
    </row>
    <row r="898" spans="1:9" x14ac:dyDescent="0.2">
      <c r="A898" s="2">
        <v>17</v>
      </c>
      <c r="B898" s="1" t="s">
        <v>307</v>
      </c>
      <c r="C898" s="4">
        <v>1</v>
      </c>
      <c r="D898" s="8">
        <v>1.49</v>
      </c>
      <c r="E898" s="4">
        <v>1</v>
      </c>
      <c r="F898" s="8">
        <v>3.03</v>
      </c>
      <c r="G898" s="4">
        <v>0</v>
      </c>
      <c r="H898" s="8">
        <v>0</v>
      </c>
      <c r="I898" s="4">
        <v>0</v>
      </c>
    </row>
    <row r="899" spans="1:9" x14ac:dyDescent="0.2">
      <c r="A899" s="2">
        <v>17</v>
      </c>
      <c r="B899" s="1" t="s">
        <v>371</v>
      </c>
      <c r="C899" s="4">
        <v>1</v>
      </c>
      <c r="D899" s="8">
        <v>1.49</v>
      </c>
      <c r="E899" s="4">
        <v>1</v>
      </c>
      <c r="F899" s="8">
        <v>3.03</v>
      </c>
      <c r="G899" s="4">
        <v>0</v>
      </c>
      <c r="H899" s="8">
        <v>0</v>
      </c>
      <c r="I899" s="4">
        <v>0</v>
      </c>
    </row>
    <row r="900" spans="1:9" x14ac:dyDescent="0.2">
      <c r="A900" s="2">
        <v>17</v>
      </c>
      <c r="B900" s="1" t="s">
        <v>348</v>
      </c>
      <c r="C900" s="4">
        <v>1</v>
      </c>
      <c r="D900" s="8">
        <v>1.49</v>
      </c>
      <c r="E900" s="4">
        <v>0</v>
      </c>
      <c r="F900" s="8">
        <v>0</v>
      </c>
      <c r="G900" s="4">
        <v>1</v>
      </c>
      <c r="H900" s="8">
        <v>4.17</v>
      </c>
      <c r="I900" s="4">
        <v>0</v>
      </c>
    </row>
    <row r="901" spans="1:9" x14ac:dyDescent="0.2">
      <c r="A901" s="1"/>
      <c r="C901" s="4"/>
      <c r="D901" s="8"/>
      <c r="E901" s="4"/>
      <c r="F901" s="8"/>
      <c r="G901" s="4"/>
      <c r="H901" s="8"/>
      <c r="I901" s="4"/>
    </row>
    <row r="902" spans="1:9" x14ac:dyDescent="0.2">
      <c r="A902" s="1" t="s">
        <v>38</v>
      </c>
      <c r="C902" s="4"/>
      <c r="D902" s="8"/>
      <c r="E902" s="4"/>
      <c r="F902" s="8"/>
      <c r="G902" s="4"/>
      <c r="H902" s="8"/>
      <c r="I902" s="4"/>
    </row>
    <row r="903" spans="1:9" x14ac:dyDescent="0.2">
      <c r="A903" s="2">
        <v>1</v>
      </c>
      <c r="B903" s="1" t="s">
        <v>304</v>
      </c>
      <c r="C903" s="4">
        <v>37</v>
      </c>
      <c r="D903" s="8">
        <v>6.86</v>
      </c>
      <c r="E903" s="4">
        <v>35</v>
      </c>
      <c r="F903" s="8">
        <v>11.78</v>
      </c>
      <c r="G903" s="4">
        <v>2</v>
      </c>
      <c r="H903" s="8">
        <v>0.85</v>
      </c>
      <c r="I903" s="4">
        <v>0</v>
      </c>
    </row>
    <row r="904" spans="1:9" x14ac:dyDescent="0.2">
      <c r="A904" s="2">
        <v>2</v>
      </c>
      <c r="B904" s="1" t="s">
        <v>297</v>
      </c>
      <c r="C904" s="4">
        <v>36</v>
      </c>
      <c r="D904" s="8">
        <v>6.68</v>
      </c>
      <c r="E904" s="4">
        <v>26</v>
      </c>
      <c r="F904" s="8">
        <v>8.75</v>
      </c>
      <c r="G904" s="4">
        <v>10</v>
      </c>
      <c r="H904" s="8">
        <v>4.26</v>
      </c>
      <c r="I904" s="4">
        <v>0</v>
      </c>
    </row>
    <row r="905" spans="1:9" x14ac:dyDescent="0.2">
      <c r="A905" s="2">
        <v>3</v>
      </c>
      <c r="B905" s="1" t="s">
        <v>303</v>
      </c>
      <c r="C905" s="4">
        <v>28</v>
      </c>
      <c r="D905" s="8">
        <v>5.19</v>
      </c>
      <c r="E905" s="4">
        <v>28</v>
      </c>
      <c r="F905" s="8">
        <v>9.43</v>
      </c>
      <c r="G905" s="4">
        <v>0</v>
      </c>
      <c r="H905" s="8">
        <v>0</v>
      </c>
      <c r="I905" s="4">
        <v>0</v>
      </c>
    </row>
    <row r="906" spans="1:9" x14ac:dyDescent="0.2">
      <c r="A906" s="2">
        <v>4</v>
      </c>
      <c r="B906" s="1" t="s">
        <v>301</v>
      </c>
      <c r="C906" s="4">
        <v>26</v>
      </c>
      <c r="D906" s="8">
        <v>4.82</v>
      </c>
      <c r="E906" s="4">
        <v>25</v>
      </c>
      <c r="F906" s="8">
        <v>8.42</v>
      </c>
      <c r="G906" s="4">
        <v>1</v>
      </c>
      <c r="H906" s="8">
        <v>0.43</v>
      </c>
      <c r="I906" s="4">
        <v>0</v>
      </c>
    </row>
    <row r="907" spans="1:9" x14ac:dyDescent="0.2">
      <c r="A907" s="2">
        <v>5</v>
      </c>
      <c r="B907" s="1" t="s">
        <v>299</v>
      </c>
      <c r="C907" s="4">
        <v>19</v>
      </c>
      <c r="D907" s="8">
        <v>3.53</v>
      </c>
      <c r="E907" s="4">
        <v>16</v>
      </c>
      <c r="F907" s="8">
        <v>5.39</v>
      </c>
      <c r="G907" s="4">
        <v>3</v>
      </c>
      <c r="H907" s="8">
        <v>1.28</v>
      </c>
      <c r="I907" s="4">
        <v>0</v>
      </c>
    </row>
    <row r="908" spans="1:9" x14ac:dyDescent="0.2">
      <c r="A908" s="2">
        <v>6</v>
      </c>
      <c r="B908" s="1" t="s">
        <v>292</v>
      </c>
      <c r="C908" s="4">
        <v>14</v>
      </c>
      <c r="D908" s="8">
        <v>2.6</v>
      </c>
      <c r="E908" s="4">
        <v>10</v>
      </c>
      <c r="F908" s="8">
        <v>3.37</v>
      </c>
      <c r="G908" s="4">
        <v>4</v>
      </c>
      <c r="H908" s="8">
        <v>1.7</v>
      </c>
      <c r="I908" s="4">
        <v>0</v>
      </c>
    </row>
    <row r="909" spans="1:9" x14ac:dyDescent="0.2">
      <c r="A909" s="2">
        <v>7</v>
      </c>
      <c r="B909" s="1" t="s">
        <v>293</v>
      </c>
      <c r="C909" s="4">
        <v>12</v>
      </c>
      <c r="D909" s="8">
        <v>2.23</v>
      </c>
      <c r="E909" s="4">
        <v>4</v>
      </c>
      <c r="F909" s="8">
        <v>1.35</v>
      </c>
      <c r="G909" s="4">
        <v>8</v>
      </c>
      <c r="H909" s="8">
        <v>3.4</v>
      </c>
      <c r="I909" s="4">
        <v>0</v>
      </c>
    </row>
    <row r="910" spans="1:9" x14ac:dyDescent="0.2">
      <c r="A910" s="2">
        <v>8</v>
      </c>
      <c r="B910" s="1" t="s">
        <v>300</v>
      </c>
      <c r="C910" s="4">
        <v>11</v>
      </c>
      <c r="D910" s="8">
        <v>2.04</v>
      </c>
      <c r="E910" s="4">
        <v>9</v>
      </c>
      <c r="F910" s="8">
        <v>3.03</v>
      </c>
      <c r="G910" s="4">
        <v>2</v>
      </c>
      <c r="H910" s="8">
        <v>0.85</v>
      </c>
      <c r="I910" s="4">
        <v>0</v>
      </c>
    </row>
    <row r="911" spans="1:9" x14ac:dyDescent="0.2">
      <c r="A911" s="2">
        <v>8</v>
      </c>
      <c r="B911" s="1" t="s">
        <v>302</v>
      </c>
      <c r="C911" s="4">
        <v>11</v>
      </c>
      <c r="D911" s="8">
        <v>2.04</v>
      </c>
      <c r="E911" s="4">
        <v>9</v>
      </c>
      <c r="F911" s="8">
        <v>3.03</v>
      </c>
      <c r="G911" s="4">
        <v>2</v>
      </c>
      <c r="H911" s="8">
        <v>0.85</v>
      </c>
      <c r="I911" s="4">
        <v>0</v>
      </c>
    </row>
    <row r="912" spans="1:9" x14ac:dyDescent="0.2">
      <c r="A912" s="2">
        <v>10</v>
      </c>
      <c r="B912" s="1" t="s">
        <v>328</v>
      </c>
      <c r="C912" s="4">
        <v>10</v>
      </c>
      <c r="D912" s="8">
        <v>1.86</v>
      </c>
      <c r="E912" s="4">
        <v>5</v>
      </c>
      <c r="F912" s="8">
        <v>1.68</v>
      </c>
      <c r="G912" s="4">
        <v>5</v>
      </c>
      <c r="H912" s="8">
        <v>2.13</v>
      </c>
      <c r="I912" s="4">
        <v>0</v>
      </c>
    </row>
    <row r="913" spans="1:9" x14ac:dyDescent="0.2">
      <c r="A913" s="2">
        <v>10</v>
      </c>
      <c r="B913" s="1" t="s">
        <v>329</v>
      </c>
      <c r="C913" s="4">
        <v>10</v>
      </c>
      <c r="D913" s="8">
        <v>1.86</v>
      </c>
      <c r="E913" s="4">
        <v>7</v>
      </c>
      <c r="F913" s="8">
        <v>2.36</v>
      </c>
      <c r="G913" s="4">
        <v>3</v>
      </c>
      <c r="H913" s="8">
        <v>1.28</v>
      </c>
      <c r="I913" s="4">
        <v>0</v>
      </c>
    </row>
    <row r="914" spans="1:9" x14ac:dyDescent="0.2">
      <c r="A914" s="2">
        <v>10</v>
      </c>
      <c r="B914" s="1" t="s">
        <v>306</v>
      </c>
      <c r="C914" s="4">
        <v>10</v>
      </c>
      <c r="D914" s="8">
        <v>1.86</v>
      </c>
      <c r="E914" s="4">
        <v>10</v>
      </c>
      <c r="F914" s="8">
        <v>3.37</v>
      </c>
      <c r="G914" s="4">
        <v>0</v>
      </c>
      <c r="H914" s="8">
        <v>0</v>
      </c>
      <c r="I914" s="4">
        <v>0</v>
      </c>
    </row>
    <row r="915" spans="1:9" x14ac:dyDescent="0.2">
      <c r="A915" s="2">
        <v>13</v>
      </c>
      <c r="B915" s="1" t="s">
        <v>288</v>
      </c>
      <c r="C915" s="4">
        <v>9</v>
      </c>
      <c r="D915" s="8">
        <v>1.67</v>
      </c>
      <c r="E915" s="4">
        <v>2</v>
      </c>
      <c r="F915" s="8">
        <v>0.67</v>
      </c>
      <c r="G915" s="4">
        <v>7</v>
      </c>
      <c r="H915" s="8">
        <v>2.98</v>
      </c>
      <c r="I915" s="4">
        <v>0</v>
      </c>
    </row>
    <row r="916" spans="1:9" x14ac:dyDescent="0.2">
      <c r="A916" s="2">
        <v>13</v>
      </c>
      <c r="B916" s="1" t="s">
        <v>314</v>
      </c>
      <c r="C916" s="4">
        <v>9</v>
      </c>
      <c r="D916" s="8">
        <v>1.67</v>
      </c>
      <c r="E916" s="4">
        <v>3</v>
      </c>
      <c r="F916" s="8">
        <v>1.01</v>
      </c>
      <c r="G916" s="4">
        <v>6</v>
      </c>
      <c r="H916" s="8">
        <v>2.5499999999999998</v>
      </c>
      <c r="I916" s="4">
        <v>0</v>
      </c>
    </row>
    <row r="917" spans="1:9" x14ac:dyDescent="0.2">
      <c r="A917" s="2">
        <v>13</v>
      </c>
      <c r="B917" s="1" t="s">
        <v>294</v>
      </c>
      <c r="C917" s="4">
        <v>9</v>
      </c>
      <c r="D917" s="8">
        <v>1.67</v>
      </c>
      <c r="E917" s="4">
        <v>2</v>
      </c>
      <c r="F917" s="8">
        <v>0.67</v>
      </c>
      <c r="G917" s="4">
        <v>7</v>
      </c>
      <c r="H917" s="8">
        <v>2.98</v>
      </c>
      <c r="I917" s="4">
        <v>0</v>
      </c>
    </row>
    <row r="918" spans="1:9" x14ac:dyDescent="0.2">
      <c r="A918" s="2">
        <v>16</v>
      </c>
      <c r="B918" s="1" t="s">
        <v>295</v>
      </c>
      <c r="C918" s="4">
        <v>8</v>
      </c>
      <c r="D918" s="8">
        <v>1.48</v>
      </c>
      <c r="E918" s="4">
        <v>3</v>
      </c>
      <c r="F918" s="8">
        <v>1.01</v>
      </c>
      <c r="G918" s="4">
        <v>5</v>
      </c>
      <c r="H918" s="8">
        <v>2.13</v>
      </c>
      <c r="I918" s="4">
        <v>0</v>
      </c>
    </row>
    <row r="919" spans="1:9" x14ac:dyDescent="0.2">
      <c r="A919" s="2">
        <v>17</v>
      </c>
      <c r="B919" s="1" t="s">
        <v>333</v>
      </c>
      <c r="C919" s="4">
        <v>7</v>
      </c>
      <c r="D919" s="8">
        <v>1.3</v>
      </c>
      <c r="E919" s="4">
        <v>2</v>
      </c>
      <c r="F919" s="8">
        <v>0.67</v>
      </c>
      <c r="G919" s="4">
        <v>5</v>
      </c>
      <c r="H919" s="8">
        <v>2.13</v>
      </c>
      <c r="I919" s="4">
        <v>0</v>
      </c>
    </row>
    <row r="920" spans="1:9" x14ac:dyDescent="0.2">
      <c r="A920" s="2">
        <v>17</v>
      </c>
      <c r="B920" s="1" t="s">
        <v>335</v>
      </c>
      <c r="C920" s="4">
        <v>7</v>
      </c>
      <c r="D920" s="8">
        <v>1.3</v>
      </c>
      <c r="E920" s="4">
        <v>3</v>
      </c>
      <c r="F920" s="8">
        <v>1.01</v>
      </c>
      <c r="G920" s="4">
        <v>4</v>
      </c>
      <c r="H920" s="8">
        <v>1.7</v>
      </c>
      <c r="I920" s="4">
        <v>0</v>
      </c>
    </row>
    <row r="921" spans="1:9" x14ac:dyDescent="0.2">
      <c r="A921" s="2">
        <v>19</v>
      </c>
      <c r="B921" s="1" t="s">
        <v>346</v>
      </c>
      <c r="C921" s="4">
        <v>6</v>
      </c>
      <c r="D921" s="8">
        <v>1.1100000000000001</v>
      </c>
      <c r="E921" s="4">
        <v>1</v>
      </c>
      <c r="F921" s="8">
        <v>0.34</v>
      </c>
      <c r="G921" s="4">
        <v>5</v>
      </c>
      <c r="H921" s="8">
        <v>2.13</v>
      </c>
      <c r="I921" s="4">
        <v>0</v>
      </c>
    </row>
    <row r="922" spans="1:9" x14ac:dyDescent="0.2">
      <c r="A922" s="2">
        <v>19</v>
      </c>
      <c r="B922" s="1" t="s">
        <v>372</v>
      </c>
      <c r="C922" s="4">
        <v>6</v>
      </c>
      <c r="D922" s="8">
        <v>1.1100000000000001</v>
      </c>
      <c r="E922" s="4">
        <v>2</v>
      </c>
      <c r="F922" s="8">
        <v>0.67</v>
      </c>
      <c r="G922" s="4">
        <v>4</v>
      </c>
      <c r="H922" s="8">
        <v>1.7</v>
      </c>
      <c r="I922" s="4">
        <v>0</v>
      </c>
    </row>
    <row r="923" spans="1:9" x14ac:dyDescent="0.2">
      <c r="A923" s="2">
        <v>19</v>
      </c>
      <c r="B923" s="1" t="s">
        <v>330</v>
      </c>
      <c r="C923" s="4">
        <v>6</v>
      </c>
      <c r="D923" s="8">
        <v>1.1100000000000001</v>
      </c>
      <c r="E923" s="4">
        <v>0</v>
      </c>
      <c r="F923" s="8">
        <v>0</v>
      </c>
      <c r="G923" s="4">
        <v>6</v>
      </c>
      <c r="H923" s="8">
        <v>2.5499999999999998</v>
      </c>
      <c r="I923" s="4">
        <v>0</v>
      </c>
    </row>
    <row r="924" spans="1:9" x14ac:dyDescent="0.2">
      <c r="A924" s="2">
        <v>19</v>
      </c>
      <c r="B924" s="1" t="s">
        <v>337</v>
      </c>
      <c r="C924" s="4">
        <v>6</v>
      </c>
      <c r="D924" s="8">
        <v>1.1100000000000001</v>
      </c>
      <c r="E924" s="4">
        <v>3</v>
      </c>
      <c r="F924" s="8">
        <v>1.01</v>
      </c>
      <c r="G924" s="4">
        <v>3</v>
      </c>
      <c r="H924" s="8">
        <v>1.28</v>
      </c>
      <c r="I924" s="4">
        <v>0</v>
      </c>
    </row>
    <row r="925" spans="1:9" x14ac:dyDescent="0.2">
      <c r="A925" s="2">
        <v>19</v>
      </c>
      <c r="B925" s="1" t="s">
        <v>339</v>
      </c>
      <c r="C925" s="4">
        <v>6</v>
      </c>
      <c r="D925" s="8">
        <v>1.1100000000000001</v>
      </c>
      <c r="E925" s="4">
        <v>2</v>
      </c>
      <c r="F925" s="8">
        <v>0.67</v>
      </c>
      <c r="G925" s="4">
        <v>4</v>
      </c>
      <c r="H925" s="8">
        <v>1.7</v>
      </c>
      <c r="I925" s="4">
        <v>0</v>
      </c>
    </row>
    <row r="926" spans="1:9" x14ac:dyDescent="0.2">
      <c r="A926" s="2">
        <v>19</v>
      </c>
      <c r="B926" s="1" t="s">
        <v>323</v>
      </c>
      <c r="C926" s="4">
        <v>6</v>
      </c>
      <c r="D926" s="8">
        <v>1.1100000000000001</v>
      </c>
      <c r="E926" s="4">
        <v>1</v>
      </c>
      <c r="F926" s="8">
        <v>0.34</v>
      </c>
      <c r="G926" s="4">
        <v>5</v>
      </c>
      <c r="H926" s="8">
        <v>2.13</v>
      </c>
      <c r="I926" s="4">
        <v>0</v>
      </c>
    </row>
    <row r="927" spans="1:9" x14ac:dyDescent="0.2">
      <c r="A927" s="2">
        <v>19</v>
      </c>
      <c r="B927" s="1" t="s">
        <v>327</v>
      </c>
      <c r="C927" s="4">
        <v>6</v>
      </c>
      <c r="D927" s="8">
        <v>1.1100000000000001</v>
      </c>
      <c r="E927" s="4">
        <v>4</v>
      </c>
      <c r="F927" s="8">
        <v>1.35</v>
      </c>
      <c r="G927" s="4">
        <v>2</v>
      </c>
      <c r="H927" s="8">
        <v>0.85</v>
      </c>
      <c r="I927" s="4">
        <v>0</v>
      </c>
    </row>
    <row r="928" spans="1:9" x14ac:dyDescent="0.2">
      <c r="A928" s="2">
        <v>19</v>
      </c>
      <c r="B928" s="1" t="s">
        <v>312</v>
      </c>
      <c r="C928" s="4">
        <v>6</v>
      </c>
      <c r="D928" s="8">
        <v>1.1100000000000001</v>
      </c>
      <c r="E928" s="4">
        <v>5</v>
      </c>
      <c r="F928" s="8">
        <v>1.68</v>
      </c>
      <c r="G928" s="4">
        <v>1</v>
      </c>
      <c r="H928" s="8">
        <v>0.43</v>
      </c>
      <c r="I928" s="4">
        <v>0</v>
      </c>
    </row>
    <row r="929" spans="1:9" x14ac:dyDescent="0.2">
      <c r="A929" s="1"/>
      <c r="C929" s="4"/>
      <c r="D929" s="8"/>
      <c r="E929" s="4"/>
      <c r="F929" s="8"/>
      <c r="G929" s="4"/>
      <c r="H929" s="8"/>
      <c r="I929" s="4"/>
    </row>
    <row r="930" spans="1:9" x14ac:dyDescent="0.2">
      <c r="A930" s="1" t="s">
        <v>39</v>
      </c>
      <c r="C930" s="4"/>
      <c r="D930" s="8"/>
      <c r="E930" s="4"/>
      <c r="F930" s="8"/>
      <c r="G930" s="4"/>
      <c r="H930" s="8"/>
      <c r="I930" s="4"/>
    </row>
    <row r="931" spans="1:9" x14ac:dyDescent="0.2">
      <c r="A931" s="2">
        <v>1</v>
      </c>
      <c r="B931" s="1" t="s">
        <v>297</v>
      </c>
      <c r="C931" s="4">
        <v>57</v>
      </c>
      <c r="D931" s="8">
        <v>8.89</v>
      </c>
      <c r="E931" s="4">
        <v>49</v>
      </c>
      <c r="F931" s="8">
        <v>13</v>
      </c>
      <c r="G931" s="4">
        <v>8</v>
      </c>
      <c r="H931" s="8">
        <v>3.16</v>
      </c>
      <c r="I931" s="4">
        <v>0</v>
      </c>
    </row>
    <row r="932" spans="1:9" x14ac:dyDescent="0.2">
      <c r="A932" s="2">
        <v>2</v>
      </c>
      <c r="B932" s="1" t="s">
        <v>304</v>
      </c>
      <c r="C932" s="4">
        <v>43</v>
      </c>
      <c r="D932" s="8">
        <v>6.71</v>
      </c>
      <c r="E932" s="4">
        <v>42</v>
      </c>
      <c r="F932" s="8">
        <v>11.14</v>
      </c>
      <c r="G932" s="4">
        <v>1</v>
      </c>
      <c r="H932" s="8">
        <v>0.4</v>
      </c>
      <c r="I932" s="4">
        <v>0</v>
      </c>
    </row>
    <row r="933" spans="1:9" x14ac:dyDescent="0.2">
      <c r="A933" s="2">
        <v>3</v>
      </c>
      <c r="B933" s="1" t="s">
        <v>299</v>
      </c>
      <c r="C933" s="4">
        <v>42</v>
      </c>
      <c r="D933" s="8">
        <v>6.55</v>
      </c>
      <c r="E933" s="4">
        <v>26</v>
      </c>
      <c r="F933" s="8">
        <v>6.9</v>
      </c>
      <c r="G933" s="4">
        <v>16</v>
      </c>
      <c r="H933" s="8">
        <v>6.32</v>
      </c>
      <c r="I933" s="4">
        <v>0</v>
      </c>
    </row>
    <row r="934" spans="1:9" x14ac:dyDescent="0.2">
      <c r="A934" s="2">
        <v>4</v>
      </c>
      <c r="B934" s="1" t="s">
        <v>301</v>
      </c>
      <c r="C934" s="4">
        <v>27</v>
      </c>
      <c r="D934" s="8">
        <v>4.21</v>
      </c>
      <c r="E934" s="4">
        <v>25</v>
      </c>
      <c r="F934" s="8">
        <v>6.63</v>
      </c>
      <c r="G934" s="4">
        <v>2</v>
      </c>
      <c r="H934" s="8">
        <v>0.79</v>
      </c>
      <c r="I934" s="4">
        <v>0</v>
      </c>
    </row>
    <row r="935" spans="1:9" x14ac:dyDescent="0.2">
      <c r="A935" s="2">
        <v>5</v>
      </c>
      <c r="B935" s="1" t="s">
        <v>339</v>
      </c>
      <c r="C935" s="4">
        <v>25</v>
      </c>
      <c r="D935" s="8">
        <v>3.9</v>
      </c>
      <c r="E935" s="4">
        <v>15</v>
      </c>
      <c r="F935" s="8">
        <v>3.98</v>
      </c>
      <c r="G935" s="4">
        <v>10</v>
      </c>
      <c r="H935" s="8">
        <v>3.95</v>
      </c>
      <c r="I935" s="4">
        <v>0</v>
      </c>
    </row>
    <row r="936" spans="1:9" x14ac:dyDescent="0.2">
      <c r="A936" s="2">
        <v>6</v>
      </c>
      <c r="B936" s="1" t="s">
        <v>303</v>
      </c>
      <c r="C936" s="4">
        <v>21</v>
      </c>
      <c r="D936" s="8">
        <v>3.28</v>
      </c>
      <c r="E936" s="4">
        <v>19</v>
      </c>
      <c r="F936" s="8">
        <v>5.04</v>
      </c>
      <c r="G936" s="4">
        <v>2</v>
      </c>
      <c r="H936" s="8">
        <v>0.79</v>
      </c>
      <c r="I936" s="4">
        <v>0</v>
      </c>
    </row>
    <row r="937" spans="1:9" x14ac:dyDescent="0.2">
      <c r="A937" s="2">
        <v>7</v>
      </c>
      <c r="B937" s="1" t="s">
        <v>306</v>
      </c>
      <c r="C937" s="4">
        <v>17</v>
      </c>
      <c r="D937" s="8">
        <v>2.65</v>
      </c>
      <c r="E937" s="4">
        <v>16</v>
      </c>
      <c r="F937" s="8">
        <v>4.24</v>
      </c>
      <c r="G937" s="4">
        <v>1</v>
      </c>
      <c r="H937" s="8">
        <v>0.4</v>
      </c>
      <c r="I937" s="4">
        <v>0</v>
      </c>
    </row>
    <row r="938" spans="1:9" x14ac:dyDescent="0.2">
      <c r="A938" s="2">
        <v>8</v>
      </c>
      <c r="B938" s="1" t="s">
        <v>295</v>
      </c>
      <c r="C938" s="4">
        <v>15</v>
      </c>
      <c r="D938" s="8">
        <v>2.34</v>
      </c>
      <c r="E938" s="4">
        <v>9</v>
      </c>
      <c r="F938" s="8">
        <v>2.39</v>
      </c>
      <c r="G938" s="4">
        <v>6</v>
      </c>
      <c r="H938" s="8">
        <v>2.37</v>
      </c>
      <c r="I938" s="4">
        <v>0</v>
      </c>
    </row>
    <row r="939" spans="1:9" x14ac:dyDescent="0.2">
      <c r="A939" s="2">
        <v>9</v>
      </c>
      <c r="B939" s="1" t="s">
        <v>329</v>
      </c>
      <c r="C939" s="4">
        <v>13</v>
      </c>
      <c r="D939" s="8">
        <v>2.0299999999999998</v>
      </c>
      <c r="E939" s="4">
        <v>8</v>
      </c>
      <c r="F939" s="8">
        <v>2.12</v>
      </c>
      <c r="G939" s="4">
        <v>5</v>
      </c>
      <c r="H939" s="8">
        <v>1.98</v>
      </c>
      <c r="I939" s="4">
        <v>0</v>
      </c>
    </row>
    <row r="940" spans="1:9" x14ac:dyDescent="0.2">
      <c r="A940" s="2">
        <v>10</v>
      </c>
      <c r="B940" s="1" t="s">
        <v>330</v>
      </c>
      <c r="C940" s="4">
        <v>11</v>
      </c>
      <c r="D940" s="8">
        <v>1.72</v>
      </c>
      <c r="E940" s="4">
        <v>1</v>
      </c>
      <c r="F940" s="8">
        <v>0.27</v>
      </c>
      <c r="G940" s="4">
        <v>10</v>
      </c>
      <c r="H940" s="8">
        <v>3.95</v>
      </c>
      <c r="I940" s="4">
        <v>0</v>
      </c>
    </row>
    <row r="941" spans="1:9" x14ac:dyDescent="0.2">
      <c r="A941" s="2">
        <v>10</v>
      </c>
      <c r="B941" s="1" t="s">
        <v>300</v>
      </c>
      <c r="C941" s="4">
        <v>11</v>
      </c>
      <c r="D941" s="8">
        <v>1.72</v>
      </c>
      <c r="E941" s="4">
        <v>10</v>
      </c>
      <c r="F941" s="8">
        <v>2.65</v>
      </c>
      <c r="G941" s="4">
        <v>1</v>
      </c>
      <c r="H941" s="8">
        <v>0.4</v>
      </c>
      <c r="I941" s="4">
        <v>0</v>
      </c>
    </row>
    <row r="942" spans="1:9" x14ac:dyDescent="0.2">
      <c r="A942" s="2">
        <v>10</v>
      </c>
      <c r="B942" s="1" t="s">
        <v>305</v>
      </c>
      <c r="C942" s="4">
        <v>11</v>
      </c>
      <c r="D942" s="8">
        <v>1.72</v>
      </c>
      <c r="E942" s="4">
        <v>11</v>
      </c>
      <c r="F942" s="8">
        <v>2.92</v>
      </c>
      <c r="G942" s="4">
        <v>0</v>
      </c>
      <c r="H942" s="8">
        <v>0</v>
      </c>
      <c r="I942" s="4">
        <v>0</v>
      </c>
    </row>
    <row r="943" spans="1:9" x14ac:dyDescent="0.2">
      <c r="A943" s="2">
        <v>13</v>
      </c>
      <c r="B943" s="1" t="s">
        <v>302</v>
      </c>
      <c r="C943" s="4">
        <v>10</v>
      </c>
      <c r="D943" s="8">
        <v>1.56</v>
      </c>
      <c r="E943" s="4">
        <v>8</v>
      </c>
      <c r="F943" s="8">
        <v>2.12</v>
      </c>
      <c r="G943" s="4">
        <v>2</v>
      </c>
      <c r="H943" s="8">
        <v>0.79</v>
      </c>
      <c r="I943" s="4">
        <v>0</v>
      </c>
    </row>
    <row r="944" spans="1:9" x14ac:dyDescent="0.2">
      <c r="A944" s="2">
        <v>14</v>
      </c>
      <c r="B944" s="1" t="s">
        <v>293</v>
      </c>
      <c r="C944" s="4">
        <v>9</v>
      </c>
      <c r="D944" s="8">
        <v>1.4</v>
      </c>
      <c r="E944" s="4">
        <v>3</v>
      </c>
      <c r="F944" s="8">
        <v>0.8</v>
      </c>
      <c r="G944" s="4">
        <v>6</v>
      </c>
      <c r="H944" s="8">
        <v>2.37</v>
      </c>
      <c r="I944" s="4">
        <v>0</v>
      </c>
    </row>
    <row r="945" spans="1:9" x14ac:dyDescent="0.2">
      <c r="A945" s="2">
        <v>14</v>
      </c>
      <c r="B945" s="1" t="s">
        <v>335</v>
      </c>
      <c r="C945" s="4">
        <v>9</v>
      </c>
      <c r="D945" s="8">
        <v>1.4</v>
      </c>
      <c r="E945" s="4">
        <v>6</v>
      </c>
      <c r="F945" s="8">
        <v>1.59</v>
      </c>
      <c r="G945" s="4">
        <v>3</v>
      </c>
      <c r="H945" s="8">
        <v>1.19</v>
      </c>
      <c r="I945" s="4">
        <v>0</v>
      </c>
    </row>
    <row r="946" spans="1:9" x14ac:dyDescent="0.2">
      <c r="A946" s="2">
        <v>14</v>
      </c>
      <c r="B946" s="1" t="s">
        <v>294</v>
      </c>
      <c r="C946" s="4">
        <v>9</v>
      </c>
      <c r="D946" s="8">
        <v>1.4</v>
      </c>
      <c r="E946" s="4">
        <v>3</v>
      </c>
      <c r="F946" s="8">
        <v>0.8</v>
      </c>
      <c r="G946" s="4">
        <v>6</v>
      </c>
      <c r="H946" s="8">
        <v>2.37</v>
      </c>
      <c r="I946" s="4">
        <v>0</v>
      </c>
    </row>
    <row r="947" spans="1:9" x14ac:dyDescent="0.2">
      <c r="A947" s="2">
        <v>14</v>
      </c>
      <c r="B947" s="1" t="s">
        <v>373</v>
      </c>
      <c r="C947" s="4">
        <v>9</v>
      </c>
      <c r="D947" s="8">
        <v>1.4</v>
      </c>
      <c r="E947" s="4">
        <v>5</v>
      </c>
      <c r="F947" s="8">
        <v>1.33</v>
      </c>
      <c r="G947" s="4">
        <v>4</v>
      </c>
      <c r="H947" s="8">
        <v>1.58</v>
      </c>
      <c r="I947" s="4">
        <v>0</v>
      </c>
    </row>
    <row r="948" spans="1:9" x14ac:dyDescent="0.2">
      <c r="A948" s="2">
        <v>14</v>
      </c>
      <c r="B948" s="1" t="s">
        <v>334</v>
      </c>
      <c r="C948" s="4">
        <v>9</v>
      </c>
      <c r="D948" s="8">
        <v>1.4</v>
      </c>
      <c r="E948" s="4">
        <v>7</v>
      </c>
      <c r="F948" s="8">
        <v>1.86</v>
      </c>
      <c r="G948" s="4">
        <v>2</v>
      </c>
      <c r="H948" s="8">
        <v>0.79</v>
      </c>
      <c r="I948" s="4">
        <v>0</v>
      </c>
    </row>
    <row r="949" spans="1:9" x14ac:dyDescent="0.2">
      <c r="A949" s="2">
        <v>19</v>
      </c>
      <c r="B949" s="1" t="s">
        <v>336</v>
      </c>
      <c r="C949" s="4">
        <v>8</v>
      </c>
      <c r="D949" s="8">
        <v>1.25</v>
      </c>
      <c r="E949" s="4">
        <v>4</v>
      </c>
      <c r="F949" s="8">
        <v>1.06</v>
      </c>
      <c r="G949" s="4">
        <v>4</v>
      </c>
      <c r="H949" s="8">
        <v>1.58</v>
      </c>
      <c r="I949" s="4">
        <v>0</v>
      </c>
    </row>
    <row r="950" spans="1:9" x14ac:dyDescent="0.2">
      <c r="A950" s="2">
        <v>19</v>
      </c>
      <c r="B950" s="1" t="s">
        <v>312</v>
      </c>
      <c r="C950" s="4">
        <v>8</v>
      </c>
      <c r="D950" s="8">
        <v>1.25</v>
      </c>
      <c r="E950" s="4">
        <v>8</v>
      </c>
      <c r="F950" s="8">
        <v>2.12</v>
      </c>
      <c r="G950" s="4">
        <v>0</v>
      </c>
      <c r="H950" s="8">
        <v>0</v>
      </c>
      <c r="I950" s="4">
        <v>0</v>
      </c>
    </row>
    <row r="951" spans="1:9" x14ac:dyDescent="0.2">
      <c r="A951" s="1"/>
      <c r="C951" s="4"/>
      <c r="D951" s="8"/>
      <c r="E951" s="4"/>
      <c r="F951" s="8"/>
      <c r="G951" s="4"/>
      <c r="H951" s="8"/>
      <c r="I951" s="4"/>
    </row>
    <row r="952" spans="1:9" x14ac:dyDescent="0.2">
      <c r="A952" s="1" t="s">
        <v>40</v>
      </c>
      <c r="C952" s="4"/>
      <c r="D952" s="8"/>
      <c r="E952" s="4"/>
      <c r="F952" s="8"/>
      <c r="G952" s="4"/>
      <c r="H952" s="8"/>
      <c r="I952" s="4"/>
    </row>
    <row r="953" spans="1:9" x14ac:dyDescent="0.2">
      <c r="A953" s="2">
        <v>1</v>
      </c>
      <c r="B953" s="1" t="s">
        <v>297</v>
      </c>
      <c r="C953" s="4">
        <v>61</v>
      </c>
      <c r="D953" s="8">
        <v>6.57</v>
      </c>
      <c r="E953" s="4">
        <v>44</v>
      </c>
      <c r="F953" s="8">
        <v>9.84</v>
      </c>
      <c r="G953" s="4">
        <v>16</v>
      </c>
      <c r="H953" s="8">
        <v>3.49</v>
      </c>
      <c r="I953" s="4">
        <v>0</v>
      </c>
    </row>
    <row r="954" spans="1:9" x14ac:dyDescent="0.2">
      <c r="A954" s="2">
        <v>2</v>
      </c>
      <c r="B954" s="1" t="s">
        <v>304</v>
      </c>
      <c r="C954" s="4">
        <v>55</v>
      </c>
      <c r="D954" s="8">
        <v>5.92</v>
      </c>
      <c r="E954" s="4">
        <v>51</v>
      </c>
      <c r="F954" s="8">
        <v>11.41</v>
      </c>
      <c r="G954" s="4">
        <v>4</v>
      </c>
      <c r="H954" s="8">
        <v>0.87</v>
      </c>
      <c r="I954" s="4">
        <v>0</v>
      </c>
    </row>
    <row r="955" spans="1:9" x14ac:dyDescent="0.2">
      <c r="A955" s="2">
        <v>3</v>
      </c>
      <c r="B955" s="1" t="s">
        <v>303</v>
      </c>
      <c r="C955" s="4">
        <v>47</v>
      </c>
      <c r="D955" s="8">
        <v>5.0599999999999996</v>
      </c>
      <c r="E955" s="4">
        <v>44</v>
      </c>
      <c r="F955" s="8">
        <v>9.84</v>
      </c>
      <c r="G955" s="4">
        <v>3</v>
      </c>
      <c r="H955" s="8">
        <v>0.65</v>
      </c>
      <c r="I955" s="4">
        <v>0</v>
      </c>
    </row>
    <row r="956" spans="1:9" x14ac:dyDescent="0.2">
      <c r="A956" s="2">
        <v>4</v>
      </c>
      <c r="B956" s="1" t="s">
        <v>288</v>
      </c>
      <c r="C956" s="4">
        <v>37</v>
      </c>
      <c r="D956" s="8">
        <v>3.98</v>
      </c>
      <c r="E956" s="4">
        <v>1</v>
      </c>
      <c r="F956" s="8">
        <v>0.22</v>
      </c>
      <c r="G956" s="4">
        <v>36</v>
      </c>
      <c r="H956" s="8">
        <v>7.84</v>
      </c>
      <c r="I956" s="4">
        <v>0</v>
      </c>
    </row>
    <row r="957" spans="1:9" x14ac:dyDescent="0.2">
      <c r="A957" s="2">
        <v>5</v>
      </c>
      <c r="B957" s="1" t="s">
        <v>333</v>
      </c>
      <c r="C957" s="4">
        <v>32</v>
      </c>
      <c r="D957" s="8">
        <v>3.44</v>
      </c>
      <c r="E957" s="4">
        <v>19</v>
      </c>
      <c r="F957" s="8">
        <v>4.25</v>
      </c>
      <c r="G957" s="4">
        <v>13</v>
      </c>
      <c r="H957" s="8">
        <v>2.83</v>
      </c>
      <c r="I957" s="4">
        <v>0</v>
      </c>
    </row>
    <row r="958" spans="1:9" x14ac:dyDescent="0.2">
      <c r="A958" s="2">
        <v>6</v>
      </c>
      <c r="B958" s="1" t="s">
        <v>301</v>
      </c>
      <c r="C958" s="4">
        <v>29</v>
      </c>
      <c r="D958" s="8">
        <v>3.12</v>
      </c>
      <c r="E958" s="4">
        <v>27</v>
      </c>
      <c r="F958" s="8">
        <v>6.04</v>
      </c>
      <c r="G958" s="4">
        <v>2</v>
      </c>
      <c r="H958" s="8">
        <v>0.44</v>
      </c>
      <c r="I958" s="4">
        <v>0</v>
      </c>
    </row>
    <row r="959" spans="1:9" x14ac:dyDescent="0.2">
      <c r="A959" s="2">
        <v>7</v>
      </c>
      <c r="B959" s="1" t="s">
        <v>306</v>
      </c>
      <c r="C959" s="4">
        <v>27</v>
      </c>
      <c r="D959" s="8">
        <v>2.91</v>
      </c>
      <c r="E959" s="4">
        <v>26</v>
      </c>
      <c r="F959" s="8">
        <v>5.82</v>
      </c>
      <c r="G959" s="4">
        <v>1</v>
      </c>
      <c r="H959" s="8">
        <v>0.22</v>
      </c>
      <c r="I959" s="4">
        <v>0</v>
      </c>
    </row>
    <row r="960" spans="1:9" x14ac:dyDescent="0.2">
      <c r="A960" s="2">
        <v>8</v>
      </c>
      <c r="B960" s="1" t="s">
        <v>295</v>
      </c>
      <c r="C960" s="4">
        <v>23</v>
      </c>
      <c r="D960" s="8">
        <v>2.48</v>
      </c>
      <c r="E960" s="4">
        <v>7</v>
      </c>
      <c r="F960" s="8">
        <v>1.57</v>
      </c>
      <c r="G960" s="4">
        <v>16</v>
      </c>
      <c r="H960" s="8">
        <v>3.49</v>
      </c>
      <c r="I960" s="4">
        <v>0</v>
      </c>
    </row>
    <row r="961" spans="1:9" x14ac:dyDescent="0.2">
      <c r="A961" s="2">
        <v>9</v>
      </c>
      <c r="B961" s="1" t="s">
        <v>299</v>
      </c>
      <c r="C961" s="4">
        <v>21</v>
      </c>
      <c r="D961" s="8">
        <v>2.2599999999999998</v>
      </c>
      <c r="E961" s="4">
        <v>16</v>
      </c>
      <c r="F961" s="8">
        <v>3.58</v>
      </c>
      <c r="G961" s="4">
        <v>5</v>
      </c>
      <c r="H961" s="8">
        <v>1.0900000000000001</v>
      </c>
      <c r="I961" s="4">
        <v>0</v>
      </c>
    </row>
    <row r="962" spans="1:9" x14ac:dyDescent="0.2">
      <c r="A962" s="2">
        <v>9</v>
      </c>
      <c r="B962" s="1" t="s">
        <v>300</v>
      </c>
      <c r="C962" s="4">
        <v>21</v>
      </c>
      <c r="D962" s="8">
        <v>2.2599999999999998</v>
      </c>
      <c r="E962" s="4">
        <v>18</v>
      </c>
      <c r="F962" s="8">
        <v>4.03</v>
      </c>
      <c r="G962" s="4">
        <v>3</v>
      </c>
      <c r="H962" s="8">
        <v>0.65</v>
      </c>
      <c r="I962" s="4">
        <v>0</v>
      </c>
    </row>
    <row r="963" spans="1:9" x14ac:dyDescent="0.2">
      <c r="A963" s="2">
        <v>11</v>
      </c>
      <c r="B963" s="1" t="s">
        <v>305</v>
      </c>
      <c r="C963" s="4">
        <v>18</v>
      </c>
      <c r="D963" s="8">
        <v>1.94</v>
      </c>
      <c r="E963" s="4">
        <v>15</v>
      </c>
      <c r="F963" s="8">
        <v>3.36</v>
      </c>
      <c r="G963" s="4">
        <v>3</v>
      </c>
      <c r="H963" s="8">
        <v>0.65</v>
      </c>
      <c r="I963" s="4">
        <v>0</v>
      </c>
    </row>
    <row r="964" spans="1:9" x14ac:dyDescent="0.2">
      <c r="A964" s="2">
        <v>12</v>
      </c>
      <c r="B964" s="1" t="s">
        <v>341</v>
      </c>
      <c r="C964" s="4">
        <v>17</v>
      </c>
      <c r="D964" s="8">
        <v>1.83</v>
      </c>
      <c r="E964" s="4">
        <v>0</v>
      </c>
      <c r="F964" s="8">
        <v>0</v>
      </c>
      <c r="G964" s="4">
        <v>1</v>
      </c>
      <c r="H964" s="8">
        <v>0.22</v>
      </c>
      <c r="I964" s="4">
        <v>0</v>
      </c>
    </row>
    <row r="965" spans="1:9" x14ac:dyDescent="0.2">
      <c r="A965" s="2">
        <v>13</v>
      </c>
      <c r="B965" s="1" t="s">
        <v>302</v>
      </c>
      <c r="C965" s="4">
        <v>16</v>
      </c>
      <c r="D965" s="8">
        <v>1.72</v>
      </c>
      <c r="E965" s="4">
        <v>11</v>
      </c>
      <c r="F965" s="8">
        <v>2.46</v>
      </c>
      <c r="G965" s="4">
        <v>5</v>
      </c>
      <c r="H965" s="8">
        <v>1.0900000000000001</v>
      </c>
      <c r="I965" s="4">
        <v>0</v>
      </c>
    </row>
    <row r="966" spans="1:9" x14ac:dyDescent="0.2">
      <c r="A966" s="2">
        <v>14</v>
      </c>
      <c r="B966" s="1" t="s">
        <v>293</v>
      </c>
      <c r="C966" s="4">
        <v>15</v>
      </c>
      <c r="D966" s="8">
        <v>1.61</v>
      </c>
      <c r="E966" s="4">
        <v>2</v>
      </c>
      <c r="F966" s="8">
        <v>0.45</v>
      </c>
      <c r="G966" s="4">
        <v>13</v>
      </c>
      <c r="H966" s="8">
        <v>2.83</v>
      </c>
      <c r="I966" s="4">
        <v>0</v>
      </c>
    </row>
    <row r="967" spans="1:9" x14ac:dyDescent="0.2">
      <c r="A967" s="2">
        <v>14</v>
      </c>
      <c r="B967" s="1" t="s">
        <v>307</v>
      </c>
      <c r="C967" s="4">
        <v>15</v>
      </c>
      <c r="D967" s="8">
        <v>1.61</v>
      </c>
      <c r="E967" s="4">
        <v>6</v>
      </c>
      <c r="F967" s="8">
        <v>1.34</v>
      </c>
      <c r="G967" s="4">
        <v>9</v>
      </c>
      <c r="H967" s="8">
        <v>1.96</v>
      </c>
      <c r="I967" s="4">
        <v>0</v>
      </c>
    </row>
    <row r="968" spans="1:9" x14ac:dyDescent="0.2">
      <c r="A968" s="2">
        <v>16</v>
      </c>
      <c r="B968" s="1" t="s">
        <v>289</v>
      </c>
      <c r="C968" s="4">
        <v>14</v>
      </c>
      <c r="D968" s="8">
        <v>1.51</v>
      </c>
      <c r="E968" s="4">
        <v>3</v>
      </c>
      <c r="F968" s="8">
        <v>0.67</v>
      </c>
      <c r="G968" s="4">
        <v>11</v>
      </c>
      <c r="H968" s="8">
        <v>2.4</v>
      </c>
      <c r="I968" s="4">
        <v>0</v>
      </c>
    </row>
    <row r="969" spans="1:9" x14ac:dyDescent="0.2">
      <c r="A969" s="2">
        <v>16</v>
      </c>
      <c r="B969" s="1" t="s">
        <v>328</v>
      </c>
      <c r="C969" s="4">
        <v>14</v>
      </c>
      <c r="D969" s="8">
        <v>1.51</v>
      </c>
      <c r="E969" s="4">
        <v>4</v>
      </c>
      <c r="F969" s="8">
        <v>0.89</v>
      </c>
      <c r="G969" s="4">
        <v>10</v>
      </c>
      <c r="H969" s="8">
        <v>2.1800000000000002</v>
      </c>
      <c r="I969" s="4">
        <v>0</v>
      </c>
    </row>
    <row r="970" spans="1:9" x14ac:dyDescent="0.2">
      <c r="A970" s="2">
        <v>18</v>
      </c>
      <c r="B970" s="1" t="s">
        <v>314</v>
      </c>
      <c r="C970" s="4">
        <v>12</v>
      </c>
      <c r="D970" s="8">
        <v>1.29</v>
      </c>
      <c r="E970" s="4">
        <v>4</v>
      </c>
      <c r="F970" s="8">
        <v>0.89</v>
      </c>
      <c r="G970" s="4">
        <v>8</v>
      </c>
      <c r="H970" s="8">
        <v>1.74</v>
      </c>
      <c r="I970" s="4">
        <v>0</v>
      </c>
    </row>
    <row r="971" spans="1:9" x14ac:dyDescent="0.2">
      <c r="A971" s="2">
        <v>18</v>
      </c>
      <c r="B971" s="1" t="s">
        <v>335</v>
      </c>
      <c r="C971" s="4">
        <v>12</v>
      </c>
      <c r="D971" s="8">
        <v>1.29</v>
      </c>
      <c r="E971" s="4">
        <v>5</v>
      </c>
      <c r="F971" s="8">
        <v>1.1200000000000001</v>
      </c>
      <c r="G971" s="4">
        <v>7</v>
      </c>
      <c r="H971" s="8">
        <v>1.53</v>
      </c>
      <c r="I971" s="4">
        <v>0</v>
      </c>
    </row>
    <row r="972" spans="1:9" x14ac:dyDescent="0.2">
      <c r="A972" s="2">
        <v>18</v>
      </c>
      <c r="B972" s="1" t="s">
        <v>323</v>
      </c>
      <c r="C972" s="4">
        <v>12</v>
      </c>
      <c r="D972" s="8">
        <v>1.29</v>
      </c>
      <c r="E972" s="4">
        <v>3</v>
      </c>
      <c r="F972" s="8">
        <v>0.67</v>
      </c>
      <c r="G972" s="4">
        <v>9</v>
      </c>
      <c r="H972" s="8">
        <v>1.96</v>
      </c>
      <c r="I972" s="4">
        <v>0</v>
      </c>
    </row>
    <row r="973" spans="1:9" x14ac:dyDescent="0.2">
      <c r="A973" s="1"/>
      <c r="C973" s="4"/>
      <c r="D973" s="8"/>
      <c r="E973" s="4"/>
      <c r="F973" s="8"/>
      <c r="G973" s="4"/>
      <c r="H973" s="8"/>
      <c r="I973" s="4"/>
    </row>
    <row r="974" spans="1:9" x14ac:dyDescent="0.2">
      <c r="A974" s="1" t="s">
        <v>41</v>
      </c>
      <c r="C974" s="4"/>
      <c r="D974" s="8"/>
      <c r="E974" s="4"/>
      <c r="F974" s="8"/>
      <c r="G974" s="4"/>
      <c r="H974" s="8"/>
      <c r="I974" s="4"/>
    </row>
    <row r="975" spans="1:9" x14ac:dyDescent="0.2">
      <c r="A975" s="2">
        <v>1</v>
      </c>
      <c r="B975" s="1" t="s">
        <v>304</v>
      </c>
      <c r="C975" s="4">
        <v>71</v>
      </c>
      <c r="D975" s="8">
        <v>7.02</v>
      </c>
      <c r="E975" s="4">
        <v>59</v>
      </c>
      <c r="F975" s="8">
        <v>12.11</v>
      </c>
      <c r="G975" s="4">
        <v>12</v>
      </c>
      <c r="H975" s="8">
        <v>2.35</v>
      </c>
      <c r="I975" s="4">
        <v>0</v>
      </c>
    </row>
    <row r="976" spans="1:9" x14ac:dyDescent="0.2">
      <c r="A976" s="2">
        <v>2</v>
      </c>
      <c r="B976" s="1" t="s">
        <v>297</v>
      </c>
      <c r="C976" s="4">
        <v>69</v>
      </c>
      <c r="D976" s="8">
        <v>6.82</v>
      </c>
      <c r="E976" s="4">
        <v>44</v>
      </c>
      <c r="F976" s="8">
        <v>9.0299999999999994</v>
      </c>
      <c r="G976" s="4">
        <v>25</v>
      </c>
      <c r="H976" s="8">
        <v>4.9000000000000004</v>
      </c>
      <c r="I976" s="4">
        <v>0</v>
      </c>
    </row>
    <row r="977" spans="1:9" x14ac:dyDescent="0.2">
      <c r="A977" s="2">
        <v>3</v>
      </c>
      <c r="B977" s="1" t="s">
        <v>303</v>
      </c>
      <c r="C977" s="4">
        <v>61</v>
      </c>
      <c r="D977" s="8">
        <v>6.03</v>
      </c>
      <c r="E977" s="4">
        <v>57</v>
      </c>
      <c r="F977" s="8">
        <v>11.7</v>
      </c>
      <c r="G977" s="4">
        <v>4</v>
      </c>
      <c r="H977" s="8">
        <v>0.78</v>
      </c>
      <c r="I977" s="4">
        <v>0</v>
      </c>
    </row>
    <row r="978" spans="1:9" x14ac:dyDescent="0.2">
      <c r="A978" s="2">
        <v>4</v>
      </c>
      <c r="B978" s="1" t="s">
        <v>305</v>
      </c>
      <c r="C978" s="4">
        <v>38</v>
      </c>
      <c r="D978" s="8">
        <v>3.76</v>
      </c>
      <c r="E978" s="4">
        <v>32</v>
      </c>
      <c r="F978" s="8">
        <v>6.57</v>
      </c>
      <c r="G978" s="4">
        <v>6</v>
      </c>
      <c r="H978" s="8">
        <v>1.18</v>
      </c>
      <c r="I978" s="4">
        <v>0</v>
      </c>
    </row>
    <row r="979" spans="1:9" x14ac:dyDescent="0.2">
      <c r="A979" s="2">
        <v>5</v>
      </c>
      <c r="B979" s="1" t="s">
        <v>306</v>
      </c>
      <c r="C979" s="4">
        <v>31</v>
      </c>
      <c r="D979" s="8">
        <v>3.07</v>
      </c>
      <c r="E979" s="4">
        <v>29</v>
      </c>
      <c r="F979" s="8">
        <v>5.95</v>
      </c>
      <c r="G979" s="4">
        <v>2</v>
      </c>
      <c r="H979" s="8">
        <v>0.39</v>
      </c>
      <c r="I979" s="4">
        <v>0</v>
      </c>
    </row>
    <row r="980" spans="1:9" x14ac:dyDescent="0.2">
      <c r="A980" s="2">
        <v>6</v>
      </c>
      <c r="B980" s="1" t="s">
        <v>301</v>
      </c>
      <c r="C980" s="4">
        <v>27</v>
      </c>
      <c r="D980" s="8">
        <v>2.67</v>
      </c>
      <c r="E980" s="4">
        <v>26</v>
      </c>
      <c r="F980" s="8">
        <v>5.34</v>
      </c>
      <c r="G980" s="4">
        <v>1</v>
      </c>
      <c r="H980" s="8">
        <v>0.2</v>
      </c>
      <c r="I980" s="4">
        <v>0</v>
      </c>
    </row>
    <row r="981" spans="1:9" x14ac:dyDescent="0.2">
      <c r="A981" s="2">
        <v>7</v>
      </c>
      <c r="B981" s="1" t="s">
        <v>300</v>
      </c>
      <c r="C981" s="4">
        <v>21</v>
      </c>
      <c r="D981" s="8">
        <v>2.08</v>
      </c>
      <c r="E981" s="4">
        <v>17</v>
      </c>
      <c r="F981" s="8">
        <v>3.49</v>
      </c>
      <c r="G981" s="4">
        <v>4</v>
      </c>
      <c r="H981" s="8">
        <v>0.78</v>
      </c>
      <c r="I981" s="4">
        <v>0</v>
      </c>
    </row>
    <row r="982" spans="1:9" x14ac:dyDescent="0.2">
      <c r="A982" s="2">
        <v>8</v>
      </c>
      <c r="B982" s="1" t="s">
        <v>295</v>
      </c>
      <c r="C982" s="4">
        <v>19</v>
      </c>
      <c r="D982" s="8">
        <v>1.88</v>
      </c>
      <c r="E982" s="4">
        <v>5</v>
      </c>
      <c r="F982" s="8">
        <v>1.03</v>
      </c>
      <c r="G982" s="4">
        <v>14</v>
      </c>
      <c r="H982" s="8">
        <v>2.75</v>
      </c>
      <c r="I982" s="4">
        <v>0</v>
      </c>
    </row>
    <row r="983" spans="1:9" x14ac:dyDescent="0.2">
      <c r="A983" s="2">
        <v>9</v>
      </c>
      <c r="B983" s="1" t="s">
        <v>328</v>
      </c>
      <c r="C983" s="4">
        <v>17</v>
      </c>
      <c r="D983" s="8">
        <v>1.68</v>
      </c>
      <c r="E983" s="4">
        <v>1</v>
      </c>
      <c r="F983" s="8">
        <v>0.21</v>
      </c>
      <c r="G983" s="4">
        <v>16</v>
      </c>
      <c r="H983" s="8">
        <v>3.14</v>
      </c>
      <c r="I983" s="4">
        <v>0</v>
      </c>
    </row>
    <row r="984" spans="1:9" x14ac:dyDescent="0.2">
      <c r="A984" s="2">
        <v>9</v>
      </c>
      <c r="B984" s="1" t="s">
        <v>294</v>
      </c>
      <c r="C984" s="4">
        <v>17</v>
      </c>
      <c r="D984" s="8">
        <v>1.68</v>
      </c>
      <c r="E984" s="4">
        <v>7</v>
      </c>
      <c r="F984" s="8">
        <v>1.44</v>
      </c>
      <c r="G984" s="4">
        <v>10</v>
      </c>
      <c r="H984" s="8">
        <v>1.96</v>
      </c>
      <c r="I984" s="4">
        <v>0</v>
      </c>
    </row>
    <row r="985" spans="1:9" x14ac:dyDescent="0.2">
      <c r="A985" s="2">
        <v>11</v>
      </c>
      <c r="B985" s="1" t="s">
        <v>333</v>
      </c>
      <c r="C985" s="4">
        <v>16</v>
      </c>
      <c r="D985" s="8">
        <v>1.58</v>
      </c>
      <c r="E985" s="4">
        <v>9</v>
      </c>
      <c r="F985" s="8">
        <v>1.85</v>
      </c>
      <c r="G985" s="4">
        <v>7</v>
      </c>
      <c r="H985" s="8">
        <v>1.37</v>
      </c>
      <c r="I985" s="4">
        <v>0</v>
      </c>
    </row>
    <row r="986" spans="1:9" x14ac:dyDescent="0.2">
      <c r="A986" s="2">
        <v>11</v>
      </c>
      <c r="B986" s="1" t="s">
        <v>299</v>
      </c>
      <c r="C986" s="4">
        <v>16</v>
      </c>
      <c r="D986" s="8">
        <v>1.58</v>
      </c>
      <c r="E986" s="4">
        <v>12</v>
      </c>
      <c r="F986" s="8">
        <v>2.46</v>
      </c>
      <c r="G986" s="4">
        <v>4</v>
      </c>
      <c r="H986" s="8">
        <v>0.78</v>
      </c>
      <c r="I986" s="4">
        <v>0</v>
      </c>
    </row>
    <row r="987" spans="1:9" x14ac:dyDescent="0.2">
      <c r="A987" s="2">
        <v>13</v>
      </c>
      <c r="B987" s="1" t="s">
        <v>293</v>
      </c>
      <c r="C987" s="4">
        <v>15</v>
      </c>
      <c r="D987" s="8">
        <v>1.48</v>
      </c>
      <c r="E987" s="4">
        <v>6</v>
      </c>
      <c r="F987" s="8">
        <v>1.23</v>
      </c>
      <c r="G987" s="4">
        <v>9</v>
      </c>
      <c r="H987" s="8">
        <v>1.76</v>
      </c>
      <c r="I987" s="4">
        <v>0</v>
      </c>
    </row>
    <row r="988" spans="1:9" x14ac:dyDescent="0.2">
      <c r="A988" s="2">
        <v>13</v>
      </c>
      <c r="B988" s="1" t="s">
        <v>302</v>
      </c>
      <c r="C988" s="4">
        <v>15</v>
      </c>
      <c r="D988" s="8">
        <v>1.48</v>
      </c>
      <c r="E988" s="4">
        <v>15</v>
      </c>
      <c r="F988" s="8">
        <v>3.08</v>
      </c>
      <c r="G988" s="4">
        <v>0</v>
      </c>
      <c r="H988" s="8">
        <v>0</v>
      </c>
      <c r="I988" s="4">
        <v>0</v>
      </c>
    </row>
    <row r="989" spans="1:9" x14ac:dyDescent="0.2">
      <c r="A989" s="2">
        <v>15</v>
      </c>
      <c r="B989" s="1" t="s">
        <v>289</v>
      </c>
      <c r="C989" s="4">
        <v>14</v>
      </c>
      <c r="D989" s="8">
        <v>1.38</v>
      </c>
      <c r="E989" s="4">
        <v>1</v>
      </c>
      <c r="F989" s="8">
        <v>0.21</v>
      </c>
      <c r="G989" s="4">
        <v>13</v>
      </c>
      <c r="H989" s="8">
        <v>2.5499999999999998</v>
      </c>
      <c r="I989" s="4">
        <v>0</v>
      </c>
    </row>
    <row r="990" spans="1:9" x14ac:dyDescent="0.2">
      <c r="A990" s="2">
        <v>15</v>
      </c>
      <c r="B990" s="1" t="s">
        <v>319</v>
      </c>
      <c r="C990" s="4">
        <v>14</v>
      </c>
      <c r="D990" s="8">
        <v>1.38</v>
      </c>
      <c r="E990" s="4">
        <v>2</v>
      </c>
      <c r="F990" s="8">
        <v>0.41</v>
      </c>
      <c r="G990" s="4">
        <v>12</v>
      </c>
      <c r="H990" s="8">
        <v>2.35</v>
      </c>
      <c r="I990" s="4">
        <v>0</v>
      </c>
    </row>
    <row r="991" spans="1:9" x14ac:dyDescent="0.2">
      <c r="A991" s="2">
        <v>15</v>
      </c>
      <c r="B991" s="1" t="s">
        <v>323</v>
      </c>
      <c r="C991" s="4">
        <v>14</v>
      </c>
      <c r="D991" s="8">
        <v>1.38</v>
      </c>
      <c r="E991" s="4">
        <v>6</v>
      </c>
      <c r="F991" s="8">
        <v>1.23</v>
      </c>
      <c r="G991" s="4">
        <v>8</v>
      </c>
      <c r="H991" s="8">
        <v>1.57</v>
      </c>
      <c r="I991" s="4">
        <v>0</v>
      </c>
    </row>
    <row r="992" spans="1:9" x14ac:dyDescent="0.2">
      <c r="A992" s="2">
        <v>15</v>
      </c>
      <c r="B992" s="1" t="s">
        <v>327</v>
      </c>
      <c r="C992" s="4">
        <v>14</v>
      </c>
      <c r="D992" s="8">
        <v>1.38</v>
      </c>
      <c r="E992" s="4">
        <v>7</v>
      </c>
      <c r="F992" s="8">
        <v>1.44</v>
      </c>
      <c r="G992" s="4">
        <v>7</v>
      </c>
      <c r="H992" s="8">
        <v>1.37</v>
      </c>
      <c r="I992" s="4">
        <v>0</v>
      </c>
    </row>
    <row r="993" spans="1:9" x14ac:dyDescent="0.2">
      <c r="A993" s="2">
        <v>19</v>
      </c>
      <c r="B993" s="1" t="s">
        <v>298</v>
      </c>
      <c r="C993" s="4">
        <v>13</v>
      </c>
      <c r="D993" s="8">
        <v>1.29</v>
      </c>
      <c r="E993" s="4">
        <v>2</v>
      </c>
      <c r="F993" s="8">
        <v>0.41</v>
      </c>
      <c r="G993" s="4">
        <v>11</v>
      </c>
      <c r="H993" s="8">
        <v>2.16</v>
      </c>
      <c r="I993" s="4">
        <v>0</v>
      </c>
    </row>
    <row r="994" spans="1:9" x14ac:dyDescent="0.2">
      <c r="A994" s="2">
        <v>19</v>
      </c>
      <c r="B994" s="1" t="s">
        <v>325</v>
      </c>
      <c r="C994" s="4">
        <v>13</v>
      </c>
      <c r="D994" s="8">
        <v>1.29</v>
      </c>
      <c r="E994" s="4">
        <v>2</v>
      </c>
      <c r="F994" s="8">
        <v>0.41</v>
      </c>
      <c r="G994" s="4">
        <v>10</v>
      </c>
      <c r="H994" s="8">
        <v>1.96</v>
      </c>
      <c r="I994" s="4">
        <v>0</v>
      </c>
    </row>
    <row r="995" spans="1:9" x14ac:dyDescent="0.2">
      <c r="A995" s="2">
        <v>19</v>
      </c>
      <c r="B995" s="1" t="s">
        <v>307</v>
      </c>
      <c r="C995" s="4">
        <v>13</v>
      </c>
      <c r="D995" s="8">
        <v>1.29</v>
      </c>
      <c r="E995" s="4">
        <v>5</v>
      </c>
      <c r="F995" s="8">
        <v>1.03</v>
      </c>
      <c r="G995" s="4">
        <v>8</v>
      </c>
      <c r="H995" s="8">
        <v>1.57</v>
      </c>
      <c r="I995" s="4">
        <v>0</v>
      </c>
    </row>
    <row r="996" spans="1:9" x14ac:dyDescent="0.2">
      <c r="A996" s="1"/>
      <c r="C996" s="4"/>
      <c r="D996" s="8"/>
      <c r="E996" s="4"/>
      <c r="F996" s="8"/>
      <c r="G996" s="4"/>
      <c r="H996" s="8"/>
      <c r="I996" s="4"/>
    </row>
    <row r="997" spans="1:9" x14ac:dyDescent="0.2">
      <c r="A997" s="1" t="s">
        <v>42</v>
      </c>
      <c r="C997" s="4"/>
      <c r="D997" s="8"/>
      <c r="E997" s="4"/>
      <c r="F997" s="8"/>
      <c r="G997" s="4"/>
      <c r="H997" s="8"/>
      <c r="I997" s="4"/>
    </row>
    <row r="998" spans="1:9" x14ac:dyDescent="0.2">
      <c r="A998" s="2">
        <v>1</v>
      </c>
      <c r="B998" s="1" t="s">
        <v>297</v>
      </c>
      <c r="C998" s="4">
        <v>72</v>
      </c>
      <c r="D998" s="8">
        <v>9.35</v>
      </c>
      <c r="E998" s="4">
        <v>55</v>
      </c>
      <c r="F998" s="8">
        <v>12.53</v>
      </c>
      <c r="G998" s="4">
        <v>17</v>
      </c>
      <c r="H998" s="8">
        <v>5.31</v>
      </c>
      <c r="I998" s="4">
        <v>0</v>
      </c>
    </row>
    <row r="999" spans="1:9" x14ac:dyDescent="0.2">
      <c r="A999" s="2">
        <v>2</v>
      </c>
      <c r="B999" s="1" t="s">
        <v>304</v>
      </c>
      <c r="C999" s="4">
        <v>51</v>
      </c>
      <c r="D999" s="8">
        <v>6.62</v>
      </c>
      <c r="E999" s="4">
        <v>46</v>
      </c>
      <c r="F999" s="8">
        <v>10.48</v>
      </c>
      <c r="G999" s="4">
        <v>5</v>
      </c>
      <c r="H999" s="8">
        <v>1.56</v>
      </c>
      <c r="I999" s="4">
        <v>0</v>
      </c>
    </row>
    <row r="1000" spans="1:9" x14ac:dyDescent="0.2">
      <c r="A1000" s="2">
        <v>3</v>
      </c>
      <c r="B1000" s="1" t="s">
        <v>303</v>
      </c>
      <c r="C1000" s="4">
        <v>34</v>
      </c>
      <c r="D1000" s="8">
        <v>4.42</v>
      </c>
      <c r="E1000" s="4">
        <v>34</v>
      </c>
      <c r="F1000" s="8">
        <v>7.74</v>
      </c>
      <c r="G1000" s="4">
        <v>0</v>
      </c>
      <c r="H1000" s="8">
        <v>0</v>
      </c>
      <c r="I1000" s="4">
        <v>0</v>
      </c>
    </row>
    <row r="1001" spans="1:9" x14ac:dyDescent="0.2">
      <c r="A1001" s="2">
        <v>4</v>
      </c>
      <c r="B1001" s="1" t="s">
        <v>301</v>
      </c>
      <c r="C1001" s="4">
        <v>31</v>
      </c>
      <c r="D1001" s="8">
        <v>4.03</v>
      </c>
      <c r="E1001" s="4">
        <v>29</v>
      </c>
      <c r="F1001" s="8">
        <v>6.61</v>
      </c>
      <c r="G1001" s="4">
        <v>2</v>
      </c>
      <c r="H1001" s="8">
        <v>0.63</v>
      </c>
      <c r="I1001" s="4">
        <v>0</v>
      </c>
    </row>
    <row r="1002" spans="1:9" x14ac:dyDescent="0.2">
      <c r="A1002" s="2">
        <v>5</v>
      </c>
      <c r="B1002" s="1" t="s">
        <v>299</v>
      </c>
      <c r="C1002" s="4">
        <v>30</v>
      </c>
      <c r="D1002" s="8">
        <v>3.9</v>
      </c>
      <c r="E1002" s="4">
        <v>22</v>
      </c>
      <c r="F1002" s="8">
        <v>5.01</v>
      </c>
      <c r="G1002" s="4">
        <v>8</v>
      </c>
      <c r="H1002" s="8">
        <v>2.5</v>
      </c>
      <c r="I1002" s="4">
        <v>0</v>
      </c>
    </row>
    <row r="1003" spans="1:9" x14ac:dyDescent="0.2">
      <c r="A1003" s="2">
        <v>6</v>
      </c>
      <c r="B1003" s="1" t="s">
        <v>295</v>
      </c>
      <c r="C1003" s="4">
        <v>19</v>
      </c>
      <c r="D1003" s="8">
        <v>2.4700000000000002</v>
      </c>
      <c r="E1003" s="4">
        <v>12</v>
      </c>
      <c r="F1003" s="8">
        <v>2.73</v>
      </c>
      <c r="G1003" s="4">
        <v>7</v>
      </c>
      <c r="H1003" s="8">
        <v>2.19</v>
      </c>
      <c r="I1003" s="4">
        <v>0</v>
      </c>
    </row>
    <row r="1004" spans="1:9" x14ac:dyDescent="0.2">
      <c r="A1004" s="2">
        <v>6</v>
      </c>
      <c r="B1004" s="1" t="s">
        <v>306</v>
      </c>
      <c r="C1004" s="4">
        <v>19</v>
      </c>
      <c r="D1004" s="8">
        <v>2.4700000000000002</v>
      </c>
      <c r="E1004" s="4">
        <v>17</v>
      </c>
      <c r="F1004" s="8">
        <v>3.87</v>
      </c>
      <c r="G1004" s="4">
        <v>2</v>
      </c>
      <c r="H1004" s="8">
        <v>0.63</v>
      </c>
      <c r="I1004" s="4">
        <v>0</v>
      </c>
    </row>
    <row r="1005" spans="1:9" x14ac:dyDescent="0.2">
      <c r="A1005" s="2">
        <v>8</v>
      </c>
      <c r="B1005" s="1" t="s">
        <v>300</v>
      </c>
      <c r="C1005" s="4">
        <v>17</v>
      </c>
      <c r="D1005" s="8">
        <v>2.21</v>
      </c>
      <c r="E1005" s="4">
        <v>13</v>
      </c>
      <c r="F1005" s="8">
        <v>2.96</v>
      </c>
      <c r="G1005" s="4">
        <v>4</v>
      </c>
      <c r="H1005" s="8">
        <v>1.25</v>
      </c>
      <c r="I1005" s="4">
        <v>0</v>
      </c>
    </row>
    <row r="1006" spans="1:9" x14ac:dyDescent="0.2">
      <c r="A1006" s="2">
        <v>9</v>
      </c>
      <c r="B1006" s="1" t="s">
        <v>293</v>
      </c>
      <c r="C1006" s="4">
        <v>16</v>
      </c>
      <c r="D1006" s="8">
        <v>2.08</v>
      </c>
      <c r="E1006" s="4">
        <v>6</v>
      </c>
      <c r="F1006" s="8">
        <v>1.37</v>
      </c>
      <c r="G1006" s="4">
        <v>10</v>
      </c>
      <c r="H1006" s="8">
        <v>3.13</v>
      </c>
      <c r="I1006" s="4">
        <v>0</v>
      </c>
    </row>
    <row r="1007" spans="1:9" x14ac:dyDescent="0.2">
      <c r="A1007" s="2">
        <v>10</v>
      </c>
      <c r="B1007" s="1" t="s">
        <v>294</v>
      </c>
      <c r="C1007" s="4">
        <v>15</v>
      </c>
      <c r="D1007" s="8">
        <v>1.95</v>
      </c>
      <c r="E1007" s="4">
        <v>8</v>
      </c>
      <c r="F1007" s="8">
        <v>1.82</v>
      </c>
      <c r="G1007" s="4">
        <v>7</v>
      </c>
      <c r="H1007" s="8">
        <v>2.19</v>
      </c>
      <c r="I1007" s="4">
        <v>0</v>
      </c>
    </row>
    <row r="1008" spans="1:9" x14ac:dyDescent="0.2">
      <c r="A1008" s="2">
        <v>11</v>
      </c>
      <c r="B1008" s="1" t="s">
        <v>305</v>
      </c>
      <c r="C1008" s="4">
        <v>14</v>
      </c>
      <c r="D1008" s="8">
        <v>1.82</v>
      </c>
      <c r="E1008" s="4">
        <v>10</v>
      </c>
      <c r="F1008" s="8">
        <v>2.2799999999999998</v>
      </c>
      <c r="G1008" s="4">
        <v>4</v>
      </c>
      <c r="H1008" s="8">
        <v>1.25</v>
      </c>
      <c r="I1008" s="4">
        <v>0</v>
      </c>
    </row>
    <row r="1009" spans="1:9" x14ac:dyDescent="0.2">
      <c r="A1009" s="2">
        <v>12</v>
      </c>
      <c r="B1009" s="1" t="s">
        <v>329</v>
      </c>
      <c r="C1009" s="4">
        <v>13</v>
      </c>
      <c r="D1009" s="8">
        <v>1.69</v>
      </c>
      <c r="E1009" s="4">
        <v>9</v>
      </c>
      <c r="F1009" s="8">
        <v>2.0499999999999998</v>
      </c>
      <c r="G1009" s="4">
        <v>4</v>
      </c>
      <c r="H1009" s="8">
        <v>1.25</v>
      </c>
      <c r="I1009" s="4">
        <v>0</v>
      </c>
    </row>
    <row r="1010" spans="1:9" x14ac:dyDescent="0.2">
      <c r="A1010" s="2">
        <v>13</v>
      </c>
      <c r="B1010" s="1" t="s">
        <v>296</v>
      </c>
      <c r="C1010" s="4">
        <v>12</v>
      </c>
      <c r="D1010" s="8">
        <v>1.56</v>
      </c>
      <c r="E1010" s="4">
        <v>3</v>
      </c>
      <c r="F1010" s="8">
        <v>0.68</v>
      </c>
      <c r="G1010" s="4">
        <v>9</v>
      </c>
      <c r="H1010" s="8">
        <v>2.81</v>
      </c>
      <c r="I1010" s="4">
        <v>0</v>
      </c>
    </row>
    <row r="1011" spans="1:9" x14ac:dyDescent="0.2">
      <c r="A1011" s="2">
        <v>13</v>
      </c>
      <c r="B1011" s="1" t="s">
        <v>347</v>
      </c>
      <c r="C1011" s="4">
        <v>12</v>
      </c>
      <c r="D1011" s="8">
        <v>1.56</v>
      </c>
      <c r="E1011" s="4">
        <v>0</v>
      </c>
      <c r="F1011" s="8">
        <v>0</v>
      </c>
      <c r="G1011" s="4">
        <v>12</v>
      </c>
      <c r="H1011" s="8">
        <v>3.75</v>
      </c>
      <c r="I1011" s="4">
        <v>0</v>
      </c>
    </row>
    <row r="1012" spans="1:9" x14ac:dyDescent="0.2">
      <c r="A1012" s="2">
        <v>15</v>
      </c>
      <c r="B1012" s="1" t="s">
        <v>289</v>
      </c>
      <c r="C1012" s="4">
        <v>11</v>
      </c>
      <c r="D1012" s="8">
        <v>1.43</v>
      </c>
      <c r="E1012" s="4">
        <v>1</v>
      </c>
      <c r="F1012" s="8">
        <v>0.23</v>
      </c>
      <c r="G1012" s="4">
        <v>10</v>
      </c>
      <c r="H1012" s="8">
        <v>3.13</v>
      </c>
      <c r="I1012" s="4">
        <v>0</v>
      </c>
    </row>
    <row r="1013" spans="1:9" x14ac:dyDescent="0.2">
      <c r="A1013" s="2">
        <v>15</v>
      </c>
      <c r="B1013" s="1" t="s">
        <v>330</v>
      </c>
      <c r="C1013" s="4">
        <v>11</v>
      </c>
      <c r="D1013" s="8">
        <v>1.43</v>
      </c>
      <c r="E1013" s="4">
        <v>1</v>
      </c>
      <c r="F1013" s="8">
        <v>0.23</v>
      </c>
      <c r="G1013" s="4">
        <v>10</v>
      </c>
      <c r="H1013" s="8">
        <v>3.13</v>
      </c>
      <c r="I1013" s="4">
        <v>0</v>
      </c>
    </row>
    <row r="1014" spans="1:9" x14ac:dyDescent="0.2">
      <c r="A1014" s="2">
        <v>15</v>
      </c>
      <c r="B1014" s="1" t="s">
        <v>302</v>
      </c>
      <c r="C1014" s="4">
        <v>11</v>
      </c>
      <c r="D1014" s="8">
        <v>1.43</v>
      </c>
      <c r="E1014" s="4">
        <v>11</v>
      </c>
      <c r="F1014" s="8">
        <v>2.5099999999999998</v>
      </c>
      <c r="G1014" s="4">
        <v>0</v>
      </c>
      <c r="H1014" s="8">
        <v>0</v>
      </c>
      <c r="I1014" s="4">
        <v>0</v>
      </c>
    </row>
    <row r="1015" spans="1:9" x14ac:dyDescent="0.2">
      <c r="A1015" s="2">
        <v>15</v>
      </c>
      <c r="B1015" s="1" t="s">
        <v>325</v>
      </c>
      <c r="C1015" s="4">
        <v>11</v>
      </c>
      <c r="D1015" s="8">
        <v>1.43</v>
      </c>
      <c r="E1015" s="4">
        <v>1</v>
      </c>
      <c r="F1015" s="8">
        <v>0.23</v>
      </c>
      <c r="G1015" s="4">
        <v>10</v>
      </c>
      <c r="H1015" s="8">
        <v>3.13</v>
      </c>
      <c r="I1015" s="4">
        <v>0</v>
      </c>
    </row>
    <row r="1016" spans="1:9" x14ac:dyDescent="0.2">
      <c r="A1016" s="2">
        <v>15</v>
      </c>
      <c r="B1016" s="1" t="s">
        <v>307</v>
      </c>
      <c r="C1016" s="4">
        <v>11</v>
      </c>
      <c r="D1016" s="8">
        <v>1.43</v>
      </c>
      <c r="E1016" s="4">
        <v>7</v>
      </c>
      <c r="F1016" s="8">
        <v>1.59</v>
      </c>
      <c r="G1016" s="4">
        <v>4</v>
      </c>
      <c r="H1016" s="8">
        <v>1.25</v>
      </c>
      <c r="I1016" s="4">
        <v>0</v>
      </c>
    </row>
    <row r="1017" spans="1:9" x14ac:dyDescent="0.2">
      <c r="A1017" s="2">
        <v>20</v>
      </c>
      <c r="B1017" s="1" t="s">
        <v>288</v>
      </c>
      <c r="C1017" s="4">
        <v>10</v>
      </c>
      <c r="D1017" s="8">
        <v>1.3</v>
      </c>
      <c r="E1017" s="4">
        <v>1</v>
      </c>
      <c r="F1017" s="8">
        <v>0.23</v>
      </c>
      <c r="G1017" s="4">
        <v>9</v>
      </c>
      <c r="H1017" s="8">
        <v>2.81</v>
      </c>
      <c r="I1017" s="4">
        <v>0</v>
      </c>
    </row>
    <row r="1018" spans="1:9" x14ac:dyDescent="0.2">
      <c r="A1018" s="2">
        <v>20</v>
      </c>
      <c r="B1018" s="1" t="s">
        <v>319</v>
      </c>
      <c r="C1018" s="4">
        <v>10</v>
      </c>
      <c r="D1018" s="8">
        <v>1.3</v>
      </c>
      <c r="E1018" s="4">
        <v>3</v>
      </c>
      <c r="F1018" s="8">
        <v>0.68</v>
      </c>
      <c r="G1018" s="4">
        <v>7</v>
      </c>
      <c r="H1018" s="8">
        <v>2.19</v>
      </c>
      <c r="I1018" s="4">
        <v>0</v>
      </c>
    </row>
    <row r="1019" spans="1:9" x14ac:dyDescent="0.2">
      <c r="A1019" s="2">
        <v>20</v>
      </c>
      <c r="B1019" s="1" t="s">
        <v>335</v>
      </c>
      <c r="C1019" s="4">
        <v>10</v>
      </c>
      <c r="D1019" s="8">
        <v>1.3</v>
      </c>
      <c r="E1019" s="4">
        <v>8</v>
      </c>
      <c r="F1019" s="8">
        <v>1.82</v>
      </c>
      <c r="G1019" s="4">
        <v>2</v>
      </c>
      <c r="H1019" s="8">
        <v>0.63</v>
      </c>
      <c r="I1019" s="4">
        <v>0</v>
      </c>
    </row>
    <row r="1020" spans="1:9" x14ac:dyDescent="0.2">
      <c r="A1020" s="2">
        <v>20</v>
      </c>
      <c r="B1020" s="1" t="s">
        <v>312</v>
      </c>
      <c r="C1020" s="4">
        <v>10</v>
      </c>
      <c r="D1020" s="8">
        <v>1.3</v>
      </c>
      <c r="E1020" s="4">
        <v>10</v>
      </c>
      <c r="F1020" s="8">
        <v>2.2799999999999998</v>
      </c>
      <c r="G1020" s="4">
        <v>0</v>
      </c>
      <c r="H1020" s="8">
        <v>0</v>
      </c>
      <c r="I1020" s="4">
        <v>0</v>
      </c>
    </row>
    <row r="1021" spans="1:9" x14ac:dyDescent="0.2">
      <c r="A1021" s="1"/>
      <c r="C1021" s="4"/>
      <c r="D1021" s="8"/>
      <c r="E1021" s="4"/>
      <c r="F1021" s="8"/>
      <c r="G1021" s="4"/>
      <c r="H1021" s="8"/>
      <c r="I1021" s="4"/>
    </row>
    <row r="1022" spans="1:9" x14ac:dyDescent="0.2">
      <c r="A1022" s="1" t="s">
        <v>43</v>
      </c>
      <c r="C1022" s="4"/>
      <c r="D1022" s="8"/>
      <c r="E1022" s="4"/>
      <c r="F1022" s="8"/>
      <c r="G1022" s="4"/>
      <c r="H1022" s="8"/>
      <c r="I1022" s="4"/>
    </row>
    <row r="1023" spans="1:9" x14ac:dyDescent="0.2">
      <c r="A1023" s="2">
        <v>1</v>
      </c>
      <c r="B1023" s="1" t="s">
        <v>297</v>
      </c>
      <c r="C1023" s="4">
        <v>33</v>
      </c>
      <c r="D1023" s="8">
        <v>3.91</v>
      </c>
      <c r="E1023" s="4">
        <v>18</v>
      </c>
      <c r="F1023" s="8">
        <v>7.26</v>
      </c>
      <c r="G1023" s="4">
        <v>15</v>
      </c>
      <c r="H1023" s="8">
        <v>2.5499999999999998</v>
      </c>
      <c r="I1023" s="4">
        <v>0</v>
      </c>
    </row>
    <row r="1024" spans="1:9" x14ac:dyDescent="0.2">
      <c r="A1024" s="2">
        <v>2</v>
      </c>
      <c r="B1024" s="1" t="s">
        <v>304</v>
      </c>
      <c r="C1024" s="4">
        <v>30</v>
      </c>
      <c r="D1024" s="8">
        <v>3.55</v>
      </c>
      <c r="E1024" s="4">
        <v>25</v>
      </c>
      <c r="F1024" s="8">
        <v>10.08</v>
      </c>
      <c r="G1024" s="4">
        <v>5</v>
      </c>
      <c r="H1024" s="8">
        <v>0.85</v>
      </c>
      <c r="I1024" s="4">
        <v>0</v>
      </c>
    </row>
    <row r="1025" spans="1:9" x14ac:dyDescent="0.2">
      <c r="A1025" s="2">
        <v>3</v>
      </c>
      <c r="B1025" s="1" t="s">
        <v>288</v>
      </c>
      <c r="C1025" s="4">
        <v>25</v>
      </c>
      <c r="D1025" s="8">
        <v>2.96</v>
      </c>
      <c r="E1025" s="4">
        <v>0</v>
      </c>
      <c r="F1025" s="8">
        <v>0</v>
      </c>
      <c r="G1025" s="4">
        <v>25</v>
      </c>
      <c r="H1025" s="8">
        <v>4.25</v>
      </c>
      <c r="I1025" s="4">
        <v>0</v>
      </c>
    </row>
    <row r="1026" spans="1:9" x14ac:dyDescent="0.2">
      <c r="A1026" s="2">
        <v>4</v>
      </c>
      <c r="B1026" s="1" t="s">
        <v>298</v>
      </c>
      <c r="C1026" s="4">
        <v>23</v>
      </c>
      <c r="D1026" s="8">
        <v>2.72</v>
      </c>
      <c r="E1026" s="4">
        <v>6</v>
      </c>
      <c r="F1026" s="8">
        <v>2.42</v>
      </c>
      <c r="G1026" s="4">
        <v>17</v>
      </c>
      <c r="H1026" s="8">
        <v>2.89</v>
      </c>
      <c r="I1026" s="4">
        <v>0</v>
      </c>
    </row>
    <row r="1027" spans="1:9" x14ac:dyDescent="0.2">
      <c r="A1027" s="2">
        <v>4</v>
      </c>
      <c r="B1027" s="1" t="s">
        <v>307</v>
      </c>
      <c r="C1027" s="4">
        <v>23</v>
      </c>
      <c r="D1027" s="8">
        <v>2.72</v>
      </c>
      <c r="E1027" s="4">
        <v>9</v>
      </c>
      <c r="F1027" s="8">
        <v>3.63</v>
      </c>
      <c r="G1027" s="4">
        <v>14</v>
      </c>
      <c r="H1027" s="8">
        <v>2.38</v>
      </c>
      <c r="I1027" s="4">
        <v>0</v>
      </c>
    </row>
    <row r="1028" spans="1:9" x14ac:dyDescent="0.2">
      <c r="A1028" s="2">
        <v>6</v>
      </c>
      <c r="B1028" s="1" t="s">
        <v>291</v>
      </c>
      <c r="C1028" s="4">
        <v>20</v>
      </c>
      <c r="D1028" s="8">
        <v>2.37</v>
      </c>
      <c r="E1028" s="4">
        <v>3</v>
      </c>
      <c r="F1028" s="8">
        <v>1.21</v>
      </c>
      <c r="G1028" s="4">
        <v>17</v>
      </c>
      <c r="H1028" s="8">
        <v>2.89</v>
      </c>
      <c r="I1028" s="4">
        <v>0</v>
      </c>
    </row>
    <row r="1029" spans="1:9" x14ac:dyDescent="0.2">
      <c r="A1029" s="2">
        <v>6</v>
      </c>
      <c r="B1029" s="1" t="s">
        <v>293</v>
      </c>
      <c r="C1029" s="4">
        <v>20</v>
      </c>
      <c r="D1029" s="8">
        <v>2.37</v>
      </c>
      <c r="E1029" s="4">
        <v>6</v>
      </c>
      <c r="F1029" s="8">
        <v>2.42</v>
      </c>
      <c r="G1029" s="4">
        <v>14</v>
      </c>
      <c r="H1029" s="8">
        <v>2.38</v>
      </c>
      <c r="I1029" s="4">
        <v>0</v>
      </c>
    </row>
    <row r="1030" spans="1:9" x14ac:dyDescent="0.2">
      <c r="A1030" s="2">
        <v>6</v>
      </c>
      <c r="B1030" s="1" t="s">
        <v>303</v>
      </c>
      <c r="C1030" s="4">
        <v>20</v>
      </c>
      <c r="D1030" s="8">
        <v>2.37</v>
      </c>
      <c r="E1030" s="4">
        <v>19</v>
      </c>
      <c r="F1030" s="8">
        <v>7.66</v>
      </c>
      <c r="G1030" s="4">
        <v>1</v>
      </c>
      <c r="H1030" s="8">
        <v>0.17</v>
      </c>
      <c r="I1030" s="4">
        <v>0</v>
      </c>
    </row>
    <row r="1031" spans="1:9" x14ac:dyDescent="0.2">
      <c r="A1031" s="2">
        <v>9</v>
      </c>
      <c r="B1031" s="1" t="s">
        <v>306</v>
      </c>
      <c r="C1031" s="4">
        <v>19</v>
      </c>
      <c r="D1031" s="8">
        <v>2.25</v>
      </c>
      <c r="E1031" s="4">
        <v>17</v>
      </c>
      <c r="F1031" s="8">
        <v>6.85</v>
      </c>
      <c r="G1031" s="4">
        <v>2</v>
      </c>
      <c r="H1031" s="8">
        <v>0.34</v>
      </c>
      <c r="I1031" s="4">
        <v>0</v>
      </c>
    </row>
    <row r="1032" spans="1:9" x14ac:dyDescent="0.2">
      <c r="A1032" s="2">
        <v>10</v>
      </c>
      <c r="B1032" s="1" t="s">
        <v>290</v>
      </c>
      <c r="C1032" s="4">
        <v>16</v>
      </c>
      <c r="D1032" s="8">
        <v>1.89</v>
      </c>
      <c r="E1032" s="4">
        <v>0</v>
      </c>
      <c r="F1032" s="8">
        <v>0</v>
      </c>
      <c r="G1032" s="4">
        <v>16</v>
      </c>
      <c r="H1032" s="8">
        <v>2.72</v>
      </c>
      <c r="I1032" s="4">
        <v>0</v>
      </c>
    </row>
    <row r="1033" spans="1:9" x14ac:dyDescent="0.2">
      <c r="A1033" s="2">
        <v>11</v>
      </c>
      <c r="B1033" s="1" t="s">
        <v>329</v>
      </c>
      <c r="C1033" s="4">
        <v>15</v>
      </c>
      <c r="D1033" s="8">
        <v>1.78</v>
      </c>
      <c r="E1033" s="4">
        <v>5</v>
      </c>
      <c r="F1033" s="8">
        <v>2.02</v>
      </c>
      <c r="G1033" s="4">
        <v>10</v>
      </c>
      <c r="H1033" s="8">
        <v>1.7</v>
      </c>
      <c r="I1033" s="4">
        <v>0</v>
      </c>
    </row>
    <row r="1034" spans="1:9" x14ac:dyDescent="0.2">
      <c r="A1034" s="2">
        <v>12</v>
      </c>
      <c r="B1034" s="1" t="s">
        <v>319</v>
      </c>
      <c r="C1034" s="4">
        <v>14</v>
      </c>
      <c r="D1034" s="8">
        <v>1.66</v>
      </c>
      <c r="E1034" s="4">
        <v>2</v>
      </c>
      <c r="F1034" s="8">
        <v>0.81</v>
      </c>
      <c r="G1034" s="4">
        <v>12</v>
      </c>
      <c r="H1034" s="8">
        <v>2.04</v>
      </c>
      <c r="I1034" s="4">
        <v>0</v>
      </c>
    </row>
    <row r="1035" spans="1:9" x14ac:dyDescent="0.2">
      <c r="A1035" s="2">
        <v>12</v>
      </c>
      <c r="B1035" s="1" t="s">
        <v>374</v>
      </c>
      <c r="C1035" s="4">
        <v>14</v>
      </c>
      <c r="D1035" s="8">
        <v>1.66</v>
      </c>
      <c r="E1035" s="4">
        <v>2</v>
      </c>
      <c r="F1035" s="8">
        <v>0.81</v>
      </c>
      <c r="G1035" s="4">
        <v>12</v>
      </c>
      <c r="H1035" s="8">
        <v>2.04</v>
      </c>
      <c r="I1035" s="4">
        <v>0</v>
      </c>
    </row>
    <row r="1036" spans="1:9" x14ac:dyDescent="0.2">
      <c r="A1036" s="2">
        <v>12</v>
      </c>
      <c r="B1036" s="1" t="s">
        <v>305</v>
      </c>
      <c r="C1036" s="4">
        <v>14</v>
      </c>
      <c r="D1036" s="8">
        <v>1.66</v>
      </c>
      <c r="E1036" s="4">
        <v>12</v>
      </c>
      <c r="F1036" s="8">
        <v>4.84</v>
      </c>
      <c r="G1036" s="4">
        <v>2</v>
      </c>
      <c r="H1036" s="8">
        <v>0.34</v>
      </c>
      <c r="I1036" s="4">
        <v>0</v>
      </c>
    </row>
    <row r="1037" spans="1:9" x14ac:dyDescent="0.2">
      <c r="A1037" s="2">
        <v>15</v>
      </c>
      <c r="B1037" s="1" t="s">
        <v>294</v>
      </c>
      <c r="C1037" s="4">
        <v>13</v>
      </c>
      <c r="D1037" s="8">
        <v>1.54</v>
      </c>
      <c r="E1037" s="4">
        <v>3</v>
      </c>
      <c r="F1037" s="8">
        <v>1.21</v>
      </c>
      <c r="G1037" s="4">
        <v>10</v>
      </c>
      <c r="H1037" s="8">
        <v>1.7</v>
      </c>
      <c r="I1037" s="4">
        <v>0</v>
      </c>
    </row>
    <row r="1038" spans="1:9" x14ac:dyDescent="0.2">
      <c r="A1038" s="2">
        <v>15</v>
      </c>
      <c r="B1038" s="1" t="s">
        <v>312</v>
      </c>
      <c r="C1038" s="4">
        <v>13</v>
      </c>
      <c r="D1038" s="8">
        <v>1.54</v>
      </c>
      <c r="E1038" s="4">
        <v>10</v>
      </c>
      <c r="F1038" s="8">
        <v>4.03</v>
      </c>
      <c r="G1038" s="4">
        <v>3</v>
      </c>
      <c r="H1038" s="8">
        <v>0.51</v>
      </c>
      <c r="I1038" s="4">
        <v>0</v>
      </c>
    </row>
    <row r="1039" spans="1:9" x14ac:dyDescent="0.2">
      <c r="A1039" s="2">
        <v>17</v>
      </c>
      <c r="B1039" s="1" t="s">
        <v>289</v>
      </c>
      <c r="C1039" s="4">
        <v>12</v>
      </c>
      <c r="D1039" s="8">
        <v>1.42</v>
      </c>
      <c r="E1039" s="4">
        <v>1</v>
      </c>
      <c r="F1039" s="8">
        <v>0.4</v>
      </c>
      <c r="G1039" s="4">
        <v>11</v>
      </c>
      <c r="H1039" s="8">
        <v>1.87</v>
      </c>
      <c r="I1039" s="4">
        <v>0</v>
      </c>
    </row>
    <row r="1040" spans="1:9" x14ac:dyDescent="0.2">
      <c r="A1040" s="2">
        <v>17</v>
      </c>
      <c r="B1040" s="1" t="s">
        <v>295</v>
      </c>
      <c r="C1040" s="4">
        <v>12</v>
      </c>
      <c r="D1040" s="8">
        <v>1.42</v>
      </c>
      <c r="E1040" s="4">
        <v>4</v>
      </c>
      <c r="F1040" s="8">
        <v>1.61</v>
      </c>
      <c r="G1040" s="4">
        <v>8</v>
      </c>
      <c r="H1040" s="8">
        <v>1.36</v>
      </c>
      <c r="I1040" s="4">
        <v>0</v>
      </c>
    </row>
    <row r="1041" spans="1:9" x14ac:dyDescent="0.2">
      <c r="A1041" s="2">
        <v>17</v>
      </c>
      <c r="B1041" s="1" t="s">
        <v>299</v>
      </c>
      <c r="C1041" s="4">
        <v>12</v>
      </c>
      <c r="D1041" s="8">
        <v>1.42</v>
      </c>
      <c r="E1041" s="4">
        <v>8</v>
      </c>
      <c r="F1041" s="8">
        <v>3.23</v>
      </c>
      <c r="G1041" s="4">
        <v>4</v>
      </c>
      <c r="H1041" s="8">
        <v>0.68</v>
      </c>
      <c r="I1041" s="4">
        <v>0</v>
      </c>
    </row>
    <row r="1042" spans="1:9" x14ac:dyDescent="0.2">
      <c r="A1042" s="2">
        <v>20</v>
      </c>
      <c r="B1042" s="1" t="s">
        <v>320</v>
      </c>
      <c r="C1042" s="4">
        <v>11</v>
      </c>
      <c r="D1042" s="8">
        <v>1.3</v>
      </c>
      <c r="E1042" s="4">
        <v>1</v>
      </c>
      <c r="F1042" s="8">
        <v>0.4</v>
      </c>
      <c r="G1042" s="4">
        <v>10</v>
      </c>
      <c r="H1042" s="8">
        <v>1.7</v>
      </c>
      <c r="I1042" s="4">
        <v>0</v>
      </c>
    </row>
    <row r="1043" spans="1:9" x14ac:dyDescent="0.2">
      <c r="A1043" s="1"/>
      <c r="C1043" s="4"/>
      <c r="D1043" s="8"/>
      <c r="E1043" s="4"/>
      <c r="F1043" s="8"/>
      <c r="G1043" s="4"/>
      <c r="H1043" s="8"/>
      <c r="I1043" s="4"/>
    </row>
    <row r="1044" spans="1:9" x14ac:dyDescent="0.2">
      <c r="A1044" s="1" t="s">
        <v>44</v>
      </c>
      <c r="C1044" s="4"/>
      <c r="D1044" s="8"/>
      <c r="E1044" s="4"/>
      <c r="F1044" s="8"/>
      <c r="G1044" s="4"/>
      <c r="H1044" s="8"/>
      <c r="I1044" s="4"/>
    </row>
    <row r="1045" spans="1:9" x14ac:dyDescent="0.2">
      <c r="A1045" s="2">
        <v>1</v>
      </c>
      <c r="B1045" s="1" t="s">
        <v>304</v>
      </c>
      <c r="C1045" s="4">
        <v>44</v>
      </c>
      <c r="D1045" s="8">
        <v>3.93</v>
      </c>
      <c r="E1045" s="4">
        <v>41</v>
      </c>
      <c r="F1045" s="8">
        <v>12.39</v>
      </c>
      <c r="G1045" s="4">
        <v>3</v>
      </c>
      <c r="H1045" s="8">
        <v>0.39</v>
      </c>
      <c r="I1045" s="4">
        <v>0</v>
      </c>
    </row>
    <row r="1046" spans="1:9" x14ac:dyDescent="0.2">
      <c r="A1046" s="2">
        <v>2</v>
      </c>
      <c r="B1046" s="1" t="s">
        <v>303</v>
      </c>
      <c r="C1046" s="4">
        <v>37</v>
      </c>
      <c r="D1046" s="8">
        <v>3.3</v>
      </c>
      <c r="E1046" s="4">
        <v>32</v>
      </c>
      <c r="F1046" s="8">
        <v>9.67</v>
      </c>
      <c r="G1046" s="4">
        <v>5</v>
      </c>
      <c r="H1046" s="8">
        <v>0.64</v>
      </c>
      <c r="I1046" s="4">
        <v>0</v>
      </c>
    </row>
    <row r="1047" spans="1:9" x14ac:dyDescent="0.2">
      <c r="A1047" s="2">
        <v>3</v>
      </c>
      <c r="B1047" s="1" t="s">
        <v>291</v>
      </c>
      <c r="C1047" s="4">
        <v>28</v>
      </c>
      <c r="D1047" s="8">
        <v>2.5</v>
      </c>
      <c r="E1047" s="4">
        <v>2</v>
      </c>
      <c r="F1047" s="8">
        <v>0.6</v>
      </c>
      <c r="G1047" s="4">
        <v>26</v>
      </c>
      <c r="H1047" s="8">
        <v>3.34</v>
      </c>
      <c r="I1047" s="4">
        <v>0</v>
      </c>
    </row>
    <row r="1048" spans="1:9" x14ac:dyDescent="0.2">
      <c r="A1048" s="2">
        <v>3</v>
      </c>
      <c r="B1048" s="1" t="s">
        <v>301</v>
      </c>
      <c r="C1048" s="4">
        <v>28</v>
      </c>
      <c r="D1048" s="8">
        <v>2.5</v>
      </c>
      <c r="E1048" s="4">
        <v>28</v>
      </c>
      <c r="F1048" s="8">
        <v>8.4600000000000009</v>
      </c>
      <c r="G1048" s="4">
        <v>0</v>
      </c>
      <c r="H1048" s="8">
        <v>0</v>
      </c>
      <c r="I1048" s="4">
        <v>0</v>
      </c>
    </row>
    <row r="1049" spans="1:9" x14ac:dyDescent="0.2">
      <c r="A1049" s="2">
        <v>5</v>
      </c>
      <c r="B1049" s="1" t="s">
        <v>333</v>
      </c>
      <c r="C1049" s="4">
        <v>27</v>
      </c>
      <c r="D1049" s="8">
        <v>2.41</v>
      </c>
      <c r="E1049" s="4">
        <v>5</v>
      </c>
      <c r="F1049" s="8">
        <v>1.51</v>
      </c>
      <c r="G1049" s="4">
        <v>22</v>
      </c>
      <c r="H1049" s="8">
        <v>2.82</v>
      </c>
      <c r="I1049" s="4">
        <v>0</v>
      </c>
    </row>
    <row r="1050" spans="1:9" x14ac:dyDescent="0.2">
      <c r="A1050" s="2">
        <v>5</v>
      </c>
      <c r="B1050" s="1" t="s">
        <v>290</v>
      </c>
      <c r="C1050" s="4">
        <v>27</v>
      </c>
      <c r="D1050" s="8">
        <v>2.41</v>
      </c>
      <c r="E1050" s="4">
        <v>4</v>
      </c>
      <c r="F1050" s="8">
        <v>1.21</v>
      </c>
      <c r="G1050" s="4">
        <v>23</v>
      </c>
      <c r="H1050" s="8">
        <v>2.95</v>
      </c>
      <c r="I1050" s="4">
        <v>0</v>
      </c>
    </row>
    <row r="1051" spans="1:9" x14ac:dyDescent="0.2">
      <c r="A1051" s="2">
        <v>5</v>
      </c>
      <c r="B1051" s="1" t="s">
        <v>307</v>
      </c>
      <c r="C1051" s="4">
        <v>27</v>
      </c>
      <c r="D1051" s="8">
        <v>2.41</v>
      </c>
      <c r="E1051" s="4">
        <v>10</v>
      </c>
      <c r="F1051" s="8">
        <v>3.02</v>
      </c>
      <c r="G1051" s="4">
        <v>17</v>
      </c>
      <c r="H1051" s="8">
        <v>2.1800000000000002</v>
      </c>
      <c r="I1051" s="4">
        <v>0</v>
      </c>
    </row>
    <row r="1052" spans="1:9" x14ac:dyDescent="0.2">
      <c r="A1052" s="2">
        <v>8</v>
      </c>
      <c r="B1052" s="1" t="s">
        <v>347</v>
      </c>
      <c r="C1052" s="4">
        <v>26</v>
      </c>
      <c r="D1052" s="8">
        <v>2.3199999999999998</v>
      </c>
      <c r="E1052" s="4">
        <v>0</v>
      </c>
      <c r="F1052" s="8">
        <v>0</v>
      </c>
      <c r="G1052" s="4">
        <v>26</v>
      </c>
      <c r="H1052" s="8">
        <v>3.34</v>
      </c>
      <c r="I1052" s="4">
        <v>0</v>
      </c>
    </row>
    <row r="1053" spans="1:9" x14ac:dyDescent="0.2">
      <c r="A1053" s="2">
        <v>9</v>
      </c>
      <c r="B1053" s="1" t="s">
        <v>288</v>
      </c>
      <c r="C1053" s="4">
        <v>25</v>
      </c>
      <c r="D1053" s="8">
        <v>2.23</v>
      </c>
      <c r="E1053" s="4">
        <v>1</v>
      </c>
      <c r="F1053" s="8">
        <v>0.3</v>
      </c>
      <c r="G1053" s="4">
        <v>24</v>
      </c>
      <c r="H1053" s="8">
        <v>3.08</v>
      </c>
      <c r="I1053" s="4">
        <v>0</v>
      </c>
    </row>
    <row r="1054" spans="1:9" x14ac:dyDescent="0.2">
      <c r="A1054" s="2">
        <v>9</v>
      </c>
      <c r="B1054" s="1" t="s">
        <v>319</v>
      </c>
      <c r="C1054" s="4">
        <v>25</v>
      </c>
      <c r="D1054" s="8">
        <v>2.23</v>
      </c>
      <c r="E1054" s="4">
        <v>3</v>
      </c>
      <c r="F1054" s="8">
        <v>0.91</v>
      </c>
      <c r="G1054" s="4">
        <v>22</v>
      </c>
      <c r="H1054" s="8">
        <v>2.82</v>
      </c>
      <c r="I1054" s="4">
        <v>0</v>
      </c>
    </row>
    <row r="1055" spans="1:9" x14ac:dyDescent="0.2">
      <c r="A1055" s="2">
        <v>11</v>
      </c>
      <c r="B1055" s="1" t="s">
        <v>320</v>
      </c>
      <c r="C1055" s="4">
        <v>23</v>
      </c>
      <c r="D1055" s="8">
        <v>2.0499999999999998</v>
      </c>
      <c r="E1055" s="4">
        <v>2</v>
      </c>
      <c r="F1055" s="8">
        <v>0.6</v>
      </c>
      <c r="G1055" s="4">
        <v>21</v>
      </c>
      <c r="H1055" s="8">
        <v>2.7</v>
      </c>
      <c r="I1055" s="4">
        <v>0</v>
      </c>
    </row>
    <row r="1056" spans="1:9" x14ac:dyDescent="0.2">
      <c r="A1056" s="2">
        <v>12</v>
      </c>
      <c r="B1056" s="1" t="s">
        <v>289</v>
      </c>
      <c r="C1056" s="4">
        <v>22</v>
      </c>
      <c r="D1056" s="8">
        <v>1.96</v>
      </c>
      <c r="E1056" s="4">
        <v>1</v>
      </c>
      <c r="F1056" s="8">
        <v>0.3</v>
      </c>
      <c r="G1056" s="4">
        <v>21</v>
      </c>
      <c r="H1056" s="8">
        <v>2.7</v>
      </c>
      <c r="I1056" s="4">
        <v>0</v>
      </c>
    </row>
    <row r="1057" spans="1:9" x14ac:dyDescent="0.2">
      <c r="A1057" s="2">
        <v>12</v>
      </c>
      <c r="B1057" s="1" t="s">
        <v>374</v>
      </c>
      <c r="C1057" s="4">
        <v>22</v>
      </c>
      <c r="D1057" s="8">
        <v>1.96</v>
      </c>
      <c r="E1057" s="4">
        <v>0</v>
      </c>
      <c r="F1057" s="8">
        <v>0</v>
      </c>
      <c r="G1057" s="4">
        <v>22</v>
      </c>
      <c r="H1057" s="8">
        <v>2.82</v>
      </c>
      <c r="I1057" s="4">
        <v>0</v>
      </c>
    </row>
    <row r="1058" spans="1:9" x14ac:dyDescent="0.2">
      <c r="A1058" s="2">
        <v>12</v>
      </c>
      <c r="B1058" s="1" t="s">
        <v>306</v>
      </c>
      <c r="C1058" s="4">
        <v>22</v>
      </c>
      <c r="D1058" s="8">
        <v>1.96</v>
      </c>
      <c r="E1058" s="4">
        <v>20</v>
      </c>
      <c r="F1058" s="8">
        <v>6.04</v>
      </c>
      <c r="G1058" s="4">
        <v>2</v>
      </c>
      <c r="H1058" s="8">
        <v>0.26</v>
      </c>
      <c r="I1058" s="4">
        <v>0</v>
      </c>
    </row>
    <row r="1059" spans="1:9" x14ac:dyDescent="0.2">
      <c r="A1059" s="2">
        <v>15</v>
      </c>
      <c r="B1059" s="1" t="s">
        <v>293</v>
      </c>
      <c r="C1059" s="4">
        <v>21</v>
      </c>
      <c r="D1059" s="8">
        <v>1.88</v>
      </c>
      <c r="E1059" s="4">
        <v>5</v>
      </c>
      <c r="F1059" s="8">
        <v>1.51</v>
      </c>
      <c r="G1059" s="4">
        <v>16</v>
      </c>
      <c r="H1059" s="8">
        <v>2.0499999999999998</v>
      </c>
      <c r="I1059" s="4">
        <v>0</v>
      </c>
    </row>
    <row r="1060" spans="1:9" x14ac:dyDescent="0.2">
      <c r="A1060" s="2">
        <v>16</v>
      </c>
      <c r="B1060" s="1" t="s">
        <v>375</v>
      </c>
      <c r="C1060" s="4">
        <v>19</v>
      </c>
      <c r="D1060" s="8">
        <v>1.7</v>
      </c>
      <c r="E1060" s="4">
        <v>1</v>
      </c>
      <c r="F1060" s="8">
        <v>0.3</v>
      </c>
      <c r="G1060" s="4">
        <v>18</v>
      </c>
      <c r="H1060" s="8">
        <v>2.31</v>
      </c>
      <c r="I1060" s="4">
        <v>0</v>
      </c>
    </row>
    <row r="1061" spans="1:9" x14ac:dyDescent="0.2">
      <c r="A1061" s="2">
        <v>17</v>
      </c>
      <c r="B1061" s="1" t="s">
        <v>300</v>
      </c>
      <c r="C1061" s="4">
        <v>18</v>
      </c>
      <c r="D1061" s="8">
        <v>1.61</v>
      </c>
      <c r="E1061" s="4">
        <v>17</v>
      </c>
      <c r="F1061" s="8">
        <v>5.14</v>
      </c>
      <c r="G1061" s="4">
        <v>1</v>
      </c>
      <c r="H1061" s="8">
        <v>0.13</v>
      </c>
      <c r="I1061" s="4">
        <v>0</v>
      </c>
    </row>
    <row r="1062" spans="1:9" x14ac:dyDescent="0.2">
      <c r="A1062" s="2">
        <v>18</v>
      </c>
      <c r="B1062" s="1" t="s">
        <v>328</v>
      </c>
      <c r="C1062" s="4">
        <v>17</v>
      </c>
      <c r="D1062" s="8">
        <v>1.52</v>
      </c>
      <c r="E1062" s="4">
        <v>0</v>
      </c>
      <c r="F1062" s="8">
        <v>0</v>
      </c>
      <c r="G1062" s="4">
        <v>17</v>
      </c>
      <c r="H1062" s="8">
        <v>2.1800000000000002</v>
      </c>
      <c r="I1062" s="4">
        <v>0</v>
      </c>
    </row>
    <row r="1063" spans="1:9" x14ac:dyDescent="0.2">
      <c r="A1063" s="2">
        <v>18</v>
      </c>
      <c r="B1063" s="1" t="s">
        <v>294</v>
      </c>
      <c r="C1063" s="4">
        <v>17</v>
      </c>
      <c r="D1063" s="8">
        <v>1.52</v>
      </c>
      <c r="E1063" s="4">
        <v>4</v>
      </c>
      <c r="F1063" s="8">
        <v>1.21</v>
      </c>
      <c r="G1063" s="4">
        <v>13</v>
      </c>
      <c r="H1063" s="8">
        <v>1.67</v>
      </c>
      <c r="I1063" s="4">
        <v>0</v>
      </c>
    </row>
    <row r="1064" spans="1:9" x14ac:dyDescent="0.2">
      <c r="A1064" s="2">
        <v>18</v>
      </c>
      <c r="B1064" s="1" t="s">
        <v>330</v>
      </c>
      <c r="C1064" s="4">
        <v>17</v>
      </c>
      <c r="D1064" s="8">
        <v>1.52</v>
      </c>
      <c r="E1064" s="4">
        <v>3</v>
      </c>
      <c r="F1064" s="8">
        <v>0.91</v>
      </c>
      <c r="G1064" s="4">
        <v>14</v>
      </c>
      <c r="H1064" s="8">
        <v>1.8</v>
      </c>
      <c r="I1064" s="4">
        <v>0</v>
      </c>
    </row>
    <row r="1065" spans="1:9" x14ac:dyDescent="0.2">
      <c r="A1065" s="1"/>
      <c r="C1065" s="4"/>
      <c r="D1065" s="8"/>
      <c r="E1065" s="4"/>
      <c r="F1065" s="8"/>
      <c r="G1065" s="4"/>
      <c r="H1065" s="8"/>
      <c r="I1065" s="4"/>
    </row>
    <row r="1066" spans="1:9" x14ac:dyDescent="0.2">
      <c r="A1066" s="1" t="s">
        <v>45</v>
      </c>
      <c r="C1066" s="4"/>
      <c r="D1066" s="8"/>
      <c r="E1066" s="4"/>
      <c r="F1066" s="8"/>
      <c r="G1066" s="4"/>
      <c r="H1066" s="8"/>
      <c r="I1066" s="4"/>
    </row>
    <row r="1067" spans="1:9" x14ac:dyDescent="0.2">
      <c r="A1067" s="2">
        <v>1</v>
      </c>
      <c r="B1067" s="1" t="s">
        <v>304</v>
      </c>
      <c r="C1067" s="4">
        <v>50</v>
      </c>
      <c r="D1067" s="8">
        <v>5.99</v>
      </c>
      <c r="E1067" s="4">
        <v>46</v>
      </c>
      <c r="F1067" s="8">
        <v>12.85</v>
      </c>
      <c r="G1067" s="4">
        <v>4</v>
      </c>
      <c r="H1067" s="8">
        <v>0.89</v>
      </c>
      <c r="I1067" s="4">
        <v>0</v>
      </c>
    </row>
    <row r="1068" spans="1:9" x14ac:dyDescent="0.2">
      <c r="A1068" s="2">
        <v>2</v>
      </c>
      <c r="B1068" s="1" t="s">
        <v>303</v>
      </c>
      <c r="C1068" s="4">
        <v>45</v>
      </c>
      <c r="D1068" s="8">
        <v>5.39</v>
      </c>
      <c r="E1068" s="4">
        <v>42</v>
      </c>
      <c r="F1068" s="8">
        <v>11.73</v>
      </c>
      <c r="G1068" s="4">
        <v>3</v>
      </c>
      <c r="H1068" s="8">
        <v>0.67</v>
      </c>
      <c r="I1068" s="4">
        <v>0</v>
      </c>
    </row>
    <row r="1069" spans="1:9" x14ac:dyDescent="0.2">
      <c r="A1069" s="2">
        <v>3</v>
      </c>
      <c r="B1069" s="1" t="s">
        <v>288</v>
      </c>
      <c r="C1069" s="4">
        <v>27</v>
      </c>
      <c r="D1069" s="8">
        <v>3.23</v>
      </c>
      <c r="E1069" s="4">
        <v>0</v>
      </c>
      <c r="F1069" s="8">
        <v>0</v>
      </c>
      <c r="G1069" s="4">
        <v>27</v>
      </c>
      <c r="H1069" s="8">
        <v>6.03</v>
      </c>
      <c r="I1069" s="4">
        <v>0</v>
      </c>
    </row>
    <row r="1070" spans="1:9" x14ac:dyDescent="0.2">
      <c r="A1070" s="2">
        <v>4</v>
      </c>
      <c r="B1070" s="1" t="s">
        <v>307</v>
      </c>
      <c r="C1070" s="4">
        <v>23</v>
      </c>
      <c r="D1070" s="8">
        <v>2.75</v>
      </c>
      <c r="E1070" s="4">
        <v>14</v>
      </c>
      <c r="F1070" s="8">
        <v>3.91</v>
      </c>
      <c r="G1070" s="4">
        <v>9</v>
      </c>
      <c r="H1070" s="8">
        <v>2.0099999999999998</v>
      </c>
      <c r="I1070" s="4">
        <v>0</v>
      </c>
    </row>
    <row r="1071" spans="1:9" x14ac:dyDescent="0.2">
      <c r="A1071" s="2">
        <v>5</v>
      </c>
      <c r="B1071" s="1" t="s">
        <v>299</v>
      </c>
      <c r="C1071" s="4">
        <v>21</v>
      </c>
      <c r="D1071" s="8">
        <v>2.5099999999999998</v>
      </c>
      <c r="E1071" s="4">
        <v>18</v>
      </c>
      <c r="F1071" s="8">
        <v>5.03</v>
      </c>
      <c r="G1071" s="4">
        <v>3</v>
      </c>
      <c r="H1071" s="8">
        <v>0.67</v>
      </c>
      <c r="I1071" s="4">
        <v>0</v>
      </c>
    </row>
    <row r="1072" spans="1:9" x14ac:dyDescent="0.2">
      <c r="A1072" s="2">
        <v>6</v>
      </c>
      <c r="B1072" s="1" t="s">
        <v>292</v>
      </c>
      <c r="C1072" s="4">
        <v>19</v>
      </c>
      <c r="D1072" s="8">
        <v>2.2799999999999998</v>
      </c>
      <c r="E1072" s="4">
        <v>11</v>
      </c>
      <c r="F1072" s="8">
        <v>3.07</v>
      </c>
      <c r="G1072" s="4">
        <v>8</v>
      </c>
      <c r="H1072" s="8">
        <v>1.79</v>
      </c>
      <c r="I1072" s="4">
        <v>0</v>
      </c>
    </row>
    <row r="1073" spans="1:9" x14ac:dyDescent="0.2">
      <c r="A1073" s="2">
        <v>6</v>
      </c>
      <c r="B1073" s="1" t="s">
        <v>327</v>
      </c>
      <c r="C1073" s="4">
        <v>19</v>
      </c>
      <c r="D1073" s="8">
        <v>2.2799999999999998</v>
      </c>
      <c r="E1073" s="4">
        <v>15</v>
      </c>
      <c r="F1073" s="8">
        <v>4.1900000000000004</v>
      </c>
      <c r="G1073" s="4">
        <v>4</v>
      </c>
      <c r="H1073" s="8">
        <v>0.89</v>
      </c>
      <c r="I1073" s="4">
        <v>0</v>
      </c>
    </row>
    <row r="1074" spans="1:9" x14ac:dyDescent="0.2">
      <c r="A1074" s="2">
        <v>8</v>
      </c>
      <c r="B1074" s="1" t="s">
        <v>298</v>
      </c>
      <c r="C1074" s="4">
        <v>18</v>
      </c>
      <c r="D1074" s="8">
        <v>2.16</v>
      </c>
      <c r="E1074" s="4">
        <v>4</v>
      </c>
      <c r="F1074" s="8">
        <v>1.1200000000000001</v>
      </c>
      <c r="G1074" s="4">
        <v>14</v>
      </c>
      <c r="H1074" s="8">
        <v>3.13</v>
      </c>
      <c r="I1074" s="4">
        <v>0</v>
      </c>
    </row>
    <row r="1075" spans="1:9" x14ac:dyDescent="0.2">
      <c r="A1075" s="2">
        <v>9</v>
      </c>
      <c r="B1075" s="1" t="s">
        <v>289</v>
      </c>
      <c r="C1075" s="4">
        <v>16</v>
      </c>
      <c r="D1075" s="8">
        <v>1.92</v>
      </c>
      <c r="E1075" s="4">
        <v>4</v>
      </c>
      <c r="F1075" s="8">
        <v>1.1200000000000001</v>
      </c>
      <c r="G1075" s="4">
        <v>12</v>
      </c>
      <c r="H1075" s="8">
        <v>2.68</v>
      </c>
      <c r="I1075" s="4">
        <v>0</v>
      </c>
    </row>
    <row r="1076" spans="1:9" x14ac:dyDescent="0.2">
      <c r="A1076" s="2">
        <v>9</v>
      </c>
      <c r="B1076" s="1" t="s">
        <v>328</v>
      </c>
      <c r="C1076" s="4">
        <v>16</v>
      </c>
      <c r="D1076" s="8">
        <v>1.92</v>
      </c>
      <c r="E1076" s="4">
        <v>7</v>
      </c>
      <c r="F1076" s="8">
        <v>1.96</v>
      </c>
      <c r="G1076" s="4">
        <v>9</v>
      </c>
      <c r="H1076" s="8">
        <v>2.0099999999999998</v>
      </c>
      <c r="I1076" s="4">
        <v>0</v>
      </c>
    </row>
    <row r="1077" spans="1:9" x14ac:dyDescent="0.2">
      <c r="A1077" s="2">
        <v>9</v>
      </c>
      <c r="B1077" s="1" t="s">
        <v>291</v>
      </c>
      <c r="C1077" s="4">
        <v>16</v>
      </c>
      <c r="D1077" s="8">
        <v>1.92</v>
      </c>
      <c r="E1077" s="4">
        <v>3</v>
      </c>
      <c r="F1077" s="8">
        <v>0.84</v>
      </c>
      <c r="G1077" s="4">
        <v>13</v>
      </c>
      <c r="H1077" s="8">
        <v>2.9</v>
      </c>
      <c r="I1077" s="4">
        <v>0</v>
      </c>
    </row>
    <row r="1078" spans="1:9" x14ac:dyDescent="0.2">
      <c r="A1078" s="2">
        <v>9</v>
      </c>
      <c r="B1078" s="1" t="s">
        <v>293</v>
      </c>
      <c r="C1078" s="4">
        <v>16</v>
      </c>
      <c r="D1078" s="8">
        <v>1.92</v>
      </c>
      <c r="E1078" s="4">
        <v>4</v>
      </c>
      <c r="F1078" s="8">
        <v>1.1200000000000001</v>
      </c>
      <c r="G1078" s="4">
        <v>12</v>
      </c>
      <c r="H1078" s="8">
        <v>2.68</v>
      </c>
      <c r="I1078" s="4">
        <v>0</v>
      </c>
    </row>
    <row r="1079" spans="1:9" x14ac:dyDescent="0.2">
      <c r="A1079" s="2">
        <v>9</v>
      </c>
      <c r="B1079" s="1" t="s">
        <v>297</v>
      </c>
      <c r="C1079" s="4">
        <v>16</v>
      </c>
      <c r="D1079" s="8">
        <v>1.92</v>
      </c>
      <c r="E1079" s="4">
        <v>8</v>
      </c>
      <c r="F1079" s="8">
        <v>2.23</v>
      </c>
      <c r="G1079" s="4">
        <v>8</v>
      </c>
      <c r="H1079" s="8">
        <v>1.79</v>
      </c>
      <c r="I1079" s="4">
        <v>0</v>
      </c>
    </row>
    <row r="1080" spans="1:9" x14ac:dyDescent="0.2">
      <c r="A1080" s="2">
        <v>9</v>
      </c>
      <c r="B1080" s="1" t="s">
        <v>306</v>
      </c>
      <c r="C1080" s="4">
        <v>16</v>
      </c>
      <c r="D1080" s="8">
        <v>1.92</v>
      </c>
      <c r="E1080" s="4">
        <v>16</v>
      </c>
      <c r="F1080" s="8">
        <v>4.47</v>
      </c>
      <c r="G1080" s="4">
        <v>0</v>
      </c>
      <c r="H1080" s="8">
        <v>0</v>
      </c>
      <c r="I1080" s="4">
        <v>0</v>
      </c>
    </row>
    <row r="1081" spans="1:9" x14ac:dyDescent="0.2">
      <c r="A1081" s="2">
        <v>15</v>
      </c>
      <c r="B1081" s="1" t="s">
        <v>290</v>
      </c>
      <c r="C1081" s="4">
        <v>15</v>
      </c>
      <c r="D1081" s="8">
        <v>1.8</v>
      </c>
      <c r="E1081" s="4">
        <v>2</v>
      </c>
      <c r="F1081" s="8">
        <v>0.56000000000000005</v>
      </c>
      <c r="G1081" s="4">
        <v>13</v>
      </c>
      <c r="H1081" s="8">
        <v>2.9</v>
      </c>
      <c r="I1081" s="4">
        <v>0</v>
      </c>
    </row>
    <row r="1082" spans="1:9" x14ac:dyDescent="0.2">
      <c r="A1082" s="2">
        <v>15</v>
      </c>
      <c r="B1082" s="1" t="s">
        <v>335</v>
      </c>
      <c r="C1082" s="4">
        <v>15</v>
      </c>
      <c r="D1082" s="8">
        <v>1.8</v>
      </c>
      <c r="E1082" s="4">
        <v>5</v>
      </c>
      <c r="F1082" s="8">
        <v>1.4</v>
      </c>
      <c r="G1082" s="4">
        <v>10</v>
      </c>
      <c r="H1082" s="8">
        <v>2.23</v>
      </c>
      <c r="I1082" s="4">
        <v>0</v>
      </c>
    </row>
    <row r="1083" spans="1:9" x14ac:dyDescent="0.2">
      <c r="A1083" s="2">
        <v>15</v>
      </c>
      <c r="B1083" s="1" t="s">
        <v>341</v>
      </c>
      <c r="C1083" s="4">
        <v>15</v>
      </c>
      <c r="D1083" s="8">
        <v>1.8</v>
      </c>
      <c r="E1083" s="4">
        <v>0</v>
      </c>
      <c r="F1083" s="8">
        <v>0</v>
      </c>
      <c r="G1083" s="4">
        <v>0</v>
      </c>
      <c r="H1083" s="8">
        <v>0</v>
      </c>
      <c r="I1083" s="4">
        <v>0</v>
      </c>
    </row>
    <row r="1084" spans="1:9" x14ac:dyDescent="0.2">
      <c r="A1084" s="2">
        <v>18</v>
      </c>
      <c r="B1084" s="1" t="s">
        <v>294</v>
      </c>
      <c r="C1084" s="4">
        <v>14</v>
      </c>
      <c r="D1084" s="8">
        <v>1.68</v>
      </c>
      <c r="E1084" s="4">
        <v>6</v>
      </c>
      <c r="F1084" s="8">
        <v>1.68</v>
      </c>
      <c r="G1084" s="4">
        <v>8</v>
      </c>
      <c r="H1084" s="8">
        <v>1.79</v>
      </c>
      <c r="I1084" s="4">
        <v>0</v>
      </c>
    </row>
    <row r="1085" spans="1:9" x14ac:dyDescent="0.2">
      <c r="A1085" s="2">
        <v>19</v>
      </c>
      <c r="B1085" s="1" t="s">
        <v>305</v>
      </c>
      <c r="C1085" s="4">
        <v>13</v>
      </c>
      <c r="D1085" s="8">
        <v>1.56</v>
      </c>
      <c r="E1085" s="4">
        <v>12</v>
      </c>
      <c r="F1085" s="8">
        <v>3.35</v>
      </c>
      <c r="G1085" s="4">
        <v>1</v>
      </c>
      <c r="H1085" s="8">
        <v>0.22</v>
      </c>
      <c r="I1085" s="4">
        <v>0</v>
      </c>
    </row>
    <row r="1086" spans="1:9" x14ac:dyDescent="0.2">
      <c r="A1086" s="2">
        <v>20</v>
      </c>
      <c r="B1086" s="1" t="s">
        <v>323</v>
      </c>
      <c r="C1086" s="4">
        <v>12</v>
      </c>
      <c r="D1086" s="8">
        <v>1.44</v>
      </c>
      <c r="E1086" s="4">
        <v>8</v>
      </c>
      <c r="F1086" s="8">
        <v>2.23</v>
      </c>
      <c r="G1086" s="4">
        <v>4</v>
      </c>
      <c r="H1086" s="8">
        <v>0.89</v>
      </c>
      <c r="I1086" s="4">
        <v>0</v>
      </c>
    </row>
    <row r="1087" spans="1:9" x14ac:dyDescent="0.2">
      <c r="A1087" s="1"/>
      <c r="C1087" s="4"/>
      <c r="D1087" s="8"/>
      <c r="E1087" s="4"/>
      <c r="F1087" s="8"/>
      <c r="G1087" s="4"/>
      <c r="H1087" s="8"/>
      <c r="I1087" s="4"/>
    </row>
    <row r="1088" spans="1:9" x14ac:dyDescent="0.2">
      <c r="A1088" s="1" t="s">
        <v>46</v>
      </c>
      <c r="C1088" s="4"/>
      <c r="D1088" s="8"/>
      <c r="E1088" s="4"/>
      <c r="F1088" s="8"/>
      <c r="G1088" s="4"/>
      <c r="H1088" s="8"/>
      <c r="I1088" s="4"/>
    </row>
    <row r="1089" spans="1:9" x14ac:dyDescent="0.2">
      <c r="A1089" s="2">
        <v>1</v>
      </c>
      <c r="B1089" s="1" t="s">
        <v>297</v>
      </c>
      <c r="C1089" s="4">
        <v>38</v>
      </c>
      <c r="D1089" s="8">
        <v>12.79</v>
      </c>
      <c r="E1089" s="4">
        <v>31</v>
      </c>
      <c r="F1089" s="8">
        <v>21.53</v>
      </c>
      <c r="G1089" s="4">
        <v>7</v>
      </c>
      <c r="H1089" s="8">
        <v>4.8600000000000003</v>
      </c>
      <c r="I1089" s="4">
        <v>0</v>
      </c>
    </row>
    <row r="1090" spans="1:9" x14ac:dyDescent="0.2">
      <c r="A1090" s="2">
        <v>2</v>
      </c>
      <c r="B1090" s="1" t="s">
        <v>304</v>
      </c>
      <c r="C1090" s="4">
        <v>17</v>
      </c>
      <c r="D1090" s="8">
        <v>5.72</v>
      </c>
      <c r="E1090" s="4">
        <v>17</v>
      </c>
      <c r="F1090" s="8">
        <v>11.81</v>
      </c>
      <c r="G1090" s="4">
        <v>0</v>
      </c>
      <c r="H1090" s="8">
        <v>0</v>
      </c>
      <c r="I1090" s="4">
        <v>0</v>
      </c>
    </row>
    <row r="1091" spans="1:9" x14ac:dyDescent="0.2">
      <c r="A1091" s="2">
        <v>3</v>
      </c>
      <c r="B1091" s="1" t="s">
        <v>303</v>
      </c>
      <c r="C1091" s="4">
        <v>10</v>
      </c>
      <c r="D1091" s="8">
        <v>3.37</v>
      </c>
      <c r="E1091" s="4">
        <v>10</v>
      </c>
      <c r="F1091" s="8">
        <v>6.94</v>
      </c>
      <c r="G1091" s="4">
        <v>0</v>
      </c>
      <c r="H1091" s="8">
        <v>0</v>
      </c>
      <c r="I1091" s="4">
        <v>0</v>
      </c>
    </row>
    <row r="1092" spans="1:9" x14ac:dyDescent="0.2">
      <c r="A1092" s="2">
        <v>4</v>
      </c>
      <c r="B1092" s="1" t="s">
        <v>293</v>
      </c>
      <c r="C1092" s="4">
        <v>8</v>
      </c>
      <c r="D1092" s="8">
        <v>2.69</v>
      </c>
      <c r="E1092" s="4">
        <v>1</v>
      </c>
      <c r="F1092" s="8">
        <v>0.69</v>
      </c>
      <c r="G1092" s="4">
        <v>7</v>
      </c>
      <c r="H1092" s="8">
        <v>4.8600000000000003</v>
      </c>
      <c r="I1092" s="4">
        <v>0</v>
      </c>
    </row>
    <row r="1093" spans="1:9" x14ac:dyDescent="0.2">
      <c r="A1093" s="2">
        <v>5</v>
      </c>
      <c r="B1093" s="1" t="s">
        <v>288</v>
      </c>
      <c r="C1093" s="4">
        <v>6</v>
      </c>
      <c r="D1093" s="8">
        <v>2.02</v>
      </c>
      <c r="E1093" s="4">
        <v>0</v>
      </c>
      <c r="F1093" s="8">
        <v>0</v>
      </c>
      <c r="G1093" s="4">
        <v>6</v>
      </c>
      <c r="H1093" s="8">
        <v>4.17</v>
      </c>
      <c r="I1093" s="4">
        <v>0</v>
      </c>
    </row>
    <row r="1094" spans="1:9" x14ac:dyDescent="0.2">
      <c r="A1094" s="2">
        <v>5</v>
      </c>
      <c r="B1094" s="1" t="s">
        <v>328</v>
      </c>
      <c r="C1094" s="4">
        <v>6</v>
      </c>
      <c r="D1094" s="8">
        <v>2.02</v>
      </c>
      <c r="E1094" s="4">
        <v>1</v>
      </c>
      <c r="F1094" s="8">
        <v>0.69</v>
      </c>
      <c r="G1094" s="4">
        <v>5</v>
      </c>
      <c r="H1094" s="8">
        <v>3.47</v>
      </c>
      <c r="I1094" s="4">
        <v>0</v>
      </c>
    </row>
    <row r="1095" spans="1:9" x14ac:dyDescent="0.2">
      <c r="A1095" s="2">
        <v>7</v>
      </c>
      <c r="B1095" s="1" t="s">
        <v>353</v>
      </c>
      <c r="C1095" s="4">
        <v>5</v>
      </c>
      <c r="D1095" s="8">
        <v>1.68</v>
      </c>
      <c r="E1095" s="4">
        <v>0</v>
      </c>
      <c r="F1095" s="8">
        <v>0</v>
      </c>
      <c r="G1095" s="4">
        <v>5</v>
      </c>
      <c r="H1095" s="8">
        <v>3.47</v>
      </c>
      <c r="I1095" s="4">
        <v>0</v>
      </c>
    </row>
    <row r="1096" spans="1:9" x14ac:dyDescent="0.2">
      <c r="A1096" s="2">
        <v>7</v>
      </c>
      <c r="B1096" s="1" t="s">
        <v>375</v>
      </c>
      <c r="C1096" s="4">
        <v>5</v>
      </c>
      <c r="D1096" s="8">
        <v>1.68</v>
      </c>
      <c r="E1096" s="4">
        <v>2</v>
      </c>
      <c r="F1096" s="8">
        <v>1.39</v>
      </c>
      <c r="G1096" s="4">
        <v>3</v>
      </c>
      <c r="H1096" s="8">
        <v>2.08</v>
      </c>
      <c r="I1096" s="4">
        <v>0</v>
      </c>
    </row>
    <row r="1097" spans="1:9" x14ac:dyDescent="0.2">
      <c r="A1097" s="2">
        <v>7</v>
      </c>
      <c r="B1097" s="1" t="s">
        <v>343</v>
      </c>
      <c r="C1097" s="4">
        <v>5</v>
      </c>
      <c r="D1097" s="8">
        <v>1.68</v>
      </c>
      <c r="E1097" s="4">
        <v>1</v>
      </c>
      <c r="F1097" s="8">
        <v>0.69</v>
      </c>
      <c r="G1097" s="4">
        <v>4</v>
      </c>
      <c r="H1097" s="8">
        <v>2.78</v>
      </c>
      <c r="I1097" s="4">
        <v>0</v>
      </c>
    </row>
    <row r="1098" spans="1:9" x14ac:dyDescent="0.2">
      <c r="A1098" s="2">
        <v>7</v>
      </c>
      <c r="B1098" s="1" t="s">
        <v>291</v>
      </c>
      <c r="C1098" s="4">
        <v>5</v>
      </c>
      <c r="D1098" s="8">
        <v>1.68</v>
      </c>
      <c r="E1098" s="4">
        <v>2</v>
      </c>
      <c r="F1098" s="8">
        <v>1.39</v>
      </c>
      <c r="G1098" s="4">
        <v>3</v>
      </c>
      <c r="H1098" s="8">
        <v>2.08</v>
      </c>
      <c r="I1098" s="4">
        <v>0</v>
      </c>
    </row>
    <row r="1099" spans="1:9" x14ac:dyDescent="0.2">
      <c r="A1099" s="2">
        <v>7</v>
      </c>
      <c r="B1099" s="1" t="s">
        <v>309</v>
      </c>
      <c r="C1099" s="4">
        <v>5</v>
      </c>
      <c r="D1099" s="8">
        <v>1.68</v>
      </c>
      <c r="E1099" s="4">
        <v>1</v>
      </c>
      <c r="F1099" s="8">
        <v>0.69</v>
      </c>
      <c r="G1099" s="4">
        <v>4</v>
      </c>
      <c r="H1099" s="8">
        <v>2.78</v>
      </c>
      <c r="I1099" s="4">
        <v>0</v>
      </c>
    </row>
    <row r="1100" spans="1:9" x14ac:dyDescent="0.2">
      <c r="A1100" s="2">
        <v>7</v>
      </c>
      <c r="B1100" s="1" t="s">
        <v>332</v>
      </c>
      <c r="C1100" s="4">
        <v>5</v>
      </c>
      <c r="D1100" s="8">
        <v>1.68</v>
      </c>
      <c r="E1100" s="4">
        <v>1</v>
      </c>
      <c r="F1100" s="8">
        <v>0.69</v>
      </c>
      <c r="G1100" s="4">
        <v>4</v>
      </c>
      <c r="H1100" s="8">
        <v>2.78</v>
      </c>
      <c r="I1100" s="4">
        <v>0</v>
      </c>
    </row>
    <row r="1101" spans="1:9" x14ac:dyDescent="0.2">
      <c r="A1101" s="2">
        <v>7</v>
      </c>
      <c r="B1101" s="1" t="s">
        <v>329</v>
      </c>
      <c r="C1101" s="4">
        <v>5</v>
      </c>
      <c r="D1101" s="8">
        <v>1.68</v>
      </c>
      <c r="E1101" s="4">
        <v>3</v>
      </c>
      <c r="F1101" s="8">
        <v>2.08</v>
      </c>
      <c r="G1101" s="4">
        <v>1</v>
      </c>
      <c r="H1101" s="8">
        <v>0.69</v>
      </c>
      <c r="I1101" s="4">
        <v>1</v>
      </c>
    </row>
    <row r="1102" spans="1:9" x14ac:dyDescent="0.2">
      <c r="A1102" s="2">
        <v>7</v>
      </c>
      <c r="B1102" s="1" t="s">
        <v>339</v>
      </c>
      <c r="C1102" s="4">
        <v>5</v>
      </c>
      <c r="D1102" s="8">
        <v>1.68</v>
      </c>
      <c r="E1102" s="4">
        <v>3</v>
      </c>
      <c r="F1102" s="8">
        <v>2.08</v>
      </c>
      <c r="G1102" s="4">
        <v>2</v>
      </c>
      <c r="H1102" s="8">
        <v>1.39</v>
      </c>
      <c r="I1102" s="4">
        <v>0</v>
      </c>
    </row>
    <row r="1103" spans="1:9" x14ac:dyDescent="0.2">
      <c r="A1103" s="2">
        <v>7</v>
      </c>
      <c r="B1103" s="1" t="s">
        <v>334</v>
      </c>
      <c r="C1103" s="4">
        <v>5</v>
      </c>
      <c r="D1103" s="8">
        <v>1.68</v>
      </c>
      <c r="E1103" s="4">
        <v>5</v>
      </c>
      <c r="F1103" s="8">
        <v>3.47</v>
      </c>
      <c r="G1103" s="4">
        <v>0</v>
      </c>
      <c r="H1103" s="8">
        <v>0</v>
      </c>
      <c r="I1103" s="4">
        <v>0</v>
      </c>
    </row>
    <row r="1104" spans="1:9" x14ac:dyDescent="0.2">
      <c r="A1104" s="2">
        <v>7</v>
      </c>
      <c r="B1104" s="1" t="s">
        <v>352</v>
      </c>
      <c r="C1104" s="4">
        <v>5</v>
      </c>
      <c r="D1104" s="8">
        <v>1.68</v>
      </c>
      <c r="E1104" s="4">
        <v>4</v>
      </c>
      <c r="F1104" s="8">
        <v>2.78</v>
      </c>
      <c r="G1104" s="4">
        <v>1</v>
      </c>
      <c r="H1104" s="8">
        <v>0.69</v>
      </c>
      <c r="I1104" s="4">
        <v>0</v>
      </c>
    </row>
    <row r="1105" spans="1:9" x14ac:dyDescent="0.2">
      <c r="A1105" s="2">
        <v>7</v>
      </c>
      <c r="B1105" s="1" t="s">
        <v>327</v>
      </c>
      <c r="C1105" s="4">
        <v>5</v>
      </c>
      <c r="D1105" s="8">
        <v>1.68</v>
      </c>
      <c r="E1105" s="4">
        <v>4</v>
      </c>
      <c r="F1105" s="8">
        <v>2.78</v>
      </c>
      <c r="G1105" s="4">
        <v>1</v>
      </c>
      <c r="H1105" s="8">
        <v>0.69</v>
      </c>
      <c r="I1105" s="4">
        <v>0</v>
      </c>
    </row>
    <row r="1106" spans="1:9" x14ac:dyDescent="0.2">
      <c r="A1106" s="2">
        <v>18</v>
      </c>
      <c r="B1106" s="1" t="s">
        <v>289</v>
      </c>
      <c r="C1106" s="4">
        <v>4</v>
      </c>
      <c r="D1106" s="8">
        <v>1.35</v>
      </c>
      <c r="E1106" s="4">
        <v>1</v>
      </c>
      <c r="F1106" s="8">
        <v>0.69</v>
      </c>
      <c r="G1106" s="4">
        <v>3</v>
      </c>
      <c r="H1106" s="8">
        <v>2.08</v>
      </c>
      <c r="I1106" s="4">
        <v>0</v>
      </c>
    </row>
    <row r="1107" spans="1:9" x14ac:dyDescent="0.2">
      <c r="A1107" s="2">
        <v>18</v>
      </c>
      <c r="B1107" s="1" t="s">
        <v>320</v>
      </c>
      <c r="C1107" s="4">
        <v>4</v>
      </c>
      <c r="D1107" s="8">
        <v>1.35</v>
      </c>
      <c r="E1107" s="4">
        <v>1</v>
      </c>
      <c r="F1107" s="8">
        <v>0.69</v>
      </c>
      <c r="G1107" s="4">
        <v>3</v>
      </c>
      <c r="H1107" s="8">
        <v>2.08</v>
      </c>
      <c r="I1107" s="4">
        <v>0</v>
      </c>
    </row>
    <row r="1108" spans="1:9" x14ac:dyDescent="0.2">
      <c r="A1108" s="2">
        <v>18</v>
      </c>
      <c r="B1108" s="1" t="s">
        <v>290</v>
      </c>
      <c r="C1108" s="4">
        <v>4</v>
      </c>
      <c r="D1108" s="8">
        <v>1.35</v>
      </c>
      <c r="E1108" s="4">
        <v>0</v>
      </c>
      <c r="F1108" s="8">
        <v>0</v>
      </c>
      <c r="G1108" s="4">
        <v>4</v>
      </c>
      <c r="H1108" s="8">
        <v>2.78</v>
      </c>
      <c r="I1108" s="4">
        <v>0</v>
      </c>
    </row>
    <row r="1109" spans="1:9" x14ac:dyDescent="0.2">
      <c r="A1109" s="2">
        <v>18</v>
      </c>
      <c r="B1109" s="1" t="s">
        <v>314</v>
      </c>
      <c r="C1109" s="4">
        <v>4</v>
      </c>
      <c r="D1109" s="8">
        <v>1.35</v>
      </c>
      <c r="E1109" s="4">
        <v>3</v>
      </c>
      <c r="F1109" s="8">
        <v>2.08</v>
      </c>
      <c r="G1109" s="4">
        <v>1</v>
      </c>
      <c r="H1109" s="8">
        <v>0.69</v>
      </c>
      <c r="I1109" s="4">
        <v>0</v>
      </c>
    </row>
    <row r="1110" spans="1:9" x14ac:dyDescent="0.2">
      <c r="A1110" s="2">
        <v>18</v>
      </c>
      <c r="B1110" s="1" t="s">
        <v>299</v>
      </c>
      <c r="C1110" s="4">
        <v>4</v>
      </c>
      <c r="D1110" s="8">
        <v>1.35</v>
      </c>
      <c r="E1110" s="4">
        <v>3</v>
      </c>
      <c r="F1110" s="8">
        <v>2.08</v>
      </c>
      <c r="G1110" s="4">
        <v>1</v>
      </c>
      <c r="H1110" s="8">
        <v>0.69</v>
      </c>
      <c r="I1110" s="4">
        <v>0</v>
      </c>
    </row>
    <row r="1111" spans="1:9" x14ac:dyDescent="0.2">
      <c r="A1111" s="1"/>
      <c r="C1111" s="4"/>
      <c r="D1111" s="8"/>
      <c r="E1111" s="4"/>
      <c r="F1111" s="8"/>
      <c r="G1111" s="4"/>
      <c r="H1111" s="8"/>
      <c r="I1111" s="4"/>
    </row>
    <row r="1112" spans="1:9" x14ac:dyDescent="0.2">
      <c r="A1112" s="1" t="s">
        <v>47</v>
      </c>
      <c r="C1112" s="4"/>
      <c r="D1112" s="8"/>
      <c r="E1112" s="4"/>
      <c r="F1112" s="8"/>
      <c r="G1112" s="4"/>
      <c r="H1112" s="8"/>
      <c r="I1112" s="4"/>
    </row>
    <row r="1113" spans="1:9" x14ac:dyDescent="0.2">
      <c r="A1113" s="2">
        <v>1</v>
      </c>
      <c r="B1113" s="1" t="s">
        <v>325</v>
      </c>
      <c r="C1113" s="4">
        <v>3</v>
      </c>
      <c r="D1113" s="8">
        <v>9.09</v>
      </c>
      <c r="E1113" s="4">
        <v>0</v>
      </c>
      <c r="F1113" s="8">
        <v>0</v>
      </c>
      <c r="G1113" s="4">
        <v>2</v>
      </c>
      <c r="H1113" s="8">
        <v>9.09</v>
      </c>
      <c r="I1113" s="4">
        <v>0</v>
      </c>
    </row>
    <row r="1114" spans="1:9" x14ac:dyDescent="0.2">
      <c r="A1114" s="2">
        <v>2</v>
      </c>
      <c r="B1114" s="1" t="s">
        <v>290</v>
      </c>
      <c r="C1114" s="4">
        <v>2</v>
      </c>
      <c r="D1114" s="8">
        <v>6.06</v>
      </c>
      <c r="E1114" s="4">
        <v>1</v>
      </c>
      <c r="F1114" s="8">
        <v>12.5</v>
      </c>
      <c r="G1114" s="4">
        <v>1</v>
      </c>
      <c r="H1114" s="8">
        <v>4.55</v>
      </c>
      <c r="I1114" s="4">
        <v>0</v>
      </c>
    </row>
    <row r="1115" spans="1:9" x14ac:dyDescent="0.2">
      <c r="A1115" s="2">
        <v>2</v>
      </c>
      <c r="B1115" s="1" t="s">
        <v>377</v>
      </c>
      <c r="C1115" s="4">
        <v>2</v>
      </c>
      <c r="D1115" s="8">
        <v>6.06</v>
      </c>
      <c r="E1115" s="4">
        <v>0</v>
      </c>
      <c r="F1115" s="8">
        <v>0</v>
      </c>
      <c r="G1115" s="4">
        <v>2</v>
      </c>
      <c r="H1115" s="8">
        <v>9.09</v>
      </c>
      <c r="I1115" s="4">
        <v>0</v>
      </c>
    </row>
    <row r="1116" spans="1:9" x14ac:dyDescent="0.2">
      <c r="A1116" s="2">
        <v>2</v>
      </c>
      <c r="B1116" s="1" t="s">
        <v>378</v>
      </c>
      <c r="C1116" s="4">
        <v>2</v>
      </c>
      <c r="D1116" s="8">
        <v>6.06</v>
      </c>
      <c r="E1116" s="4">
        <v>0</v>
      </c>
      <c r="F1116" s="8">
        <v>0</v>
      </c>
      <c r="G1116" s="4">
        <v>2</v>
      </c>
      <c r="H1116" s="8">
        <v>9.09</v>
      </c>
      <c r="I1116" s="4">
        <v>0</v>
      </c>
    </row>
    <row r="1117" spans="1:9" x14ac:dyDescent="0.2">
      <c r="A1117" s="2">
        <v>2</v>
      </c>
      <c r="B1117" s="1" t="s">
        <v>303</v>
      </c>
      <c r="C1117" s="4">
        <v>2</v>
      </c>
      <c r="D1117" s="8">
        <v>6.06</v>
      </c>
      <c r="E1117" s="4">
        <v>2</v>
      </c>
      <c r="F1117" s="8">
        <v>25</v>
      </c>
      <c r="G1117" s="4">
        <v>0</v>
      </c>
      <c r="H1117" s="8">
        <v>0</v>
      </c>
      <c r="I1117" s="4">
        <v>0</v>
      </c>
    </row>
    <row r="1118" spans="1:9" x14ac:dyDescent="0.2">
      <c r="A1118" s="2">
        <v>2</v>
      </c>
      <c r="B1118" s="1" t="s">
        <v>368</v>
      </c>
      <c r="C1118" s="4">
        <v>2</v>
      </c>
      <c r="D1118" s="8">
        <v>6.06</v>
      </c>
      <c r="E1118" s="4">
        <v>0</v>
      </c>
      <c r="F1118" s="8">
        <v>0</v>
      </c>
      <c r="G1118" s="4">
        <v>0</v>
      </c>
      <c r="H1118" s="8">
        <v>0</v>
      </c>
      <c r="I1118" s="4">
        <v>0</v>
      </c>
    </row>
    <row r="1119" spans="1:9" x14ac:dyDescent="0.2">
      <c r="A1119" s="2">
        <v>2</v>
      </c>
      <c r="B1119" s="1" t="s">
        <v>331</v>
      </c>
      <c r="C1119" s="4">
        <v>2</v>
      </c>
      <c r="D1119" s="8">
        <v>6.06</v>
      </c>
      <c r="E1119" s="4">
        <v>0</v>
      </c>
      <c r="F1119" s="8">
        <v>0</v>
      </c>
      <c r="G1119" s="4">
        <v>2</v>
      </c>
      <c r="H1119" s="8">
        <v>9.09</v>
      </c>
      <c r="I1119" s="4">
        <v>0</v>
      </c>
    </row>
    <row r="1120" spans="1:9" x14ac:dyDescent="0.2">
      <c r="A1120" s="2">
        <v>8</v>
      </c>
      <c r="B1120" s="1" t="s">
        <v>288</v>
      </c>
      <c r="C1120" s="4">
        <v>1</v>
      </c>
      <c r="D1120" s="8">
        <v>3.03</v>
      </c>
      <c r="E1120" s="4">
        <v>0</v>
      </c>
      <c r="F1120" s="8">
        <v>0</v>
      </c>
      <c r="G1120" s="4">
        <v>1</v>
      </c>
      <c r="H1120" s="8">
        <v>4.55</v>
      </c>
      <c r="I1120" s="4">
        <v>0</v>
      </c>
    </row>
    <row r="1121" spans="1:9" x14ac:dyDescent="0.2">
      <c r="A1121" s="2">
        <v>8</v>
      </c>
      <c r="B1121" s="1" t="s">
        <v>328</v>
      </c>
      <c r="C1121" s="4">
        <v>1</v>
      </c>
      <c r="D1121" s="8">
        <v>3.03</v>
      </c>
      <c r="E1121" s="4">
        <v>0</v>
      </c>
      <c r="F1121" s="8">
        <v>0</v>
      </c>
      <c r="G1121" s="4">
        <v>1</v>
      </c>
      <c r="H1121" s="8">
        <v>4.55</v>
      </c>
      <c r="I1121" s="4">
        <v>0</v>
      </c>
    </row>
    <row r="1122" spans="1:9" x14ac:dyDescent="0.2">
      <c r="A1122" s="2">
        <v>8</v>
      </c>
      <c r="B1122" s="1" t="s">
        <v>353</v>
      </c>
      <c r="C1122" s="4">
        <v>1</v>
      </c>
      <c r="D1122" s="8">
        <v>3.03</v>
      </c>
      <c r="E1122" s="4">
        <v>0</v>
      </c>
      <c r="F1122" s="8">
        <v>0</v>
      </c>
      <c r="G1122" s="4">
        <v>1</v>
      </c>
      <c r="H1122" s="8">
        <v>4.55</v>
      </c>
      <c r="I1122" s="4">
        <v>0</v>
      </c>
    </row>
    <row r="1123" spans="1:9" x14ac:dyDescent="0.2">
      <c r="A1123" s="2">
        <v>8</v>
      </c>
      <c r="B1123" s="1" t="s">
        <v>376</v>
      </c>
      <c r="C1123" s="4">
        <v>1</v>
      </c>
      <c r="D1123" s="8">
        <v>3.03</v>
      </c>
      <c r="E1123" s="4">
        <v>0</v>
      </c>
      <c r="F1123" s="8">
        <v>0</v>
      </c>
      <c r="G1123" s="4">
        <v>1</v>
      </c>
      <c r="H1123" s="8">
        <v>4.55</v>
      </c>
      <c r="I1123" s="4">
        <v>0</v>
      </c>
    </row>
    <row r="1124" spans="1:9" x14ac:dyDescent="0.2">
      <c r="A1124" s="2">
        <v>8</v>
      </c>
      <c r="B1124" s="1" t="s">
        <v>351</v>
      </c>
      <c r="C1124" s="4">
        <v>1</v>
      </c>
      <c r="D1124" s="8">
        <v>3.03</v>
      </c>
      <c r="E1124" s="4">
        <v>0</v>
      </c>
      <c r="F1124" s="8">
        <v>0</v>
      </c>
      <c r="G1124" s="4">
        <v>1</v>
      </c>
      <c r="H1124" s="8">
        <v>4.55</v>
      </c>
      <c r="I1124" s="4">
        <v>0</v>
      </c>
    </row>
    <row r="1125" spans="1:9" x14ac:dyDescent="0.2">
      <c r="A1125" s="2">
        <v>8</v>
      </c>
      <c r="B1125" s="1" t="s">
        <v>326</v>
      </c>
      <c r="C1125" s="4">
        <v>1</v>
      </c>
      <c r="D1125" s="8">
        <v>3.03</v>
      </c>
      <c r="E1125" s="4">
        <v>0</v>
      </c>
      <c r="F1125" s="8">
        <v>0</v>
      </c>
      <c r="G1125" s="4">
        <v>1</v>
      </c>
      <c r="H1125" s="8">
        <v>4.55</v>
      </c>
      <c r="I1125" s="4">
        <v>0</v>
      </c>
    </row>
    <row r="1126" spans="1:9" x14ac:dyDescent="0.2">
      <c r="A1126" s="2">
        <v>8</v>
      </c>
      <c r="B1126" s="1" t="s">
        <v>364</v>
      </c>
      <c r="C1126" s="4">
        <v>1</v>
      </c>
      <c r="D1126" s="8">
        <v>3.03</v>
      </c>
      <c r="E1126" s="4">
        <v>0</v>
      </c>
      <c r="F1126" s="8">
        <v>0</v>
      </c>
      <c r="G1126" s="4">
        <v>1</v>
      </c>
      <c r="H1126" s="8">
        <v>4.55</v>
      </c>
      <c r="I1126" s="4">
        <v>0</v>
      </c>
    </row>
    <row r="1127" spans="1:9" x14ac:dyDescent="0.2">
      <c r="A1127" s="2">
        <v>8</v>
      </c>
      <c r="B1127" s="1" t="s">
        <v>324</v>
      </c>
      <c r="C1127" s="4">
        <v>1</v>
      </c>
      <c r="D1127" s="8">
        <v>3.03</v>
      </c>
      <c r="E1127" s="4">
        <v>0</v>
      </c>
      <c r="F1127" s="8">
        <v>0</v>
      </c>
      <c r="G1127" s="4">
        <v>1</v>
      </c>
      <c r="H1127" s="8">
        <v>4.55</v>
      </c>
      <c r="I1127" s="4">
        <v>0</v>
      </c>
    </row>
    <row r="1128" spans="1:9" x14ac:dyDescent="0.2">
      <c r="A1128" s="2">
        <v>8</v>
      </c>
      <c r="B1128" s="1" t="s">
        <v>379</v>
      </c>
      <c r="C1128" s="4">
        <v>1</v>
      </c>
      <c r="D1128" s="8">
        <v>3.03</v>
      </c>
      <c r="E1128" s="4">
        <v>1</v>
      </c>
      <c r="F1128" s="8">
        <v>12.5</v>
      </c>
      <c r="G1128" s="4">
        <v>0</v>
      </c>
      <c r="H1128" s="8">
        <v>0</v>
      </c>
      <c r="I1128" s="4">
        <v>0</v>
      </c>
    </row>
    <row r="1129" spans="1:9" x14ac:dyDescent="0.2">
      <c r="A1129" s="2">
        <v>8</v>
      </c>
      <c r="B1129" s="1" t="s">
        <v>329</v>
      </c>
      <c r="C1129" s="4">
        <v>1</v>
      </c>
      <c r="D1129" s="8">
        <v>3.03</v>
      </c>
      <c r="E1129" s="4">
        <v>0</v>
      </c>
      <c r="F1129" s="8">
        <v>0</v>
      </c>
      <c r="G1129" s="4">
        <v>1</v>
      </c>
      <c r="H1129" s="8">
        <v>4.55</v>
      </c>
      <c r="I1129" s="4">
        <v>0</v>
      </c>
    </row>
    <row r="1130" spans="1:9" x14ac:dyDescent="0.2">
      <c r="A1130" s="2">
        <v>8</v>
      </c>
      <c r="B1130" s="1" t="s">
        <v>372</v>
      </c>
      <c r="C1130" s="4">
        <v>1</v>
      </c>
      <c r="D1130" s="8">
        <v>3.03</v>
      </c>
      <c r="E1130" s="4">
        <v>0</v>
      </c>
      <c r="F1130" s="8">
        <v>0</v>
      </c>
      <c r="G1130" s="4">
        <v>1</v>
      </c>
      <c r="H1130" s="8">
        <v>4.55</v>
      </c>
      <c r="I1130" s="4">
        <v>0</v>
      </c>
    </row>
    <row r="1131" spans="1:9" x14ac:dyDescent="0.2">
      <c r="A1131" s="2">
        <v>8</v>
      </c>
      <c r="B1131" s="1" t="s">
        <v>330</v>
      </c>
      <c r="C1131" s="4">
        <v>1</v>
      </c>
      <c r="D1131" s="8">
        <v>3.03</v>
      </c>
      <c r="E1131" s="4">
        <v>0</v>
      </c>
      <c r="F1131" s="8">
        <v>0</v>
      </c>
      <c r="G1131" s="4">
        <v>1</v>
      </c>
      <c r="H1131" s="8">
        <v>4.55</v>
      </c>
      <c r="I1131" s="4">
        <v>0</v>
      </c>
    </row>
    <row r="1132" spans="1:9" x14ac:dyDescent="0.2">
      <c r="A1132" s="2">
        <v>8</v>
      </c>
      <c r="B1132" s="1" t="s">
        <v>338</v>
      </c>
      <c r="C1132" s="4">
        <v>1</v>
      </c>
      <c r="D1132" s="8">
        <v>3.03</v>
      </c>
      <c r="E1132" s="4">
        <v>1</v>
      </c>
      <c r="F1132" s="8">
        <v>12.5</v>
      </c>
      <c r="G1132" s="4">
        <v>0</v>
      </c>
      <c r="H1132" s="8">
        <v>0</v>
      </c>
      <c r="I1132" s="4">
        <v>0</v>
      </c>
    </row>
    <row r="1133" spans="1:9" x14ac:dyDescent="0.2">
      <c r="A1133" s="2">
        <v>8</v>
      </c>
      <c r="B1133" s="1" t="s">
        <v>297</v>
      </c>
      <c r="C1133" s="4">
        <v>1</v>
      </c>
      <c r="D1133" s="8">
        <v>3.03</v>
      </c>
      <c r="E1133" s="4">
        <v>0</v>
      </c>
      <c r="F1133" s="8">
        <v>0</v>
      </c>
      <c r="G1133" s="4">
        <v>1</v>
      </c>
      <c r="H1133" s="8">
        <v>4.55</v>
      </c>
      <c r="I1133" s="4">
        <v>0</v>
      </c>
    </row>
    <row r="1134" spans="1:9" x14ac:dyDescent="0.2">
      <c r="A1134" s="2">
        <v>8</v>
      </c>
      <c r="B1134" s="1" t="s">
        <v>334</v>
      </c>
      <c r="C1134" s="4">
        <v>1</v>
      </c>
      <c r="D1134" s="8">
        <v>3.03</v>
      </c>
      <c r="E1134" s="4">
        <v>1</v>
      </c>
      <c r="F1134" s="8">
        <v>12.5</v>
      </c>
      <c r="G1134" s="4">
        <v>0</v>
      </c>
      <c r="H1134" s="8">
        <v>0</v>
      </c>
      <c r="I1134" s="4">
        <v>0</v>
      </c>
    </row>
    <row r="1135" spans="1:9" x14ac:dyDescent="0.2">
      <c r="A1135" s="2">
        <v>8</v>
      </c>
      <c r="B1135" s="1" t="s">
        <v>299</v>
      </c>
      <c r="C1135" s="4">
        <v>1</v>
      </c>
      <c r="D1135" s="8">
        <v>3.03</v>
      </c>
      <c r="E1135" s="4">
        <v>1</v>
      </c>
      <c r="F1135" s="8">
        <v>12.5</v>
      </c>
      <c r="G1135" s="4">
        <v>0</v>
      </c>
      <c r="H1135" s="8">
        <v>0</v>
      </c>
      <c r="I1135" s="4">
        <v>0</v>
      </c>
    </row>
    <row r="1136" spans="1:9" x14ac:dyDescent="0.2">
      <c r="A1136" s="2">
        <v>8</v>
      </c>
      <c r="B1136" s="1" t="s">
        <v>301</v>
      </c>
      <c r="C1136" s="4">
        <v>1</v>
      </c>
      <c r="D1136" s="8">
        <v>3.03</v>
      </c>
      <c r="E1136" s="4">
        <v>1</v>
      </c>
      <c r="F1136" s="8">
        <v>12.5</v>
      </c>
      <c r="G1136" s="4">
        <v>0</v>
      </c>
      <c r="H1136" s="8">
        <v>0</v>
      </c>
      <c r="I1136" s="4">
        <v>0</v>
      </c>
    </row>
    <row r="1137" spans="1:9" x14ac:dyDescent="0.2">
      <c r="A1137" s="2">
        <v>8</v>
      </c>
      <c r="B1137" s="1" t="s">
        <v>307</v>
      </c>
      <c r="C1137" s="4">
        <v>1</v>
      </c>
      <c r="D1137" s="8">
        <v>3.03</v>
      </c>
      <c r="E1137" s="4">
        <v>0</v>
      </c>
      <c r="F1137" s="8">
        <v>0</v>
      </c>
      <c r="G1137" s="4">
        <v>1</v>
      </c>
      <c r="H1137" s="8">
        <v>4.55</v>
      </c>
      <c r="I1137" s="4">
        <v>0</v>
      </c>
    </row>
    <row r="1138" spans="1:9" x14ac:dyDescent="0.2">
      <c r="A1138" s="1"/>
      <c r="C1138" s="4"/>
      <c r="D1138" s="8"/>
      <c r="E1138" s="4"/>
      <c r="F1138" s="8"/>
      <c r="G1138" s="4"/>
      <c r="H1138" s="8"/>
      <c r="I1138" s="4"/>
    </row>
    <row r="1139" spans="1:9" x14ac:dyDescent="0.2">
      <c r="A1139" s="1" t="s">
        <v>48</v>
      </c>
      <c r="C1139" s="4"/>
      <c r="D1139" s="8"/>
      <c r="E1139" s="4"/>
      <c r="F1139" s="8"/>
      <c r="G1139" s="4"/>
      <c r="H1139" s="8"/>
      <c r="I1139" s="4"/>
    </row>
    <row r="1140" spans="1:9" x14ac:dyDescent="0.2">
      <c r="A1140" s="2">
        <v>1</v>
      </c>
      <c r="B1140" s="1" t="s">
        <v>304</v>
      </c>
      <c r="C1140" s="4">
        <v>20</v>
      </c>
      <c r="D1140" s="8">
        <v>9.8000000000000007</v>
      </c>
      <c r="E1140" s="4">
        <v>20</v>
      </c>
      <c r="F1140" s="8">
        <v>15.27</v>
      </c>
      <c r="G1140" s="4">
        <v>0</v>
      </c>
      <c r="H1140" s="8">
        <v>0</v>
      </c>
      <c r="I1140" s="4">
        <v>0</v>
      </c>
    </row>
    <row r="1141" spans="1:9" x14ac:dyDescent="0.2">
      <c r="A1141" s="2">
        <v>2</v>
      </c>
      <c r="B1141" s="1" t="s">
        <v>292</v>
      </c>
      <c r="C1141" s="4">
        <v>15</v>
      </c>
      <c r="D1141" s="8">
        <v>7.35</v>
      </c>
      <c r="E1141" s="4">
        <v>12</v>
      </c>
      <c r="F1141" s="8">
        <v>9.16</v>
      </c>
      <c r="G1141" s="4">
        <v>3</v>
      </c>
      <c r="H1141" s="8">
        <v>4.6900000000000004</v>
      </c>
      <c r="I1141" s="4">
        <v>0</v>
      </c>
    </row>
    <row r="1142" spans="1:9" x14ac:dyDescent="0.2">
      <c r="A1142" s="2">
        <v>3</v>
      </c>
      <c r="B1142" s="1" t="s">
        <v>303</v>
      </c>
      <c r="C1142" s="4">
        <v>11</v>
      </c>
      <c r="D1142" s="8">
        <v>5.39</v>
      </c>
      <c r="E1142" s="4">
        <v>11</v>
      </c>
      <c r="F1142" s="8">
        <v>8.4</v>
      </c>
      <c r="G1142" s="4">
        <v>0</v>
      </c>
      <c r="H1142" s="8">
        <v>0</v>
      </c>
      <c r="I1142" s="4">
        <v>0</v>
      </c>
    </row>
    <row r="1143" spans="1:9" x14ac:dyDescent="0.2">
      <c r="A1143" s="2">
        <v>4</v>
      </c>
      <c r="B1143" s="1" t="s">
        <v>295</v>
      </c>
      <c r="C1143" s="4">
        <v>9</v>
      </c>
      <c r="D1143" s="8">
        <v>4.41</v>
      </c>
      <c r="E1143" s="4">
        <v>7</v>
      </c>
      <c r="F1143" s="8">
        <v>5.34</v>
      </c>
      <c r="G1143" s="4">
        <v>2</v>
      </c>
      <c r="H1143" s="8">
        <v>3.13</v>
      </c>
      <c r="I1143" s="4">
        <v>0</v>
      </c>
    </row>
    <row r="1144" spans="1:9" x14ac:dyDescent="0.2">
      <c r="A1144" s="2">
        <v>4</v>
      </c>
      <c r="B1144" s="1" t="s">
        <v>297</v>
      </c>
      <c r="C1144" s="4">
        <v>9</v>
      </c>
      <c r="D1144" s="8">
        <v>4.41</v>
      </c>
      <c r="E1144" s="4">
        <v>8</v>
      </c>
      <c r="F1144" s="8">
        <v>6.11</v>
      </c>
      <c r="G1144" s="4">
        <v>1</v>
      </c>
      <c r="H1144" s="8">
        <v>1.56</v>
      </c>
      <c r="I1144" s="4">
        <v>0</v>
      </c>
    </row>
    <row r="1145" spans="1:9" x14ac:dyDescent="0.2">
      <c r="A1145" s="2">
        <v>6</v>
      </c>
      <c r="B1145" s="1" t="s">
        <v>335</v>
      </c>
      <c r="C1145" s="4">
        <v>8</v>
      </c>
      <c r="D1145" s="8">
        <v>3.92</v>
      </c>
      <c r="E1145" s="4">
        <v>2</v>
      </c>
      <c r="F1145" s="8">
        <v>1.53</v>
      </c>
      <c r="G1145" s="4">
        <v>6</v>
      </c>
      <c r="H1145" s="8">
        <v>9.3800000000000008</v>
      </c>
      <c r="I1145" s="4">
        <v>0</v>
      </c>
    </row>
    <row r="1146" spans="1:9" x14ac:dyDescent="0.2">
      <c r="A1146" s="2">
        <v>6</v>
      </c>
      <c r="B1146" s="1" t="s">
        <v>330</v>
      </c>
      <c r="C1146" s="4">
        <v>8</v>
      </c>
      <c r="D1146" s="8">
        <v>3.92</v>
      </c>
      <c r="E1146" s="4">
        <v>2</v>
      </c>
      <c r="F1146" s="8">
        <v>1.53</v>
      </c>
      <c r="G1146" s="4">
        <v>6</v>
      </c>
      <c r="H1146" s="8">
        <v>9.3800000000000008</v>
      </c>
      <c r="I1146" s="4">
        <v>0</v>
      </c>
    </row>
    <row r="1147" spans="1:9" x14ac:dyDescent="0.2">
      <c r="A1147" s="2">
        <v>8</v>
      </c>
      <c r="B1147" s="1" t="s">
        <v>337</v>
      </c>
      <c r="C1147" s="4">
        <v>7</v>
      </c>
      <c r="D1147" s="8">
        <v>3.43</v>
      </c>
      <c r="E1147" s="4">
        <v>6</v>
      </c>
      <c r="F1147" s="8">
        <v>4.58</v>
      </c>
      <c r="G1147" s="4">
        <v>1</v>
      </c>
      <c r="H1147" s="8">
        <v>1.56</v>
      </c>
      <c r="I1147" s="4">
        <v>0</v>
      </c>
    </row>
    <row r="1148" spans="1:9" x14ac:dyDescent="0.2">
      <c r="A1148" s="2">
        <v>9</v>
      </c>
      <c r="B1148" s="1" t="s">
        <v>289</v>
      </c>
      <c r="C1148" s="4">
        <v>6</v>
      </c>
      <c r="D1148" s="8">
        <v>2.94</v>
      </c>
      <c r="E1148" s="4">
        <v>2</v>
      </c>
      <c r="F1148" s="8">
        <v>1.53</v>
      </c>
      <c r="G1148" s="4">
        <v>4</v>
      </c>
      <c r="H1148" s="8">
        <v>6.25</v>
      </c>
      <c r="I1148" s="4">
        <v>0</v>
      </c>
    </row>
    <row r="1149" spans="1:9" x14ac:dyDescent="0.2">
      <c r="A1149" s="2">
        <v>10</v>
      </c>
      <c r="B1149" s="1" t="s">
        <v>343</v>
      </c>
      <c r="C1149" s="4">
        <v>5</v>
      </c>
      <c r="D1149" s="8">
        <v>2.4500000000000002</v>
      </c>
      <c r="E1149" s="4">
        <v>4</v>
      </c>
      <c r="F1149" s="8">
        <v>3.05</v>
      </c>
      <c r="G1149" s="4">
        <v>1</v>
      </c>
      <c r="H1149" s="8">
        <v>1.56</v>
      </c>
      <c r="I1149" s="4">
        <v>0</v>
      </c>
    </row>
    <row r="1150" spans="1:9" x14ac:dyDescent="0.2">
      <c r="A1150" s="2">
        <v>10</v>
      </c>
      <c r="B1150" s="1" t="s">
        <v>333</v>
      </c>
      <c r="C1150" s="4">
        <v>5</v>
      </c>
      <c r="D1150" s="8">
        <v>2.4500000000000002</v>
      </c>
      <c r="E1150" s="4">
        <v>4</v>
      </c>
      <c r="F1150" s="8">
        <v>3.05</v>
      </c>
      <c r="G1150" s="4">
        <v>1</v>
      </c>
      <c r="H1150" s="8">
        <v>1.56</v>
      </c>
      <c r="I1150" s="4">
        <v>0</v>
      </c>
    </row>
    <row r="1151" spans="1:9" x14ac:dyDescent="0.2">
      <c r="A1151" s="2">
        <v>10</v>
      </c>
      <c r="B1151" s="1" t="s">
        <v>380</v>
      </c>
      <c r="C1151" s="4">
        <v>5</v>
      </c>
      <c r="D1151" s="8">
        <v>2.4500000000000002</v>
      </c>
      <c r="E1151" s="4">
        <v>3</v>
      </c>
      <c r="F1151" s="8">
        <v>2.29</v>
      </c>
      <c r="G1151" s="4">
        <v>2</v>
      </c>
      <c r="H1151" s="8">
        <v>3.13</v>
      </c>
      <c r="I1151" s="4">
        <v>0</v>
      </c>
    </row>
    <row r="1152" spans="1:9" x14ac:dyDescent="0.2">
      <c r="A1152" s="2">
        <v>10</v>
      </c>
      <c r="B1152" s="1" t="s">
        <v>331</v>
      </c>
      <c r="C1152" s="4">
        <v>5</v>
      </c>
      <c r="D1152" s="8">
        <v>2.4500000000000002</v>
      </c>
      <c r="E1152" s="4">
        <v>1</v>
      </c>
      <c r="F1152" s="8">
        <v>0.76</v>
      </c>
      <c r="G1152" s="4">
        <v>3</v>
      </c>
      <c r="H1152" s="8">
        <v>4.6900000000000004</v>
      </c>
      <c r="I1152" s="4">
        <v>0</v>
      </c>
    </row>
    <row r="1153" spans="1:9" x14ac:dyDescent="0.2">
      <c r="A1153" s="2">
        <v>14</v>
      </c>
      <c r="B1153" s="1" t="s">
        <v>288</v>
      </c>
      <c r="C1153" s="4">
        <v>4</v>
      </c>
      <c r="D1153" s="8">
        <v>1.96</v>
      </c>
      <c r="E1153" s="4">
        <v>0</v>
      </c>
      <c r="F1153" s="8">
        <v>0</v>
      </c>
      <c r="G1153" s="4">
        <v>4</v>
      </c>
      <c r="H1153" s="8">
        <v>6.25</v>
      </c>
      <c r="I1153" s="4">
        <v>0</v>
      </c>
    </row>
    <row r="1154" spans="1:9" x14ac:dyDescent="0.2">
      <c r="A1154" s="2">
        <v>14</v>
      </c>
      <c r="B1154" s="1" t="s">
        <v>328</v>
      </c>
      <c r="C1154" s="4">
        <v>4</v>
      </c>
      <c r="D1154" s="8">
        <v>1.96</v>
      </c>
      <c r="E1154" s="4">
        <v>2</v>
      </c>
      <c r="F1154" s="8">
        <v>1.53</v>
      </c>
      <c r="G1154" s="4">
        <v>2</v>
      </c>
      <c r="H1154" s="8">
        <v>3.13</v>
      </c>
      <c r="I1154" s="4">
        <v>0</v>
      </c>
    </row>
    <row r="1155" spans="1:9" x14ac:dyDescent="0.2">
      <c r="A1155" s="2">
        <v>14</v>
      </c>
      <c r="B1155" s="1" t="s">
        <v>368</v>
      </c>
      <c r="C1155" s="4">
        <v>4</v>
      </c>
      <c r="D1155" s="8">
        <v>1.96</v>
      </c>
      <c r="E1155" s="4">
        <v>0</v>
      </c>
      <c r="F1155" s="8">
        <v>0</v>
      </c>
      <c r="G1155" s="4">
        <v>0</v>
      </c>
      <c r="H1155" s="8">
        <v>0</v>
      </c>
      <c r="I1155" s="4">
        <v>0</v>
      </c>
    </row>
    <row r="1156" spans="1:9" x14ac:dyDescent="0.2">
      <c r="A1156" s="2">
        <v>17</v>
      </c>
      <c r="B1156" s="1" t="s">
        <v>353</v>
      </c>
      <c r="C1156" s="4">
        <v>3</v>
      </c>
      <c r="D1156" s="8">
        <v>1.47</v>
      </c>
      <c r="E1156" s="4">
        <v>2</v>
      </c>
      <c r="F1156" s="8">
        <v>1.53</v>
      </c>
      <c r="G1156" s="4">
        <v>1</v>
      </c>
      <c r="H1156" s="8">
        <v>1.56</v>
      </c>
      <c r="I1156" s="4">
        <v>0</v>
      </c>
    </row>
    <row r="1157" spans="1:9" x14ac:dyDescent="0.2">
      <c r="A1157" s="2">
        <v>17</v>
      </c>
      <c r="B1157" s="1" t="s">
        <v>290</v>
      </c>
      <c r="C1157" s="4">
        <v>3</v>
      </c>
      <c r="D1157" s="8">
        <v>1.47</v>
      </c>
      <c r="E1157" s="4">
        <v>3</v>
      </c>
      <c r="F1157" s="8">
        <v>2.29</v>
      </c>
      <c r="G1157" s="4">
        <v>0</v>
      </c>
      <c r="H1157" s="8">
        <v>0</v>
      </c>
      <c r="I1157" s="4">
        <v>0</v>
      </c>
    </row>
    <row r="1158" spans="1:9" x14ac:dyDescent="0.2">
      <c r="A1158" s="2">
        <v>17</v>
      </c>
      <c r="B1158" s="1" t="s">
        <v>342</v>
      </c>
      <c r="C1158" s="4">
        <v>3</v>
      </c>
      <c r="D1158" s="8">
        <v>1.47</v>
      </c>
      <c r="E1158" s="4">
        <v>0</v>
      </c>
      <c r="F1158" s="8">
        <v>0</v>
      </c>
      <c r="G1158" s="4">
        <v>3</v>
      </c>
      <c r="H1158" s="8">
        <v>4.6900000000000004</v>
      </c>
      <c r="I1158" s="4">
        <v>0</v>
      </c>
    </row>
    <row r="1159" spans="1:9" x14ac:dyDescent="0.2">
      <c r="A1159" s="2">
        <v>17</v>
      </c>
      <c r="B1159" s="1" t="s">
        <v>300</v>
      </c>
      <c r="C1159" s="4">
        <v>3</v>
      </c>
      <c r="D1159" s="8">
        <v>1.47</v>
      </c>
      <c r="E1159" s="4">
        <v>2</v>
      </c>
      <c r="F1159" s="8">
        <v>1.53</v>
      </c>
      <c r="G1159" s="4">
        <v>1</v>
      </c>
      <c r="H1159" s="8">
        <v>1.56</v>
      </c>
      <c r="I1159" s="4">
        <v>0</v>
      </c>
    </row>
    <row r="1160" spans="1:9" x14ac:dyDescent="0.2">
      <c r="A1160" s="2">
        <v>17</v>
      </c>
      <c r="B1160" s="1" t="s">
        <v>312</v>
      </c>
      <c r="C1160" s="4">
        <v>3</v>
      </c>
      <c r="D1160" s="8">
        <v>1.47</v>
      </c>
      <c r="E1160" s="4">
        <v>2</v>
      </c>
      <c r="F1160" s="8">
        <v>1.53</v>
      </c>
      <c r="G1160" s="4">
        <v>1</v>
      </c>
      <c r="H1160" s="8">
        <v>1.56</v>
      </c>
      <c r="I1160" s="4">
        <v>0</v>
      </c>
    </row>
    <row r="1161" spans="1:9" x14ac:dyDescent="0.2">
      <c r="A1161" s="2">
        <v>17</v>
      </c>
      <c r="B1161" s="1" t="s">
        <v>371</v>
      </c>
      <c r="C1161" s="4">
        <v>3</v>
      </c>
      <c r="D1161" s="8">
        <v>1.47</v>
      </c>
      <c r="E1161" s="4">
        <v>3</v>
      </c>
      <c r="F1161" s="8">
        <v>2.29</v>
      </c>
      <c r="G1161" s="4">
        <v>0</v>
      </c>
      <c r="H1161" s="8">
        <v>0</v>
      </c>
      <c r="I1161" s="4">
        <v>0</v>
      </c>
    </row>
    <row r="1162" spans="1:9" x14ac:dyDescent="0.2">
      <c r="A1162" s="1"/>
      <c r="C1162" s="4"/>
      <c r="D1162" s="8"/>
      <c r="E1162" s="4"/>
      <c r="F1162" s="8"/>
      <c r="G1162" s="4"/>
      <c r="H1162" s="8"/>
      <c r="I1162" s="4"/>
    </row>
    <row r="1163" spans="1:9" x14ac:dyDescent="0.2">
      <c r="A1163" s="1" t="s">
        <v>49</v>
      </c>
      <c r="C1163" s="4"/>
      <c r="D1163" s="8"/>
      <c r="E1163" s="4"/>
      <c r="F1163" s="8"/>
      <c r="G1163" s="4"/>
      <c r="H1163" s="8"/>
      <c r="I1163" s="4"/>
    </row>
    <row r="1164" spans="1:9" x14ac:dyDescent="0.2">
      <c r="A1164" s="2">
        <v>1</v>
      </c>
      <c r="B1164" s="1" t="s">
        <v>297</v>
      </c>
      <c r="C1164" s="4">
        <v>10</v>
      </c>
      <c r="D1164" s="8">
        <v>6.37</v>
      </c>
      <c r="E1164" s="4">
        <v>9</v>
      </c>
      <c r="F1164" s="8">
        <v>8.82</v>
      </c>
      <c r="G1164" s="4">
        <v>1</v>
      </c>
      <c r="H1164" s="8">
        <v>2.08</v>
      </c>
      <c r="I1164" s="4">
        <v>0</v>
      </c>
    </row>
    <row r="1165" spans="1:9" x14ac:dyDescent="0.2">
      <c r="A1165" s="2">
        <v>2</v>
      </c>
      <c r="B1165" s="1" t="s">
        <v>304</v>
      </c>
      <c r="C1165" s="4">
        <v>9</v>
      </c>
      <c r="D1165" s="8">
        <v>5.73</v>
      </c>
      <c r="E1165" s="4">
        <v>9</v>
      </c>
      <c r="F1165" s="8">
        <v>8.82</v>
      </c>
      <c r="G1165" s="4">
        <v>0</v>
      </c>
      <c r="H1165" s="8">
        <v>0</v>
      </c>
      <c r="I1165" s="4">
        <v>0</v>
      </c>
    </row>
    <row r="1166" spans="1:9" x14ac:dyDescent="0.2">
      <c r="A1166" s="2">
        <v>3</v>
      </c>
      <c r="B1166" s="1" t="s">
        <v>292</v>
      </c>
      <c r="C1166" s="4">
        <v>7</v>
      </c>
      <c r="D1166" s="8">
        <v>4.46</v>
      </c>
      <c r="E1166" s="4">
        <v>4</v>
      </c>
      <c r="F1166" s="8">
        <v>3.92</v>
      </c>
      <c r="G1166" s="4">
        <v>3</v>
      </c>
      <c r="H1166" s="8">
        <v>6.25</v>
      </c>
      <c r="I1166" s="4">
        <v>0</v>
      </c>
    </row>
    <row r="1167" spans="1:9" x14ac:dyDescent="0.2">
      <c r="A1167" s="2">
        <v>4</v>
      </c>
      <c r="B1167" s="1" t="s">
        <v>303</v>
      </c>
      <c r="C1167" s="4">
        <v>6</v>
      </c>
      <c r="D1167" s="8">
        <v>3.82</v>
      </c>
      <c r="E1167" s="4">
        <v>6</v>
      </c>
      <c r="F1167" s="8">
        <v>5.88</v>
      </c>
      <c r="G1167" s="4">
        <v>0</v>
      </c>
      <c r="H1167" s="8">
        <v>0</v>
      </c>
      <c r="I1167" s="4">
        <v>0</v>
      </c>
    </row>
    <row r="1168" spans="1:9" x14ac:dyDescent="0.2">
      <c r="A1168" s="2">
        <v>5</v>
      </c>
      <c r="B1168" s="1" t="s">
        <v>328</v>
      </c>
      <c r="C1168" s="4">
        <v>5</v>
      </c>
      <c r="D1168" s="8">
        <v>3.18</v>
      </c>
      <c r="E1168" s="4">
        <v>2</v>
      </c>
      <c r="F1168" s="8">
        <v>1.96</v>
      </c>
      <c r="G1168" s="4">
        <v>3</v>
      </c>
      <c r="H1168" s="8">
        <v>6.25</v>
      </c>
      <c r="I1168" s="4">
        <v>0</v>
      </c>
    </row>
    <row r="1169" spans="1:9" x14ac:dyDescent="0.2">
      <c r="A1169" s="2">
        <v>5</v>
      </c>
      <c r="B1169" s="1" t="s">
        <v>330</v>
      </c>
      <c r="C1169" s="4">
        <v>5</v>
      </c>
      <c r="D1169" s="8">
        <v>3.18</v>
      </c>
      <c r="E1169" s="4">
        <v>1</v>
      </c>
      <c r="F1169" s="8">
        <v>0.98</v>
      </c>
      <c r="G1169" s="4">
        <v>4</v>
      </c>
      <c r="H1169" s="8">
        <v>8.33</v>
      </c>
      <c r="I1169" s="4">
        <v>0</v>
      </c>
    </row>
    <row r="1170" spans="1:9" x14ac:dyDescent="0.2">
      <c r="A1170" s="2">
        <v>5</v>
      </c>
      <c r="B1170" s="1" t="s">
        <v>301</v>
      </c>
      <c r="C1170" s="4">
        <v>5</v>
      </c>
      <c r="D1170" s="8">
        <v>3.18</v>
      </c>
      <c r="E1170" s="4">
        <v>5</v>
      </c>
      <c r="F1170" s="8">
        <v>4.9000000000000004</v>
      </c>
      <c r="G1170" s="4">
        <v>0</v>
      </c>
      <c r="H1170" s="8">
        <v>0</v>
      </c>
      <c r="I1170" s="4">
        <v>0</v>
      </c>
    </row>
    <row r="1171" spans="1:9" x14ac:dyDescent="0.2">
      <c r="A1171" s="2">
        <v>5</v>
      </c>
      <c r="B1171" s="1" t="s">
        <v>370</v>
      </c>
      <c r="C1171" s="4">
        <v>5</v>
      </c>
      <c r="D1171" s="8">
        <v>3.18</v>
      </c>
      <c r="E1171" s="4">
        <v>0</v>
      </c>
      <c r="F1171" s="8">
        <v>0</v>
      </c>
      <c r="G1171" s="4">
        <v>2</v>
      </c>
      <c r="H1171" s="8">
        <v>4.17</v>
      </c>
      <c r="I1171" s="4">
        <v>0</v>
      </c>
    </row>
    <row r="1172" spans="1:9" x14ac:dyDescent="0.2">
      <c r="A1172" s="2">
        <v>9</v>
      </c>
      <c r="B1172" s="1" t="s">
        <v>289</v>
      </c>
      <c r="C1172" s="4">
        <v>4</v>
      </c>
      <c r="D1172" s="8">
        <v>2.5499999999999998</v>
      </c>
      <c r="E1172" s="4">
        <v>2</v>
      </c>
      <c r="F1172" s="8">
        <v>1.96</v>
      </c>
      <c r="G1172" s="4">
        <v>2</v>
      </c>
      <c r="H1172" s="8">
        <v>4.17</v>
      </c>
      <c r="I1172" s="4">
        <v>0</v>
      </c>
    </row>
    <row r="1173" spans="1:9" x14ac:dyDescent="0.2">
      <c r="A1173" s="2">
        <v>9</v>
      </c>
      <c r="B1173" s="1" t="s">
        <v>323</v>
      </c>
      <c r="C1173" s="4">
        <v>4</v>
      </c>
      <c r="D1173" s="8">
        <v>2.5499999999999998</v>
      </c>
      <c r="E1173" s="4">
        <v>2</v>
      </c>
      <c r="F1173" s="8">
        <v>1.96</v>
      </c>
      <c r="G1173" s="4">
        <v>2</v>
      </c>
      <c r="H1173" s="8">
        <v>4.17</v>
      </c>
      <c r="I1173" s="4">
        <v>0</v>
      </c>
    </row>
    <row r="1174" spans="1:9" x14ac:dyDescent="0.2">
      <c r="A1174" s="2">
        <v>9</v>
      </c>
      <c r="B1174" s="1" t="s">
        <v>305</v>
      </c>
      <c r="C1174" s="4">
        <v>4</v>
      </c>
      <c r="D1174" s="8">
        <v>2.5499999999999998</v>
      </c>
      <c r="E1174" s="4">
        <v>4</v>
      </c>
      <c r="F1174" s="8">
        <v>3.92</v>
      </c>
      <c r="G1174" s="4">
        <v>0</v>
      </c>
      <c r="H1174" s="8">
        <v>0</v>
      </c>
      <c r="I1174" s="4">
        <v>0</v>
      </c>
    </row>
    <row r="1175" spans="1:9" x14ac:dyDescent="0.2">
      <c r="A1175" s="2">
        <v>9</v>
      </c>
      <c r="B1175" s="1" t="s">
        <v>306</v>
      </c>
      <c r="C1175" s="4">
        <v>4</v>
      </c>
      <c r="D1175" s="8">
        <v>2.5499999999999998</v>
      </c>
      <c r="E1175" s="4">
        <v>4</v>
      </c>
      <c r="F1175" s="8">
        <v>3.92</v>
      </c>
      <c r="G1175" s="4">
        <v>0</v>
      </c>
      <c r="H1175" s="8">
        <v>0</v>
      </c>
      <c r="I1175" s="4">
        <v>0</v>
      </c>
    </row>
    <row r="1176" spans="1:9" x14ac:dyDescent="0.2">
      <c r="A1176" s="2">
        <v>13</v>
      </c>
      <c r="B1176" s="1" t="s">
        <v>290</v>
      </c>
      <c r="C1176" s="4">
        <v>3</v>
      </c>
      <c r="D1176" s="8">
        <v>1.91</v>
      </c>
      <c r="E1176" s="4">
        <v>1</v>
      </c>
      <c r="F1176" s="8">
        <v>0.98</v>
      </c>
      <c r="G1176" s="4">
        <v>2</v>
      </c>
      <c r="H1176" s="8">
        <v>4.17</v>
      </c>
      <c r="I1176" s="4">
        <v>0</v>
      </c>
    </row>
    <row r="1177" spans="1:9" x14ac:dyDescent="0.2">
      <c r="A1177" s="2">
        <v>13</v>
      </c>
      <c r="B1177" s="1" t="s">
        <v>291</v>
      </c>
      <c r="C1177" s="4">
        <v>3</v>
      </c>
      <c r="D1177" s="8">
        <v>1.91</v>
      </c>
      <c r="E1177" s="4">
        <v>2</v>
      </c>
      <c r="F1177" s="8">
        <v>1.96</v>
      </c>
      <c r="G1177" s="4">
        <v>1</v>
      </c>
      <c r="H1177" s="8">
        <v>2.08</v>
      </c>
      <c r="I1177" s="4">
        <v>0</v>
      </c>
    </row>
    <row r="1178" spans="1:9" x14ac:dyDescent="0.2">
      <c r="A1178" s="2">
        <v>13</v>
      </c>
      <c r="B1178" s="1" t="s">
        <v>332</v>
      </c>
      <c r="C1178" s="4">
        <v>3</v>
      </c>
      <c r="D1178" s="8">
        <v>1.91</v>
      </c>
      <c r="E1178" s="4">
        <v>3</v>
      </c>
      <c r="F1178" s="8">
        <v>2.94</v>
      </c>
      <c r="G1178" s="4">
        <v>0</v>
      </c>
      <c r="H1178" s="8">
        <v>0</v>
      </c>
      <c r="I1178" s="4">
        <v>0</v>
      </c>
    </row>
    <row r="1179" spans="1:9" x14ac:dyDescent="0.2">
      <c r="A1179" s="2">
        <v>13</v>
      </c>
      <c r="B1179" s="1" t="s">
        <v>335</v>
      </c>
      <c r="C1179" s="4">
        <v>3</v>
      </c>
      <c r="D1179" s="8">
        <v>1.91</v>
      </c>
      <c r="E1179" s="4">
        <v>1</v>
      </c>
      <c r="F1179" s="8">
        <v>0.98</v>
      </c>
      <c r="G1179" s="4">
        <v>2</v>
      </c>
      <c r="H1179" s="8">
        <v>4.17</v>
      </c>
      <c r="I1179" s="4">
        <v>0</v>
      </c>
    </row>
    <row r="1180" spans="1:9" x14ac:dyDescent="0.2">
      <c r="A1180" s="2">
        <v>13</v>
      </c>
      <c r="B1180" s="1" t="s">
        <v>339</v>
      </c>
      <c r="C1180" s="4">
        <v>3</v>
      </c>
      <c r="D1180" s="8">
        <v>1.91</v>
      </c>
      <c r="E1180" s="4">
        <v>2</v>
      </c>
      <c r="F1180" s="8">
        <v>1.96</v>
      </c>
      <c r="G1180" s="4">
        <v>1</v>
      </c>
      <c r="H1180" s="8">
        <v>2.08</v>
      </c>
      <c r="I1180" s="4">
        <v>0</v>
      </c>
    </row>
    <row r="1181" spans="1:9" x14ac:dyDescent="0.2">
      <c r="A1181" s="2">
        <v>18</v>
      </c>
      <c r="B1181" s="1" t="s">
        <v>288</v>
      </c>
      <c r="C1181" s="4">
        <v>2</v>
      </c>
      <c r="D1181" s="8">
        <v>1.27</v>
      </c>
      <c r="E1181" s="4">
        <v>2</v>
      </c>
      <c r="F1181" s="8">
        <v>1.96</v>
      </c>
      <c r="G1181" s="4">
        <v>0</v>
      </c>
      <c r="H1181" s="8">
        <v>0</v>
      </c>
      <c r="I1181" s="4">
        <v>0</v>
      </c>
    </row>
    <row r="1182" spans="1:9" x14ac:dyDescent="0.2">
      <c r="A1182" s="2">
        <v>18</v>
      </c>
      <c r="B1182" s="1" t="s">
        <v>343</v>
      </c>
      <c r="C1182" s="4">
        <v>2</v>
      </c>
      <c r="D1182" s="8">
        <v>1.27</v>
      </c>
      <c r="E1182" s="4">
        <v>2</v>
      </c>
      <c r="F1182" s="8">
        <v>1.96</v>
      </c>
      <c r="G1182" s="4">
        <v>0</v>
      </c>
      <c r="H1182" s="8">
        <v>0</v>
      </c>
      <c r="I1182" s="4">
        <v>0</v>
      </c>
    </row>
    <row r="1183" spans="1:9" x14ac:dyDescent="0.2">
      <c r="A1183" s="2">
        <v>18</v>
      </c>
      <c r="B1183" s="1" t="s">
        <v>320</v>
      </c>
      <c r="C1183" s="4">
        <v>2</v>
      </c>
      <c r="D1183" s="8">
        <v>1.27</v>
      </c>
      <c r="E1183" s="4">
        <v>1</v>
      </c>
      <c r="F1183" s="8">
        <v>0.98</v>
      </c>
      <c r="G1183" s="4">
        <v>1</v>
      </c>
      <c r="H1183" s="8">
        <v>2.08</v>
      </c>
      <c r="I1183" s="4">
        <v>0</v>
      </c>
    </row>
    <row r="1184" spans="1:9" x14ac:dyDescent="0.2">
      <c r="A1184" s="2">
        <v>18</v>
      </c>
      <c r="B1184" s="1" t="s">
        <v>342</v>
      </c>
      <c r="C1184" s="4">
        <v>2</v>
      </c>
      <c r="D1184" s="8">
        <v>1.27</v>
      </c>
      <c r="E1184" s="4">
        <v>0</v>
      </c>
      <c r="F1184" s="8">
        <v>0</v>
      </c>
      <c r="G1184" s="4">
        <v>2</v>
      </c>
      <c r="H1184" s="8">
        <v>4.17</v>
      </c>
      <c r="I1184" s="4">
        <v>0</v>
      </c>
    </row>
    <row r="1185" spans="1:9" x14ac:dyDescent="0.2">
      <c r="A1185" s="2">
        <v>18</v>
      </c>
      <c r="B1185" s="1" t="s">
        <v>381</v>
      </c>
      <c r="C1185" s="4">
        <v>2</v>
      </c>
      <c r="D1185" s="8">
        <v>1.27</v>
      </c>
      <c r="E1185" s="4">
        <v>2</v>
      </c>
      <c r="F1185" s="8">
        <v>1.96</v>
      </c>
      <c r="G1185" s="4">
        <v>0</v>
      </c>
      <c r="H1185" s="8">
        <v>0</v>
      </c>
      <c r="I1185" s="4">
        <v>0</v>
      </c>
    </row>
    <row r="1186" spans="1:9" x14ac:dyDescent="0.2">
      <c r="A1186" s="2">
        <v>18</v>
      </c>
      <c r="B1186" s="1" t="s">
        <v>324</v>
      </c>
      <c r="C1186" s="4">
        <v>2</v>
      </c>
      <c r="D1186" s="8">
        <v>1.27</v>
      </c>
      <c r="E1186" s="4">
        <v>0</v>
      </c>
      <c r="F1186" s="8">
        <v>0</v>
      </c>
      <c r="G1186" s="4">
        <v>2</v>
      </c>
      <c r="H1186" s="8">
        <v>4.17</v>
      </c>
      <c r="I1186" s="4">
        <v>0</v>
      </c>
    </row>
    <row r="1187" spans="1:9" x14ac:dyDescent="0.2">
      <c r="A1187" s="2">
        <v>18</v>
      </c>
      <c r="B1187" s="1" t="s">
        <v>309</v>
      </c>
      <c r="C1187" s="4">
        <v>2</v>
      </c>
      <c r="D1187" s="8">
        <v>1.27</v>
      </c>
      <c r="E1187" s="4">
        <v>0</v>
      </c>
      <c r="F1187" s="8">
        <v>0</v>
      </c>
      <c r="G1187" s="4">
        <v>2</v>
      </c>
      <c r="H1187" s="8">
        <v>4.17</v>
      </c>
      <c r="I1187" s="4">
        <v>0</v>
      </c>
    </row>
    <row r="1188" spans="1:9" x14ac:dyDescent="0.2">
      <c r="A1188" s="2">
        <v>18</v>
      </c>
      <c r="B1188" s="1" t="s">
        <v>382</v>
      </c>
      <c r="C1188" s="4">
        <v>2</v>
      </c>
      <c r="D1188" s="8">
        <v>1.27</v>
      </c>
      <c r="E1188" s="4">
        <v>0</v>
      </c>
      <c r="F1188" s="8">
        <v>0</v>
      </c>
      <c r="G1188" s="4">
        <v>2</v>
      </c>
      <c r="H1188" s="8">
        <v>4.17</v>
      </c>
      <c r="I1188" s="4">
        <v>0</v>
      </c>
    </row>
    <row r="1189" spans="1:9" x14ac:dyDescent="0.2">
      <c r="A1189" s="2">
        <v>18</v>
      </c>
      <c r="B1189" s="1" t="s">
        <v>354</v>
      </c>
      <c r="C1189" s="4">
        <v>2</v>
      </c>
      <c r="D1189" s="8">
        <v>1.27</v>
      </c>
      <c r="E1189" s="4">
        <v>2</v>
      </c>
      <c r="F1189" s="8">
        <v>1.96</v>
      </c>
      <c r="G1189" s="4">
        <v>0</v>
      </c>
      <c r="H1189" s="8">
        <v>0</v>
      </c>
      <c r="I1189" s="4">
        <v>0</v>
      </c>
    </row>
    <row r="1190" spans="1:9" x14ac:dyDescent="0.2">
      <c r="A1190" s="2">
        <v>18</v>
      </c>
      <c r="B1190" s="1" t="s">
        <v>336</v>
      </c>
      <c r="C1190" s="4">
        <v>2</v>
      </c>
      <c r="D1190" s="8">
        <v>1.27</v>
      </c>
      <c r="E1190" s="4">
        <v>1</v>
      </c>
      <c r="F1190" s="8">
        <v>0.98</v>
      </c>
      <c r="G1190" s="4">
        <v>1</v>
      </c>
      <c r="H1190" s="8">
        <v>2.08</v>
      </c>
      <c r="I1190" s="4">
        <v>0</v>
      </c>
    </row>
    <row r="1191" spans="1:9" x14ac:dyDescent="0.2">
      <c r="A1191" s="2">
        <v>18</v>
      </c>
      <c r="B1191" s="1" t="s">
        <v>380</v>
      </c>
      <c r="C1191" s="4">
        <v>2</v>
      </c>
      <c r="D1191" s="8">
        <v>1.27</v>
      </c>
      <c r="E1191" s="4">
        <v>1</v>
      </c>
      <c r="F1191" s="8">
        <v>0.98</v>
      </c>
      <c r="G1191" s="4">
        <v>1</v>
      </c>
      <c r="H1191" s="8">
        <v>2.08</v>
      </c>
      <c r="I1191" s="4">
        <v>0</v>
      </c>
    </row>
    <row r="1192" spans="1:9" x14ac:dyDescent="0.2">
      <c r="A1192" s="2">
        <v>18</v>
      </c>
      <c r="B1192" s="1" t="s">
        <v>337</v>
      </c>
      <c r="C1192" s="4">
        <v>2</v>
      </c>
      <c r="D1192" s="8">
        <v>1.27</v>
      </c>
      <c r="E1192" s="4">
        <v>1</v>
      </c>
      <c r="F1192" s="8">
        <v>0.98</v>
      </c>
      <c r="G1192" s="4">
        <v>1</v>
      </c>
      <c r="H1192" s="8">
        <v>2.08</v>
      </c>
      <c r="I1192" s="4">
        <v>0</v>
      </c>
    </row>
    <row r="1193" spans="1:9" x14ac:dyDescent="0.2">
      <c r="A1193" s="2">
        <v>18</v>
      </c>
      <c r="B1193" s="1" t="s">
        <v>295</v>
      </c>
      <c r="C1193" s="4">
        <v>2</v>
      </c>
      <c r="D1193" s="8">
        <v>1.27</v>
      </c>
      <c r="E1193" s="4">
        <v>2</v>
      </c>
      <c r="F1193" s="8">
        <v>1.96</v>
      </c>
      <c r="G1193" s="4">
        <v>0</v>
      </c>
      <c r="H1193" s="8">
        <v>0</v>
      </c>
      <c r="I1193" s="4">
        <v>0</v>
      </c>
    </row>
    <row r="1194" spans="1:9" x14ac:dyDescent="0.2">
      <c r="A1194" s="2">
        <v>18</v>
      </c>
      <c r="B1194" s="1" t="s">
        <v>383</v>
      </c>
      <c r="C1194" s="4">
        <v>2</v>
      </c>
      <c r="D1194" s="8">
        <v>1.27</v>
      </c>
      <c r="E1194" s="4">
        <v>2</v>
      </c>
      <c r="F1194" s="8">
        <v>1.96</v>
      </c>
      <c r="G1194" s="4">
        <v>0</v>
      </c>
      <c r="H1194" s="8">
        <v>0</v>
      </c>
      <c r="I1194" s="4">
        <v>0</v>
      </c>
    </row>
    <row r="1195" spans="1:9" x14ac:dyDescent="0.2">
      <c r="A1195" s="2">
        <v>18</v>
      </c>
      <c r="B1195" s="1" t="s">
        <v>298</v>
      </c>
      <c r="C1195" s="4">
        <v>2</v>
      </c>
      <c r="D1195" s="8">
        <v>1.27</v>
      </c>
      <c r="E1195" s="4">
        <v>1</v>
      </c>
      <c r="F1195" s="8">
        <v>0.98</v>
      </c>
      <c r="G1195" s="4">
        <v>1</v>
      </c>
      <c r="H1195" s="8">
        <v>2.08</v>
      </c>
      <c r="I1195" s="4">
        <v>0</v>
      </c>
    </row>
    <row r="1196" spans="1:9" x14ac:dyDescent="0.2">
      <c r="A1196" s="2">
        <v>18</v>
      </c>
      <c r="B1196" s="1" t="s">
        <v>334</v>
      </c>
      <c r="C1196" s="4">
        <v>2</v>
      </c>
      <c r="D1196" s="8">
        <v>1.27</v>
      </c>
      <c r="E1196" s="4">
        <v>2</v>
      </c>
      <c r="F1196" s="8">
        <v>1.96</v>
      </c>
      <c r="G1196" s="4">
        <v>0</v>
      </c>
      <c r="H1196" s="8">
        <v>0</v>
      </c>
      <c r="I1196" s="4">
        <v>0</v>
      </c>
    </row>
    <row r="1197" spans="1:9" x14ac:dyDescent="0.2">
      <c r="A1197" s="2">
        <v>18</v>
      </c>
      <c r="B1197" s="1" t="s">
        <v>300</v>
      </c>
      <c r="C1197" s="4">
        <v>2</v>
      </c>
      <c r="D1197" s="8">
        <v>1.27</v>
      </c>
      <c r="E1197" s="4">
        <v>2</v>
      </c>
      <c r="F1197" s="8">
        <v>1.96</v>
      </c>
      <c r="G1197" s="4">
        <v>0</v>
      </c>
      <c r="H1197" s="8">
        <v>0</v>
      </c>
      <c r="I1197" s="4">
        <v>0</v>
      </c>
    </row>
    <row r="1198" spans="1:9" x14ac:dyDescent="0.2">
      <c r="A1198" s="2">
        <v>18</v>
      </c>
      <c r="B1198" s="1" t="s">
        <v>327</v>
      </c>
      <c r="C1198" s="4">
        <v>2</v>
      </c>
      <c r="D1198" s="8">
        <v>1.27</v>
      </c>
      <c r="E1198" s="4">
        <v>2</v>
      </c>
      <c r="F1198" s="8">
        <v>1.96</v>
      </c>
      <c r="G1198" s="4">
        <v>0</v>
      </c>
      <c r="H1198" s="8">
        <v>0</v>
      </c>
      <c r="I1198" s="4">
        <v>0</v>
      </c>
    </row>
    <row r="1199" spans="1:9" x14ac:dyDescent="0.2">
      <c r="A1199" s="2">
        <v>18</v>
      </c>
      <c r="B1199" s="1" t="s">
        <v>312</v>
      </c>
      <c r="C1199" s="4">
        <v>2</v>
      </c>
      <c r="D1199" s="8">
        <v>1.27</v>
      </c>
      <c r="E1199" s="4">
        <v>2</v>
      </c>
      <c r="F1199" s="8">
        <v>1.96</v>
      </c>
      <c r="G1199" s="4">
        <v>0</v>
      </c>
      <c r="H1199" s="8">
        <v>0</v>
      </c>
      <c r="I1199" s="4">
        <v>0</v>
      </c>
    </row>
    <row r="1200" spans="1:9" x14ac:dyDescent="0.2">
      <c r="A1200" s="2">
        <v>18</v>
      </c>
      <c r="B1200" s="1" t="s">
        <v>331</v>
      </c>
      <c r="C1200" s="4">
        <v>2</v>
      </c>
      <c r="D1200" s="8">
        <v>1.27</v>
      </c>
      <c r="E1200" s="4">
        <v>0</v>
      </c>
      <c r="F1200" s="8">
        <v>0</v>
      </c>
      <c r="G1200" s="4">
        <v>2</v>
      </c>
      <c r="H1200" s="8">
        <v>4.17</v>
      </c>
      <c r="I1200" s="4">
        <v>0</v>
      </c>
    </row>
    <row r="1201" spans="1:9" x14ac:dyDescent="0.2">
      <c r="A1201" s="2">
        <v>18</v>
      </c>
      <c r="B1201" s="1" t="s">
        <v>307</v>
      </c>
      <c r="C1201" s="4">
        <v>2</v>
      </c>
      <c r="D1201" s="8">
        <v>1.27</v>
      </c>
      <c r="E1201" s="4">
        <v>1</v>
      </c>
      <c r="F1201" s="8">
        <v>0.98</v>
      </c>
      <c r="G1201" s="4">
        <v>1</v>
      </c>
      <c r="H1201" s="8">
        <v>2.08</v>
      </c>
      <c r="I1201" s="4">
        <v>0</v>
      </c>
    </row>
    <row r="1202" spans="1:9" x14ac:dyDescent="0.2">
      <c r="A1202" s="1"/>
      <c r="C1202" s="4"/>
      <c r="D1202" s="8"/>
      <c r="E1202" s="4"/>
      <c r="F1202" s="8"/>
      <c r="G1202" s="4"/>
      <c r="H1202" s="8"/>
      <c r="I1202" s="4"/>
    </row>
    <row r="1203" spans="1:9" x14ac:dyDescent="0.2">
      <c r="A1203" s="1" t="s">
        <v>50</v>
      </c>
      <c r="C1203" s="4"/>
      <c r="D1203" s="8"/>
      <c r="E1203" s="4"/>
      <c r="F1203" s="8"/>
      <c r="G1203" s="4"/>
      <c r="H1203" s="8"/>
      <c r="I1203" s="4"/>
    </row>
    <row r="1204" spans="1:9" x14ac:dyDescent="0.2">
      <c r="A1204" s="2">
        <v>1</v>
      </c>
      <c r="B1204" s="1" t="s">
        <v>339</v>
      </c>
      <c r="C1204" s="4">
        <v>9</v>
      </c>
      <c r="D1204" s="8">
        <v>9.09</v>
      </c>
      <c r="E1204" s="4">
        <v>7</v>
      </c>
      <c r="F1204" s="8">
        <v>11.86</v>
      </c>
      <c r="G1204" s="4">
        <v>2</v>
      </c>
      <c r="H1204" s="8">
        <v>5.71</v>
      </c>
      <c r="I1204" s="4">
        <v>0</v>
      </c>
    </row>
    <row r="1205" spans="1:9" x14ac:dyDescent="0.2">
      <c r="A1205" s="2">
        <v>2</v>
      </c>
      <c r="B1205" s="1" t="s">
        <v>304</v>
      </c>
      <c r="C1205" s="4">
        <v>6</v>
      </c>
      <c r="D1205" s="8">
        <v>6.06</v>
      </c>
      <c r="E1205" s="4">
        <v>6</v>
      </c>
      <c r="F1205" s="8">
        <v>10.17</v>
      </c>
      <c r="G1205" s="4">
        <v>0</v>
      </c>
      <c r="H1205" s="8">
        <v>0</v>
      </c>
      <c r="I1205" s="4">
        <v>0</v>
      </c>
    </row>
    <row r="1206" spans="1:9" x14ac:dyDescent="0.2">
      <c r="A1206" s="2">
        <v>3</v>
      </c>
      <c r="B1206" s="1" t="s">
        <v>303</v>
      </c>
      <c r="C1206" s="4">
        <v>5</v>
      </c>
      <c r="D1206" s="8">
        <v>5.05</v>
      </c>
      <c r="E1206" s="4">
        <v>5</v>
      </c>
      <c r="F1206" s="8">
        <v>8.4700000000000006</v>
      </c>
      <c r="G1206" s="4">
        <v>0</v>
      </c>
      <c r="H1206" s="8">
        <v>0</v>
      </c>
      <c r="I1206" s="4">
        <v>0</v>
      </c>
    </row>
    <row r="1207" spans="1:9" x14ac:dyDescent="0.2">
      <c r="A1207" s="2">
        <v>4</v>
      </c>
      <c r="B1207" s="1" t="s">
        <v>328</v>
      </c>
      <c r="C1207" s="4">
        <v>4</v>
      </c>
      <c r="D1207" s="8">
        <v>4.04</v>
      </c>
      <c r="E1207" s="4">
        <v>3</v>
      </c>
      <c r="F1207" s="8">
        <v>5.08</v>
      </c>
      <c r="G1207" s="4">
        <v>1</v>
      </c>
      <c r="H1207" s="8">
        <v>2.86</v>
      </c>
      <c r="I1207" s="4">
        <v>0</v>
      </c>
    </row>
    <row r="1208" spans="1:9" x14ac:dyDescent="0.2">
      <c r="A1208" s="2">
        <v>4</v>
      </c>
      <c r="B1208" s="1" t="s">
        <v>300</v>
      </c>
      <c r="C1208" s="4">
        <v>4</v>
      </c>
      <c r="D1208" s="8">
        <v>4.04</v>
      </c>
      <c r="E1208" s="4">
        <v>4</v>
      </c>
      <c r="F1208" s="8">
        <v>6.78</v>
      </c>
      <c r="G1208" s="4">
        <v>0</v>
      </c>
      <c r="H1208" s="8">
        <v>0</v>
      </c>
      <c r="I1208" s="4">
        <v>0</v>
      </c>
    </row>
    <row r="1209" spans="1:9" x14ac:dyDescent="0.2">
      <c r="A1209" s="2">
        <v>6</v>
      </c>
      <c r="B1209" s="1" t="s">
        <v>288</v>
      </c>
      <c r="C1209" s="4">
        <v>3</v>
      </c>
      <c r="D1209" s="8">
        <v>3.03</v>
      </c>
      <c r="E1209" s="4">
        <v>0</v>
      </c>
      <c r="F1209" s="8">
        <v>0</v>
      </c>
      <c r="G1209" s="4">
        <v>3</v>
      </c>
      <c r="H1209" s="8">
        <v>8.57</v>
      </c>
      <c r="I1209" s="4">
        <v>0</v>
      </c>
    </row>
    <row r="1210" spans="1:9" x14ac:dyDescent="0.2">
      <c r="A1210" s="2">
        <v>6</v>
      </c>
      <c r="B1210" s="1" t="s">
        <v>342</v>
      </c>
      <c r="C1210" s="4">
        <v>3</v>
      </c>
      <c r="D1210" s="8">
        <v>3.03</v>
      </c>
      <c r="E1210" s="4">
        <v>0</v>
      </c>
      <c r="F1210" s="8">
        <v>0</v>
      </c>
      <c r="G1210" s="4">
        <v>3</v>
      </c>
      <c r="H1210" s="8">
        <v>8.57</v>
      </c>
      <c r="I1210" s="4">
        <v>0</v>
      </c>
    </row>
    <row r="1211" spans="1:9" x14ac:dyDescent="0.2">
      <c r="A1211" s="2">
        <v>6</v>
      </c>
      <c r="B1211" s="1" t="s">
        <v>294</v>
      </c>
      <c r="C1211" s="4">
        <v>3</v>
      </c>
      <c r="D1211" s="8">
        <v>3.03</v>
      </c>
      <c r="E1211" s="4">
        <v>2</v>
      </c>
      <c r="F1211" s="8">
        <v>3.39</v>
      </c>
      <c r="G1211" s="4">
        <v>1</v>
      </c>
      <c r="H1211" s="8">
        <v>2.86</v>
      </c>
      <c r="I1211" s="4">
        <v>0</v>
      </c>
    </row>
    <row r="1212" spans="1:9" x14ac:dyDescent="0.2">
      <c r="A1212" s="2">
        <v>9</v>
      </c>
      <c r="B1212" s="1" t="s">
        <v>320</v>
      </c>
      <c r="C1212" s="4">
        <v>2</v>
      </c>
      <c r="D1212" s="8">
        <v>2.02</v>
      </c>
      <c r="E1212" s="4">
        <v>2</v>
      </c>
      <c r="F1212" s="8">
        <v>3.39</v>
      </c>
      <c r="G1212" s="4">
        <v>0</v>
      </c>
      <c r="H1212" s="8">
        <v>0</v>
      </c>
      <c r="I1212" s="4">
        <v>0</v>
      </c>
    </row>
    <row r="1213" spans="1:9" x14ac:dyDescent="0.2">
      <c r="A1213" s="2">
        <v>9</v>
      </c>
      <c r="B1213" s="1" t="s">
        <v>290</v>
      </c>
      <c r="C1213" s="4">
        <v>2</v>
      </c>
      <c r="D1213" s="8">
        <v>2.02</v>
      </c>
      <c r="E1213" s="4">
        <v>1</v>
      </c>
      <c r="F1213" s="8">
        <v>1.69</v>
      </c>
      <c r="G1213" s="4">
        <v>1</v>
      </c>
      <c r="H1213" s="8">
        <v>2.86</v>
      </c>
      <c r="I1213" s="4">
        <v>0</v>
      </c>
    </row>
    <row r="1214" spans="1:9" x14ac:dyDescent="0.2">
      <c r="A1214" s="2">
        <v>9</v>
      </c>
      <c r="B1214" s="1" t="s">
        <v>384</v>
      </c>
      <c r="C1214" s="4">
        <v>2</v>
      </c>
      <c r="D1214" s="8">
        <v>2.02</v>
      </c>
      <c r="E1214" s="4">
        <v>0</v>
      </c>
      <c r="F1214" s="8">
        <v>0</v>
      </c>
      <c r="G1214" s="4">
        <v>2</v>
      </c>
      <c r="H1214" s="8">
        <v>5.71</v>
      </c>
      <c r="I1214" s="4">
        <v>0</v>
      </c>
    </row>
    <row r="1215" spans="1:9" x14ac:dyDescent="0.2">
      <c r="A1215" s="2">
        <v>9</v>
      </c>
      <c r="B1215" s="1" t="s">
        <v>359</v>
      </c>
      <c r="C1215" s="4">
        <v>2</v>
      </c>
      <c r="D1215" s="8">
        <v>2.02</v>
      </c>
      <c r="E1215" s="4">
        <v>1</v>
      </c>
      <c r="F1215" s="8">
        <v>1.69</v>
      </c>
      <c r="G1215" s="4">
        <v>1</v>
      </c>
      <c r="H1215" s="8">
        <v>2.86</v>
      </c>
      <c r="I1215" s="4">
        <v>0</v>
      </c>
    </row>
    <row r="1216" spans="1:9" x14ac:dyDescent="0.2">
      <c r="A1216" s="2">
        <v>9</v>
      </c>
      <c r="B1216" s="1" t="s">
        <v>336</v>
      </c>
      <c r="C1216" s="4">
        <v>2</v>
      </c>
      <c r="D1216" s="8">
        <v>2.02</v>
      </c>
      <c r="E1216" s="4">
        <v>2</v>
      </c>
      <c r="F1216" s="8">
        <v>3.39</v>
      </c>
      <c r="G1216" s="4">
        <v>0</v>
      </c>
      <c r="H1216" s="8">
        <v>0</v>
      </c>
      <c r="I1216" s="4">
        <v>0</v>
      </c>
    </row>
    <row r="1217" spans="1:9" x14ac:dyDescent="0.2">
      <c r="A1217" s="2">
        <v>9</v>
      </c>
      <c r="B1217" s="1" t="s">
        <v>329</v>
      </c>
      <c r="C1217" s="4">
        <v>2</v>
      </c>
      <c r="D1217" s="8">
        <v>2.02</v>
      </c>
      <c r="E1217" s="4">
        <v>2</v>
      </c>
      <c r="F1217" s="8">
        <v>3.39</v>
      </c>
      <c r="G1217" s="4">
        <v>0</v>
      </c>
      <c r="H1217" s="8">
        <v>0</v>
      </c>
      <c r="I1217" s="4">
        <v>0</v>
      </c>
    </row>
    <row r="1218" spans="1:9" x14ac:dyDescent="0.2">
      <c r="A1218" s="2">
        <v>9</v>
      </c>
      <c r="B1218" s="1" t="s">
        <v>292</v>
      </c>
      <c r="C1218" s="4">
        <v>2</v>
      </c>
      <c r="D1218" s="8">
        <v>2.02</v>
      </c>
      <c r="E1218" s="4">
        <v>1</v>
      </c>
      <c r="F1218" s="8">
        <v>1.69</v>
      </c>
      <c r="G1218" s="4">
        <v>1</v>
      </c>
      <c r="H1218" s="8">
        <v>2.86</v>
      </c>
      <c r="I1218" s="4">
        <v>0</v>
      </c>
    </row>
    <row r="1219" spans="1:9" x14ac:dyDescent="0.2">
      <c r="A1219" s="2">
        <v>9</v>
      </c>
      <c r="B1219" s="1" t="s">
        <v>337</v>
      </c>
      <c r="C1219" s="4">
        <v>2</v>
      </c>
      <c r="D1219" s="8">
        <v>2.02</v>
      </c>
      <c r="E1219" s="4">
        <v>2</v>
      </c>
      <c r="F1219" s="8">
        <v>3.39</v>
      </c>
      <c r="G1219" s="4">
        <v>0</v>
      </c>
      <c r="H1219" s="8">
        <v>0</v>
      </c>
      <c r="I1219" s="4">
        <v>0</v>
      </c>
    </row>
    <row r="1220" spans="1:9" x14ac:dyDescent="0.2">
      <c r="A1220" s="2">
        <v>9</v>
      </c>
      <c r="B1220" s="1" t="s">
        <v>297</v>
      </c>
      <c r="C1220" s="4">
        <v>2</v>
      </c>
      <c r="D1220" s="8">
        <v>2.02</v>
      </c>
      <c r="E1220" s="4">
        <v>0</v>
      </c>
      <c r="F1220" s="8">
        <v>0</v>
      </c>
      <c r="G1220" s="4">
        <v>2</v>
      </c>
      <c r="H1220" s="8">
        <v>5.71</v>
      </c>
      <c r="I1220" s="4">
        <v>0</v>
      </c>
    </row>
    <row r="1221" spans="1:9" x14ac:dyDescent="0.2">
      <c r="A1221" s="2">
        <v>9</v>
      </c>
      <c r="B1221" s="1" t="s">
        <v>299</v>
      </c>
      <c r="C1221" s="4">
        <v>2</v>
      </c>
      <c r="D1221" s="8">
        <v>2.02</v>
      </c>
      <c r="E1221" s="4">
        <v>2</v>
      </c>
      <c r="F1221" s="8">
        <v>3.39</v>
      </c>
      <c r="G1221" s="4">
        <v>0</v>
      </c>
      <c r="H1221" s="8">
        <v>0</v>
      </c>
      <c r="I1221" s="4">
        <v>0</v>
      </c>
    </row>
    <row r="1222" spans="1:9" x14ac:dyDescent="0.2">
      <c r="A1222" s="2">
        <v>9</v>
      </c>
      <c r="B1222" s="1" t="s">
        <v>301</v>
      </c>
      <c r="C1222" s="4">
        <v>2</v>
      </c>
      <c r="D1222" s="8">
        <v>2.02</v>
      </c>
      <c r="E1222" s="4">
        <v>2</v>
      </c>
      <c r="F1222" s="8">
        <v>3.39</v>
      </c>
      <c r="G1222" s="4">
        <v>0</v>
      </c>
      <c r="H1222" s="8">
        <v>0</v>
      </c>
      <c r="I1222" s="4">
        <v>0</v>
      </c>
    </row>
    <row r="1223" spans="1:9" x14ac:dyDescent="0.2">
      <c r="A1223" s="2">
        <v>9</v>
      </c>
      <c r="B1223" s="1" t="s">
        <v>305</v>
      </c>
      <c r="C1223" s="4">
        <v>2</v>
      </c>
      <c r="D1223" s="8">
        <v>2.02</v>
      </c>
      <c r="E1223" s="4">
        <v>2</v>
      </c>
      <c r="F1223" s="8">
        <v>3.39</v>
      </c>
      <c r="G1223" s="4">
        <v>0</v>
      </c>
      <c r="H1223" s="8">
        <v>0</v>
      </c>
      <c r="I1223" s="4">
        <v>0</v>
      </c>
    </row>
    <row r="1224" spans="1:9" x14ac:dyDescent="0.2">
      <c r="A1224" s="1"/>
      <c r="C1224" s="4"/>
      <c r="D1224" s="8"/>
      <c r="E1224" s="4"/>
      <c r="F1224" s="8"/>
      <c r="G1224" s="4"/>
      <c r="H1224" s="8"/>
      <c r="I1224" s="4"/>
    </row>
    <row r="1225" spans="1:9" x14ac:dyDescent="0.2">
      <c r="A1225" s="1" t="s">
        <v>51</v>
      </c>
      <c r="C1225" s="4"/>
      <c r="D1225" s="8"/>
      <c r="E1225" s="4"/>
      <c r="F1225" s="8"/>
      <c r="G1225" s="4"/>
      <c r="H1225" s="8"/>
      <c r="I1225" s="4"/>
    </row>
    <row r="1226" spans="1:9" x14ac:dyDescent="0.2">
      <c r="A1226" s="2">
        <v>1</v>
      </c>
      <c r="B1226" s="1" t="s">
        <v>303</v>
      </c>
      <c r="C1226" s="4">
        <v>9</v>
      </c>
      <c r="D1226" s="8">
        <v>6.72</v>
      </c>
      <c r="E1226" s="4">
        <v>9</v>
      </c>
      <c r="F1226" s="8">
        <v>10.71</v>
      </c>
      <c r="G1226" s="4">
        <v>0</v>
      </c>
      <c r="H1226" s="8">
        <v>0</v>
      </c>
      <c r="I1226" s="4">
        <v>0</v>
      </c>
    </row>
    <row r="1227" spans="1:9" x14ac:dyDescent="0.2">
      <c r="A1227" s="2">
        <v>1</v>
      </c>
      <c r="B1227" s="1" t="s">
        <v>304</v>
      </c>
      <c r="C1227" s="4">
        <v>9</v>
      </c>
      <c r="D1227" s="8">
        <v>6.72</v>
      </c>
      <c r="E1227" s="4">
        <v>9</v>
      </c>
      <c r="F1227" s="8">
        <v>10.71</v>
      </c>
      <c r="G1227" s="4">
        <v>0</v>
      </c>
      <c r="H1227" s="8">
        <v>0</v>
      </c>
      <c r="I1227" s="4">
        <v>0</v>
      </c>
    </row>
    <row r="1228" spans="1:9" x14ac:dyDescent="0.2">
      <c r="A1228" s="2">
        <v>3</v>
      </c>
      <c r="B1228" s="1" t="s">
        <v>301</v>
      </c>
      <c r="C1228" s="4">
        <v>8</v>
      </c>
      <c r="D1228" s="8">
        <v>5.97</v>
      </c>
      <c r="E1228" s="4">
        <v>8</v>
      </c>
      <c r="F1228" s="8">
        <v>9.52</v>
      </c>
      <c r="G1228" s="4">
        <v>0</v>
      </c>
      <c r="H1228" s="8">
        <v>0</v>
      </c>
      <c r="I1228" s="4">
        <v>0</v>
      </c>
    </row>
    <row r="1229" spans="1:9" x14ac:dyDescent="0.2">
      <c r="A1229" s="2">
        <v>4</v>
      </c>
      <c r="B1229" s="1" t="s">
        <v>328</v>
      </c>
      <c r="C1229" s="4">
        <v>4</v>
      </c>
      <c r="D1229" s="8">
        <v>2.99</v>
      </c>
      <c r="E1229" s="4">
        <v>3</v>
      </c>
      <c r="F1229" s="8">
        <v>3.57</v>
      </c>
      <c r="G1229" s="4">
        <v>1</v>
      </c>
      <c r="H1229" s="8">
        <v>2.33</v>
      </c>
      <c r="I1229" s="4">
        <v>0</v>
      </c>
    </row>
    <row r="1230" spans="1:9" x14ac:dyDescent="0.2">
      <c r="A1230" s="2">
        <v>4</v>
      </c>
      <c r="B1230" s="1" t="s">
        <v>335</v>
      </c>
      <c r="C1230" s="4">
        <v>4</v>
      </c>
      <c r="D1230" s="8">
        <v>2.99</v>
      </c>
      <c r="E1230" s="4">
        <v>3</v>
      </c>
      <c r="F1230" s="8">
        <v>3.57</v>
      </c>
      <c r="G1230" s="4">
        <v>1</v>
      </c>
      <c r="H1230" s="8">
        <v>2.33</v>
      </c>
      <c r="I1230" s="4">
        <v>0</v>
      </c>
    </row>
    <row r="1231" spans="1:9" x14ac:dyDescent="0.2">
      <c r="A1231" s="2">
        <v>4</v>
      </c>
      <c r="B1231" s="1" t="s">
        <v>295</v>
      </c>
      <c r="C1231" s="4">
        <v>4</v>
      </c>
      <c r="D1231" s="8">
        <v>2.99</v>
      </c>
      <c r="E1231" s="4">
        <v>3</v>
      </c>
      <c r="F1231" s="8">
        <v>3.57</v>
      </c>
      <c r="G1231" s="4">
        <v>1</v>
      </c>
      <c r="H1231" s="8">
        <v>2.33</v>
      </c>
      <c r="I1231" s="4">
        <v>0</v>
      </c>
    </row>
    <row r="1232" spans="1:9" x14ac:dyDescent="0.2">
      <c r="A1232" s="2">
        <v>4</v>
      </c>
      <c r="B1232" s="1" t="s">
        <v>300</v>
      </c>
      <c r="C1232" s="4">
        <v>4</v>
      </c>
      <c r="D1232" s="8">
        <v>2.99</v>
      </c>
      <c r="E1232" s="4">
        <v>4</v>
      </c>
      <c r="F1232" s="8">
        <v>4.76</v>
      </c>
      <c r="G1232" s="4">
        <v>0</v>
      </c>
      <c r="H1232" s="8">
        <v>0</v>
      </c>
      <c r="I1232" s="4">
        <v>0</v>
      </c>
    </row>
    <row r="1233" spans="1:9" x14ac:dyDescent="0.2">
      <c r="A1233" s="2">
        <v>8</v>
      </c>
      <c r="B1233" s="1" t="s">
        <v>289</v>
      </c>
      <c r="C1233" s="4">
        <v>3</v>
      </c>
      <c r="D1233" s="8">
        <v>2.2400000000000002</v>
      </c>
      <c r="E1233" s="4">
        <v>1</v>
      </c>
      <c r="F1233" s="8">
        <v>1.19</v>
      </c>
      <c r="G1233" s="4">
        <v>2</v>
      </c>
      <c r="H1233" s="8">
        <v>4.6500000000000004</v>
      </c>
      <c r="I1233" s="4">
        <v>0</v>
      </c>
    </row>
    <row r="1234" spans="1:9" x14ac:dyDescent="0.2">
      <c r="A1234" s="2">
        <v>8</v>
      </c>
      <c r="B1234" s="1" t="s">
        <v>308</v>
      </c>
      <c r="C1234" s="4">
        <v>3</v>
      </c>
      <c r="D1234" s="8">
        <v>2.2400000000000002</v>
      </c>
      <c r="E1234" s="4">
        <v>3</v>
      </c>
      <c r="F1234" s="8">
        <v>3.57</v>
      </c>
      <c r="G1234" s="4">
        <v>0</v>
      </c>
      <c r="H1234" s="8">
        <v>0</v>
      </c>
      <c r="I1234" s="4">
        <v>0</v>
      </c>
    </row>
    <row r="1235" spans="1:9" x14ac:dyDescent="0.2">
      <c r="A1235" s="2">
        <v>8</v>
      </c>
      <c r="B1235" s="1" t="s">
        <v>354</v>
      </c>
      <c r="C1235" s="4">
        <v>3</v>
      </c>
      <c r="D1235" s="8">
        <v>2.2400000000000002</v>
      </c>
      <c r="E1235" s="4">
        <v>2</v>
      </c>
      <c r="F1235" s="8">
        <v>2.38</v>
      </c>
      <c r="G1235" s="4">
        <v>1</v>
      </c>
      <c r="H1235" s="8">
        <v>2.33</v>
      </c>
      <c r="I1235" s="4">
        <v>0</v>
      </c>
    </row>
    <row r="1236" spans="1:9" x14ac:dyDescent="0.2">
      <c r="A1236" s="2">
        <v>8</v>
      </c>
      <c r="B1236" s="1" t="s">
        <v>330</v>
      </c>
      <c r="C1236" s="4">
        <v>3</v>
      </c>
      <c r="D1236" s="8">
        <v>2.2400000000000002</v>
      </c>
      <c r="E1236" s="4">
        <v>1</v>
      </c>
      <c r="F1236" s="8">
        <v>1.19</v>
      </c>
      <c r="G1236" s="4">
        <v>2</v>
      </c>
      <c r="H1236" s="8">
        <v>4.6500000000000004</v>
      </c>
      <c r="I1236" s="4">
        <v>0</v>
      </c>
    </row>
    <row r="1237" spans="1:9" x14ac:dyDescent="0.2">
      <c r="A1237" s="2">
        <v>8</v>
      </c>
      <c r="B1237" s="1" t="s">
        <v>337</v>
      </c>
      <c r="C1237" s="4">
        <v>3</v>
      </c>
      <c r="D1237" s="8">
        <v>2.2400000000000002</v>
      </c>
      <c r="E1237" s="4">
        <v>2</v>
      </c>
      <c r="F1237" s="8">
        <v>2.38</v>
      </c>
      <c r="G1237" s="4">
        <v>1</v>
      </c>
      <c r="H1237" s="8">
        <v>2.33</v>
      </c>
      <c r="I1237" s="4">
        <v>0</v>
      </c>
    </row>
    <row r="1238" spans="1:9" x14ac:dyDescent="0.2">
      <c r="A1238" s="2">
        <v>8</v>
      </c>
      <c r="B1238" s="1" t="s">
        <v>322</v>
      </c>
      <c r="C1238" s="4">
        <v>3</v>
      </c>
      <c r="D1238" s="8">
        <v>2.2400000000000002</v>
      </c>
      <c r="E1238" s="4">
        <v>0</v>
      </c>
      <c r="F1238" s="8">
        <v>0</v>
      </c>
      <c r="G1238" s="4">
        <v>3</v>
      </c>
      <c r="H1238" s="8">
        <v>6.98</v>
      </c>
      <c r="I1238" s="4">
        <v>0</v>
      </c>
    </row>
    <row r="1239" spans="1:9" x14ac:dyDescent="0.2">
      <c r="A1239" s="2">
        <v>8</v>
      </c>
      <c r="B1239" s="1" t="s">
        <v>339</v>
      </c>
      <c r="C1239" s="4">
        <v>3</v>
      </c>
      <c r="D1239" s="8">
        <v>2.2400000000000002</v>
      </c>
      <c r="E1239" s="4">
        <v>1</v>
      </c>
      <c r="F1239" s="8">
        <v>1.19</v>
      </c>
      <c r="G1239" s="4">
        <v>2</v>
      </c>
      <c r="H1239" s="8">
        <v>4.6500000000000004</v>
      </c>
      <c r="I1239" s="4">
        <v>0</v>
      </c>
    </row>
    <row r="1240" spans="1:9" x14ac:dyDescent="0.2">
      <c r="A1240" s="2">
        <v>8</v>
      </c>
      <c r="B1240" s="1" t="s">
        <v>302</v>
      </c>
      <c r="C1240" s="4">
        <v>3</v>
      </c>
      <c r="D1240" s="8">
        <v>2.2400000000000002</v>
      </c>
      <c r="E1240" s="4">
        <v>3</v>
      </c>
      <c r="F1240" s="8">
        <v>3.57</v>
      </c>
      <c r="G1240" s="4">
        <v>0</v>
      </c>
      <c r="H1240" s="8">
        <v>0</v>
      </c>
      <c r="I1240" s="4">
        <v>0</v>
      </c>
    </row>
    <row r="1241" spans="1:9" x14ac:dyDescent="0.2">
      <c r="A1241" s="2">
        <v>16</v>
      </c>
      <c r="B1241" s="1" t="s">
        <v>319</v>
      </c>
      <c r="C1241" s="4">
        <v>2</v>
      </c>
      <c r="D1241" s="8">
        <v>1.49</v>
      </c>
      <c r="E1241" s="4">
        <v>1</v>
      </c>
      <c r="F1241" s="8">
        <v>1.19</v>
      </c>
      <c r="G1241" s="4">
        <v>1</v>
      </c>
      <c r="H1241" s="8">
        <v>2.33</v>
      </c>
      <c r="I1241" s="4">
        <v>0</v>
      </c>
    </row>
    <row r="1242" spans="1:9" x14ac:dyDescent="0.2">
      <c r="A1242" s="2">
        <v>16</v>
      </c>
      <c r="B1242" s="1" t="s">
        <v>333</v>
      </c>
      <c r="C1242" s="4">
        <v>2</v>
      </c>
      <c r="D1242" s="8">
        <v>1.49</v>
      </c>
      <c r="E1242" s="4">
        <v>2</v>
      </c>
      <c r="F1242" s="8">
        <v>2.38</v>
      </c>
      <c r="G1242" s="4">
        <v>0</v>
      </c>
      <c r="H1242" s="8">
        <v>0</v>
      </c>
      <c r="I1242" s="4">
        <v>0</v>
      </c>
    </row>
    <row r="1243" spans="1:9" x14ac:dyDescent="0.2">
      <c r="A1243" s="2">
        <v>16</v>
      </c>
      <c r="B1243" s="1" t="s">
        <v>290</v>
      </c>
      <c r="C1243" s="4">
        <v>2</v>
      </c>
      <c r="D1243" s="8">
        <v>1.49</v>
      </c>
      <c r="E1243" s="4">
        <v>0</v>
      </c>
      <c r="F1243" s="8">
        <v>0</v>
      </c>
      <c r="G1243" s="4">
        <v>2</v>
      </c>
      <c r="H1243" s="8">
        <v>4.6500000000000004</v>
      </c>
      <c r="I1243" s="4">
        <v>0</v>
      </c>
    </row>
    <row r="1244" spans="1:9" x14ac:dyDescent="0.2">
      <c r="A1244" s="2">
        <v>16</v>
      </c>
      <c r="B1244" s="1" t="s">
        <v>291</v>
      </c>
      <c r="C1244" s="4">
        <v>2</v>
      </c>
      <c r="D1244" s="8">
        <v>1.49</v>
      </c>
      <c r="E1244" s="4">
        <v>1</v>
      </c>
      <c r="F1244" s="8">
        <v>1.19</v>
      </c>
      <c r="G1244" s="4">
        <v>1</v>
      </c>
      <c r="H1244" s="8">
        <v>2.33</v>
      </c>
      <c r="I1244" s="4">
        <v>0</v>
      </c>
    </row>
    <row r="1245" spans="1:9" x14ac:dyDescent="0.2">
      <c r="A1245" s="2">
        <v>16</v>
      </c>
      <c r="B1245" s="1" t="s">
        <v>381</v>
      </c>
      <c r="C1245" s="4">
        <v>2</v>
      </c>
      <c r="D1245" s="8">
        <v>1.49</v>
      </c>
      <c r="E1245" s="4">
        <v>2</v>
      </c>
      <c r="F1245" s="8">
        <v>2.38</v>
      </c>
      <c r="G1245" s="4">
        <v>0</v>
      </c>
      <c r="H1245" s="8">
        <v>0</v>
      </c>
      <c r="I1245" s="4">
        <v>0</v>
      </c>
    </row>
    <row r="1246" spans="1:9" x14ac:dyDescent="0.2">
      <c r="A1246" s="2">
        <v>16</v>
      </c>
      <c r="B1246" s="1" t="s">
        <v>385</v>
      </c>
      <c r="C1246" s="4">
        <v>2</v>
      </c>
      <c r="D1246" s="8">
        <v>1.49</v>
      </c>
      <c r="E1246" s="4">
        <v>0</v>
      </c>
      <c r="F1246" s="8">
        <v>0</v>
      </c>
      <c r="G1246" s="4">
        <v>2</v>
      </c>
      <c r="H1246" s="8">
        <v>4.6500000000000004</v>
      </c>
      <c r="I1246" s="4">
        <v>0</v>
      </c>
    </row>
    <row r="1247" spans="1:9" x14ac:dyDescent="0.2">
      <c r="A1247" s="2">
        <v>16</v>
      </c>
      <c r="B1247" s="1" t="s">
        <v>314</v>
      </c>
      <c r="C1247" s="4">
        <v>2</v>
      </c>
      <c r="D1247" s="8">
        <v>1.49</v>
      </c>
      <c r="E1247" s="4">
        <v>1</v>
      </c>
      <c r="F1247" s="8">
        <v>1.19</v>
      </c>
      <c r="G1247" s="4">
        <v>1</v>
      </c>
      <c r="H1247" s="8">
        <v>2.33</v>
      </c>
      <c r="I1247" s="4">
        <v>0</v>
      </c>
    </row>
    <row r="1248" spans="1:9" x14ac:dyDescent="0.2">
      <c r="A1248" s="2">
        <v>16</v>
      </c>
      <c r="B1248" s="1" t="s">
        <v>329</v>
      </c>
      <c r="C1248" s="4">
        <v>2</v>
      </c>
      <c r="D1248" s="8">
        <v>1.49</v>
      </c>
      <c r="E1248" s="4">
        <v>0</v>
      </c>
      <c r="F1248" s="8">
        <v>0</v>
      </c>
      <c r="G1248" s="4">
        <v>2</v>
      </c>
      <c r="H1248" s="8">
        <v>4.6500000000000004</v>
      </c>
      <c r="I1248" s="4">
        <v>0</v>
      </c>
    </row>
    <row r="1249" spans="1:9" x14ac:dyDescent="0.2">
      <c r="A1249" s="2">
        <v>16</v>
      </c>
      <c r="B1249" s="1" t="s">
        <v>297</v>
      </c>
      <c r="C1249" s="4">
        <v>2</v>
      </c>
      <c r="D1249" s="8">
        <v>1.49</v>
      </c>
      <c r="E1249" s="4">
        <v>1</v>
      </c>
      <c r="F1249" s="8">
        <v>1.19</v>
      </c>
      <c r="G1249" s="4">
        <v>1</v>
      </c>
      <c r="H1249" s="8">
        <v>2.33</v>
      </c>
      <c r="I1249" s="4">
        <v>0</v>
      </c>
    </row>
    <row r="1250" spans="1:9" x14ac:dyDescent="0.2">
      <c r="A1250" s="2">
        <v>16</v>
      </c>
      <c r="B1250" s="1" t="s">
        <v>298</v>
      </c>
      <c r="C1250" s="4">
        <v>2</v>
      </c>
      <c r="D1250" s="8">
        <v>1.49</v>
      </c>
      <c r="E1250" s="4">
        <v>2</v>
      </c>
      <c r="F1250" s="8">
        <v>2.38</v>
      </c>
      <c r="G1250" s="4">
        <v>0</v>
      </c>
      <c r="H1250" s="8">
        <v>0</v>
      </c>
      <c r="I1250" s="4">
        <v>0</v>
      </c>
    </row>
    <row r="1251" spans="1:9" x14ac:dyDescent="0.2">
      <c r="A1251" s="2">
        <v>16</v>
      </c>
      <c r="B1251" s="1" t="s">
        <v>299</v>
      </c>
      <c r="C1251" s="4">
        <v>2</v>
      </c>
      <c r="D1251" s="8">
        <v>1.49</v>
      </c>
      <c r="E1251" s="4">
        <v>2</v>
      </c>
      <c r="F1251" s="8">
        <v>2.38</v>
      </c>
      <c r="G1251" s="4">
        <v>0</v>
      </c>
      <c r="H1251" s="8">
        <v>0</v>
      </c>
      <c r="I1251" s="4">
        <v>0</v>
      </c>
    </row>
    <row r="1252" spans="1:9" x14ac:dyDescent="0.2">
      <c r="A1252" s="2">
        <v>16</v>
      </c>
      <c r="B1252" s="1" t="s">
        <v>349</v>
      </c>
      <c r="C1252" s="4">
        <v>2</v>
      </c>
      <c r="D1252" s="8">
        <v>1.49</v>
      </c>
      <c r="E1252" s="4">
        <v>2</v>
      </c>
      <c r="F1252" s="8">
        <v>2.38</v>
      </c>
      <c r="G1252" s="4">
        <v>0</v>
      </c>
      <c r="H1252" s="8">
        <v>0</v>
      </c>
      <c r="I1252" s="4">
        <v>0</v>
      </c>
    </row>
    <row r="1253" spans="1:9" x14ac:dyDescent="0.2">
      <c r="A1253" s="2">
        <v>16</v>
      </c>
      <c r="B1253" s="1" t="s">
        <v>327</v>
      </c>
      <c r="C1253" s="4">
        <v>2</v>
      </c>
      <c r="D1253" s="8">
        <v>1.49</v>
      </c>
      <c r="E1253" s="4">
        <v>2</v>
      </c>
      <c r="F1253" s="8">
        <v>2.38</v>
      </c>
      <c r="G1253" s="4">
        <v>0</v>
      </c>
      <c r="H1253" s="8">
        <v>0</v>
      </c>
      <c r="I1253" s="4">
        <v>0</v>
      </c>
    </row>
    <row r="1254" spans="1:9" x14ac:dyDescent="0.2">
      <c r="A1254" s="2">
        <v>16</v>
      </c>
      <c r="B1254" s="1" t="s">
        <v>307</v>
      </c>
      <c r="C1254" s="4">
        <v>2</v>
      </c>
      <c r="D1254" s="8">
        <v>1.49</v>
      </c>
      <c r="E1254" s="4">
        <v>2</v>
      </c>
      <c r="F1254" s="8">
        <v>2.38</v>
      </c>
      <c r="G1254" s="4">
        <v>0</v>
      </c>
      <c r="H1254" s="8">
        <v>0</v>
      </c>
      <c r="I1254" s="4">
        <v>0</v>
      </c>
    </row>
    <row r="1255" spans="1:9" x14ac:dyDescent="0.2">
      <c r="A1255" s="1"/>
      <c r="C1255" s="4"/>
      <c r="D1255" s="8"/>
      <c r="E1255" s="4"/>
      <c r="F1255" s="8"/>
      <c r="G1255" s="4"/>
      <c r="H1255" s="8"/>
      <c r="I1255" s="4"/>
    </row>
    <row r="1256" spans="1:9" x14ac:dyDescent="0.2">
      <c r="A1256" s="1" t="s">
        <v>52</v>
      </c>
      <c r="C1256" s="4"/>
      <c r="D1256" s="8"/>
      <c r="E1256" s="4"/>
      <c r="F1256" s="8"/>
      <c r="G1256" s="4"/>
      <c r="H1256" s="8"/>
      <c r="I1256" s="4"/>
    </row>
    <row r="1257" spans="1:9" x14ac:dyDescent="0.2">
      <c r="A1257" s="2">
        <v>1</v>
      </c>
      <c r="B1257" s="1" t="s">
        <v>304</v>
      </c>
      <c r="C1257" s="4">
        <v>26</v>
      </c>
      <c r="D1257" s="8">
        <v>5.59</v>
      </c>
      <c r="E1257" s="4">
        <v>25</v>
      </c>
      <c r="F1257" s="8">
        <v>11.9</v>
      </c>
      <c r="G1257" s="4">
        <v>1</v>
      </c>
      <c r="H1257" s="8">
        <v>0.41</v>
      </c>
      <c r="I1257" s="4">
        <v>0</v>
      </c>
    </row>
    <row r="1258" spans="1:9" x14ac:dyDescent="0.2">
      <c r="A1258" s="2">
        <v>2</v>
      </c>
      <c r="B1258" s="1" t="s">
        <v>303</v>
      </c>
      <c r="C1258" s="4">
        <v>19</v>
      </c>
      <c r="D1258" s="8">
        <v>4.09</v>
      </c>
      <c r="E1258" s="4">
        <v>17</v>
      </c>
      <c r="F1258" s="8">
        <v>8.1</v>
      </c>
      <c r="G1258" s="4">
        <v>2</v>
      </c>
      <c r="H1258" s="8">
        <v>0.82</v>
      </c>
      <c r="I1258" s="4">
        <v>0</v>
      </c>
    </row>
    <row r="1259" spans="1:9" x14ac:dyDescent="0.2">
      <c r="A1259" s="2">
        <v>3</v>
      </c>
      <c r="B1259" s="1" t="s">
        <v>307</v>
      </c>
      <c r="C1259" s="4">
        <v>18</v>
      </c>
      <c r="D1259" s="8">
        <v>3.87</v>
      </c>
      <c r="E1259" s="4">
        <v>13</v>
      </c>
      <c r="F1259" s="8">
        <v>6.19</v>
      </c>
      <c r="G1259" s="4">
        <v>5</v>
      </c>
      <c r="H1259" s="8">
        <v>2.04</v>
      </c>
      <c r="I1259" s="4">
        <v>0</v>
      </c>
    </row>
    <row r="1260" spans="1:9" x14ac:dyDescent="0.2">
      <c r="A1260" s="2">
        <v>4</v>
      </c>
      <c r="B1260" s="1" t="s">
        <v>299</v>
      </c>
      <c r="C1260" s="4">
        <v>17</v>
      </c>
      <c r="D1260" s="8">
        <v>3.66</v>
      </c>
      <c r="E1260" s="4">
        <v>12</v>
      </c>
      <c r="F1260" s="8">
        <v>5.71</v>
      </c>
      <c r="G1260" s="4">
        <v>5</v>
      </c>
      <c r="H1260" s="8">
        <v>2.04</v>
      </c>
      <c r="I1260" s="4">
        <v>0</v>
      </c>
    </row>
    <row r="1261" spans="1:9" x14ac:dyDescent="0.2">
      <c r="A1261" s="2">
        <v>4</v>
      </c>
      <c r="B1261" s="1" t="s">
        <v>347</v>
      </c>
      <c r="C1261" s="4">
        <v>17</v>
      </c>
      <c r="D1261" s="8">
        <v>3.66</v>
      </c>
      <c r="E1261" s="4">
        <v>0</v>
      </c>
      <c r="F1261" s="8">
        <v>0</v>
      </c>
      <c r="G1261" s="4">
        <v>17</v>
      </c>
      <c r="H1261" s="8">
        <v>6.94</v>
      </c>
      <c r="I1261" s="4">
        <v>0</v>
      </c>
    </row>
    <row r="1262" spans="1:9" x14ac:dyDescent="0.2">
      <c r="A1262" s="2">
        <v>6</v>
      </c>
      <c r="B1262" s="1" t="s">
        <v>288</v>
      </c>
      <c r="C1262" s="4">
        <v>13</v>
      </c>
      <c r="D1262" s="8">
        <v>2.8</v>
      </c>
      <c r="E1262" s="4">
        <v>1</v>
      </c>
      <c r="F1262" s="8">
        <v>0.48</v>
      </c>
      <c r="G1262" s="4">
        <v>12</v>
      </c>
      <c r="H1262" s="8">
        <v>4.9000000000000004</v>
      </c>
      <c r="I1262" s="4">
        <v>0</v>
      </c>
    </row>
    <row r="1263" spans="1:9" x14ac:dyDescent="0.2">
      <c r="A1263" s="2">
        <v>6</v>
      </c>
      <c r="B1263" s="1" t="s">
        <v>291</v>
      </c>
      <c r="C1263" s="4">
        <v>13</v>
      </c>
      <c r="D1263" s="8">
        <v>2.8</v>
      </c>
      <c r="E1263" s="4">
        <v>4</v>
      </c>
      <c r="F1263" s="8">
        <v>1.9</v>
      </c>
      <c r="G1263" s="4">
        <v>9</v>
      </c>
      <c r="H1263" s="8">
        <v>3.67</v>
      </c>
      <c r="I1263" s="4">
        <v>0</v>
      </c>
    </row>
    <row r="1264" spans="1:9" x14ac:dyDescent="0.2">
      <c r="A1264" s="2">
        <v>8</v>
      </c>
      <c r="B1264" s="1" t="s">
        <v>328</v>
      </c>
      <c r="C1264" s="4">
        <v>12</v>
      </c>
      <c r="D1264" s="8">
        <v>2.58</v>
      </c>
      <c r="E1264" s="4">
        <v>7</v>
      </c>
      <c r="F1264" s="8">
        <v>3.33</v>
      </c>
      <c r="G1264" s="4">
        <v>5</v>
      </c>
      <c r="H1264" s="8">
        <v>2.04</v>
      </c>
      <c r="I1264" s="4">
        <v>0</v>
      </c>
    </row>
    <row r="1265" spans="1:9" x14ac:dyDescent="0.2">
      <c r="A1265" s="2">
        <v>9</v>
      </c>
      <c r="B1265" s="1" t="s">
        <v>323</v>
      </c>
      <c r="C1265" s="4">
        <v>11</v>
      </c>
      <c r="D1265" s="8">
        <v>2.37</v>
      </c>
      <c r="E1265" s="4">
        <v>8</v>
      </c>
      <c r="F1265" s="8">
        <v>3.81</v>
      </c>
      <c r="G1265" s="4">
        <v>3</v>
      </c>
      <c r="H1265" s="8">
        <v>1.22</v>
      </c>
      <c r="I1265" s="4">
        <v>0</v>
      </c>
    </row>
    <row r="1266" spans="1:9" x14ac:dyDescent="0.2">
      <c r="A1266" s="2">
        <v>10</v>
      </c>
      <c r="B1266" s="1" t="s">
        <v>290</v>
      </c>
      <c r="C1266" s="4">
        <v>10</v>
      </c>
      <c r="D1266" s="8">
        <v>2.15</v>
      </c>
      <c r="E1266" s="4">
        <v>4</v>
      </c>
      <c r="F1266" s="8">
        <v>1.9</v>
      </c>
      <c r="G1266" s="4">
        <v>6</v>
      </c>
      <c r="H1266" s="8">
        <v>2.4500000000000002</v>
      </c>
      <c r="I1266" s="4">
        <v>0</v>
      </c>
    </row>
    <row r="1267" spans="1:9" x14ac:dyDescent="0.2">
      <c r="A1267" s="2">
        <v>10</v>
      </c>
      <c r="B1267" s="1" t="s">
        <v>293</v>
      </c>
      <c r="C1267" s="4">
        <v>10</v>
      </c>
      <c r="D1267" s="8">
        <v>2.15</v>
      </c>
      <c r="E1267" s="4">
        <v>4</v>
      </c>
      <c r="F1267" s="8">
        <v>1.9</v>
      </c>
      <c r="G1267" s="4">
        <v>6</v>
      </c>
      <c r="H1267" s="8">
        <v>2.4500000000000002</v>
      </c>
      <c r="I1267" s="4">
        <v>0</v>
      </c>
    </row>
    <row r="1268" spans="1:9" x14ac:dyDescent="0.2">
      <c r="A1268" s="2">
        <v>10</v>
      </c>
      <c r="B1268" s="1" t="s">
        <v>297</v>
      </c>
      <c r="C1268" s="4">
        <v>10</v>
      </c>
      <c r="D1268" s="8">
        <v>2.15</v>
      </c>
      <c r="E1268" s="4">
        <v>0</v>
      </c>
      <c r="F1268" s="8">
        <v>0</v>
      </c>
      <c r="G1268" s="4">
        <v>10</v>
      </c>
      <c r="H1268" s="8">
        <v>4.08</v>
      </c>
      <c r="I1268" s="4">
        <v>0</v>
      </c>
    </row>
    <row r="1269" spans="1:9" x14ac:dyDescent="0.2">
      <c r="A1269" s="2">
        <v>13</v>
      </c>
      <c r="B1269" s="1" t="s">
        <v>289</v>
      </c>
      <c r="C1269" s="4">
        <v>9</v>
      </c>
      <c r="D1269" s="8">
        <v>1.94</v>
      </c>
      <c r="E1269" s="4">
        <v>2</v>
      </c>
      <c r="F1269" s="8">
        <v>0.95</v>
      </c>
      <c r="G1269" s="4">
        <v>7</v>
      </c>
      <c r="H1269" s="8">
        <v>2.86</v>
      </c>
      <c r="I1269" s="4">
        <v>0</v>
      </c>
    </row>
    <row r="1270" spans="1:9" x14ac:dyDescent="0.2">
      <c r="A1270" s="2">
        <v>13</v>
      </c>
      <c r="B1270" s="1" t="s">
        <v>325</v>
      </c>
      <c r="C1270" s="4">
        <v>9</v>
      </c>
      <c r="D1270" s="8">
        <v>1.94</v>
      </c>
      <c r="E1270" s="4">
        <v>0</v>
      </c>
      <c r="F1270" s="8">
        <v>0</v>
      </c>
      <c r="G1270" s="4">
        <v>8</v>
      </c>
      <c r="H1270" s="8">
        <v>3.27</v>
      </c>
      <c r="I1270" s="4">
        <v>0</v>
      </c>
    </row>
    <row r="1271" spans="1:9" x14ac:dyDescent="0.2">
      <c r="A1271" s="2">
        <v>15</v>
      </c>
      <c r="B1271" s="1" t="s">
        <v>329</v>
      </c>
      <c r="C1271" s="4">
        <v>8</v>
      </c>
      <c r="D1271" s="8">
        <v>1.72</v>
      </c>
      <c r="E1271" s="4">
        <v>7</v>
      </c>
      <c r="F1271" s="8">
        <v>3.33</v>
      </c>
      <c r="G1271" s="4">
        <v>1</v>
      </c>
      <c r="H1271" s="8">
        <v>0.41</v>
      </c>
      <c r="I1271" s="4">
        <v>0</v>
      </c>
    </row>
    <row r="1272" spans="1:9" x14ac:dyDescent="0.2">
      <c r="A1272" s="2">
        <v>15</v>
      </c>
      <c r="B1272" s="1" t="s">
        <v>295</v>
      </c>
      <c r="C1272" s="4">
        <v>8</v>
      </c>
      <c r="D1272" s="8">
        <v>1.72</v>
      </c>
      <c r="E1272" s="4">
        <v>2</v>
      </c>
      <c r="F1272" s="8">
        <v>0.95</v>
      </c>
      <c r="G1272" s="4">
        <v>6</v>
      </c>
      <c r="H1272" s="8">
        <v>2.4500000000000002</v>
      </c>
      <c r="I1272" s="4">
        <v>0</v>
      </c>
    </row>
    <row r="1273" spans="1:9" x14ac:dyDescent="0.2">
      <c r="A1273" s="2">
        <v>15</v>
      </c>
      <c r="B1273" s="1" t="s">
        <v>305</v>
      </c>
      <c r="C1273" s="4">
        <v>8</v>
      </c>
      <c r="D1273" s="8">
        <v>1.72</v>
      </c>
      <c r="E1273" s="4">
        <v>7</v>
      </c>
      <c r="F1273" s="8">
        <v>3.33</v>
      </c>
      <c r="G1273" s="4">
        <v>1</v>
      </c>
      <c r="H1273" s="8">
        <v>0.41</v>
      </c>
      <c r="I1273" s="4">
        <v>0</v>
      </c>
    </row>
    <row r="1274" spans="1:9" x14ac:dyDescent="0.2">
      <c r="A1274" s="2">
        <v>18</v>
      </c>
      <c r="B1274" s="1" t="s">
        <v>319</v>
      </c>
      <c r="C1274" s="4">
        <v>7</v>
      </c>
      <c r="D1274" s="8">
        <v>1.51</v>
      </c>
      <c r="E1274" s="4">
        <v>3</v>
      </c>
      <c r="F1274" s="8">
        <v>1.43</v>
      </c>
      <c r="G1274" s="4">
        <v>4</v>
      </c>
      <c r="H1274" s="8">
        <v>1.63</v>
      </c>
      <c r="I1274" s="4">
        <v>0</v>
      </c>
    </row>
    <row r="1275" spans="1:9" x14ac:dyDescent="0.2">
      <c r="A1275" s="2">
        <v>18</v>
      </c>
      <c r="B1275" s="1" t="s">
        <v>346</v>
      </c>
      <c r="C1275" s="4">
        <v>7</v>
      </c>
      <c r="D1275" s="8">
        <v>1.51</v>
      </c>
      <c r="E1275" s="4">
        <v>2</v>
      </c>
      <c r="F1275" s="8">
        <v>0.95</v>
      </c>
      <c r="G1275" s="4">
        <v>5</v>
      </c>
      <c r="H1275" s="8">
        <v>2.04</v>
      </c>
      <c r="I1275" s="4">
        <v>0</v>
      </c>
    </row>
    <row r="1276" spans="1:9" x14ac:dyDescent="0.2">
      <c r="A1276" s="2">
        <v>18</v>
      </c>
      <c r="B1276" s="1" t="s">
        <v>292</v>
      </c>
      <c r="C1276" s="4">
        <v>7</v>
      </c>
      <c r="D1276" s="8">
        <v>1.51</v>
      </c>
      <c r="E1276" s="4">
        <v>4</v>
      </c>
      <c r="F1276" s="8">
        <v>1.9</v>
      </c>
      <c r="G1276" s="4">
        <v>3</v>
      </c>
      <c r="H1276" s="8">
        <v>1.22</v>
      </c>
      <c r="I1276" s="4">
        <v>0</v>
      </c>
    </row>
    <row r="1277" spans="1:9" x14ac:dyDescent="0.2">
      <c r="A1277" s="2">
        <v>18</v>
      </c>
      <c r="B1277" s="1" t="s">
        <v>298</v>
      </c>
      <c r="C1277" s="4">
        <v>7</v>
      </c>
      <c r="D1277" s="8">
        <v>1.51</v>
      </c>
      <c r="E1277" s="4">
        <v>2</v>
      </c>
      <c r="F1277" s="8">
        <v>0.95</v>
      </c>
      <c r="G1277" s="4">
        <v>5</v>
      </c>
      <c r="H1277" s="8">
        <v>2.04</v>
      </c>
      <c r="I1277" s="4">
        <v>0</v>
      </c>
    </row>
    <row r="1278" spans="1:9" x14ac:dyDescent="0.2">
      <c r="A1278" s="1"/>
      <c r="C1278" s="4"/>
      <c r="D1278" s="8"/>
      <c r="E1278" s="4"/>
      <c r="F1278" s="8"/>
      <c r="G1278" s="4"/>
      <c r="H1278" s="8"/>
      <c r="I1278" s="4"/>
    </row>
    <row r="1279" spans="1:9" x14ac:dyDescent="0.2">
      <c r="A1279" s="1" t="s">
        <v>53</v>
      </c>
      <c r="C1279" s="4"/>
      <c r="D1279" s="8"/>
      <c r="E1279" s="4"/>
      <c r="F1279" s="8"/>
      <c r="G1279" s="4"/>
      <c r="H1279" s="8"/>
      <c r="I1279" s="4"/>
    </row>
    <row r="1280" spans="1:9" x14ac:dyDescent="0.2">
      <c r="A1280" s="2">
        <v>1</v>
      </c>
      <c r="B1280" s="1" t="s">
        <v>292</v>
      </c>
      <c r="C1280" s="4">
        <v>7</v>
      </c>
      <c r="D1280" s="8">
        <v>7.87</v>
      </c>
      <c r="E1280" s="4">
        <v>5</v>
      </c>
      <c r="F1280" s="8">
        <v>10</v>
      </c>
      <c r="G1280" s="4">
        <v>2</v>
      </c>
      <c r="H1280" s="8">
        <v>5.13</v>
      </c>
      <c r="I1280" s="4">
        <v>0</v>
      </c>
    </row>
    <row r="1281" spans="1:9" x14ac:dyDescent="0.2">
      <c r="A1281" s="2">
        <v>2</v>
      </c>
      <c r="B1281" s="1" t="s">
        <v>303</v>
      </c>
      <c r="C1281" s="4">
        <v>6</v>
      </c>
      <c r="D1281" s="8">
        <v>6.74</v>
      </c>
      <c r="E1281" s="4">
        <v>6</v>
      </c>
      <c r="F1281" s="8">
        <v>12</v>
      </c>
      <c r="G1281" s="4">
        <v>0</v>
      </c>
      <c r="H1281" s="8">
        <v>0</v>
      </c>
      <c r="I1281" s="4">
        <v>0</v>
      </c>
    </row>
    <row r="1282" spans="1:9" x14ac:dyDescent="0.2">
      <c r="A1282" s="2">
        <v>3</v>
      </c>
      <c r="B1282" s="1" t="s">
        <v>288</v>
      </c>
      <c r="C1282" s="4">
        <v>4</v>
      </c>
      <c r="D1282" s="8">
        <v>4.49</v>
      </c>
      <c r="E1282" s="4">
        <v>0</v>
      </c>
      <c r="F1282" s="8">
        <v>0</v>
      </c>
      <c r="G1282" s="4">
        <v>4</v>
      </c>
      <c r="H1282" s="8">
        <v>10.26</v>
      </c>
      <c r="I1282" s="4">
        <v>0</v>
      </c>
    </row>
    <row r="1283" spans="1:9" x14ac:dyDescent="0.2">
      <c r="A1283" s="2">
        <v>3</v>
      </c>
      <c r="B1283" s="1" t="s">
        <v>334</v>
      </c>
      <c r="C1283" s="4">
        <v>4</v>
      </c>
      <c r="D1283" s="8">
        <v>4.49</v>
      </c>
      <c r="E1283" s="4">
        <v>4</v>
      </c>
      <c r="F1283" s="8">
        <v>8</v>
      </c>
      <c r="G1283" s="4">
        <v>0</v>
      </c>
      <c r="H1283" s="8">
        <v>0</v>
      </c>
      <c r="I1283" s="4">
        <v>0</v>
      </c>
    </row>
    <row r="1284" spans="1:9" x14ac:dyDescent="0.2">
      <c r="A1284" s="2">
        <v>3</v>
      </c>
      <c r="B1284" s="1" t="s">
        <v>304</v>
      </c>
      <c r="C1284" s="4">
        <v>4</v>
      </c>
      <c r="D1284" s="8">
        <v>4.49</v>
      </c>
      <c r="E1284" s="4">
        <v>4</v>
      </c>
      <c r="F1284" s="8">
        <v>8</v>
      </c>
      <c r="G1284" s="4">
        <v>0</v>
      </c>
      <c r="H1284" s="8">
        <v>0</v>
      </c>
      <c r="I1284" s="4">
        <v>0</v>
      </c>
    </row>
    <row r="1285" spans="1:9" x14ac:dyDescent="0.2">
      <c r="A1285" s="2">
        <v>6</v>
      </c>
      <c r="B1285" s="1" t="s">
        <v>289</v>
      </c>
      <c r="C1285" s="4">
        <v>3</v>
      </c>
      <c r="D1285" s="8">
        <v>3.37</v>
      </c>
      <c r="E1285" s="4">
        <v>0</v>
      </c>
      <c r="F1285" s="8">
        <v>0</v>
      </c>
      <c r="G1285" s="4">
        <v>3</v>
      </c>
      <c r="H1285" s="8">
        <v>7.69</v>
      </c>
      <c r="I1285" s="4">
        <v>0</v>
      </c>
    </row>
    <row r="1286" spans="1:9" x14ac:dyDescent="0.2">
      <c r="A1286" s="2">
        <v>6</v>
      </c>
      <c r="B1286" s="1" t="s">
        <v>328</v>
      </c>
      <c r="C1286" s="4">
        <v>3</v>
      </c>
      <c r="D1286" s="8">
        <v>3.37</v>
      </c>
      <c r="E1286" s="4">
        <v>3</v>
      </c>
      <c r="F1286" s="8">
        <v>6</v>
      </c>
      <c r="G1286" s="4">
        <v>0</v>
      </c>
      <c r="H1286" s="8">
        <v>0</v>
      </c>
      <c r="I1286" s="4">
        <v>0</v>
      </c>
    </row>
    <row r="1287" spans="1:9" x14ac:dyDescent="0.2">
      <c r="A1287" s="2">
        <v>6</v>
      </c>
      <c r="B1287" s="1" t="s">
        <v>330</v>
      </c>
      <c r="C1287" s="4">
        <v>3</v>
      </c>
      <c r="D1287" s="8">
        <v>3.37</v>
      </c>
      <c r="E1287" s="4">
        <v>1</v>
      </c>
      <c r="F1287" s="8">
        <v>2</v>
      </c>
      <c r="G1287" s="4">
        <v>2</v>
      </c>
      <c r="H1287" s="8">
        <v>5.13</v>
      </c>
      <c r="I1287" s="4">
        <v>0</v>
      </c>
    </row>
    <row r="1288" spans="1:9" x14ac:dyDescent="0.2">
      <c r="A1288" s="2">
        <v>6</v>
      </c>
      <c r="B1288" s="1" t="s">
        <v>339</v>
      </c>
      <c r="C1288" s="4">
        <v>3</v>
      </c>
      <c r="D1288" s="8">
        <v>3.37</v>
      </c>
      <c r="E1288" s="4">
        <v>2</v>
      </c>
      <c r="F1288" s="8">
        <v>4</v>
      </c>
      <c r="G1288" s="4">
        <v>1</v>
      </c>
      <c r="H1288" s="8">
        <v>2.56</v>
      </c>
      <c r="I1288" s="4">
        <v>0</v>
      </c>
    </row>
    <row r="1289" spans="1:9" x14ac:dyDescent="0.2">
      <c r="A1289" s="2">
        <v>10</v>
      </c>
      <c r="B1289" s="1" t="s">
        <v>353</v>
      </c>
      <c r="C1289" s="4">
        <v>2</v>
      </c>
      <c r="D1289" s="8">
        <v>2.25</v>
      </c>
      <c r="E1289" s="4">
        <v>1</v>
      </c>
      <c r="F1289" s="8">
        <v>2</v>
      </c>
      <c r="G1289" s="4">
        <v>1</v>
      </c>
      <c r="H1289" s="8">
        <v>2.56</v>
      </c>
      <c r="I1289" s="4">
        <v>0</v>
      </c>
    </row>
    <row r="1290" spans="1:9" x14ac:dyDescent="0.2">
      <c r="A1290" s="2">
        <v>10</v>
      </c>
      <c r="B1290" s="1" t="s">
        <v>290</v>
      </c>
      <c r="C1290" s="4">
        <v>2</v>
      </c>
      <c r="D1290" s="8">
        <v>2.25</v>
      </c>
      <c r="E1290" s="4">
        <v>1</v>
      </c>
      <c r="F1290" s="8">
        <v>2</v>
      </c>
      <c r="G1290" s="4">
        <v>1</v>
      </c>
      <c r="H1290" s="8">
        <v>2.56</v>
      </c>
      <c r="I1290" s="4">
        <v>0</v>
      </c>
    </row>
    <row r="1291" spans="1:9" x14ac:dyDescent="0.2">
      <c r="A1291" s="2">
        <v>10</v>
      </c>
      <c r="B1291" s="1" t="s">
        <v>342</v>
      </c>
      <c r="C1291" s="4">
        <v>2</v>
      </c>
      <c r="D1291" s="8">
        <v>2.25</v>
      </c>
      <c r="E1291" s="4">
        <v>0</v>
      </c>
      <c r="F1291" s="8">
        <v>0</v>
      </c>
      <c r="G1291" s="4">
        <v>2</v>
      </c>
      <c r="H1291" s="8">
        <v>5.13</v>
      </c>
      <c r="I1291" s="4">
        <v>0</v>
      </c>
    </row>
    <row r="1292" spans="1:9" x14ac:dyDescent="0.2">
      <c r="A1292" s="2">
        <v>10</v>
      </c>
      <c r="B1292" s="1" t="s">
        <v>385</v>
      </c>
      <c r="C1292" s="4">
        <v>2</v>
      </c>
      <c r="D1292" s="8">
        <v>2.25</v>
      </c>
      <c r="E1292" s="4">
        <v>0</v>
      </c>
      <c r="F1292" s="8">
        <v>0</v>
      </c>
      <c r="G1292" s="4">
        <v>2</v>
      </c>
      <c r="H1292" s="8">
        <v>5.13</v>
      </c>
      <c r="I1292" s="4">
        <v>0</v>
      </c>
    </row>
    <row r="1293" spans="1:9" x14ac:dyDescent="0.2">
      <c r="A1293" s="2">
        <v>10</v>
      </c>
      <c r="B1293" s="1" t="s">
        <v>357</v>
      </c>
      <c r="C1293" s="4">
        <v>2</v>
      </c>
      <c r="D1293" s="8">
        <v>2.25</v>
      </c>
      <c r="E1293" s="4">
        <v>1</v>
      </c>
      <c r="F1293" s="8">
        <v>2</v>
      </c>
      <c r="G1293" s="4">
        <v>1</v>
      </c>
      <c r="H1293" s="8">
        <v>2.56</v>
      </c>
      <c r="I1293" s="4">
        <v>0</v>
      </c>
    </row>
    <row r="1294" spans="1:9" x14ac:dyDescent="0.2">
      <c r="A1294" s="2">
        <v>10</v>
      </c>
      <c r="B1294" s="1" t="s">
        <v>324</v>
      </c>
      <c r="C1294" s="4">
        <v>2</v>
      </c>
      <c r="D1294" s="8">
        <v>2.25</v>
      </c>
      <c r="E1294" s="4">
        <v>1</v>
      </c>
      <c r="F1294" s="8">
        <v>2</v>
      </c>
      <c r="G1294" s="4">
        <v>1</v>
      </c>
      <c r="H1294" s="8">
        <v>2.56</v>
      </c>
      <c r="I1294" s="4">
        <v>0</v>
      </c>
    </row>
    <row r="1295" spans="1:9" x14ac:dyDescent="0.2">
      <c r="A1295" s="2">
        <v>10</v>
      </c>
      <c r="B1295" s="1" t="s">
        <v>354</v>
      </c>
      <c r="C1295" s="4">
        <v>2</v>
      </c>
      <c r="D1295" s="8">
        <v>2.25</v>
      </c>
      <c r="E1295" s="4">
        <v>1</v>
      </c>
      <c r="F1295" s="8">
        <v>2</v>
      </c>
      <c r="G1295" s="4">
        <v>1</v>
      </c>
      <c r="H1295" s="8">
        <v>2.56</v>
      </c>
      <c r="I1295" s="4">
        <v>0</v>
      </c>
    </row>
    <row r="1296" spans="1:9" x14ac:dyDescent="0.2">
      <c r="A1296" s="2">
        <v>10</v>
      </c>
      <c r="B1296" s="1" t="s">
        <v>295</v>
      </c>
      <c r="C1296" s="4">
        <v>2</v>
      </c>
      <c r="D1296" s="8">
        <v>2.25</v>
      </c>
      <c r="E1296" s="4">
        <v>2</v>
      </c>
      <c r="F1296" s="8">
        <v>4</v>
      </c>
      <c r="G1296" s="4">
        <v>0</v>
      </c>
      <c r="H1296" s="8">
        <v>0</v>
      </c>
      <c r="I1296" s="4">
        <v>0</v>
      </c>
    </row>
    <row r="1297" spans="1:9" x14ac:dyDescent="0.2">
      <c r="A1297" s="2">
        <v>10</v>
      </c>
      <c r="B1297" s="1" t="s">
        <v>323</v>
      </c>
      <c r="C1297" s="4">
        <v>2</v>
      </c>
      <c r="D1297" s="8">
        <v>2.25</v>
      </c>
      <c r="E1297" s="4">
        <v>1</v>
      </c>
      <c r="F1297" s="8">
        <v>2</v>
      </c>
      <c r="G1297" s="4">
        <v>1</v>
      </c>
      <c r="H1297" s="8">
        <v>2.56</v>
      </c>
      <c r="I1297" s="4">
        <v>0</v>
      </c>
    </row>
    <row r="1298" spans="1:9" x14ac:dyDescent="0.2">
      <c r="A1298" s="2">
        <v>10</v>
      </c>
      <c r="B1298" s="1" t="s">
        <v>307</v>
      </c>
      <c r="C1298" s="4">
        <v>2</v>
      </c>
      <c r="D1298" s="8">
        <v>2.25</v>
      </c>
      <c r="E1298" s="4">
        <v>0</v>
      </c>
      <c r="F1298" s="8">
        <v>0</v>
      </c>
      <c r="G1298" s="4">
        <v>2</v>
      </c>
      <c r="H1298" s="8">
        <v>5.13</v>
      </c>
      <c r="I1298" s="4">
        <v>0</v>
      </c>
    </row>
    <row r="1299" spans="1:9" x14ac:dyDescent="0.2">
      <c r="A1299" s="2">
        <v>20</v>
      </c>
      <c r="B1299" s="1" t="s">
        <v>319</v>
      </c>
      <c r="C1299" s="4">
        <v>1</v>
      </c>
      <c r="D1299" s="8">
        <v>1.1200000000000001</v>
      </c>
      <c r="E1299" s="4">
        <v>1</v>
      </c>
      <c r="F1299" s="8">
        <v>2</v>
      </c>
      <c r="G1299" s="4">
        <v>0</v>
      </c>
      <c r="H1299" s="8">
        <v>0</v>
      </c>
      <c r="I1299" s="4">
        <v>0</v>
      </c>
    </row>
    <row r="1300" spans="1:9" x14ac:dyDescent="0.2">
      <c r="A1300" s="2">
        <v>20</v>
      </c>
      <c r="B1300" s="1" t="s">
        <v>333</v>
      </c>
      <c r="C1300" s="4">
        <v>1</v>
      </c>
      <c r="D1300" s="8">
        <v>1.1200000000000001</v>
      </c>
      <c r="E1300" s="4">
        <v>1</v>
      </c>
      <c r="F1300" s="8">
        <v>2</v>
      </c>
      <c r="G1300" s="4">
        <v>0</v>
      </c>
      <c r="H1300" s="8">
        <v>0</v>
      </c>
      <c r="I1300" s="4">
        <v>0</v>
      </c>
    </row>
    <row r="1301" spans="1:9" x14ac:dyDescent="0.2">
      <c r="A1301" s="2">
        <v>20</v>
      </c>
      <c r="B1301" s="1" t="s">
        <v>320</v>
      </c>
      <c r="C1301" s="4">
        <v>1</v>
      </c>
      <c r="D1301" s="8">
        <v>1.1200000000000001</v>
      </c>
      <c r="E1301" s="4">
        <v>0</v>
      </c>
      <c r="F1301" s="8">
        <v>0</v>
      </c>
      <c r="G1301" s="4">
        <v>1</v>
      </c>
      <c r="H1301" s="8">
        <v>2.56</v>
      </c>
      <c r="I1301" s="4">
        <v>0</v>
      </c>
    </row>
    <row r="1302" spans="1:9" x14ac:dyDescent="0.2">
      <c r="A1302" s="2">
        <v>20</v>
      </c>
      <c r="B1302" s="1" t="s">
        <v>291</v>
      </c>
      <c r="C1302" s="4">
        <v>1</v>
      </c>
      <c r="D1302" s="8">
        <v>1.1200000000000001</v>
      </c>
      <c r="E1302" s="4">
        <v>0</v>
      </c>
      <c r="F1302" s="8">
        <v>0</v>
      </c>
      <c r="G1302" s="4">
        <v>1</v>
      </c>
      <c r="H1302" s="8">
        <v>2.56</v>
      </c>
      <c r="I1302" s="4">
        <v>0</v>
      </c>
    </row>
    <row r="1303" spans="1:9" x14ac:dyDescent="0.2">
      <c r="A1303" s="2">
        <v>20</v>
      </c>
      <c r="B1303" s="1" t="s">
        <v>378</v>
      </c>
      <c r="C1303" s="4">
        <v>1</v>
      </c>
      <c r="D1303" s="8">
        <v>1.1200000000000001</v>
      </c>
      <c r="E1303" s="4">
        <v>0</v>
      </c>
      <c r="F1303" s="8">
        <v>0</v>
      </c>
      <c r="G1303" s="4">
        <v>1</v>
      </c>
      <c r="H1303" s="8">
        <v>2.56</v>
      </c>
      <c r="I1303" s="4">
        <v>0</v>
      </c>
    </row>
    <row r="1304" spans="1:9" x14ac:dyDescent="0.2">
      <c r="A1304" s="2">
        <v>20</v>
      </c>
      <c r="B1304" s="1" t="s">
        <v>384</v>
      </c>
      <c r="C1304" s="4">
        <v>1</v>
      </c>
      <c r="D1304" s="8">
        <v>1.1200000000000001</v>
      </c>
      <c r="E1304" s="4">
        <v>0</v>
      </c>
      <c r="F1304" s="8">
        <v>0</v>
      </c>
      <c r="G1304" s="4">
        <v>1</v>
      </c>
      <c r="H1304" s="8">
        <v>2.56</v>
      </c>
      <c r="I1304" s="4">
        <v>0</v>
      </c>
    </row>
    <row r="1305" spans="1:9" x14ac:dyDescent="0.2">
      <c r="A1305" s="2">
        <v>20</v>
      </c>
      <c r="B1305" s="1" t="s">
        <v>386</v>
      </c>
      <c r="C1305" s="4">
        <v>1</v>
      </c>
      <c r="D1305" s="8">
        <v>1.1200000000000001</v>
      </c>
      <c r="E1305" s="4">
        <v>1</v>
      </c>
      <c r="F1305" s="8">
        <v>2</v>
      </c>
      <c r="G1305" s="4">
        <v>0</v>
      </c>
      <c r="H1305" s="8">
        <v>0</v>
      </c>
      <c r="I1305" s="4">
        <v>0</v>
      </c>
    </row>
    <row r="1306" spans="1:9" x14ac:dyDescent="0.2">
      <c r="A1306" s="2">
        <v>20</v>
      </c>
      <c r="B1306" s="1" t="s">
        <v>387</v>
      </c>
      <c r="C1306" s="4">
        <v>1</v>
      </c>
      <c r="D1306" s="8">
        <v>1.1200000000000001</v>
      </c>
      <c r="E1306" s="4">
        <v>0</v>
      </c>
      <c r="F1306" s="8">
        <v>0</v>
      </c>
      <c r="G1306" s="4">
        <v>1</v>
      </c>
      <c r="H1306" s="8">
        <v>2.56</v>
      </c>
      <c r="I1306" s="4">
        <v>0</v>
      </c>
    </row>
    <row r="1307" spans="1:9" x14ac:dyDescent="0.2">
      <c r="A1307" s="2">
        <v>20</v>
      </c>
      <c r="B1307" s="1" t="s">
        <v>350</v>
      </c>
      <c r="C1307" s="4">
        <v>1</v>
      </c>
      <c r="D1307" s="8">
        <v>1.1200000000000001</v>
      </c>
      <c r="E1307" s="4">
        <v>0</v>
      </c>
      <c r="F1307" s="8">
        <v>0</v>
      </c>
      <c r="G1307" s="4">
        <v>1</v>
      </c>
      <c r="H1307" s="8">
        <v>2.56</v>
      </c>
      <c r="I1307" s="4">
        <v>0</v>
      </c>
    </row>
    <row r="1308" spans="1:9" x14ac:dyDescent="0.2">
      <c r="A1308" s="2">
        <v>20</v>
      </c>
      <c r="B1308" s="1" t="s">
        <v>388</v>
      </c>
      <c r="C1308" s="4">
        <v>1</v>
      </c>
      <c r="D1308" s="8">
        <v>1.1200000000000001</v>
      </c>
      <c r="E1308" s="4">
        <v>0</v>
      </c>
      <c r="F1308" s="8">
        <v>0</v>
      </c>
      <c r="G1308" s="4">
        <v>1</v>
      </c>
      <c r="H1308" s="8">
        <v>2.56</v>
      </c>
      <c r="I1308" s="4">
        <v>0</v>
      </c>
    </row>
    <row r="1309" spans="1:9" x14ac:dyDescent="0.2">
      <c r="A1309" s="2">
        <v>20</v>
      </c>
      <c r="B1309" s="1" t="s">
        <v>380</v>
      </c>
      <c r="C1309" s="4">
        <v>1</v>
      </c>
      <c r="D1309" s="8">
        <v>1.1200000000000001</v>
      </c>
      <c r="E1309" s="4">
        <v>1</v>
      </c>
      <c r="F1309" s="8">
        <v>2</v>
      </c>
      <c r="G1309" s="4">
        <v>0</v>
      </c>
      <c r="H1309" s="8">
        <v>0</v>
      </c>
      <c r="I1309" s="4">
        <v>0</v>
      </c>
    </row>
    <row r="1310" spans="1:9" x14ac:dyDescent="0.2">
      <c r="A1310" s="2">
        <v>20</v>
      </c>
      <c r="B1310" s="1" t="s">
        <v>389</v>
      </c>
      <c r="C1310" s="4">
        <v>1</v>
      </c>
      <c r="D1310" s="8">
        <v>1.1200000000000001</v>
      </c>
      <c r="E1310" s="4">
        <v>1</v>
      </c>
      <c r="F1310" s="8">
        <v>2</v>
      </c>
      <c r="G1310" s="4">
        <v>0</v>
      </c>
      <c r="H1310" s="8">
        <v>0</v>
      </c>
      <c r="I1310" s="4">
        <v>0</v>
      </c>
    </row>
    <row r="1311" spans="1:9" x14ac:dyDescent="0.2">
      <c r="A1311" s="2">
        <v>20</v>
      </c>
      <c r="B1311" s="1" t="s">
        <v>335</v>
      </c>
      <c r="C1311" s="4">
        <v>1</v>
      </c>
      <c r="D1311" s="8">
        <v>1.1200000000000001</v>
      </c>
      <c r="E1311" s="4">
        <v>0</v>
      </c>
      <c r="F1311" s="8">
        <v>0</v>
      </c>
      <c r="G1311" s="4">
        <v>1</v>
      </c>
      <c r="H1311" s="8">
        <v>2.56</v>
      </c>
      <c r="I1311" s="4">
        <v>0</v>
      </c>
    </row>
    <row r="1312" spans="1:9" x14ac:dyDescent="0.2">
      <c r="A1312" s="2">
        <v>20</v>
      </c>
      <c r="B1312" s="1" t="s">
        <v>294</v>
      </c>
      <c r="C1312" s="4">
        <v>1</v>
      </c>
      <c r="D1312" s="8">
        <v>1.1200000000000001</v>
      </c>
      <c r="E1312" s="4">
        <v>0</v>
      </c>
      <c r="F1312" s="8">
        <v>0</v>
      </c>
      <c r="G1312" s="4">
        <v>1</v>
      </c>
      <c r="H1312" s="8">
        <v>2.56</v>
      </c>
      <c r="I1312" s="4">
        <v>0</v>
      </c>
    </row>
    <row r="1313" spans="1:9" x14ac:dyDescent="0.2">
      <c r="A1313" s="2">
        <v>20</v>
      </c>
      <c r="B1313" s="1" t="s">
        <v>337</v>
      </c>
      <c r="C1313" s="4">
        <v>1</v>
      </c>
      <c r="D1313" s="8">
        <v>1.1200000000000001</v>
      </c>
      <c r="E1313" s="4">
        <v>1</v>
      </c>
      <c r="F1313" s="8">
        <v>2</v>
      </c>
      <c r="G1313" s="4">
        <v>0</v>
      </c>
      <c r="H1313" s="8">
        <v>0</v>
      </c>
      <c r="I1313" s="4">
        <v>0</v>
      </c>
    </row>
    <row r="1314" spans="1:9" x14ac:dyDescent="0.2">
      <c r="A1314" s="2">
        <v>20</v>
      </c>
      <c r="B1314" s="1" t="s">
        <v>338</v>
      </c>
      <c r="C1314" s="4">
        <v>1</v>
      </c>
      <c r="D1314" s="8">
        <v>1.1200000000000001</v>
      </c>
      <c r="E1314" s="4">
        <v>1</v>
      </c>
      <c r="F1314" s="8">
        <v>2</v>
      </c>
      <c r="G1314" s="4">
        <v>0</v>
      </c>
      <c r="H1314" s="8">
        <v>0</v>
      </c>
      <c r="I1314" s="4">
        <v>0</v>
      </c>
    </row>
    <row r="1315" spans="1:9" x14ac:dyDescent="0.2">
      <c r="A1315" s="2">
        <v>20</v>
      </c>
      <c r="B1315" s="1" t="s">
        <v>344</v>
      </c>
      <c r="C1315" s="4">
        <v>1</v>
      </c>
      <c r="D1315" s="8">
        <v>1.1200000000000001</v>
      </c>
      <c r="E1315" s="4">
        <v>0</v>
      </c>
      <c r="F1315" s="8">
        <v>0</v>
      </c>
      <c r="G1315" s="4">
        <v>1</v>
      </c>
      <c r="H1315" s="8">
        <v>2.56</v>
      </c>
      <c r="I1315" s="4">
        <v>0</v>
      </c>
    </row>
    <row r="1316" spans="1:9" x14ac:dyDescent="0.2">
      <c r="A1316" s="2">
        <v>20</v>
      </c>
      <c r="B1316" s="1" t="s">
        <v>299</v>
      </c>
      <c r="C1316" s="4">
        <v>1</v>
      </c>
      <c r="D1316" s="8">
        <v>1.1200000000000001</v>
      </c>
      <c r="E1316" s="4">
        <v>1</v>
      </c>
      <c r="F1316" s="8">
        <v>2</v>
      </c>
      <c r="G1316" s="4">
        <v>0</v>
      </c>
      <c r="H1316" s="8">
        <v>0</v>
      </c>
      <c r="I1316" s="4">
        <v>0</v>
      </c>
    </row>
    <row r="1317" spans="1:9" x14ac:dyDescent="0.2">
      <c r="A1317" s="2">
        <v>20</v>
      </c>
      <c r="B1317" s="1" t="s">
        <v>349</v>
      </c>
      <c r="C1317" s="4">
        <v>1</v>
      </c>
      <c r="D1317" s="8">
        <v>1.1200000000000001</v>
      </c>
      <c r="E1317" s="4">
        <v>1</v>
      </c>
      <c r="F1317" s="8">
        <v>2</v>
      </c>
      <c r="G1317" s="4">
        <v>0</v>
      </c>
      <c r="H1317" s="8">
        <v>0</v>
      </c>
      <c r="I1317" s="4">
        <v>0</v>
      </c>
    </row>
    <row r="1318" spans="1:9" x14ac:dyDescent="0.2">
      <c r="A1318" s="2">
        <v>20</v>
      </c>
      <c r="B1318" s="1" t="s">
        <v>300</v>
      </c>
      <c r="C1318" s="4">
        <v>1</v>
      </c>
      <c r="D1318" s="8">
        <v>1.1200000000000001</v>
      </c>
      <c r="E1318" s="4">
        <v>1</v>
      </c>
      <c r="F1318" s="8">
        <v>2</v>
      </c>
      <c r="G1318" s="4">
        <v>0</v>
      </c>
      <c r="H1318" s="8">
        <v>0</v>
      </c>
      <c r="I1318" s="4">
        <v>0</v>
      </c>
    </row>
    <row r="1319" spans="1:9" x14ac:dyDescent="0.2">
      <c r="A1319" s="2">
        <v>20</v>
      </c>
      <c r="B1319" s="1" t="s">
        <v>301</v>
      </c>
      <c r="C1319" s="4">
        <v>1</v>
      </c>
      <c r="D1319" s="8">
        <v>1.1200000000000001</v>
      </c>
      <c r="E1319" s="4">
        <v>1</v>
      </c>
      <c r="F1319" s="8">
        <v>2</v>
      </c>
      <c r="G1319" s="4">
        <v>0</v>
      </c>
      <c r="H1319" s="8">
        <v>0</v>
      </c>
      <c r="I1319" s="4">
        <v>0</v>
      </c>
    </row>
    <row r="1320" spans="1:9" x14ac:dyDescent="0.2">
      <c r="A1320" s="2">
        <v>20</v>
      </c>
      <c r="B1320" s="1" t="s">
        <v>302</v>
      </c>
      <c r="C1320" s="4">
        <v>1</v>
      </c>
      <c r="D1320" s="8">
        <v>1.1200000000000001</v>
      </c>
      <c r="E1320" s="4">
        <v>1</v>
      </c>
      <c r="F1320" s="8">
        <v>2</v>
      </c>
      <c r="G1320" s="4">
        <v>0</v>
      </c>
      <c r="H1320" s="8">
        <v>0</v>
      </c>
      <c r="I1320" s="4">
        <v>0</v>
      </c>
    </row>
    <row r="1321" spans="1:9" x14ac:dyDescent="0.2">
      <c r="A1321" s="2">
        <v>20</v>
      </c>
      <c r="B1321" s="1" t="s">
        <v>390</v>
      </c>
      <c r="C1321" s="4">
        <v>1</v>
      </c>
      <c r="D1321" s="8">
        <v>1.1200000000000001</v>
      </c>
      <c r="E1321" s="4">
        <v>1</v>
      </c>
      <c r="F1321" s="8">
        <v>2</v>
      </c>
      <c r="G1321" s="4">
        <v>0</v>
      </c>
      <c r="H1321" s="8">
        <v>0</v>
      </c>
      <c r="I1321" s="4">
        <v>0</v>
      </c>
    </row>
    <row r="1322" spans="1:9" x14ac:dyDescent="0.2">
      <c r="A1322" s="2">
        <v>20</v>
      </c>
      <c r="B1322" s="1" t="s">
        <v>325</v>
      </c>
      <c r="C1322" s="4">
        <v>1</v>
      </c>
      <c r="D1322" s="8">
        <v>1.1200000000000001</v>
      </c>
      <c r="E1322" s="4">
        <v>0</v>
      </c>
      <c r="F1322" s="8">
        <v>0</v>
      </c>
      <c r="G1322" s="4">
        <v>1</v>
      </c>
      <c r="H1322" s="8">
        <v>2.56</v>
      </c>
      <c r="I1322" s="4">
        <v>0</v>
      </c>
    </row>
    <row r="1323" spans="1:9" x14ac:dyDescent="0.2">
      <c r="A1323" s="2">
        <v>20</v>
      </c>
      <c r="B1323" s="1" t="s">
        <v>391</v>
      </c>
      <c r="C1323" s="4">
        <v>1</v>
      </c>
      <c r="D1323" s="8">
        <v>1.1200000000000001</v>
      </c>
      <c r="E1323" s="4">
        <v>0</v>
      </c>
      <c r="F1323" s="8">
        <v>0</v>
      </c>
      <c r="G1323" s="4">
        <v>1</v>
      </c>
      <c r="H1323" s="8">
        <v>2.56</v>
      </c>
      <c r="I1323" s="4">
        <v>0</v>
      </c>
    </row>
    <row r="1324" spans="1:9" x14ac:dyDescent="0.2">
      <c r="A1324" s="2">
        <v>20</v>
      </c>
      <c r="B1324" s="1" t="s">
        <v>327</v>
      </c>
      <c r="C1324" s="4">
        <v>1</v>
      </c>
      <c r="D1324" s="8">
        <v>1.1200000000000001</v>
      </c>
      <c r="E1324" s="4">
        <v>1</v>
      </c>
      <c r="F1324" s="8">
        <v>2</v>
      </c>
      <c r="G1324" s="4">
        <v>0</v>
      </c>
      <c r="H1324" s="8">
        <v>0</v>
      </c>
      <c r="I1324" s="4">
        <v>0</v>
      </c>
    </row>
    <row r="1325" spans="1:9" x14ac:dyDescent="0.2">
      <c r="A1325" s="2">
        <v>20</v>
      </c>
      <c r="B1325" s="1" t="s">
        <v>305</v>
      </c>
      <c r="C1325" s="4">
        <v>1</v>
      </c>
      <c r="D1325" s="8">
        <v>1.1200000000000001</v>
      </c>
      <c r="E1325" s="4">
        <v>0</v>
      </c>
      <c r="F1325" s="8">
        <v>0</v>
      </c>
      <c r="G1325" s="4">
        <v>1</v>
      </c>
      <c r="H1325" s="8">
        <v>2.56</v>
      </c>
      <c r="I1325" s="4">
        <v>0</v>
      </c>
    </row>
    <row r="1326" spans="1:9" x14ac:dyDescent="0.2">
      <c r="A1326" s="2">
        <v>20</v>
      </c>
      <c r="B1326" s="1" t="s">
        <v>312</v>
      </c>
      <c r="C1326" s="4">
        <v>1</v>
      </c>
      <c r="D1326" s="8">
        <v>1.1200000000000001</v>
      </c>
      <c r="E1326" s="4">
        <v>1</v>
      </c>
      <c r="F1326" s="8">
        <v>2</v>
      </c>
      <c r="G1326" s="4">
        <v>0</v>
      </c>
      <c r="H1326" s="8">
        <v>0</v>
      </c>
      <c r="I1326" s="4">
        <v>0</v>
      </c>
    </row>
    <row r="1327" spans="1:9" x14ac:dyDescent="0.2">
      <c r="A1327" s="2">
        <v>20</v>
      </c>
      <c r="B1327" s="1" t="s">
        <v>331</v>
      </c>
      <c r="C1327" s="4">
        <v>1</v>
      </c>
      <c r="D1327" s="8">
        <v>1.1200000000000001</v>
      </c>
      <c r="E1327" s="4">
        <v>0</v>
      </c>
      <c r="F1327" s="8">
        <v>0</v>
      </c>
      <c r="G1327" s="4">
        <v>1</v>
      </c>
      <c r="H1327" s="8">
        <v>2.56</v>
      </c>
      <c r="I1327" s="4">
        <v>0</v>
      </c>
    </row>
    <row r="1328" spans="1:9" x14ac:dyDescent="0.2">
      <c r="A1328" s="2">
        <v>20</v>
      </c>
      <c r="B1328" s="1" t="s">
        <v>347</v>
      </c>
      <c r="C1328" s="4">
        <v>1</v>
      </c>
      <c r="D1328" s="8">
        <v>1.1200000000000001</v>
      </c>
      <c r="E1328" s="4">
        <v>0</v>
      </c>
      <c r="F1328" s="8">
        <v>0</v>
      </c>
      <c r="G1328" s="4">
        <v>1</v>
      </c>
      <c r="H1328" s="8">
        <v>2.56</v>
      </c>
      <c r="I1328" s="4">
        <v>0</v>
      </c>
    </row>
    <row r="1329" spans="1:9" x14ac:dyDescent="0.2">
      <c r="A1329" s="2">
        <v>20</v>
      </c>
      <c r="B1329" s="1" t="s">
        <v>371</v>
      </c>
      <c r="C1329" s="4">
        <v>1</v>
      </c>
      <c r="D1329" s="8">
        <v>1.1200000000000001</v>
      </c>
      <c r="E1329" s="4">
        <v>1</v>
      </c>
      <c r="F1329" s="8">
        <v>2</v>
      </c>
      <c r="G1329" s="4">
        <v>0</v>
      </c>
      <c r="H1329" s="8">
        <v>0</v>
      </c>
      <c r="I1329" s="4">
        <v>0</v>
      </c>
    </row>
    <row r="1330" spans="1:9" x14ac:dyDescent="0.2">
      <c r="A1330" s="2">
        <v>20</v>
      </c>
      <c r="B1330" s="1" t="s">
        <v>318</v>
      </c>
      <c r="C1330" s="4">
        <v>1</v>
      </c>
      <c r="D1330" s="8">
        <v>1.1200000000000001</v>
      </c>
      <c r="E1330" s="4">
        <v>1</v>
      </c>
      <c r="F1330" s="8">
        <v>2</v>
      </c>
      <c r="G1330" s="4">
        <v>0</v>
      </c>
      <c r="H1330" s="8">
        <v>0</v>
      </c>
      <c r="I1330" s="4">
        <v>0</v>
      </c>
    </row>
    <row r="1331" spans="1:9" x14ac:dyDescent="0.2">
      <c r="A1331" s="1"/>
      <c r="C1331" s="4"/>
      <c r="D1331" s="8"/>
      <c r="E1331" s="4"/>
      <c r="F1331" s="8"/>
      <c r="G1331" s="4"/>
      <c r="H1331" s="8"/>
      <c r="I1331" s="4"/>
    </row>
    <row r="1332" spans="1:9" x14ac:dyDescent="0.2">
      <c r="A1332" s="1" t="s">
        <v>54</v>
      </c>
      <c r="C1332" s="4"/>
      <c r="D1332" s="8"/>
      <c r="E1332" s="4"/>
      <c r="F1332" s="8"/>
      <c r="G1332" s="4"/>
      <c r="H1332" s="8"/>
      <c r="I1332" s="4"/>
    </row>
    <row r="1333" spans="1:9" x14ac:dyDescent="0.2">
      <c r="A1333" s="2">
        <v>1</v>
      </c>
      <c r="B1333" s="1" t="s">
        <v>304</v>
      </c>
      <c r="C1333" s="4">
        <v>26</v>
      </c>
      <c r="D1333" s="8">
        <v>5.24</v>
      </c>
      <c r="E1333" s="4">
        <v>24</v>
      </c>
      <c r="F1333" s="8">
        <v>8.6999999999999993</v>
      </c>
      <c r="G1333" s="4">
        <v>2</v>
      </c>
      <c r="H1333" s="8">
        <v>0.96</v>
      </c>
      <c r="I1333" s="4">
        <v>0</v>
      </c>
    </row>
    <row r="1334" spans="1:9" x14ac:dyDescent="0.2">
      <c r="A1334" s="2">
        <v>2</v>
      </c>
      <c r="B1334" s="1" t="s">
        <v>303</v>
      </c>
      <c r="C1334" s="4">
        <v>24</v>
      </c>
      <c r="D1334" s="8">
        <v>4.84</v>
      </c>
      <c r="E1334" s="4">
        <v>24</v>
      </c>
      <c r="F1334" s="8">
        <v>8.6999999999999993</v>
      </c>
      <c r="G1334" s="4">
        <v>0</v>
      </c>
      <c r="H1334" s="8">
        <v>0</v>
      </c>
      <c r="I1334" s="4">
        <v>0</v>
      </c>
    </row>
    <row r="1335" spans="1:9" x14ac:dyDescent="0.2">
      <c r="A1335" s="2">
        <v>3</v>
      </c>
      <c r="B1335" s="1" t="s">
        <v>297</v>
      </c>
      <c r="C1335" s="4">
        <v>21</v>
      </c>
      <c r="D1335" s="8">
        <v>4.2300000000000004</v>
      </c>
      <c r="E1335" s="4">
        <v>18</v>
      </c>
      <c r="F1335" s="8">
        <v>6.52</v>
      </c>
      <c r="G1335" s="4">
        <v>3</v>
      </c>
      <c r="H1335" s="8">
        <v>1.44</v>
      </c>
      <c r="I1335" s="4">
        <v>0</v>
      </c>
    </row>
    <row r="1336" spans="1:9" x14ac:dyDescent="0.2">
      <c r="A1336" s="2">
        <v>3</v>
      </c>
      <c r="B1336" s="1" t="s">
        <v>301</v>
      </c>
      <c r="C1336" s="4">
        <v>21</v>
      </c>
      <c r="D1336" s="8">
        <v>4.2300000000000004</v>
      </c>
      <c r="E1336" s="4">
        <v>21</v>
      </c>
      <c r="F1336" s="8">
        <v>7.61</v>
      </c>
      <c r="G1336" s="4">
        <v>0</v>
      </c>
      <c r="H1336" s="8">
        <v>0</v>
      </c>
      <c r="I1336" s="4">
        <v>0</v>
      </c>
    </row>
    <row r="1337" spans="1:9" x14ac:dyDescent="0.2">
      <c r="A1337" s="2">
        <v>5</v>
      </c>
      <c r="B1337" s="1" t="s">
        <v>342</v>
      </c>
      <c r="C1337" s="4">
        <v>19</v>
      </c>
      <c r="D1337" s="8">
        <v>3.83</v>
      </c>
      <c r="E1337" s="4">
        <v>1</v>
      </c>
      <c r="F1337" s="8">
        <v>0.36</v>
      </c>
      <c r="G1337" s="4">
        <v>18</v>
      </c>
      <c r="H1337" s="8">
        <v>8.65</v>
      </c>
      <c r="I1337" s="4">
        <v>0</v>
      </c>
    </row>
    <row r="1338" spans="1:9" x14ac:dyDescent="0.2">
      <c r="A1338" s="2">
        <v>6</v>
      </c>
      <c r="B1338" s="1" t="s">
        <v>292</v>
      </c>
      <c r="C1338" s="4">
        <v>15</v>
      </c>
      <c r="D1338" s="8">
        <v>3.02</v>
      </c>
      <c r="E1338" s="4">
        <v>11</v>
      </c>
      <c r="F1338" s="8">
        <v>3.99</v>
      </c>
      <c r="G1338" s="4">
        <v>4</v>
      </c>
      <c r="H1338" s="8">
        <v>1.92</v>
      </c>
      <c r="I1338" s="4">
        <v>0</v>
      </c>
    </row>
    <row r="1339" spans="1:9" x14ac:dyDescent="0.2">
      <c r="A1339" s="2">
        <v>6</v>
      </c>
      <c r="B1339" s="1" t="s">
        <v>307</v>
      </c>
      <c r="C1339" s="4">
        <v>15</v>
      </c>
      <c r="D1339" s="8">
        <v>3.02</v>
      </c>
      <c r="E1339" s="4">
        <v>7</v>
      </c>
      <c r="F1339" s="8">
        <v>2.54</v>
      </c>
      <c r="G1339" s="4">
        <v>8</v>
      </c>
      <c r="H1339" s="8">
        <v>3.85</v>
      </c>
      <c r="I1339" s="4">
        <v>0</v>
      </c>
    </row>
    <row r="1340" spans="1:9" x14ac:dyDescent="0.2">
      <c r="A1340" s="2">
        <v>8</v>
      </c>
      <c r="B1340" s="1" t="s">
        <v>289</v>
      </c>
      <c r="C1340" s="4">
        <v>12</v>
      </c>
      <c r="D1340" s="8">
        <v>2.42</v>
      </c>
      <c r="E1340" s="4">
        <v>6</v>
      </c>
      <c r="F1340" s="8">
        <v>2.17</v>
      </c>
      <c r="G1340" s="4">
        <v>6</v>
      </c>
      <c r="H1340" s="8">
        <v>2.88</v>
      </c>
      <c r="I1340" s="4">
        <v>0</v>
      </c>
    </row>
    <row r="1341" spans="1:9" x14ac:dyDescent="0.2">
      <c r="A1341" s="2">
        <v>8</v>
      </c>
      <c r="B1341" s="1" t="s">
        <v>328</v>
      </c>
      <c r="C1341" s="4">
        <v>12</v>
      </c>
      <c r="D1341" s="8">
        <v>2.42</v>
      </c>
      <c r="E1341" s="4">
        <v>7</v>
      </c>
      <c r="F1341" s="8">
        <v>2.54</v>
      </c>
      <c r="G1341" s="4">
        <v>5</v>
      </c>
      <c r="H1341" s="8">
        <v>2.4</v>
      </c>
      <c r="I1341" s="4">
        <v>0</v>
      </c>
    </row>
    <row r="1342" spans="1:9" x14ac:dyDescent="0.2">
      <c r="A1342" s="2">
        <v>10</v>
      </c>
      <c r="B1342" s="1" t="s">
        <v>323</v>
      </c>
      <c r="C1342" s="4">
        <v>11</v>
      </c>
      <c r="D1342" s="8">
        <v>2.2200000000000002</v>
      </c>
      <c r="E1342" s="4">
        <v>10</v>
      </c>
      <c r="F1342" s="8">
        <v>3.62</v>
      </c>
      <c r="G1342" s="4">
        <v>1</v>
      </c>
      <c r="H1342" s="8">
        <v>0.48</v>
      </c>
      <c r="I1342" s="4">
        <v>0</v>
      </c>
    </row>
    <row r="1343" spans="1:9" x14ac:dyDescent="0.2">
      <c r="A1343" s="2">
        <v>11</v>
      </c>
      <c r="B1343" s="1" t="s">
        <v>347</v>
      </c>
      <c r="C1343" s="4">
        <v>10</v>
      </c>
      <c r="D1343" s="8">
        <v>2.02</v>
      </c>
      <c r="E1343" s="4">
        <v>0</v>
      </c>
      <c r="F1343" s="8">
        <v>0</v>
      </c>
      <c r="G1343" s="4">
        <v>8</v>
      </c>
      <c r="H1343" s="8">
        <v>3.85</v>
      </c>
      <c r="I1343" s="4">
        <v>0</v>
      </c>
    </row>
    <row r="1344" spans="1:9" x14ac:dyDescent="0.2">
      <c r="A1344" s="2">
        <v>12</v>
      </c>
      <c r="B1344" s="1" t="s">
        <v>288</v>
      </c>
      <c r="C1344" s="4">
        <v>9</v>
      </c>
      <c r="D1344" s="8">
        <v>1.81</v>
      </c>
      <c r="E1344" s="4">
        <v>1</v>
      </c>
      <c r="F1344" s="8">
        <v>0.36</v>
      </c>
      <c r="G1344" s="4">
        <v>8</v>
      </c>
      <c r="H1344" s="8">
        <v>3.85</v>
      </c>
      <c r="I1344" s="4">
        <v>0</v>
      </c>
    </row>
    <row r="1345" spans="1:9" x14ac:dyDescent="0.2">
      <c r="A1345" s="2">
        <v>12</v>
      </c>
      <c r="B1345" s="1" t="s">
        <v>333</v>
      </c>
      <c r="C1345" s="4">
        <v>9</v>
      </c>
      <c r="D1345" s="8">
        <v>1.81</v>
      </c>
      <c r="E1345" s="4">
        <v>9</v>
      </c>
      <c r="F1345" s="8">
        <v>3.26</v>
      </c>
      <c r="G1345" s="4">
        <v>0</v>
      </c>
      <c r="H1345" s="8">
        <v>0</v>
      </c>
      <c r="I1345" s="4">
        <v>0</v>
      </c>
    </row>
    <row r="1346" spans="1:9" x14ac:dyDescent="0.2">
      <c r="A1346" s="2">
        <v>12</v>
      </c>
      <c r="B1346" s="1" t="s">
        <v>329</v>
      </c>
      <c r="C1346" s="4">
        <v>9</v>
      </c>
      <c r="D1346" s="8">
        <v>1.81</v>
      </c>
      <c r="E1346" s="4">
        <v>8</v>
      </c>
      <c r="F1346" s="8">
        <v>2.9</v>
      </c>
      <c r="G1346" s="4">
        <v>1</v>
      </c>
      <c r="H1346" s="8">
        <v>0.48</v>
      </c>
      <c r="I1346" s="4">
        <v>0</v>
      </c>
    </row>
    <row r="1347" spans="1:9" x14ac:dyDescent="0.2">
      <c r="A1347" s="2">
        <v>12</v>
      </c>
      <c r="B1347" s="1" t="s">
        <v>295</v>
      </c>
      <c r="C1347" s="4">
        <v>9</v>
      </c>
      <c r="D1347" s="8">
        <v>1.81</v>
      </c>
      <c r="E1347" s="4">
        <v>3</v>
      </c>
      <c r="F1347" s="8">
        <v>1.0900000000000001</v>
      </c>
      <c r="G1347" s="4">
        <v>6</v>
      </c>
      <c r="H1347" s="8">
        <v>2.88</v>
      </c>
      <c r="I1347" s="4">
        <v>0</v>
      </c>
    </row>
    <row r="1348" spans="1:9" x14ac:dyDescent="0.2">
      <c r="A1348" s="2">
        <v>16</v>
      </c>
      <c r="B1348" s="1" t="s">
        <v>290</v>
      </c>
      <c r="C1348" s="4">
        <v>8</v>
      </c>
      <c r="D1348" s="8">
        <v>1.61</v>
      </c>
      <c r="E1348" s="4">
        <v>1</v>
      </c>
      <c r="F1348" s="8">
        <v>0.36</v>
      </c>
      <c r="G1348" s="4">
        <v>7</v>
      </c>
      <c r="H1348" s="8">
        <v>3.37</v>
      </c>
      <c r="I1348" s="4">
        <v>0</v>
      </c>
    </row>
    <row r="1349" spans="1:9" x14ac:dyDescent="0.2">
      <c r="A1349" s="2">
        <v>16</v>
      </c>
      <c r="B1349" s="1" t="s">
        <v>324</v>
      </c>
      <c r="C1349" s="4">
        <v>8</v>
      </c>
      <c r="D1349" s="8">
        <v>1.61</v>
      </c>
      <c r="E1349" s="4">
        <v>4</v>
      </c>
      <c r="F1349" s="8">
        <v>1.45</v>
      </c>
      <c r="G1349" s="4">
        <v>4</v>
      </c>
      <c r="H1349" s="8">
        <v>1.92</v>
      </c>
      <c r="I1349" s="4">
        <v>0</v>
      </c>
    </row>
    <row r="1350" spans="1:9" x14ac:dyDescent="0.2">
      <c r="A1350" s="2">
        <v>16</v>
      </c>
      <c r="B1350" s="1" t="s">
        <v>380</v>
      </c>
      <c r="C1350" s="4">
        <v>8</v>
      </c>
      <c r="D1350" s="8">
        <v>1.61</v>
      </c>
      <c r="E1350" s="4">
        <v>5</v>
      </c>
      <c r="F1350" s="8">
        <v>1.81</v>
      </c>
      <c r="G1350" s="4">
        <v>3</v>
      </c>
      <c r="H1350" s="8">
        <v>1.44</v>
      </c>
      <c r="I1350" s="4">
        <v>0</v>
      </c>
    </row>
    <row r="1351" spans="1:9" x14ac:dyDescent="0.2">
      <c r="A1351" s="2">
        <v>16</v>
      </c>
      <c r="B1351" s="1" t="s">
        <v>339</v>
      </c>
      <c r="C1351" s="4">
        <v>8</v>
      </c>
      <c r="D1351" s="8">
        <v>1.61</v>
      </c>
      <c r="E1351" s="4">
        <v>5</v>
      </c>
      <c r="F1351" s="8">
        <v>1.81</v>
      </c>
      <c r="G1351" s="4">
        <v>3</v>
      </c>
      <c r="H1351" s="8">
        <v>1.44</v>
      </c>
      <c r="I1351" s="4">
        <v>0</v>
      </c>
    </row>
    <row r="1352" spans="1:9" x14ac:dyDescent="0.2">
      <c r="A1352" s="2">
        <v>20</v>
      </c>
      <c r="B1352" s="1" t="s">
        <v>350</v>
      </c>
      <c r="C1352" s="4">
        <v>7</v>
      </c>
      <c r="D1352" s="8">
        <v>1.41</v>
      </c>
      <c r="E1352" s="4">
        <v>1</v>
      </c>
      <c r="F1352" s="8">
        <v>0.36</v>
      </c>
      <c r="G1352" s="4">
        <v>6</v>
      </c>
      <c r="H1352" s="8">
        <v>2.88</v>
      </c>
      <c r="I1352" s="4">
        <v>0</v>
      </c>
    </row>
    <row r="1353" spans="1:9" x14ac:dyDescent="0.2">
      <c r="A1353" s="2">
        <v>20</v>
      </c>
      <c r="B1353" s="1" t="s">
        <v>293</v>
      </c>
      <c r="C1353" s="4">
        <v>7</v>
      </c>
      <c r="D1353" s="8">
        <v>1.41</v>
      </c>
      <c r="E1353" s="4">
        <v>2</v>
      </c>
      <c r="F1353" s="8">
        <v>0.72</v>
      </c>
      <c r="G1353" s="4">
        <v>5</v>
      </c>
      <c r="H1353" s="8">
        <v>2.4</v>
      </c>
      <c r="I1353" s="4">
        <v>0</v>
      </c>
    </row>
    <row r="1354" spans="1:9" x14ac:dyDescent="0.2">
      <c r="A1354" s="2">
        <v>20</v>
      </c>
      <c r="B1354" s="1" t="s">
        <v>330</v>
      </c>
      <c r="C1354" s="4">
        <v>7</v>
      </c>
      <c r="D1354" s="8">
        <v>1.41</v>
      </c>
      <c r="E1354" s="4">
        <v>1</v>
      </c>
      <c r="F1354" s="8">
        <v>0.36</v>
      </c>
      <c r="G1354" s="4">
        <v>6</v>
      </c>
      <c r="H1354" s="8">
        <v>2.88</v>
      </c>
      <c r="I1354" s="4">
        <v>0</v>
      </c>
    </row>
    <row r="1355" spans="1:9" x14ac:dyDescent="0.2">
      <c r="A1355" s="2">
        <v>20</v>
      </c>
      <c r="B1355" s="1" t="s">
        <v>334</v>
      </c>
      <c r="C1355" s="4">
        <v>7</v>
      </c>
      <c r="D1355" s="8">
        <v>1.41</v>
      </c>
      <c r="E1355" s="4">
        <v>7</v>
      </c>
      <c r="F1355" s="8">
        <v>2.54</v>
      </c>
      <c r="G1355" s="4">
        <v>0</v>
      </c>
      <c r="H1355" s="8">
        <v>0</v>
      </c>
      <c r="I1355" s="4">
        <v>0</v>
      </c>
    </row>
    <row r="1356" spans="1:9" x14ac:dyDescent="0.2">
      <c r="A1356" s="2">
        <v>20</v>
      </c>
      <c r="B1356" s="1" t="s">
        <v>305</v>
      </c>
      <c r="C1356" s="4">
        <v>7</v>
      </c>
      <c r="D1356" s="8">
        <v>1.41</v>
      </c>
      <c r="E1356" s="4">
        <v>7</v>
      </c>
      <c r="F1356" s="8">
        <v>2.54</v>
      </c>
      <c r="G1356" s="4">
        <v>0</v>
      </c>
      <c r="H1356" s="8">
        <v>0</v>
      </c>
      <c r="I1356" s="4">
        <v>0</v>
      </c>
    </row>
    <row r="1357" spans="1:9" x14ac:dyDescent="0.2">
      <c r="A1357" s="2">
        <v>20</v>
      </c>
      <c r="B1357" s="1" t="s">
        <v>306</v>
      </c>
      <c r="C1357" s="4">
        <v>7</v>
      </c>
      <c r="D1357" s="8">
        <v>1.41</v>
      </c>
      <c r="E1357" s="4">
        <v>7</v>
      </c>
      <c r="F1357" s="8">
        <v>2.54</v>
      </c>
      <c r="G1357" s="4">
        <v>0</v>
      </c>
      <c r="H1357" s="8">
        <v>0</v>
      </c>
      <c r="I1357" s="4">
        <v>0</v>
      </c>
    </row>
    <row r="1358" spans="1:9" x14ac:dyDescent="0.2">
      <c r="A1358" s="1"/>
      <c r="C1358" s="4"/>
      <c r="D1358" s="8"/>
      <c r="E1358" s="4"/>
      <c r="F1358" s="8"/>
      <c r="G1358" s="4"/>
      <c r="H1358" s="8"/>
      <c r="I1358" s="4"/>
    </row>
    <row r="1359" spans="1:9" x14ac:dyDescent="0.2">
      <c r="A1359" s="1" t="s">
        <v>55</v>
      </c>
      <c r="C1359" s="4"/>
      <c r="D1359" s="8"/>
      <c r="E1359" s="4"/>
      <c r="F1359" s="8"/>
      <c r="G1359" s="4"/>
      <c r="H1359" s="8"/>
      <c r="I1359" s="4"/>
    </row>
    <row r="1360" spans="1:9" x14ac:dyDescent="0.2">
      <c r="A1360" s="2">
        <v>1</v>
      </c>
      <c r="B1360" s="1" t="s">
        <v>304</v>
      </c>
      <c r="C1360" s="4">
        <v>28</v>
      </c>
      <c r="D1360" s="8">
        <v>5.62</v>
      </c>
      <c r="E1360" s="4">
        <v>28</v>
      </c>
      <c r="F1360" s="8">
        <v>10.65</v>
      </c>
      <c r="G1360" s="4">
        <v>0</v>
      </c>
      <c r="H1360" s="8">
        <v>0</v>
      </c>
      <c r="I1360" s="4">
        <v>0</v>
      </c>
    </row>
    <row r="1361" spans="1:9" x14ac:dyDescent="0.2">
      <c r="A1361" s="2">
        <v>2</v>
      </c>
      <c r="B1361" s="1" t="s">
        <v>301</v>
      </c>
      <c r="C1361" s="4">
        <v>23</v>
      </c>
      <c r="D1361" s="8">
        <v>4.62</v>
      </c>
      <c r="E1361" s="4">
        <v>21</v>
      </c>
      <c r="F1361" s="8">
        <v>7.98</v>
      </c>
      <c r="G1361" s="4">
        <v>2</v>
      </c>
      <c r="H1361" s="8">
        <v>0.93</v>
      </c>
      <c r="I1361" s="4">
        <v>0</v>
      </c>
    </row>
    <row r="1362" spans="1:9" x14ac:dyDescent="0.2">
      <c r="A1362" s="2">
        <v>3</v>
      </c>
      <c r="B1362" s="1" t="s">
        <v>297</v>
      </c>
      <c r="C1362" s="4">
        <v>20</v>
      </c>
      <c r="D1362" s="8">
        <v>4.0199999999999996</v>
      </c>
      <c r="E1362" s="4">
        <v>16</v>
      </c>
      <c r="F1362" s="8">
        <v>6.08</v>
      </c>
      <c r="G1362" s="4">
        <v>2</v>
      </c>
      <c r="H1362" s="8">
        <v>0.93</v>
      </c>
      <c r="I1362" s="4">
        <v>0</v>
      </c>
    </row>
    <row r="1363" spans="1:9" x14ac:dyDescent="0.2">
      <c r="A1363" s="2">
        <v>3</v>
      </c>
      <c r="B1363" s="1" t="s">
        <v>303</v>
      </c>
      <c r="C1363" s="4">
        <v>20</v>
      </c>
      <c r="D1363" s="8">
        <v>4.0199999999999996</v>
      </c>
      <c r="E1363" s="4">
        <v>19</v>
      </c>
      <c r="F1363" s="8">
        <v>7.22</v>
      </c>
      <c r="G1363" s="4">
        <v>1</v>
      </c>
      <c r="H1363" s="8">
        <v>0.46</v>
      </c>
      <c r="I1363" s="4">
        <v>0</v>
      </c>
    </row>
    <row r="1364" spans="1:9" x14ac:dyDescent="0.2">
      <c r="A1364" s="2">
        <v>5</v>
      </c>
      <c r="B1364" s="1" t="s">
        <v>288</v>
      </c>
      <c r="C1364" s="4">
        <v>12</v>
      </c>
      <c r="D1364" s="8">
        <v>2.41</v>
      </c>
      <c r="E1364" s="4">
        <v>3</v>
      </c>
      <c r="F1364" s="8">
        <v>1.1399999999999999</v>
      </c>
      <c r="G1364" s="4">
        <v>9</v>
      </c>
      <c r="H1364" s="8">
        <v>4.17</v>
      </c>
      <c r="I1364" s="4">
        <v>0</v>
      </c>
    </row>
    <row r="1365" spans="1:9" x14ac:dyDescent="0.2">
      <c r="A1365" s="2">
        <v>5</v>
      </c>
      <c r="B1365" s="1" t="s">
        <v>292</v>
      </c>
      <c r="C1365" s="4">
        <v>12</v>
      </c>
      <c r="D1365" s="8">
        <v>2.41</v>
      </c>
      <c r="E1365" s="4">
        <v>10</v>
      </c>
      <c r="F1365" s="8">
        <v>3.8</v>
      </c>
      <c r="G1365" s="4">
        <v>2</v>
      </c>
      <c r="H1365" s="8">
        <v>0.93</v>
      </c>
      <c r="I1365" s="4">
        <v>0</v>
      </c>
    </row>
    <row r="1366" spans="1:9" x14ac:dyDescent="0.2">
      <c r="A1366" s="2">
        <v>5</v>
      </c>
      <c r="B1366" s="1" t="s">
        <v>339</v>
      </c>
      <c r="C1366" s="4">
        <v>12</v>
      </c>
      <c r="D1366" s="8">
        <v>2.41</v>
      </c>
      <c r="E1366" s="4">
        <v>7</v>
      </c>
      <c r="F1366" s="8">
        <v>2.66</v>
      </c>
      <c r="G1366" s="4">
        <v>5</v>
      </c>
      <c r="H1366" s="8">
        <v>2.31</v>
      </c>
      <c r="I1366" s="4">
        <v>0</v>
      </c>
    </row>
    <row r="1367" spans="1:9" x14ac:dyDescent="0.2">
      <c r="A1367" s="2">
        <v>5</v>
      </c>
      <c r="B1367" s="1" t="s">
        <v>300</v>
      </c>
      <c r="C1367" s="4">
        <v>12</v>
      </c>
      <c r="D1367" s="8">
        <v>2.41</v>
      </c>
      <c r="E1367" s="4">
        <v>8</v>
      </c>
      <c r="F1367" s="8">
        <v>3.04</v>
      </c>
      <c r="G1367" s="4">
        <v>4</v>
      </c>
      <c r="H1367" s="8">
        <v>1.85</v>
      </c>
      <c r="I1367" s="4">
        <v>0</v>
      </c>
    </row>
    <row r="1368" spans="1:9" x14ac:dyDescent="0.2">
      <c r="A1368" s="2">
        <v>9</v>
      </c>
      <c r="B1368" s="1" t="s">
        <v>299</v>
      </c>
      <c r="C1368" s="4">
        <v>11</v>
      </c>
      <c r="D1368" s="8">
        <v>2.21</v>
      </c>
      <c r="E1368" s="4">
        <v>10</v>
      </c>
      <c r="F1368" s="8">
        <v>3.8</v>
      </c>
      <c r="G1368" s="4">
        <v>1</v>
      </c>
      <c r="H1368" s="8">
        <v>0.46</v>
      </c>
      <c r="I1368" s="4">
        <v>0</v>
      </c>
    </row>
    <row r="1369" spans="1:9" x14ac:dyDescent="0.2">
      <c r="A1369" s="2">
        <v>10</v>
      </c>
      <c r="B1369" s="1" t="s">
        <v>289</v>
      </c>
      <c r="C1369" s="4">
        <v>10</v>
      </c>
      <c r="D1369" s="8">
        <v>2.0099999999999998</v>
      </c>
      <c r="E1369" s="4">
        <v>4</v>
      </c>
      <c r="F1369" s="8">
        <v>1.52</v>
      </c>
      <c r="G1369" s="4">
        <v>6</v>
      </c>
      <c r="H1369" s="8">
        <v>2.78</v>
      </c>
      <c r="I1369" s="4">
        <v>0</v>
      </c>
    </row>
    <row r="1370" spans="1:9" x14ac:dyDescent="0.2">
      <c r="A1370" s="2">
        <v>10</v>
      </c>
      <c r="B1370" s="1" t="s">
        <v>328</v>
      </c>
      <c r="C1370" s="4">
        <v>10</v>
      </c>
      <c r="D1370" s="8">
        <v>2.0099999999999998</v>
      </c>
      <c r="E1370" s="4">
        <v>4</v>
      </c>
      <c r="F1370" s="8">
        <v>1.52</v>
      </c>
      <c r="G1370" s="4">
        <v>6</v>
      </c>
      <c r="H1370" s="8">
        <v>2.78</v>
      </c>
      <c r="I1370" s="4">
        <v>0</v>
      </c>
    </row>
    <row r="1371" spans="1:9" x14ac:dyDescent="0.2">
      <c r="A1371" s="2">
        <v>10</v>
      </c>
      <c r="B1371" s="1" t="s">
        <v>290</v>
      </c>
      <c r="C1371" s="4">
        <v>10</v>
      </c>
      <c r="D1371" s="8">
        <v>2.0099999999999998</v>
      </c>
      <c r="E1371" s="4">
        <v>2</v>
      </c>
      <c r="F1371" s="8">
        <v>0.76</v>
      </c>
      <c r="G1371" s="4">
        <v>8</v>
      </c>
      <c r="H1371" s="8">
        <v>3.7</v>
      </c>
      <c r="I1371" s="4">
        <v>0</v>
      </c>
    </row>
    <row r="1372" spans="1:9" x14ac:dyDescent="0.2">
      <c r="A1372" s="2">
        <v>10</v>
      </c>
      <c r="B1372" s="1" t="s">
        <v>293</v>
      </c>
      <c r="C1372" s="4">
        <v>10</v>
      </c>
      <c r="D1372" s="8">
        <v>2.0099999999999998</v>
      </c>
      <c r="E1372" s="4">
        <v>2</v>
      </c>
      <c r="F1372" s="8">
        <v>0.76</v>
      </c>
      <c r="G1372" s="4">
        <v>8</v>
      </c>
      <c r="H1372" s="8">
        <v>3.7</v>
      </c>
      <c r="I1372" s="4">
        <v>0</v>
      </c>
    </row>
    <row r="1373" spans="1:9" x14ac:dyDescent="0.2">
      <c r="A1373" s="2">
        <v>14</v>
      </c>
      <c r="B1373" s="1" t="s">
        <v>329</v>
      </c>
      <c r="C1373" s="4">
        <v>9</v>
      </c>
      <c r="D1373" s="8">
        <v>1.81</v>
      </c>
      <c r="E1373" s="4">
        <v>7</v>
      </c>
      <c r="F1373" s="8">
        <v>2.66</v>
      </c>
      <c r="G1373" s="4">
        <v>2</v>
      </c>
      <c r="H1373" s="8">
        <v>0.93</v>
      </c>
      <c r="I1373" s="4">
        <v>0</v>
      </c>
    </row>
    <row r="1374" spans="1:9" x14ac:dyDescent="0.2">
      <c r="A1374" s="2">
        <v>14</v>
      </c>
      <c r="B1374" s="1" t="s">
        <v>295</v>
      </c>
      <c r="C1374" s="4">
        <v>9</v>
      </c>
      <c r="D1374" s="8">
        <v>1.81</v>
      </c>
      <c r="E1374" s="4">
        <v>3</v>
      </c>
      <c r="F1374" s="8">
        <v>1.1399999999999999</v>
      </c>
      <c r="G1374" s="4">
        <v>6</v>
      </c>
      <c r="H1374" s="8">
        <v>2.78</v>
      </c>
      <c r="I1374" s="4">
        <v>0</v>
      </c>
    </row>
    <row r="1375" spans="1:9" x14ac:dyDescent="0.2">
      <c r="A1375" s="2">
        <v>14</v>
      </c>
      <c r="B1375" s="1" t="s">
        <v>307</v>
      </c>
      <c r="C1375" s="4">
        <v>9</v>
      </c>
      <c r="D1375" s="8">
        <v>1.81</v>
      </c>
      <c r="E1375" s="4">
        <v>7</v>
      </c>
      <c r="F1375" s="8">
        <v>2.66</v>
      </c>
      <c r="G1375" s="4">
        <v>2</v>
      </c>
      <c r="H1375" s="8">
        <v>0.93</v>
      </c>
      <c r="I1375" s="4">
        <v>0</v>
      </c>
    </row>
    <row r="1376" spans="1:9" x14ac:dyDescent="0.2">
      <c r="A1376" s="2">
        <v>17</v>
      </c>
      <c r="B1376" s="1" t="s">
        <v>335</v>
      </c>
      <c r="C1376" s="4">
        <v>8</v>
      </c>
      <c r="D1376" s="8">
        <v>1.61</v>
      </c>
      <c r="E1376" s="4">
        <v>4</v>
      </c>
      <c r="F1376" s="8">
        <v>1.52</v>
      </c>
      <c r="G1376" s="4">
        <v>4</v>
      </c>
      <c r="H1376" s="8">
        <v>1.85</v>
      </c>
      <c r="I1376" s="4">
        <v>0</v>
      </c>
    </row>
    <row r="1377" spans="1:9" x14ac:dyDescent="0.2">
      <c r="A1377" s="2">
        <v>18</v>
      </c>
      <c r="B1377" s="1" t="s">
        <v>333</v>
      </c>
      <c r="C1377" s="4">
        <v>7</v>
      </c>
      <c r="D1377" s="8">
        <v>1.41</v>
      </c>
      <c r="E1377" s="4">
        <v>2</v>
      </c>
      <c r="F1377" s="8">
        <v>0.76</v>
      </c>
      <c r="G1377" s="4">
        <v>5</v>
      </c>
      <c r="H1377" s="8">
        <v>2.31</v>
      </c>
      <c r="I1377" s="4">
        <v>0</v>
      </c>
    </row>
    <row r="1378" spans="1:9" x14ac:dyDescent="0.2">
      <c r="A1378" s="2">
        <v>18</v>
      </c>
      <c r="B1378" s="1" t="s">
        <v>332</v>
      </c>
      <c r="C1378" s="4">
        <v>7</v>
      </c>
      <c r="D1378" s="8">
        <v>1.41</v>
      </c>
      <c r="E1378" s="4">
        <v>5</v>
      </c>
      <c r="F1378" s="8">
        <v>1.9</v>
      </c>
      <c r="G1378" s="4">
        <v>2</v>
      </c>
      <c r="H1378" s="8">
        <v>0.93</v>
      </c>
      <c r="I1378" s="4">
        <v>0</v>
      </c>
    </row>
    <row r="1379" spans="1:9" x14ac:dyDescent="0.2">
      <c r="A1379" s="2">
        <v>18</v>
      </c>
      <c r="B1379" s="1" t="s">
        <v>302</v>
      </c>
      <c r="C1379" s="4">
        <v>7</v>
      </c>
      <c r="D1379" s="8">
        <v>1.41</v>
      </c>
      <c r="E1379" s="4">
        <v>7</v>
      </c>
      <c r="F1379" s="8">
        <v>2.66</v>
      </c>
      <c r="G1379" s="4">
        <v>0</v>
      </c>
      <c r="H1379" s="8">
        <v>0</v>
      </c>
      <c r="I1379" s="4">
        <v>0</v>
      </c>
    </row>
    <row r="1380" spans="1:9" x14ac:dyDescent="0.2">
      <c r="A1380" s="1"/>
      <c r="C1380" s="4"/>
      <c r="D1380" s="8"/>
      <c r="E1380" s="4"/>
      <c r="F1380" s="8"/>
      <c r="G1380" s="4"/>
      <c r="H1380" s="8"/>
      <c r="I1380" s="4"/>
    </row>
    <row r="1381" spans="1:9" x14ac:dyDescent="0.2">
      <c r="A1381" s="1" t="s">
        <v>56</v>
      </c>
      <c r="C1381" s="4"/>
      <c r="D1381" s="8"/>
      <c r="E1381" s="4"/>
      <c r="F1381" s="8"/>
      <c r="G1381" s="4"/>
      <c r="H1381" s="8"/>
      <c r="I1381" s="4"/>
    </row>
    <row r="1382" spans="1:9" x14ac:dyDescent="0.2">
      <c r="A1382" s="2">
        <v>1</v>
      </c>
      <c r="B1382" s="1" t="s">
        <v>304</v>
      </c>
      <c r="C1382" s="4">
        <v>10</v>
      </c>
      <c r="D1382" s="8">
        <v>5.71</v>
      </c>
      <c r="E1382" s="4">
        <v>9</v>
      </c>
      <c r="F1382" s="8">
        <v>10.59</v>
      </c>
      <c r="G1382" s="4">
        <v>1</v>
      </c>
      <c r="H1382" s="8">
        <v>1.23</v>
      </c>
      <c r="I1382" s="4">
        <v>0</v>
      </c>
    </row>
    <row r="1383" spans="1:9" x14ac:dyDescent="0.2">
      <c r="A1383" s="2">
        <v>2</v>
      </c>
      <c r="B1383" s="1" t="s">
        <v>300</v>
      </c>
      <c r="C1383" s="4">
        <v>7</v>
      </c>
      <c r="D1383" s="8">
        <v>4</v>
      </c>
      <c r="E1383" s="4">
        <v>7</v>
      </c>
      <c r="F1383" s="8">
        <v>8.24</v>
      </c>
      <c r="G1383" s="4">
        <v>0</v>
      </c>
      <c r="H1383" s="8">
        <v>0</v>
      </c>
      <c r="I1383" s="4">
        <v>0</v>
      </c>
    </row>
    <row r="1384" spans="1:9" x14ac:dyDescent="0.2">
      <c r="A1384" s="2">
        <v>3</v>
      </c>
      <c r="B1384" s="1" t="s">
        <v>303</v>
      </c>
      <c r="C1384" s="4">
        <v>6</v>
      </c>
      <c r="D1384" s="8">
        <v>3.43</v>
      </c>
      <c r="E1384" s="4">
        <v>6</v>
      </c>
      <c r="F1384" s="8">
        <v>7.06</v>
      </c>
      <c r="G1384" s="4">
        <v>0</v>
      </c>
      <c r="H1384" s="8">
        <v>0</v>
      </c>
      <c r="I1384" s="4">
        <v>0</v>
      </c>
    </row>
    <row r="1385" spans="1:9" x14ac:dyDescent="0.2">
      <c r="A1385" s="2">
        <v>4</v>
      </c>
      <c r="B1385" s="1" t="s">
        <v>290</v>
      </c>
      <c r="C1385" s="4">
        <v>5</v>
      </c>
      <c r="D1385" s="8">
        <v>2.86</v>
      </c>
      <c r="E1385" s="4">
        <v>1</v>
      </c>
      <c r="F1385" s="8">
        <v>1.18</v>
      </c>
      <c r="G1385" s="4">
        <v>4</v>
      </c>
      <c r="H1385" s="8">
        <v>4.9400000000000004</v>
      </c>
      <c r="I1385" s="4">
        <v>0</v>
      </c>
    </row>
    <row r="1386" spans="1:9" x14ac:dyDescent="0.2">
      <c r="A1386" s="2">
        <v>4</v>
      </c>
      <c r="B1386" s="1" t="s">
        <v>292</v>
      </c>
      <c r="C1386" s="4">
        <v>5</v>
      </c>
      <c r="D1386" s="8">
        <v>2.86</v>
      </c>
      <c r="E1386" s="4">
        <v>5</v>
      </c>
      <c r="F1386" s="8">
        <v>5.88</v>
      </c>
      <c r="G1386" s="4">
        <v>0</v>
      </c>
      <c r="H1386" s="8">
        <v>0</v>
      </c>
      <c r="I1386" s="4">
        <v>0</v>
      </c>
    </row>
    <row r="1387" spans="1:9" x14ac:dyDescent="0.2">
      <c r="A1387" s="2">
        <v>4</v>
      </c>
      <c r="B1387" s="1" t="s">
        <v>299</v>
      </c>
      <c r="C1387" s="4">
        <v>5</v>
      </c>
      <c r="D1387" s="8">
        <v>2.86</v>
      </c>
      <c r="E1387" s="4">
        <v>4</v>
      </c>
      <c r="F1387" s="8">
        <v>4.71</v>
      </c>
      <c r="G1387" s="4">
        <v>1</v>
      </c>
      <c r="H1387" s="8">
        <v>1.23</v>
      </c>
      <c r="I1387" s="4">
        <v>0</v>
      </c>
    </row>
    <row r="1388" spans="1:9" x14ac:dyDescent="0.2">
      <c r="A1388" s="2">
        <v>7</v>
      </c>
      <c r="B1388" s="1" t="s">
        <v>333</v>
      </c>
      <c r="C1388" s="4">
        <v>4</v>
      </c>
      <c r="D1388" s="8">
        <v>2.29</v>
      </c>
      <c r="E1388" s="4">
        <v>2</v>
      </c>
      <c r="F1388" s="8">
        <v>2.35</v>
      </c>
      <c r="G1388" s="4">
        <v>2</v>
      </c>
      <c r="H1388" s="8">
        <v>2.4700000000000002</v>
      </c>
      <c r="I1388" s="4">
        <v>0</v>
      </c>
    </row>
    <row r="1389" spans="1:9" x14ac:dyDescent="0.2">
      <c r="A1389" s="2">
        <v>7</v>
      </c>
      <c r="B1389" s="1" t="s">
        <v>330</v>
      </c>
      <c r="C1389" s="4">
        <v>4</v>
      </c>
      <c r="D1389" s="8">
        <v>2.29</v>
      </c>
      <c r="E1389" s="4">
        <v>0</v>
      </c>
      <c r="F1389" s="8">
        <v>0</v>
      </c>
      <c r="G1389" s="4">
        <v>4</v>
      </c>
      <c r="H1389" s="8">
        <v>4.9400000000000004</v>
      </c>
      <c r="I1389" s="4">
        <v>0</v>
      </c>
    </row>
    <row r="1390" spans="1:9" x14ac:dyDescent="0.2">
      <c r="A1390" s="2">
        <v>7</v>
      </c>
      <c r="B1390" s="1" t="s">
        <v>337</v>
      </c>
      <c r="C1390" s="4">
        <v>4</v>
      </c>
      <c r="D1390" s="8">
        <v>2.29</v>
      </c>
      <c r="E1390" s="4">
        <v>4</v>
      </c>
      <c r="F1390" s="8">
        <v>4.71</v>
      </c>
      <c r="G1390" s="4">
        <v>0</v>
      </c>
      <c r="H1390" s="8">
        <v>0</v>
      </c>
      <c r="I1390" s="4">
        <v>0</v>
      </c>
    </row>
    <row r="1391" spans="1:9" x14ac:dyDescent="0.2">
      <c r="A1391" s="2">
        <v>7</v>
      </c>
      <c r="B1391" s="1" t="s">
        <v>339</v>
      </c>
      <c r="C1391" s="4">
        <v>4</v>
      </c>
      <c r="D1391" s="8">
        <v>2.29</v>
      </c>
      <c r="E1391" s="4">
        <v>4</v>
      </c>
      <c r="F1391" s="8">
        <v>4.71</v>
      </c>
      <c r="G1391" s="4">
        <v>0</v>
      </c>
      <c r="H1391" s="8">
        <v>0</v>
      </c>
      <c r="I1391" s="4">
        <v>0</v>
      </c>
    </row>
    <row r="1392" spans="1:9" x14ac:dyDescent="0.2">
      <c r="A1392" s="2">
        <v>7</v>
      </c>
      <c r="B1392" s="1" t="s">
        <v>301</v>
      </c>
      <c r="C1392" s="4">
        <v>4</v>
      </c>
      <c r="D1392" s="8">
        <v>2.29</v>
      </c>
      <c r="E1392" s="4">
        <v>4</v>
      </c>
      <c r="F1392" s="8">
        <v>4.71</v>
      </c>
      <c r="G1392" s="4">
        <v>0</v>
      </c>
      <c r="H1392" s="8">
        <v>0</v>
      </c>
      <c r="I1392" s="4">
        <v>0</v>
      </c>
    </row>
    <row r="1393" spans="1:9" x14ac:dyDescent="0.2">
      <c r="A1393" s="2">
        <v>7</v>
      </c>
      <c r="B1393" s="1" t="s">
        <v>302</v>
      </c>
      <c r="C1393" s="4">
        <v>4</v>
      </c>
      <c r="D1393" s="8">
        <v>2.29</v>
      </c>
      <c r="E1393" s="4">
        <v>3</v>
      </c>
      <c r="F1393" s="8">
        <v>3.53</v>
      </c>
      <c r="G1393" s="4">
        <v>1</v>
      </c>
      <c r="H1393" s="8">
        <v>1.23</v>
      </c>
      <c r="I1393" s="4">
        <v>0</v>
      </c>
    </row>
    <row r="1394" spans="1:9" x14ac:dyDescent="0.2">
      <c r="A1394" s="2">
        <v>13</v>
      </c>
      <c r="B1394" s="1" t="s">
        <v>319</v>
      </c>
      <c r="C1394" s="4">
        <v>3</v>
      </c>
      <c r="D1394" s="8">
        <v>1.71</v>
      </c>
      <c r="E1394" s="4">
        <v>0</v>
      </c>
      <c r="F1394" s="8">
        <v>0</v>
      </c>
      <c r="G1394" s="4">
        <v>3</v>
      </c>
      <c r="H1394" s="8">
        <v>3.7</v>
      </c>
      <c r="I1394" s="4">
        <v>0</v>
      </c>
    </row>
    <row r="1395" spans="1:9" x14ac:dyDescent="0.2">
      <c r="A1395" s="2">
        <v>13</v>
      </c>
      <c r="B1395" s="1" t="s">
        <v>342</v>
      </c>
      <c r="C1395" s="4">
        <v>3</v>
      </c>
      <c r="D1395" s="8">
        <v>1.71</v>
      </c>
      <c r="E1395" s="4">
        <v>0</v>
      </c>
      <c r="F1395" s="8">
        <v>0</v>
      </c>
      <c r="G1395" s="4">
        <v>3</v>
      </c>
      <c r="H1395" s="8">
        <v>3.7</v>
      </c>
      <c r="I1395" s="4">
        <v>0</v>
      </c>
    </row>
    <row r="1396" spans="1:9" x14ac:dyDescent="0.2">
      <c r="A1396" s="2">
        <v>13</v>
      </c>
      <c r="B1396" s="1" t="s">
        <v>380</v>
      </c>
      <c r="C1396" s="4">
        <v>3</v>
      </c>
      <c r="D1396" s="8">
        <v>1.71</v>
      </c>
      <c r="E1396" s="4">
        <v>1</v>
      </c>
      <c r="F1396" s="8">
        <v>1.18</v>
      </c>
      <c r="G1396" s="4">
        <v>2</v>
      </c>
      <c r="H1396" s="8">
        <v>2.4700000000000002</v>
      </c>
      <c r="I1396" s="4">
        <v>0</v>
      </c>
    </row>
    <row r="1397" spans="1:9" x14ac:dyDescent="0.2">
      <c r="A1397" s="2">
        <v>13</v>
      </c>
      <c r="B1397" s="1" t="s">
        <v>334</v>
      </c>
      <c r="C1397" s="4">
        <v>3</v>
      </c>
      <c r="D1397" s="8">
        <v>1.71</v>
      </c>
      <c r="E1397" s="4">
        <v>1</v>
      </c>
      <c r="F1397" s="8">
        <v>1.18</v>
      </c>
      <c r="G1397" s="4">
        <v>2</v>
      </c>
      <c r="H1397" s="8">
        <v>2.4700000000000002</v>
      </c>
      <c r="I1397" s="4">
        <v>0</v>
      </c>
    </row>
    <row r="1398" spans="1:9" x14ac:dyDescent="0.2">
      <c r="A1398" s="2">
        <v>13</v>
      </c>
      <c r="B1398" s="1" t="s">
        <v>325</v>
      </c>
      <c r="C1398" s="4">
        <v>3</v>
      </c>
      <c r="D1398" s="8">
        <v>1.71</v>
      </c>
      <c r="E1398" s="4">
        <v>1</v>
      </c>
      <c r="F1398" s="8">
        <v>1.18</v>
      </c>
      <c r="G1398" s="4">
        <v>1</v>
      </c>
      <c r="H1398" s="8">
        <v>1.23</v>
      </c>
      <c r="I1398" s="4">
        <v>0</v>
      </c>
    </row>
    <row r="1399" spans="1:9" x14ac:dyDescent="0.2">
      <c r="A1399" s="2">
        <v>13</v>
      </c>
      <c r="B1399" s="1" t="s">
        <v>340</v>
      </c>
      <c r="C1399" s="4">
        <v>3</v>
      </c>
      <c r="D1399" s="8">
        <v>1.71</v>
      </c>
      <c r="E1399" s="4">
        <v>0</v>
      </c>
      <c r="F1399" s="8">
        <v>0</v>
      </c>
      <c r="G1399" s="4">
        <v>0</v>
      </c>
      <c r="H1399" s="8">
        <v>0</v>
      </c>
      <c r="I1399" s="4">
        <v>0</v>
      </c>
    </row>
    <row r="1400" spans="1:9" x14ac:dyDescent="0.2">
      <c r="A1400" s="2">
        <v>13</v>
      </c>
      <c r="B1400" s="1" t="s">
        <v>306</v>
      </c>
      <c r="C1400" s="4">
        <v>3</v>
      </c>
      <c r="D1400" s="8">
        <v>1.71</v>
      </c>
      <c r="E1400" s="4">
        <v>3</v>
      </c>
      <c r="F1400" s="8">
        <v>3.53</v>
      </c>
      <c r="G1400" s="4">
        <v>0</v>
      </c>
      <c r="H1400" s="8">
        <v>0</v>
      </c>
      <c r="I1400" s="4">
        <v>0</v>
      </c>
    </row>
    <row r="1401" spans="1:9" x14ac:dyDescent="0.2">
      <c r="A1401" s="2">
        <v>13</v>
      </c>
      <c r="B1401" s="1" t="s">
        <v>307</v>
      </c>
      <c r="C1401" s="4">
        <v>3</v>
      </c>
      <c r="D1401" s="8">
        <v>1.71</v>
      </c>
      <c r="E1401" s="4">
        <v>0</v>
      </c>
      <c r="F1401" s="8">
        <v>0</v>
      </c>
      <c r="G1401" s="4">
        <v>3</v>
      </c>
      <c r="H1401" s="8">
        <v>3.7</v>
      </c>
      <c r="I1401" s="4">
        <v>0</v>
      </c>
    </row>
    <row r="1402" spans="1:9" x14ac:dyDescent="0.2">
      <c r="A1402" s="2">
        <v>13</v>
      </c>
      <c r="B1402" s="1" t="s">
        <v>392</v>
      </c>
      <c r="C1402" s="4">
        <v>3</v>
      </c>
      <c r="D1402" s="8">
        <v>1.71</v>
      </c>
      <c r="E1402" s="4">
        <v>1</v>
      </c>
      <c r="F1402" s="8">
        <v>1.18</v>
      </c>
      <c r="G1402" s="4">
        <v>2</v>
      </c>
      <c r="H1402" s="8">
        <v>2.4700000000000002</v>
      </c>
      <c r="I1402" s="4">
        <v>0</v>
      </c>
    </row>
    <row r="1403" spans="1:9" x14ac:dyDescent="0.2">
      <c r="A1403" s="1"/>
      <c r="C1403" s="4"/>
      <c r="D1403" s="8"/>
      <c r="E1403" s="4"/>
      <c r="F1403" s="8"/>
      <c r="G1403" s="4"/>
      <c r="H1403" s="8"/>
      <c r="I1403" s="4"/>
    </row>
    <row r="1404" spans="1:9" x14ac:dyDescent="0.2">
      <c r="A1404" s="1" t="s">
        <v>57</v>
      </c>
      <c r="C1404" s="4"/>
      <c r="D1404" s="8"/>
      <c r="E1404" s="4"/>
      <c r="F1404" s="8"/>
      <c r="G1404" s="4"/>
      <c r="H1404" s="8"/>
      <c r="I1404" s="4"/>
    </row>
    <row r="1405" spans="1:9" x14ac:dyDescent="0.2">
      <c r="A1405" s="2">
        <v>1</v>
      </c>
      <c r="B1405" s="1" t="s">
        <v>304</v>
      </c>
      <c r="C1405" s="4">
        <v>17</v>
      </c>
      <c r="D1405" s="8">
        <v>6.07</v>
      </c>
      <c r="E1405" s="4">
        <v>16</v>
      </c>
      <c r="F1405" s="8">
        <v>11.27</v>
      </c>
      <c r="G1405" s="4">
        <v>1</v>
      </c>
      <c r="H1405" s="8">
        <v>0.83</v>
      </c>
      <c r="I1405" s="4">
        <v>0</v>
      </c>
    </row>
    <row r="1406" spans="1:9" x14ac:dyDescent="0.2">
      <c r="A1406" s="2">
        <v>2</v>
      </c>
      <c r="B1406" s="1" t="s">
        <v>301</v>
      </c>
      <c r="C1406" s="4">
        <v>13</v>
      </c>
      <c r="D1406" s="8">
        <v>4.6399999999999997</v>
      </c>
      <c r="E1406" s="4">
        <v>13</v>
      </c>
      <c r="F1406" s="8">
        <v>9.15</v>
      </c>
      <c r="G1406" s="4">
        <v>0</v>
      </c>
      <c r="H1406" s="8">
        <v>0</v>
      </c>
      <c r="I1406" s="4">
        <v>0</v>
      </c>
    </row>
    <row r="1407" spans="1:9" x14ac:dyDescent="0.2">
      <c r="A1407" s="2">
        <v>3</v>
      </c>
      <c r="B1407" s="1" t="s">
        <v>295</v>
      </c>
      <c r="C1407" s="4">
        <v>11</v>
      </c>
      <c r="D1407" s="8">
        <v>3.93</v>
      </c>
      <c r="E1407" s="4">
        <v>3</v>
      </c>
      <c r="F1407" s="8">
        <v>2.11</v>
      </c>
      <c r="G1407" s="4">
        <v>7</v>
      </c>
      <c r="H1407" s="8">
        <v>5.79</v>
      </c>
      <c r="I1407" s="4">
        <v>1</v>
      </c>
    </row>
    <row r="1408" spans="1:9" x14ac:dyDescent="0.2">
      <c r="A1408" s="2">
        <v>4</v>
      </c>
      <c r="B1408" s="1" t="s">
        <v>300</v>
      </c>
      <c r="C1408" s="4">
        <v>10</v>
      </c>
      <c r="D1408" s="8">
        <v>3.57</v>
      </c>
      <c r="E1408" s="4">
        <v>8</v>
      </c>
      <c r="F1408" s="8">
        <v>5.63</v>
      </c>
      <c r="G1408" s="4">
        <v>2</v>
      </c>
      <c r="H1408" s="8">
        <v>1.65</v>
      </c>
      <c r="I1408" s="4">
        <v>0</v>
      </c>
    </row>
    <row r="1409" spans="1:9" x14ac:dyDescent="0.2">
      <c r="A1409" s="2">
        <v>4</v>
      </c>
      <c r="B1409" s="1" t="s">
        <v>303</v>
      </c>
      <c r="C1409" s="4">
        <v>10</v>
      </c>
      <c r="D1409" s="8">
        <v>3.57</v>
      </c>
      <c r="E1409" s="4">
        <v>10</v>
      </c>
      <c r="F1409" s="8">
        <v>7.04</v>
      </c>
      <c r="G1409" s="4">
        <v>0</v>
      </c>
      <c r="H1409" s="8">
        <v>0</v>
      </c>
      <c r="I1409" s="4">
        <v>0</v>
      </c>
    </row>
    <row r="1410" spans="1:9" x14ac:dyDescent="0.2">
      <c r="A1410" s="2">
        <v>6</v>
      </c>
      <c r="B1410" s="1" t="s">
        <v>297</v>
      </c>
      <c r="C1410" s="4">
        <v>9</v>
      </c>
      <c r="D1410" s="8">
        <v>3.21</v>
      </c>
      <c r="E1410" s="4">
        <v>4</v>
      </c>
      <c r="F1410" s="8">
        <v>2.82</v>
      </c>
      <c r="G1410" s="4">
        <v>4</v>
      </c>
      <c r="H1410" s="8">
        <v>3.31</v>
      </c>
      <c r="I1410" s="4">
        <v>0</v>
      </c>
    </row>
    <row r="1411" spans="1:9" x14ac:dyDescent="0.2">
      <c r="A1411" s="2">
        <v>7</v>
      </c>
      <c r="B1411" s="1" t="s">
        <v>328</v>
      </c>
      <c r="C1411" s="4">
        <v>8</v>
      </c>
      <c r="D1411" s="8">
        <v>2.86</v>
      </c>
      <c r="E1411" s="4">
        <v>4</v>
      </c>
      <c r="F1411" s="8">
        <v>2.82</v>
      </c>
      <c r="G1411" s="4">
        <v>4</v>
      </c>
      <c r="H1411" s="8">
        <v>3.31</v>
      </c>
      <c r="I1411" s="4">
        <v>0</v>
      </c>
    </row>
    <row r="1412" spans="1:9" x14ac:dyDescent="0.2">
      <c r="A1412" s="2">
        <v>7</v>
      </c>
      <c r="B1412" s="1" t="s">
        <v>290</v>
      </c>
      <c r="C1412" s="4">
        <v>8</v>
      </c>
      <c r="D1412" s="8">
        <v>2.86</v>
      </c>
      <c r="E1412" s="4">
        <v>3</v>
      </c>
      <c r="F1412" s="8">
        <v>2.11</v>
      </c>
      <c r="G1412" s="4">
        <v>5</v>
      </c>
      <c r="H1412" s="8">
        <v>4.13</v>
      </c>
      <c r="I1412" s="4">
        <v>0</v>
      </c>
    </row>
    <row r="1413" spans="1:9" x14ac:dyDescent="0.2">
      <c r="A1413" s="2">
        <v>9</v>
      </c>
      <c r="B1413" s="1" t="s">
        <v>333</v>
      </c>
      <c r="C1413" s="4">
        <v>7</v>
      </c>
      <c r="D1413" s="8">
        <v>2.5</v>
      </c>
      <c r="E1413" s="4">
        <v>4</v>
      </c>
      <c r="F1413" s="8">
        <v>2.82</v>
      </c>
      <c r="G1413" s="4">
        <v>3</v>
      </c>
      <c r="H1413" s="8">
        <v>2.48</v>
      </c>
      <c r="I1413" s="4">
        <v>0</v>
      </c>
    </row>
    <row r="1414" spans="1:9" x14ac:dyDescent="0.2">
      <c r="A1414" s="2">
        <v>9</v>
      </c>
      <c r="B1414" s="1" t="s">
        <v>299</v>
      </c>
      <c r="C1414" s="4">
        <v>7</v>
      </c>
      <c r="D1414" s="8">
        <v>2.5</v>
      </c>
      <c r="E1414" s="4">
        <v>6</v>
      </c>
      <c r="F1414" s="8">
        <v>4.2300000000000004</v>
      </c>
      <c r="G1414" s="4">
        <v>1</v>
      </c>
      <c r="H1414" s="8">
        <v>0.83</v>
      </c>
      <c r="I1414" s="4">
        <v>0</v>
      </c>
    </row>
    <row r="1415" spans="1:9" x14ac:dyDescent="0.2">
      <c r="A1415" s="2">
        <v>11</v>
      </c>
      <c r="B1415" s="1" t="s">
        <v>325</v>
      </c>
      <c r="C1415" s="4">
        <v>6</v>
      </c>
      <c r="D1415" s="8">
        <v>2.14</v>
      </c>
      <c r="E1415" s="4">
        <v>0</v>
      </c>
      <c r="F1415" s="8">
        <v>0</v>
      </c>
      <c r="G1415" s="4">
        <v>5</v>
      </c>
      <c r="H1415" s="8">
        <v>4.13</v>
      </c>
      <c r="I1415" s="4">
        <v>0</v>
      </c>
    </row>
    <row r="1416" spans="1:9" x14ac:dyDescent="0.2">
      <c r="A1416" s="2">
        <v>11</v>
      </c>
      <c r="B1416" s="1" t="s">
        <v>331</v>
      </c>
      <c r="C1416" s="4">
        <v>6</v>
      </c>
      <c r="D1416" s="8">
        <v>2.14</v>
      </c>
      <c r="E1416" s="4">
        <v>0</v>
      </c>
      <c r="F1416" s="8">
        <v>0</v>
      </c>
      <c r="G1416" s="4">
        <v>5</v>
      </c>
      <c r="H1416" s="8">
        <v>4.13</v>
      </c>
      <c r="I1416" s="4">
        <v>0</v>
      </c>
    </row>
    <row r="1417" spans="1:9" x14ac:dyDescent="0.2">
      <c r="A1417" s="2">
        <v>13</v>
      </c>
      <c r="B1417" s="1" t="s">
        <v>329</v>
      </c>
      <c r="C1417" s="4">
        <v>5</v>
      </c>
      <c r="D1417" s="8">
        <v>1.79</v>
      </c>
      <c r="E1417" s="4">
        <v>4</v>
      </c>
      <c r="F1417" s="8">
        <v>2.82</v>
      </c>
      <c r="G1417" s="4">
        <v>1</v>
      </c>
      <c r="H1417" s="8">
        <v>0.83</v>
      </c>
      <c r="I1417" s="4">
        <v>0</v>
      </c>
    </row>
    <row r="1418" spans="1:9" x14ac:dyDescent="0.2">
      <c r="A1418" s="2">
        <v>13</v>
      </c>
      <c r="B1418" s="1" t="s">
        <v>335</v>
      </c>
      <c r="C1418" s="4">
        <v>5</v>
      </c>
      <c r="D1418" s="8">
        <v>1.79</v>
      </c>
      <c r="E1418" s="4">
        <v>3</v>
      </c>
      <c r="F1418" s="8">
        <v>2.11</v>
      </c>
      <c r="G1418" s="4">
        <v>2</v>
      </c>
      <c r="H1418" s="8">
        <v>1.65</v>
      </c>
      <c r="I1418" s="4">
        <v>0</v>
      </c>
    </row>
    <row r="1419" spans="1:9" x14ac:dyDescent="0.2">
      <c r="A1419" s="2">
        <v>13</v>
      </c>
      <c r="B1419" s="1" t="s">
        <v>302</v>
      </c>
      <c r="C1419" s="4">
        <v>5</v>
      </c>
      <c r="D1419" s="8">
        <v>1.79</v>
      </c>
      <c r="E1419" s="4">
        <v>4</v>
      </c>
      <c r="F1419" s="8">
        <v>2.82</v>
      </c>
      <c r="G1419" s="4">
        <v>0</v>
      </c>
      <c r="H1419" s="8">
        <v>0</v>
      </c>
      <c r="I1419" s="4">
        <v>1</v>
      </c>
    </row>
    <row r="1420" spans="1:9" x14ac:dyDescent="0.2">
      <c r="A1420" s="2">
        <v>16</v>
      </c>
      <c r="B1420" s="1" t="s">
        <v>289</v>
      </c>
      <c r="C1420" s="4">
        <v>4</v>
      </c>
      <c r="D1420" s="8">
        <v>1.43</v>
      </c>
      <c r="E1420" s="4">
        <v>0</v>
      </c>
      <c r="F1420" s="8">
        <v>0</v>
      </c>
      <c r="G1420" s="4">
        <v>4</v>
      </c>
      <c r="H1420" s="8">
        <v>3.31</v>
      </c>
      <c r="I1420" s="4">
        <v>0</v>
      </c>
    </row>
    <row r="1421" spans="1:9" x14ac:dyDescent="0.2">
      <c r="A1421" s="2">
        <v>16</v>
      </c>
      <c r="B1421" s="1" t="s">
        <v>353</v>
      </c>
      <c r="C1421" s="4">
        <v>4</v>
      </c>
      <c r="D1421" s="8">
        <v>1.43</v>
      </c>
      <c r="E1421" s="4">
        <v>0</v>
      </c>
      <c r="F1421" s="8">
        <v>0</v>
      </c>
      <c r="G1421" s="4">
        <v>4</v>
      </c>
      <c r="H1421" s="8">
        <v>3.31</v>
      </c>
      <c r="I1421" s="4">
        <v>0</v>
      </c>
    </row>
    <row r="1422" spans="1:9" x14ac:dyDescent="0.2">
      <c r="A1422" s="2">
        <v>16</v>
      </c>
      <c r="B1422" s="1" t="s">
        <v>292</v>
      </c>
      <c r="C1422" s="4">
        <v>4</v>
      </c>
      <c r="D1422" s="8">
        <v>1.43</v>
      </c>
      <c r="E1422" s="4">
        <v>2</v>
      </c>
      <c r="F1422" s="8">
        <v>1.41</v>
      </c>
      <c r="G1422" s="4">
        <v>2</v>
      </c>
      <c r="H1422" s="8">
        <v>1.65</v>
      </c>
      <c r="I1422" s="4">
        <v>0</v>
      </c>
    </row>
    <row r="1423" spans="1:9" x14ac:dyDescent="0.2">
      <c r="A1423" s="2">
        <v>16</v>
      </c>
      <c r="B1423" s="1" t="s">
        <v>294</v>
      </c>
      <c r="C1423" s="4">
        <v>4</v>
      </c>
      <c r="D1423" s="8">
        <v>1.43</v>
      </c>
      <c r="E1423" s="4">
        <v>1</v>
      </c>
      <c r="F1423" s="8">
        <v>0.7</v>
      </c>
      <c r="G1423" s="4">
        <v>3</v>
      </c>
      <c r="H1423" s="8">
        <v>2.48</v>
      </c>
      <c r="I1423" s="4">
        <v>0</v>
      </c>
    </row>
    <row r="1424" spans="1:9" x14ac:dyDescent="0.2">
      <c r="A1424" s="2">
        <v>16</v>
      </c>
      <c r="B1424" s="1" t="s">
        <v>349</v>
      </c>
      <c r="C1424" s="4">
        <v>4</v>
      </c>
      <c r="D1424" s="8">
        <v>1.43</v>
      </c>
      <c r="E1424" s="4">
        <v>3</v>
      </c>
      <c r="F1424" s="8">
        <v>2.11</v>
      </c>
      <c r="G1424" s="4">
        <v>1</v>
      </c>
      <c r="H1424" s="8">
        <v>0.83</v>
      </c>
      <c r="I1424" s="4">
        <v>0</v>
      </c>
    </row>
    <row r="1425" spans="1:9" x14ac:dyDescent="0.2">
      <c r="A1425" s="2">
        <v>16</v>
      </c>
      <c r="B1425" s="1" t="s">
        <v>340</v>
      </c>
      <c r="C1425" s="4">
        <v>4</v>
      </c>
      <c r="D1425" s="8">
        <v>1.43</v>
      </c>
      <c r="E1425" s="4">
        <v>0</v>
      </c>
      <c r="F1425" s="8">
        <v>0</v>
      </c>
      <c r="G1425" s="4">
        <v>0</v>
      </c>
      <c r="H1425" s="8">
        <v>0</v>
      </c>
      <c r="I1425" s="4">
        <v>0</v>
      </c>
    </row>
    <row r="1426" spans="1:9" x14ac:dyDescent="0.2">
      <c r="A1426" s="2">
        <v>16</v>
      </c>
      <c r="B1426" s="1" t="s">
        <v>306</v>
      </c>
      <c r="C1426" s="4">
        <v>4</v>
      </c>
      <c r="D1426" s="8">
        <v>1.43</v>
      </c>
      <c r="E1426" s="4">
        <v>4</v>
      </c>
      <c r="F1426" s="8">
        <v>2.82</v>
      </c>
      <c r="G1426" s="4">
        <v>0</v>
      </c>
      <c r="H1426" s="8">
        <v>0</v>
      </c>
      <c r="I1426" s="4">
        <v>0</v>
      </c>
    </row>
    <row r="1427" spans="1:9" x14ac:dyDescent="0.2">
      <c r="A1427" s="1"/>
      <c r="C1427" s="4"/>
      <c r="D1427" s="8"/>
      <c r="E1427" s="4"/>
      <c r="F1427" s="8"/>
      <c r="G1427" s="4"/>
      <c r="H1427" s="8"/>
      <c r="I1427" s="4"/>
    </row>
    <row r="1428" spans="1:9" x14ac:dyDescent="0.2">
      <c r="A1428" s="1" t="s">
        <v>58</v>
      </c>
      <c r="C1428" s="4"/>
      <c r="D1428" s="8"/>
      <c r="E1428" s="4"/>
      <c r="F1428" s="8"/>
      <c r="G1428" s="4"/>
      <c r="H1428" s="8"/>
      <c r="I1428" s="4"/>
    </row>
    <row r="1429" spans="1:9" x14ac:dyDescent="0.2">
      <c r="A1429" s="2">
        <v>1</v>
      </c>
      <c r="B1429" s="1" t="s">
        <v>303</v>
      </c>
      <c r="C1429" s="4">
        <v>9</v>
      </c>
      <c r="D1429" s="8">
        <v>7.32</v>
      </c>
      <c r="E1429" s="4">
        <v>9</v>
      </c>
      <c r="F1429" s="8">
        <v>13.85</v>
      </c>
      <c r="G1429" s="4">
        <v>0</v>
      </c>
      <c r="H1429" s="8">
        <v>0</v>
      </c>
      <c r="I1429" s="4">
        <v>0</v>
      </c>
    </row>
    <row r="1430" spans="1:9" x14ac:dyDescent="0.2">
      <c r="A1430" s="2">
        <v>2</v>
      </c>
      <c r="B1430" s="1" t="s">
        <v>292</v>
      </c>
      <c r="C1430" s="4">
        <v>8</v>
      </c>
      <c r="D1430" s="8">
        <v>6.5</v>
      </c>
      <c r="E1430" s="4">
        <v>8</v>
      </c>
      <c r="F1430" s="8">
        <v>12.31</v>
      </c>
      <c r="G1430" s="4">
        <v>0</v>
      </c>
      <c r="H1430" s="8">
        <v>0</v>
      </c>
      <c r="I1430" s="4">
        <v>0</v>
      </c>
    </row>
    <row r="1431" spans="1:9" x14ac:dyDescent="0.2">
      <c r="A1431" s="2">
        <v>2</v>
      </c>
      <c r="B1431" s="1" t="s">
        <v>304</v>
      </c>
      <c r="C1431" s="4">
        <v>8</v>
      </c>
      <c r="D1431" s="8">
        <v>6.5</v>
      </c>
      <c r="E1431" s="4">
        <v>8</v>
      </c>
      <c r="F1431" s="8">
        <v>12.31</v>
      </c>
      <c r="G1431" s="4">
        <v>0</v>
      </c>
      <c r="H1431" s="8">
        <v>0</v>
      </c>
      <c r="I1431" s="4">
        <v>0</v>
      </c>
    </row>
    <row r="1432" spans="1:9" x14ac:dyDescent="0.2">
      <c r="A1432" s="2">
        <v>4</v>
      </c>
      <c r="B1432" s="1" t="s">
        <v>339</v>
      </c>
      <c r="C1432" s="4">
        <v>5</v>
      </c>
      <c r="D1432" s="8">
        <v>4.07</v>
      </c>
      <c r="E1432" s="4">
        <v>4</v>
      </c>
      <c r="F1432" s="8">
        <v>6.15</v>
      </c>
      <c r="G1432" s="4">
        <v>1</v>
      </c>
      <c r="H1432" s="8">
        <v>1.82</v>
      </c>
      <c r="I1432" s="4">
        <v>0</v>
      </c>
    </row>
    <row r="1433" spans="1:9" x14ac:dyDescent="0.2">
      <c r="A1433" s="2">
        <v>5</v>
      </c>
      <c r="B1433" s="1" t="s">
        <v>288</v>
      </c>
      <c r="C1433" s="4">
        <v>4</v>
      </c>
      <c r="D1433" s="8">
        <v>3.25</v>
      </c>
      <c r="E1433" s="4">
        <v>1</v>
      </c>
      <c r="F1433" s="8">
        <v>1.54</v>
      </c>
      <c r="G1433" s="4">
        <v>3</v>
      </c>
      <c r="H1433" s="8">
        <v>5.45</v>
      </c>
      <c r="I1433" s="4">
        <v>0</v>
      </c>
    </row>
    <row r="1434" spans="1:9" x14ac:dyDescent="0.2">
      <c r="A1434" s="2">
        <v>5</v>
      </c>
      <c r="B1434" s="1" t="s">
        <v>342</v>
      </c>
      <c r="C1434" s="4">
        <v>4</v>
      </c>
      <c r="D1434" s="8">
        <v>3.25</v>
      </c>
      <c r="E1434" s="4">
        <v>0</v>
      </c>
      <c r="F1434" s="8">
        <v>0</v>
      </c>
      <c r="G1434" s="4">
        <v>4</v>
      </c>
      <c r="H1434" s="8">
        <v>7.27</v>
      </c>
      <c r="I1434" s="4">
        <v>0</v>
      </c>
    </row>
    <row r="1435" spans="1:9" x14ac:dyDescent="0.2">
      <c r="A1435" s="2">
        <v>5</v>
      </c>
      <c r="B1435" s="1" t="s">
        <v>323</v>
      </c>
      <c r="C1435" s="4">
        <v>4</v>
      </c>
      <c r="D1435" s="8">
        <v>3.25</v>
      </c>
      <c r="E1435" s="4">
        <v>2</v>
      </c>
      <c r="F1435" s="8">
        <v>3.08</v>
      </c>
      <c r="G1435" s="4">
        <v>2</v>
      </c>
      <c r="H1435" s="8">
        <v>3.64</v>
      </c>
      <c r="I1435" s="4">
        <v>0</v>
      </c>
    </row>
    <row r="1436" spans="1:9" x14ac:dyDescent="0.2">
      <c r="A1436" s="2">
        <v>8</v>
      </c>
      <c r="B1436" s="1" t="s">
        <v>290</v>
      </c>
      <c r="C1436" s="4">
        <v>3</v>
      </c>
      <c r="D1436" s="8">
        <v>2.44</v>
      </c>
      <c r="E1436" s="4">
        <v>0</v>
      </c>
      <c r="F1436" s="8">
        <v>0</v>
      </c>
      <c r="G1436" s="4">
        <v>3</v>
      </c>
      <c r="H1436" s="8">
        <v>5.45</v>
      </c>
      <c r="I1436" s="4">
        <v>0</v>
      </c>
    </row>
    <row r="1437" spans="1:9" x14ac:dyDescent="0.2">
      <c r="A1437" s="2">
        <v>8</v>
      </c>
      <c r="B1437" s="1" t="s">
        <v>334</v>
      </c>
      <c r="C1437" s="4">
        <v>3</v>
      </c>
      <c r="D1437" s="8">
        <v>2.44</v>
      </c>
      <c r="E1437" s="4">
        <v>3</v>
      </c>
      <c r="F1437" s="8">
        <v>4.62</v>
      </c>
      <c r="G1437" s="4">
        <v>0</v>
      </c>
      <c r="H1437" s="8">
        <v>0</v>
      </c>
      <c r="I1437" s="4">
        <v>0</v>
      </c>
    </row>
    <row r="1438" spans="1:9" x14ac:dyDescent="0.2">
      <c r="A1438" s="2">
        <v>8</v>
      </c>
      <c r="B1438" s="1" t="s">
        <v>300</v>
      </c>
      <c r="C1438" s="4">
        <v>3</v>
      </c>
      <c r="D1438" s="8">
        <v>2.44</v>
      </c>
      <c r="E1438" s="4">
        <v>2</v>
      </c>
      <c r="F1438" s="8">
        <v>3.08</v>
      </c>
      <c r="G1438" s="4">
        <v>1</v>
      </c>
      <c r="H1438" s="8">
        <v>1.82</v>
      </c>
      <c r="I1438" s="4">
        <v>0</v>
      </c>
    </row>
    <row r="1439" spans="1:9" x14ac:dyDescent="0.2">
      <c r="A1439" s="2">
        <v>8</v>
      </c>
      <c r="B1439" s="1" t="s">
        <v>301</v>
      </c>
      <c r="C1439" s="4">
        <v>3</v>
      </c>
      <c r="D1439" s="8">
        <v>2.44</v>
      </c>
      <c r="E1439" s="4">
        <v>3</v>
      </c>
      <c r="F1439" s="8">
        <v>4.62</v>
      </c>
      <c r="G1439" s="4">
        <v>0</v>
      </c>
      <c r="H1439" s="8">
        <v>0</v>
      </c>
      <c r="I1439" s="4">
        <v>0</v>
      </c>
    </row>
    <row r="1440" spans="1:9" x14ac:dyDescent="0.2">
      <c r="A1440" s="2">
        <v>8</v>
      </c>
      <c r="B1440" s="1" t="s">
        <v>306</v>
      </c>
      <c r="C1440" s="4">
        <v>3</v>
      </c>
      <c r="D1440" s="8">
        <v>2.44</v>
      </c>
      <c r="E1440" s="4">
        <v>1</v>
      </c>
      <c r="F1440" s="8">
        <v>1.54</v>
      </c>
      <c r="G1440" s="4">
        <v>2</v>
      </c>
      <c r="H1440" s="8">
        <v>3.64</v>
      </c>
      <c r="I1440" s="4">
        <v>0</v>
      </c>
    </row>
    <row r="1441" spans="1:9" x14ac:dyDescent="0.2">
      <c r="A1441" s="2">
        <v>13</v>
      </c>
      <c r="B1441" s="1" t="s">
        <v>328</v>
      </c>
      <c r="C1441" s="4">
        <v>2</v>
      </c>
      <c r="D1441" s="8">
        <v>1.63</v>
      </c>
      <c r="E1441" s="4">
        <v>0</v>
      </c>
      <c r="F1441" s="8">
        <v>0</v>
      </c>
      <c r="G1441" s="4">
        <v>2</v>
      </c>
      <c r="H1441" s="8">
        <v>3.64</v>
      </c>
      <c r="I1441" s="4">
        <v>0</v>
      </c>
    </row>
    <row r="1442" spans="1:9" x14ac:dyDescent="0.2">
      <c r="A1442" s="2">
        <v>13</v>
      </c>
      <c r="B1442" s="1" t="s">
        <v>353</v>
      </c>
      <c r="C1442" s="4">
        <v>2</v>
      </c>
      <c r="D1442" s="8">
        <v>1.63</v>
      </c>
      <c r="E1442" s="4">
        <v>0</v>
      </c>
      <c r="F1442" s="8">
        <v>0</v>
      </c>
      <c r="G1442" s="4">
        <v>2</v>
      </c>
      <c r="H1442" s="8">
        <v>3.64</v>
      </c>
      <c r="I1442" s="4">
        <v>0</v>
      </c>
    </row>
    <row r="1443" spans="1:9" x14ac:dyDescent="0.2">
      <c r="A1443" s="2">
        <v>13</v>
      </c>
      <c r="B1443" s="1" t="s">
        <v>326</v>
      </c>
      <c r="C1443" s="4">
        <v>2</v>
      </c>
      <c r="D1443" s="8">
        <v>1.63</v>
      </c>
      <c r="E1443" s="4">
        <v>1</v>
      </c>
      <c r="F1443" s="8">
        <v>1.54</v>
      </c>
      <c r="G1443" s="4">
        <v>1</v>
      </c>
      <c r="H1443" s="8">
        <v>1.82</v>
      </c>
      <c r="I1443" s="4">
        <v>0</v>
      </c>
    </row>
    <row r="1444" spans="1:9" x14ac:dyDescent="0.2">
      <c r="A1444" s="2">
        <v>13</v>
      </c>
      <c r="B1444" s="1" t="s">
        <v>324</v>
      </c>
      <c r="C1444" s="4">
        <v>2</v>
      </c>
      <c r="D1444" s="8">
        <v>1.63</v>
      </c>
      <c r="E1444" s="4">
        <v>1</v>
      </c>
      <c r="F1444" s="8">
        <v>1.54</v>
      </c>
      <c r="G1444" s="4">
        <v>1</v>
      </c>
      <c r="H1444" s="8">
        <v>1.82</v>
      </c>
      <c r="I1444" s="4">
        <v>0</v>
      </c>
    </row>
    <row r="1445" spans="1:9" x14ac:dyDescent="0.2">
      <c r="A1445" s="2">
        <v>13</v>
      </c>
      <c r="B1445" s="1" t="s">
        <v>314</v>
      </c>
      <c r="C1445" s="4">
        <v>2</v>
      </c>
      <c r="D1445" s="8">
        <v>1.63</v>
      </c>
      <c r="E1445" s="4">
        <v>0</v>
      </c>
      <c r="F1445" s="8">
        <v>0</v>
      </c>
      <c r="G1445" s="4">
        <v>2</v>
      </c>
      <c r="H1445" s="8">
        <v>3.64</v>
      </c>
      <c r="I1445" s="4">
        <v>0</v>
      </c>
    </row>
    <row r="1446" spans="1:9" x14ac:dyDescent="0.2">
      <c r="A1446" s="2">
        <v>13</v>
      </c>
      <c r="B1446" s="1" t="s">
        <v>372</v>
      </c>
      <c r="C1446" s="4">
        <v>2</v>
      </c>
      <c r="D1446" s="8">
        <v>1.63</v>
      </c>
      <c r="E1446" s="4">
        <v>1</v>
      </c>
      <c r="F1446" s="8">
        <v>1.54</v>
      </c>
      <c r="G1446" s="4">
        <v>1</v>
      </c>
      <c r="H1446" s="8">
        <v>1.82</v>
      </c>
      <c r="I1446" s="4">
        <v>0</v>
      </c>
    </row>
    <row r="1447" spans="1:9" x14ac:dyDescent="0.2">
      <c r="A1447" s="2">
        <v>13</v>
      </c>
      <c r="B1447" s="1" t="s">
        <v>330</v>
      </c>
      <c r="C1447" s="4">
        <v>2</v>
      </c>
      <c r="D1447" s="8">
        <v>1.63</v>
      </c>
      <c r="E1447" s="4">
        <v>0</v>
      </c>
      <c r="F1447" s="8">
        <v>0</v>
      </c>
      <c r="G1447" s="4">
        <v>2</v>
      </c>
      <c r="H1447" s="8">
        <v>3.64</v>
      </c>
      <c r="I1447" s="4">
        <v>0</v>
      </c>
    </row>
    <row r="1448" spans="1:9" x14ac:dyDescent="0.2">
      <c r="A1448" s="2">
        <v>13</v>
      </c>
      <c r="B1448" s="1" t="s">
        <v>337</v>
      </c>
      <c r="C1448" s="4">
        <v>2</v>
      </c>
      <c r="D1448" s="8">
        <v>1.63</v>
      </c>
      <c r="E1448" s="4">
        <v>2</v>
      </c>
      <c r="F1448" s="8">
        <v>3.08</v>
      </c>
      <c r="G1448" s="4">
        <v>0</v>
      </c>
      <c r="H1448" s="8">
        <v>0</v>
      </c>
      <c r="I1448" s="4">
        <v>0</v>
      </c>
    </row>
    <row r="1449" spans="1:9" x14ac:dyDescent="0.2">
      <c r="A1449" s="2">
        <v>13</v>
      </c>
      <c r="B1449" s="1" t="s">
        <v>295</v>
      </c>
      <c r="C1449" s="4">
        <v>2</v>
      </c>
      <c r="D1449" s="8">
        <v>1.63</v>
      </c>
      <c r="E1449" s="4">
        <v>2</v>
      </c>
      <c r="F1449" s="8">
        <v>3.08</v>
      </c>
      <c r="G1449" s="4">
        <v>0</v>
      </c>
      <c r="H1449" s="8">
        <v>0</v>
      </c>
      <c r="I1449" s="4">
        <v>0</v>
      </c>
    </row>
    <row r="1450" spans="1:9" x14ac:dyDescent="0.2">
      <c r="A1450" s="2">
        <v>13</v>
      </c>
      <c r="B1450" s="1" t="s">
        <v>344</v>
      </c>
      <c r="C1450" s="4">
        <v>2</v>
      </c>
      <c r="D1450" s="8">
        <v>1.63</v>
      </c>
      <c r="E1450" s="4">
        <v>1</v>
      </c>
      <c r="F1450" s="8">
        <v>1.54</v>
      </c>
      <c r="G1450" s="4">
        <v>1</v>
      </c>
      <c r="H1450" s="8">
        <v>1.82</v>
      </c>
      <c r="I1450" s="4">
        <v>0</v>
      </c>
    </row>
    <row r="1451" spans="1:9" x14ac:dyDescent="0.2">
      <c r="A1451" s="2">
        <v>13</v>
      </c>
      <c r="B1451" s="1" t="s">
        <v>305</v>
      </c>
      <c r="C1451" s="4">
        <v>2</v>
      </c>
      <c r="D1451" s="8">
        <v>1.63</v>
      </c>
      <c r="E1451" s="4">
        <v>2</v>
      </c>
      <c r="F1451" s="8">
        <v>3.08</v>
      </c>
      <c r="G1451" s="4">
        <v>0</v>
      </c>
      <c r="H1451" s="8">
        <v>0</v>
      </c>
      <c r="I1451" s="4">
        <v>0</v>
      </c>
    </row>
    <row r="1452" spans="1:9" x14ac:dyDescent="0.2">
      <c r="A1452" s="2">
        <v>13</v>
      </c>
      <c r="B1452" s="1" t="s">
        <v>318</v>
      </c>
      <c r="C1452" s="4">
        <v>2</v>
      </c>
      <c r="D1452" s="8">
        <v>1.63</v>
      </c>
      <c r="E1452" s="4">
        <v>0</v>
      </c>
      <c r="F1452" s="8">
        <v>0</v>
      </c>
      <c r="G1452" s="4">
        <v>2</v>
      </c>
      <c r="H1452" s="8">
        <v>3.64</v>
      </c>
      <c r="I1452" s="4">
        <v>0</v>
      </c>
    </row>
    <row r="1453" spans="1:9" x14ac:dyDescent="0.2">
      <c r="A1453" s="1"/>
      <c r="C1453" s="4"/>
      <c r="D1453" s="8"/>
      <c r="E1453" s="4"/>
      <c r="F1453" s="8"/>
      <c r="G1453" s="4"/>
      <c r="H1453" s="8"/>
      <c r="I1453" s="4"/>
    </row>
    <row r="1454" spans="1:9" x14ac:dyDescent="0.2">
      <c r="A1454" s="1" t="s">
        <v>59</v>
      </c>
      <c r="C1454" s="4"/>
      <c r="D1454" s="8"/>
      <c r="E1454" s="4"/>
      <c r="F1454" s="8"/>
      <c r="G1454" s="4"/>
      <c r="H1454" s="8"/>
      <c r="I1454" s="4"/>
    </row>
    <row r="1455" spans="1:9" x14ac:dyDescent="0.2">
      <c r="A1455" s="2">
        <v>1</v>
      </c>
      <c r="B1455" s="1" t="s">
        <v>297</v>
      </c>
      <c r="C1455" s="4">
        <v>6</v>
      </c>
      <c r="D1455" s="8">
        <v>5.26</v>
      </c>
      <c r="E1455" s="4">
        <v>5</v>
      </c>
      <c r="F1455" s="8">
        <v>10</v>
      </c>
      <c r="G1455" s="4">
        <v>0</v>
      </c>
      <c r="H1455" s="8">
        <v>0</v>
      </c>
      <c r="I1455" s="4">
        <v>0</v>
      </c>
    </row>
    <row r="1456" spans="1:9" x14ac:dyDescent="0.2">
      <c r="A1456" s="2">
        <v>2</v>
      </c>
      <c r="B1456" s="1" t="s">
        <v>292</v>
      </c>
      <c r="C1456" s="4">
        <v>5</v>
      </c>
      <c r="D1456" s="8">
        <v>4.3899999999999997</v>
      </c>
      <c r="E1456" s="4">
        <v>2</v>
      </c>
      <c r="F1456" s="8">
        <v>4</v>
      </c>
      <c r="G1456" s="4">
        <v>3</v>
      </c>
      <c r="H1456" s="8">
        <v>5.56</v>
      </c>
      <c r="I1456" s="4">
        <v>0</v>
      </c>
    </row>
    <row r="1457" spans="1:9" x14ac:dyDescent="0.2">
      <c r="A1457" s="2">
        <v>2</v>
      </c>
      <c r="B1457" s="1" t="s">
        <v>303</v>
      </c>
      <c r="C1457" s="4">
        <v>5</v>
      </c>
      <c r="D1457" s="8">
        <v>4.3899999999999997</v>
      </c>
      <c r="E1457" s="4">
        <v>5</v>
      </c>
      <c r="F1457" s="8">
        <v>10</v>
      </c>
      <c r="G1457" s="4">
        <v>0</v>
      </c>
      <c r="H1457" s="8">
        <v>0</v>
      </c>
      <c r="I1457" s="4">
        <v>0</v>
      </c>
    </row>
    <row r="1458" spans="1:9" x14ac:dyDescent="0.2">
      <c r="A1458" s="2">
        <v>4</v>
      </c>
      <c r="B1458" s="1" t="s">
        <v>289</v>
      </c>
      <c r="C1458" s="4">
        <v>4</v>
      </c>
      <c r="D1458" s="8">
        <v>3.51</v>
      </c>
      <c r="E1458" s="4">
        <v>0</v>
      </c>
      <c r="F1458" s="8">
        <v>0</v>
      </c>
      <c r="G1458" s="4">
        <v>4</v>
      </c>
      <c r="H1458" s="8">
        <v>7.41</v>
      </c>
      <c r="I1458" s="4">
        <v>0</v>
      </c>
    </row>
    <row r="1459" spans="1:9" x14ac:dyDescent="0.2">
      <c r="A1459" s="2">
        <v>4</v>
      </c>
      <c r="B1459" s="1" t="s">
        <v>314</v>
      </c>
      <c r="C1459" s="4">
        <v>4</v>
      </c>
      <c r="D1459" s="8">
        <v>3.51</v>
      </c>
      <c r="E1459" s="4">
        <v>4</v>
      </c>
      <c r="F1459" s="8">
        <v>8</v>
      </c>
      <c r="G1459" s="4">
        <v>0</v>
      </c>
      <c r="H1459" s="8">
        <v>0</v>
      </c>
      <c r="I1459" s="4">
        <v>0</v>
      </c>
    </row>
    <row r="1460" spans="1:9" x14ac:dyDescent="0.2">
      <c r="A1460" s="2">
        <v>4</v>
      </c>
      <c r="B1460" s="1" t="s">
        <v>349</v>
      </c>
      <c r="C1460" s="4">
        <v>4</v>
      </c>
      <c r="D1460" s="8">
        <v>3.51</v>
      </c>
      <c r="E1460" s="4">
        <v>4</v>
      </c>
      <c r="F1460" s="8">
        <v>8</v>
      </c>
      <c r="G1460" s="4">
        <v>0</v>
      </c>
      <c r="H1460" s="8">
        <v>0</v>
      </c>
      <c r="I1460" s="4">
        <v>0</v>
      </c>
    </row>
    <row r="1461" spans="1:9" x14ac:dyDescent="0.2">
      <c r="A1461" s="2">
        <v>4</v>
      </c>
      <c r="B1461" s="1" t="s">
        <v>300</v>
      </c>
      <c r="C1461" s="4">
        <v>4</v>
      </c>
      <c r="D1461" s="8">
        <v>3.51</v>
      </c>
      <c r="E1461" s="4">
        <v>4</v>
      </c>
      <c r="F1461" s="8">
        <v>8</v>
      </c>
      <c r="G1461" s="4">
        <v>0</v>
      </c>
      <c r="H1461" s="8">
        <v>0</v>
      </c>
      <c r="I1461" s="4">
        <v>0</v>
      </c>
    </row>
    <row r="1462" spans="1:9" x14ac:dyDescent="0.2">
      <c r="A1462" s="2">
        <v>4</v>
      </c>
      <c r="B1462" s="1" t="s">
        <v>304</v>
      </c>
      <c r="C1462" s="4">
        <v>4</v>
      </c>
      <c r="D1462" s="8">
        <v>3.51</v>
      </c>
      <c r="E1462" s="4">
        <v>4</v>
      </c>
      <c r="F1462" s="8">
        <v>8</v>
      </c>
      <c r="G1462" s="4">
        <v>0</v>
      </c>
      <c r="H1462" s="8">
        <v>0</v>
      </c>
      <c r="I1462" s="4">
        <v>0</v>
      </c>
    </row>
    <row r="1463" spans="1:9" x14ac:dyDescent="0.2">
      <c r="A1463" s="2">
        <v>9</v>
      </c>
      <c r="B1463" s="1" t="s">
        <v>288</v>
      </c>
      <c r="C1463" s="4">
        <v>3</v>
      </c>
      <c r="D1463" s="8">
        <v>2.63</v>
      </c>
      <c r="E1463" s="4">
        <v>0</v>
      </c>
      <c r="F1463" s="8">
        <v>0</v>
      </c>
      <c r="G1463" s="4">
        <v>3</v>
      </c>
      <c r="H1463" s="8">
        <v>5.56</v>
      </c>
      <c r="I1463" s="4">
        <v>0</v>
      </c>
    </row>
    <row r="1464" spans="1:9" x14ac:dyDescent="0.2">
      <c r="A1464" s="2">
        <v>9</v>
      </c>
      <c r="B1464" s="1" t="s">
        <v>384</v>
      </c>
      <c r="C1464" s="4">
        <v>3</v>
      </c>
      <c r="D1464" s="8">
        <v>2.63</v>
      </c>
      <c r="E1464" s="4">
        <v>0</v>
      </c>
      <c r="F1464" s="8">
        <v>0</v>
      </c>
      <c r="G1464" s="4">
        <v>3</v>
      </c>
      <c r="H1464" s="8">
        <v>5.56</v>
      </c>
      <c r="I1464" s="4">
        <v>0</v>
      </c>
    </row>
    <row r="1465" spans="1:9" x14ac:dyDescent="0.2">
      <c r="A1465" s="2">
        <v>9</v>
      </c>
      <c r="B1465" s="1" t="s">
        <v>309</v>
      </c>
      <c r="C1465" s="4">
        <v>3</v>
      </c>
      <c r="D1465" s="8">
        <v>2.63</v>
      </c>
      <c r="E1465" s="4">
        <v>0</v>
      </c>
      <c r="F1465" s="8">
        <v>0</v>
      </c>
      <c r="G1465" s="4">
        <v>3</v>
      </c>
      <c r="H1465" s="8">
        <v>5.56</v>
      </c>
      <c r="I1465" s="4">
        <v>0</v>
      </c>
    </row>
    <row r="1466" spans="1:9" x14ac:dyDescent="0.2">
      <c r="A1466" s="2">
        <v>9</v>
      </c>
      <c r="B1466" s="1" t="s">
        <v>340</v>
      </c>
      <c r="C1466" s="4">
        <v>3</v>
      </c>
      <c r="D1466" s="8">
        <v>2.63</v>
      </c>
      <c r="E1466" s="4">
        <v>0</v>
      </c>
      <c r="F1466" s="8">
        <v>0</v>
      </c>
      <c r="G1466" s="4">
        <v>0</v>
      </c>
      <c r="H1466" s="8">
        <v>0</v>
      </c>
      <c r="I1466" s="4">
        <v>0</v>
      </c>
    </row>
    <row r="1467" spans="1:9" x14ac:dyDescent="0.2">
      <c r="A1467" s="2">
        <v>13</v>
      </c>
      <c r="B1467" s="1" t="s">
        <v>328</v>
      </c>
      <c r="C1467" s="4">
        <v>2</v>
      </c>
      <c r="D1467" s="8">
        <v>1.75</v>
      </c>
      <c r="E1467" s="4">
        <v>1</v>
      </c>
      <c r="F1467" s="8">
        <v>2</v>
      </c>
      <c r="G1467" s="4">
        <v>1</v>
      </c>
      <c r="H1467" s="8">
        <v>1.85</v>
      </c>
      <c r="I1467" s="4">
        <v>0</v>
      </c>
    </row>
    <row r="1468" spans="1:9" x14ac:dyDescent="0.2">
      <c r="A1468" s="2">
        <v>13</v>
      </c>
      <c r="B1468" s="1" t="s">
        <v>393</v>
      </c>
      <c r="C1468" s="4">
        <v>2</v>
      </c>
      <c r="D1468" s="8">
        <v>1.75</v>
      </c>
      <c r="E1468" s="4">
        <v>1</v>
      </c>
      <c r="F1468" s="8">
        <v>2</v>
      </c>
      <c r="G1468" s="4">
        <v>1</v>
      </c>
      <c r="H1468" s="8">
        <v>1.85</v>
      </c>
      <c r="I1468" s="4">
        <v>0</v>
      </c>
    </row>
    <row r="1469" spans="1:9" x14ac:dyDescent="0.2">
      <c r="A1469" s="2">
        <v>13</v>
      </c>
      <c r="B1469" s="1" t="s">
        <v>290</v>
      </c>
      <c r="C1469" s="4">
        <v>2</v>
      </c>
      <c r="D1469" s="8">
        <v>1.75</v>
      </c>
      <c r="E1469" s="4">
        <v>0</v>
      </c>
      <c r="F1469" s="8">
        <v>0</v>
      </c>
      <c r="G1469" s="4">
        <v>2</v>
      </c>
      <c r="H1469" s="8">
        <v>3.7</v>
      </c>
      <c r="I1469" s="4">
        <v>0</v>
      </c>
    </row>
    <row r="1470" spans="1:9" x14ac:dyDescent="0.2">
      <c r="A1470" s="2">
        <v>13</v>
      </c>
      <c r="B1470" s="1" t="s">
        <v>336</v>
      </c>
      <c r="C1470" s="4">
        <v>2</v>
      </c>
      <c r="D1470" s="8">
        <v>1.75</v>
      </c>
      <c r="E1470" s="4">
        <v>1</v>
      </c>
      <c r="F1470" s="8">
        <v>2</v>
      </c>
      <c r="G1470" s="4">
        <v>1</v>
      </c>
      <c r="H1470" s="8">
        <v>1.85</v>
      </c>
      <c r="I1470" s="4">
        <v>0</v>
      </c>
    </row>
    <row r="1471" spans="1:9" x14ac:dyDescent="0.2">
      <c r="A1471" s="2">
        <v>13</v>
      </c>
      <c r="B1471" s="1" t="s">
        <v>372</v>
      </c>
      <c r="C1471" s="4">
        <v>2</v>
      </c>
      <c r="D1471" s="8">
        <v>1.75</v>
      </c>
      <c r="E1471" s="4">
        <v>0</v>
      </c>
      <c r="F1471" s="8">
        <v>0</v>
      </c>
      <c r="G1471" s="4">
        <v>2</v>
      </c>
      <c r="H1471" s="8">
        <v>3.7</v>
      </c>
      <c r="I1471" s="4">
        <v>0</v>
      </c>
    </row>
    <row r="1472" spans="1:9" x14ac:dyDescent="0.2">
      <c r="A1472" s="2">
        <v>13</v>
      </c>
      <c r="B1472" s="1" t="s">
        <v>337</v>
      </c>
      <c r="C1472" s="4">
        <v>2</v>
      </c>
      <c r="D1472" s="8">
        <v>1.75</v>
      </c>
      <c r="E1472" s="4">
        <v>2</v>
      </c>
      <c r="F1472" s="8">
        <v>4</v>
      </c>
      <c r="G1472" s="4">
        <v>0</v>
      </c>
      <c r="H1472" s="8">
        <v>0</v>
      </c>
      <c r="I1472" s="4">
        <v>0</v>
      </c>
    </row>
    <row r="1473" spans="1:9" x14ac:dyDescent="0.2">
      <c r="A1473" s="2">
        <v>13</v>
      </c>
      <c r="B1473" s="1" t="s">
        <v>295</v>
      </c>
      <c r="C1473" s="4">
        <v>2</v>
      </c>
      <c r="D1473" s="8">
        <v>1.75</v>
      </c>
      <c r="E1473" s="4">
        <v>1</v>
      </c>
      <c r="F1473" s="8">
        <v>2</v>
      </c>
      <c r="G1473" s="4">
        <v>1</v>
      </c>
      <c r="H1473" s="8">
        <v>1.85</v>
      </c>
      <c r="I1473" s="4">
        <v>0</v>
      </c>
    </row>
    <row r="1474" spans="1:9" x14ac:dyDescent="0.2">
      <c r="A1474" s="2">
        <v>13</v>
      </c>
      <c r="B1474" s="1" t="s">
        <v>334</v>
      </c>
      <c r="C1474" s="4">
        <v>2</v>
      </c>
      <c r="D1474" s="8">
        <v>1.75</v>
      </c>
      <c r="E1474" s="4">
        <v>1</v>
      </c>
      <c r="F1474" s="8">
        <v>2</v>
      </c>
      <c r="G1474" s="4">
        <v>1</v>
      </c>
      <c r="H1474" s="8">
        <v>1.85</v>
      </c>
      <c r="I1474" s="4">
        <v>0</v>
      </c>
    </row>
    <row r="1475" spans="1:9" x14ac:dyDescent="0.2">
      <c r="A1475" s="2">
        <v>13</v>
      </c>
      <c r="B1475" s="1" t="s">
        <v>301</v>
      </c>
      <c r="C1475" s="4">
        <v>2</v>
      </c>
      <c r="D1475" s="8">
        <v>1.75</v>
      </c>
      <c r="E1475" s="4">
        <v>2</v>
      </c>
      <c r="F1475" s="8">
        <v>4</v>
      </c>
      <c r="G1475" s="4">
        <v>0</v>
      </c>
      <c r="H1475" s="8">
        <v>0</v>
      </c>
      <c r="I1475" s="4">
        <v>0</v>
      </c>
    </row>
    <row r="1476" spans="1:9" x14ac:dyDescent="0.2">
      <c r="A1476" s="2">
        <v>13</v>
      </c>
      <c r="B1476" s="1" t="s">
        <v>391</v>
      </c>
      <c r="C1476" s="4">
        <v>2</v>
      </c>
      <c r="D1476" s="8">
        <v>1.75</v>
      </c>
      <c r="E1476" s="4">
        <v>0</v>
      </c>
      <c r="F1476" s="8">
        <v>0</v>
      </c>
      <c r="G1476" s="4">
        <v>2</v>
      </c>
      <c r="H1476" s="8">
        <v>3.7</v>
      </c>
      <c r="I1476" s="4">
        <v>0</v>
      </c>
    </row>
    <row r="1477" spans="1:9" x14ac:dyDescent="0.2">
      <c r="A1477" s="2">
        <v>13</v>
      </c>
      <c r="B1477" s="1" t="s">
        <v>331</v>
      </c>
      <c r="C1477" s="4">
        <v>2</v>
      </c>
      <c r="D1477" s="8">
        <v>1.75</v>
      </c>
      <c r="E1477" s="4">
        <v>0</v>
      </c>
      <c r="F1477" s="8">
        <v>0</v>
      </c>
      <c r="G1477" s="4">
        <v>2</v>
      </c>
      <c r="H1477" s="8">
        <v>3.7</v>
      </c>
      <c r="I1477" s="4">
        <v>0</v>
      </c>
    </row>
    <row r="1478" spans="1:9" x14ac:dyDescent="0.2">
      <c r="A1478" s="2">
        <v>13</v>
      </c>
      <c r="B1478" s="1" t="s">
        <v>307</v>
      </c>
      <c r="C1478" s="4">
        <v>2</v>
      </c>
      <c r="D1478" s="8">
        <v>1.75</v>
      </c>
      <c r="E1478" s="4">
        <v>0</v>
      </c>
      <c r="F1478" s="8">
        <v>0</v>
      </c>
      <c r="G1478" s="4">
        <v>2</v>
      </c>
      <c r="H1478" s="8">
        <v>3.7</v>
      </c>
      <c r="I1478" s="4">
        <v>0</v>
      </c>
    </row>
    <row r="1479" spans="1:9" x14ac:dyDescent="0.2">
      <c r="A1479" s="2">
        <v>13</v>
      </c>
      <c r="B1479" s="1" t="s">
        <v>318</v>
      </c>
      <c r="C1479" s="4">
        <v>2</v>
      </c>
      <c r="D1479" s="8">
        <v>1.75</v>
      </c>
      <c r="E1479" s="4">
        <v>0</v>
      </c>
      <c r="F1479" s="8">
        <v>0</v>
      </c>
      <c r="G1479" s="4">
        <v>2</v>
      </c>
      <c r="H1479" s="8">
        <v>3.7</v>
      </c>
      <c r="I1479" s="4">
        <v>0</v>
      </c>
    </row>
    <row r="1480" spans="1:9" x14ac:dyDescent="0.2">
      <c r="A1480" s="2">
        <v>13</v>
      </c>
      <c r="B1480" s="1" t="s">
        <v>345</v>
      </c>
      <c r="C1480" s="4">
        <v>2</v>
      </c>
      <c r="D1480" s="8">
        <v>1.75</v>
      </c>
      <c r="E1480" s="4">
        <v>0</v>
      </c>
      <c r="F1480" s="8">
        <v>0</v>
      </c>
      <c r="G1480" s="4">
        <v>0</v>
      </c>
      <c r="H1480" s="8">
        <v>0</v>
      </c>
      <c r="I1480" s="4">
        <v>0</v>
      </c>
    </row>
    <row r="1481" spans="1:9" x14ac:dyDescent="0.2">
      <c r="A1481" s="1"/>
      <c r="C1481" s="4"/>
      <c r="D1481" s="8"/>
      <c r="E1481" s="4"/>
      <c r="F1481" s="8"/>
      <c r="G1481" s="4"/>
      <c r="H1481" s="8"/>
      <c r="I1481" s="4"/>
    </row>
    <row r="1482" spans="1:9" x14ac:dyDescent="0.2">
      <c r="A1482" s="1" t="s">
        <v>60</v>
      </c>
      <c r="C1482" s="4"/>
      <c r="D1482" s="8"/>
      <c r="E1482" s="4"/>
      <c r="F1482" s="8"/>
      <c r="G1482" s="4"/>
      <c r="H1482" s="8"/>
      <c r="I1482" s="4"/>
    </row>
    <row r="1483" spans="1:9" x14ac:dyDescent="0.2">
      <c r="A1483" s="2">
        <v>1</v>
      </c>
      <c r="B1483" s="1" t="s">
        <v>303</v>
      </c>
      <c r="C1483" s="4">
        <v>8</v>
      </c>
      <c r="D1483" s="8">
        <v>6.96</v>
      </c>
      <c r="E1483" s="4">
        <v>8</v>
      </c>
      <c r="F1483" s="8">
        <v>14.55</v>
      </c>
      <c r="G1483" s="4">
        <v>0</v>
      </c>
      <c r="H1483" s="8">
        <v>0</v>
      </c>
      <c r="I1483" s="4">
        <v>0</v>
      </c>
    </row>
    <row r="1484" spans="1:9" x14ac:dyDescent="0.2">
      <c r="A1484" s="2">
        <v>1</v>
      </c>
      <c r="B1484" s="1" t="s">
        <v>304</v>
      </c>
      <c r="C1484" s="4">
        <v>8</v>
      </c>
      <c r="D1484" s="8">
        <v>6.96</v>
      </c>
      <c r="E1484" s="4">
        <v>8</v>
      </c>
      <c r="F1484" s="8">
        <v>14.55</v>
      </c>
      <c r="G1484" s="4">
        <v>0</v>
      </c>
      <c r="H1484" s="8">
        <v>0</v>
      </c>
      <c r="I1484" s="4">
        <v>0</v>
      </c>
    </row>
    <row r="1485" spans="1:9" x14ac:dyDescent="0.2">
      <c r="A1485" s="2">
        <v>3</v>
      </c>
      <c r="B1485" s="1" t="s">
        <v>330</v>
      </c>
      <c r="C1485" s="4">
        <v>6</v>
      </c>
      <c r="D1485" s="8">
        <v>5.22</v>
      </c>
      <c r="E1485" s="4">
        <v>1</v>
      </c>
      <c r="F1485" s="8">
        <v>1.82</v>
      </c>
      <c r="G1485" s="4">
        <v>5</v>
      </c>
      <c r="H1485" s="8">
        <v>9.6199999999999992</v>
      </c>
      <c r="I1485" s="4">
        <v>0</v>
      </c>
    </row>
    <row r="1486" spans="1:9" x14ac:dyDescent="0.2">
      <c r="A1486" s="2">
        <v>4</v>
      </c>
      <c r="B1486" s="1" t="s">
        <v>328</v>
      </c>
      <c r="C1486" s="4">
        <v>4</v>
      </c>
      <c r="D1486" s="8">
        <v>3.48</v>
      </c>
      <c r="E1486" s="4">
        <v>1</v>
      </c>
      <c r="F1486" s="8">
        <v>1.82</v>
      </c>
      <c r="G1486" s="4">
        <v>3</v>
      </c>
      <c r="H1486" s="8">
        <v>5.77</v>
      </c>
      <c r="I1486" s="4">
        <v>0</v>
      </c>
    </row>
    <row r="1487" spans="1:9" x14ac:dyDescent="0.2">
      <c r="A1487" s="2">
        <v>4</v>
      </c>
      <c r="B1487" s="1" t="s">
        <v>339</v>
      </c>
      <c r="C1487" s="4">
        <v>4</v>
      </c>
      <c r="D1487" s="8">
        <v>3.48</v>
      </c>
      <c r="E1487" s="4">
        <v>2</v>
      </c>
      <c r="F1487" s="8">
        <v>3.64</v>
      </c>
      <c r="G1487" s="4">
        <v>2</v>
      </c>
      <c r="H1487" s="8">
        <v>3.85</v>
      </c>
      <c r="I1487" s="4">
        <v>0</v>
      </c>
    </row>
    <row r="1488" spans="1:9" x14ac:dyDescent="0.2">
      <c r="A1488" s="2">
        <v>4</v>
      </c>
      <c r="B1488" s="1" t="s">
        <v>331</v>
      </c>
      <c r="C1488" s="4">
        <v>4</v>
      </c>
      <c r="D1488" s="8">
        <v>3.48</v>
      </c>
      <c r="E1488" s="4">
        <v>0</v>
      </c>
      <c r="F1488" s="8">
        <v>0</v>
      </c>
      <c r="G1488" s="4">
        <v>3</v>
      </c>
      <c r="H1488" s="8">
        <v>5.77</v>
      </c>
      <c r="I1488" s="4">
        <v>0</v>
      </c>
    </row>
    <row r="1489" spans="1:9" x14ac:dyDescent="0.2">
      <c r="A1489" s="2">
        <v>7</v>
      </c>
      <c r="B1489" s="1" t="s">
        <v>288</v>
      </c>
      <c r="C1489" s="4">
        <v>3</v>
      </c>
      <c r="D1489" s="8">
        <v>2.61</v>
      </c>
      <c r="E1489" s="4">
        <v>1</v>
      </c>
      <c r="F1489" s="8">
        <v>1.82</v>
      </c>
      <c r="G1489" s="4">
        <v>2</v>
      </c>
      <c r="H1489" s="8">
        <v>3.85</v>
      </c>
      <c r="I1489" s="4">
        <v>0</v>
      </c>
    </row>
    <row r="1490" spans="1:9" x14ac:dyDescent="0.2">
      <c r="A1490" s="2">
        <v>7</v>
      </c>
      <c r="B1490" s="1" t="s">
        <v>290</v>
      </c>
      <c r="C1490" s="4">
        <v>3</v>
      </c>
      <c r="D1490" s="8">
        <v>2.61</v>
      </c>
      <c r="E1490" s="4">
        <v>0</v>
      </c>
      <c r="F1490" s="8">
        <v>0</v>
      </c>
      <c r="G1490" s="4">
        <v>3</v>
      </c>
      <c r="H1490" s="8">
        <v>5.77</v>
      </c>
      <c r="I1490" s="4">
        <v>0</v>
      </c>
    </row>
    <row r="1491" spans="1:9" x14ac:dyDescent="0.2">
      <c r="A1491" s="2">
        <v>7</v>
      </c>
      <c r="B1491" s="1" t="s">
        <v>335</v>
      </c>
      <c r="C1491" s="4">
        <v>3</v>
      </c>
      <c r="D1491" s="8">
        <v>2.61</v>
      </c>
      <c r="E1491" s="4">
        <v>1</v>
      </c>
      <c r="F1491" s="8">
        <v>1.82</v>
      </c>
      <c r="G1491" s="4">
        <v>2</v>
      </c>
      <c r="H1491" s="8">
        <v>3.85</v>
      </c>
      <c r="I1491" s="4">
        <v>0</v>
      </c>
    </row>
    <row r="1492" spans="1:9" x14ac:dyDescent="0.2">
      <c r="A1492" s="2">
        <v>7</v>
      </c>
      <c r="B1492" s="1" t="s">
        <v>344</v>
      </c>
      <c r="C1492" s="4">
        <v>3</v>
      </c>
      <c r="D1492" s="8">
        <v>2.61</v>
      </c>
      <c r="E1492" s="4">
        <v>2</v>
      </c>
      <c r="F1492" s="8">
        <v>3.64</v>
      </c>
      <c r="G1492" s="4">
        <v>1</v>
      </c>
      <c r="H1492" s="8">
        <v>1.92</v>
      </c>
      <c r="I1492" s="4">
        <v>0</v>
      </c>
    </row>
    <row r="1493" spans="1:9" x14ac:dyDescent="0.2">
      <c r="A1493" s="2">
        <v>7</v>
      </c>
      <c r="B1493" s="1" t="s">
        <v>300</v>
      </c>
      <c r="C1493" s="4">
        <v>3</v>
      </c>
      <c r="D1493" s="8">
        <v>2.61</v>
      </c>
      <c r="E1493" s="4">
        <v>3</v>
      </c>
      <c r="F1493" s="8">
        <v>5.45</v>
      </c>
      <c r="G1493" s="4">
        <v>0</v>
      </c>
      <c r="H1493" s="8">
        <v>0</v>
      </c>
      <c r="I1493" s="4">
        <v>0</v>
      </c>
    </row>
    <row r="1494" spans="1:9" x14ac:dyDescent="0.2">
      <c r="A1494" s="2">
        <v>7</v>
      </c>
      <c r="B1494" s="1" t="s">
        <v>301</v>
      </c>
      <c r="C1494" s="4">
        <v>3</v>
      </c>
      <c r="D1494" s="8">
        <v>2.61</v>
      </c>
      <c r="E1494" s="4">
        <v>3</v>
      </c>
      <c r="F1494" s="8">
        <v>5.45</v>
      </c>
      <c r="G1494" s="4">
        <v>0</v>
      </c>
      <c r="H1494" s="8">
        <v>0</v>
      </c>
      <c r="I1494" s="4">
        <v>0</v>
      </c>
    </row>
    <row r="1495" spans="1:9" x14ac:dyDescent="0.2">
      <c r="A1495" s="2">
        <v>7</v>
      </c>
      <c r="B1495" s="1" t="s">
        <v>305</v>
      </c>
      <c r="C1495" s="4">
        <v>3</v>
      </c>
      <c r="D1495" s="8">
        <v>2.61</v>
      </c>
      <c r="E1495" s="4">
        <v>3</v>
      </c>
      <c r="F1495" s="8">
        <v>5.45</v>
      </c>
      <c r="G1495" s="4">
        <v>0</v>
      </c>
      <c r="H1495" s="8">
        <v>0</v>
      </c>
      <c r="I1495" s="4">
        <v>0</v>
      </c>
    </row>
    <row r="1496" spans="1:9" x14ac:dyDescent="0.2">
      <c r="A1496" s="2">
        <v>14</v>
      </c>
      <c r="B1496" s="1" t="s">
        <v>333</v>
      </c>
      <c r="C1496" s="4">
        <v>2</v>
      </c>
      <c r="D1496" s="8">
        <v>1.74</v>
      </c>
      <c r="E1496" s="4">
        <v>1</v>
      </c>
      <c r="F1496" s="8">
        <v>1.82</v>
      </c>
      <c r="G1496" s="4">
        <v>1</v>
      </c>
      <c r="H1496" s="8">
        <v>1.92</v>
      </c>
      <c r="I1496" s="4">
        <v>0</v>
      </c>
    </row>
    <row r="1497" spans="1:9" x14ac:dyDescent="0.2">
      <c r="A1497" s="2">
        <v>14</v>
      </c>
      <c r="B1497" s="1" t="s">
        <v>342</v>
      </c>
      <c r="C1497" s="4">
        <v>2</v>
      </c>
      <c r="D1497" s="8">
        <v>1.74</v>
      </c>
      <c r="E1497" s="4">
        <v>0</v>
      </c>
      <c r="F1497" s="8">
        <v>0</v>
      </c>
      <c r="G1497" s="4">
        <v>2</v>
      </c>
      <c r="H1497" s="8">
        <v>3.85</v>
      </c>
      <c r="I1497" s="4">
        <v>0</v>
      </c>
    </row>
    <row r="1498" spans="1:9" x14ac:dyDescent="0.2">
      <c r="A1498" s="2">
        <v>14</v>
      </c>
      <c r="B1498" s="1" t="s">
        <v>394</v>
      </c>
      <c r="C1498" s="4">
        <v>2</v>
      </c>
      <c r="D1498" s="8">
        <v>1.74</v>
      </c>
      <c r="E1498" s="4">
        <v>0</v>
      </c>
      <c r="F1498" s="8">
        <v>0</v>
      </c>
      <c r="G1498" s="4">
        <v>2</v>
      </c>
      <c r="H1498" s="8">
        <v>3.85</v>
      </c>
      <c r="I1498" s="4">
        <v>0</v>
      </c>
    </row>
    <row r="1499" spans="1:9" x14ac:dyDescent="0.2">
      <c r="A1499" s="2">
        <v>14</v>
      </c>
      <c r="B1499" s="1" t="s">
        <v>395</v>
      </c>
      <c r="C1499" s="4">
        <v>2</v>
      </c>
      <c r="D1499" s="8">
        <v>1.74</v>
      </c>
      <c r="E1499" s="4">
        <v>0</v>
      </c>
      <c r="F1499" s="8">
        <v>0</v>
      </c>
      <c r="G1499" s="4">
        <v>2</v>
      </c>
      <c r="H1499" s="8">
        <v>3.85</v>
      </c>
      <c r="I1499" s="4">
        <v>0</v>
      </c>
    </row>
    <row r="1500" spans="1:9" x14ac:dyDescent="0.2">
      <c r="A1500" s="2">
        <v>14</v>
      </c>
      <c r="B1500" s="1" t="s">
        <v>358</v>
      </c>
      <c r="C1500" s="4">
        <v>2</v>
      </c>
      <c r="D1500" s="8">
        <v>1.74</v>
      </c>
      <c r="E1500" s="4">
        <v>0</v>
      </c>
      <c r="F1500" s="8">
        <v>0</v>
      </c>
      <c r="G1500" s="4">
        <v>2</v>
      </c>
      <c r="H1500" s="8">
        <v>3.85</v>
      </c>
      <c r="I1500" s="4">
        <v>0</v>
      </c>
    </row>
    <row r="1501" spans="1:9" x14ac:dyDescent="0.2">
      <c r="A1501" s="2">
        <v>14</v>
      </c>
      <c r="B1501" s="1" t="s">
        <v>314</v>
      </c>
      <c r="C1501" s="4">
        <v>2</v>
      </c>
      <c r="D1501" s="8">
        <v>1.74</v>
      </c>
      <c r="E1501" s="4">
        <v>2</v>
      </c>
      <c r="F1501" s="8">
        <v>3.64</v>
      </c>
      <c r="G1501" s="4">
        <v>0</v>
      </c>
      <c r="H1501" s="8">
        <v>0</v>
      </c>
      <c r="I1501" s="4">
        <v>0</v>
      </c>
    </row>
    <row r="1502" spans="1:9" x14ac:dyDescent="0.2">
      <c r="A1502" s="2">
        <v>14</v>
      </c>
      <c r="B1502" s="1" t="s">
        <v>354</v>
      </c>
      <c r="C1502" s="4">
        <v>2</v>
      </c>
      <c r="D1502" s="8">
        <v>1.74</v>
      </c>
      <c r="E1502" s="4">
        <v>0</v>
      </c>
      <c r="F1502" s="8">
        <v>0</v>
      </c>
      <c r="G1502" s="4">
        <v>2</v>
      </c>
      <c r="H1502" s="8">
        <v>3.85</v>
      </c>
      <c r="I1502" s="4">
        <v>0</v>
      </c>
    </row>
    <row r="1503" spans="1:9" x14ac:dyDescent="0.2">
      <c r="A1503" s="2">
        <v>14</v>
      </c>
      <c r="B1503" s="1" t="s">
        <v>336</v>
      </c>
      <c r="C1503" s="4">
        <v>2</v>
      </c>
      <c r="D1503" s="8">
        <v>1.74</v>
      </c>
      <c r="E1503" s="4">
        <v>1</v>
      </c>
      <c r="F1503" s="8">
        <v>1.82</v>
      </c>
      <c r="G1503" s="4">
        <v>0</v>
      </c>
      <c r="H1503" s="8">
        <v>0</v>
      </c>
      <c r="I1503" s="4">
        <v>1</v>
      </c>
    </row>
    <row r="1504" spans="1:9" x14ac:dyDescent="0.2">
      <c r="A1504" s="2">
        <v>14</v>
      </c>
      <c r="B1504" s="1" t="s">
        <v>295</v>
      </c>
      <c r="C1504" s="4">
        <v>2</v>
      </c>
      <c r="D1504" s="8">
        <v>1.74</v>
      </c>
      <c r="E1504" s="4">
        <v>2</v>
      </c>
      <c r="F1504" s="8">
        <v>3.64</v>
      </c>
      <c r="G1504" s="4">
        <v>0</v>
      </c>
      <c r="H1504" s="8">
        <v>0</v>
      </c>
      <c r="I1504" s="4">
        <v>0</v>
      </c>
    </row>
    <row r="1505" spans="1:9" x14ac:dyDescent="0.2">
      <c r="A1505" s="2">
        <v>14</v>
      </c>
      <c r="B1505" s="1" t="s">
        <v>368</v>
      </c>
      <c r="C1505" s="4">
        <v>2</v>
      </c>
      <c r="D1505" s="8">
        <v>1.74</v>
      </c>
      <c r="E1505" s="4">
        <v>0</v>
      </c>
      <c r="F1505" s="8">
        <v>0</v>
      </c>
      <c r="G1505" s="4">
        <v>0</v>
      </c>
      <c r="H1505" s="8">
        <v>0</v>
      </c>
      <c r="I1505" s="4">
        <v>0</v>
      </c>
    </row>
    <row r="1506" spans="1:9" x14ac:dyDescent="0.2">
      <c r="A1506" s="2">
        <v>14</v>
      </c>
      <c r="B1506" s="1" t="s">
        <v>306</v>
      </c>
      <c r="C1506" s="4">
        <v>2</v>
      </c>
      <c r="D1506" s="8">
        <v>1.74</v>
      </c>
      <c r="E1506" s="4">
        <v>2</v>
      </c>
      <c r="F1506" s="8">
        <v>3.64</v>
      </c>
      <c r="G1506" s="4">
        <v>0</v>
      </c>
      <c r="H1506" s="8">
        <v>0</v>
      </c>
      <c r="I1506" s="4">
        <v>0</v>
      </c>
    </row>
    <row r="1507" spans="1:9" x14ac:dyDescent="0.2">
      <c r="A1507" s="2">
        <v>14</v>
      </c>
      <c r="B1507" s="1" t="s">
        <v>347</v>
      </c>
      <c r="C1507" s="4">
        <v>2</v>
      </c>
      <c r="D1507" s="8">
        <v>1.74</v>
      </c>
      <c r="E1507" s="4">
        <v>0</v>
      </c>
      <c r="F1507" s="8">
        <v>0</v>
      </c>
      <c r="G1507" s="4">
        <v>2</v>
      </c>
      <c r="H1507" s="8">
        <v>3.85</v>
      </c>
      <c r="I1507" s="4">
        <v>0</v>
      </c>
    </row>
    <row r="1508" spans="1:9" x14ac:dyDescent="0.2">
      <c r="A1508" s="2">
        <v>14</v>
      </c>
      <c r="B1508" s="1" t="s">
        <v>370</v>
      </c>
      <c r="C1508" s="4">
        <v>2</v>
      </c>
      <c r="D1508" s="8">
        <v>1.74</v>
      </c>
      <c r="E1508" s="4">
        <v>0</v>
      </c>
      <c r="F1508" s="8">
        <v>0</v>
      </c>
      <c r="G1508" s="4">
        <v>2</v>
      </c>
      <c r="H1508" s="8">
        <v>3.85</v>
      </c>
      <c r="I1508" s="4">
        <v>0</v>
      </c>
    </row>
    <row r="1509" spans="1:9" x14ac:dyDescent="0.2">
      <c r="A1509" s="2">
        <v>14</v>
      </c>
      <c r="B1509" s="1" t="s">
        <v>318</v>
      </c>
      <c r="C1509" s="4">
        <v>2</v>
      </c>
      <c r="D1509" s="8">
        <v>1.74</v>
      </c>
      <c r="E1509" s="4">
        <v>0</v>
      </c>
      <c r="F1509" s="8">
        <v>0</v>
      </c>
      <c r="G1509" s="4">
        <v>2</v>
      </c>
      <c r="H1509" s="8">
        <v>3.85</v>
      </c>
      <c r="I1509" s="4">
        <v>0</v>
      </c>
    </row>
    <row r="1510" spans="1:9" x14ac:dyDescent="0.2">
      <c r="A1510" s="1"/>
      <c r="C1510" s="4"/>
      <c r="D1510" s="8"/>
      <c r="E1510" s="4"/>
      <c r="F1510" s="8"/>
      <c r="G1510" s="4"/>
      <c r="H1510" s="8"/>
      <c r="I1510" s="4"/>
    </row>
    <row r="1511" spans="1:9" x14ac:dyDescent="0.2">
      <c r="A1511" s="1" t="s">
        <v>61</v>
      </c>
      <c r="C1511" s="4"/>
      <c r="D1511" s="8"/>
      <c r="E1511" s="4"/>
      <c r="F1511" s="8"/>
      <c r="G1511" s="4"/>
      <c r="H1511" s="8"/>
      <c r="I1511" s="4"/>
    </row>
    <row r="1512" spans="1:9" x14ac:dyDescent="0.2">
      <c r="A1512" s="2">
        <v>1</v>
      </c>
      <c r="B1512" s="1" t="s">
        <v>339</v>
      </c>
      <c r="C1512" s="4">
        <v>15</v>
      </c>
      <c r="D1512" s="8">
        <v>11.19</v>
      </c>
      <c r="E1512" s="4">
        <v>14</v>
      </c>
      <c r="F1512" s="8">
        <v>16.47</v>
      </c>
      <c r="G1512" s="4">
        <v>1</v>
      </c>
      <c r="H1512" s="8">
        <v>2.27</v>
      </c>
      <c r="I1512" s="4">
        <v>0</v>
      </c>
    </row>
    <row r="1513" spans="1:9" x14ac:dyDescent="0.2">
      <c r="A1513" s="2">
        <v>2</v>
      </c>
      <c r="B1513" s="1" t="s">
        <v>292</v>
      </c>
      <c r="C1513" s="4">
        <v>8</v>
      </c>
      <c r="D1513" s="8">
        <v>5.97</v>
      </c>
      <c r="E1513" s="4">
        <v>5</v>
      </c>
      <c r="F1513" s="8">
        <v>5.88</v>
      </c>
      <c r="G1513" s="4">
        <v>3</v>
      </c>
      <c r="H1513" s="8">
        <v>6.82</v>
      </c>
      <c r="I1513" s="4">
        <v>0</v>
      </c>
    </row>
    <row r="1514" spans="1:9" x14ac:dyDescent="0.2">
      <c r="A1514" s="2">
        <v>2</v>
      </c>
      <c r="B1514" s="1" t="s">
        <v>301</v>
      </c>
      <c r="C1514" s="4">
        <v>8</v>
      </c>
      <c r="D1514" s="8">
        <v>5.97</v>
      </c>
      <c r="E1514" s="4">
        <v>7</v>
      </c>
      <c r="F1514" s="8">
        <v>8.24</v>
      </c>
      <c r="G1514" s="4">
        <v>1</v>
      </c>
      <c r="H1514" s="8">
        <v>2.27</v>
      </c>
      <c r="I1514" s="4">
        <v>0</v>
      </c>
    </row>
    <row r="1515" spans="1:9" x14ac:dyDescent="0.2">
      <c r="A1515" s="2">
        <v>4</v>
      </c>
      <c r="B1515" s="1" t="s">
        <v>342</v>
      </c>
      <c r="C1515" s="4">
        <v>7</v>
      </c>
      <c r="D1515" s="8">
        <v>5.22</v>
      </c>
      <c r="E1515" s="4">
        <v>4</v>
      </c>
      <c r="F1515" s="8">
        <v>4.71</v>
      </c>
      <c r="G1515" s="4">
        <v>3</v>
      </c>
      <c r="H1515" s="8">
        <v>6.82</v>
      </c>
      <c r="I1515" s="4">
        <v>0</v>
      </c>
    </row>
    <row r="1516" spans="1:9" x14ac:dyDescent="0.2">
      <c r="A1516" s="2">
        <v>5</v>
      </c>
      <c r="B1516" s="1" t="s">
        <v>303</v>
      </c>
      <c r="C1516" s="4">
        <v>6</v>
      </c>
      <c r="D1516" s="8">
        <v>4.4800000000000004</v>
      </c>
      <c r="E1516" s="4">
        <v>6</v>
      </c>
      <c r="F1516" s="8">
        <v>7.06</v>
      </c>
      <c r="G1516" s="4">
        <v>0</v>
      </c>
      <c r="H1516" s="8">
        <v>0</v>
      </c>
      <c r="I1516" s="4">
        <v>0</v>
      </c>
    </row>
    <row r="1517" spans="1:9" x14ac:dyDescent="0.2">
      <c r="A1517" s="2">
        <v>6</v>
      </c>
      <c r="B1517" s="1" t="s">
        <v>297</v>
      </c>
      <c r="C1517" s="4">
        <v>5</v>
      </c>
      <c r="D1517" s="8">
        <v>3.73</v>
      </c>
      <c r="E1517" s="4">
        <v>4</v>
      </c>
      <c r="F1517" s="8">
        <v>4.71</v>
      </c>
      <c r="G1517" s="4">
        <v>0</v>
      </c>
      <c r="H1517" s="8">
        <v>0</v>
      </c>
      <c r="I1517" s="4">
        <v>0</v>
      </c>
    </row>
    <row r="1518" spans="1:9" x14ac:dyDescent="0.2">
      <c r="A1518" s="2">
        <v>6</v>
      </c>
      <c r="B1518" s="1" t="s">
        <v>300</v>
      </c>
      <c r="C1518" s="4">
        <v>5</v>
      </c>
      <c r="D1518" s="8">
        <v>3.73</v>
      </c>
      <c r="E1518" s="4">
        <v>5</v>
      </c>
      <c r="F1518" s="8">
        <v>5.88</v>
      </c>
      <c r="G1518" s="4">
        <v>0</v>
      </c>
      <c r="H1518" s="8">
        <v>0</v>
      </c>
      <c r="I1518" s="4">
        <v>0</v>
      </c>
    </row>
    <row r="1519" spans="1:9" x14ac:dyDescent="0.2">
      <c r="A1519" s="2">
        <v>6</v>
      </c>
      <c r="B1519" s="1" t="s">
        <v>304</v>
      </c>
      <c r="C1519" s="4">
        <v>5</v>
      </c>
      <c r="D1519" s="8">
        <v>3.73</v>
      </c>
      <c r="E1519" s="4">
        <v>5</v>
      </c>
      <c r="F1519" s="8">
        <v>5.88</v>
      </c>
      <c r="G1519" s="4">
        <v>0</v>
      </c>
      <c r="H1519" s="8">
        <v>0</v>
      </c>
      <c r="I1519" s="4">
        <v>0</v>
      </c>
    </row>
    <row r="1520" spans="1:9" x14ac:dyDescent="0.2">
      <c r="A1520" s="2">
        <v>9</v>
      </c>
      <c r="B1520" s="1" t="s">
        <v>373</v>
      </c>
      <c r="C1520" s="4">
        <v>4</v>
      </c>
      <c r="D1520" s="8">
        <v>2.99</v>
      </c>
      <c r="E1520" s="4">
        <v>4</v>
      </c>
      <c r="F1520" s="8">
        <v>4.71</v>
      </c>
      <c r="G1520" s="4">
        <v>0</v>
      </c>
      <c r="H1520" s="8">
        <v>0</v>
      </c>
      <c r="I1520" s="4">
        <v>0</v>
      </c>
    </row>
    <row r="1521" spans="1:9" x14ac:dyDescent="0.2">
      <c r="A1521" s="2">
        <v>10</v>
      </c>
      <c r="B1521" s="1" t="s">
        <v>290</v>
      </c>
      <c r="C1521" s="4">
        <v>3</v>
      </c>
      <c r="D1521" s="8">
        <v>2.2400000000000002</v>
      </c>
      <c r="E1521" s="4">
        <v>0</v>
      </c>
      <c r="F1521" s="8">
        <v>0</v>
      </c>
      <c r="G1521" s="4">
        <v>3</v>
      </c>
      <c r="H1521" s="8">
        <v>6.82</v>
      </c>
      <c r="I1521" s="4">
        <v>0</v>
      </c>
    </row>
    <row r="1522" spans="1:9" x14ac:dyDescent="0.2">
      <c r="A1522" s="2">
        <v>10</v>
      </c>
      <c r="B1522" s="1" t="s">
        <v>358</v>
      </c>
      <c r="C1522" s="4">
        <v>3</v>
      </c>
      <c r="D1522" s="8">
        <v>2.2400000000000002</v>
      </c>
      <c r="E1522" s="4">
        <v>2</v>
      </c>
      <c r="F1522" s="8">
        <v>2.35</v>
      </c>
      <c r="G1522" s="4">
        <v>1</v>
      </c>
      <c r="H1522" s="8">
        <v>2.27</v>
      </c>
      <c r="I1522" s="4">
        <v>0</v>
      </c>
    </row>
    <row r="1523" spans="1:9" x14ac:dyDescent="0.2">
      <c r="A1523" s="2">
        <v>10</v>
      </c>
      <c r="B1523" s="1" t="s">
        <v>335</v>
      </c>
      <c r="C1523" s="4">
        <v>3</v>
      </c>
      <c r="D1523" s="8">
        <v>2.2400000000000002</v>
      </c>
      <c r="E1523" s="4">
        <v>2</v>
      </c>
      <c r="F1523" s="8">
        <v>2.35</v>
      </c>
      <c r="G1523" s="4">
        <v>1</v>
      </c>
      <c r="H1523" s="8">
        <v>2.27</v>
      </c>
      <c r="I1523" s="4">
        <v>0</v>
      </c>
    </row>
    <row r="1524" spans="1:9" x14ac:dyDescent="0.2">
      <c r="A1524" s="2">
        <v>10</v>
      </c>
      <c r="B1524" s="1" t="s">
        <v>330</v>
      </c>
      <c r="C1524" s="4">
        <v>3</v>
      </c>
      <c r="D1524" s="8">
        <v>2.2400000000000002</v>
      </c>
      <c r="E1524" s="4">
        <v>1</v>
      </c>
      <c r="F1524" s="8">
        <v>1.18</v>
      </c>
      <c r="G1524" s="4">
        <v>2</v>
      </c>
      <c r="H1524" s="8">
        <v>4.55</v>
      </c>
      <c r="I1524" s="4">
        <v>0</v>
      </c>
    </row>
    <row r="1525" spans="1:9" x14ac:dyDescent="0.2">
      <c r="A1525" s="2">
        <v>10</v>
      </c>
      <c r="B1525" s="1" t="s">
        <v>334</v>
      </c>
      <c r="C1525" s="4">
        <v>3</v>
      </c>
      <c r="D1525" s="8">
        <v>2.2400000000000002</v>
      </c>
      <c r="E1525" s="4">
        <v>3</v>
      </c>
      <c r="F1525" s="8">
        <v>3.53</v>
      </c>
      <c r="G1525" s="4">
        <v>0</v>
      </c>
      <c r="H1525" s="8">
        <v>0</v>
      </c>
      <c r="I1525" s="4">
        <v>0</v>
      </c>
    </row>
    <row r="1526" spans="1:9" x14ac:dyDescent="0.2">
      <c r="A1526" s="2">
        <v>10</v>
      </c>
      <c r="B1526" s="1" t="s">
        <v>299</v>
      </c>
      <c r="C1526" s="4">
        <v>3</v>
      </c>
      <c r="D1526" s="8">
        <v>2.2400000000000002</v>
      </c>
      <c r="E1526" s="4">
        <v>3</v>
      </c>
      <c r="F1526" s="8">
        <v>3.53</v>
      </c>
      <c r="G1526" s="4">
        <v>0</v>
      </c>
      <c r="H1526" s="8">
        <v>0</v>
      </c>
      <c r="I1526" s="4">
        <v>0</v>
      </c>
    </row>
    <row r="1527" spans="1:9" x14ac:dyDescent="0.2">
      <c r="A1527" s="2">
        <v>10</v>
      </c>
      <c r="B1527" s="1" t="s">
        <v>349</v>
      </c>
      <c r="C1527" s="4">
        <v>3</v>
      </c>
      <c r="D1527" s="8">
        <v>2.2400000000000002</v>
      </c>
      <c r="E1527" s="4">
        <v>2</v>
      </c>
      <c r="F1527" s="8">
        <v>2.35</v>
      </c>
      <c r="G1527" s="4">
        <v>1</v>
      </c>
      <c r="H1527" s="8">
        <v>2.27</v>
      </c>
      <c r="I1527" s="4">
        <v>0</v>
      </c>
    </row>
    <row r="1528" spans="1:9" x14ac:dyDescent="0.2">
      <c r="A1528" s="2">
        <v>17</v>
      </c>
      <c r="B1528" s="1" t="s">
        <v>385</v>
      </c>
      <c r="C1528" s="4">
        <v>2</v>
      </c>
      <c r="D1528" s="8">
        <v>1.49</v>
      </c>
      <c r="E1528" s="4">
        <v>0</v>
      </c>
      <c r="F1528" s="8">
        <v>0</v>
      </c>
      <c r="G1528" s="4">
        <v>2</v>
      </c>
      <c r="H1528" s="8">
        <v>4.55</v>
      </c>
      <c r="I1528" s="4">
        <v>0</v>
      </c>
    </row>
    <row r="1529" spans="1:9" x14ac:dyDescent="0.2">
      <c r="A1529" s="2">
        <v>17</v>
      </c>
      <c r="B1529" s="1" t="s">
        <v>354</v>
      </c>
      <c r="C1529" s="4">
        <v>2</v>
      </c>
      <c r="D1529" s="8">
        <v>1.49</v>
      </c>
      <c r="E1529" s="4">
        <v>0</v>
      </c>
      <c r="F1529" s="8">
        <v>0</v>
      </c>
      <c r="G1529" s="4">
        <v>2</v>
      </c>
      <c r="H1529" s="8">
        <v>4.55</v>
      </c>
      <c r="I1529" s="4">
        <v>0</v>
      </c>
    </row>
    <row r="1530" spans="1:9" x14ac:dyDescent="0.2">
      <c r="A1530" s="2">
        <v>17</v>
      </c>
      <c r="B1530" s="1" t="s">
        <v>366</v>
      </c>
      <c r="C1530" s="4">
        <v>2</v>
      </c>
      <c r="D1530" s="8">
        <v>1.49</v>
      </c>
      <c r="E1530" s="4">
        <v>1</v>
      </c>
      <c r="F1530" s="8">
        <v>1.18</v>
      </c>
      <c r="G1530" s="4">
        <v>1</v>
      </c>
      <c r="H1530" s="8">
        <v>2.27</v>
      </c>
      <c r="I1530" s="4">
        <v>0</v>
      </c>
    </row>
    <row r="1531" spans="1:9" x14ac:dyDescent="0.2">
      <c r="A1531" s="2">
        <v>17</v>
      </c>
      <c r="B1531" s="1" t="s">
        <v>294</v>
      </c>
      <c r="C1531" s="4">
        <v>2</v>
      </c>
      <c r="D1531" s="8">
        <v>1.49</v>
      </c>
      <c r="E1531" s="4">
        <v>2</v>
      </c>
      <c r="F1531" s="8">
        <v>2.35</v>
      </c>
      <c r="G1531" s="4">
        <v>0</v>
      </c>
      <c r="H1531" s="8">
        <v>0</v>
      </c>
      <c r="I1531" s="4">
        <v>0</v>
      </c>
    </row>
    <row r="1532" spans="1:9" x14ac:dyDescent="0.2">
      <c r="A1532" s="2">
        <v>17</v>
      </c>
      <c r="B1532" s="1" t="s">
        <v>355</v>
      </c>
      <c r="C1532" s="4">
        <v>2</v>
      </c>
      <c r="D1532" s="8">
        <v>1.49</v>
      </c>
      <c r="E1532" s="4">
        <v>0</v>
      </c>
      <c r="F1532" s="8">
        <v>0</v>
      </c>
      <c r="G1532" s="4">
        <v>2</v>
      </c>
      <c r="H1532" s="8">
        <v>4.55</v>
      </c>
      <c r="I1532" s="4">
        <v>0</v>
      </c>
    </row>
    <row r="1533" spans="1:9" x14ac:dyDescent="0.2">
      <c r="A1533" s="2">
        <v>17</v>
      </c>
      <c r="B1533" s="1" t="s">
        <v>396</v>
      </c>
      <c r="C1533" s="4">
        <v>2</v>
      </c>
      <c r="D1533" s="8">
        <v>1.49</v>
      </c>
      <c r="E1533" s="4">
        <v>1</v>
      </c>
      <c r="F1533" s="8">
        <v>1.18</v>
      </c>
      <c r="G1533" s="4">
        <v>1</v>
      </c>
      <c r="H1533" s="8">
        <v>2.27</v>
      </c>
      <c r="I1533" s="4">
        <v>0</v>
      </c>
    </row>
    <row r="1534" spans="1:9" x14ac:dyDescent="0.2">
      <c r="A1534" s="2">
        <v>17</v>
      </c>
      <c r="B1534" s="1" t="s">
        <v>370</v>
      </c>
      <c r="C1534" s="4">
        <v>2</v>
      </c>
      <c r="D1534" s="8">
        <v>1.49</v>
      </c>
      <c r="E1534" s="4">
        <v>0</v>
      </c>
      <c r="F1534" s="8">
        <v>0</v>
      </c>
      <c r="G1534" s="4">
        <v>1</v>
      </c>
      <c r="H1534" s="8">
        <v>2.27</v>
      </c>
      <c r="I1534" s="4">
        <v>0</v>
      </c>
    </row>
    <row r="1535" spans="1:9" x14ac:dyDescent="0.2">
      <c r="A1535" s="2">
        <v>17</v>
      </c>
      <c r="B1535" s="1" t="s">
        <v>397</v>
      </c>
      <c r="C1535" s="4">
        <v>2</v>
      </c>
      <c r="D1535" s="8">
        <v>1.49</v>
      </c>
      <c r="E1535" s="4">
        <v>0</v>
      </c>
      <c r="F1535" s="8">
        <v>0</v>
      </c>
      <c r="G1535" s="4">
        <v>2</v>
      </c>
      <c r="H1535" s="8">
        <v>4.55</v>
      </c>
      <c r="I1535" s="4">
        <v>0</v>
      </c>
    </row>
    <row r="1536" spans="1:9" x14ac:dyDescent="0.2">
      <c r="A1536" s="2">
        <v>17</v>
      </c>
      <c r="B1536" s="1" t="s">
        <v>371</v>
      </c>
      <c r="C1536" s="4">
        <v>2</v>
      </c>
      <c r="D1536" s="8">
        <v>1.49</v>
      </c>
      <c r="E1536" s="4">
        <v>2</v>
      </c>
      <c r="F1536" s="8">
        <v>2.35</v>
      </c>
      <c r="G1536" s="4">
        <v>0</v>
      </c>
      <c r="H1536" s="8">
        <v>0</v>
      </c>
      <c r="I1536" s="4">
        <v>0</v>
      </c>
    </row>
    <row r="1537" spans="1:9" x14ac:dyDescent="0.2">
      <c r="A1537" s="1"/>
      <c r="C1537" s="4"/>
      <c r="D1537" s="8"/>
      <c r="E1537" s="4"/>
      <c r="F1537" s="8"/>
      <c r="G1537" s="4"/>
      <c r="H1537" s="8"/>
      <c r="I1537" s="4"/>
    </row>
    <row r="1538" spans="1:9" x14ac:dyDescent="0.2">
      <c r="A1538" s="1" t="s">
        <v>62</v>
      </c>
      <c r="C1538" s="4"/>
      <c r="D1538" s="8"/>
      <c r="E1538" s="4"/>
      <c r="F1538" s="8"/>
      <c r="G1538" s="4"/>
      <c r="H1538" s="8"/>
      <c r="I1538" s="4"/>
    </row>
    <row r="1539" spans="1:9" x14ac:dyDescent="0.2">
      <c r="A1539" s="2">
        <v>1</v>
      </c>
      <c r="B1539" s="1" t="s">
        <v>304</v>
      </c>
      <c r="C1539" s="4">
        <v>12</v>
      </c>
      <c r="D1539" s="8">
        <v>7.64</v>
      </c>
      <c r="E1539" s="4">
        <v>12</v>
      </c>
      <c r="F1539" s="8">
        <v>12.9</v>
      </c>
      <c r="G1539" s="4">
        <v>0</v>
      </c>
      <c r="H1539" s="8">
        <v>0</v>
      </c>
      <c r="I1539" s="4">
        <v>0</v>
      </c>
    </row>
    <row r="1540" spans="1:9" x14ac:dyDescent="0.2">
      <c r="A1540" s="2">
        <v>2</v>
      </c>
      <c r="B1540" s="1" t="s">
        <v>297</v>
      </c>
      <c r="C1540" s="4">
        <v>7</v>
      </c>
      <c r="D1540" s="8">
        <v>4.46</v>
      </c>
      <c r="E1540" s="4">
        <v>6</v>
      </c>
      <c r="F1540" s="8">
        <v>6.45</v>
      </c>
      <c r="G1540" s="4">
        <v>1</v>
      </c>
      <c r="H1540" s="8">
        <v>1.79</v>
      </c>
      <c r="I1540" s="4">
        <v>0</v>
      </c>
    </row>
    <row r="1541" spans="1:9" x14ac:dyDescent="0.2">
      <c r="A1541" s="2">
        <v>2</v>
      </c>
      <c r="B1541" s="1" t="s">
        <v>301</v>
      </c>
      <c r="C1541" s="4">
        <v>7</v>
      </c>
      <c r="D1541" s="8">
        <v>4.46</v>
      </c>
      <c r="E1541" s="4">
        <v>7</v>
      </c>
      <c r="F1541" s="8">
        <v>7.53</v>
      </c>
      <c r="G1541" s="4">
        <v>0</v>
      </c>
      <c r="H1541" s="8">
        <v>0</v>
      </c>
      <c r="I1541" s="4">
        <v>0</v>
      </c>
    </row>
    <row r="1542" spans="1:9" x14ac:dyDescent="0.2">
      <c r="A1542" s="2">
        <v>2</v>
      </c>
      <c r="B1542" s="1" t="s">
        <v>303</v>
      </c>
      <c r="C1542" s="4">
        <v>7</v>
      </c>
      <c r="D1542" s="8">
        <v>4.46</v>
      </c>
      <c r="E1542" s="4">
        <v>7</v>
      </c>
      <c r="F1542" s="8">
        <v>7.53</v>
      </c>
      <c r="G1542" s="4">
        <v>0</v>
      </c>
      <c r="H1542" s="8">
        <v>0</v>
      </c>
      <c r="I1542" s="4">
        <v>0</v>
      </c>
    </row>
    <row r="1543" spans="1:9" x14ac:dyDescent="0.2">
      <c r="A1543" s="2">
        <v>5</v>
      </c>
      <c r="B1543" s="1" t="s">
        <v>299</v>
      </c>
      <c r="C1543" s="4">
        <v>6</v>
      </c>
      <c r="D1543" s="8">
        <v>3.82</v>
      </c>
      <c r="E1543" s="4">
        <v>5</v>
      </c>
      <c r="F1543" s="8">
        <v>5.38</v>
      </c>
      <c r="G1543" s="4">
        <v>1</v>
      </c>
      <c r="H1543" s="8">
        <v>1.79</v>
      </c>
      <c r="I1543" s="4">
        <v>0</v>
      </c>
    </row>
    <row r="1544" spans="1:9" x14ac:dyDescent="0.2">
      <c r="A1544" s="2">
        <v>6</v>
      </c>
      <c r="B1544" s="1" t="s">
        <v>289</v>
      </c>
      <c r="C1544" s="4">
        <v>4</v>
      </c>
      <c r="D1544" s="8">
        <v>2.5499999999999998</v>
      </c>
      <c r="E1544" s="4">
        <v>1</v>
      </c>
      <c r="F1544" s="8">
        <v>1.08</v>
      </c>
      <c r="G1544" s="4">
        <v>3</v>
      </c>
      <c r="H1544" s="8">
        <v>5.36</v>
      </c>
      <c r="I1544" s="4">
        <v>0</v>
      </c>
    </row>
    <row r="1545" spans="1:9" x14ac:dyDescent="0.2">
      <c r="A1545" s="2">
        <v>6</v>
      </c>
      <c r="B1545" s="1" t="s">
        <v>294</v>
      </c>
      <c r="C1545" s="4">
        <v>4</v>
      </c>
      <c r="D1545" s="8">
        <v>2.5499999999999998</v>
      </c>
      <c r="E1545" s="4">
        <v>3</v>
      </c>
      <c r="F1545" s="8">
        <v>3.23</v>
      </c>
      <c r="G1545" s="4">
        <v>1</v>
      </c>
      <c r="H1545" s="8">
        <v>1.79</v>
      </c>
      <c r="I1545" s="4">
        <v>0</v>
      </c>
    </row>
    <row r="1546" spans="1:9" x14ac:dyDescent="0.2">
      <c r="A1546" s="2">
        <v>6</v>
      </c>
      <c r="B1546" s="1" t="s">
        <v>372</v>
      </c>
      <c r="C1546" s="4">
        <v>4</v>
      </c>
      <c r="D1546" s="8">
        <v>2.5499999999999998</v>
      </c>
      <c r="E1546" s="4">
        <v>4</v>
      </c>
      <c r="F1546" s="8">
        <v>4.3</v>
      </c>
      <c r="G1546" s="4">
        <v>0</v>
      </c>
      <c r="H1546" s="8">
        <v>0</v>
      </c>
      <c r="I1546" s="4">
        <v>0</v>
      </c>
    </row>
    <row r="1547" spans="1:9" x14ac:dyDescent="0.2">
      <c r="A1547" s="2">
        <v>6</v>
      </c>
      <c r="B1547" s="1" t="s">
        <v>334</v>
      </c>
      <c r="C1547" s="4">
        <v>4</v>
      </c>
      <c r="D1547" s="8">
        <v>2.5499999999999998</v>
      </c>
      <c r="E1547" s="4">
        <v>2</v>
      </c>
      <c r="F1547" s="8">
        <v>2.15</v>
      </c>
      <c r="G1547" s="4">
        <v>2</v>
      </c>
      <c r="H1547" s="8">
        <v>3.57</v>
      </c>
      <c r="I1547" s="4">
        <v>0</v>
      </c>
    </row>
    <row r="1548" spans="1:9" x14ac:dyDescent="0.2">
      <c r="A1548" s="2">
        <v>6</v>
      </c>
      <c r="B1548" s="1" t="s">
        <v>305</v>
      </c>
      <c r="C1548" s="4">
        <v>4</v>
      </c>
      <c r="D1548" s="8">
        <v>2.5499999999999998</v>
      </c>
      <c r="E1548" s="4">
        <v>4</v>
      </c>
      <c r="F1548" s="8">
        <v>4.3</v>
      </c>
      <c r="G1548" s="4">
        <v>0</v>
      </c>
      <c r="H1548" s="8">
        <v>0</v>
      </c>
      <c r="I1548" s="4">
        <v>0</v>
      </c>
    </row>
    <row r="1549" spans="1:9" x14ac:dyDescent="0.2">
      <c r="A1549" s="2">
        <v>11</v>
      </c>
      <c r="B1549" s="1" t="s">
        <v>328</v>
      </c>
      <c r="C1549" s="4">
        <v>3</v>
      </c>
      <c r="D1549" s="8">
        <v>1.91</v>
      </c>
      <c r="E1549" s="4">
        <v>1</v>
      </c>
      <c r="F1549" s="8">
        <v>1.08</v>
      </c>
      <c r="G1549" s="4">
        <v>2</v>
      </c>
      <c r="H1549" s="8">
        <v>3.57</v>
      </c>
      <c r="I1549" s="4">
        <v>0</v>
      </c>
    </row>
    <row r="1550" spans="1:9" x14ac:dyDescent="0.2">
      <c r="A1550" s="2">
        <v>11</v>
      </c>
      <c r="B1550" s="1" t="s">
        <v>333</v>
      </c>
      <c r="C1550" s="4">
        <v>3</v>
      </c>
      <c r="D1550" s="8">
        <v>1.91</v>
      </c>
      <c r="E1550" s="4">
        <v>2</v>
      </c>
      <c r="F1550" s="8">
        <v>2.15</v>
      </c>
      <c r="G1550" s="4">
        <v>1</v>
      </c>
      <c r="H1550" s="8">
        <v>1.79</v>
      </c>
      <c r="I1550" s="4">
        <v>0</v>
      </c>
    </row>
    <row r="1551" spans="1:9" x14ac:dyDescent="0.2">
      <c r="A1551" s="2">
        <v>11</v>
      </c>
      <c r="B1551" s="1" t="s">
        <v>291</v>
      </c>
      <c r="C1551" s="4">
        <v>3</v>
      </c>
      <c r="D1551" s="8">
        <v>1.91</v>
      </c>
      <c r="E1551" s="4">
        <v>2</v>
      </c>
      <c r="F1551" s="8">
        <v>2.15</v>
      </c>
      <c r="G1551" s="4">
        <v>1</v>
      </c>
      <c r="H1551" s="8">
        <v>1.79</v>
      </c>
      <c r="I1551" s="4">
        <v>0</v>
      </c>
    </row>
    <row r="1552" spans="1:9" x14ac:dyDescent="0.2">
      <c r="A1552" s="2">
        <v>11</v>
      </c>
      <c r="B1552" s="1" t="s">
        <v>314</v>
      </c>
      <c r="C1552" s="4">
        <v>3</v>
      </c>
      <c r="D1552" s="8">
        <v>1.91</v>
      </c>
      <c r="E1552" s="4">
        <v>0</v>
      </c>
      <c r="F1552" s="8">
        <v>0</v>
      </c>
      <c r="G1552" s="4">
        <v>3</v>
      </c>
      <c r="H1552" s="8">
        <v>5.36</v>
      </c>
      <c r="I1552" s="4">
        <v>0</v>
      </c>
    </row>
    <row r="1553" spans="1:9" x14ac:dyDescent="0.2">
      <c r="A1553" s="2">
        <v>11</v>
      </c>
      <c r="B1553" s="1" t="s">
        <v>300</v>
      </c>
      <c r="C1553" s="4">
        <v>3</v>
      </c>
      <c r="D1553" s="8">
        <v>1.91</v>
      </c>
      <c r="E1553" s="4">
        <v>3</v>
      </c>
      <c r="F1553" s="8">
        <v>3.23</v>
      </c>
      <c r="G1553" s="4">
        <v>0</v>
      </c>
      <c r="H1553" s="8">
        <v>0</v>
      </c>
      <c r="I1553" s="4">
        <v>0</v>
      </c>
    </row>
    <row r="1554" spans="1:9" x14ac:dyDescent="0.2">
      <c r="A1554" s="2">
        <v>11</v>
      </c>
      <c r="B1554" s="1" t="s">
        <v>302</v>
      </c>
      <c r="C1554" s="4">
        <v>3</v>
      </c>
      <c r="D1554" s="8">
        <v>1.91</v>
      </c>
      <c r="E1554" s="4">
        <v>3</v>
      </c>
      <c r="F1554" s="8">
        <v>3.23</v>
      </c>
      <c r="G1554" s="4">
        <v>0</v>
      </c>
      <c r="H1554" s="8">
        <v>0</v>
      </c>
      <c r="I1554" s="4">
        <v>0</v>
      </c>
    </row>
    <row r="1555" spans="1:9" x14ac:dyDescent="0.2">
      <c r="A1555" s="2">
        <v>11</v>
      </c>
      <c r="B1555" s="1" t="s">
        <v>307</v>
      </c>
      <c r="C1555" s="4">
        <v>3</v>
      </c>
      <c r="D1555" s="8">
        <v>1.91</v>
      </c>
      <c r="E1555" s="4">
        <v>2</v>
      </c>
      <c r="F1555" s="8">
        <v>2.15</v>
      </c>
      <c r="G1555" s="4">
        <v>1</v>
      </c>
      <c r="H1555" s="8">
        <v>1.79</v>
      </c>
      <c r="I1555" s="4">
        <v>0</v>
      </c>
    </row>
    <row r="1556" spans="1:9" x14ac:dyDescent="0.2">
      <c r="A1556" s="2">
        <v>18</v>
      </c>
      <c r="B1556" s="1" t="s">
        <v>288</v>
      </c>
      <c r="C1556" s="4">
        <v>2</v>
      </c>
      <c r="D1556" s="8">
        <v>1.27</v>
      </c>
      <c r="E1556" s="4">
        <v>0</v>
      </c>
      <c r="F1556" s="8">
        <v>0</v>
      </c>
      <c r="G1556" s="4">
        <v>2</v>
      </c>
      <c r="H1556" s="8">
        <v>3.57</v>
      </c>
      <c r="I1556" s="4">
        <v>0</v>
      </c>
    </row>
    <row r="1557" spans="1:9" x14ac:dyDescent="0.2">
      <c r="A1557" s="2">
        <v>18</v>
      </c>
      <c r="B1557" s="1" t="s">
        <v>398</v>
      </c>
      <c r="C1557" s="4">
        <v>2</v>
      </c>
      <c r="D1557" s="8">
        <v>1.27</v>
      </c>
      <c r="E1557" s="4">
        <v>0</v>
      </c>
      <c r="F1557" s="8">
        <v>0</v>
      </c>
      <c r="G1557" s="4">
        <v>2</v>
      </c>
      <c r="H1557" s="8">
        <v>3.57</v>
      </c>
      <c r="I1557" s="4">
        <v>0</v>
      </c>
    </row>
    <row r="1558" spans="1:9" x14ac:dyDescent="0.2">
      <c r="A1558" s="2">
        <v>18</v>
      </c>
      <c r="B1558" s="1" t="s">
        <v>319</v>
      </c>
      <c r="C1558" s="4">
        <v>2</v>
      </c>
      <c r="D1558" s="8">
        <v>1.27</v>
      </c>
      <c r="E1558" s="4">
        <v>1</v>
      </c>
      <c r="F1558" s="8">
        <v>1.08</v>
      </c>
      <c r="G1558" s="4">
        <v>1</v>
      </c>
      <c r="H1558" s="8">
        <v>1.79</v>
      </c>
      <c r="I1558" s="4">
        <v>0</v>
      </c>
    </row>
    <row r="1559" spans="1:9" x14ac:dyDescent="0.2">
      <c r="A1559" s="2">
        <v>18</v>
      </c>
      <c r="B1559" s="1" t="s">
        <v>353</v>
      </c>
      <c r="C1559" s="4">
        <v>2</v>
      </c>
      <c r="D1559" s="8">
        <v>1.27</v>
      </c>
      <c r="E1559" s="4">
        <v>0</v>
      </c>
      <c r="F1559" s="8">
        <v>0</v>
      </c>
      <c r="G1559" s="4">
        <v>2</v>
      </c>
      <c r="H1559" s="8">
        <v>3.57</v>
      </c>
      <c r="I1559" s="4">
        <v>0</v>
      </c>
    </row>
    <row r="1560" spans="1:9" x14ac:dyDescent="0.2">
      <c r="A1560" s="2">
        <v>18</v>
      </c>
      <c r="B1560" s="1" t="s">
        <v>290</v>
      </c>
      <c r="C1560" s="4">
        <v>2</v>
      </c>
      <c r="D1560" s="8">
        <v>1.27</v>
      </c>
      <c r="E1560" s="4">
        <v>0</v>
      </c>
      <c r="F1560" s="8">
        <v>0</v>
      </c>
      <c r="G1560" s="4">
        <v>2</v>
      </c>
      <c r="H1560" s="8">
        <v>3.57</v>
      </c>
      <c r="I1560" s="4">
        <v>0</v>
      </c>
    </row>
    <row r="1561" spans="1:9" x14ac:dyDescent="0.2">
      <c r="A1561" s="2">
        <v>18</v>
      </c>
      <c r="B1561" s="1" t="s">
        <v>359</v>
      </c>
      <c r="C1561" s="4">
        <v>2</v>
      </c>
      <c r="D1561" s="8">
        <v>1.27</v>
      </c>
      <c r="E1561" s="4">
        <v>1</v>
      </c>
      <c r="F1561" s="8">
        <v>1.08</v>
      </c>
      <c r="G1561" s="4">
        <v>1</v>
      </c>
      <c r="H1561" s="8">
        <v>1.79</v>
      </c>
      <c r="I1561" s="4">
        <v>0</v>
      </c>
    </row>
    <row r="1562" spans="1:9" x14ac:dyDescent="0.2">
      <c r="A1562" s="2">
        <v>18</v>
      </c>
      <c r="B1562" s="1" t="s">
        <v>399</v>
      </c>
      <c r="C1562" s="4">
        <v>2</v>
      </c>
      <c r="D1562" s="8">
        <v>1.27</v>
      </c>
      <c r="E1562" s="4">
        <v>2</v>
      </c>
      <c r="F1562" s="8">
        <v>2.15</v>
      </c>
      <c r="G1562" s="4">
        <v>0</v>
      </c>
      <c r="H1562" s="8">
        <v>0</v>
      </c>
      <c r="I1562" s="4">
        <v>0</v>
      </c>
    </row>
    <row r="1563" spans="1:9" x14ac:dyDescent="0.2">
      <c r="A1563" s="2">
        <v>18</v>
      </c>
      <c r="B1563" s="1" t="s">
        <v>361</v>
      </c>
      <c r="C1563" s="4">
        <v>2</v>
      </c>
      <c r="D1563" s="8">
        <v>1.27</v>
      </c>
      <c r="E1563" s="4">
        <v>0</v>
      </c>
      <c r="F1563" s="8">
        <v>0</v>
      </c>
      <c r="G1563" s="4">
        <v>0</v>
      </c>
      <c r="H1563" s="8">
        <v>0</v>
      </c>
      <c r="I1563" s="4">
        <v>0</v>
      </c>
    </row>
    <row r="1564" spans="1:9" x14ac:dyDescent="0.2">
      <c r="A1564" s="2">
        <v>18</v>
      </c>
      <c r="B1564" s="1" t="s">
        <v>400</v>
      </c>
      <c r="C1564" s="4">
        <v>2</v>
      </c>
      <c r="D1564" s="8">
        <v>1.27</v>
      </c>
      <c r="E1564" s="4">
        <v>1</v>
      </c>
      <c r="F1564" s="8">
        <v>1.08</v>
      </c>
      <c r="G1564" s="4">
        <v>1</v>
      </c>
      <c r="H1564" s="8">
        <v>1.79</v>
      </c>
      <c r="I1564" s="4">
        <v>0</v>
      </c>
    </row>
    <row r="1565" spans="1:9" x14ac:dyDescent="0.2">
      <c r="A1565" s="2">
        <v>18</v>
      </c>
      <c r="B1565" s="1" t="s">
        <v>292</v>
      </c>
      <c r="C1565" s="4">
        <v>2</v>
      </c>
      <c r="D1565" s="8">
        <v>1.27</v>
      </c>
      <c r="E1565" s="4">
        <v>1</v>
      </c>
      <c r="F1565" s="8">
        <v>1.08</v>
      </c>
      <c r="G1565" s="4">
        <v>1</v>
      </c>
      <c r="H1565" s="8">
        <v>1.79</v>
      </c>
      <c r="I1565" s="4">
        <v>0</v>
      </c>
    </row>
    <row r="1566" spans="1:9" x14ac:dyDescent="0.2">
      <c r="A1566" s="2">
        <v>18</v>
      </c>
      <c r="B1566" s="1" t="s">
        <v>293</v>
      </c>
      <c r="C1566" s="4">
        <v>2</v>
      </c>
      <c r="D1566" s="8">
        <v>1.27</v>
      </c>
      <c r="E1566" s="4">
        <v>0</v>
      </c>
      <c r="F1566" s="8">
        <v>0</v>
      </c>
      <c r="G1566" s="4">
        <v>2</v>
      </c>
      <c r="H1566" s="8">
        <v>3.57</v>
      </c>
      <c r="I1566" s="4">
        <v>0</v>
      </c>
    </row>
    <row r="1567" spans="1:9" x14ac:dyDescent="0.2">
      <c r="A1567" s="2">
        <v>18</v>
      </c>
      <c r="B1567" s="1" t="s">
        <v>389</v>
      </c>
      <c r="C1567" s="4">
        <v>2</v>
      </c>
      <c r="D1567" s="8">
        <v>1.27</v>
      </c>
      <c r="E1567" s="4">
        <v>2</v>
      </c>
      <c r="F1567" s="8">
        <v>2.15</v>
      </c>
      <c r="G1567" s="4">
        <v>0</v>
      </c>
      <c r="H1567" s="8">
        <v>0</v>
      </c>
      <c r="I1567" s="4">
        <v>0</v>
      </c>
    </row>
    <row r="1568" spans="1:9" x14ac:dyDescent="0.2">
      <c r="A1568" s="2">
        <v>18</v>
      </c>
      <c r="B1568" s="1" t="s">
        <v>335</v>
      </c>
      <c r="C1568" s="4">
        <v>2</v>
      </c>
      <c r="D1568" s="8">
        <v>1.27</v>
      </c>
      <c r="E1568" s="4">
        <v>2</v>
      </c>
      <c r="F1568" s="8">
        <v>2.15</v>
      </c>
      <c r="G1568" s="4">
        <v>0</v>
      </c>
      <c r="H1568" s="8">
        <v>0</v>
      </c>
      <c r="I1568" s="4">
        <v>0</v>
      </c>
    </row>
    <row r="1569" spans="1:9" x14ac:dyDescent="0.2">
      <c r="A1569" s="2">
        <v>18</v>
      </c>
      <c r="B1569" s="1" t="s">
        <v>401</v>
      </c>
      <c r="C1569" s="4">
        <v>2</v>
      </c>
      <c r="D1569" s="8">
        <v>1.27</v>
      </c>
      <c r="E1569" s="4">
        <v>1</v>
      </c>
      <c r="F1569" s="8">
        <v>1.08</v>
      </c>
      <c r="G1569" s="4">
        <v>1</v>
      </c>
      <c r="H1569" s="8">
        <v>1.79</v>
      </c>
      <c r="I1569" s="4">
        <v>0</v>
      </c>
    </row>
    <row r="1570" spans="1:9" x14ac:dyDescent="0.2">
      <c r="A1570" s="2">
        <v>18</v>
      </c>
      <c r="B1570" s="1" t="s">
        <v>402</v>
      </c>
      <c r="C1570" s="4">
        <v>2</v>
      </c>
      <c r="D1570" s="8">
        <v>1.27</v>
      </c>
      <c r="E1570" s="4">
        <v>0</v>
      </c>
      <c r="F1570" s="8">
        <v>0</v>
      </c>
      <c r="G1570" s="4">
        <v>2</v>
      </c>
      <c r="H1570" s="8">
        <v>3.57</v>
      </c>
      <c r="I1570" s="4">
        <v>0</v>
      </c>
    </row>
    <row r="1571" spans="1:9" x14ac:dyDescent="0.2">
      <c r="A1571" s="2">
        <v>18</v>
      </c>
      <c r="B1571" s="1" t="s">
        <v>330</v>
      </c>
      <c r="C1571" s="4">
        <v>2</v>
      </c>
      <c r="D1571" s="8">
        <v>1.27</v>
      </c>
      <c r="E1571" s="4">
        <v>0</v>
      </c>
      <c r="F1571" s="8">
        <v>0</v>
      </c>
      <c r="G1571" s="4">
        <v>2</v>
      </c>
      <c r="H1571" s="8">
        <v>3.57</v>
      </c>
      <c r="I1571" s="4">
        <v>0</v>
      </c>
    </row>
    <row r="1572" spans="1:9" x14ac:dyDescent="0.2">
      <c r="A1572" s="2">
        <v>18</v>
      </c>
      <c r="B1572" s="1" t="s">
        <v>337</v>
      </c>
      <c r="C1572" s="4">
        <v>2</v>
      </c>
      <c r="D1572" s="8">
        <v>1.27</v>
      </c>
      <c r="E1572" s="4">
        <v>2</v>
      </c>
      <c r="F1572" s="8">
        <v>2.15</v>
      </c>
      <c r="G1572" s="4">
        <v>0</v>
      </c>
      <c r="H1572" s="8">
        <v>0</v>
      </c>
      <c r="I1572" s="4">
        <v>0</v>
      </c>
    </row>
    <row r="1573" spans="1:9" x14ac:dyDescent="0.2">
      <c r="A1573" s="2">
        <v>18</v>
      </c>
      <c r="B1573" s="1" t="s">
        <v>295</v>
      </c>
      <c r="C1573" s="4">
        <v>2</v>
      </c>
      <c r="D1573" s="8">
        <v>1.27</v>
      </c>
      <c r="E1573" s="4">
        <v>1</v>
      </c>
      <c r="F1573" s="8">
        <v>1.08</v>
      </c>
      <c r="G1573" s="4">
        <v>1</v>
      </c>
      <c r="H1573" s="8">
        <v>1.79</v>
      </c>
      <c r="I1573" s="4">
        <v>0</v>
      </c>
    </row>
    <row r="1574" spans="1:9" x14ac:dyDescent="0.2">
      <c r="A1574" s="2">
        <v>18</v>
      </c>
      <c r="B1574" s="1" t="s">
        <v>339</v>
      </c>
      <c r="C1574" s="4">
        <v>2</v>
      </c>
      <c r="D1574" s="8">
        <v>1.27</v>
      </c>
      <c r="E1574" s="4">
        <v>2</v>
      </c>
      <c r="F1574" s="8">
        <v>2.15</v>
      </c>
      <c r="G1574" s="4">
        <v>0</v>
      </c>
      <c r="H1574" s="8">
        <v>0</v>
      </c>
      <c r="I1574" s="4">
        <v>0</v>
      </c>
    </row>
    <row r="1575" spans="1:9" x14ac:dyDescent="0.2">
      <c r="A1575" s="2">
        <v>18</v>
      </c>
      <c r="B1575" s="1" t="s">
        <v>391</v>
      </c>
      <c r="C1575" s="4">
        <v>2</v>
      </c>
      <c r="D1575" s="8">
        <v>1.27</v>
      </c>
      <c r="E1575" s="4">
        <v>2</v>
      </c>
      <c r="F1575" s="8">
        <v>2.15</v>
      </c>
      <c r="G1575" s="4">
        <v>0</v>
      </c>
      <c r="H1575" s="8">
        <v>0</v>
      </c>
      <c r="I1575" s="4">
        <v>0</v>
      </c>
    </row>
    <row r="1576" spans="1:9" x14ac:dyDescent="0.2">
      <c r="A1576" s="2">
        <v>18</v>
      </c>
      <c r="B1576" s="1" t="s">
        <v>340</v>
      </c>
      <c r="C1576" s="4">
        <v>2</v>
      </c>
      <c r="D1576" s="8">
        <v>1.27</v>
      </c>
      <c r="E1576" s="4">
        <v>0</v>
      </c>
      <c r="F1576" s="8">
        <v>0</v>
      </c>
      <c r="G1576" s="4">
        <v>0</v>
      </c>
      <c r="H1576" s="8">
        <v>0</v>
      </c>
      <c r="I1576" s="4">
        <v>0</v>
      </c>
    </row>
    <row r="1577" spans="1:9" x14ac:dyDescent="0.2">
      <c r="A1577" s="2">
        <v>18</v>
      </c>
      <c r="B1577" s="1" t="s">
        <v>327</v>
      </c>
      <c r="C1577" s="4">
        <v>2</v>
      </c>
      <c r="D1577" s="8">
        <v>1.27</v>
      </c>
      <c r="E1577" s="4">
        <v>2</v>
      </c>
      <c r="F1577" s="8">
        <v>2.15</v>
      </c>
      <c r="G1577" s="4">
        <v>0</v>
      </c>
      <c r="H1577" s="8">
        <v>0</v>
      </c>
      <c r="I1577" s="4">
        <v>0</v>
      </c>
    </row>
    <row r="1578" spans="1:9" x14ac:dyDescent="0.2">
      <c r="A1578" s="2">
        <v>18</v>
      </c>
      <c r="B1578" s="1" t="s">
        <v>306</v>
      </c>
      <c r="C1578" s="4">
        <v>2</v>
      </c>
      <c r="D1578" s="8">
        <v>1.27</v>
      </c>
      <c r="E1578" s="4">
        <v>2</v>
      </c>
      <c r="F1578" s="8">
        <v>2.15</v>
      </c>
      <c r="G1578" s="4">
        <v>0</v>
      </c>
      <c r="H1578" s="8">
        <v>0</v>
      </c>
      <c r="I1578" s="4">
        <v>0</v>
      </c>
    </row>
    <row r="1579" spans="1:9" x14ac:dyDescent="0.2">
      <c r="A1579" s="2">
        <v>18</v>
      </c>
      <c r="B1579" s="1" t="s">
        <v>341</v>
      </c>
      <c r="C1579" s="4">
        <v>2</v>
      </c>
      <c r="D1579" s="8">
        <v>1.27</v>
      </c>
      <c r="E1579" s="4">
        <v>0</v>
      </c>
      <c r="F1579" s="8">
        <v>0</v>
      </c>
      <c r="G1579" s="4">
        <v>0</v>
      </c>
      <c r="H1579" s="8">
        <v>0</v>
      </c>
      <c r="I1579" s="4">
        <v>0</v>
      </c>
    </row>
    <row r="1580" spans="1:9" x14ac:dyDescent="0.2">
      <c r="A1580" s="1"/>
      <c r="C1580" s="4"/>
      <c r="D1580" s="8"/>
      <c r="E1580" s="4"/>
      <c r="F1580" s="8"/>
      <c r="G1580" s="4"/>
      <c r="H1580" s="8"/>
      <c r="I1580" s="4"/>
    </row>
    <row r="1581" spans="1:9" x14ac:dyDescent="0.2">
      <c r="A1581" s="1" t="s">
        <v>63</v>
      </c>
      <c r="C1581" s="4"/>
      <c r="D1581" s="8"/>
      <c r="E1581" s="4"/>
      <c r="F1581" s="8"/>
      <c r="G1581" s="4"/>
      <c r="H1581" s="8"/>
      <c r="I1581" s="4"/>
    </row>
    <row r="1582" spans="1:9" x14ac:dyDescent="0.2">
      <c r="A1582" s="2">
        <v>1</v>
      </c>
      <c r="B1582" s="1" t="s">
        <v>303</v>
      </c>
      <c r="C1582" s="4">
        <v>13</v>
      </c>
      <c r="D1582" s="8">
        <v>4.47</v>
      </c>
      <c r="E1582" s="4">
        <v>13</v>
      </c>
      <c r="F1582" s="8">
        <v>7.69</v>
      </c>
      <c r="G1582" s="4">
        <v>0</v>
      </c>
      <c r="H1582" s="8">
        <v>0</v>
      </c>
      <c r="I1582" s="4">
        <v>0</v>
      </c>
    </row>
    <row r="1583" spans="1:9" x14ac:dyDescent="0.2">
      <c r="A1583" s="2">
        <v>2</v>
      </c>
      <c r="B1583" s="1" t="s">
        <v>304</v>
      </c>
      <c r="C1583" s="4">
        <v>12</v>
      </c>
      <c r="D1583" s="8">
        <v>4.12</v>
      </c>
      <c r="E1583" s="4">
        <v>12</v>
      </c>
      <c r="F1583" s="8">
        <v>7.1</v>
      </c>
      <c r="G1583" s="4">
        <v>0</v>
      </c>
      <c r="H1583" s="8">
        <v>0</v>
      </c>
      <c r="I1583" s="4">
        <v>0</v>
      </c>
    </row>
    <row r="1584" spans="1:9" x14ac:dyDescent="0.2">
      <c r="A1584" s="2">
        <v>3</v>
      </c>
      <c r="B1584" s="1" t="s">
        <v>328</v>
      </c>
      <c r="C1584" s="4">
        <v>10</v>
      </c>
      <c r="D1584" s="8">
        <v>3.44</v>
      </c>
      <c r="E1584" s="4">
        <v>6</v>
      </c>
      <c r="F1584" s="8">
        <v>3.55</v>
      </c>
      <c r="G1584" s="4">
        <v>4</v>
      </c>
      <c r="H1584" s="8">
        <v>3.92</v>
      </c>
      <c r="I1584" s="4">
        <v>0</v>
      </c>
    </row>
    <row r="1585" spans="1:9" x14ac:dyDescent="0.2">
      <c r="A1585" s="2">
        <v>3</v>
      </c>
      <c r="B1585" s="1" t="s">
        <v>301</v>
      </c>
      <c r="C1585" s="4">
        <v>10</v>
      </c>
      <c r="D1585" s="8">
        <v>3.44</v>
      </c>
      <c r="E1585" s="4">
        <v>10</v>
      </c>
      <c r="F1585" s="8">
        <v>5.92</v>
      </c>
      <c r="G1585" s="4">
        <v>0</v>
      </c>
      <c r="H1585" s="8">
        <v>0</v>
      </c>
      <c r="I1585" s="4">
        <v>0</v>
      </c>
    </row>
    <row r="1586" spans="1:9" x14ac:dyDescent="0.2">
      <c r="A1586" s="2">
        <v>5</v>
      </c>
      <c r="B1586" s="1" t="s">
        <v>297</v>
      </c>
      <c r="C1586" s="4">
        <v>9</v>
      </c>
      <c r="D1586" s="8">
        <v>3.09</v>
      </c>
      <c r="E1586" s="4">
        <v>8</v>
      </c>
      <c r="F1586" s="8">
        <v>4.7300000000000004</v>
      </c>
      <c r="G1586" s="4">
        <v>0</v>
      </c>
      <c r="H1586" s="8">
        <v>0</v>
      </c>
      <c r="I1586" s="4">
        <v>0</v>
      </c>
    </row>
    <row r="1587" spans="1:9" x14ac:dyDescent="0.2">
      <c r="A1587" s="2">
        <v>6</v>
      </c>
      <c r="B1587" s="1" t="s">
        <v>292</v>
      </c>
      <c r="C1587" s="4">
        <v>8</v>
      </c>
      <c r="D1587" s="8">
        <v>2.75</v>
      </c>
      <c r="E1587" s="4">
        <v>7</v>
      </c>
      <c r="F1587" s="8">
        <v>4.1399999999999997</v>
      </c>
      <c r="G1587" s="4">
        <v>1</v>
      </c>
      <c r="H1587" s="8">
        <v>0.98</v>
      </c>
      <c r="I1587" s="4">
        <v>0</v>
      </c>
    </row>
    <row r="1588" spans="1:9" x14ac:dyDescent="0.2">
      <c r="A1588" s="2">
        <v>6</v>
      </c>
      <c r="B1588" s="1" t="s">
        <v>330</v>
      </c>
      <c r="C1588" s="4">
        <v>8</v>
      </c>
      <c r="D1588" s="8">
        <v>2.75</v>
      </c>
      <c r="E1588" s="4">
        <v>0</v>
      </c>
      <c r="F1588" s="8">
        <v>0</v>
      </c>
      <c r="G1588" s="4">
        <v>8</v>
      </c>
      <c r="H1588" s="8">
        <v>7.84</v>
      </c>
      <c r="I1588" s="4">
        <v>0</v>
      </c>
    </row>
    <row r="1589" spans="1:9" x14ac:dyDescent="0.2">
      <c r="A1589" s="2">
        <v>6</v>
      </c>
      <c r="B1589" s="1" t="s">
        <v>300</v>
      </c>
      <c r="C1589" s="4">
        <v>8</v>
      </c>
      <c r="D1589" s="8">
        <v>2.75</v>
      </c>
      <c r="E1589" s="4">
        <v>8</v>
      </c>
      <c r="F1589" s="8">
        <v>4.7300000000000004</v>
      </c>
      <c r="G1589" s="4">
        <v>0</v>
      </c>
      <c r="H1589" s="8">
        <v>0</v>
      </c>
      <c r="I1589" s="4">
        <v>0</v>
      </c>
    </row>
    <row r="1590" spans="1:9" x14ac:dyDescent="0.2">
      <c r="A1590" s="2">
        <v>9</v>
      </c>
      <c r="B1590" s="1" t="s">
        <v>333</v>
      </c>
      <c r="C1590" s="4">
        <v>7</v>
      </c>
      <c r="D1590" s="8">
        <v>2.41</v>
      </c>
      <c r="E1590" s="4">
        <v>5</v>
      </c>
      <c r="F1590" s="8">
        <v>2.96</v>
      </c>
      <c r="G1590" s="4">
        <v>2</v>
      </c>
      <c r="H1590" s="8">
        <v>1.96</v>
      </c>
      <c r="I1590" s="4">
        <v>0</v>
      </c>
    </row>
    <row r="1591" spans="1:9" x14ac:dyDescent="0.2">
      <c r="A1591" s="2">
        <v>9</v>
      </c>
      <c r="B1591" s="1" t="s">
        <v>290</v>
      </c>
      <c r="C1591" s="4">
        <v>7</v>
      </c>
      <c r="D1591" s="8">
        <v>2.41</v>
      </c>
      <c r="E1591" s="4">
        <v>1</v>
      </c>
      <c r="F1591" s="8">
        <v>0.59</v>
      </c>
      <c r="G1591" s="4">
        <v>6</v>
      </c>
      <c r="H1591" s="8">
        <v>5.88</v>
      </c>
      <c r="I1591" s="4">
        <v>0</v>
      </c>
    </row>
    <row r="1592" spans="1:9" x14ac:dyDescent="0.2">
      <c r="A1592" s="2">
        <v>9</v>
      </c>
      <c r="B1592" s="1" t="s">
        <v>324</v>
      </c>
      <c r="C1592" s="4">
        <v>7</v>
      </c>
      <c r="D1592" s="8">
        <v>2.41</v>
      </c>
      <c r="E1592" s="4">
        <v>2</v>
      </c>
      <c r="F1592" s="8">
        <v>1.18</v>
      </c>
      <c r="G1592" s="4">
        <v>5</v>
      </c>
      <c r="H1592" s="8">
        <v>4.9000000000000004</v>
      </c>
      <c r="I1592" s="4">
        <v>0</v>
      </c>
    </row>
    <row r="1593" spans="1:9" x14ac:dyDescent="0.2">
      <c r="A1593" s="2">
        <v>9</v>
      </c>
      <c r="B1593" s="1" t="s">
        <v>314</v>
      </c>
      <c r="C1593" s="4">
        <v>7</v>
      </c>
      <c r="D1593" s="8">
        <v>2.41</v>
      </c>
      <c r="E1593" s="4">
        <v>7</v>
      </c>
      <c r="F1593" s="8">
        <v>4.1399999999999997</v>
      </c>
      <c r="G1593" s="4">
        <v>0</v>
      </c>
      <c r="H1593" s="8">
        <v>0</v>
      </c>
      <c r="I1593" s="4">
        <v>0</v>
      </c>
    </row>
    <row r="1594" spans="1:9" x14ac:dyDescent="0.2">
      <c r="A1594" s="2">
        <v>9</v>
      </c>
      <c r="B1594" s="1" t="s">
        <v>339</v>
      </c>
      <c r="C1594" s="4">
        <v>7</v>
      </c>
      <c r="D1594" s="8">
        <v>2.41</v>
      </c>
      <c r="E1594" s="4">
        <v>6</v>
      </c>
      <c r="F1594" s="8">
        <v>3.55</v>
      </c>
      <c r="G1594" s="4">
        <v>1</v>
      </c>
      <c r="H1594" s="8">
        <v>0.98</v>
      </c>
      <c r="I1594" s="4">
        <v>0</v>
      </c>
    </row>
    <row r="1595" spans="1:9" x14ac:dyDescent="0.2">
      <c r="A1595" s="2">
        <v>14</v>
      </c>
      <c r="B1595" s="1" t="s">
        <v>329</v>
      </c>
      <c r="C1595" s="4">
        <v>6</v>
      </c>
      <c r="D1595" s="8">
        <v>2.06</v>
      </c>
      <c r="E1595" s="4">
        <v>4</v>
      </c>
      <c r="F1595" s="8">
        <v>2.37</v>
      </c>
      <c r="G1595" s="4">
        <v>2</v>
      </c>
      <c r="H1595" s="8">
        <v>1.96</v>
      </c>
      <c r="I1595" s="4">
        <v>0</v>
      </c>
    </row>
    <row r="1596" spans="1:9" x14ac:dyDescent="0.2">
      <c r="A1596" s="2">
        <v>15</v>
      </c>
      <c r="B1596" s="1" t="s">
        <v>291</v>
      </c>
      <c r="C1596" s="4">
        <v>5</v>
      </c>
      <c r="D1596" s="8">
        <v>1.72</v>
      </c>
      <c r="E1596" s="4">
        <v>2</v>
      </c>
      <c r="F1596" s="8">
        <v>1.18</v>
      </c>
      <c r="G1596" s="4">
        <v>3</v>
      </c>
      <c r="H1596" s="8">
        <v>2.94</v>
      </c>
      <c r="I1596" s="4">
        <v>0</v>
      </c>
    </row>
    <row r="1597" spans="1:9" x14ac:dyDescent="0.2">
      <c r="A1597" s="2">
        <v>15</v>
      </c>
      <c r="B1597" s="1" t="s">
        <v>294</v>
      </c>
      <c r="C1597" s="4">
        <v>5</v>
      </c>
      <c r="D1597" s="8">
        <v>1.72</v>
      </c>
      <c r="E1597" s="4">
        <v>1</v>
      </c>
      <c r="F1597" s="8">
        <v>0.59</v>
      </c>
      <c r="G1597" s="4">
        <v>4</v>
      </c>
      <c r="H1597" s="8">
        <v>3.92</v>
      </c>
      <c r="I1597" s="4">
        <v>0</v>
      </c>
    </row>
    <row r="1598" spans="1:9" x14ac:dyDescent="0.2">
      <c r="A1598" s="2">
        <v>15</v>
      </c>
      <c r="B1598" s="1" t="s">
        <v>299</v>
      </c>
      <c r="C1598" s="4">
        <v>5</v>
      </c>
      <c r="D1598" s="8">
        <v>1.72</v>
      </c>
      <c r="E1598" s="4">
        <v>4</v>
      </c>
      <c r="F1598" s="8">
        <v>2.37</v>
      </c>
      <c r="G1598" s="4">
        <v>1</v>
      </c>
      <c r="H1598" s="8">
        <v>0.98</v>
      </c>
      <c r="I1598" s="4">
        <v>0</v>
      </c>
    </row>
    <row r="1599" spans="1:9" x14ac:dyDescent="0.2">
      <c r="A1599" s="2">
        <v>15</v>
      </c>
      <c r="B1599" s="1" t="s">
        <v>306</v>
      </c>
      <c r="C1599" s="4">
        <v>5</v>
      </c>
      <c r="D1599" s="8">
        <v>1.72</v>
      </c>
      <c r="E1599" s="4">
        <v>5</v>
      </c>
      <c r="F1599" s="8">
        <v>2.96</v>
      </c>
      <c r="G1599" s="4">
        <v>0</v>
      </c>
      <c r="H1599" s="8">
        <v>0</v>
      </c>
      <c r="I1599" s="4">
        <v>0</v>
      </c>
    </row>
    <row r="1600" spans="1:9" x14ac:dyDescent="0.2">
      <c r="A1600" s="2">
        <v>15</v>
      </c>
      <c r="B1600" s="1" t="s">
        <v>341</v>
      </c>
      <c r="C1600" s="4">
        <v>5</v>
      </c>
      <c r="D1600" s="8">
        <v>1.72</v>
      </c>
      <c r="E1600" s="4">
        <v>0</v>
      </c>
      <c r="F1600" s="8">
        <v>0</v>
      </c>
      <c r="G1600" s="4">
        <v>0</v>
      </c>
      <c r="H1600" s="8">
        <v>0</v>
      </c>
      <c r="I1600" s="4">
        <v>0</v>
      </c>
    </row>
    <row r="1601" spans="1:9" x14ac:dyDescent="0.2">
      <c r="A1601" s="2">
        <v>20</v>
      </c>
      <c r="B1601" s="1" t="s">
        <v>288</v>
      </c>
      <c r="C1601" s="4">
        <v>4</v>
      </c>
      <c r="D1601" s="8">
        <v>1.37</v>
      </c>
      <c r="E1601" s="4">
        <v>0</v>
      </c>
      <c r="F1601" s="8">
        <v>0</v>
      </c>
      <c r="G1601" s="4">
        <v>4</v>
      </c>
      <c r="H1601" s="8">
        <v>3.92</v>
      </c>
      <c r="I1601" s="4">
        <v>0</v>
      </c>
    </row>
    <row r="1602" spans="1:9" x14ac:dyDescent="0.2">
      <c r="A1602" s="2">
        <v>20</v>
      </c>
      <c r="B1602" s="1" t="s">
        <v>354</v>
      </c>
      <c r="C1602" s="4">
        <v>4</v>
      </c>
      <c r="D1602" s="8">
        <v>1.37</v>
      </c>
      <c r="E1602" s="4">
        <v>1</v>
      </c>
      <c r="F1602" s="8">
        <v>0.59</v>
      </c>
      <c r="G1602" s="4">
        <v>3</v>
      </c>
      <c r="H1602" s="8">
        <v>2.94</v>
      </c>
      <c r="I1602" s="4">
        <v>0</v>
      </c>
    </row>
    <row r="1603" spans="1:9" x14ac:dyDescent="0.2">
      <c r="A1603" s="2">
        <v>20</v>
      </c>
      <c r="B1603" s="1" t="s">
        <v>366</v>
      </c>
      <c r="C1603" s="4">
        <v>4</v>
      </c>
      <c r="D1603" s="8">
        <v>1.37</v>
      </c>
      <c r="E1603" s="4">
        <v>3</v>
      </c>
      <c r="F1603" s="8">
        <v>1.78</v>
      </c>
      <c r="G1603" s="4">
        <v>1</v>
      </c>
      <c r="H1603" s="8">
        <v>0.98</v>
      </c>
      <c r="I1603" s="4">
        <v>0</v>
      </c>
    </row>
    <row r="1604" spans="1:9" x14ac:dyDescent="0.2">
      <c r="A1604" s="2">
        <v>20</v>
      </c>
      <c r="B1604" s="1" t="s">
        <v>295</v>
      </c>
      <c r="C1604" s="4">
        <v>4</v>
      </c>
      <c r="D1604" s="8">
        <v>1.37</v>
      </c>
      <c r="E1604" s="4">
        <v>2</v>
      </c>
      <c r="F1604" s="8">
        <v>1.18</v>
      </c>
      <c r="G1604" s="4">
        <v>2</v>
      </c>
      <c r="H1604" s="8">
        <v>1.96</v>
      </c>
      <c r="I1604" s="4">
        <v>0</v>
      </c>
    </row>
    <row r="1605" spans="1:9" x14ac:dyDescent="0.2">
      <c r="A1605" s="2">
        <v>20</v>
      </c>
      <c r="B1605" s="1" t="s">
        <v>334</v>
      </c>
      <c r="C1605" s="4">
        <v>4</v>
      </c>
      <c r="D1605" s="8">
        <v>1.37</v>
      </c>
      <c r="E1605" s="4">
        <v>3</v>
      </c>
      <c r="F1605" s="8">
        <v>1.78</v>
      </c>
      <c r="G1605" s="4">
        <v>1</v>
      </c>
      <c r="H1605" s="8">
        <v>0.98</v>
      </c>
      <c r="I1605" s="4">
        <v>0</v>
      </c>
    </row>
    <row r="1606" spans="1:9" x14ac:dyDescent="0.2">
      <c r="A1606" s="2">
        <v>20</v>
      </c>
      <c r="B1606" s="1" t="s">
        <v>323</v>
      </c>
      <c r="C1606" s="4">
        <v>4</v>
      </c>
      <c r="D1606" s="8">
        <v>1.37</v>
      </c>
      <c r="E1606" s="4">
        <v>3</v>
      </c>
      <c r="F1606" s="8">
        <v>1.78</v>
      </c>
      <c r="G1606" s="4">
        <v>1</v>
      </c>
      <c r="H1606" s="8">
        <v>0.98</v>
      </c>
      <c r="I1606" s="4">
        <v>0</v>
      </c>
    </row>
    <row r="1607" spans="1:9" x14ac:dyDescent="0.2">
      <c r="A1607" s="2">
        <v>20</v>
      </c>
      <c r="B1607" s="1" t="s">
        <v>340</v>
      </c>
      <c r="C1607" s="4">
        <v>4</v>
      </c>
      <c r="D1607" s="8">
        <v>1.37</v>
      </c>
      <c r="E1607" s="4">
        <v>0</v>
      </c>
      <c r="F1607" s="8">
        <v>0</v>
      </c>
      <c r="G1607" s="4">
        <v>0</v>
      </c>
      <c r="H1607" s="8">
        <v>0</v>
      </c>
      <c r="I1607" s="4">
        <v>0</v>
      </c>
    </row>
    <row r="1608" spans="1:9" x14ac:dyDescent="0.2">
      <c r="A1608" s="2">
        <v>20</v>
      </c>
      <c r="B1608" s="1" t="s">
        <v>331</v>
      </c>
      <c r="C1608" s="4">
        <v>4</v>
      </c>
      <c r="D1608" s="8">
        <v>1.37</v>
      </c>
      <c r="E1608" s="4">
        <v>0</v>
      </c>
      <c r="F1608" s="8">
        <v>0</v>
      </c>
      <c r="G1608" s="4">
        <v>3</v>
      </c>
      <c r="H1608" s="8">
        <v>2.94</v>
      </c>
      <c r="I1608" s="4">
        <v>0</v>
      </c>
    </row>
    <row r="1609" spans="1:9" x14ac:dyDescent="0.2">
      <c r="A1609" s="1"/>
      <c r="C1609" s="4"/>
      <c r="D1609" s="8"/>
      <c r="E1609" s="4"/>
      <c r="F1609" s="8"/>
      <c r="G1609" s="4"/>
      <c r="H1609" s="8"/>
      <c r="I1609" s="4"/>
    </row>
    <row r="1610" spans="1:9" x14ac:dyDescent="0.2">
      <c r="A1610" s="1" t="s">
        <v>64</v>
      </c>
      <c r="C1610" s="4"/>
      <c r="D1610" s="8"/>
      <c r="E1610" s="4"/>
      <c r="F1610" s="8"/>
      <c r="G1610" s="4"/>
      <c r="H1610" s="8"/>
      <c r="I1610" s="4"/>
    </row>
    <row r="1611" spans="1:9" x14ac:dyDescent="0.2">
      <c r="A1611" s="2">
        <v>1</v>
      </c>
      <c r="B1611" s="1" t="s">
        <v>339</v>
      </c>
      <c r="C1611" s="4">
        <v>8</v>
      </c>
      <c r="D1611" s="8">
        <v>18.18</v>
      </c>
      <c r="E1611" s="4">
        <v>6</v>
      </c>
      <c r="F1611" s="8">
        <v>20.69</v>
      </c>
      <c r="G1611" s="4">
        <v>2</v>
      </c>
      <c r="H1611" s="8">
        <v>14.29</v>
      </c>
      <c r="I1611" s="4">
        <v>0</v>
      </c>
    </row>
    <row r="1612" spans="1:9" x14ac:dyDescent="0.2">
      <c r="A1612" s="2">
        <v>2</v>
      </c>
      <c r="B1612" s="1" t="s">
        <v>292</v>
      </c>
      <c r="C1612" s="4">
        <v>5</v>
      </c>
      <c r="D1612" s="8">
        <v>11.36</v>
      </c>
      <c r="E1612" s="4">
        <v>4</v>
      </c>
      <c r="F1612" s="8">
        <v>13.79</v>
      </c>
      <c r="G1612" s="4">
        <v>1</v>
      </c>
      <c r="H1612" s="8">
        <v>7.14</v>
      </c>
      <c r="I1612" s="4">
        <v>0</v>
      </c>
    </row>
    <row r="1613" spans="1:9" x14ac:dyDescent="0.2">
      <c r="A1613" s="2">
        <v>3</v>
      </c>
      <c r="B1613" s="1" t="s">
        <v>342</v>
      </c>
      <c r="C1613" s="4">
        <v>4</v>
      </c>
      <c r="D1613" s="8">
        <v>9.09</v>
      </c>
      <c r="E1613" s="4">
        <v>4</v>
      </c>
      <c r="F1613" s="8">
        <v>13.79</v>
      </c>
      <c r="G1613" s="4">
        <v>0</v>
      </c>
      <c r="H1613" s="8">
        <v>0</v>
      </c>
      <c r="I1613" s="4">
        <v>0</v>
      </c>
    </row>
    <row r="1614" spans="1:9" x14ac:dyDescent="0.2">
      <c r="A1614" s="2">
        <v>4</v>
      </c>
      <c r="B1614" s="1" t="s">
        <v>304</v>
      </c>
      <c r="C1614" s="4">
        <v>3</v>
      </c>
      <c r="D1614" s="8">
        <v>6.82</v>
      </c>
      <c r="E1614" s="4">
        <v>3</v>
      </c>
      <c r="F1614" s="8">
        <v>10.34</v>
      </c>
      <c r="G1614" s="4">
        <v>0</v>
      </c>
      <c r="H1614" s="8">
        <v>0</v>
      </c>
      <c r="I1614" s="4">
        <v>0</v>
      </c>
    </row>
    <row r="1615" spans="1:9" x14ac:dyDescent="0.2">
      <c r="A1615" s="2">
        <v>5</v>
      </c>
      <c r="B1615" s="1" t="s">
        <v>328</v>
      </c>
      <c r="C1615" s="4">
        <v>2</v>
      </c>
      <c r="D1615" s="8">
        <v>4.55</v>
      </c>
      <c r="E1615" s="4">
        <v>2</v>
      </c>
      <c r="F1615" s="8">
        <v>6.9</v>
      </c>
      <c r="G1615" s="4">
        <v>0</v>
      </c>
      <c r="H1615" s="8">
        <v>0</v>
      </c>
      <c r="I1615" s="4">
        <v>0</v>
      </c>
    </row>
    <row r="1616" spans="1:9" x14ac:dyDescent="0.2">
      <c r="A1616" s="2">
        <v>6</v>
      </c>
      <c r="B1616" s="1" t="s">
        <v>289</v>
      </c>
      <c r="C1616" s="4">
        <v>1</v>
      </c>
      <c r="D1616" s="8">
        <v>2.27</v>
      </c>
      <c r="E1616" s="4">
        <v>0</v>
      </c>
      <c r="F1616" s="8">
        <v>0</v>
      </c>
      <c r="G1616" s="4">
        <v>1</v>
      </c>
      <c r="H1616" s="8">
        <v>7.14</v>
      </c>
      <c r="I1616" s="4">
        <v>0</v>
      </c>
    </row>
    <row r="1617" spans="1:9" x14ac:dyDescent="0.2">
      <c r="A1617" s="2">
        <v>6</v>
      </c>
      <c r="B1617" s="1" t="s">
        <v>319</v>
      </c>
      <c r="C1617" s="4">
        <v>1</v>
      </c>
      <c r="D1617" s="8">
        <v>2.27</v>
      </c>
      <c r="E1617" s="4">
        <v>1</v>
      </c>
      <c r="F1617" s="8">
        <v>3.45</v>
      </c>
      <c r="G1617" s="4">
        <v>0</v>
      </c>
      <c r="H1617" s="8">
        <v>0</v>
      </c>
      <c r="I1617" s="4">
        <v>0</v>
      </c>
    </row>
    <row r="1618" spans="1:9" x14ac:dyDescent="0.2">
      <c r="A1618" s="2">
        <v>6</v>
      </c>
      <c r="B1618" s="1" t="s">
        <v>353</v>
      </c>
      <c r="C1618" s="4">
        <v>1</v>
      </c>
      <c r="D1618" s="8">
        <v>2.27</v>
      </c>
      <c r="E1618" s="4">
        <v>1</v>
      </c>
      <c r="F1618" s="8">
        <v>3.45</v>
      </c>
      <c r="G1618" s="4">
        <v>0</v>
      </c>
      <c r="H1618" s="8">
        <v>0</v>
      </c>
      <c r="I1618" s="4">
        <v>0</v>
      </c>
    </row>
    <row r="1619" spans="1:9" x14ac:dyDescent="0.2">
      <c r="A1619" s="2">
        <v>6</v>
      </c>
      <c r="B1619" s="1" t="s">
        <v>290</v>
      </c>
      <c r="C1619" s="4">
        <v>1</v>
      </c>
      <c r="D1619" s="8">
        <v>2.27</v>
      </c>
      <c r="E1619" s="4">
        <v>0</v>
      </c>
      <c r="F1619" s="8">
        <v>0</v>
      </c>
      <c r="G1619" s="4">
        <v>1</v>
      </c>
      <c r="H1619" s="8">
        <v>7.14</v>
      </c>
      <c r="I1619" s="4">
        <v>0</v>
      </c>
    </row>
    <row r="1620" spans="1:9" x14ac:dyDescent="0.2">
      <c r="A1620" s="2">
        <v>6</v>
      </c>
      <c r="B1620" s="1" t="s">
        <v>362</v>
      </c>
      <c r="C1620" s="4">
        <v>1</v>
      </c>
      <c r="D1620" s="8">
        <v>2.27</v>
      </c>
      <c r="E1620" s="4">
        <v>0</v>
      </c>
      <c r="F1620" s="8">
        <v>0</v>
      </c>
      <c r="G1620" s="4">
        <v>0</v>
      </c>
      <c r="H1620" s="8">
        <v>0</v>
      </c>
      <c r="I1620" s="4">
        <v>0</v>
      </c>
    </row>
    <row r="1621" spans="1:9" x14ac:dyDescent="0.2">
      <c r="A1621" s="2">
        <v>6</v>
      </c>
      <c r="B1621" s="1" t="s">
        <v>326</v>
      </c>
      <c r="C1621" s="4">
        <v>1</v>
      </c>
      <c r="D1621" s="8">
        <v>2.27</v>
      </c>
      <c r="E1621" s="4">
        <v>0</v>
      </c>
      <c r="F1621" s="8">
        <v>0</v>
      </c>
      <c r="G1621" s="4">
        <v>1</v>
      </c>
      <c r="H1621" s="8">
        <v>7.14</v>
      </c>
      <c r="I1621" s="4">
        <v>0</v>
      </c>
    </row>
    <row r="1622" spans="1:9" x14ac:dyDescent="0.2">
      <c r="A1622" s="2">
        <v>6</v>
      </c>
      <c r="B1622" s="1" t="s">
        <v>324</v>
      </c>
      <c r="C1622" s="4">
        <v>1</v>
      </c>
      <c r="D1622" s="8">
        <v>2.27</v>
      </c>
      <c r="E1622" s="4">
        <v>0</v>
      </c>
      <c r="F1622" s="8">
        <v>0</v>
      </c>
      <c r="G1622" s="4">
        <v>1</v>
      </c>
      <c r="H1622" s="8">
        <v>7.14</v>
      </c>
      <c r="I1622" s="4">
        <v>0</v>
      </c>
    </row>
    <row r="1623" spans="1:9" x14ac:dyDescent="0.2">
      <c r="A1623" s="2">
        <v>6</v>
      </c>
      <c r="B1623" s="1" t="s">
        <v>354</v>
      </c>
      <c r="C1623" s="4">
        <v>1</v>
      </c>
      <c r="D1623" s="8">
        <v>2.27</v>
      </c>
      <c r="E1623" s="4">
        <v>1</v>
      </c>
      <c r="F1623" s="8">
        <v>3.45</v>
      </c>
      <c r="G1623" s="4">
        <v>0</v>
      </c>
      <c r="H1623" s="8">
        <v>0</v>
      </c>
      <c r="I1623" s="4">
        <v>0</v>
      </c>
    </row>
    <row r="1624" spans="1:9" x14ac:dyDescent="0.2">
      <c r="A1624" s="2">
        <v>6</v>
      </c>
      <c r="B1624" s="1" t="s">
        <v>402</v>
      </c>
      <c r="C1624" s="4">
        <v>1</v>
      </c>
      <c r="D1624" s="8">
        <v>2.27</v>
      </c>
      <c r="E1624" s="4">
        <v>1</v>
      </c>
      <c r="F1624" s="8">
        <v>3.45</v>
      </c>
      <c r="G1624" s="4">
        <v>0</v>
      </c>
      <c r="H1624" s="8">
        <v>0</v>
      </c>
      <c r="I1624" s="4">
        <v>0</v>
      </c>
    </row>
    <row r="1625" spans="1:9" x14ac:dyDescent="0.2">
      <c r="A1625" s="2">
        <v>6</v>
      </c>
      <c r="B1625" s="1" t="s">
        <v>330</v>
      </c>
      <c r="C1625" s="4">
        <v>1</v>
      </c>
      <c r="D1625" s="8">
        <v>2.27</v>
      </c>
      <c r="E1625" s="4">
        <v>0</v>
      </c>
      <c r="F1625" s="8">
        <v>0</v>
      </c>
      <c r="G1625" s="4">
        <v>1</v>
      </c>
      <c r="H1625" s="8">
        <v>7.14</v>
      </c>
      <c r="I1625" s="4">
        <v>0</v>
      </c>
    </row>
    <row r="1626" spans="1:9" x14ac:dyDescent="0.2">
      <c r="A1626" s="2">
        <v>6</v>
      </c>
      <c r="B1626" s="1" t="s">
        <v>337</v>
      </c>
      <c r="C1626" s="4">
        <v>1</v>
      </c>
      <c r="D1626" s="8">
        <v>2.27</v>
      </c>
      <c r="E1626" s="4">
        <v>1</v>
      </c>
      <c r="F1626" s="8">
        <v>3.45</v>
      </c>
      <c r="G1626" s="4">
        <v>0</v>
      </c>
      <c r="H1626" s="8">
        <v>0</v>
      </c>
      <c r="I1626" s="4">
        <v>0</v>
      </c>
    </row>
    <row r="1627" spans="1:9" x14ac:dyDescent="0.2">
      <c r="A1627" s="2">
        <v>6</v>
      </c>
      <c r="B1627" s="1" t="s">
        <v>310</v>
      </c>
      <c r="C1627" s="4">
        <v>1</v>
      </c>
      <c r="D1627" s="8">
        <v>2.27</v>
      </c>
      <c r="E1627" s="4">
        <v>0</v>
      </c>
      <c r="F1627" s="8">
        <v>0</v>
      </c>
      <c r="G1627" s="4">
        <v>1</v>
      </c>
      <c r="H1627" s="8">
        <v>7.14</v>
      </c>
      <c r="I1627" s="4">
        <v>0</v>
      </c>
    </row>
    <row r="1628" spans="1:9" x14ac:dyDescent="0.2">
      <c r="A1628" s="2">
        <v>6</v>
      </c>
      <c r="B1628" s="1" t="s">
        <v>403</v>
      </c>
      <c r="C1628" s="4">
        <v>1</v>
      </c>
      <c r="D1628" s="8">
        <v>2.27</v>
      </c>
      <c r="E1628" s="4">
        <v>0</v>
      </c>
      <c r="F1628" s="8">
        <v>0</v>
      </c>
      <c r="G1628" s="4">
        <v>1</v>
      </c>
      <c r="H1628" s="8">
        <v>7.14</v>
      </c>
      <c r="I1628" s="4">
        <v>0</v>
      </c>
    </row>
    <row r="1629" spans="1:9" x14ac:dyDescent="0.2">
      <c r="A1629" s="2">
        <v>6</v>
      </c>
      <c r="B1629" s="1" t="s">
        <v>404</v>
      </c>
      <c r="C1629" s="4">
        <v>1</v>
      </c>
      <c r="D1629" s="8">
        <v>2.27</v>
      </c>
      <c r="E1629" s="4">
        <v>0</v>
      </c>
      <c r="F1629" s="8">
        <v>0</v>
      </c>
      <c r="G1629" s="4">
        <v>1</v>
      </c>
      <c r="H1629" s="8">
        <v>7.14</v>
      </c>
      <c r="I1629" s="4">
        <v>0</v>
      </c>
    </row>
    <row r="1630" spans="1:9" x14ac:dyDescent="0.2">
      <c r="A1630" s="2">
        <v>6</v>
      </c>
      <c r="B1630" s="1" t="s">
        <v>405</v>
      </c>
      <c r="C1630" s="4">
        <v>1</v>
      </c>
      <c r="D1630" s="8">
        <v>2.27</v>
      </c>
      <c r="E1630" s="4">
        <v>0</v>
      </c>
      <c r="F1630" s="8">
        <v>0</v>
      </c>
      <c r="G1630" s="4">
        <v>1</v>
      </c>
      <c r="H1630" s="8">
        <v>7.14</v>
      </c>
      <c r="I1630" s="4">
        <v>0</v>
      </c>
    </row>
    <row r="1631" spans="1:9" x14ac:dyDescent="0.2">
      <c r="A1631" s="2">
        <v>6</v>
      </c>
      <c r="B1631" s="1" t="s">
        <v>334</v>
      </c>
      <c r="C1631" s="4">
        <v>1</v>
      </c>
      <c r="D1631" s="8">
        <v>2.27</v>
      </c>
      <c r="E1631" s="4">
        <v>1</v>
      </c>
      <c r="F1631" s="8">
        <v>3.45</v>
      </c>
      <c r="G1631" s="4">
        <v>0</v>
      </c>
      <c r="H1631" s="8">
        <v>0</v>
      </c>
      <c r="I1631" s="4">
        <v>0</v>
      </c>
    </row>
    <row r="1632" spans="1:9" x14ac:dyDescent="0.2">
      <c r="A1632" s="2">
        <v>6</v>
      </c>
      <c r="B1632" s="1" t="s">
        <v>299</v>
      </c>
      <c r="C1632" s="4">
        <v>1</v>
      </c>
      <c r="D1632" s="8">
        <v>2.27</v>
      </c>
      <c r="E1632" s="4">
        <v>1</v>
      </c>
      <c r="F1632" s="8">
        <v>3.45</v>
      </c>
      <c r="G1632" s="4">
        <v>0</v>
      </c>
      <c r="H1632" s="8">
        <v>0</v>
      </c>
      <c r="I1632" s="4">
        <v>0</v>
      </c>
    </row>
    <row r="1633" spans="1:9" x14ac:dyDescent="0.2">
      <c r="A1633" s="2">
        <v>6</v>
      </c>
      <c r="B1633" s="1" t="s">
        <v>303</v>
      </c>
      <c r="C1633" s="4">
        <v>1</v>
      </c>
      <c r="D1633" s="8">
        <v>2.27</v>
      </c>
      <c r="E1633" s="4">
        <v>1</v>
      </c>
      <c r="F1633" s="8">
        <v>3.45</v>
      </c>
      <c r="G1633" s="4">
        <v>0</v>
      </c>
      <c r="H1633" s="8">
        <v>0</v>
      </c>
      <c r="I1633" s="4">
        <v>0</v>
      </c>
    </row>
    <row r="1634" spans="1:9" x14ac:dyDescent="0.2">
      <c r="A1634" s="2">
        <v>6</v>
      </c>
      <c r="B1634" s="1" t="s">
        <v>352</v>
      </c>
      <c r="C1634" s="4">
        <v>1</v>
      </c>
      <c r="D1634" s="8">
        <v>2.27</v>
      </c>
      <c r="E1634" s="4">
        <v>0</v>
      </c>
      <c r="F1634" s="8">
        <v>0</v>
      </c>
      <c r="G1634" s="4">
        <v>1</v>
      </c>
      <c r="H1634" s="8">
        <v>7.14</v>
      </c>
      <c r="I1634" s="4">
        <v>0</v>
      </c>
    </row>
    <row r="1635" spans="1:9" x14ac:dyDescent="0.2">
      <c r="A1635" s="2">
        <v>6</v>
      </c>
      <c r="B1635" s="1" t="s">
        <v>327</v>
      </c>
      <c r="C1635" s="4">
        <v>1</v>
      </c>
      <c r="D1635" s="8">
        <v>2.27</v>
      </c>
      <c r="E1635" s="4">
        <v>1</v>
      </c>
      <c r="F1635" s="8">
        <v>3.45</v>
      </c>
      <c r="G1635" s="4">
        <v>0</v>
      </c>
      <c r="H1635" s="8">
        <v>0</v>
      </c>
      <c r="I1635" s="4">
        <v>0</v>
      </c>
    </row>
    <row r="1636" spans="1:9" x14ac:dyDescent="0.2">
      <c r="A1636" s="2">
        <v>6</v>
      </c>
      <c r="B1636" s="1" t="s">
        <v>312</v>
      </c>
      <c r="C1636" s="4">
        <v>1</v>
      </c>
      <c r="D1636" s="8">
        <v>2.27</v>
      </c>
      <c r="E1636" s="4">
        <v>1</v>
      </c>
      <c r="F1636" s="8">
        <v>3.45</v>
      </c>
      <c r="G1636" s="4">
        <v>0</v>
      </c>
      <c r="H1636" s="8">
        <v>0</v>
      </c>
      <c r="I1636" s="4">
        <v>0</v>
      </c>
    </row>
    <row r="1637" spans="1:9" x14ac:dyDescent="0.2">
      <c r="A1637" s="2">
        <v>6</v>
      </c>
      <c r="B1637" s="1" t="s">
        <v>347</v>
      </c>
      <c r="C1637" s="4">
        <v>1</v>
      </c>
      <c r="D1637" s="8">
        <v>2.27</v>
      </c>
      <c r="E1637" s="4">
        <v>0</v>
      </c>
      <c r="F1637" s="8">
        <v>0</v>
      </c>
      <c r="G1637" s="4">
        <v>1</v>
      </c>
      <c r="H1637" s="8">
        <v>7.14</v>
      </c>
      <c r="I1637" s="4">
        <v>0</v>
      </c>
    </row>
    <row r="1638" spans="1:9" x14ac:dyDescent="0.2">
      <c r="A1638" s="1"/>
      <c r="C1638" s="4"/>
      <c r="D1638" s="8"/>
      <c r="E1638" s="4"/>
      <c r="F1638" s="8"/>
      <c r="G1638" s="4"/>
      <c r="H1638" s="8"/>
      <c r="I1638" s="4"/>
    </row>
    <row r="1639" spans="1:9" x14ac:dyDescent="0.2">
      <c r="A1639" s="1" t="s">
        <v>65</v>
      </c>
      <c r="C1639" s="4"/>
      <c r="D1639" s="8"/>
      <c r="E1639" s="4"/>
      <c r="F1639" s="8"/>
      <c r="G1639" s="4"/>
      <c r="H1639" s="8"/>
      <c r="I1639" s="4"/>
    </row>
    <row r="1640" spans="1:9" x14ac:dyDescent="0.2">
      <c r="A1640" s="2">
        <v>1</v>
      </c>
      <c r="B1640" s="1" t="s">
        <v>329</v>
      </c>
      <c r="C1640" s="4">
        <v>5</v>
      </c>
      <c r="D1640" s="8">
        <v>6.02</v>
      </c>
      <c r="E1640" s="4">
        <v>4</v>
      </c>
      <c r="F1640" s="8">
        <v>7.69</v>
      </c>
      <c r="G1640" s="4">
        <v>1</v>
      </c>
      <c r="H1640" s="8">
        <v>3.57</v>
      </c>
      <c r="I1640" s="4">
        <v>0</v>
      </c>
    </row>
    <row r="1641" spans="1:9" x14ac:dyDescent="0.2">
      <c r="A1641" s="2">
        <v>1</v>
      </c>
      <c r="B1641" s="1" t="s">
        <v>334</v>
      </c>
      <c r="C1641" s="4">
        <v>5</v>
      </c>
      <c r="D1641" s="8">
        <v>6.02</v>
      </c>
      <c r="E1641" s="4">
        <v>5</v>
      </c>
      <c r="F1641" s="8">
        <v>9.6199999999999992</v>
      </c>
      <c r="G1641" s="4">
        <v>0</v>
      </c>
      <c r="H1641" s="8">
        <v>0</v>
      </c>
      <c r="I1641" s="4">
        <v>0</v>
      </c>
    </row>
    <row r="1642" spans="1:9" x14ac:dyDescent="0.2">
      <c r="A1642" s="2">
        <v>3</v>
      </c>
      <c r="B1642" s="1" t="s">
        <v>342</v>
      </c>
      <c r="C1642" s="4">
        <v>4</v>
      </c>
      <c r="D1642" s="8">
        <v>4.82</v>
      </c>
      <c r="E1642" s="4">
        <v>0</v>
      </c>
      <c r="F1642" s="8">
        <v>0</v>
      </c>
      <c r="G1642" s="4">
        <v>4</v>
      </c>
      <c r="H1642" s="8">
        <v>14.29</v>
      </c>
      <c r="I1642" s="4">
        <v>0</v>
      </c>
    </row>
    <row r="1643" spans="1:9" x14ac:dyDescent="0.2">
      <c r="A1643" s="2">
        <v>3</v>
      </c>
      <c r="B1643" s="1" t="s">
        <v>304</v>
      </c>
      <c r="C1643" s="4">
        <v>4</v>
      </c>
      <c r="D1643" s="8">
        <v>4.82</v>
      </c>
      <c r="E1643" s="4">
        <v>4</v>
      </c>
      <c r="F1643" s="8">
        <v>7.69</v>
      </c>
      <c r="G1643" s="4">
        <v>0</v>
      </c>
      <c r="H1643" s="8">
        <v>0</v>
      </c>
      <c r="I1643" s="4">
        <v>0</v>
      </c>
    </row>
    <row r="1644" spans="1:9" x14ac:dyDescent="0.2">
      <c r="A1644" s="2">
        <v>5</v>
      </c>
      <c r="B1644" s="1" t="s">
        <v>289</v>
      </c>
      <c r="C1644" s="4">
        <v>3</v>
      </c>
      <c r="D1644" s="8">
        <v>3.61</v>
      </c>
      <c r="E1644" s="4">
        <v>0</v>
      </c>
      <c r="F1644" s="8">
        <v>0</v>
      </c>
      <c r="G1644" s="4">
        <v>3</v>
      </c>
      <c r="H1644" s="8">
        <v>10.71</v>
      </c>
      <c r="I1644" s="4">
        <v>0</v>
      </c>
    </row>
    <row r="1645" spans="1:9" x14ac:dyDescent="0.2">
      <c r="A1645" s="2">
        <v>5</v>
      </c>
      <c r="B1645" s="1" t="s">
        <v>290</v>
      </c>
      <c r="C1645" s="4">
        <v>3</v>
      </c>
      <c r="D1645" s="8">
        <v>3.61</v>
      </c>
      <c r="E1645" s="4">
        <v>1</v>
      </c>
      <c r="F1645" s="8">
        <v>1.92</v>
      </c>
      <c r="G1645" s="4">
        <v>2</v>
      </c>
      <c r="H1645" s="8">
        <v>7.14</v>
      </c>
      <c r="I1645" s="4">
        <v>0</v>
      </c>
    </row>
    <row r="1646" spans="1:9" x14ac:dyDescent="0.2">
      <c r="A1646" s="2">
        <v>5</v>
      </c>
      <c r="B1646" s="1" t="s">
        <v>301</v>
      </c>
      <c r="C1646" s="4">
        <v>3</v>
      </c>
      <c r="D1646" s="8">
        <v>3.61</v>
      </c>
      <c r="E1646" s="4">
        <v>3</v>
      </c>
      <c r="F1646" s="8">
        <v>5.77</v>
      </c>
      <c r="G1646" s="4">
        <v>0</v>
      </c>
      <c r="H1646" s="8">
        <v>0</v>
      </c>
      <c r="I1646" s="4">
        <v>0</v>
      </c>
    </row>
    <row r="1647" spans="1:9" x14ac:dyDescent="0.2">
      <c r="A1647" s="2">
        <v>8</v>
      </c>
      <c r="B1647" s="1" t="s">
        <v>291</v>
      </c>
      <c r="C1647" s="4">
        <v>2</v>
      </c>
      <c r="D1647" s="8">
        <v>2.41</v>
      </c>
      <c r="E1647" s="4">
        <v>2</v>
      </c>
      <c r="F1647" s="8">
        <v>3.85</v>
      </c>
      <c r="G1647" s="4">
        <v>0</v>
      </c>
      <c r="H1647" s="8">
        <v>0</v>
      </c>
      <c r="I1647" s="4">
        <v>0</v>
      </c>
    </row>
    <row r="1648" spans="1:9" x14ac:dyDescent="0.2">
      <c r="A1648" s="2">
        <v>8</v>
      </c>
      <c r="B1648" s="1" t="s">
        <v>324</v>
      </c>
      <c r="C1648" s="4">
        <v>2</v>
      </c>
      <c r="D1648" s="8">
        <v>2.41</v>
      </c>
      <c r="E1648" s="4">
        <v>2</v>
      </c>
      <c r="F1648" s="8">
        <v>3.85</v>
      </c>
      <c r="G1648" s="4">
        <v>0</v>
      </c>
      <c r="H1648" s="8">
        <v>0</v>
      </c>
      <c r="I1648" s="4">
        <v>0</v>
      </c>
    </row>
    <row r="1649" spans="1:9" x14ac:dyDescent="0.2">
      <c r="A1649" s="2">
        <v>8</v>
      </c>
      <c r="B1649" s="1" t="s">
        <v>354</v>
      </c>
      <c r="C1649" s="4">
        <v>2</v>
      </c>
      <c r="D1649" s="8">
        <v>2.41</v>
      </c>
      <c r="E1649" s="4">
        <v>2</v>
      </c>
      <c r="F1649" s="8">
        <v>3.85</v>
      </c>
      <c r="G1649" s="4">
        <v>0</v>
      </c>
      <c r="H1649" s="8">
        <v>0</v>
      </c>
      <c r="I1649" s="4">
        <v>0</v>
      </c>
    </row>
    <row r="1650" spans="1:9" x14ac:dyDescent="0.2">
      <c r="A1650" s="2">
        <v>8</v>
      </c>
      <c r="B1650" s="1" t="s">
        <v>380</v>
      </c>
      <c r="C1650" s="4">
        <v>2</v>
      </c>
      <c r="D1650" s="8">
        <v>2.41</v>
      </c>
      <c r="E1650" s="4">
        <v>2</v>
      </c>
      <c r="F1650" s="8">
        <v>3.85</v>
      </c>
      <c r="G1650" s="4">
        <v>0</v>
      </c>
      <c r="H1650" s="8">
        <v>0</v>
      </c>
      <c r="I1650" s="4">
        <v>0</v>
      </c>
    </row>
    <row r="1651" spans="1:9" x14ac:dyDescent="0.2">
      <c r="A1651" s="2">
        <v>8</v>
      </c>
      <c r="B1651" s="1" t="s">
        <v>330</v>
      </c>
      <c r="C1651" s="4">
        <v>2</v>
      </c>
      <c r="D1651" s="8">
        <v>2.41</v>
      </c>
      <c r="E1651" s="4">
        <v>1</v>
      </c>
      <c r="F1651" s="8">
        <v>1.92</v>
      </c>
      <c r="G1651" s="4">
        <v>1</v>
      </c>
      <c r="H1651" s="8">
        <v>3.57</v>
      </c>
      <c r="I1651" s="4">
        <v>0</v>
      </c>
    </row>
    <row r="1652" spans="1:9" x14ac:dyDescent="0.2">
      <c r="A1652" s="2">
        <v>8</v>
      </c>
      <c r="B1652" s="1" t="s">
        <v>295</v>
      </c>
      <c r="C1652" s="4">
        <v>2</v>
      </c>
      <c r="D1652" s="8">
        <v>2.41</v>
      </c>
      <c r="E1652" s="4">
        <v>2</v>
      </c>
      <c r="F1652" s="8">
        <v>3.85</v>
      </c>
      <c r="G1652" s="4">
        <v>0</v>
      </c>
      <c r="H1652" s="8">
        <v>0</v>
      </c>
      <c r="I1652" s="4">
        <v>0</v>
      </c>
    </row>
    <row r="1653" spans="1:9" x14ac:dyDescent="0.2">
      <c r="A1653" s="2">
        <v>8</v>
      </c>
      <c r="B1653" s="1" t="s">
        <v>297</v>
      </c>
      <c r="C1653" s="4">
        <v>2</v>
      </c>
      <c r="D1653" s="8">
        <v>2.41</v>
      </c>
      <c r="E1653" s="4">
        <v>0</v>
      </c>
      <c r="F1653" s="8">
        <v>0</v>
      </c>
      <c r="G1653" s="4">
        <v>2</v>
      </c>
      <c r="H1653" s="8">
        <v>7.14</v>
      </c>
      <c r="I1653" s="4">
        <v>0</v>
      </c>
    </row>
    <row r="1654" spans="1:9" x14ac:dyDescent="0.2">
      <c r="A1654" s="2">
        <v>8</v>
      </c>
      <c r="B1654" s="1" t="s">
        <v>299</v>
      </c>
      <c r="C1654" s="4">
        <v>2</v>
      </c>
      <c r="D1654" s="8">
        <v>2.41</v>
      </c>
      <c r="E1654" s="4">
        <v>1</v>
      </c>
      <c r="F1654" s="8">
        <v>1.92</v>
      </c>
      <c r="G1654" s="4">
        <v>1</v>
      </c>
      <c r="H1654" s="8">
        <v>3.57</v>
      </c>
      <c r="I1654" s="4">
        <v>0</v>
      </c>
    </row>
    <row r="1655" spans="1:9" x14ac:dyDescent="0.2">
      <c r="A1655" s="2">
        <v>8</v>
      </c>
      <c r="B1655" s="1" t="s">
        <v>349</v>
      </c>
      <c r="C1655" s="4">
        <v>2</v>
      </c>
      <c r="D1655" s="8">
        <v>2.41</v>
      </c>
      <c r="E1655" s="4">
        <v>2</v>
      </c>
      <c r="F1655" s="8">
        <v>3.85</v>
      </c>
      <c r="G1655" s="4">
        <v>0</v>
      </c>
      <c r="H1655" s="8">
        <v>0</v>
      </c>
      <c r="I1655" s="4">
        <v>0</v>
      </c>
    </row>
    <row r="1656" spans="1:9" x14ac:dyDescent="0.2">
      <c r="A1656" s="2">
        <v>8</v>
      </c>
      <c r="B1656" s="1" t="s">
        <v>300</v>
      </c>
      <c r="C1656" s="4">
        <v>2</v>
      </c>
      <c r="D1656" s="8">
        <v>2.41</v>
      </c>
      <c r="E1656" s="4">
        <v>2</v>
      </c>
      <c r="F1656" s="8">
        <v>3.85</v>
      </c>
      <c r="G1656" s="4">
        <v>0</v>
      </c>
      <c r="H1656" s="8">
        <v>0</v>
      </c>
      <c r="I1656" s="4">
        <v>0</v>
      </c>
    </row>
    <row r="1657" spans="1:9" x14ac:dyDescent="0.2">
      <c r="A1657" s="2">
        <v>8</v>
      </c>
      <c r="B1657" s="1" t="s">
        <v>303</v>
      </c>
      <c r="C1657" s="4">
        <v>2</v>
      </c>
      <c r="D1657" s="8">
        <v>2.41</v>
      </c>
      <c r="E1657" s="4">
        <v>2</v>
      </c>
      <c r="F1657" s="8">
        <v>3.85</v>
      </c>
      <c r="G1657" s="4">
        <v>0</v>
      </c>
      <c r="H1657" s="8">
        <v>0</v>
      </c>
      <c r="I1657" s="4">
        <v>0</v>
      </c>
    </row>
    <row r="1658" spans="1:9" x14ac:dyDescent="0.2">
      <c r="A1658" s="2">
        <v>19</v>
      </c>
      <c r="B1658" s="1" t="s">
        <v>328</v>
      </c>
      <c r="C1658" s="4">
        <v>1</v>
      </c>
      <c r="D1658" s="8">
        <v>1.2</v>
      </c>
      <c r="E1658" s="4">
        <v>0</v>
      </c>
      <c r="F1658" s="8">
        <v>0</v>
      </c>
      <c r="G1658" s="4">
        <v>1</v>
      </c>
      <c r="H1658" s="8">
        <v>3.57</v>
      </c>
      <c r="I1658" s="4">
        <v>0</v>
      </c>
    </row>
    <row r="1659" spans="1:9" x14ac:dyDescent="0.2">
      <c r="A1659" s="2">
        <v>19</v>
      </c>
      <c r="B1659" s="1" t="s">
        <v>319</v>
      </c>
      <c r="C1659" s="4">
        <v>1</v>
      </c>
      <c r="D1659" s="8">
        <v>1.2</v>
      </c>
      <c r="E1659" s="4">
        <v>1</v>
      </c>
      <c r="F1659" s="8">
        <v>1.92</v>
      </c>
      <c r="G1659" s="4">
        <v>0</v>
      </c>
      <c r="H1659" s="8">
        <v>0</v>
      </c>
      <c r="I1659" s="4">
        <v>0</v>
      </c>
    </row>
    <row r="1660" spans="1:9" x14ac:dyDescent="0.2">
      <c r="A1660" s="2">
        <v>19</v>
      </c>
      <c r="B1660" s="1" t="s">
        <v>343</v>
      </c>
      <c r="C1660" s="4">
        <v>1</v>
      </c>
      <c r="D1660" s="8">
        <v>1.2</v>
      </c>
      <c r="E1660" s="4">
        <v>1</v>
      </c>
      <c r="F1660" s="8">
        <v>1.92</v>
      </c>
      <c r="G1660" s="4">
        <v>0</v>
      </c>
      <c r="H1660" s="8">
        <v>0</v>
      </c>
      <c r="I1660" s="4">
        <v>0</v>
      </c>
    </row>
    <row r="1661" spans="1:9" x14ac:dyDescent="0.2">
      <c r="A1661" s="2">
        <v>19</v>
      </c>
      <c r="B1661" s="1" t="s">
        <v>333</v>
      </c>
      <c r="C1661" s="4">
        <v>1</v>
      </c>
      <c r="D1661" s="8">
        <v>1.2</v>
      </c>
      <c r="E1661" s="4">
        <v>1</v>
      </c>
      <c r="F1661" s="8">
        <v>1.92</v>
      </c>
      <c r="G1661" s="4">
        <v>0</v>
      </c>
      <c r="H1661" s="8">
        <v>0</v>
      </c>
      <c r="I1661" s="4">
        <v>0</v>
      </c>
    </row>
    <row r="1662" spans="1:9" x14ac:dyDescent="0.2">
      <c r="A1662" s="2">
        <v>19</v>
      </c>
      <c r="B1662" s="1" t="s">
        <v>399</v>
      </c>
      <c r="C1662" s="4">
        <v>1</v>
      </c>
      <c r="D1662" s="8">
        <v>1.2</v>
      </c>
      <c r="E1662" s="4">
        <v>0</v>
      </c>
      <c r="F1662" s="8">
        <v>0</v>
      </c>
      <c r="G1662" s="4">
        <v>1</v>
      </c>
      <c r="H1662" s="8">
        <v>3.57</v>
      </c>
      <c r="I1662" s="4">
        <v>0</v>
      </c>
    </row>
    <row r="1663" spans="1:9" x14ac:dyDescent="0.2">
      <c r="A1663" s="2">
        <v>19</v>
      </c>
      <c r="B1663" s="1" t="s">
        <v>406</v>
      </c>
      <c r="C1663" s="4">
        <v>1</v>
      </c>
      <c r="D1663" s="8">
        <v>1.2</v>
      </c>
      <c r="E1663" s="4">
        <v>1</v>
      </c>
      <c r="F1663" s="8">
        <v>1.92</v>
      </c>
      <c r="G1663" s="4">
        <v>0</v>
      </c>
      <c r="H1663" s="8">
        <v>0</v>
      </c>
      <c r="I1663" s="4">
        <v>0</v>
      </c>
    </row>
    <row r="1664" spans="1:9" x14ac:dyDescent="0.2">
      <c r="A1664" s="2">
        <v>19</v>
      </c>
      <c r="B1664" s="1" t="s">
        <v>387</v>
      </c>
      <c r="C1664" s="4">
        <v>1</v>
      </c>
      <c r="D1664" s="8">
        <v>1.2</v>
      </c>
      <c r="E1664" s="4">
        <v>0</v>
      </c>
      <c r="F1664" s="8">
        <v>0</v>
      </c>
      <c r="G1664" s="4">
        <v>1</v>
      </c>
      <c r="H1664" s="8">
        <v>3.57</v>
      </c>
      <c r="I1664" s="4">
        <v>0</v>
      </c>
    </row>
    <row r="1665" spans="1:9" x14ac:dyDescent="0.2">
      <c r="A1665" s="2">
        <v>19</v>
      </c>
      <c r="B1665" s="1" t="s">
        <v>362</v>
      </c>
      <c r="C1665" s="4">
        <v>1</v>
      </c>
      <c r="D1665" s="8">
        <v>1.2</v>
      </c>
      <c r="E1665" s="4">
        <v>0</v>
      </c>
      <c r="F1665" s="8">
        <v>0</v>
      </c>
      <c r="G1665" s="4">
        <v>0</v>
      </c>
      <c r="H1665" s="8">
        <v>0</v>
      </c>
      <c r="I1665" s="4">
        <v>0</v>
      </c>
    </row>
    <row r="1666" spans="1:9" x14ac:dyDescent="0.2">
      <c r="A1666" s="2">
        <v>19</v>
      </c>
      <c r="B1666" s="1" t="s">
        <v>407</v>
      </c>
      <c r="C1666" s="4">
        <v>1</v>
      </c>
      <c r="D1666" s="8">
        <v>1.2</v>
      </c>
      <c r="E1666" s="4">
        <v>0</v>
      </c>
      <c r="F1666" s="8">
        <v>0</v>
      </c>
      <c r="G1666" s="4">
        <v>1</v>
      </c>
      <c r="H1666" s="8">
        <v>3.57</v>
      </c>
      <c r="I1666" s="4">
        <v>0</v>
      </c>
    </row>
    <row r="1667" spans="1:9" x14ac:dyDescent="0.2">
      <c r="A1667" s="2">
        <v>19</v>
      </c>
      <c r="B1667" s="1" t="s">
        <v>326</v>
      </c>
      <c r="C1667" s="4">
        <v>1</v>
      </c>
      <c r="D1667" s="8">
        <v>1.2</v>
      </c>
      <c r="E1667" s="4">
        <v>0</v>
      </c>
      <c r="F1667" s="8">
        <v>0</v>
      </c>
      <c r="G1667" s="4">
        <v>1</v>
      </c>
      <c r="H1667" s="8">
        <v>3.57</v>
      </c>
      <c r="I1667" s="4">
        <v>0</v>
      </c>
    </row>
    <row r="1668" spans="1:9" x14ac:dyDescent="0.2">
      <c r="A1668" s="2">
        <v>19</v>
      </c>
      <c r="B1668" s="1" t="s">
        <v>350</v>
      </c>
      <c r="C1668" s="4">
        <v>1</v>
      </c>
      <c r="D1668" s="8">
        <v>1.2</v>
      </c>
      <c r="E1668" s="4">
        <v>0</v>
      </c>
      <c r="F1668" s="8">
        <v>0</v>
      </c>
      <c r="G1668" s="4">
        <v>1</v>
      </c>
      <c r="H1668" s="8">
        <v>3.57</v>
      </c>
      <c r="I1668" s="4">
        <v>0</v>
      </c>
    </row>
    <row r="1669" spans="1:9" x14ac:dyDescent="0.2">
      <c r="A1669" s="2">
        <v>19</v>
      </c>
      <c r="B1669" s="1" t="s">
        <v>408</v>
      </c>
      <c r="C1669" s="4">
        <v>1</v>
      </c>
      <c r="D1669" s="8">
        <v>1.2</v>
      </c>
      <c r="E1669" s="4">
        <v>0</v>
      </c>
      <c r="F1669" s="8">
        <v>0</v>
      </c>
      <c r="G1669" s="4">
        <v>1</v>
      </c>
      <c r="H1669" s="8">
        <v>3.57</v>
      </c>
      <c r="I1669" s="4">
        <v>0</v>
      </c>
    </row>
    <row r="1670" spans="1:9" x14ac:dyDescent="0.2">
      <c r="A1670" s="2">
        <v>19</v>
      </c>
      <c r="B1670" s="1" t="s">
        <v>358</v>
      </c>
      <c r="C1670" s="4">
        <v>1</v>
      </c>
      <c r="D1670" s="8">
        <v>1.2</v>
      </c>
      <c r="E1670" s="4">
        <v>0</v>
      </c>
      <c r="F1670" s="8">
        <v>0</v>
      </c>
      <c r="G1670" s="4">
        <v>1</v>
      </c>
      <c r="H1670" s="8">
        <v>3.57</v>
      </c>
      <c r="I1670" s="4">
        <v>0</v>
      </c>
    </row>
    <row r="1671" spans="1:9" x14ac:dyDescent="0.2">
      <c r="A1671" s="2">
        <v>19</v>
      </c>
      <c r="B1671" s="1" t="s">
        <v>400</v>
      </c>
      <c r="C1671" s="4">
        <v>1</v>
      </c>
      <c r="D1671" s="8">
        <v>1.2</v>
      </c>
      <c r="E1671" s="4">
        <v>1</v>
      </c>
      <c r="F1671" s="8">
        <v>1.92</v>
      </c>
      <c r="G1671" s="4">
        <v>0</v>
      </c>
      <c r="H1671" s="8">
        <v>0</v>
      </c>
      <c r="I1671" s="4">
        <v>0</v>
      </c>
    </row>
    <row r="1672" spans="1:9" x14ac:dyDescent="0.2">
      <c r="A1672" s="2">
        <v>19</v>
      </c>
      <c r="B1672" s="1" t="s">
        <v>382</v>
      </c>
      <c r="C1672" s="4">
        <v>1</v>
      </c>
      <c r="D1672" s="8">
        <v>1.2</v>
      </c>
      <c r="E1672" s="4">
        <v>0</v>
      </c>
      <c r="F1672" s="8">
        <v>0</v>
      </c>
      <c r="G1672" s="4">
        <v>1</v>
      </c>
      <c r="H1672" s="8">
        <v>3.57</v>
      </c>
      <c r="I1672" s="4">
        <v>0</v>
      </c>
    </row>
    <row r="1673" spans="1:9" x14ac:dyDescent="0.2">
      <c r="A1673" s="2">
        <v>19</v>
      </c>
      <c r="B1673" s="1" t="s">
        <v>366</v>
      </c>
      <c r="C1673" s="4">
        <v>1</v>
      </c>
      <c r="D1673" s="8">
        <v>1.2</v>
      </c>
      <c r="E1673" s="4">
        <v>1</v>
      </c>
      <c r="F1673" s="8">
        <v>1.92</v>
      </c>
      <c r="G1673" s="4">
        <v>0</v>
      </c>
      <c r="H1673" s="8">
        <v>0</v>
      </c>
      <c r="I1673" s="4">
        <v>0</v>
      </c>
    </row>
    <row r="1674" spans="1:9" x14ac:dyDescent="0.2">
      <c r="A1674" s="2">
        <v>19</v>
      </c>
      <c r="B1674" s="1" t="s">
        <v>332</v>
      </c>
      <c r="C1674" s="4">
        <v>1</v>
      </c>
      <c r="D1674" s="8">
        <v>1.2</v>
      </c>
      <c r="E1674" s="4">
        <v>0</v>
      </c>
      <c r="F1674" s="8">
        <v>0</v>
      </c>
      <c r="G1674" s="4">
        <v>1</v>
      </c>
      <c r="H1674" s="8">
        <v>3.57</v>
      </c>
      <c r="I1674" s="4">
        <v>0</v>
      </c>
    </row>
    <row r="1675" spans="1:9" x14ac:dyDescent="0.2">
      <c r="A1675" s="2">
        <v>19</v>
      </c>
      <c r="B1675" s="1" t="s">
        <v>292</v>
      </c>
      <c r="C1675" s="4">
        <v>1</v>
      </c>
      <c r="D1675" s="8">
        <v>1.2</v>
      </c>
      <c r="E1675" s="4">
        <v>1</v>
      </c>
      <c r="F1675" s="8">
        <v>1.92</v>
      </c>
      <c r="G1675" s="4">
        <v>0</v>
      </c>
      <c r="H1675" s="8">
        <v>0</v>
      </c>
      <c r="I1675" s="4">
        <v>0</v>
      </c>
    </row>
    <row r="1676" spans="1:9" x14ac:dyDescent="0.2">
      <c r="A1676" s="2">
        <v>19</v>
      </c>
      <c r="B1676" s="1" t="s">
        <v>293</v>
      </c>
      <c r="C1676" s="4">
        <v>1</v>
      </c>
      <c r="D1676" s="8">
        <v>1.2</v>
      </c>
      <c r="E1676" s="4">
        <v>1</v>
      </c>
      <c r="F1676" s="8">
        <v>1.92</v>
      </c>
      <c r="G1676" s="4">
        <v>0</v>
      </c>
      <c r="H1676" s="8">
        <v>0</v>
      </c>
      <c r="I1676" s="4">
        <v>0</v>
      </c>
    </row>
    <row r="1677" spans="1:9" x14ac:dyDescent="0.2">
      <c r="A1677" s="2">
        <v>19</v>
      </c>
      <c r="B1677" s="1" t="s">
        <v>335</v>
      </c>
      <c r="C1677" s="4">
        <v>1</v>
      </c>
      <c r="D1677" s="8">
        <v>1.2</v>
      </c>
      <c r="E1677" s="4">
        <v>1</v>
      </c>
      <c r="F1677" s="8">
        <v>1.92</v>
      </c>
      <c r="G1677" s="4">
        <v>0</v>
      </c>
      <c r="H1677" s="8">
        <v>0</v>
      </c>
      <c r="I1677" s="4">
        <v>0</v>
      </c>
    </row>
    <row r="1678" spans="1:9" x14ac:dyDescent="0.2">
      <c r="A1678" s="2">
        <v>19</v>
      </c>
      <c r="B1678" s="1" t="s">
        <v>294</v>
      </c>
      <c r="C1678" s="4">
        <v>1</v>
      </c>
      <c r="D1678" s="8">
        <v>1.2</v>
      </c>
      <c r="E1678" s="4">
        <v>1</v>
      </c>
      <c r="F1678" s="8">
        <v>1.92</v>
      </c>
      <c r="G1678" s="4">
        <v>0</v>
      </c>
      <c r="H1678" s="8">
        <v>0</v>
      </c>
      <c r="I1678" s="4">
        <v>0</v>
      </c>
    </row>
    <row r="1679" spans="1:9" x14ac:dyDescent="0.2">
      <c r="A1679" s="2">
        <v>19</v>
      </c>
      <c r="B1679" s="1" t="s">
        <v>337</v>
      </c>
      <c r="C1679" s="4">
        <v>1</v>
      </c>
      <c r="D1679" s="8">
        <v>1.2</v>
      </c>
      <c r="E1679" s="4">
        <v>1</v>
      </c>
      <c r="F1679" s="8">
        <v>1.92</v>
      </c>
      <c r="G1679" s="4">
        <v>0</v>
      </c>
      <c r="H1679" s="8">
        <v>0</v>
      </c>
      <c r="I1679" s="4">
        <v>0</v>
      </c>
    </row>
    <row r="1680" spans="1:9" x14ac:dyDescent="0.2">
      <c r="A1680" s="2">
        <v>19</v>
      </c>
      <c r="B1680" s="1" t="s">
        <v>338</v>
      </c>
      <c r="C1680" s="4">
        <v>1</v>
      </c>
      <c r="D1680" s="8">
        <v>1.2</v>
      </c>
      <c r="E1680" s="4">
        <v>1</v>
      </c>
      <c r="F1680" s="8">
        <v>1.92</v>
      </c>
      <c r="G1680" s="4">
        <v>0</v>
      </c>
      <c r="H1680" s="8">
        <v>0</v>
      </c>
      <c r="I1680" s="4">
        <v>0</v>
      </c>
    </row>
    <row r="1681" spans="1:9" x14ac:dyDescent="0.2">
      <c r="A1681" s="2">
        <v>19</v>
      </c>
      <c r="B1681" s="1" t="s">
        <v>296</v>
      </c>
      <c r="C1681" s="4">
        <v>1</v>
      </c>
      <c r="D1681" s="8">
        <v>1.2</v>
      </c>
      <c r="E1681" s="4">
        <v>0</v>
      </c>
      <c r="F1681" s="8">
        <v>0</v>
      </c>
      <c r="G1681" s="4">
        <v>1</v>
      </c>
      <c r="H1681" s="8">
        <v>3.57</v>
      </c>
      <c r="I1681" s="4">
        <v>0</v>
      </c>
    </row>
    <row r="1682" spans="1:9" x14ac:dyDescent="0.2">
      <c r="A1682" s="2">
        <v>19</v>
      </c>
      <c r="B1682" s="1" t="s">
        <v>409</v>
      </c>
      <c r="C1682" s="4">
        <v>1</v>
      </c>
      <c r="D1682" s="8">
        <v>1.2</v>
      </c>
      <c r="E1682" s="4">
        <v>1</v>
      </c>
      <c r="F1682" s="8">
        <v>1.92</v>
      </c>
      <c r="G1682" s="4">
        <v>0</v>
      </c>
      <c r="H1682" s="8">
        <v>0</v>
      </c>
      <c r="I1682" s="4">
        <v>0</v>
      </c>
    </row>
    <row r="1683" spans="1:9" x14ac:dyDescent="0.2">
      <c r="A1683" s="2">
        <v>19</v>
      </c>
      <c r="B1683" s="1" t="s">
        <v>339</v>
      </c>
      <c r="C1683" s="4">
        <v>1</v>
      </c>
      <c r="D1683" s="8">
        <v>1.2</v>
      </c>
      <c r="E1683" s="4">
        <v>1</v>
      </c>
      <c r="F1683" s="8">
        <v>1.92</v>
      </c>
      <c r="G1683" s="4">
        <v>0</v>
      </c>
      <c r="H1683" s="8">
        <v>0</v>
      </c>
      <c r="I1683" s="4">
        <v>0</v>
      </c>
    </row>
    <row r="1684" spans="1:9" x14ac:dyDescent="0.2">
      <c r="A1684" s="2">
        <v>19</v>
      </c>
      <c r="B1684" s="1" t="s">
        <v>410</v>
      </c>
      <c r="C1684" s="4">
        <v>1</v>
      </c>
      <c r="D1684" s="8">
        <v>1.2</v>
      </c>
      <c r="E1684" s="4">
        <v>0</v>
      </c>
      <c r="F1684" s="8">
        <v>0</v>
      </c>
      <c r="G1684" s="4">
        <v>1</v>
      </c>
      <c r="H1684" s="8">
        <v>3.57</v>
      </c>
      <c r="I1684" s="4">
        <v>0</v>
      </c>
    </row>
    <row r="1685" spans="1:9" x14ac:dyDescent="0.2">
      <c r="A1685" s="2">
        <v>19</v>
      </c>
      <c r="B1685" s="1" t="s">
        <v>352</v>
      </c>
      <c r="C1685" s="4">
        <v>1</v>
      </c>
      <c r="D1685" s="8">
        <v>1.2</v>
      </c>
      <c r="E1685" s="4">
        <v>0</v>
      </c>
      <c r="F1685" s="8">
        <v>0</v>
      </c>
      <c r="G1685" s="4">
        <v>1</v>
      </c>
      <c r="H1685" s="8">
        <v>3.57</v>
      </c>
      <c r="I1685" s="4">
        <v>0</v>
      </c>
    </row>
    <row r="1686" spans="1:9" x14ac:dyDescent="0.2">
      <c r="A1686" s="2">
        <v>19</v>
      </c>
      <c r="B1686" s="1" t="s">
        <v>411</v>
      </c>
      <c r="C1686" s="4">
        <v>1</v>
      </c>
      <c r="D1686" s="8">
        <v>1.2</v>
      </c>
      <c r="E1686" s="4">
        <v>1</v>
      </c>
      <c r="F1686" s="8">
        <v>1.92</v>
      </c>
      <c r="G1686" s="4">
        <v>0</v>
      </c>
      <c r="H1686" s="8">
        <v>0</v>
      </c>
      <c r="I1686" s="4">
        <v>0</v>
      </c>
    </row>
    <row r="1687" spans="1:9" x14ac:dyDescent="0.2">
      <c r="A1687" s="2">
        <v>19</v>
      </c>
      <c r="B1687" s="1" t="s">
        <v>305</v>
      </c>
      <c r="C1687" s="4">
        <v>1</v>
      </c>
      <c r="D1687" s="8">
        <v>1.2</v>
      </c>
      <c r="E1687" s="4">
        <v>1</v>
      </c>
      <c r="F1687" s="8">
        <v>1.92</v>
      </c>
      <c r="G1687" s="4">
        <v>0</v>
      </c>
      <c r="H1687" s="8">
        <v>0</v>
      </c>
      <c r="I1687" s="4">
        <v>0</v>
      </c>
    </row>
    <row r="1688" spans="1:9" x14ac:dyDescent="0.2">
      <c r="A1688" s="2">
        <v>19</v>
      </c>
      <c r="B1688" s="1" t="s">
        <v>312</v>
      </c>
      <c r="C1688" s="4">
        <v>1</v>
      </c>
      <c r="D1688" s="8">
        <v>1.2</v>
      </c>
      <c r="E1688" s="4">
        <v>1</v>
      </c>
      <c r="F1688" s="8">
        <v>1.92</v>
      </c>
      <c r="G1688" s="4">
        <v>0</v>
      </c>
      <c r="H1688" s="8">
        <v>0</v>
      </c>
      <c r="I1688" s="4">
        <v>0</v>
      </c>
    </row>
    <row r="1689" spans="1:9" x14ac:dyDescent="0.2">
      <c r="A1689" s="2">
        <v>19</v>
      </c>
      <c r="B1689" s="1" t="s">
        <v>412</v>
      </c>
      <c r="C1689" s="4">
        <v>1</v>
      </c>
      <c r="D1689" s="8">
        <v>1.2</v>
      </c>
      <c r="E1689" s="4">
        <v>0</v>
      </c>
      <c r="F1689" s="8">
        <v>0</v>
      </c>
      <c r="G1689" s="4">
        <v>0</v>
      </c>
      <c r="H1689" s="8">
        <v>0</v>
      </c>
      <c r="I1689" s="4">
        <v>0</v>
      </c>
    </row>
    <row r="1690" spans="1:9" x14ac:dyDescent="0.2">
      <c r="A1690" s="2">
        <v>19</v>
      </c>
      <c r="B1690" s="1" t="s">
        <v>370</v>
      </c>
      <c r="C1690" s="4">
        <v>1</v>
      </c>
      <c r="D1690" s="8">
        <v>1.2</v>
      </c>
      <c r="E1690" s="4">
        <v>0</v>
      </c>
      <c r="F1690" s="8">
        <v>0</v>
      </c>
      <c r="G1690" s="4">
        <v>0</v>
      </c>
      <c r="H1690" s="8">
        <v>0</v>
      </c>
      <c r="I1690" s="4">
        <v>0</v>
      </c>
    </row>
    <row r="1691" spans="1:9" x14ac:dyDescent="0.2">
      <c r="A1691" s="2">
        <v>19</v>
      </c>
      <c r="B1691" s="1" t="s">
        <v>307</v>
      </c>
      <c r="C1691" s="4">
        <v>1</v>
      </c>
      <c r="D1691" s="8">
        <v>1.2</v>
      </c>
      <c r="E1691" s="4">
        <v>0</v>
      </c>
      <c r="F1691" s="8">
        <v>0</v>
      </c>
      <c r="G1691" s="4">
        <v>1</v>
      </c>
      <c r="H1691" s="8">
        <v>3.57</v>
      </c>
      <c r="I1691" s="4">
        <v>0</v>
      </c>
    </row>
    <row r="1692" spans="1:9" x14ac:dyDescent="0.2">
      <c r="A1692" s="1"/>
      <c r="C1692" s="4"/>
      <c r="D1692" s="8"/>
      <c r="E1692" s="4"/>
      <c r="F1692" s="8"/>
      <c r="G1692" s="4"/>
      <c r="H1692" s="8"/>
      <c r="I1692" s="4"/>
    </row>
    <row r="1693" spans="1:9" x14ac:dyDescent="0.2">
      <c r="A1693" s="1" t="s">
        <v>66</v>
      </c>
      <c r="C1693" s="4"/>
      <c r="D1693" s="8"/>
      <c r="E1693" s="4"/>
      <c r="F1693" s="8"/>
      <c r="G1693" s="4"/>
      <c r="H1693" s="8"/>
      <c r="I1693" s="4"/>
    </row>
    <row r="1694" spans="1:9" x14ac:dyDescent="0.2">
      <c r="A1694" s="2">
        <v>1</v>
      </c>
      <c r="B1694" s="1" t="s">
        <v>297</v>
      </c>
      <c r="C1694" s="4">
        <v>5</v>
      </c>
      <c r="D1694" s="8">
        <v>6.25</v>
      </c>
      <c r="E1694" s="4">
        <v>5</v>
      </c>
      <c r="F1694" s="8">
        <v>12.2</v>
      </c>
      <c r="G1694" s="4">
        <v>0</v>
      </c>
      <c r="H1694" s="8">
        <v>0</v>
      </c>
      <c r="I1694" s="4">
        <v>0</v>
      </c>
    </row>
    <row r="1695" spans="1:9" x14ac:dyDescent="0.2">
      <c r="A1695" s="2">
        <v>2</v>
      </c>
      <c r="B1695" s="1" t="s">
        <v>329</v>
      </c>
      <c r="C1695" s="4">
        <v>4</v>
      </c>
      <c r="D1695" s="8">
        <v>5</v>
      </c>
      <c r="E1695" s="4">
        <v>4</v>
      </c>
      <c r="F1695" s="8">
        <v>9.76</v>
      </c>
      <c r="G1695" s="4">
        <v>0</v>
      </c>
      <c r="H1695" s="8">
        <v>0</v>
      </c>
      <c r="I1695" s="4">
        <v>0</v>
      </c>
    </row>
    <row r="1696" spans="1:9" x14ac:dyDescent="0.2">
      <c r="A1696" s="2">
        <v>2</v>
      </c>
      <c r="B1696" s="1" t="s">
        <v>330</v>
      </c>
      <c r="C1696" s="4">
        <v>4</v>
      </c>
      <c r="D1696" s="8">
        <v>5</v>
      </c>
      <c r="E1696" s="4">
        <v>1</v>
      </c>
      <c r="F1696" s="8">
        <v>2.44</v>
      </c>
      <c r="G1696" s="4">
        <v>3</v>
      </c>
      <c r="H1696" s="8">
        <v>9.3800000000000008</v>
      </c>
      <c r="I1696" s="4">
        <v>0</v>
      </c>
    </row>
    <row r="1697" spans="1:9" x14ac:dyDescent="0.2">
      <c r="A1697" s="2">
        <v>4</v>
      </c>
      <c r="B1697" s="1" t="s">
        <v>344</v>
      </c>
      <c r="C1697" s="4">
        <v>3</v>
      </c>
      <c r="D1697" s="8">
        <v>3.75</v>
      </c>
      <c r="E1697" s="4">
        <v>2</v>
      </c>
      <c r="F1697" s="8">
        <v>4.88</v>
      </c>
      <c r="G1697" s="4">
        <v>1</v>
      </c>
      <c r="H1697" s="8">
        <v>3.13</v>
      </c>
      <c r="I1697" s="4">
        <v>0</v>
      </c>
    </row>
    <row r="1698" spans="1:9" x14ac:dyDescent="0.2">
      <c r="A1698" s="2">
        <v>4</v>
      </c>
      <c r="B1698" s="1" t="s">
        <v>415</v>
      </c>
      <c r="C1698" s="4">
        <v>3</v>
      </c>
      <c r="D1698" s="8">
        <v>3.75</v>
      </c>
      <c r="E1698" s="4">
        <v>0</v>
      </c>
      <c r="F1698" s="8">
        <v>0</v>
      </c>
      <c r="G1698" s="4">
        <v>3</v>
      </c>
      <c r="H1698" s="8">
        <v>9.3800000000000008</v>
      </c>
      <c r="I1698" s="4">
        <v>0</v>
      </c>
    </row>
    <row r="1699" spans="1:9" x14ac:dyDescent="0.2">
      <c r="A1699" s="2">
        <v>4</v>
      </c>
      <c r="B1699" s="1" t="s">
        <v>303</v>
      </c>
      <c r="C1699" s="4">
        <v>3</v>
      </c>
      <c r="D1699" s="8">
        <v>3.75</v>
      </c>
      <c r="E1699" s="4">
        <v>3</v>
      </c>
      <c r="F1699" s="8">
        <v>7.32</v>
      </c>
      <c r="G1699" s="4">
        <v>0</v>
      </c>
      <c r="H1699" s="8">
        <v>0</v>
      </c>
      <c r="I1699" s="4">
        <v>0</v>
      </c>
    </row>
    <row r="1700" spans="1:9" x14ac:dyDescent="0.2">
      <c r="A1700" s="2">
        <v>4</v>
      </c>
      <c r="B1700" s="1" t="s">
        <v>304</v>
      </c>
      <c r="C1700" s="4">
        <v>3</v>
      </c>
      <c r="D1700" s="8">
        <v>3.75</v>
      </c>
      <c r="E1700" s="4">
        <v>3</v>
      </c>
      <c r="F1700" s="8">
        <v>7.32</v>
      </c>
      <c r="G1700" s="4">
        <v>0</v>
      </c>
      <c r="H1700" s="8">
        <v>0</v>
      </c>
      <c r="I1700" s="4">
        <v>0</v>
      </c>
    </row>
    <row r="1701" spans="1:9" x14ac:dyDescent="0.2">
      <c r="A1701" s="2">
        <v>8</v>
      </c>
      <c r="B1701" s="1" t="s">
        <v>332</v>
      </c>
      <c r="C1701" s="4">
        <v>2</v>
      </c>
      <c r="D1701" s="8">
        <v>2.5</v>
      </c>
      <c r="E1701" s="4">
        <v>1</v>
      </c>
      <c r="F1701" s="8">
        <v>2.44</v>
      </c>
      <c r="G1701" s="4">
        <v>1</v>
      </c>
      <c r="H1701" s="8">
        <v>3.13</v>
      </c>
      <c r="I1701" s="4">
        <v>0</v>
      </c>
    </row>
    <row r="1702" spans="1:9" x14ac:dyDescent="0.2">
      <c r="A1702" s="2">
        <v>8</v>
      </c>
      <c r="B1702" s="1" t="s">
        <v>295</v>
      </c>
      <c r="C1702" s="4">
        <v>2</v>
      </c>
      <c r="D1702" s="8">
        <v>2.5</v>
      </c>
      <c r="E1702" s="4">
        <v>1</v>
      </c>
      <c r="F1702" s="8">
        <v>2.44</v>
      </c>
      <c r="G1702" s="4">
        <v>1</v>
      </c>
      <c r="H1702" s="8">
        <v>3.13</v>
      </c>
      <c r="I1702" s="4">
        <v>0</v>
      </c>
    </row>
    <row r="1703" spans="1:9" x14ac:dyDescent="0.2">
      <c r="A1703" s="2">
        <v>8</v>
      </c>
      <c r="B1703" s="1" t="s">
        <v>417</v>
      </c>
      <c r="C1703" s="4">
        <v>2</v>
      </c>
      <c r="D1703" s="8">
        <v>2.5</v>
      </c>
      <c r="E1703" s="4">
        <v>2</v>
      </c>
      <c r="F1703" s="8">
        <v>4.88</v>
      </c>
      <c r="G1703" s="4">
        <v>0</v>
      </c>
      <c r="H1703" s="8">
        <v>0</v>
      </c>
      <c r="I1703" s="4">
        <v>0</v>
      </c>
    </row>
    <row r="1704" spans="1:9" x14ac:dyDescent="0.2">
      <c r="A1704" s="2">
        <v>8</v>
      </c>
      <c r="B1704" s="1" t="s">
        <v>339</v>
      </c>
      <c r="C1704" s="4">
        <v>2</v>
      </c>
      <c r="D1704" s="8">
        <v>2.5</v>
      </c>
      <c r="E1704" s="4">
        <v>1</v>
      </c>
      <c r="F1704" s="8">
        <v>2.44</v>
      </c>
      <c r="G1704" s="4">
        <v>1</v>
      </c>
      <c r="H1704" s="8">
        <v>3.13</v>
      </c>
      <c r="I1704" s="4">
        <v>0</v>
      </c>
    </row>
    <row r="1705" spans="1:9" x14ac:dyDescent="0.2">
      <c r="A1705" s="2">
        <v>8</v>
      </c>
      <c r="B1705" s="1" t="s">
        <v>299</v>
      </c>
      <c r="C1705" s="4">
        <v>2</v>
      </c>
      <c r="D1705" s="8">
        <v>2.5</v>
      </c>
      <c r="E1705" s="4">
        <v>1</v>
      </c>
      <c r="F1705" s="8">
        <v>2.44</v>
      </c>
      <c r="G1705" s="4">
        <v>1</v>
      </c>
      <c r="H1705" s="8">
        <v>3.13</v>
      </c>
      <c r="I1705" s="4">
        <v>0</v>
      </c>
    </row>
    <row r="1706" spans="1:9" x14ac:dyDescent="0.2">
      <c r="A1706" s="2">
        <v>8</v>
      </c>
      <c r="B1706" s="1" t="s">
        <v>325</v>
      </c>
      <c r="C1706" s="4">
        <v>2</v>
      </c>
      <c r="D1706" s="8">
        <v>2.5</v>
      </c>
      <c r="E1706" s="4">
        <v>0</v>
      </c>
      <c r="F1706" s="8">
        <v>0</v>
      </c>
      <c r="G1706" s="4">
        <v>2</v>
      </c>
      <c r="H1706" s="8">
        <v>6.25</v>
      </c>
      <c r="I1706" s="4">
        <v>0</v>
      </c>
    </row>
    <row r="1707" spans="1:9" x14ac:dyDescent="0.2">
      <c r="A1707" s="2">
        <v>8</v>
      </c>
      <c r="B1707" s="1" t="s">
        <v>305</v>
      </c>
      <c r="C1707" s="4">
        <v>2</v>
      </c>
      <c r="D1707" s="8">
        <v>2.5</v>
      </c>
      <c r="E1707" s="4">
        <v>2</v>
      </c>
      <c r="F1707" s="8">
        <v>4.88</v>
      </c>
      <c r="G1707" s="4">
        <v>0</v>
      </c>
      <c r="H1707" s="8">
        <v>0</v>
      </c>
      <c r="I1707" s="4">
        <v>0</v>
      </c>
    </row>
    <row r="1708" spans="1:9" x14ac:dyDescent="0.2">
      <c r="A1708" s="2">
        <v>8</v>
      </c>
      <c r="B1708" s="1" t="s">
        <v>331</v>
      </c>
      <c r="C1708" s="4">
        <v>2</v>
      </c>
      <c r="D1708" s="8">
        <v>2.5</v>
      </c>
      <c r="E1708" s="4">
        <v>0</v>
      </c>
      <c r="F1708" s="8">
        <v>0</v>
      </c>
      <c r="G1708" s="4">
        <v>2</v>
      </c>
      <c r="H1708" s="8">
        <v>6.25</v>
      </c>
      <c r="I1708" s="4">
        <v>0</v>
      </c>
    </row>
    <row r="1709" spans="1:9" x14ac:dyDescent="0.2">
      <c r="A1709" s="2">
        <v>16</v>
      </c>
      <c r="B1709" s="1" t="s">
        <v>288</v>
      </c>
      <c r="C1709" s="4">
        <v>1</v>
      </c>
      <c r="D1709" s="8">
        <v>1.25</v>
      </c>
      <c r="E1709" s="4">
        <v>0</v>
      </c>
      <c r="F1709" s="8">
        <v>0</v>
      </c>
      <c r="G1709" s="4">
        <v>1</v>
      </c>
      <c r="H1709" s="8">
        <v>3.13</v>
      </c>
      <c r="I1709" s="4">
        <v>0</v>
      </c>
    </row>
    <row r="1710" spans="1:9" x14ac:dyDescent="0.2">
      <c r="A1710" s="2">
        <v>16</v>
      </c>
      <c r="B1710" s="1" t="s">
        <v>289</v>
      </c>
      <c r="C1710" s="4">
        <v>1</v>
      </c>
      <c r="D1710" s="8">
        <v>1.25</v>
      </c>
      <c r="E1710" s="4">
        <v>0</v>
      </c>
      <c r="F1710" s="8">
        <v>0</v>
      </c>
      <c r="G1710" s="4">
        <v>1</v>
      </c>
      <c r="H1710" s="8">
        <v>3.13</v>
      </c>
      <c r="I1710" s="4">
        <v>0</v>
      </c>
    </row>
    <row r="1711" spans="1:9" x14ac:dyDescent="0.2">
      <c r="A1711" s="2">
        <v>16</v>
      </c>
      <c r="B1711" s="1" t="s">
        <v>319</v>
      </c>
      <c r="C1711" s="4">
        <v>1</v>
      </c>
      <c r="D1711" s="8">
        <v>1.25</v>
      </c>
      <c r="E1711" s="4">
        <v>0</v>
      </c>
      <c r="F1711" s="8">
        <v>0</v>
      </c>
      <c r="G1711" s="4">
        <v>1</v>
      </c>
      <c r="H1711" s="8">
        <v>3.13</v>
      </c>
      <c r="I1711" s="4">
        <v>0</v>
      </c>
    </row>
    <row r="1712" spans="1:9" x14ac:dyDescent="0.2">
      <c r="A1712" s="2">
        <v>16</v>
      </c>
      <c r="B1712" s="1" t="s">
        <v>375</v>
      </c>
      <c r="C1712" s="4">
        <v>1</v>
      </c>
      <c r="D1712" s="8">
        <v>1.25</v>
      </c>
      <c r="E1712" s="4">
        <v>0</v>
      </c>
      <c r="F1712" s="8">
        <v>0</v>
      </c>
      <c r="G1712" s="4">
        <v>1</v>
      </c>
      <c r="H1712" s="8">
        <v>3.13</v>
      </c>
      <c r="I1712" s="4">
        <v>0</v>
      </c>
    </row>
    <row r="1713" spans="1:9" x14ac:dyDescent="0.2">
      <c r="A1713" s="2">
        <v>16</v>
      </c>
      <c r="B1713" s="1" t="s">
        <v>343</v>
      </c>
      <c r="C1713" s="4">
        <v>1</v>
      </c>
      <c r="D1713" s="8">
        <v>1.25</v>
      </c>
      <c r="E1713" s="4">
        <v>1</v>
      </c>
      <c r="F1713" s="8">
        <v>2.44</v>
      </c>
      <c r="G1713" s="4">
        <v>0</v>
      </c>
      <c r="H1713" s="8">
        <v>0</v>
      </c>
      <c r="I1713" s="4">
        <v>0</v>
      </c>
    </row>
    <row r="1714" spans="1:9" x14ac:dyDescent="0.2">
      <c r="A1714" s="2">
        <v>16</v>
      </c>
      <c r="B1714" s="1" t="s">
        <v>333</v>
      </c>
      <c r="C1714" s="4">
        <v>1</v>
      </c>
      <c r="D1714" s="8">
        <v>1.25</v>
      </c>
      <c r="E1714" s="4">
        <v>1</v>
      </c>
      <c r="F1714" s="8">
        <v>2.44</v>
      </c>
      <c r="G1714" s="4">
        <v>0</v>
      </c>
      <c r="H1714" s="8">
        <v>0</v>
      </c>
      <c r="I1714" s="4">
        <v>0</v>
      </c>
    </row>
    <row r="1715" spans="1:9" x14ac:dyDescent="0.2">
      <c r="A1715" s="2">
        <v>16</v>
      </c>
      <c r="B1715" s="1" t="s">
        <v>320</v>
      </c>
      <c r="C1715" s="4">
        <v>1</v>
      </c>
      <c r="D1715" s="8">
        <v>1.25</v>
      </c>
      <c r="E1715" s="4">
        <v>0</v>
      </c>
      <c r="F1715" s="8">
        <v>0</v>
      </c>
      <c r="G1715" s="4">
        <v>1</v>
      </c>
      <c r="H1715" s="8">
        <v>3.13</v>
      </c>
      <c r="I1715" s="4">
        <v>0</v>
      </c>
    </row>
    <row r="1716" spans="1:9" x14ac:dyDescent="0.2">
      <c r="A1716" s="2">
        <v>16</v>
      </c>
      <c r="B1716" s="1" t="s">
        <v>290</v>
      </c>
      <c r="C1716" s="4">
        <v>1</v>
      </c>
      <c r="D1716" s="8">
        <v>1.25</v>
      </c>
      <c r="E1716" s="4">
        <v>0</v>
      </c>
      <c r="F1716" s="8">
        <v>0</v>
      </c>
      <c r="G1716" s="4">
        <v>1</v>
      </c>
      <c r="H1716" s="8">
        <v>3.13</v>
      </c>
      <c r="I1716" s="4">
        <v>0</v>
      </c>
    </row>
    <row r="1717" spans="1:9" x14ac:dyDescent="0.2">
      <c r="A1717" s="2">
        <v>16</v>
      </c>
      <c r="B1717" s="1" t="s">
        <v>291</v>
      </c>
      <c r="C1717" s="4">
        <v>1</v>
      </c>
      <c r="D1717" s="8">
        <v>1.25</v>
      </c>
      <c r="E1717" s="4">
        <v>0</v>
      </c>
      <c r="F1717" s="8">
        <v>0</v>
      </c>
      <c r="G1717" s="4">
        <v>1</v>
      </c>
      <c r="H1717" s="8">
        <v>3.13</v>
      </c>
      <c r="I1717" s="4">
        <v>0</v>
      </c>
    </row>
    <row r="1718" spans="1:9" x14ac:dyDescent="0.2">
      <c r="A1718" s="2">
        <v>16</v>
      </c>
      <c r="B1718" s="1" t="s">
        <v>413</v>
      </c>
      <c r="C1718" s="4">
        <v>1</v>
      </c>
      <c r="D1718" s="8">
        <v>1.25</v>
      </c>
      <c r="E1718" s="4">
        <v>0</v>
      </c>
      <c r="F1718" s="8">
        <v>0</v>
      </c>
      <c r="G1718" s="4">
        <v>1</v>
      </c>
      <c r="H1718" s="8">
        <v>3.13</v>
      </c>
      <c r="I1718" s="4">
        <v>0</v>
      </c>
    </row>
    <row r="1719" spans="1:9" x14ac:dyDescent="0.2">
      <c r="A1719" s="2">
        <v>16</v>
      </c>
      <c r="B1719" s="1" t="s">
        <v>351</v>
      </c>
      <c r="C1719" s="4">
        <v>1</v>
      </c>
      <c r="D1719" s="8">
        <v>1.25</v>
      </c>
      <c r="E1719" s="4">
        <v>1</v>
      </c>
      <c r="F1719" s="8">
        <v>2.44</v>
      </c>
      <c r="G1719" s="4">
        <v>0</v>
      </c>
      <c r="H1719" s="8">
        <v>0</v>
      </c>
      <c r="I1719" s="4">
        <v>0</v>
      </c>
    </row>
    <row r="1720" spans="1:9" x14ac:dyDescent="0.2">
      <c r="A1720" s="2">
        <v>16</v>
      </c>
      <c r="B1720" s="1" t="s">
        <v>378</v>
      </c>
      <c r="C1720" s="4">
        <v>1</v>
      </c>
      <c r="D1720" s="8">
        <v>1.25</v>
      </c>
      <c r="E1720" s="4">
        <v>0</v>
      </c>
      <c r="F1720" s="8">
        <v>0</v>
      </c>
      <c r="G1720" s="4">
        <v>0</v>
      </c>
      <c r="H1720" s="8">
        <v>0</v>
      </c>
      <c r="I1720" s="4">
        <v>0</v>
      </c>
    </row>
    <row r="1721" spans="1:9" x14ac:dyDescent="0.2">
      <c r="A1721" s="2">
        <v>16</v>
      </c>
      <c r="B1721" s="1" t="s">
        <v>414</v>
      </c>
      <c r="C1721" s="4">
        <v>1</v>
      </c>
      <c r="D1721" s="8">
        <v>1.25</v>
      </c>
      <c r="E1721" s="4">
        <v>1</v>
      </c>
      <c r="F1721" s="8">
        <v>2.44</v>
      </c>
      <c r="G1721" s="4">
        <v>0</v>
      </c>
      <c r="H1721" s="8">
        <v>0</v>
      </c>
      <c r="I1721" s="4">
        <v>0</v>
      </c>
    </row>
    <row r="1722" spans="1:9" x14ac:dyDescent="0.2">
      <c r="A1722" s="2">
        <v>16</v>
      </c>
      <c r="B1722" s="1" t="s">
        <v>364</v>
      </c>
      <c r="C1722" s="4">
        <v>1</v>
      </c>
      <c r="D1722" s="8">
        <v>1.25</v>
      </c>
      <c r="E1722" s="4">
        <v>0</v>
      </c>
      <c r="F1722" s="8">
        <v>0</v>
      </c>
      <c r="G1722" s="4">
        <v>1</v>
      </c>
      <c r="H1722" s="8">
        <v>3.13</v>
      </c>
      <c r="I1722" s="4">
        <v>0</v>
      </c>
    </row>
    <row r="1723" spans="1:9" x14ac:dyDescent="0.2">
      <c r="A1723" s="2">
        <v>16</v>
      </c>
      <c r="B1723" s="1" t="s">
        <v>309</v>
      </c>
      <c r="C1723" s="4">
        <v>1</v>
      </c>
      <c r="D1723" s="8">
        <v>1.25</v>
      </c>
      <c r="E1723" s="4">
        <v>0</v>
      </c>
      <c r="F1723" s="8">
        <v>0</v>
      </c>
      <c r="G1723" s="4">
        <v>1</v>
      </c>
      <c r="H1723" s="8">
        <v>3.13</v>
      </c>
      <c r="I1723" s="4">
        <v>0</v>
      </c>
    </row>
    <row r="1724" spans="1:9" x14ac:dyDescent="0.2">
      <c r="A1724" s="2">
        <v>16</v>
      </c>
      <c r="B1724" s="1" t="s">
        <v>336</v>
      </c>
      <c r="C1724" s="4">
        <v>1</v>
      </c>
      <c r="D1724" s="8">
        <v>1.25</v>
      </c>
      <c r="E1724" s="4">
        <v>0</v>
      </c>
      <c r="F1724" s="8">
        <v>0</v>
      </c>
      <c r="G1724" s="4">
        <v>1</v>
      </c>
      <c r="H1724" s="8">
        <v>3.13</v>
      </c>
      <c r="I1724" s="4">
        <v>0</v>
      </c>
    </row>
    <row r="1725" spans="1:9" x14ac:dyDescent="0.2">
      <c r="A1725" s="2">
        <v>16</v>
      </c>
      <c r="B1725" s="1" t="s">
        <v>366</v>
      </c>
      <c r="C1725" s="4">
        <v>1</v>
      </c>
      <c r="D1725" s="8">
        <v>1.25</v>
      </c>
      <c r="E1725" s="4">
        <v>1</v>
      </c>
      <c r="F1725" s="8">
        <v>2.44</v>
      </c>
      <c r="G1725" s="4">
        <v>0</v>
      </c>
      <c r="H1725" s="8">
        <v>0</v>
      </c>
      <c r="I1725" s="4">
        <v>0</v>
      </c>
    </row>
    <row r="1726" spans="1:9" x14ac:dyDescent="0.2">
      <c r="A1726" s="2">
        <v>16</v>
      </c>
      <c r="B1726" s="1" t="s">
        <v>292</v>
      </c>
      <c r="C1726" s="4">
        <v>1</v>
      </c>
      <c r="D1726" s="8">
        <v>1.25</v>
      </c>
      <c r="E1726" s="4">
        <v>1</v>
      </c>
      <c r="F1726" s="8">
        <v>2.44</v>
      </c>
      <c r="G1726" s="4">
        <v>0</v>
      </c>
      <c r="H1726" s="8">
        <v>0</v>
      </c>
      <c r="I1726" s="4">
        <v>0</v>
      </c>
    </row>
    <row r="1727" spans="1:9" x14ac:dyDescent="0.2">
      <c r="A1727" s="2">
        <v>16</v>
      </c>
      <c r="B1727" s="1" t="s">
        <v>293</v>
      </c>
      <c r="C1727" s="4">
        <v>1</v>
      </c>
      <c r="D1727" s="8">
        <v>1.25</v>
      </c>
      <c r="E1727" s="4">
        <v>0</v>
      </c>
      <c r="F1727" s="8">
        <v>0</v>
      </c>
      <c r="G1727" s="4">
        <v>1</v>
      </c>
      <c r="H1727" s="8">
        <v>3.13</v>
      </c>
      <c r="I1727" s="4">
        <v>0</v>
      </c>
    </row>
    <row r="1728" spans="1:9" x14ac:dyDescent="0.2">
      <c r="A1728" s="2">
        <v>16</v>
      </c>
      <c r="B1728" s="1" t="s">
        <v>335</v>
      </c>
      <c r="C1728" s="4">
        <v>1</v>
      </c>
      <c r="D1728" s="8">
        <v>1.25</v>
      </c>
      <c r="E1728" s="4">
        <v>0</v>
      </c>
      <c r="F1728" s="8">
        <v>0</v>
      </c>
      <c r="G1728" s="4">
        <v>1</v>
      </c>
      <c r="H1728" s="8">
        <v>3.13</v>
      </c>
      <c r="I1728" s="4">
        <v>0</v>
      </c>
    </row>
    <row r="1729" spans="1:9" x14ac:dyDescent="0.2">
      <c r="A1729" s="2">
        <v>16</v>
      </c>
      <c r="B1729" s="1" t="s">
        <v>294</v>
      </c>
      <c r="C1729" s="4">
        <v>1</v>
      </c>
      <c r="D1729" s="8">
        <v>1.25</v>
      </c>
      <c r="E1729" s="4">
        <v>1</v>
      </c>
      <c r="F1729" s="8">
        <v>2.44</v>
      </c>
      <c r="G1729" s="4">
        <v>0</v>
      </c>
      <c r="H1729" s="8">
        <v>0</v>
      </c>
      <c r="I1729" s="4">
        <v>0</v>
      </c>
    </row>
    <row r="1730" spans="1:9" x14ac:dyDescent="0.2">
      <c r="A1730" s="2">
        <v>16</v>
      </c>
      <c r="B1730" s="1" t="s">
        <v>337</v>
      </c>
      <c r="C1730" s="4">
        <v>1</v>
      </c>
      <c r="D1730" s="8">
        <v>1.25</v>
      </c>
      <c r="E1730" s="4">
        <v>1</v>
      </c>
      <c r="F1730" s="8">
        <v>2.44</v>
      </c>
      <c r="G1730" s="4">
        <v>0</v>
      </c>
      <c r="H1730" s="8">
        <v>0</v>
      </c>
      <c r="I1730" s="4">
        <v>0</v>
      </c>
    </row>
    <row r="1731" spans="1:9" x14ac:dyDescent="0.2">
      <c r="A1731" s="2">
        <v>16</v>
      </c>
      <c r="B1731" s="1" t="s">
        <v>355</v>
      </c>
      <c r="C1731" s="4">
        <v>1</v>
      </c>
      <c r="D1731" s="8">
        <v>1.25</v>
      </c>
      <c r="E1731" s="4">
        <v>0</v>
      </c>
      <c r="F1731" s="8">
        <v>0</v>
      </c>
      <c r="G1731" s="4">
        <v>1</v>
      </c>
      <c r="H1731" s="8">
        <v>3.13</v>
      </c>
      <c r="I1731" s="4">
        <v>0</v>
      </c>
    </row>
    <row r="1732" spans="1:9" x14ac:dyDescent="0.2">
      <c r="A1732" s="2">
        <v>16</v>
      </c>
      <c r="B1732" s="1" t="s">
        <v>416</v>
      </c>
      <c r="C1732" s="4">
        <v>1</v>
      </c>
      <c r="D1732" s="8">
        <v>1.25</v>
      </c>
      <c r="E1732" s="4">
        <v>1</v>
      </c>
      <c r="F1732" s="8">
        <v>2.44</v>
      </c>
      <c r="G1732" s="4">
        <v>0</v>
      </c>
      <c r="H1732" s="8">
        <v>0</v>
      </c>
      <c r="I1732" s="4">
        <v>0</v>
      </c>
    </row>
    <row r="1733" spans="1:9" x14ac:dyDescent="0.2">
      <c r="A1733" s="2">
        <v>16</v>
      </c>
      <c r="B1733" s="1" t="s">
        <v>298</v>
      </c>
      <c r="C1733" s="4">
        <v>1</v>
      </c>
      <c r="D1733" s="8">
        <v>1.25</v>
      </c>
      <c r="E1733" s="4">
        <v>0</v>
      </c>
      <c r="F1733" s="8">
        <v>0</v>
      </c>
      <c r="G1733" s="4">
        <v>0</v>
      </c>
      <c r="H1733" s="8">
        <v>0</v>
      </c>
      <c r="I1733" s="4">
        <v>0</v>
      </c>
    </row>
    <row r="1734" spans="1:9" x14ac:dyDescent="0.2">
      <c r="A1734" s="2">
        <v>16</v>
      </c>
      <c r="B1734" s="1" t="s">
        <v>418</v>
      </c>
      <c r="C1734" s="4">
        <v>1</v>
      </c>
      <c r="D1734" s="8">
        <v>1.25</v>
      </c>
      <c r="E1734" s="4">
        <v>1</v>
      </c>
      <c r="F1734" s="8">
        <v>2.44</v>
      </c>
      <c r="G1734" s="4">
        <v>0</v>
      </c>
      <c r="H1734" s="8">
        <v>0</v>
      </c>
      <c r="I1734" s="4">
        <v>0</v>
      </c>
    </row>
    <row r="1735" spans="1:9" x14ac:dyDescent="0.2">
      <c r="A1735" s="2">
        <v>16</v>
      </c>
      <c r="B1735" s="1" t="s">
        <v>405</v>
      </c>
      <c r="C1735" s="4">
        <v>1</v>
      </c>
      <c r="D1735" s="8">
        <v>1.25</v>
      </c>
      <c r="E1735" s="4">
        <v>0</v>
      </c>
      <c r="F1735" s="8">
        <v>0</v>
      </c>
      <c r="G1735" s="4">
        <v>0</v>
      </c>
      <c r="H1735" s="8">
        <v>0</v>
      </c>
      <c r="I1735" s="4">
        <v>0</v>
      </c>
    </row>
    <row r="1736" spans="1:9" x14ac:dyDescent="0.2">
      <c r="A1736" s="2">
        <v>16</v>
      </c>
      <c r="B1736" s="1" t="s">
        <v>419</v>
      </c>
      <c r="C1736" s="4">
        <v>1</v>
      </c>
      <c r="D1736" s="8">
        <v>1.25</v>
      </c>
      <c r="E1736" s="4">
        <v>1</v>
      </c>
      <c r="F1736" s="8">
        <v>2.44</v>
      </c>
      <c r="G1736" s="4">
        <v>0</v>
      </c>
      <c r="H1736" s="8">
        <v>0</v>
      </c>
      <c r="I1736" s="4">
        <v>0</v>
      </c>
    </row>
    <row r="1737" spans="1:9" x14ac:dyDescent="0.2">
      <c r="A1737" s="2">
        <v>16</v>
      </c>
      <c r="B1737" s="1" t="s">
        <v>349</v>
      </c>
      <c r="C1737" s="4">
        <v>1</v>
      </c>
      <c r="D1737" s="8">
        <v>1.25</v>
      </c>
      <c r="E1737" s="4">
        <v>0</v>
      </c>
      <c r="F1737" s="8">
        <v>0</v>
      </c>
      <c r="G1737" s="4">
        <v>1</v>
      </c>
      <c r="H1737" s="8">
        <v>3.13</v>
      </c>
      <c r="I1737" s="4">
        <v>0</v>
      </c>
    </row>
    <row r="1738" spans="1:9" x14ac:dyDescent="0.2">
      <c r="A1738" s="2">
        <v>16</v>
      </c>
      <c r="B1738" s="1" t="s">
        <v>300</v>
      </c>
      <c r="C1738" s="4">
        <v>1</v>
      </c>
      <c r="D1738" s="8">
        <v>1.25</v>
      </c>
      <c r="E1738" s="4">
        <v>1</v>
      </c>
      <c r="F1738" s="8">
        <v>2.44</v>
      </c>
      <c r="G1738" s="4">
        <v>0</v>
      </c>
      <c r="H1738" s="8">
        <v>0</v>
      </c>
      <c r="I1738" s="4">
        <v>0</v>
      </c>
    </row>
    <row r="1739" spans="1:9" x14ac:dyDescent="0.2">
      <c r="A1739" s="2">
        <v>16</v>
      </c>
      <c r="B1739" s="1" t="s">
        <v>302</v>
      </c>
      <c r="C1739" s="4">
        <v>1</v>
      </c>
      <c r="D1739" s="8">
        <v>1.25</v>
      </c>
      <c r="E1739" s="4">
        <v>1</v>
      </c>
      <c r="F1739" s="8">
        <v>2.44</v>
      </c>
      <c r="G1739" s="4">
        <v>0</v>
      </c>
      <c r="H1739" s="8">
        <v>0</v>
      </c>
      <c r="I1739" s="4">
        <v>0</v>
      </c>
    </row>
    <row r="1740" spans="1:9" x14ac:dyDescent="0.2">
      <c r="A1740" s="2">
        <v>16</v>
      </c>
      <c r="B1740" s="1" t="s">
        <v>411</v>
      </c>
      <c r="C1740" s="4">
        <v>1</v>
      </c>
      <c r="D1740" s="8">
        <v>1.25</v>
      </c>
      <c r="E1740" s="4">
        <v>0</v>
      </c>
      <c r="F1740" s="8">
        <v>0</v>
      </c>
      <c r="G1740" s="4">
        <v>0</v>
      </c>
      <c r="H1740" s="8">
        <v>0</v>
      </c>
      <c r="I1740" s="4">
        <v>1</v>
      </c>
    </row>
    <row r="1741" spans="1:9" x14ac:dyDescent="0.2">
      <c r="A1741" s="2">
        <v>16</v>
      </c>
      <c r="B1741" s="1" t="s">
        <v>306</v>
      </c>
      <c r="C1741" s="4">
        <v>1</v>
      </c>
      <c r="D1741" s="8">
        <v>1.25</v>
      </c>
      <c r="E1741" s="4">
        <v>1</v>
      </c>
      <c r="F1741" s="8">
        <v>2.44</v>
      </c>
      <c r="G1741" s="4">
        <v>0</v>
      </c>
      <c r="H1741" s="8">
        <v>0</v>
      </c>
      <c r="I1741" s="4">
        <v>0</v>
      </c>
    </row>
    <row r="1742" spans="1:9" x14ac:dyDescent="0.2">
      <c r="A1742" s="2">
        <v>16</v>
      </c>
      <c r="B1742" s="1" t="s">
        <v>341</v>
      </c>
      <c r="C1742" s="4">
        <v>1</v>
      </c>
      <c r="D1742" s="8">
        <v>1.25</v>
      </c>
      <c r="E1742" s="4">
        <v>0</v>
      </c>
      <c r="F1742" s="8">
        <v>0</v>
      </c>
      <c r="G1742" s="4">
        <v>0</v>
      </c>
      <c r="H1742" s="8">
        <v>0</v>
      </c>
      <c r="I1742" s="4">
        <v>0</v>
      </c>
    </row>
    <row r="1743" spans="1:9" x14ac:dyDescent="0.2">
      <c r="A1743" s="2">
        <v>16</v>
      </c>
      <c r="B1743" s="1" t="s">
        <v>347</v>
      </c>
      <c r="C1743" s="4">
        <v>1</v>
      </c>
      <c r="D1743" s="8">
        <v>1.25</v>
      </c>
      <c r="E1743" s="4">
        <v>0</v>
      </c>
      <c r="F1743" s="8">
        <v>0</v>
      </c>
      <c r="G1743" s="4">
        <v>1</v>
      </c>
      <c r="H1743" s="8">
        <v>3.13</v>
      </c>
      <c r="I1743" s="4">
        <v>0</v>
      </c>
    </row>
    <row r="1744" spans="1:9" x14ac:dyDescent="0.2">
      <c r="A1744" s="2">
        <v>16</v>
      </c>
      <c r="B1744" s="1" t="s">
        <v>370</v>
      </c>
      <c r="C1744" s="4">
        <v>1</v>
      </c>
      <c r="D1744" s="8">
        <v>1.25</v>
      </c>
      <c r="E1744" s="4">
        <v>0</v>
      </c>
      <c r="F1744" s="8">
        <v>0</v>
      </c>
      <c r="G1744" s="4">
        <v>0</v>
      </c>
      <c r="H1744" s="8">
        <v>0</v>
      </c>
      <c r="I1744" s="4">
        <v>0</v>
      </c>
    </row>
    <row r="1745" spans="1:9" x14ac:dyDescent="0.2">
      <c r="A1745" s="2">
        <v>16</v>
      </c>
      <c r="B1745" s="1" t="s">
        <v>307</v>
      </c>
      <c r="C1745" s="4">
        <v>1</v>
      </c>
      <c r="D1745" s="8">
        <v>1.25</v>
      </c>
      <c r="E1745" s="4">
        <v>0</v>
      </c>
      <c r="F1745" s="8">
        <v>0</v>
      </c>
      <c r="G1745" s="4">
        <v>1</v>
      </c>
      <c r="H1745" s="8">
        <v>3.13</v>
      </c>
      <c r="I1745" s="4">
        <v>0</v>
      </c>
    </row>
    <row r="1746" spans="1:9" x14ac:dyDescent="0.2">
      <c r="A1746" s="2">
        <v>16</v>
      </c>
      <c r="B1746" s="1" t="s">
        <v>371</v>
      </c>
      <c r="C1746" s="4">
        <v>1</v>
      </c>
      <c r="D1746" s="8">
        <v>1.25</v>
      </c>
      <c r="E1746" s="4">
        <v>1</v>
      </c>
      <c r="F1746" s="8">
        <v>2.44</v>
      </c>
      <c r="G1746" s="4">
        <v>0</v>
      </c>
      <c r="H1746" s="8">
        <v>0</v>
      </c>
      <c r="I1746" s="4">
        <v>0</v>
      </c>
    </row>
    <row r="1747" spans="1:9" x14ac:dyDescent="0.2">
      <c r="A1747" s="2">
        <v>16</v>
      </c>
      <c r="B1747" s="1" t="s">
        <v>420</v>
      </c>
      <c r="C1747" s="4">
        <v>1</v>
      </c>
      <c r="D1747" s="8">
        <v>1.25</v>
      </c>
      <c r="E1747" s="4">
        <v>0</v>
      </c>
      <c r="F1747" s="8">
        <v>0</v>
      </c>
      <c r="G1747" s="4">
        <v>0</v>
      </c>
      <c r="H1747" s="8">
        <v>0</v>
      </c>
      <c r="I1747" s="4">
        <v>1</v>
      </c>
    </row>
    <row r="1748" spans="1:9" x14ac:dyDescent="0.2">
      <c r="A1748" s="1"/>
      <c r="C1748" s="4"/>
      <c r="D1748" s="8"/>
      <c r="E1748" s="4"/>
      <c r="F1748" s="8"/>
      <c r="G1748" s="4"/>
      <c r="H1748" s="8"/>
      <c r="I1748" s="4"/>
    </row>
    <row r="1749" spans="1:9" x14ac:dyDescent="0.2">
      <c r="A1749" s="1" t="s">
        <v>67</v>
      </c>
      <c r="C1749" s="4"/>
      <c r="D1749" s="8"/>
      <c r="E1749" s="4"/>
      <c r="F1749" s="8"/>
      <c r="G1749" s="4"/>
      <c r="H1749" s="8"/>
      <c r="I1749" s="4"/>
    </row>
    <row r="1750" spans="1:9" x14ac:dyDescent="0.2">
      <c r="A1750" s="2">
        <v>1</v>
      </c>
      <c r="B1750" s="1" t="s">
        <v>288</v>
      </c>
      <c r="C1750" s="4">
        <v>7</v>
      </c>
      <c r="D1750" s="8">
        <v>5.22</v>
      </c>
      <c r="E1750" s="4">
        <v>1</v>
      </c>
      <c r="F1750" s="8">
        <v>1.39</v>
      </c>
      <c r="G1750" s="4">
        <v>6</v>
      </c>
      <c r="H1750" s="8">
        <v>15.79</v>
      </c>
      <c r="I1750" s="4">
        <v>0</v>
      </c>
    </row>
    <row r="1751" spans="1:9" x14ac:dyDescent="0.2">
      <c r="A1751" s="2">
        <v>2</v>
      </c>
      <c r="B1751" s="1" t="s">
        <v>345</v>
      </c>
      <c r="C1751" s="4">
        <v>6</v>
      </c>
      <c r="D1751" s="8">
        <v>4.4800000000000004</v>
      </c>
      <c r="E1751" s="4">
        <v>0</v>
      </c>
      <c r="F1751" s="8">
        <v>0</v>
      </c>
      <c r="G1751" s="4">
        <v>0</v>
      </c>
      <c r="H1751" s="8">
        <v>0</v>
      </c>
      <c r="I1751" s="4">
        <v>0</v>
      </c>
    </row>
    <row r="1752" spans="1:9" x14ac:dyDescent="0.2">
      <c r="A1752" s="2">
        <v>3</v>
      </c>
      <c r="B1752" s="1" t="s">
        <v>292</v>
      </c>
      <c r="C1752" s="4">
        <v>5</v>
      </c>
      <c r="D1752" s="8">
        <v>3.73</v>
      </c>
      <c r="E1752" s="4">
        <v>3</v>
      </c>
      <c r="F1752" s="8">
        <v>4.17</v>
      </c>
      <c r="G1752" s="4">
        <v>2</v>
      </c>
      <c r="H1752" s="8">
        <v>5.26</v>
      </c>
      <c r="I1752" s="4">
        <v>0</v>
      </c>
    </row>
    <row r="1753" spans="1:9" x14ac:dyDescent="0.2">
      <c r="A1753" s="2">
        <v>3</v>
      </c>
      <c r="B1753" s="1" t="s">
        <v>339</v>
      </c>
      <c r="C1753" s="4">
        <v>5</v>
      </c>
      <c r="D1753" s="8">
        <v>3.73</v>
      </c>
      <c r="E1753" s="4">
        <v>4</v>
      </c>
      <c r="F1753" s="8">
        <v>5.56</v>
      </c>
      <c r="G1753" s="4">
        <v>1</v>
      </c>
      <c r="H1753" s="8">
        <v>2.63</v>
      </c>
      <c r="I1753" s="4">
        <v>0</v>
      </c>
    </row>
    <row r="1754" spans="1:9" x14ac:dyDescent="0.2">
      <c r="A1754" s="2">
        <v>3</v>
      </c>
      <c r="B1754" s="1" t="s">
        <v>331</v>
      </c>
      <c r="C1754" s="4">
        <v>5</v>
      </c>
      <c r="D1754" s="8">
        <v>3.73</v>
      </c>
      <c r="E1754" s="4">
        <v>0</v>
      </c>
      <c r="F1754" s="8">
        <v>0</v>
      </c>
      <c r="G1754" s="4">
        <v>0</v>
      </c>
      <c r="H1754" s="8">
        <v>0</v>
      </c>
      <c r="I1754" s="4">
        <v>0</v>
      </c>
    </row>
    <row r="1755" spans="1:9" x14ac:dyDescent="0.2">
      <c r="A1755" s="2">
        <v>6</v>
      </c>
      <c r="B1755" s="1" t="s">
        <v>329</v>
      </c>
      <c r="C1755" s="4">
        <v>4</v>
      </c>
      <c r="D1755" s="8">
        <v>2.99</v>
      </c>
      <c r="E1755" s="4">
        <v>2</v>
      </c>
      <c r="F1755" s="8">
        <v>2.78</v>
      </c>
      <c r="G1755" s="4">
        <v>2</v>
      </c>
      <c r="H1755" s="8">
        <v>5.26</v>
      </c>
      <c r="I1755" s="4">
        <v>0</v>
      </c>
    </row>
    <row r="1756" spans="1:9" x14ac:dyDescent="0.2">
      <c r="A1756" s="2">
        <v>6</v>
      </c>
      <c r="B1756" s="1" t="s">
        <v>330</v>
      </c>
      <c r="C1756" s="4">
        <v>4</v>
      </c>
      <c r="D1756" s="8">
        <v>2.99</v>
      </c>
      <c r="E1756" s="4">
        <v>1</v>
      </c>
      <c r="F1756" s="8">
        <v>1.39</v>
      </c>
      <c r="G1756" s="4">
        <v>3</v>
      </c>
      <c r="H1756" s="8">
        <v>7.89</v>
      </c>
      <c r="I1756" s="4">
        <v>0</v>
      </c>
    </row>
    <row r="1757" spans="1:9" x14ac:dyDescent="0.2">
      <c r="A1757" s="2">
        <v>6</v>
      </c>
      <c r="B1757" s="1" t="s">
        <v>299</v>
      </c>
      <c r="C1757" s="4">
        <v>4</v>
      </c>
      <c r="D1757" s="8">
        <v>2.99</v>
      </c>
      <c r="E1757" s="4">
        <v>3</v>
      </c>
      <c r="F1757" s="8">
        <v>4.17</v>
      </c>
      <c r="G1757" s="4">
        <v>1</v>
      </c>
      <c r="H1757" s="8">
        <v>2.63</v>
      </c>
      <c r="I1757" s="4">
        <v>0</v>
      </c>
    </row>
    <row r="1758" spans="1:9" x14ac:dyDescent="0.2">
      <c r="A1758" s="2">
        <v>6</v>
      </c>
      <c r="B1758" s="1" t="s">
        <v>303</v>
      </c>
      <c r="C1758" s="4">
        <v>4</v>
      </c>
      <c r="D1758" s="8">
        <v>2.99</v>
      </c>
      <c r="E1758" s="4">
        <v>4</v>
      </c>
      <c r="F1758" s="8">
        <v>5.56</v>
      </c>
      <c r="G1758" s="4">
        <v>0</v>
      </c>
      <c r="H1758" s="8">
        <v>0</v>
      </c>
      <c r="I1758" s="4">
        <v>0</v>
      </c>
    </row>
    <row r="1759" spans="1:9" x14ac:dyDescent="0.2">
      <c r="A1759" s="2">
        <v>10</v>
      </c>
      <c r="B1759" s="1" t="s">
        <v>328</v>
      </c>
      <c r="C1759" s="4">
        <v>3</v>
      </c>
      <c r="D1759" s="8">
        <v>2.2400000000000002</v>
      </c>
      <c r="E1759" s="4">
        <v>3</v>
      </c>
      <c r="F1759" s="8">
        <v>4.17</v>
      </c>
      <c r="G1759" s="4">
        <v>0</v>
      </c>
      <c r="H1759" s="8">
        <v>0</v>
      </c>
      <c r="I1759" s="4">
        <v>0</v>
      </c>
    </row>
    <row r="1760" spans="1:9" x14ac:dyDescent="0.2">
      <c r="A1760" s="2">
        <v>10</v>
      </c>
      <c r="B1760" s="1" t="s">
        <v>291</v>
      </c>
      <c r="C1760" s="4">
        <v>3</v>
      </c>
      <c r="D1760" s="8">
        <v>2.2400000000000002</v>
      </c>
      <c r="E1760" s="4">
        <v>2</v>
      </c>
      <c r="F1760" s="8">
        <v>2.78</v>
      </c>
      <c r="G1760" s="4">
        <v>1</v>
      </c>
      <c r="H1760" s="8">
        <v>2.63</v>
      </c>
      <c r="I1760" s="4">
        <v>0</v>
      </c>
    </row>
    <row r="1761" spans="1:9" x14ac:dyDescent="0.2">
      <c r="A1761" s="2">
        <v>10</v>
      </c>
      <c r="B1761" s="1" t="s">
        <v>332</v>
      </c>
      <c r="C1761" s="4">
        <v>3</v>
      </c>
      <c r="D1761" s="8">
        <v>2.2400000000000002</v>
      </c>
      <c r="E1761" s="4">
        <v>2</v>
      </c>
      <c r="F1761" s="8">
        <v>2.78</v>
      </c>
      <c r="G1761" s="4">
        <v>1</v>
      </c>
      <c r="H1761" s="8">
        <v>2.63</v>
      </c>
      <c r="I1761" s="4">
        <v>0</v>
      </c>
    </row>
    <row r="1762" spans="1:9" x14ac:dyDescent="0.2">
      <c r="A1762" s="2">
        <v>10</v>
      </c>
      <c r="B1762" s="1" t="s">
        <v>335</v>
      </c>
      <c r="C1762" s="4">
        <v>3</v>
      </c>
      <c r="D1762" s="8">
        <v>2.2400000000000002</v>
      </c>
      <c r="E1762" s="4">
        <v>1</v>
      </c>
      <c r="F1762" s="8">
        <v>1.39</v>
      </c>
      <c r="G1762" s="4">
        <v>2</v>
      </c>
      <c r="H1762" s="8">
        <v>5.26</v>
      </c>
      <c r="I1762" s="4">
        <v>0</v>
      </c>
    </row>
    <row r="1763" spans="1:9" x14ac:dyDescent="0.2">
      <c r="A1763" s="2">
        <v>10</v>
      </c>
      <c r="B1763" s="1" t="s">
        <v>295</v>
      </c>
      <c r="C1763" s="4">
        <v>3</v>
      </c>
      <c r="D1763" s="8">
        <v>2.2400000000000002</v>
      </c>
      <c r="E1763" s="4">
        <v>2</v>
      </c>
      <c r="F1763" s="8">
        <v>2.78</v>
      </c>
      <c r="G1763" s="4">
        <v>1</v>
      </c>
      <c r="H1763" s="8">
        <v>2.63</v>
      </c>
      <c r="I1763" s="4">
        <v>0</v>
      </c>
    </row>
    <row r="1764" spans="1:9" x14ac:dyDescent="0.2">
      <c r="A1764" s="2">
        <v>10</v>
      </c>
      <c r="B1764" s="1" t="s">
        <v>305</v>
      </c>
      <c r="C1764" s="4">
        <v>3</v>
      </c>
      <c r="D1764" s="8">
        <v>2.2400000000000002</v>
      </c>
      <c r="E1764" s="4">
        <v>3</v>
      </c>
      <c r="F1764" s="8">
        <v>4.17</v>
      </c>
      <c r="G1764" s="4">
        <v>0</v>
      </c>
      <c r="H1764" s="8">
        <v>0</v>
      </c>
      <c r="I1764" s="4">
        <v>0</v>
      </c>
    </row>
    <row r="1765" spans="1:9" x14ac:dyDescent="0.2">
      <c r="A1765" s="2">
        <v>16</v>
      </c>
      <c r="B1765" s="1" t="s">
        <v>343</v>
      </c>
      <c r="C1765" s="4">
        <v>2</v>
      </c>
      <c r="D1765" s="8">
        <v>1.49</v>
      </c>
      <c r="E1765" s="4">
        <v>2</v>
      </c>
      <c r="F1765" s="8">
        <v>2.78</v>
      </c>
      <c r="G1765" s="4">
        <v>0</v>
      </c>
      <c r="H1765" s="8">
        <v>0</v>
      </c>
      <c r="I1765" s="4">
        <v>0</v>
      </c>
    </row>
    <row r="1766" spans="1:9" x14ac:dyDescent="0.2">
      <c r="A1766" s="2">
        <v>16</v>
      </c>
      <c r="B1766" s="1" t="s">
        <v>333</v>
      </c>
      <c r="C1766" s="4">
        <v>2</v>
      </c>
      <c r="D1766" s="8">
        <v>1.49</v>
      </c>
      <c r="E1766" s="4">
        <v>2</v>
      </c>
      <c r="F1766" s="8">
        <v>2.78</v>
      </c>
      <c r="G1766" s="4">
        <v>0</v>
      </c>
      <c r="H1766" s="8">
        <v>0</v>
      </c>
      <c r="I1766" s="4">
        <v>0</v>
      </c>
    </row>
    <row r="1767" spans="1:9" x14ac:dyDescent="0.2">
      <c r="A1767" s="2">
        <v>16</v>
      </c>
      <c r="B1767" s="1" t="s">
        <v>290</v>
      </c>
      <c r="C1767" s="4">
        <v>2</v>
      </c>
      <c r="D1767" s="8">
        <v>1.49</v>
      </c>
      <c r="E1767" s="4">
        <v>0</v>
      </c>
      <c r="F1767" s="8">
        <v>0</v>
      </c>
      <c r="G1767" s="4">
        <v>2</v>
      </c>
      <c r="H1767" s="8">
        <v>5.26</v>
      </c>
      <c r="I1767" s="4">
        <v>0</v>
      </c>
    </row>
    <row r="1768" spans="1:9" x14ac:dyDescent="0.2">
      <c r="A1768" s="2">
        <v>16</v>
      </c>
      <c r="B1768" s="1" t="s">
        <v>376</v>
      </c>
      <c r="C1768" s="4">
        <v>2</v>
      </c>
      <c r="D1768" s="8">
        <v>1.49</v>
      </c>
      <c r="E1768" s="4">
        <v>0</v>
      </c>
      <c r="F1768" s="8">
        <v>0</v>
      </c>
      <c r="G1768" s="4">
        <v>0</v>
      </c>
      <c r="H1768" s="8">
        <v>0</v>
      </c>
      <c r="I1768" s="4">
        <v>1</v>
      </c>
    </row>
    <row r="1769" spans="1:9" x14ac:dyDescent="0.2">
      <c r="A1769" s="2">
        <v>16</v>
      </c>
      <c r="B1769" s="1" t="s">
        <v>346</v>
      </c>
      <c r="C1769" s="4">
        <v>2</v>
      </c>
      <c r="D1769" s="8">
        <v>1.49</v>
      </c>
      <c r="E1769" s="4">
        <v>0</v>
      </c>
      <c r="F1769" s="8">
        <v>0</v>
      </c>
      <c r="G1769" s="4">
        <v>2</v>
      </c>
      <c r="H1769" s="8">
        <v>5.26</v>
      </c>
      <c r="I1769" s="4">
        <v>0</v>
      </c>
    </row>
    <row r="1770" spans="1:9" x14ac:dyDescent="0.2">
      <c r="A1770" s="2">
        <v>16</v>
      </c>
      <c r="B1770" s="1" t="s">
        <v>314</v>
      </c>
      <c r="C1770" s="4">
        <v>2</v>
      </c>
      <c r="D1770" s="8">
        <v>1.49</v>
      </c>
      <c r="E1770" s="4">
        <v>0</v>
      </c>
      <c r="F1770" s="8">
        <v>0</v>
      </c>
      <c r="G1770" s="4">
        <v>2</v>
      </c>
      <c r="H1770" s="8">
        <v>5.26</v>
      </c>
      <c r="I1770" s="4">
        <v>0</v>
      </c>
    </row>
    <row r="1771" spans="1:9" x14ac:dyDescent="0.2">
      <c r="A1771" s="2">
        <v>16</v>
      </c>
      <c r="B1771" s="1" t="s">
        <v>354</v>
      </c>
      <c r="C1771" s="4">
        <v>2</v>
      </c>
      <c r="D1771" s="8">
        <v>1.49</v>
      </c>
      <c r="E1771" s="4">
        <v>0</v>
      </c>
      <c r="F1771" s="8">
        <v>0</v>
      </c>
      <c r="G1771" s="4">
        <v>0</v>
      </c>
      <c r="H1771" s="8">
        <v>0</v>
      </c>
      <c r="I1771" s="4">
        <v>0</v>
      </c>
    </row>
    <row r="1772" spans="1:9" x14ac:dyDescent="0.2">
      <c r="A1772" s="2">
        <v>16</v>
      </c>
      <c r="B1772" s="1" t="s">
        <v>366</v>
      </c>
      <c r="C1772" s="4">
        <v>2</v>
      </c>
      <c r="D1772" s="8">
        <v>1.49</v>
      </c>
      <c r="E1772" s="4">
        <v>1</v>
      </c>
      <c r="F1772" s="8">
        <v>1.39</v>
      </c>
      <c r="G1772" s="4">
        <v>1</v>
      </c>
      <c r="H1772" s="8">
        <v>2.63</v>
      </c>
      <c r="I1772" s="4">
        <v>0</v>
      </c>
    </row>
    <row r="1773" spans="1:9" x14ac:dyDescent="0.2">
      <c r="A1773" s="2">
        <v>16</v>
      </c>
      <c r="B1773" s="1" t="s">
        <v>297</v>
      </c>
      <c r="C1773" s="4">
        <v>2</v>
      </c>
      <c r="D1773" s="8">
        <v>1.49</v>
      </c>
      <c r="E1773" s="4">
        <v>2</v>
      </c>
      <c r="F1773" s="8">
        <v>2.78</v>
      </c>
      <c r="G1773" s="4">
        <v>0</v>
      </c>
      <c r="H1773" s="8">
        <v>0</v>
      </c>
      <c r="I1773" s="4">
        <v>0</v>
      </c>
    </row>
    <row r="1774" spans="1:9" x14ac:dyDescent="0.2">
      <c r="A1774" s="2">
        <v>16</v>
      </c>
      <c r="B1774" s="1" t="s">
        <v>311</v>
      </c>
      <c r="C1774" s="4">
        <v>2</v>
      </c>
      <c r="D1774" s="8">
        <v>1.49</v>
      </c>
      <c r="E1774" s="4">
        <v>1</v>
      </c>
      <c r="F1774" s="8">
        <v>1.39</v>
      </c>
      <c r="G1774" s="4">
        <v>0</v>
      </c>
      <c r="H1774" s="8">
        <v>0</v>
      </c>
      <c r="I1774" s="4">
        <v>1</v>
      </c>
    </row>
    <row r="1775" spans="1:9" x14ac:dyDescent="0.2">
      <c r="A1775" s="2">
        <v>16</v>
      </c>
      <c r="B1775" s="1" t="s">
        <v>415</v>
      </c>
      <c r="C1775" s="4">
        <v>2</v>
      </c>
      <c r="D1775" s="8">
        <v>1.49</v>
      </c>
      <c r="E1775" s="4">
        <v>2</v>
      </c>
      <c r="F1775" s="8">
        <v>2.78</v>
      </c>
      <c r="G1775" s="4">
        <v>0</v>
      </c>
      <c r="H1775" s="8">
        <v>0</v>
      </c>
      <c r="I1775" s="4">
        <v>0</v>
      </c>
    </row>
    <row r="1776" spans="1:9" x14ac:dyDescent="0.2">
      <c r="A1776" s="2">
        <v>16</v>
      </c>
      <c r="B1776" s="1" t="s">
        <v>416</v>
      </c>
      <c r="C1776" s="4">
        <v>2</v>
      </c>
      <c r="D1776" s="8">
        <v>1.49</v>
      </c>
      <c r="E1776" s="4">
        <v>2</v>
      </c>
      <c r="F1776" s="8">
        <v>2.78</v>
      </c>
      <c r="G1776" s="4">
        <v>0</v>
      </c>
      <c r="H1776" s="8">
        <v>0</v>
      </c>
      <c r="I1776" s="4">
        <v>0</v>
      </c>
    </row>
    <row r="1777" spans="1:9" x14ac:dyDescent="0.2">
      <c r="A1777" s="2">
        <v>16</v>
      </c>
      <c r="B1777" s="1" t="s">
        <v>334</v>
      </c>
      <c r="C1777" s="4">
        <v>2</v>
      </c>
      <c r="D1777" s="8">
        <v>1.49</v>
      </c>
      <c r="E1777" s="4">
        <v>2</v>
      </c>
      <c r="F1777" s="8">
        <v>2.78</v>
      </c>
      <c r="G1777" s="4">
        <v>0</v>
      </c>
      <c r="H1777" s="8">
        <v>0</v>
      </c>
      <c r="I1777" s="4">
        <v>0</v>
      </c>
    </row>
    <row r="1778" spans="1:9" x14ac:dyDescent="0.2">
      <c r="A1778" s="2">
        <v>16</v>
      </c>
      <c r="B1778" s="1" t="s">
        <v>349</v>
      </c>
      <c r="C1778" s="4">
        <v>2</v>
      </c>
      <c r="D1778" s="8">
        <v>1.49</v>
      </c>
      <c r="E1778" s="4">
        <v>2</v>
      </c>
      <c r="F1778" s="8">
        <v>2.78</v>
      </c>
      <c r="G1778" s="4">
        <v>0</v>
      </c>
      <c r="H1778" s="8">
        <v>0</v>
      </c>
      <c r="I1778" s="4">
        <v>0</v>
      </c>
    </row>
    <row r="1779" spans="1:9" x14ac:dyDescent="0.2">
      <c r="A1779" s="2">
        <v>16</v>
      </c>
      <c r="B1779" s="1" t="s">
        <v>300</v>
      </c>
      <c r="C1779" s="4">
        <v>2</v>
      </c>
      <c r="D1779" s="8">
        <v>1.49</v>
      </c>
      <c r="E1779" s="4">
        <v>2</v>
      </c>
      <c r="F1779" s="8">
        <v>2.78</v>
      </c>
      <c r="G1779" s="4">
        <v>0</v>
      </c>
      <c r="H1779" s="8">
        <v>0</v>
      </c>
      <c r="I1779" s="4">
        <v>0</v>
      </c>
    </row>
    <row r="1780" spans="1:9" x14ac:dyDescent="0.2">
      <c r="A1780" s="2">
        <v>16</v>
      </c>
      <c r="B1780" s="1" t="s">
        <v>301</v>
      </c>
      <c r="C1780" s="4">
        <v>2</v>
      </c>
      <c r="D1780" s="8">
        <v>1.49</v>
      </c>
      <c r="E1780" s="4">
        <v>2</v>
      </c>
      <c r="F1780" s="8">
        <v>2.78</v>
      </c>
      <c r="G1780" s="4">
        <v>0</v>
      </c>
      <c r="H1780" s="8">
        <v>0</v>
      </c>
      <c r="I1780" s="4">
        <v>0</v>
      </c>
    </row>
    <row r="1781" spans="1:9" x14ac:dyDescent="0.2">
      <c r="A1781" s="2">
        <v>16</v>
      </c>
      <c r="B1781" s="1" t="s">
        <v>302</v>
      </c>
      <c r="C1781" s="4">
        <v>2</v>
      </c>
      <c r="D1781" s="8">
        <v>1.49</v>
      </c>
      <c r="E1781" s="4">
        <v>1</v>
      </c>
      <c r="F1781" s="8">
        <v>1.39</v>
      </c>
      <c r="G1781" s="4">
        <v>1</v>
      </c>
      <c r="H1781" s="8">
        <v>2.63</v>
      </c>
      <c r="I1781" s="4">
        <v>0</v>
      </c>
    </row>
    <row r="1782" spans="1:9" x14ac:dyDescent="0.2">
      <c r="A1782" s="2">
        <v>16</v>
      </c>
      <c r="B1782" s="1" t="s">
        <v>325</v>
      </c>
      <c r="C1782" s="4">
        <v>2</v>
      </c>
      <c r="D1782" s="8">
        <v>1.49</v>
      </c>
      <c r="E1782" s="4">
        <v>0</v>
      </c>
      <c r="F1782" s="8">
        <v>0</v>
      </c>
      <c r="G1782" s="4">
        <v>2</v>
      </c>
      <c r="H1782" s="8">
        <v>5.26</v>
      </c>
      <c r="I1782" s="4">
        <v>0</v>
      </c>
    </row>
    <row r="1783" spans="1:9" x14ac:dyDescent="0.2">
      <c r="A1783" s="2">
        <v>16</v>
      </c>
      <c r="B1783" s="1" t="s">
        <v>312</v>
      </c>
      <c r="C1783" s="4">
        <v>2</v>
      </c>
      <c r="D1783" s="8">
        <v>1.49</v>
      </c>
      <c r="E1783" s="4">
        <v>2</v>
      </c>
      <c r="F1783" s="8">
        <v>2.78</v>
      </c>
      <c r="G1783" s="4">
        <v>0</v>
      </c>
      <c r="H1783" s="8">
        <v>0</v>
      </c>
      <c r="I1783" s="4">
        <v>0</v>
      </c>
    </row>
    <row r="1784" spans="1:9" x14ac:dyDescent="0.2">
      <c r="A1784" s="2">
        <v>16</v>
      </c>
      <c r="B1784" s="1" t="s">
        <v>341</v>
      </c>
      <c r="C1784" s="4">
        <v>2</v>
      </c>
      <c r="D1784" s="8">
        <v>1.49</v>
      </c>
      <c r="E1784" s="4">
        <v>0</v>
      </c>
      <c r="F1784" s="8">
        <v>0</v>
      </c>
      <c r="G1784" s="4">
        <v>0</v>
      </c>
      <c r="H1784" s="8">
        <v>0</v>
      </c>
      <c r="I1784" s="4">
        <v>0</v>
      </c>
    </row>
    <row r="1785" spans="1:9" x14ac:dyDescent="0.2">
      <c r="A1785" s="2">
        <v>16</v>
      </c>
      <c r="B1785" s="1" t="s">
        <v>370</v>
      </c>
      <c r="C1785" s="4">
        <v>2</v>
      </c>
      <c r="D1785" s="8">
        <v>1.49</v>
      </c>
      <c r="E1785" s="4">
        <v>0</v>
      </c>
      <c r="F1785" s="8">
        <v>0</v>
      </c>
      <c r="G1785" s="4">
        <v>1</v>
      </c>
      <c r="H1785" s="8">
        <v>2.63</v>
      </c>
      <c r="I1785" s="4">
        <v>0</v>
      </c>
    </row>
    <row r="1786" spans="1:9" x14ac:dyDescent="0.2">
      <c r="A1786" s="1"/>
      <c r="C1786" s="4"/>
      <c r="D1786" s="8"/>
      <c r="E1786" s="4"/>
      <c r="F1786" s="8"/>
      <c r="G1786" s="4"/>
      <c r="H1786" s="8"/>
      <c r="I1786" s="4"/>
    </row>
    <row r="1787" spans="1:9" x14ac:dyDescent="0.2">
      <c r="A1787" s="1" t="s">
        <v>68</v>
      </c>
      <c r="C1787" s="4"/>
      <c r="D1787" s="8"/>
      <c r="E1787" s="4"/>
      <c r="F1787" s="8"/>
      <c r="G1787" s="4"/>
      <c r="H1787" s="8"/>
      <c r="I1787" s="4"/>
    </row>
    <row r="1788" spans="1:9" x14ac:dyDescent="0.2">
      <c r="A1788" s="2">
        <v>1</v>
      </c>
      <c r="B1788" s="1" t="s">
        <v>339</v>
      </c>
      <c r="C1788" s="4">
        <v>24</v>
      </c>
      <c r="D1788" s="8">
        <v>12.44</v>
      </c>
      <c r="E1788" s="4">
        <v>19</v>
      </c>
      <c r="F1788" s="8">
        <v>18.100000000000001</v>
      </c>
      <c r="G1788" s="4">
        <v>5</v>
      </c>
      <c r="H1788" s="8">
        <v>5.68</v>
      </c>
      <c r="I1788" s="4">
        <v>0</v>
      </c>
    </row>
    <row r="1789" spans="1:9" x14ac:dyDescent="0.2">
      <c r="A1789" s="2">
        <v>2</v>
      </c>
      <c r="B1789" s="1" t="s">
        <v>329</v>
      </c>
      <c r="C1789" s="4">
        <v>7</v>
      </c>
      <c r="D1789" s="8">
        <v>3.63</v>
      </c>
      <c r="E1789" s="4">
        <v>5</v>
      </c>
      <c r="F1789" s="8">
        <v>4.76</v>
      </c>
      <c r="G1789" s="4">
        <v>2</v>
      </c>
      <c r="H1789" s="8">
        <v>2.27</v>
      </c>
      <c r="I1789" s="4">
        <v>0</v>
      </c>
    </row>
    <row r="1790" spans="1:9" x14ac:dyDescent="0.2">
      <c r="A1790" s="2">
        <v>2</v>
      </c>
      <c r="B1790" s="1" t="s">
        <v>299</v>
      </c>
      <c r="C1790" s="4">
        <v>7</v>
      </c>
      <c r="D1790" s="8">
        <v>3.63</v>
      </c>
      <c r="E1790" s="4">
        <v>6</v>
      </c>
      <c r="F1790" s="8">
        <v>5.71</v>
      </c>
      <c r="G1790" s="4">
        <v>1</v>
      </c>
      <c r="H1790" s="8">
        <v>1.1399999999999999</v>
      </c>
      <c r="I1790" s="4">
        <v>0</v>
      </c>
    </row>
    <row r="1791" spans="1:9" x14ac:dyDescent="0.2">
      <c r="A1791" s="2">
        <v>4</v>
      </c>
      <c r="B1791" s="1" t="s">
        <v>302</v>
      </c>
      <c r="C1791" s="4">
        <v>6</v>
      </c>
      <c r="D1791" s="8">
        <v>3.11</v>
      </c>
      <c r="E1791" s="4">
        <v>6</v>
      </c>
      <c r="F1791" s="8">
        <v>5.71</v>
      </c>
      <c r="G1791" s="4">
        <v>0</v>
      </c>
      <c r="H1791" s="8">
        <v>0</v>
      </c>
      <c r="I1791" s="4">
        <v>0</v>
      </c>
    </row>
    <row r="1792" spans="1:9" x14ac:dyDescent="0.2">
      <c r="A1792" s="2">
        <v>5</v>
      </c>
      <c r="B1792" s="1" t="s">
        <v>334</v>
      </c>
      <c r="C1792" s="4">
        <v>5</v>
      </c>
      <c r="D1792" s="8">
        <v>2.59</v>
      </c>
      <c r="E1792" s="4">
        <v>5</v>
      </c>
      <c r="F1792" s="8">
        <v>4.76</v>
      </c>
      <c r="G1792" s="4">
        <v>0</v>
      </c>
      <c r="H1792" s="8">
        <v>0</v>
      </c>
      <c r="I1792" s="4">
        <v>0</v>
      </c>
    </row>
    <row r="1793" spans="1:9" x14ac:dyDescent="0.2">
      <c r="A1793" s="2">
        <v>6</v>
      </c>
      <c r="B1793" s="1" t="s">
        <v>288</v>
      </c>
      <c r="C1793" s="4">
        <v>4</v>
      </c>
      <c r="D1793" s="8">
        <v>2.0699999999999998</v>
      </c>
      <c r="E1793" s="4">
        <v>0</v>
      </c>
      <c r="F1793" s="8">
        <v>0</v>
      </c>
      <c r="G1793" s="4">
        <v>4</v>
      </c>
      <c r="H1793" s="8">
        <v>4.55</v>
      </c>
      <c r="I1793" s="4">
        <v>0</v>
      </c>
    </row>
    <row r="1794" spans="1:9" x14ac:dyDescent="0.2">
      <c r="A1794" s="2">
        <v>6</v>
      </c>
      <c r="B1794" s="1" t="s">
        <v>344</v>
      </c>
      <c r="C1794" s="4">
        <v>4</v>
      </c>
      <c r="D1794" s="8">
        <v>2.0699999999999998</v>
      </c>
      <c r="E1794" s="4">
        <v>1</v>
      </c>
      <c r="F1794" s="8">
        <v>0.95</v>
      </c>
      <c r="G1794" s="4">
        <v>3</v>
      </c>
      <c r="H1794" s="8">
        <v>3.41</v>
      </c>
      <c r="I1794" s="4">
        <v>0</v>
      </c>
    </row>
    <row r="1795" spans="1:9" x14ac:dyDescent="0.2">
      <c r="A1795" s="2">
        <v>6</v>
      </c>
      <c r="B1795" s="1" t="s">
        <v>310</v>
      </c>
      <c r="C1795" s="4">
        <v>4</v>
      </c>
      <c r="D1795" s="8">
        <v>2.0699999999999998</v>
      </c>
      <c r="E1795" s="4">
        <v>0</v>
      </c>
      <c r="F1795" s="8">
        <v>0</v>
      </c>
      <c r="G1795" s="4">
        <v>4</v>
      </c>
      <c r="H1795" s="8">
        <v>4.55</v>
      </c>
      <c r="I1795" s="4">
        <v>0</v>
      </c>
    </row>
    <row r="1796" spans="1:9" x14ac:dyDescent="0.2">
      <c r="A1796" s="2">
        <v>6</v>
      </c>
      <c r="B1796" s="1" t="s">
        <v>422</v>
      </c>
      <c r="C1796" s="4">
        <v>4</v>
      </c>
      <c r="D1796" s="8">
        <v>2.0699999999999998</v>
      </c>
      <c r="E1796" s="4">
        <v>3</v>
      </c>
      <c r="F1796" s="8">
        <v>2.86</v>
      </c>
      <c r="G1796" s="4">
        <v>1</v>
      </c>
      <c r="H1796" s="8">
        <v>1.1399999999999999</v>
      </c>
      <c r="I1796" s="4">
        <v>0</v>
      </c>
    </row>
    <row r="1797" spans="1:9" x14ac:dyDescent="0.2">
      <c r="A1797" s="2">
        <v>6</v>
      </c>
      <c r="B1797" s="1" t="s">
        <v>419</v>
      </c>
      <c r="C1797" s="4">
        <v>4</v>
      </c>
      <c r="D1797" s="8">
        <v>2.0699999999999998</v>
      </c>
      <c r="E1797" s="4">
        <v>3</v>
      </c>
      <c r="F1797" s="8">
        <v>2.86</v>
      </c>
      <c r="G1797" s="4">
        <v>1</v>
      </c>
      <c r="H1797" s="8">
        <v>1.1399999999999999</v>
      </c>
      <c r="I1797" s="4">
        <v>0</v>
      </c>
    </row>
    <row r="1798" spans="1:9" x14ac:dyDescent="0.2">
      <c r="A1798" s="2">
        <v>6</v>
      </c>
      <c r="B1798" s="1" t="s">
        <v>301</v>
      </c>
      <c r="C1798" s="4">
        <v>4</v>
      </c>
      <c r="D1798" s="8">
        <v>2.0699999999999998</v>
      </c>
      <c r="E1798" s="4">
        <v>3</v>
      </c>
      <c r="F1798" s="8">
        <v>2.86</v>
      </c>
      <c r="G1798" s="4">
        <v>1</v>
      </c>
      <c r="H1798" s="8">
        <v>1.1399999999999999</v>
      </c>
      <c r="I1798" s="4">
        <v>0</v>
      </c>
    </row>
    <row r="1799" spans="1:9" x14ac:dyDescent="0.2">
      <c r="A1799" s="2">
        <v>6</v>
      </c>
      <c r="B1799" s="1" t="s">
        <v>303</v>
      </c>
      <c r="C1799" s="4">
        <v>4</v>
      </c>
      <c r="D1799" s="8">
        <v>2.0699999999999998</v>
      </c>
      <c r="E1799" s="4">
        <v>4</v>
      </c>
      <c r="F1799" s="8">
        <v>3.81</v>
      </c>
      <c r="G1799" s="4">
        <v>0</v>
      </c>
      <c r="H1799" s="8">
        <v>0</v>
      </c>
      <c r="I1799" s="4">
        <v>0</v>
      </c>
    </row>
    <row r="1800" spans="1:9" x14ac:dyDescent="0.2">
      <c r="A1800" s="2">
        <v>6</v>
      </c>
      <c r="B1800" s="1" t="s">
        <v>305</v>
      </c>
      <c r="C1800" s="4">
        <v>4</v>
      </c>
      <c r="D1800" s="8">
        <v>2.0699999999999998</v>
      </c>
      <c r="E1800" s="4">
        <v>2</v>
      </c>
      <c r="F1800" s="8">
        <v>1.9</v>
      </c>
      <c r="G1800" s="4">
        <v>2</v>
      </c>
      <c r="H1800" s="8">
        <v>2.27</v>
      </c>
      <c r="I1800" s="4">
        <v>0</v>
      </c>
    </row>
    <row r="1801" spans="1:9" x14ac:dyDescent="0.2">
      <c r="A1801" s="2">
        <v>6</v>
      </c>
      <c r="B1801" s="1" t="s">
        <v>318</v>
      </c>
      <c r="C1801" s="4">
        <v>4</v>
      </c>
      <c r="D1801" s="8">
        <v>2.0699999999999998</v>
      </c>
      <c r="E1801" s="4">
        <v>1</v>
      </c>
      <c r="F1801" s="8">
        <v>0.95</v>
      </c>
      <c r="G1801" s="4">
        <v>3</v>
      </c>
      <c r="H1801" s="8">
        <v>3.41</v>
      </c>
      <c r="I1801" s="4">
        <v>0</v>
      </c>
    </row>
    <row r="1802" spans="1:9" x14ac:dyDescent="0.2">
      <c r="A1802" s="2">
        <v>15</v>
      </c>
      <c r="B1802" s="1" t="s">
        <v>413</v>
      </c>
      <c r="C1802" s="4">
        <v>3</v>
      </c>
      <c r="D1802" s="8">
        <v>1.55</v>
      </c>
      <c r="E1802" s="4">
        <v>2</v>
      </c>
      <c r="F1802" s="8">
        <v>1.9</v>
      </c>
      <c r="G1802" s="4">
        <v>1</v>
      </c>
      <c r="H1802" s="8">
        <v>1.1399999999999999</v>
      </c>
      <c r="I1802" s="4">
        <v>0</v>
      </c>
    </row>
    <row r="1803" spans="1:9" x14ac:dyDescent="0.2">
      <c r="A1803" s="2">
        <v>15</v>
      </c>
      <c r="B1803" s="1" t="s">
        <v>421</v>
      </c>
      <c r="C1803" s="4">
        <v>3</v>
      </c>
      <c r="D1803" s="8">
        <v>1.55</v>
      </c>
      <c r="E1803" s="4">
        <v>1</v>
      </c>
      <c r="F1803" s="8">
        <v>0.95</v>
      </c>
      <c r="G1803" s="4">
        <v>2</v>
      </c>
      <c r="H1803" s="8">
        <v>2.27</v>
      </c>
      <c r="I1803" s="4">
        <v>0</v>
      </c>
    </row>
    <row r="1804" spans="1:9" x14ac:dyDescent="0.2">
      <c r="A1804" s="2">
        <v>15</v>
      </c>
      <c r="B1804" s="1" t="s">
        <v>335</v>
      </c>
      <c r="C1804" s="4">
        <v>3</v>
      </c>
      <c r="D1804" s="8">
        <v>1.55</v>
      </c>
      <c r="E1804" s="4">
        <v>1</v>
      </c>
      <c r="F1804" s="8">
        <v>0.95</v>
      </c>
      <c r="G1804" s="4">
        <v>2</v>
      </c>
      <c r="H1804" s="8">
        <v>2.27</v>
      </c>
      <c r="I1804" s="4">
        <v>0</v>
      </c>
    </row>
    <row r="1805" spans="1:9" x14ac:dyDescent="0.2">
      <c r="A1805" s="2">
        <v>15</v>
      </c>
      <c r="B1805" s="1" t="s">
        <v>330</v>
      </c>
      <c r="C1805" s="4">
        <v>3</v>
      </c>
      <c r="D1805" s="8">
        <v>1.55</v>
      </c>
      <c r="E1805" s="4">
        <v>0</v>
      </c>
      <c r="F1805" s="8">
        <v>0</v>
      </c>
      <c r="G1805" s="4">
        <v>3</v>
      </c>
      <c r="H1805" s="8">
        <v>3.41</v>
      </c>
      <c r="I1805" s="4">
        <v>0</v>
      </c>
    </row>
    <row r="1806" spans="1:9" x14ac:dyDescent="0.2">
      <c r="A1806" s="2">
        <v>15</v>
      </c>
      <c r="B1806" s="1" t="s">
        <v>300</v>
      </c>
      <c r="C1806" s="4">
        <v>3</v>
      </c>
      <c r="D1806" s="8">
        <v>1.55</v>
      </c>
      <c r="E1806" s="4">
        <v>3</v>
      </c>
      <c r="F1806" s="8">
        <v>2.86</v>
      </c>
      <c r="G1806" s="4">
        <v>0</v>
      </c>
      <c r="H1806" s="8">
        <v>0</v>
      </c>
      <c r="I1806" s="4">
        <v>0</v>
      </c>
    </row>
    <row r="1807" spans="1:9" x14ac:dyDescent="0.2">
      <c r="A1807" s="2">
        <v>15</v>
      </c>
      <c r="B1807" s="1" t="s">
        <v>304</v>
      </c>
      <c r="C1807" s="4">
        <v>3</v>
      </c>
      <c r="D1807" s="8">
        <v>1.55</v>
      </c>
      <c r="E1807" s="4">
        <v>3</v>
      </c>
      <c r="F1807" s="8">
        <v>2.86</v>
      </c>
      <c r="G1807" s="4">
        <v>0</v>
      </c>
      <c r="H1807" s="8">
        <v>0</v>
      </c>
      <c r="I1807" s="4">
        <v>0</v>
      </c>
    </row>
    <row r="1808" spans="1:9" x14ac:dyDescent="0.2">
      <c r="A1808" s="2">
        <v>15</v>
      </c>
      <c r="B1808" s="1" t="s">
        <v>411</v>
      </c>
      <c r="C1808" s="4">
        <v>3</v>
      </c>
      <c r="D1808" s="8">
        <v>1.55</v>
      </c>
      <c r="E1808" s="4">
        <v>2</v>
      </c>
      <c r="F1808" s="8">
        <v>1.9</v>
      </c>
      <c r="G1808" s="4">
        <v>1</v>
      </c>
      <c r="H1808" s="8">
        <v>1.1399999999999999</v>
      </c>
      <c r="I1808" s="4">
        <v>0</v>
      </c>
    </row>
    <row r="1809" spans="1:9" x14ac:dyDescent="0.2">
      <c r="A1809" s="2">
        <v>15</v>
      </c>
      <c r="B1809" s="1" t="s">
        <v>306</v>
      </c>
      <c r="C1809" s="4">
        <v>3</v>
      </c>
      <c r="D1809" s="8">
        <v>1.55</v>
      </c>
      <c r="E1809" s="4">
        <v>3</v>
      </c>
      <c r="F1809" s="8">
        <v>2.86</v>
      </c>
      <c r="G1809" s="4">
        <v>0</v>
      </c>
      <c r="H1809" s="8">
        <v>0</v>
      </c>
      <c r="I1809" s="4">
        <v>0</v>
      </c>
    </row>
    <row r="1810" spans="1:9" x14ac:dyDescent="0.2">
      <c r="A1810" s="1"/>
      <c r="C1810" s="4"/>
      <c r="D1810" s="8"/>
      <c r="E1810" s="4"/>
      <c r="F1810" s="8"/>
      <c r="G1810" s="4"/>
      <c r="H1810" s="8"/>
      <c r="I1810" s="4"/>
    </row>
    <row r="1811" spans="1:9" x14ac:dyDescent="0.2">
      <c r="A1811" s="1" t="s">
        <v>69</v>
      </c>
      <c r="C1811" s="4"/>
      <c r="D1811" s="8"/>
      <c r="E1811" s="4"/>
      <c r="F1811" s="8"/>
      <c r="G1811" s="4"/>
      <c r="H1811" s="8"/>
      <c r="I1811" s="4"/>
    </row>
    <row r="1812" spans="1:9" x14ac:dyDescent="0.2">
      <c r="A1812" s="2">
        <v>1</v>
      </c>
      <c r="B1812" s="1" t="s">
        <v>334</v>
      </c>
      <c r="C1812" s="4">
        <v>5</v>
      </c>
      <c r="D1812" s="8">
        <v>6.67</v>
      </c>
      <c r="E1812" s="4">
        <v>5</v>
      </c>
      <c r="F1812" s="8">
        <v>10.64</v>
      </c>
      <c r="G1812" s="4">
        <v>0</v>
      </c>
      <c r="H1812" s="8">
        <v>0</v>
      </c>
      <c r="I1812" s="4">
        <v>0</v>
      </c>
    </row>
    <row r="1813" spans="1:9" x14ac:dyDescent="0.2">
      <c r="A1813" s="2">
        <v>1</v>
      </c>
      <c r="B1813" s="1" t="s">
        <v>302</v>
      </c>
      <c r="C1813" s="4">
        <v>5</v>
      </c>
      <c r="D1813" s="8">
        <v>6.67</v>
      </c>
      <c r="E1813" s="4">
        <v>4</v>
      </c>
      <c r="F1813" s="8">
        <v>8.51</v>
      </c>
      <c r="G1813" s="4">
        <v>1</v>
      </c>
      <c r="H1813" s="8">
        <v>4.76</v>
      </c>
      <c r="I1813" s="4">
        <v>0</v>
      </c>
    </row>
    <row r="1814" spans="1:9" x14ac:dyDescent="0.2">
      <c r="A1814" s="2">
        <v>3</v>
      </c>
      <c r="B1814" s="1" t="s">
        <v>329</v>
      </c>
      <c r="C1814" s="4">
        <v>4</v>
      </c>
      <c r="D1814" s="8">
        <v>5.33</v>
      </c>
      <c r="E1814" s="4">
        <v>4</v>
      </c>
      <c r="F1814" s="8">
        <v>8.51</v>
      </c>
      <c r="G1814" s="4">
        <v>0</v>
      </c>
      <c r="H1814" s="8">
        <v>0</v>
      </c>
      <c r="I1814" s="4">
        <v>0</v>
      </c>
    </row>
    <row r="1815" spans="1:9" x14ac:dyDescent="0.2">
      <c r="A1815" s="2">
        <v>4</v>
      </c>
      <c r="B1815" s="1" t="s">
        <v>330</v>
      </c>
      <c r="C1815" s="4">
        <v>3</v>
      </c>
      <c r="D1815" s="8">
        <v>4</v>
      </c>
      <c r="E1815" s="4">
        <v>0</v>
      </c>
      <c r="F1815" s="8">
        <v>0</v>
      </c>
      <c r="G1815" s="4">
        <v>3</v>
      </c>
      <c r="H1815" s="8">
        <v>14.29</v>
      </c>
      <c r="I1815" s="4">
        <v>0</v>
      </c>
    </row>
    <row r="1816" spans="1:9" x14ac:dyDescent="0.2">
      <c r="A1816" s="2">
        <v>4</v>
      </c>
      <c r="B1816" s="1" t="s">
        <v>299</v>
      </c>
      <c r="C1816" s="4">
        <v>3</v>
      </c>
      <c r="D1816" s="8">
        <v>4</v>
      </c>
      <c r="E1816" s="4">
        <v>0</v>
      </c>
      <c r="F1816" s="8">
        <v>0</v>
      </c>
      <c r="G1816" s="4">
        <v>3</v>
      </c>
      <c r="H1816" s="8">
        <v>14.29</v>
      </c>
      <c r="I1816" s="4">
        <v>0</v>
      </c>
    </row>
    <row r="1817" spans="1:9" x14ac:dyDescent="0.2">
      <c r="A1817" s="2">
        <v>4</v>
      </c>
      <c r="B1817" s="1" t="s">
        <v>423</v>
      </c>
      <c r="C1817" s="4">
        <v>3</v>
      </c>
      <c r="D1817" s="8">
        <v>4</v>
      </c>
      <c r="E1817" s="4">
        <v>3</v>
      </c>
      <c r="F1817" s="8">
        <v>6.38</v>
      </c>
      <c r="G1817" s="4">
        <v>0</v>
      </c>
      <c r="H1817" s="8">
        <v>0</v>
      </c>
      <c r="I1817" s="4">
        <v>0</v>
      </c>
    </row>
    <row r="1818" spans="1:9" x14ac:dyDescent="0.2">
      <c r="A1818" s="2">
        <v>4</v>
      </c>
      <c r="B1818" s="1" t="s">
        <v>331</v>
      </c>
      <c r="C1818" s="4">
        <v>3</v>
      </c>
      <c r="D1818" s="8">
        <v>4</v>
      </c>
      <c r="E1818" s="4">
        <v>0</v>
      </c>
      <c r="F1818" s="8">
        <v>0</v>
      </c>
      <c r="G1818" s="4">
        <v>3</v>
      </c>
      <c r="H1818" s="8">
        <v>14.29</v>
      </c>
      <c r="I1818" s="4">
        <v>0</v>
      </c>
    </row>
    <row r="1819" spans="1:9" x14ac:dyDescent="0.2">
      <c r="A1819" s="2">
        <v>8</v>
      </c>
      <c r="B1819" s="1" t="s">
        <v>393</v>
      </c>
      <c r="C1819" s="4">
        <v>2</v>
      </c>
      <c r="D1819" s="8">
        <v>2.67</v>
      </c>
      <c r="E1819" s="4">
        <v>1</v>
      </c>
      <c r="F1819" s="8">
        <v>2.13</v>
      </c>
      <c r="G1819" s="4">
        <v>1</v>
      </c>
      <c r="H1819" s="8">
        <v>4.76</v>
      </c>
      <c r="I1819" s="4">
        <v>0</v>
      </c>
    </row>
    <row r="1820" spans="1:9" x14ac:dyDescent="0.2">
      <c r="A1820" s="2">
        <v>8</v>
      </c>
      <c r="B1820" s="1" t="s">
        <v>333</v>
      </c>
      <c r="C1820" s="4">
        <v>2</v>
      </c>
      <c r="D1820" s="8">
        <v>2.67</v>
      </c>
      <c r="E1820" s="4">
        <v>2</v>
      </c>
      <c r="F1820" s="8">
        <v>4.26</v>
      </c>
      <c r="G1820" s="4">
        <v>0</v>
      </c>
      <c r="H1820" s="8">
        <v>0</v>
      </c>
      <c r="I1820" s="4">
        <v>0</v>
      </c>
    </row>
    <row r="1821" spans="1:9" x14ac:dyDescent="0.2">
      <c r="A1821" s="2">
        <v>8</v>
      </c>
      <c r="B1821" s="1" t="s">
        <v>350</v>
      </c>
      <c r="C1821" s="4">
        <v>2</v>
      </c>
      <c r="D1821" s="8">
        <v>2.67</v>
      </c>
      <c r="E1821" s="4">
        <v>1</v>
      </c>
      <c r="F1821" s="8">
        <v>2.13</v>
      </c>
      <c r="G1821" s="4">
        <v>1</v>
      </c>
      <c r="H1821" s="8">
        <v>4.76</v>
      </c>
      <c r="I1821" s="4">
        <v>0</v>
      </c>
    </row>
    <row r="1822" spans="1:9" x14ac:dyDescent="0.2">
      <c r="A1822" s="2">
        <v>8</v>
      </c>
      <c r="B1822" s="1" t="s">
        <v>336</v>
      </c>
      <c r="C1822" s="4">
        <v>2</v>
      </c>
      <c r="D1822" s="8">
        <v>2.67</v>
      </c>
      <c r="E1822" s="4">
        <v>1</v>
      </c>
      <c r="F1822" s="8">
        <v>2.13</v>
      </c>
      <c r="G1822" s="4">
        <v>1</v>
      </c>
      <c r="H1822" s="8">
        <v>4.76</v>
      </c>
      <c r="I1822" s="4">
        <v>0</v>
      </c>
    </row>
    <row r="1823" spans="1:9" x14ac:dyDescent="0.2">
      <c r="A1823" s="2">
        <v>8</v>
      </c>
      <c r="B1823" s="1" t="s">
        <v>292</v>
      </c>
      <c r="C1823" s="4">
        <v>2</v>
      </c>
      <c r="D1823" s="8">
        <v>2.67</v>
      </c>
      <c r="E1823" s="4">
        <v>2</v>
      </c>
      <c r="F1823" s="8">
        <v>4.26</v>
      </c>
      <c r="G1823" s="4">
        <v>0</v>
      </c>
      <c r="H1823" s="8">
        <v>0</v>
      </c>
      <c r="I1823" s="4">
        <v>0</v>
      </c>
    </row>
    <row r="1824" spans="1:9" x14ac:dyDescent="0.2">
      <c r="A1824" s="2">
        <v>8</v>
      </c>
      <c r="B1824" s="1" t="s">
        <v>337</v>
      </c>
      <c r="C1824" s="4">
        <v>2</v>
      </c>
      <c r="D1824" s="8">
        <v>2.67</v>
      </c>
      <c r="E1824" s="4">
        <v>2</v>
      </c>
      <c r="F1824" s="8">
        <v>4.26</v>
      </c>
      <c r="G1824" s="4">
        <v>0</v>
      </c>
      <c r="H1824" s="8">
        <v>0</v>
      </c>
      <c r="I1824" s="4">
        <v>0</v>
      </c>
    </row>
    <row r="1825" spans="1:9" x14ac:dyDescent="0.2">
      <c r="A1825" s="2">
        <v>8</v>
      </c>
      <c r="B1825" s="1" t="s">
        <v>422</v>
      </c>
      <c r="C1825" s="4">
        <v>2</v>
      </c>
      <c r="D1825" s="8">
        <v>2.67</v>
      </c>
      <c r="E1825" s="4">
        <v>2</v>
      </c>
      <c r="F1825" s="8">
        <v>4.26</v>
      </c>
      <c r="G1825" s="4">
        <v>0</v>
      </c>
      <c r="H1825" s="8">
        <v>0</v>
      </c>
      <c r="I1825" s="4">
        <v>0</v>
      </c>
    </row>
    <row r="1826" spans="1:9" x14ac:dyDescent="0.2">
      <c r="A1826" s="2">
        <v>8</v>
      </c>
      <c r="B1826" s="1" t="s">
        <v>405</v>
      </c>
      <c r="C1826" s="4">
        <v>2</v>
      </c>
      <c r="D1826" s="8">
        <v>2.67</v>
      </c>
      <c r="E1826" s="4">
        <v>1</v>
      </c>
      <c r="F1826" s="8">
        <v>2.13</v>
      </c>
      <c r="G1826" s="4">
        <v>1</v>
      </c>
      <c r="H1826" s="8">
        <v>4.76</v>
      </c>
      <c r="I1826" s="4">
        <v>0</v>
      </c>
    </row>
    <row r="1827" spans="1:9" x14ac:dyDescent="0.2">
      <c r="A1827" s="2">
        <v>8</v>
      </c>
      <c r="B1827" s="1" t="s">
        <v>301</v>
      </c>
      <c r="C1827" s="4">
        <v>2</v>
      </c>
      <c r="D1827" s="8">
        <v>2.67</v>
      </c>
      <c r="E1827" s="4">
        <v>2</v>
      </c>
      <c r="F1827" s="8">
        <v>4.26</v>
      </c>
      <c r="G1827" s="4">
        <v>0</v>
      </c>
      <c r="H1827" s="8">
        <v>0</v>
      </c>
      <c r="I1827" s="4">
        <v>0</v>
      </c>
    </row>
    <row r="1828" spans="1:9" x14ac:dyDescent="0.2">
      <c r="A1828" s="2">
        <v>8</v>
      </c>
      <c r="B1828" s="1" t="s">
        <v>325</v>
      </c>
      <c r="C1828" s="4">
        <v>2</v>
      </c>
      <c r="D1828" s="8">
        <v>2.67</v>
      </c>
      <c r="E1828" s="4">
        <v>1</v>
      </c>
      <c r="F1828" s="8">
        <v>2.13</v>
      </c>
      <c r="G1828" s="4">
        <v>0</v>
      </c>
      <c r="H1828" s="8">
        <v>0</v>
      </c>
      <c r="I1828" s="4">
        <v>0</v>
      </c>
    </row>
    <row r="1829" spans="1:9" x14ac:dyDescent="0.2">
      <c r="A1829" s="2">
        <v>8</v>
      </c>
      <c r="B1829" s="1" t="s">
        <v>303</v>
      </c>
      <c r="C1829" s="4">
        <v>2</v>
      </c>
      <c r="D1829" s="8">
        <v>2.67</v>
      </c>
      <c r="E1829" s="4">
        <v>2</v>
      </c>
      <c r="F1829" s="8">
        <v>4.26</v>
      </c>
      <c r="G1829" s="4">
        <v>0</v>
      </c>
      <c r="H1829" s="8">
        <v>0</v>
      </c>
      <c r="I1829" s="4">
        <v>0</v>
      </c>
    </row>
    <row r="1830" spans="1:9" x14ac:dyDescent="0.2">
      <c r="A1830" s="2">
        <v>8</v>
      </c>
      <c r="B1830" s="1" t="s">
        <v>304</v>
      </c>
      <c r="C1830" s="4">
        <v>2</v>
      </c>
      <c r="D1830" s="8">
        <v>2.67</v>
      </c>
      <c r="E1830" s="4">
        <v>2</v>
      </c>
      <c r="F1830" s="8">
        <v>4.26</v>
      </c>
      <c r="G1830" s="4">
        <v>0</v>
      </c>
      <c r="H1830" s="8">
        <v>0</v>
      </c>
      <c r="I1830" s="4">
        <v>0</v>
      </c>
    </row>
    <row r="1831" spans="1:9" x14ac:dyDescent="0.2">
      <c r="A1831" s="2">
        <v>8</v>
      </c>
      <c r="B1831" s="1" t="s">
        <v>368</v>
      </c>
      <c r="C1831" s="4">
        <v>2</v>
      </c>
      <c r="D1831" s="8">
        <v>2.67</v>
      </c>
      <c r="E1831" s="4">
        <v>1</v>
      </c>
      <c r="F1831" s="8">
        <v>2.13</v>
      </c>
      <c r="G1831" s="4">
        <v>0</v>
      </c>
      <c r="H1831" s="8">
        <v>0</v>
      </c>
      <c r="I1831" s="4">
        <v>0</v>
      </c>
    </row>
    <row r="1832" spans="1:9" x14ac:dyDescent="0.2">
      <c r="A1832" s="1"/>
      <c r="C1832" s="4"/>
      <c r="D1832" s="8"/>
      <c r="E1832" s="4"/>
      <c r="F1832" s="8"/>
      <c r="G1832" s="4"/>
      <c r="H1832" s="8"/>
      <c r="I1832" s="4"/>
    </row>
    <row r="1833" spans="1:9" x14ac:dyDescent="0.2">
      <c r="A1833" s="1" t="s">
        <v>70</v>
      </c>
      <c r="C1833" s="4"/>
      <c r="D1833" s="8"/>
      <c r="E1833" s="4"/>
      <c r="F1833" s="8"/>
      <c r="G1833" s="4"/>
      <c r="H1833" s="8"/>
      <c r="I1833" s="4"/>
    </row>
    <row r="1834" spans="1:9" x14ac:dyDescent="0.2">
      <c r="A1834" s="2">
        <v>1</v>
      </c>
      <c r="B1834" s="1" t="s">
        <v>297</v>
      </c>
      <c r="C1834" s="4">
        <v>7</v>
      </c>
      <c r="D1834" s="8">
        <v>10</v>
      </c>
      <c r="E1834" s="4">
        <v>6</v>
      </c>
      <c r="F1834" s="8">
        <v>15.38</v>
      </c>
      <c r="G1834" s="4">
        <v>0</v>
      </c>
      <c r="H1834" s="8">
        <v>0</v>
      </c>
      <c r="I1834" s="4">
        <v>0</v>
      </c>
    </row>
    <row r="1835" spans="1:9" x14ac:dyDescent="0.2">
      <c r="A1835" s="2">
        <v>2</v>
      </c>
      <c r="B1835" s="1" t="s">
        <v>339</v>
      </c>
      <c r="C1835" s="4">
        <v>6</v>
      </c>
      <c r="D1835" s="8">
        <v>8.57</v>
      </c>
      <c r="E1835" s="4">
        <v>3</v>
      </c>
      <c r="F1835" s="8">
        <v>7.69</v>
      </c>
      <c r="G1835" s="4">
        <v>3</v>
      </c>
      <c r="H1835" s="8">
        <v>11.11</v>
      </c>
      <c r="I1835" s="4">
        <v>0</v>
      </c>
    </row>
    <row r="1836" spans="1:9" x14ac:dyDescent="0.2">
      <c r="A1836" s="2">
        <v>2</v>
      </c>
      <c r="B1836" s="1" t="s">
        <v>325</v>
      </c>
      <c r="C1836" s="4">
        <v>6</v>
      </c>
      <c r="D1836" s="8">
        <v>8.57</v>
      </c>
      <c r="E1836" s="4">
        <v>0</v>
      </c>
      <c r="F1836" s="8">
        <v>0</v>
      </c>
      <c r="G1836" s="4">
        <v>5</v>
      </c>
      <c r="H1836" s="8">
        <v>18.52</v>
      </c>
      <c r="I1836" s="4">
        <v>0</v>
      </c>
    </row>
    <row r="1837" spans="1:9" x14ac:dyDescent="0.2">
      <c r="A1837" s="2">
        <v>4</v>
      </c>
      <c r="B1837" s="1" t="s">
        <v>329</v>
      </c>
      <c r="C1837" s="4">
        <v>5</v>
      </c>
      <c r="D1837" s="8">
        <v>7.14</v>
      </c>
      <c r="E1837" s="4">
        <v>4</v>
      </c>
      <c r="F1837" s="8">
        <v>10.26</v>
      </c>
      <c r="G1837" s="4">
        <v>1</v>
      </c>
      <c r="H1837" s="8">
        <v>3.7</v>
      </c>
      <c r="I1837" s="4">
        <v>0</v>
      </c>
    </row>
    <row r="1838" spans="1:9" x14ac:dyDescent="0.2">
      <c r="A1838" s="2">
        <v>5</v>
      </c>
      <c r="B1838" s="1" t="s">
        <v>330</v>
      </c>
      <c r="C1838" s="4">
        <v>4</v>
      </c>
      <c r="D1838" s="8">
        <v>5.71</v>
      </c>
      <c r="E1838" s="4">
        <v>0</v>
      </c>
      <c r="F1838" s="8">
        <v>0</v>
      </c>
      <c r="G1838" s="4">
        <v>4</v>
      </c>
      <c r="H1838" s="8">
        <v>14.81</v>
      </c>
      <c r="I1838" s="4">
        <v>0</v>
      </c>
    </row>
    <row r="1839" spans="1:9" x14ac:dyDescent="0.2">
      <c r="A1839" s="2">
        <v>6</v>
      </c>
      <c r="B1839" s="1" t="s">
        <v>292</v>
      </c>
      <c r="C1839" s="4">
        <v>3</v>
      </c>
      <c r="D1839" s="8">
        <v>4.29</v>
      </c>
      <c r="E1839" s="4">
        <v>2</v>
      </c>
      <c r="F1839" s="8">
        <v>5.13</v>
      </c>
      <c r="G1839" s="4">
        <v>1</v>
      </c>
      <c r="H1839" s="8">
        <v>3.7</v>
      </c>
      <c r="I1839" s="4">
        <v>0</v>
      </c>
    </row>
    <row r="1840" spans="1:9" x14ac:dyDescent="0.2">
      <c r="A1840" s="2">
        <v>6</v>
      </c>
      <c r="B1840" s="1" t="s">
        <v>422</v>
      </c>
      <c r="C1840" s="4">
        <v>3</v>
      </c>
      <c r="D1840" s="8">
        <v>4.29</v>
      </c>
      <c r="E1840" s="4">
        <v>1</v>
      </c>
      <c r="F1840" s="8">
        <v>2.56</v>
      </c>
      <c r="G1840" s="4">
        <v>2</v>
      </c>
      <c r="H1840" s="8">
        <v>7.41</v>
      </c>
      <c r="I1840" s="4">
        <v>0</v>
      </c>
    </row>
    <row r="1841" spans="1:9" x14ac:dyDescent="0.2">
      <c r="A1841" s="2">
        <v>6</v>
      </c>
      <c r="B1841" s="1" t="s">
        <v>334</v>
      </c>
      <c r="C1841" s="4">
        <v>3</v>
      </c>
      <c r="D1841" s="8">
        <v>4.29</v>
      </c>
      <c r="E1841" s="4">
        <v>3</v>
      </c>
      <c r="F1841" s="8">
        <v>7.69</v>
      </c>
      <c r="G1841" s="4">
        <v>0</v>
      </c>
      <c r="H1841" s="8">
        <v>0</v>
      </c>
      <c r="I1841" s="4">
        <v>0</v>
      </c>
    </row>
    <row r="1842" spans="1:9" x14ac:dyDescent="0.2">
      <c r="A1842" s="2">
        <v>6</v>
      </c>
      <c r="B1842" s="1" t="s">
        <v>299</v>
      </c>
      <c r="C1842" s="4">
        <v>3</v>
      </c>
      <c r="D1842" s="8">
        <v>4.29</v>
      </c>
      <c r="E1842" s="4">
        <v>3</v>
      </c>
      <c r="F1842" s="8">
        <v>7.69</v>
      </c>
      <c r="G1842" s="4">
        <v>0</v>
      </c>
      <c r="H1842" s="8">
        <v>0</v>
      </c>
      <c r="I1842" s="4">
        <v>0</v>
      </c>
    </row>
    <row r="1843" spans="1:9" x14ac:dyDescent="0.2">
      <c r="A1843" s="2">
        <v>6</v>
      </c>
      <c r="B1843" s="1" t="s">
        <v>301</v>
      </c>
      <c r="C1843" s="4">
        <v>3</v>
      </c>
      <c r="D1843" s="8">
        <v>4.29</v>
      </c>
      <c r="E1843" s="4">
        <v>3</v>
      </c>
      <c r="F1843" s="8">
        <v>7.69</v>
      </c>
      <c r="G1843" s="4">
        <v>0</v>
      </c>
      <c r="H1843" s="8">
        <v>0</v>
      </c>
      <c r="I1843" s="4">
        <v>0</v>
      </c>
    </row>
    <row r="1844" spans="1:9" x14ac:dyDescent="0.2">
      <c r="A1844" s="2">
        <v>11</v>
      </c>
      <c r="B1844" s="1" t="s">
        <v>376</v>
      </c>
      <c r="C1844" s="4">
        <v>2</v>
      </c>
      <c r="D1844" s="8">
        <v>2.86</v>
      </c>
      <c r="E1844" s="4">
        <v>1</v>
      </c>
      <c r="F1844" s="8">
        <v>2.56</v>
      </c>
      <c r="G1844" s="4">
        <v>1</v>
      </c>
      <c r="H1844" s="8">
        <v>3.7</v>
      </c>
      <c r="I1844" s="4">
        <v>0</v>
      </c>
    </row>
    <row r="1845" spans="1:9" x14ac:dyDescent="0.2">
      <c r="A1845" s="2">
        <v>11</v>
      </c>
      <c r="B1845" s="1" t="s">
        <v>362</v>
      </c>
      <c r="C1845" s="4">
        <v>2</v>
      </c>
      <c r="D1845" s="8">
        <v>2.86</v>
      </c>
      <c r="E1845" s="4">
        <v>0</v>
      </c>
      <c r="F1845" s="8">
        <v>0</v>
      </c>
      <c r="G1845" s="4">
        <v>1</v>
      </c>
      <c r="H1845" s="8">
        <v>3.7</v>
      </c>
      <c r="I1845" s="4">
        <v>0</v>
      </c>
    </row>
    <row r="1846" spans="1:9" x14ac:dyDescent="0.2">
      <c r="A1846" s="2">
        <v>11</v>
      </c>
      <c r="B1846" s="1" t="s">
        <v>336</v>
      </c>
      <c r="C1846" s="4">
        <v>2</v>
      </c>
      <c r="D1846" s="8">
        <v>2.86</v>
      </c>
      <c r="E1846" s="4">
        <v>2</v>
      </c>
      <c r="F1846" s="8">
        <v>5.13</v>
      </c>
      <c r="G1846" s="4">
        <v>0</v>
      </c>
      <c r="H1846" s="8">
        <v>0</v>
      </c>
      <c r="I1846" s="4">
        <v>0</v>
      </c>
    </row>
    <row r="1847" spans="1:9" x14ac:dyDescent="0.2">
      <c r="A1847" s="2">
        <v>11</v>
      </c>
      <c r="B1847" s="1" t="s">
        <v>300</v>
      </c>
      <c r="C1847" s="4">
        <v>2</v>
      </c>
      <c r="D1847" s="8">
        <v>2.86</v>
      </c>
      <c r="E1847" s="4">
        <v>1</v>
      </c>
      <c r="F1847" s="8">
        <v>2.56</v>
      </c>
      <c r="G1847" s="4">
        <v>1</v>
      </c>
      <c r="H1847" s="8">
        <v>3.7</v>
      </c>
      <c r="I1847" s="4">
        <v>0</v>
      </c>
    </row>
    <row r="1848" spans="1:9" x14ac:dyDescent="0.2">
      <c r="A1848" s="2">
        <v>11</v>
      </c>
      <c r="B1848" s="1" t="s">
        <v>305</v>
      </c>
      <c r="C1848" s="4">
        <v>2</v>
      </c>
      <c r="D1848" s="8">
        <v>2.86</v>
      </c>
      <c r="E1848" s="4">
        <v>1</v>
      </c>
      <c r="F1848" s="8">
        <v>2.56</v>
      </c>
      <c r="G1848" s="4">
        <v>1</v>
      </c>
      <c r="H1848" s="8">
        <v>3.7</v>
      </c>
      <c r="I1848" s="4">
        <v>0</v>
      </c>
    </row>
    <row r="1849" spans="1:9" x14ac:dyDescent="0.2">
      <c r="A1849" s="2">
        <v>11</v>
      </c>
      <c r="B1849" s="1" t="s">
        <v>371</v>
      </c>
      <c r="C1849" s="4">
        <v>2</v>
      </c>
      <c r="D1849" s="8">
        <v>2.86</v>
      </c>
      <c r="E1849" s="4">
        <v>0</v>
      </c>
      <c r="F1849" s="8">
        <v>0</v>
      </c>
      <c r="G1849" s="4">
        <v>2</v>
      </c>
      <c r="H1849" s="8">
        <v>7.41</v>
      </c>
      <c r="I1849" s="4">
        <v>0</v>
      </c>
    </row>
    <row r="1850" spans="1:9" x14ac:dyDescent="0.2">
      <c r="A1850" s="2">
        <v>17</v>
      </c>
      <c r="B1850" s="1" t="s">
        <v>288</v>
      </c>
      <c r="C1850" s="4">
        <v>1</v>
      </c>
      <c r="D1850" s="8">
        <v>1.43</v>
      </c>
      <c r="E1850" s="4">
        <v>0</v>
      </c>
      <c r="F1850" s="8">
        <v>0</v>
      </c>
      <c r="G1850" s="4">
        <v>1</v>
      </c>
      <c r="H1850" s="8">
        <v>3.7</v>
      </c>
      <c r="I1850" s="4">
        <v>0</v>
      </c>
    </row>
    <row r="1851" spans="1:9" x14ac:dyDescent="0.2">
      <c r="A1851" s="2">
        <v>17</v>
      </c>
      <c r="B1851" s="1" t="s">
        <v>291</v>
      </c>
      <c r="C1851" s="4">
        <v>1</v>
      </c>
      <c r="D1851" s="8">
        <v>1.43</v>
      </c>
      <c r="E1851" s="4">
        <v>0</v>
      </c>
      <c r="F1851" s="8">
        <v>0</v>
      </c>
      <c r="G1851" s="4">
        <v>1</v>
      </c>
      <c r="H1851" s="8">
        <v>3.7</v>
      </c>
      <c r="I1851" s="4">
        <v>0</v>
      </c>
    </row>
    <row r="1852" spans="1:9" x14ac:dyDescent="0.2">
      <c r="A1852" s="2">
        <v>17</v>
      </c>
      <c r="B1852" s="1" t="s">
        <v>424</v>
      </c>
      <c r="C1852" s="4">
        <v>1</v>
      </c>
      <c r="D1852" s="8">
        <v>1.43</v>
      </c>
      <c r="E1852" s="4">
        <v>1</v>
      </c>
      <c r="F1852" s="8">
        <v>2.56</v>
      </c>
      <c r="G1852" s="4">
        <v>0</v>
      </c>
      <c r="H1852" s="8">
        <v>0</v>
      </c>
      <c r="I1852" s="4">
        <v>0</v>
      </c>
    </row>
    <row r="1853" spans="1:9" x14ac:dyDescent="0.2">
      <c r="A1853" s="2">
        <v>17</v>
      </c>
      <c r="B1853" s="1" t="s">
        <v>425</v>
      </c>
      <c r="C1853" s="4">
        <v>1</v>
      </c>
      <c r="D1853" s="8">
        <v>1.43</v>
      </c>
      <c r="E1853" s="4">
        <v>1</v>
      </c>
      <c r="F1853" s="8">
        <v>2.56</v>
      </c>
      <c r="G1853" s="4">
        <v>0</v>
      </c>
      <c r="H1853" s="8">
        <v>0</v>
      </c>
      <c r="I1853" s="4">
        <v>0</v>
      </c>
    </row>
    <row r="1854" spans="1:9" x14ac:dyDescent="0.2">
      <c r="A1854" s="2">
        <v>17</v>
      </c>
      <c r="B1854" s="1" t="s">
        <v>324</v>
      </c>
      <c r="C1854" s="4">
        <v>1</v>
      </c>
      <c r="D1854" s="8">
        <v>1.43</v>
      </c>
      <c r="E1854" s="4">
        <v>0</v>
      </c>
      <c r="F1854" s="8">
        <v>0</v>
      </c>
      <c r="G1854" s="4">
        <v>1</v>
      </c>
      <c r="H1854" s="8">
        <v>3.7</v>
      </c>
      <c r="I1854" s="4">
        <v>0</v>
      </c>
    </row>
    <row r="1855" spans="1:9" x14ac:dyDescent="0.2">
      <c r="A1855" s="2">
        <v>17</v>
      </c>
      <c r="B1855" s="1" t="s">
        <v>314</v>
      </c>
      <c r="C1855" s="4">
        <v>1</v>
      </c>
      <c r="D1855" s="8">
        <v>1.43</v>
      </c>
      <c r="E1855" s="4">
        <v>1</v>
      </c>
      <c r="F1855" s="8">
        <v>2.56</v>
      </c>
      <c r="G1855" s="4">
        <v>0</v>
      </c>
      <c r="H1855" s="8">
        <v>0</v>
      </c>
      <c r="I1855" s="4">
        <v>0</v>
      </c>
    </row>
    <row r="1856" spans="1:9" x14ac:dyDescent="0.2">
      <c r="A1856" s="2">
        <v>17</v>
      </c>
      <c r="B1856" s="1" t="s">
        <v>293</v>
      </c>
      <c r="C1856" s="4">
        <v>1</v>
      </c>
      <c r="D1856" s="8">
        <v>1.43</v>
      </c>
      <c r="E1856" s="4">
        <v>1</v>
      </c>
      <c r="F1856" s="8">
        <v>2.56</v>
      </c>
      <c r="G1856" s="4">
        <v>0</v>
      </c>
      <c r="H1856" s="8">
        <v>0</v>
      </c>
      <c r="I1856" s="4">
        <v>0</v>
      </c>
    </row>
    <row r="1857" spans="1:9" x14ac:dyDescent="0.2">
      <c r="A1857" s="2">
        <v>17</v>
      </c>
      <c r="B1857" s="1" t="s">
        <v>337</v>
      </c>
      <c r="C1857" s="4">
        <v>1</v>
      </c>
      <c r="D1857" s="8">
        <v>1.43</v>
      </c>
      <c r="E1857" s="4">
        <v>1</v>
      </c>
      <c r="F1857" s="8">
        <v>2.56</v>
      </c>
      <c r="G1857" s="4">
        <v>0</v>
      </c>
      <c r="H1857" s="8">
        <v>0</v>
      </c>
      <c r="I1857" s="4">
        <v>0</v>
      </c>
    </row>
    <row r="1858" spans="1:9" x14ac:dyDescent="0.2">
      <c r="A1858" s="2">
        <v>17</v>
      </c>
      <c r="B1858" s="1" t="s">
        <v>426</v>
      </c>
      <c r="C1858" s="4">
        <v>1</v>
      </c>
      <c r="D1858" s="8">
        <v>1.43</v>
      </c>
      <c r="E1858" s="4">
        <v>1</v>
      </c>
      <c r="F1858" s="8">
        <v>2.56</v>
      </c>
      <c r="G1858" s="4">
        <v>0</v>
      </c>
      <c r="H1858" s="8">
        <v>0</v>
      </c>
      <c r="I1858" s="4">
        <v>0</v>
      </c>
    </row>
    <row r="1859" spans="1:9" x14ac:dyDescent="0.2">
      <c r="A1859" s="2">
        <v>17</v>
      </c>
      <c r="B1859" s="1" t="s">
        <v>303</v>
      </c>
      <c r="C1859" s="4">
        <v>1</v>
      </c>
      <c r="D1859" s="8">
        <v>1.43</v>
      </c>
      <c r="E1859" s="4">
        <v>1</v>
      </c>
      <c r="F1859" s="8">
        <v>2.56</v>
      </c>
      <c r="G1859" s="4">
        <v>0</v>
      </c>
      <c r="H1859" s="8">
        <v>0</v>
      </c>
      <c r="I1859" s="4">
        <v>0</v>
      </c>
    </row>
    <row r="1860" spans="1:9" x14ac:dyDescent="0.2">
      <c r="A1860" s="2">
        <v>17</v>
      </c>
      <c r="B1860" s="1" t="s">
        <v>304</v>
      </c>
      <c r="C1860" s="4">
        <v>1</v>
      </c>
      <c r="D1860" s="8">
        <v>1.43</v>
      </c>
      <c r="E1860" s="4">
        <v>1</v>
      </c>
      <c r="F1860" s="8">
        <v>2.56</v>
      </c>
      <c r="G1860" s="4">
        <v>0</v>
      </c>
      <c r="H1860" s="8">
        <v>0</v>
      </c>
      <c r="I1860" s="4">
        <v>0</v>
      </c>
    </row>
    <row r="1861" spans="1:9" x14ac:dyDescent="0.2">
      <c r="A1861" s="2">
        <v>17</v>
      </c>
      <c r="B1861" s="1" t="s">
        <v>312</v>
      </c>
      <c r="C1861" s="4">
        <v>1</v>
      </c>
      <c r="D1861" s="8">
        <v>1.43</v>
      </c>
      <c r="E1861" s="4">
        <v>0</v>
      </c>
      <c r="F1861" s="8">
        <v>0</v>
      </c>
      <c r="G1861" s="4">
        <v>1</v>
      </c>
      <c r="H1861" s="8">
        <v>3.7</v>
      </c>
      <c r="I1861" s="4">
        <v>0</v>
      </c>
    </row>
    <row r="1862" spans="1:9" x14ac:dyDescent="0.2">
      <c r="A1862" s="2">
        <v>17</v>
      </c>
      <c r="B1862" s="1" t="s">
        <v>331</v>
      </c>
      <c r="C1862" s="4">
        <v>1</v>
      </c>
      <c r="D1862" s="8">
        <v>1.43</v>
      </c>
      <c r="E1862" s="4">
        <v>0</v>
      </c>
      <c r="F1862" s="8">
        <v>0</v>
      </c>
      <c r="G1862" s="4">
        <v>0</v>
      </c>
      <c r="H1862" s="8">
        <v>0</v>
      </c>
      <c r="I1862" s="4">
        <v>0</v>
      </c>
    </row>
    <row r="1863" spans="1:9" x14ac:dyDescent="0.2">
      <c r="A1863" s="2">
        <v>17</v>
      </c>
      <c r="B1863" s="1" t="s">
        <v>392</v>
      </c>
      <c r="C1863" s="4">
        <v>1</v>
      </c>
      <c r="D1863" s="8">
        <v>1.43</v>
      </c>
      <c r="E1863" s="4">
        <v>1</v>
      </c>
      <c r="F1863" s="8">
        <v>2.56</v>
      </c>
      <c r="G1863" s="4">
        <v>0</v>
      </c>
      <c r="H1863" s="8">
        <v>0</v>
      </c>
      <c r="I1863" s="4">
        <v>0</v>
      </c>
    </row>
    <row r="1864" spans="1:9" x14ac:dyDescent="0.2">
      <c r="A1864" s="2">
        <v>17</v>
      </c>
      <c r="B1864" s="1" t="s">
        <v>318</v>
      </c>
      <c r="C1864" s="4">
        <v>1</v>
      </c>
      <c r="D1864" s="8">
        <v>1.43</v>
      </c>
      <c r="E1864" s="4">
        <v>0</v>
      </c>
      <c r="F1864" s="8">
        <v>0</v>
      </c>
      <c r="G1864" s="4">
        <v>1</v>
      </c>
      <c r="H1864" s="8">
        <v>3.7</v>
      </c>
      <c r="I1864" s="4">
        <v>0</v>
      </c>
    </row>
    <row r="1865" spans="1:9" x14ac:dyDescent="0.2">
      <c r="A1865" s="1"/>
      <c r="C1865" s="4"/>
      <c r="D1865" s="8"/>
      <c r="E1865" s="4"/>
      <c r="F1865" s="8"/>
      <c r="G1865" s="4"/>
      <c r="H1865" s="8"/>
      <c r="I1865" s="4"/>
    </row>
    <row r="1866" spans="1:9" x14ac:dyDescent="0.2">
      <c r="A1866" s="1" t="s">
        <v>71</v>
      </c>
      <c r="C1866" s="4"/>
      <c r="D1866" s="8"/>
      <c r="E1866" s="4"/>
      <c r="F1866" s="8"/>
      <c r="G1866" s="4"/>
      <c r="H1866" s="8"/>
      <c r="I1866" s="4"/>
    </row>
    <row r="1867" spans="1:9" x14ac:dyDescent="0.2">
      <c r="A1867" s="2">
        <v>1</v>
      </c>
      <c r="B1867" s="1" t="s">
        <v>336</v>
      </c>
      <c r="C1867" s="4">
        <v>4</v>
      </c>
      <c r="D1867" s="8">
        <v>5.8</v>
      </c>
      <c r="E1867" s="4">
        <v>4</v>
      </c>
      <c r="F1867" s="8">
        <v>9.76</v>
      </c>
      <c r="G1867" s="4">
        <v>0</v>
      </c>
      <c r="H1867" s="8">
        <v>0</v>
      </c>
      <c r="I1867" s="4">
        <v>0</v>
      </c>
    </row>
    <row r="1868" spans="1:9" x14ac:dyDescent="0.2">
      <c r="A1868" s="2">
        <v>1</v>
      </c>
      <c r="B1868" s="1" t="s">
        <v>299</v>
      </c>
      <c r="C1868" s="4">
        <v>4</v>
      </c>
      <c r="D1868" s="8">
        <v>5.8</v>
      </c>
      <c r="E1868" s="4">
        <v>4</v>
      </c>
      <c r="F1868" s="8">
        <v>9.76</v>
      </c>
      <c r="G1868" s="4">
        <v>0</v>
      </c>
      <c r="H1868" s="8">
        <v>0</v>
      </c>
      <c r="I1868" s="4">
        <v>0</v>
      </c>
    </row>
    <row r="1869" spans="1:9" x14ac:dyDescent="0.2">
      <c r="A1869" s="2">
        <v>3</v>
      </c>
      <c r="B1869" s="1" t="s">
        <v>292</v>
      </c>
      <c r="C1869" s="4">
        <v>3</v>
      </c>
      <c r="D1869" s="8">
        <v>4.3499999999999996</v>
      </c>
      <c r="E1869" s="4">
        <v>2</v>
      </c>
      <c r="F1869" s="8">
        <v>4.88</v>
      </c>
      <c r="G1869" s="4">
        <v>1</v>
      </c>
      <c r="H1869" s="8">
        <v>3.7</v>
      </c>
      <c r="I1869" s="4">
        <v>0</v>
      </c>
    </row>
    <row r="1870" spans="1:9" x14ac:dyDescent="0.2">
      <c r="A1870" s="2">
        <v>3</v>
      </c>
      <c r="B1870" s="1" t="s">
        <v>330</v>
      </c>
      <c r="C1870" s="4">
        <v>3</v>
      </c>
      <c r="D1870" s="8">
        <v>4.3499999999999996</v>
      </c>
      <c r="E1870" s="4">
        <v>0</v>
      </c>
      <c r="F1870" s="8">
        <v>0</v>
      </c>
      <c r="G1870" s="4">
        <v>3</v>
      </c>
      <c r="H1870" s="8">
        <v>11.11</v>
      </c>
      <c r="I1870" s="4">
        <v>0</v>
      </c>
    </row>
    <row r="1871" spans="1:9" x14ac:dyDescent="0.2">
      <c r="A1871" s="2">
        <v>3</v>
      </c>
      <c r="B1871" s="1" t="s">
        <v>337</v>
      </c>
      <c r="C1871" s="4">
        <v>3</v>
      </c>
      <c r="D1871" s="8">
        <v>4.3499999999999996</v>
      </c>
      <c r="E1871" s="4">
        <v>3</v>
      </c>
      <c r="F1871" s="8">
        <v>7.32</v>
      </c>
      <c r="G1871" s="4">
        <v>0</v>
      </c>
      <c r="H1871" s="8">
        <v>0</v>
      </c>
      <c r="I1871" s="4">
        <v>0</v>
      </c>
    </row>
    <row r="1872" spans="1:9" x14ac:dyDescent="0.2">
      <c r="A1872" s="2">
        <v>3</v>
      </c>
      <c r="B1872" s="1" t="s">
        <v>304</v>
      </c>
      <c r="C1872" s="4">
        <v>3</v>
      </c>
      <c r="D1872" s="8">
        <v>4.3499999999999996</v>
      </c>
      <c r="E1872" s="4">
        <v>3</v>
      </c>
      <c r="F1872" s="8">
        <v>7.32</v>
      </c>
      <c r="G1872" s="4">
        <v>0</v>
      </c>
      <c r="H1872" s="8">
        <v>0</v>
      </c>
      <c r="I1872" s="4">
        <v>0</v>
      </c>
    </row>
    <row r="1873" spans="1:9" x14ac:dyDescent="0.2">
      <c r="A1873" s="2">
        <v>3</v>
      </c>
      <c r="B1873" s="1" t="s">
        <v>347</v>
      </c>
      <c r="C1873" s="4">
        <v>3</v>
      </c>
      <c r="D1873" s="8">
        <v>4.3499999999999996</v>
      </c>
      <c r="E1873" s="4">
        <v>0</v>
      </c>
      <c r="F1873" s="8">
        <v>0</v>
      </c>
      <c r="G1873" s="4">
        <v>3</v>
      </c>
      <c r="H1873" s="8">
        <v>11.11</v>
      </c>
      <c r="I1873" s="4">
        <v>0</v>
      </c>
    </row>
    <row r="1874" spans="1:9" x14ac:dyDescent="0.2">
      <c r="A1874" s="2">
        <v>8</v>
      </c>
      <c r="B1874" s="1" t="s">
        <v>328</v>
      </c>
      <c r="C1874" s="4">
        <v>2</v>
      </c>
      <c r="D1874" s="8">
        <v>2.9</v>
      </c>
      <c r="E1874" s="4">
        <v>1</v>
      </c>
      <c r="F1874" s="8">
        <v>2.44</v>
      </c>
      <c r="G1874" s="4">
        <v>1</v>
      </c>
      <c r="H1874" s="8">
        <v>3.7</v>
      </c>
      <c r="I1874" s="4">
        <v>0</v>
      </c>
    </row>
    <row r="1875" spans="1:9" x14ac:dyDescent="0.2">
      <c r="A1875" s="2">
        <v>8</v>
      </c>
      <c r="B1875" s="1" t="s">
        <v>329</v>
      </c>
      <c r="C1875" s="4">
        <v>2</v>
      </c>
      <c r="D1875" s="8">
        <v>2.9</v>
      </c>
      <c r="E1875" s="4">
        <v>2</v>
      </c>
      <c r="F1875" s="8">
        <v>4.88</v>
      </c>
      <c r="G1875" s="4">
        <v>0</v>
      </c>
      <c r="H1875" s="8">
        <v>0</v>
      </c>
      <c r="I1875" s="4">
        <v>0</v>
      </c>
    </row>
    <row r="1876" spans="1:9" x14ac:dyDescent="0.2">
      <c r="A1876" s="2">
        <v>8</v>
      </c>
      <c r="B1876" s="1" t="s">
        <v>429</v>
      </c>
      <c r="C1876" s="4">
        <v>2</v>
      </c>
      <c r="D1876" s="8">
        <v>2.9</v>
      </c>
      <c r="E1876" s="4">
        <v>0</v>
      </c>
      <c r="F1876" s="8">
        <v>0</v>
      </c>
      <c r="G1876" s="4">
        <v>2</v>
      </c>
      <c r="H1876" s="8">
        <v>7.41</v>
      </c>
      <c r="I1876" s="4">
        <v>0</v>
      </c>
    </row>
    <row r="1877" spans="1:9" x14ac:dyDescent="0.2">
      <c r="A1877" s="2">
        <v>8</v>
      </c>
      <c r="B1877" s="1" t="s">
        <v>422</v>
      </c>
      <c r="C1877" s="4">
        <v>2</v>
      </c>
      <c r="D1877" s="8">
        <v>2.9</v>
      </c>
      <c r="E1877" s="4">
        <v>1</v>
      </c>
      <c r="F1877" s="8">
        <v>2.44</v>
      </c>
      <c r="G1877" s="4">
        <v>1</v>
      </c>
      <c r="H1877" s="8">
        <v>3.7</v>
      </c>
      <c r="I1877" s="4">
        <v>0</v>
      </c>
    </row>
    <row r="1878" spans="1:9" x14ac:dyDescent="0.2">
      <c r="A1878" s="2">
        <v>8</v>
      </c>
      <c r="B1878" s="1" t="s">
        <v>334</v>
      </c>
      <c r="C1878" s="4">
        <v>2</v>
      </c>
      <c r="D1878" s="8">
        <v>2.9</v>
      </c>
      <c r="E1878" s="4">
        <v>2</v>
      </c>
      <c r="F1878" s="8">
        <v>4.88</v>
      </c>
      <c r="G1878" s="4">
        <v>0</v>
      </c>
      <c r="H1878" s="8">
        <v>0</v>
      </c>
      <c r="I1878" s="4">
        <v>0</v>
      </c>
    </row>
    <row r="1879" spans="1:9" x14ac:dyDescent="0.2">
      <c r="A1879" s="2">
        <v>8</v>
      </c>
      <c r="B1879" s="1" t="s">
        <v>300</v>
      </c>
      <c r="C1879" s="4">
        <v>2</v>
      </c>
      <c r="D1879" s="8">
        <v>2.9</v>
      </c>
      <c r="E1879" s="4">
        <v>2</v>
      </c>
      <c r="F1879" s="8">
        <v>4.88</v>
      </c>
      <c r="G1879" s="4">
        <v>0</v>
      </c>
      <c r="H1879" s="8">
        <v>0</v>
      </c>
      <c r="I1879" s="4">
        <v>0</v>
      </c>
    </row>
    <row r="1880" spans="1:9" x14ac:dyDescent="0.2">
      <c r="A1880" s="2">
        <v>8</v>
      </c>
      <c r="B1880" s="1" t="s">
        <v>302</v>
      </c>
      <c r="C1880" s="4">
        <v>2</v>
      </c>
      <c r="D1880" s="8">
        <v>2.9</v>
      </c>
      <c r="E1880" s="4">
        <v>1</v>
      </c>
      <c r="F1880" s="8">
        <v>2.44</v>
      </c>
      <c r="G1880" s="4">
        <v>1</v>
      </c>
      <c r="H1880" s="8">
        <v>3.7</v>
      </c>
      <c r="I1880" s="4">
        <v>0</v>
      </c>
    </row>
    <row r="1881" spans="1:9" x14ac:dyDescent="0.2">
      <c r="A1881" s="2">
        <v>8</v>
      </c>
      <c r="B1881" s="1" t="s">
        <v>325</v>
      </c>
      <c r="C1881" s="4">
        <v>2</v>
      </c>
      <c r="D1881" s="8">
        <v>2.9</v>
      </c>
      <c r="E1881" s="4">
        <v>1</v>
      </c>
      <c r="F1881" s="8">
        <v>2.44</v>
      </c>
      <c r="G1881" s="4">
        <v>1</v>
      </c>
      <c r="H1881" s="8">
        <v>3.7</v>
      </c>
      <c r="I1881" s="4">
        <v>0</v>
      </c>
    </row>
    <row r="1882" spans="1:9" x14ac:dyDescent="0.2">
      <c r="A1882" s="2">
        <v>16</v>
      </c>
      <c r="B1882" s="1" t="s">
        <v>427</v>
      </c>
      <c r="C1882" s="4">
        <v>1</v>
      </c>
      <c r="D1882" s="8">
        <v>1.45</v>
      </c>
      <c r="E1882" s="4">
        <v>0</v>
      </c>
      <c r="F1882" s="8">
        <v>0</v>
      </c>
      <c r="G1882" s="4">
        <v>1</v>
      </c>
      <c r="H1882" s="8">
        <v>3.7</v>
      </c>
      <c r="I1882" s="4">
        <v>0</v>
      </c>
    </row>
    <row r="1883" spans="1:9" x14ac:dyDescent="0.2">
      <c r="A1883" s="2">
        <v>16</v>
      </c>
      <c r="B1883" s="1" t="s">
        <v>319</v>
      </c>
      <c r="C1883" s="4">
        <v>1</v>
      </c>
      <c r="D1883" s="8">
        <v>1.45</v>
      </c>
      <c r="E1883" s="4">
        <v>0</v>
      </c>
      <c r="F1883" s="8">
        <v>0</v>
      </c>
      <c r="G1883" s="4">
        <v>1</v>
      </c>
      <c r="H1883" s="8">
        <v>3.7</v>
      </c>
      <c r="I1883" s="4">
        <v>0</v>
      </c>
    </row>
    <row r="1884" spans="1:9" x14ac:dyDescent="0.2">
      <c r="A1884" s="2">
        <v>16</v>
      </c>
      <c r="B1884" s="1" t="s">
        <v>290</v>
      </c>
      <c r="C1884" s="4">
        <v>1</v>
      </c>
      <c r="D1884" s="8">
        <v>1.45</v>
      </c>
      <c r="E1884" s="4">
        <v>0</v>
      </c>
      <c r="F1884" s="8">
        <v>0</v>
      </c>
      <c r="G1884" s="4">
        <v>1</v>
      </c>
      <c r="H1884" s="8">
        <v>3.7</v>
      </c>
      <c r="I1884" s="4">
        <v>0</v>
      </c>
    </row>
    <row r="1885" spans="1:9" x14ac:dyDescent="0.2">
      <c r="A1885" s="2">
        <v>16</v>
      </c>
      <c r="B1885" s="1" t="s">
        <v>291</v>
      </c>
      <c r="C1885" s="4">
        <v>1</v>
      </c>
      <c r="D1885" s="8">
        <v>1.45</v>
      </c>
      <c r="E1885" s="4">
        <v>0</v>
      </c>
      <c r="F1885" s="8">
        <v>0</v>
      </c>
      <c r="G1885" s="4">
        <v>1</v>
      </c>
      <c r="H1885" s="8">
        <v>3.7</v>
      </c>
      <c r="I1885" s="4">
        <v>0</v>
      </c>
    </row>
    <row r="1886" spans="1:9" x14ac:dyDescent="0.2">
      <c r="A1886" s="2">
        <v>16</v>
      </c>
      <c r="B1886" s="1" t="s">
        <v>384</v>
      </c>
      <c r="C1886" s="4">
        <v>1</v>
      </c>
      <c r="D1886" s="8">
        <v>1.45</v>
      </c>
      <c r="E1886" s="4">
        <v>0</v>
      </c>
      <c r="F1886" s="8">
        <v>0</v>
      </c>
      <c r="G1886" s="4">
        <v>1</v>
      </c>
      <c r="H1886" s="8">
        <v>3.7</v>
      </c>
      <c r="I1886" s="4">
        <v>0</v>
      </c>
    </row>
    <row r="1887" spans="1:9" x14ac:dyDescent="0.2">
      <c r="A1887" s="2">
        <v>16</v>
      </c>
      <c r="B1887" s="1" t="s">
        <v>425</v>
      </c>
      <c r="C1887" s="4">
        <v>1</v>
      </c>
      <c r="D1887" s="8">
        <v>1.45</v>
      </c>
      <c r="E1887" s="4">
        <v>1</v>
      </c>
      <c r="F1887" s="8">
        <v>2.44</v>
      </c>
      <c r="G1887" s="4">
        <v>0</v>
      </c>
      <c r="H1887" s="8">
        <v>0</v>
      </c>
      <c r="I1887" s="4">
        <v>0</v>
      </c>
    </row>
    <row r="1888" spans="1:9" x14ac:dyDescent="0.2">
      <c r="A1888" s="2">
        <v>16</v>
      </c>
      <c r="B1888" s="1" t="s">
        <v>362</v>
      </c>
      <c r="C1888" s="4">
        <v>1</v>
      </c>
      <c r="D1888" s="8">
        <v>1.45</v>
      </c>
      <c r="E1888" s="4">
        <v>0</v>
      </c>
      <c r="F1888" s="8">
        <v>0</v>
      </c>
      <c r="G1888" s="4">
        <v>0</v>
      </c>
      <c r="H1888" s="8">
        <v>0</v>
      </c>
      <c r="I1888" s="4">
        <v>0</v>
      </c>
    </row>
    <row r="1889" spans="1:9" x14ac:dyDescent="0.2">
      <c r="A1889" s="2">
        <v>16</v>
      </c>
      <c r="B1889" s="1" t="s">
        <v>407</v>
      </c>
      <c r="C1889" s="4">
        <v>1</v>
      </c>
      <c r="D1889" s="8">
        <v>1.45</v>
      </c>
      <c r="E1889" s="4">
        <v>0</v>
      </c>
      <c r="F1889" s="8">
        <v>0</v>
      </c>
      <c r="G1889" s="4">
        <v>1</v>
      </c>
      <c r="H1889" s="8">
        <v>3.7</v>
      </c>
      <c r="I1889" s="4">
        <v>0</v>
      </c>
    </row>
    <row r="1890" spans="1:9" x14ac:dyDescent="0.2">
      <c r="A1890" s="2">
        <v>16</v>
      </c>
      <c r="B1890" s="1" t="s">
        <v>363</v>
      </c>
      <c r="C1890" s="4">
        <v>1</v>
      </c>
      <c r="D1890" s="8">
        <v>1.45</v>
      </c>
      <c r="E1890" s="4">
        <v>0</v>
      </c>
      <c r="F1890" s="8">
        <v>0</v>
      </c>
      <c r="G1890" s="4">
        <v>1</v>
      </c>
      <c r="H1890" s="8">
        <v>3.7</v>
      </c>
      <c r="I1890" s="4">
        <v>0</v>
      </c>
    </row>
    <row r="1891" spans="1:9" x14ac:dyDescent="0.2">
      <c r="A1891" s="2">
        <v>16</v>
      </c>
      <c r="B1891" s="1" t="s">
        <v>364</v>
      </c>
      <c r="C1891" s="4">
        <v>1</v>
      </c>
      <c r="D1891" s="8">
        <v>1.45</v>
      </c>
      <c r="E1891" s="4">
        <v>0</v>
      </c>
      <c r="F1891" s="8">
        <v>0</v>
      </c>
      <c r="G1891" s="4">
        <v>1</v>
      </c>
      <c r="H1891" s="8">
        <v>3.7</v>
      </c>
      <c r="I1891" s="4">
        <v>0</v>
      </c>
    </row>
    <row r="1892" spans="1:9" x14ac:dyDescent="0.2">
      <c r="A1892" s="2">
        <v>16</v>
      </c>
      <c r="B1892" s="1" t="s">
        <v>324</v>
      </c>
      <c r="C1892" s="4">
        <v>1</v>
      </c>
      <c r="D1892" s="8">
        <v>1.45</v>
      </c>
      <c r="E1892" s="4">
        <v>1</v>
      </c>
      <c r="F1892" s="8">
        <v>2.44</v>
      </c>
      <c r="G1892" s="4">
        <v>0</v>
      </c>
      <c r="H1892" s="8">
        <v>0</v>
      </c>
      <c r="I1892" s="4">
        <v>0</v>
      </c>
    </row>
    <row r="1893" spans="1:9" x14ac:dyDescent="0.2">
      <c r="A1893" s="2">
        <v>16</v>
      </c>
      <c r="B1893" s="1" t="s">
        <v>321</v>
      </c>
      <c r="C1893" s="4">
        <v>1</v>
      </c>
      <c r="D1893" s="8">
        <v>1.45</v>
      </c>
      <c r="E1893" s="4">
        <v>0</v>
      </c>
      <c r="F1893" s="8">
        <v>0</v>
      </c>
      <c r="G1893" s="4">
        <v>1</v>
      </c>
      <c r="H1893" s="8">
        <v>3.7</v>
      </c>
      <c r="I1893" s="4">
        <v>0</v>
      </c>
    </row>
    <row r="1894" spans="1:9" x14ac:dyDescent="0.2">
      <c r="A1894" s="2">
        <v>16</v>
      </c>
      <c r="B1894" s="1" t="s">
        <v>309</v>
      </c>
      <c r="C1894" s="4">
        <v>1</v>
      </c>
      <c r="D1894" s="8">
        <v>1.45</v>
      </c>
      <c r="E1894" s="4">
        <v>0</v>
      </c>
      <c r="F1894" s="8">
        <v>0</v>
      </c>
      <c r="G1894" s="4">
        <v>1</v>
      </c>
      <c r="H1894" s="8">
        <v>3.7</v>
      </c>
      <c r="I1894" s="4">
        <v>0</v>
      </c>
    </row>
    <row r="1895" spans="1:9" x14ac:dyDescent="0.2">
      <c r="A1895" s="2">
        <v>16</v>
      </c>
      <c r="B1895" s="1" t="s">
        <v>428</v>
      </c>
      <c r="C1895" s="4">
        <v>1</v>
      </c>
      <c r="D1895" s="8">
        <v>1.45</v>
      </c>
      <c r="E1895" s="4">
        <v>1</v>
      </c>
      <c r="F1895" s="8">
        <v>2.44</v>
      </c>
      <c r="G1895" s="4">
        <v>0</v>
      </c>
      <c r="H1895" s="8">
        <v>0</v>
      </c>
      <c r="I1895" s="4">
        <v>0</v>
      </c>
    </row>
    <row r="1896" spans="1:9" x14ac:dyDescent="0.2">
      <c r="A1896" s="2">
        <v>16</v>
      </c>
      <c r="B1896" s="1" t="s">
        <v>332</v>
      </c>
      <c r="C1896" s="4">
        <v>1</v>
      </c>
      <c r="D1896" s="8">
        <v>1.45</v>
      </c>
      <c r="E1896" s="4">
        <v>1</v>
      </c>
      <c r="F1896" s="8">
        <v>2.44</v>
      </c>
      <c r="G1896" s="4">
        <v>0</v>
      </c>
      <c r="H1896" s="8">
        <v>0</v>
      </c>
      <c r="I1896" s="4">
        <v>0</v>
      </c>
    </row>
    <row r="1897" spans="1:9" x14ac:dyDescent="0.2">
      <c r="A1897" s="2">
        <v>16</v>
      </c>
      <c r="B1897" s="1" t="s">
        <v>335</v>
      </c>
      <c r="C1897" s="4">
        <v>1</v>
      </c>
      <c r="D1897" s="8">
        <v>1.45</v>
      </c>
      <c r="E1897" s="4">
        <v>1</v>
      </c>
      <c r="F1897" s="8">
        <v>2.44</v>
      </c>
      <c r="G1897" s="4">
        <v>0</v>
      </c>
      <c r="H1897" s="8">
        <v>0</v>
      </c>
      <c r="I1897" s="4">
        <v>0</v>
      </c>
    </row>
    <row r="1898" spans="1:9" x14ac:dyDescent="0.2">
      <c r="A1898" s="2">
        <v>16</v>
      </c>
      <c r="B1898" s="1" t="s">
        <v>294</v>
      </c>
      <c r="C1898" s="4">
        <v>1</v>
      </c>
      <c r="D1898" s="8">
        <v>1.45</v>
      </c>
      <c r="E1898" s="4">
        <v>0</v>
      </c>
      <c r="F1898" s="8">
        <v>0</v>
      </c>
      <c r="G1898" s="4">
        <v>1</v>
      </c>
      <c r="H1898" s="8">
        <v>3.7</v>
      </c>
      <c r="I1898" s="4">
        <v>0</v>
      </c>
    </row>
    <row r="1899" spans="1:9" x14ac:dyDescent="0.2">
      <c r="A1899" s="2">
        <v>16</v>
      </c>
      <c r="B1899" s="1" t="s">
        <v>373</v>
      </c>
      <c r="C1899" s="4">
        <v>1</v>
      </c>
      <c r="D1899" s="8">
        <v>1.45</v>
      </c>
      <c r="E1899" s="4">
        <v>1</v>
      </c>
      <c r="F1899" s="8">
        <v>2.44</v>
      </c>
      <c r="G1899" s="4">
        <v>0</v>
      </c>
      <c r="H1899" s="8">
        <v>0</v>
      </c>
      <c r="I1899" s="4">
        <v>0</v>
      </c>
    </row>
    <row r="1900" spans="1:9" x14ac:dyDescent="0.2">
      <c r="A1900" s="2">
        <v>16</v>
      </c>
      <c r="B1900" s="1" t="s">
        <v>322</v>
      </c>
      <c r="C1900" s="4">
        <v>1</v>
      </c>
      <c r="D1900" s="8">
        <v>1.45</v>
      </c>
      <c r="E1900" s="4">
        <v>1</v>
      </c>
      <c r="F1900" s="8">
        <v>2.44</v>
      </c>
      <c r="G1900" s="4">
        <v>0</v>
      </c>
      <c r="H1900" s="8">
        <v>0</v>
      </c>
      <c r="I1900" s="4">
        <v>0</v>
      </c>
    </row>
    <row r="1901" spans="1:9" x14ac:dyDescent="0.2">
      <c r="A1901" s="2">
        <v>16</v>
      </c>
      <c r="B1901" s="1" t="s">
        <v>297</v>
      </c>
      <c r="C1901" s="4">
        <v>1</v>
      </c>
      <c r="D1901" s="8">
        <v>1.45</v>
      </c>
      <c r="E1901" s="4">
        <v>1</v>
      </c>
      <c r="F1901" s="8">
        <v>2.44</v>
      </c>
      <c r="G1901" s="4">
        <v>0</v>
      </c>
      <c r="H1901" s="8">
        <v>0</v>
      </c>
      <c r="I1901" s="4">
        <v>0</v>
      </c>
    </row>
    <row r="1902" spans="1:9" x14ac:dyDescent="0.2">
      <c r="A1902" s="2">
        <v>16</v>
      </c>
      <c r="B1902" s="1" t="s">
        <v>430</v>
      </c>
      <c r="C1902" s="4">
        <v>1</v>
      </c>
      <c r="D1902" s="8">
        <v>1.45</v>
      </c>
      <c r="E1902" s="4">
        <v>0</v>
      </c>
      <c r="F1902" s="8">
        <v>0</v>
      </c>
      <c r="G1902" s="4">
        <v>1</v>
      </c>
      <c r="H1902" s="8">
        <v>3.7</v>
      </c>
      <c r="I1902" s="4">
        <v>0</v>
      </c>
    </row>
    <row r="1903" spans="1:9" x14ac:dyDescent="0.2">
      <c r="A1903" s="2">
        <v>16</v>
      </c>
      <c r="B1903" s="1" t="s">
        <v>339</v>
      </c>
      <c r="C1903" s="4">
        <v>1</v>
      </c>
      <c r="D1903" s="8">
        <v>1.45</v>
      </c>
      <c r="E1903" s="4">
        <v>1</v>
      </c>
      <c r="F1903" s="8">
        <v>2.44</v>
      </c>
      <c r="G1903" s="4">
        <v>0</v>
      </c>
      <c r="H1903" s="8">
        <v>0</v>
      </c>
      <c r="I1903" s="4">
        <v>0</v>
      </c>
    </row>
    <row r="1904" spans="1:9" x14ac:dyDescent="0.2">
      <c r="A1904" s="2">
        <v>16</v>
      </c>
      <c r="B1904" s="1" t="s">
        <v>419</v>
      </c>
      <c r="C1904" s="4">
        <v>1</v>
      </c>
      <c r="D1904" s="8">
        <v>1.45</v>
      </c>
      <c r="E1904" s="4">
        <v>1</v>
      </c>
      <c r="F1904" s="8">
        <v>2.44</v>
      </c>
      <c r="G1904" s="4">
        <v>0</v>
      </c>
      <c r="H1904" s="8">
        <v>0</v>
      </c>
      <c r="I1904" s="4">
        <v>0</v>
      </c>
    </row>
    <row r="1905" spans="1:9" x14ac:dyDescent="0.2">
      <c r="A1905" s="2">
        <v>16</v>
      </c>
      <c r="B1905" s="1" t="s">
        <v>323</v>
      </c>
      <c r="C1905" s="4">
        <v>1</v>
      </c>
      <c r="D1905" s="8">
        <v>1.45</v>
      </c>
      <c r="E1905" s="4">
        <v>1</v>
      </c>
      <c r="F1905" s="8">
        <v>2.44</v>
      </c>
      <c r="G1905" s="4">
        <v>0</v>
      </c>
      <c r="H1905" s="8">
        <v>0</v>
      </c>
      <c r="I1905" s="4">
        <v>0</v>
      </c>
    </row>
    <row r="1906" spans="1:9" x14ac:dyDescent="0.2">
      <c r="A1906" s="2">
        <v>16</v>
      </c>
      <c r="B1906" s="1" t="s">
        <v>303</v>
      </c>
      <c r="C1906" s="4">
        <v>1</v>
      </c>
      <c r="D1906" s="8">
        <v>1.45</v>
      </c>
      <c r="E1906" s="4">
        <v>1</v>
      </c>
      <c r="F1906" s="8">
        <v>2.44</v>
      </c>
      <c r="G1906" s="4">
        <v>0</v>
      </c>
      <c r="H1906" s="8">
        <v>0</v>
      </c>
      <c r="I1906" s="4">
        <v>0</v>
      </c>
    </row>
    <row r="1907" spans="1:9" x14ac:dyDescent="0.2">
      <c r="A1907" s="2">
        <v>16</v>
      </c>
      <c r="B1907" s="1" t="s">
        <v>368</v>
      </c>
      <c r="C1907" s="4">
        <v>1</v>
      </c>
      <c r="D1907" s="8">
        <v>1.45</v>
      </c>
      <c r="E1907" s="4">
        <v>0</v>
      </c>
      <c r="F1907" s="8">
        <v>0</v>
      </c>
      <c r="G1907" s="4">
        <v>1</v>
      </c>
      <c r="H1907" s="8">
        <v>3.7</v>
      </c>
      <c r="I1907" s="4">
        <v>0</v>
      </c>
    </row>
    <row r="1908" spans="1:9" x14ac:dyDescent="0.2">
      <c r="A1908" s="2">
        <v>16</v>
      </c>
      <c r="B1908" s="1" t="s">
        <v>305</v>
      </c>
      <c r="C1908" s="4">
        <v>1</v>
      </c>
      <c r="D1908" s="8">
        <v>1.45</v>
      </c>
      <c r="E1908" s="4">
        <v>1</v>
      </c>
      <c r="F1908" s="8">
        <v>2.44</v>
      </c>
      <c r="G1908" s="4">
        <v>0</v>
      </c>
      <c r="H1908" s="8">
        <v>0</v>
      </c>
      <c r="I1908" s="4">
        <v>0</v>
      </c>
    </row>
    <row r="1909" spans="1:9" x14ac:dyDescent="0.2">
      <c r="A1909" s="2">
        <v>16</v>
      </c>
      <c r="B1909" s="1" t="s">
        <v>307</v>
      </c>
      <c r="C1909" s="4">
        <v>1</v>
      </c>
      <c r="D1909" s="8">
        <v>1.45</v>
      </c>
      <c r="E1909" s="4">
        <v>1</v>
      </c>
      <c r="F1909" s="8">
        <v>2.44</v>
      </c>
      <c r="G1909" s="4">
        <v>0</v>
      </c>
      <c r="H1909" s="8">
        <v>0</v>
      </c>
      <c r="I1909" s="4">
        <v>0</v>
      </c>
    </row>
    <row r="1910" spans="1:9" x14ac:dyDescent="0.2">
      <c r="A1910" s="2">
        <v>16</v>
      </c>
      <c r="B1910" s="1" t="s">
        <v>371</v>
      </c>
      <c r="C1910" s="4">
        <v>1</v>
      </c>
      <c r="D1910" s="8">
        <v>1.45</v>
      </c>
      <c r="E1910" s="4">
        <v>1</v>
      </c>
      <c r="F1910" s="8">
        <v>2.44</v>
      </c>
      <c r="G1910" s="4">
        <v>0</v>
      </c>
      <c r="H1910" s="8">
        <v>0</v>
      </c>
      <c r="I1910" s="4">
        <v>0</v>
      </c>
    </row>
    <row r="1911" spans="1:9" x14ac:dyDescent="0.2">
      <c r="A1911" s="2">
        <v>16</v>
      </c>
      <c r="B1911" s="1" t="s">
        <v>318</v>
      </c>
      <c r="C1911" s="4">
        <v>1</v>
      </c>
      <c r="D1911" s="8">
        <v>1.45</v>
      </c>
      <c r="E1911" s="4">
        <v>0</v>
      </c>
      <c r="F1911" s="8">
        <v>0</v>
      </c>
      <c r="G1911" s="4">
        <v>1</v>
      </c>
      <c r="H1911" s="8">
        <v>3.7</v>
      </c>
      <c r="I1911" s="4">
        <v>0</v>
      </c>
    </row>
    <row r="1912" spans="1:9" x14ac:dyDescent="0.2">
      <c r="A1912" s="1"/>
      <c r="C1912" s="4"/>
      <c r="D1912" s="8"/>
      <c r="E1912" s="4"/>
      <c r="F1912" s="8"/>
      <c r="G1912" s="4"/>
      <c r="H1912" s="8"/>
      <c r="I1912" s="4"/>
    </row>
    <row r="1913" spans="1:9" x14ac:dyDescent="0.2">
      <c r="A1913" s="1" t="s">
        <v>72</v>
      </c>
      <c r="C1913" s="4"/>
      <c r="D1913" s="8"/>
      <c r="E1913" s="4"/>
      <c r="F1913" s="8"/>
      <c r="G1913" s="4"/>
      <c r="H1913" s="8"/>
      <c r="I1913" s="4"/>
    </row>
    <row r="1914" spans="1:9" x14ac:dyDescent="0.2">
      <c r="A1914" s="2">
        <v>1</v>
      </c>
      <c r="B1914" s="1" t="s">
        <v>297</v>
      </c>
      <c r="C1914" s="4">
        <v>6</v>
      </c>
      <c r="D1914" s="8">
        <v>7.06</v>
      </c>
      <c r="E1914" s="4">
        <v>4</v>
      </c>
      <c r="F1914" s="8">
        <v>8.16</v>
      </c>
      <c r="G1914" s="4">
        <v>2</v>
      </c>
      <c r="H1914" s="8">
        <v>5.88</v>
      </c>
      <c r="I1914" s="4">
        <v>0</v>
      </c>
    </row>
    <row r="1915" spans="1:9" x14ac:dyDescent="0.2">
      <c r="A1915" s="2">
        <v>2</v>
      </c>
      <c r="B1915" s="1" t="s">
        <v>304</v>
      </c>
      <c r="C1915" s="4">
        <v>5</v>
      </c>
      <c r="D1915" s="8">
        <v>5.88</v>
      </c>
      <c r="E1915" s="4">
        <v>5</v>
      </c>
      <c r="F1915" s="8">
        <v>10.199999999999999</v>
      </c>
      <c r="G1915" s="4">
        <v>0</v>
      </c>
      <c r="H1915" s="8">
        <v>0</v>
      </c>
      <c r="I1915" s="4">
        <v>0</v>
      </c>
    </row>
    <row r="1916" spans="1:9" x14ac:dyDescent="0.2">
      <c r="A1916" s="2">
        <v>3</v>
      </c>
      <c r="B1916" s="1" t="s">
        <v>292</v>
      </c>
      <c r="C1916" s="4">
        <v>4</v>
      </c>
      <c r="D1916" s="8">
        <v>4.71</v>
      </c>
      <c r="E1916" s="4">
        <v>4</v>
      </c>
      <c r="F1916" s="8">
        <v>8.16</v>
      </c>
      <c r="G1916" s="4">
        <v>0</v>
      </c>
      <c r="H1916" s="8">
        <v>0</v>
      </c>
      <c r="I1916" s="4">
        <v>0</v>
      </c>
    </row>
    <row r="1917" spans="1:9" x14ac:dyDescent="0.2">
      <c r="A1917" s="2">
        <v>3</v>
      </c>
      <c r="B1917" s="1" t="s">
        <v>303</v>
      </c>
      <c r="C1917" s="4">
        <v>4</v>
      </c>
      <c r="D1917" s="8">
        <v>4.71</v>
      </c>
      <c r="E1917" s="4">
        <v>4</v>
      </c>
      <c r="F1917" s="8">
        <v>8.16</v>
      </c>
      <c r="G1917" s="4">
        <v>0</v>
      </c>
      <c r="H1917" s="8">
        <v>0</v>
      </c>
      <c r="I1917" s="4">
        <v>0</v>
      </c>
    </row>
    <row r="1918" spans="1:9" x14ac:dyDescent="0.2">
      <c r="A1918" s="2">
        <v>5</v>
      </c>
      <c r="B1918" s="1" t="s">
        <v>289</v>
      </c>
      <c r="C1918" s="4">
        <v>3</v>
      </c>
      <c r="D1918" s="8">
        <v>3.53</v>
      </c>
      <c r="E1918" s="4">
        <v>1</v>
      </c>
      <c r="F1918" s="8">
        <v>2.04</v>
      </c>
      <c r="G1918" s="4">
        <v>2</v>
      </c>
      <c r="H1918" s="8">
        <v>5.88</v>
      </c>
      <c r="I1918" s="4">
        <v>0</v>
      </c>
    </row>
    <row r="1919" spans="1:9" x14ac:dyDescent="0.2">
      <c r="A1919" s="2">
        <v>5</v>
      </c>
      <c r="B1919" s="1" t="s">
        <v>324</v>
      </c>
      <c r="C1919" s="4">
        <v>3</v>
      </c>
      <c r="D1919" s="8">
        <v>3.53</v>
      </c>
      <c r="E1919" s="4">
        <v>1</v>
      </c>
      <c r="F1919" s="8">
        <v>2.04</v>
      </c>
      <c r="G1919" s="4">
        <v>2</v>
      </c>
      <c r="H1919" s="8">
        <v>5.88</v>
      </c>
      <c r="I1919" s="4">
        <v>0</v>
      </c>
    </row>
    <row r="1920" spans="1:9" x14ac:dyDescent="0.2">
      <c r="A1920" s="2">
        <v>5</v>
      </c>
      <c r="B1920" s="1" t="s">
        <v>337</v>
      </c>
      <c r="C1920" s="4">
        <v>3</v>
      </c>
      <c r="D1920" s="8">
        <v>3.53</v>
      </c>
      <c r="E1920" s="4">
        <v>2</v>
      </c>
      <c r="F1920" s="8">
        <v>4.08</v>
      </c>
      <c r="G1920" s="4">
        <v>1</v>
      </c>
      <c r="H1920" s="8">
        <v>2.94</v>
      </c>
      <c r="I1920" s="4">
        <v>0</v>
      </c>
    </row>
    <row r="1921" spans="1:9" x14ac:dyDescent="0.2">
      <c r="A1921" s="2">
        <v>5</v>
      </c>
      <c r="B1921" s="1" t="s">
        <v>334</v>
      </c>
      <c r="C1921" s="4">
        <v>3</v>
      </c>
      <c r="D1921" s="8">
        <v>3.53</v>
      </c>
      <c r="E1921" s="4">
        <v>3</v>
      </c>
      <c r="F1921" s="8">
        <v>6.12</v>
      </c>
      <c r="G1921" s="4">
        <v>0</v>
      </c>
      <c r="H1921" s="8">
        <v>0</v>
      </c>
      <c r="I1921" s="4">
        <v>0</v>
      </c>
    </row>
    <row r="1922" spans="1:9" x14ac:dyDescent="0.2">
      <c r="A1922" s="2">
        <v>5</v>
      </c>
      <c r="B1922" s="1" t="s">
        <v>301</v>
      </c>
      <c r="C1922" s="4">
        <v>3</v>
      </c>
      <c r="D1922" s="8">
        <v>3.53</v>
      </c>
      <c r="E1922" s="4">
        <v>3</v>
      </c>
      <c r="F1922" s="8">
        <v>6.12</v>
      </c>
      <c r="G1922" s="4">
        <v>0</v>
      </c>
      <c r="H1922" s="8">
        <v>0</v>
      </c>
      <c r="I1922" s="4">
        <v>0</v>
      </c>
    </row>
    <row r="1923" spans="1:9" x14ac:dyDescent="0.2">
      <c r="A1923" s="2">
        <v>5</v>
      </c>
      <c r="B1923" s="1" t="s">
        <v>307</v>
      </c>
      <c r="C1923" s="4">
        <v>3</v>
      </c>
      <c r="D1923" s="8">
        <v>3.53</v>
      </c>
      <c r="E1923" s="4">
        <v>1</v>
      </c>
      <c r="F1923" s="8">
        <v>2.04</v>
      </c>
      <c r="G1923" s="4">
        <v>2</v>
      </c>
      <c r="H1923" s="8">
        <v>5.88</v>
      </c>
      <c r="I1923" s="4">
        <v>0</v>
      </c>
    </row>
    <row r="1924" spans="1:9" x14ac:dyDescent="0.2">
      <c r="A1924" s="2">
        <v>11</v>
      </c>
      <c r="B1924" s="1" t="s">
        <v>288</v>
      </c>
      <c r="C1924" s="4">
        <v>2</v>
      </c>
      <c r="D1924" s="8">
        <v>2.35</v>
      </c>
      <c r="E1924" s="4">
        <v>0</v>
      </c>
      <c r="F1924" s="8">
        <v>0</v>
      </c>
      <c r="G1924" s="4">
        <v>2</v>
      </c>
      <c r="H1924" s="8">
        <v>5.88</v>
      </c>
      <c r="I1924" s="4">
        <v>0</v>
      </c>
    </row>
    <row r="1925" spans="1:9" x14ac:dyDescent="0.2">
      <c r="A1925" s="2">
        <v>11</v>
      </c>
      <c r="B1925" s="1" t="s">
        <v>319</v>
      </c>
      <c r="C1925" s="4">
        <v>2</v>
      </c>
      <c r="D1925" s="8">
        <v>2.35</v>
      </c>
      <c r="E1925" s="4">
        <v>2</v>
      </c>
      <c r="F1925" s="8">
        <v>4.08</v>
      </c>
      <c r="G1925" s="4">
        <v>0</v>
      </c>
      <c r="H1925" s="8">
        <v>0</v>
      </c>
      <c r="I1925" s="4">
        <v>0</v>
      </c>
    </row>
    <row r="1926" spans="1:9" x14ac:dyDescent="0.2">
      <c r="A1926" s="2">
        <v>11</v>
      </c>
      <c r="B1926" s="1" t="s">
        <v>402</v>
      </c>
      <c r="C1926" s="4">
        <v>2</v>
      </c>
      <c r="D1926" s="8">
        <v>2.35</v>
      </c>
      <c r="E1926" s="4">
        <v>2</v>
      </c>
      <c r="F1926" s="8">
        <v>4.08</v>
      </c>
      <c r="G1926" s="4">
        <v>0</v>
      </c>
      <c r="H1926" s="8">
        <v>0</v>
      </c>
      <c r="I1926" s="4">
        <v>0</v>
      </c>
    </row>
    <row r="1927" spans="1:9" x14ac:dyDescent="0.2">
      <c r="A1927" s="2">
        <v>11</v>
      </c>
      <c r="B1927" s="1" t="s">
        <v>296</v>
      </c>
      <c r="C1927" s="4">
        <v>2</v>
      </c>
      <c r="D1927" s="8">
        <v>2.35</v>
      </c>
      <c r="E1927" s="4">
        <v>0</v>
      </c>
      <c r="F1927" s="8">
        <v>0</v>
      </c>
      <c r="G1927" s="4">
        <v>2</v>
      </c>
      <c r="H1927" s="8">
        <v>5.88</v>
      </c>
      <c r="I1927" s="4">
        <v>0</v>
      </c>
    </row>
    <row r="1928" spans="1:9" x14ac:dyDescent="0.2">
      <c r="A1928" s="2">
        <v>11</v>
      </c>
      <c r="B1928" s="1" t="s">
        <v>415</v>
      </c>
      <c r="C1928" s="4">
        <v>2</v>
      </c>
      <c r="D1928" s="8">
        <v>2.35</v>
      </c>
      <c r="E1928" s="4">
        <v>0</v>
      </c>
      <c r="F1928" s="8">
        <v>0</v>
      </c>
      <c r="G1928" s="4">
        <v>2</v>
      </c>
      <c r="H1928" s="8">
        <v>5.88</v>
      </c>
      <c r="I1928" s="4">
        <v>0</v>
      </c>
    </row>
    <row r="1929" spans="1:9" x14ac:dyDescent="0.2">
      <c r="A1929" s="2">
        <v>11</v>
      </c>
      <c r="B1929" s="1" t="s">
        <v>339</v>
      </c>
      <c r="C1929" s="4">
        <v>2</v>
      </c>
      <c r="D1929" s="8">
        <v>2.35</v>
      </c>
      <c r="E1929" s="4">
        <v>1</v>
      </c>
      <c r="F1929" s="8">
        <v>2.04</v>
      </c>
      <c r="G1929" s="4">
        <v>1</v>
      </c>
      <c r="H1929" s="8">
        <v>2.94</v>
      </c>
      <c r="I1929" s="4">
        <v>0</v>
      </c>
    </row>
    <row r="1930" spans="1:9" x14ac:dyDescent="0.2">
      <c r="A1930" s="2">
        <v>11</v>
      </c>
      <c r="B1930" s="1" t="s">
        <v>300</v>
      </c>
      <c r="C1930" s="4">
        <v>2</v>
      </c>
      <c r="D1930" s="8">
        <v>2.35</v>
      </c>
      <c r="E1930" s="4">
        <v>2</v>
      </c>
      <c r="F1930" s="8">
        <v>4.08</v>
      </c>
      <c r="G1930" s="4">
        <v>0</v>
      </c>
      <c r="H1930" s="8">
        <v>0</v>
      </c>
      <c r="I1930" s="4">
        <v>0</v>
      </c>
    </row>
    <row r="1931" spans="1:9" x14ac:dyDescent="0.2">
      <c r="A1931" s="2">
        <v>11</v>
      </c>
      <c r="B1931" s="1" t="s">
        <v>302</v>
      </c>
      <c r="C1931" s="4">
        <v>2</v>
      </c>
      <c r="D1931" s="8">
        <v>2.35</v>
      </c>
      <c r="E1931" s="4">
        <v>1</v>
      </c>
      <c r="F1931" s="8">
        <v>2.04</v>
      </c>
      <c r="G1931" s="4">
        <v>1</v>
      </c>
      <c r="H1931" s="8">
        <v>2.94</v>
      </c>
      <c r="I1931" s="4">
        <v>0</v>
      </c>
    </row>
    <row r="1932" spans="1:9" x14ac:dyDescent="0.2">
      <c r="A1932" s="2">
        <v>11</v>
      </c>
      <c r="B1932" s="1" t="s">
        <v>325</v>
      </c>
      <c r="C1932" s="4">
        <v>2</v>
      </c>
      <c r="D1932" s="8">
        <v>2.35</v>
      </c>
      <c r="E1932" s="4">
        <v>0</v>
      </c>
      <c r="F1932" s="8">
        <v>0</v>
      </c>
      <c r="G1932" s="4">
        <v>1</v>
      </c>
      <c r="H1932" s="8">
        <v>2.94</v>
      </c>
      <c r="I1932" s="4">
        <v>0</v>
      </c>
    </row>
    <row r="1933" spans="1:9" x14ac:dyDescent="0.2">
      <c r="A1933" s="2">
        <v>20</v>
      </c>
      <c r="B1933" s="1" t="s">
        <v>328</v>
      </c>
      <c r="C1933" s="4">
        <v>1</v>
      </c>
      <c r="D1933" s="8">
        <v>1.18</v>
      </c>
      <c r="E1933" s="4">
        <v>1</v>
      </c>
      <c r="F1933" s="8">
        <v>2.04</v>
      </c>
      <c r="G1933" s="4">
        <v>0</v>
      </c>
      <c r="H1933" s="8">
        <v>0</v>
      </c>
      <c r="I1933" s="4">
        <v>0</v>
      </c>
    </row>
    <row r="1934" spans="1:9" x14ac:dyDescent="0.2">
      <c r="A1934" s="2">
        <v>20</v>
      </c>
      <c r="B1934" s="1" t="s">
        <v>320</v>
      </c>
      <c r="C1934" s="4">
        <v>1</v>
      </c>
      <c r="D1934" s="8">
        <v>1.18</v>
      </c>
      <c r="E1934" s="4">
        <v>0</v>
      </c>
      <c r="F1934" s="8">
        <v>0</v>
      </c>
      <c r="G1934" s="4">
        <v>1</v>
      </c>
      <c r="H1934" s="8">
        <v>2.94</v>
      </c>
      <c r="I1934" s="4">
        <v>0</v>
      </c>
    </row>
    <row r="1935" spans="1:9" x14ac:dyDescent="0.2">
      <c r="A1935" s="2">
        <v>20</v>
      </c>
      <c r="B1935" s="1" t="s">
        <v>290</v>
      </c>
      <c r="C1935" s="4">
        <v>1</v>
      </c>
      <c r="D1935" s="8">
        <v>1.18</v>
      </c>
      <c r="E1935" s="4">
        <v>0</v>
      </c>
      <c r="F1935" s="8">
        <v>0</v>
      </c>
      <c r="G1935" s="4">
        <v>1</v>
      </c>
      <c r="H1935" s="8">
        <v>2.94</v>
      </c>
      <c r="I1935" s="4">
        <v>0</v>
      </c>
    </row>
    <row r="1936" spans="1:9" x14ac:dyDescent="0.2">
      <c r="A1936" s="2">
        <v>20</v>
      </c>
      <c r="B1936" s="1" t="s">
        <v>291</v>
      </c>
      <c r="C1936" s="4">
        <v>1</v>
      </c>
      <c r="D1936" s="8">
        <v>1.18</v>
      </c>
      <c r="E1936" s="4">
        <v>0</v>
      </c>
      <c r="F1936" s="8">
        <v>0</v>
      </c>
      <c r="G1936" s="4">
        <v>1</v>
      </c>
      <c r="H1936" s="8">
        <v>2.94</v>
      </c>
      <c r="I1936" s="4">
        <v>0</v>
      </c>
    </row>
    <row r="1937" spans="1:9" x14ac:dyDescent="0.2">
      <c r="A1937" s="2">
        <v>20</v>
      </c>
      <c r="B1937" s="1" t="s">
        <v>431</v>
      </c>
      <c r="C1937" s="4">
        <v>1</v>
      </c>
      <c r="D1937" s="8">
        <v>1.18</v>
      </c>
      <c r="E1937" s="4">
        <v>1</v>
      </c>
      <c r="F1937" s="8">
        <v>2.04</v>
      </c>
      <c r="G1937" s="4">
        <v>0</v>
      </c>
      <c r="H1937" s="8">
        <v>0</v>
      </c>
      <c r="I1937" s="4">
        <v>0</v>
      </c>
    </row>
    <row r="1938" spans="1:9" x14ac:dyDescent="0.2">
      <c r="A1938" s="2">
        <v>20</v>
      </c>
      <c r="B1938" s="1" t="s">
        <v>385</v>
      </c>
      <c r="C1938" s="4">
        <v>1</v>
      </c>
      <c r="D1938" s="8">
        <v>1.18</v>
      </c>
      <c r="E1938" s="4">
        <v>0</v>
      </c>
      <c r="F1938" s="8">
        <v>0</v>
      </c>
      <c r="G1938" s="4">
        <v>1</v>
      </c>
      <c r="H1938" s="8">
        <v>2.94</v>
      </c>
      <c r="I1938" s="4">
        <v>0</v>
      </c>
    </row>
    <row r="1939" spans="1:9" x14ac:dyDescent="0.2">
      <c r="A1939" s="2">
        <v>20</v>
      </c>
      <c r="B1939" s="1" t="s">
        <v>432</v>
      </c>
      <c r="C1939" s="4">
        <v>1</v>
      </c>
      <c r="D1939" s="8">
        <v>1.18</v>
      </c>
      <c r="E1939" s="4">
        <v>0</v>
      </c>
      <c r="F1939" s="8">
        <v>0</v>
      </c>
      <c r="G1939" s="4">
        <v>1</v>
      </c>
      <c r="H1939" s="8">
        <v>2.94</v>
      </c>
      <c r="I1939" s="4">
        <v>0</v>
      </c>
    </row>
    <row r="1940" spans="1:9" x14ac:dyDescent="0.2">
      <c r="A1940" s="2">
        <v>20</v>
      </c>
      <c r="B1940" s="1" t="s">
        <v>433</v>
      </c>
      <c r="C1940" s="4">
        <v>1</v>
      </c>
      <c r="D1940" s="8">
        <v>1.18</v>
      </c>
      <c r="E1940" s="4">
        <v>0</v>
      </c>
      <c r="F1940" s="8">
        <v>0</v>
      </c>
      <c r="G1940" s="4">
        <v>1</v>
      </c>
      <c r="H1940" s="8">
        <v>2.94</v>
      </c>
      <c r="I1940" s="4">
        <v>0</v>
      </c>
    </row>
    <row r="1941" spans="1:9" x14ac:dyDescent="0.2">
      <c r="A1941" s="2">
        <v>20</v>
      </c>
      <c r="B1941" s="1" t="s">
        <v>386</v>
      </c>
      <c r="C1941" s="4">
        <v>1</v>
      </c>
      <c r="D1941" s="8">
        <v>1.18</v>
      </c>
      <c r="E1941" s="4">
        <v>0</v>
      </c>
      <c r="F1941" s="8">
        <v>0</v>
      </c>
      <c r="G1941" s="4">
        <v>1</v>
      </c>
      <c r="H1941" s="8">
        <v>2.94</v>
      </c>
      <c r="I1941" s="4">
        <v>0</v>
      </c>
    </row>
    <row r="1942" spans="1:9" x14ac:dyDescent="0.2">
      <c r="A1942" s="2">
        <v>20</v>
      </c>
      <c r="B1942" s="1" t="s">
        <v>362</v>
      </c>
      <c r="C1942" s="4">
        <v>1</v>
      </c>
      <c r="D1942" s="8">
        <v>1.18</v>
      </c>
      <c r="E1942" s="4">
        <v>0</v>
      </c>
      <c r="F1942" s="8">
        <v>0</v>
      </c>
      <c r="G1942" s="4">
        <v>0</v>
      </c>
      <c r="H1942" s="8">
        <v>0</v>
      </c>
      <c r="I1942" s="4">
        <v>0</v>
      </c>
    </row>
    <row r="1943" spans="1:9" x14ac:dyDescent="0.2">
      <c r="A1943" s="2">
        <v>20</v>
      </c>
      <c r="B1943" s="1" t="s">
        <v>326</v>
      </c>
      <c r="C1943" s="4">
        <v>1</v>
      </c>
      <c r="D1943" s="8">
        <v>1.18</v>
      </c>
      <c r="E1943" s="4">
        <v>0</v>
      </c>
      <c r="F1943" s="8">
        <v>0</v>
      </c>
      <c r="G1943" s="4">
        <v>1</v>
      </c>
      <c r="H1943" s="8">
        <v>2.94</v>
      </c>
      <c r="I1943" s="4">
        <v>0</v>
      </c>
    </row>
    <row r="1944" spans="1:9" x14ac:dyDescent="0.2">
      <c r="A1944" s="2">
        <v>20</v>
      </c>
      <c r="B1944" s="1" t="s">
        <v>350</v>
      </c>
      <c r="C1944" s="4">
        <v>1</v>
      </c>
      <c r="D1944" s="8">
        <v>1.18</v>
      </c>
      <c r="E1944" s="4">
        <v>0</v>
      </c>
      <c r="F1944" s="8">
        <v>0</v>
      </c>
      <c r="G1944" s="4">
        <v>1</v>
      </c>
      <c r="H1944" s="8">
        <v>2.94</v>
      </c>
      <c r="I1944" s="4">
        <v>0</v>
      </c>
    </row>
    <row r="1945" spans="1:9" x14ac:dyDescent="0.2">
      <c r="A1945" s="2">
        <v>20</v>
      </c>
      <c r="B1945" s="1" t="s">
        <v>364</v>
      </c>
      <c r="C1945" s="4">
        <v>1</v>
      </c>
      <c r="D1945" s="8">
        <v>1.18</v>
      </c>
      <c r="E1945" s="4">
        <v>0</v>
      </c>
      <c r="F1945" s="8">
        <v>0</v>
      </c>
      <c r="G1945" s="4">
        <v>1</v>
      </c>
      <c r="H1945" s="8">
        <v>2.94</v>
      </c>
      <c r="I1945" s="4">
        <v>0</v>
      </c>
    </row>
    <row r="1946" spans="1:9" x14ac:dyDescent="0.2">
      <c r="A1946" s="2">
        <v>20</v>
      </c>
      <c r="B1946" s="1" t="s">
        <v>346</v>
      </c>
      <c r="C1946" s="4">
        <v>1</v>
      </c>
      <c r="D1946" s="8">
        <v>1.18</v>
      </c>
      <c r="E1946" s="4">
        <v>1</v>
      </c>
      <c r="F1946" s="8">
        <v>2.04</v>
      </c>
      <c r="G1946" s="4">
        <v>0</v>
      </c>
      <c r="H1946" s="8">
        <v>0</v>
      </c>
      <c r="I1946" s="4">
        <v>0</v>
      </c>
    </row>
    <row r="1947" spans="1:9" x14ac:dyDescent="0.2">
      <c r="A1947" s="2">
        <v>20</v>
      </c>
      <c r="B1947" s="1" t="s">
        <v>314</v>
      </c>
      <c r="C1947" s="4">
        <v>1</v>
      </c>
      <c r="D1947" s="8">
        <v>1.18</v>
      </c>
      <c r="E1947" s="4">
        <v>1</v>
      </c>
      <c r="F1947" s="8">
        <v>2.04</v>
      </c>
      <c r="G1947" s="4">
        <v>0</v>
      </c>
      <c r="H1947" s="8">
        <v>0</v>
      </c>
      <c r="I1947" s="4">
        <v>0</v>
      </c>
    </row>
    <row r="1948" spans="1:9" x14ac:dyDescent="0.2">
      <c r="A1948" s="2">
        <v>20</v>
      </c>
      <c r="B1948" s="1" t="s">
        <v>336</v>
      </c>
      <c r="C1948" s="4">
        <v>1</v>
      </c>
      <c r="D1948" s="8">
        <v>1.18</v>
      </c>
      <c r="E1948" s="4">
        <v>1</v>
      </c>
      <c r="F1948" s="8">
        <v>2.04</v>
      </c>
      <c r="G1948" s="4">
        <v>0</v>
      </c>
      <c r="H1948" s="8">
        <v>0</v>
      </c>
      <c r="I1948" s="4">
        <v>0</v>
      </c>
    </row>
    <row r="1949" spans="1:9" x14ac:dyDescent="0.2">
      <c r="A1949" s="2">
        <v>20</v>
      </c>
      <c r="B1949" s="1" t="s">
        <v>366</v>
      </c>
      <c r="C1949" s="4">
        <v>1</v>
      </c>
      <c r="D1949" s="8">
        <v>1.18</v>
      </c>
      <c r="E1949" s="4">
        <v>1</v>
      </c>
      <c r="F1949" s="8">
        <v>2.04</v>
      </c>
      <c r="G1949" s="4">
        <v>0</v>
      </c>
      <c r="H1949" s="8">
        <v>0</v>
      </c>
      <c r="I1949" s="4">
        <v>0</v>
      </c>
    </row>
    <row r="1950" spans="1:9" x14ac:dyDescent="0.2">
      <c r="A1950" s="2">
        <v>20</v>
      </c>
      <c r="B1950" s="1" t="s">
        <v>332</v>
      </c>
      <c r="C1950" s="4">
        <v>1</v>
      </c>
      <c r="D1950" s="8">
        <v>1.18</v>
      </c>
      <c r="E1950" s="4">
        <v>0</v>
      </c>
      <c r="F1950" s="8">
        <v>0</v>
      </c>
      <c r="G1950" s="4">
        <v>1</v>
      </c>
      <c r="H1950" s="8">
        <v>2.94</v>
      </c>
      <c r="I1950" s="4">
        <v>0</v>
      </c>
    </row>
    <row r="1951" spans="1:9" x14ac:dyDescent="0.2">
      <c r="A1951" s="2">
        <v>20</v>
      </c>
      <c r="B1951" s="1" t="s">
        <v>329</v>
      </c>
      <c r="C1951" s="4">
        <v>1</v>
      </c>
      <c r="D1951" s="8">
        <v>1.18</v>
      </c>
      <c r="E1951" s="4">
        <v>1</v>
      </c>
      <c r="F1951" s="8">
        <v>2.04</v>
      </c>
      <c r="G1951" s="4">
        <v>0</v>
      </c>
      <c r="H1951" s="8">
        <v>0</v>
      </c>
      <c r="I1951" s="4">
        <v>0</v>
      </c>
    </row>
    <row r="1952" spans="1:9" x14ac:dyDescent="0.2">
      <c r="A1952" s="2">
        <v>20</v>
      </c>
      <c r="B1952" s="1" t="s">
        <v>335</v>
      </c>
      <c r="C1952" s="4">
        <v>1</v>
      </c>
      <c r="D1952" s="8">
        <v>1.18</v>
      </c>
      <c r="E1952" s="4">
        <v>0</v>
      </c>
      <c r="F1952" s="8">
        <v>0</v>
      </c>
      <c r="G1952" s="4">
        <v>1</v>
      </c>
      <c r="H1952" s="8">
        <v>2.94</v>
      </c>
      <c r="I1952" s="4">
        <v>0</v>
      </c>
    </row>
    <row r="1953" spans="1:9" x14ac:dyDescent="0.2">
      <c r="A1953" s="2">
        <v>20</v>
      </c>
      <c r="B1953" s="1" t="s">
        <v>294</v>
      </c>
      <c r="C1953" s="4">
        <v>1</v>
      </c>
      <c r="D1953" s="8">
        <v>1.18</v>
      </c>
      <c r="E1953" s="4">
        <v>0</v>
      </c>
      <c r="F1953" s="8">
        <v>0</v>
      </c>
      <c r="G1953" s="4">
        <v>1</v>
      </c>
      <c r="H1953" s="8">
        <v>2.94</v>
      </c>
      <c r="I1953" s="4">
        <v>0</v>
      </c>
    </row>
    <row r="1954" spans="1:9" x14ac:dyDescent="0.2">
      <c r="A1954" s="2">
        <v>20</v>
      </c>
      <c r="B1954" s="1" t="s">
        <v>295</v>
      </c>
      <c r="C1954" s="4">
        <v>1</v>
      </c>
      <c r="D1954" s="8">
        <v>1.18</v>
      </c>
      <c r="E1954" s="4">
        <v>1</v>
      </c>
      <c r="F1954" s="8">
        <v>2.04</v>
      </c>
      <c r="G1954" s="4">
        <v>0</v>
      </c>
      <c r="H1954" s="8">
        <v>0</v>
      </c>
      <c r="I1954" s="4">
        <v>0</v>
      </c>
    </row>
    <row r="1955" spans="1:9" x14ac:dyDescent="0.2">
      <c r="A1955" s="2">
        <v>20</v>
      </c>
      <c r="B1955" s="1" t="s">
        <v>418</v>
      </c>
      <c r="C1955" s="4">
        <v>1</v>
      </c>
      <c r="D1955" s="8">
        <v>1.18</v>
      </c>
      <c r="E1955" s="4">
        <v>0</v>
      </c>
      <c r="F1955" s="8">
        <v>0</v>
      </c>
      <c r="G1955" s="4">
        <v>1</v>
      </c>
      <c r="H1955" s="8">
        <v>2.94</v>
      </c>
      <c r="I1955" s="4">
        <v>0</v>
      </c>
    </row>
    <row r="1956" spans="1:9" x14ac:dyDescent="0.2">
      <c r="A1956" s="2">
        <v>20</v>
      </c>
      <c r="B1956" s="1" t="s">
        <v>299</v>
      </c>
      <c r="C1956" s="4">
        <v>1</v>
      </c>
      <c r="D1956" s="8">
        <v>1.18</v>
      </c>
      <c r="E1956" s="4">
        <v>1</v>
      </c>
      <c r="F1956" s="8">
        <v>2.04</v>
      </c>
      <c r="G1956" s="4">
        <v>0</v>
      </c>
      <c r="H1956" s="8">
        <v>0</v>
      </c>
      <c r="I1956" s="4">
        <v>0</v>
      </c>
    </row>
    <row r="1957" spans="1:9" x14ac:dyDescent="0.2">
      <c r="A1957" s="2">
        <v>20</v>
      </c>
      <c r="B1957" s="1" t="s">
        <v>349</v>
      </c>
      <c r="C1957" s="4">
        <v>1</v>
      </c>
      <c r="D1957" s="8">
        <v>1.18</v>
      </c>
      <c r="E1957" s="4">
        <v>1</v>
      </c>
      <c r="F1957" s="8">
        <v>2.04</v>
      </c>
      <c r="G1957" s="4">
        <v>0</v>
      </c>
      <c r="H1957" s="8">
        <v>0</v>
      </c>
      <c r="I1957" s="4">
        <v>0</v>
      </c>
    </row>
    <row r="1958" spans="1:9" x14ac:dyDescent="0.2">
      <c r="A1958" s="2">
        <v>20</v>
      </c>
      <c r="B1958" s="1" t="s">
        <v>323</v>
      </c>
      <c r="C1958" s="4">
        <v>1</v>
      </c>
      <c r="D1958" s="8">
        <v>1.18</v>
      </c>
      <c r="E1958" s="4">
        <v>1</v>
      </c>
      <c r="F1958" s="8">
        <v>2.04</v>
      </c>
      <c r="G1958" s="4">
        <v>0</v>
      </c>
      <c r="H1958" s="8">
        <v>0</v>
      </c>
      <c r="I1958" s="4">
        <v>0</v>
      </c>
    </row>
    <row r="1959" spans="1:9" x14ac:dyDescent="0.2">
      <c r="A1959" s="2">
        <v>20</v>
      </c>
      <c r="B1959" s="1" t="s">
        <v>327</v>
      </c>
      <c r="C1959" s="4">
        <v>1</v>
      </c>
      <c r="D1959" s="8">
        <v>1.18</v>
      </c>
      <c r="E1959" s="4">
        <v>0</v>
      </c>
      <c r="F1959" s="8">
        <v>0</v>
      </c>
      <c r="G1959" s="4">
        <v>1</v>
      </c>
      <c r="H1959" s="8">
        <v>2.94</v>
      </c>
      <c r="I1959" s="4">
        <v>0</v>
      </c>
    </row>
    <row r="1960" spans="1:9" x14ac:dyDescent="0.2">
      <c r="A1960" s="2">
        <v>20</v>
      </c>
      <c r="B1960" s="1" t="s">
        <v>305</v>
      </c>
      <c r="C1960" s="4">
        <v>1</v>
      </c>
      <c r="D1960" s="8">
        <v>1.18</v>
      </c>
      <c r="E1960" s="4">
        <v>1</v>
      </c>
      <c r="F1960" s="8">
        <v>2.04</v>
      </c>
      <c r="G1960" s="4">
        <v>0</v>
      </c>
      <c r="H1960" s="8">
        <v>0</v>
      </c>
      <c r="I1960" s="4">
        <v>0</v>
      </c>
    </row>
    <row r="1961" spans="1:9" x14ac:dyDescent="0.2">
      <c r="A1961" s="2">
        <v>20</v>
      </c>
      <c r="B1961" s="1" t="s">
        <v>306</v>
      </c>
      <c r="C1961" s="4">
        <v>1</v>
      </c>
      <c r="D1961" s="8">
        <v>1.18</v>
      </c>
      <c r="E1961" s="4">
        <v>1</v>
      </c>
      <c r="F1961" s="8">
        <v>2.04</v>
      </c>
      <c r="G1961" s="4">
        <v>0</v>
      </c>
      <c r="H1961" s="8">
        <v>0</v>
      </c>
      <c r="I1961" s="4">
        <v>0</v>
      </c>
    </row>
    <row r="1962" spans="1:9" x14ac:dyDescent="0.2">
      <c r="A1962" s="2">
        <v>20</v>
      </c>
      <c r="B1962" s="1" t="s">
        <v>348</v>
      </c>
      <c r="C1962" s="4">
        <v>1</v>
      </c>
      <c r="D1962" s="8">
        <v>1.18</v>
      </c>
      <c r="E1962" s="4">
        <v>0</v>
      </c>
      <c r="F1962" s="8">
        <v>0</v>
      </c>
      <c r="G1962" s="4">
        <v>1</v>
      </c>
      <c r="H1962" s="8">
        <v>2.94</v>
      </c>
      <c r="I1962" s="4">
        <v>0</v>
      </c>
    </row>
    <row r="1963" spans="1:9" x14ac:dyDescent="0.2">
      <c r="A1963" s="1"/>
      <c r="C1963" s="4"/>
      <c r="D1963" s="8"/>
      <c r="E1963" s="4"/>
      <c r="F1963" s="8"/>
      <c r="G1963" s="4"/>
      <c r="H1963" s="8"/>
      <c r="I1963" s="4"/>
    </row>
    <row r="1964" spans="1:9" x14ac:dyDescent="0.2">
      <c r="A1964" s="1" t="s">
        <v>73</v>
      </c>
      <c r="C1964" s="4"/>
      <c r="D1964" s="8"/>
      <c r="E1964" s="4"/>
      <c r="F1964" s="8"/>
      <c r="G1964" s="4"/>
      <c r="H1964" s="8"/>
      <c r="I1964" s="4"/>
    </row>
    <row r="1965" spans="1:9" x14ac:dyDescent="0.2">
      <c r="A1965" s="2">
        <v>1</v>
      </c>
      <c r="B1965" s="1" t="s">
        <v>297</v>
      </c>
      <c r="C1965" s="4">
        <v>62</v>
      </c>
      <c r="D1965" s="8">
        <v>11.79</v>
      </c>
      <c r="E1965" s="4">
        <v>46</v>
      </c>
      <c r="F1965" s="8">
        <v>17.23</v>
      </c>
      <c r="G1965" s="4">
        <v>14</v>
      </c>
      <c r="H1965" s="8">
        <v>5.65</v>
      </c>
      <c r="I1965" s="4">
        <v>0</v>
      </c>
    </row>
    <row r="1966" spans="1:9" x14ac:dyDescent="0.2">
      <c r="A1966" s="2">
        <v>2</v>
      </c>
      <c r="B1966" s="1" t="s">
        <v>339</v>
      </c>
      <c r="C1966" s="4">
        <v>30</v>
      </c>
      <c r="D1966" s="8">
        <v>5.7</v>
      </c>
      <c r="E1966" s="4">
        <v>17</v>
      </c>
      <c r="F1966" s="8">
        <v>6.37</v>
      </c>
      <c r="G1966" s="4">
        <v>13</v>
      </c>
      <c r="H1966" s="8">
        <v>5.24</v>
      </c>
      <c r="I1966" s="4">
        <v>0</v>
      </c>
    </row>
    <row r="1967" spans="1:9" x14ac:dyDescent="0.2">
      <c r="A1967" s="2">
        <v>3</v>
      </c>
      <c r="B1967" s="1" t="s">
        <v>301</v>
      </c>
      <c r="C1967" s="4">
        <v>23</v>
      </c>
      <c r="D1967" s="8">
        <v>4.37</v>
      </c>
      <c r="E1967" s="4">
        <v>20</v>
      </c>
      <c r="F1967" s="8">
        <v>7.49</v>
      </c>
      <c r="G1967" s="4">
        <v>3</v>
      </c>
      <c r="H1967" s="8">
        <v>1.21</v>
      </c>
      <c r="I1967" s="4">
        <v>0</v>
      </c>
    </row>
    <row r="1968" spans="1:9" x14ac:dyDescent="0.2">
      <c r="A1968" s="2">
        <v>4</v>
      </c>
      <c r="B1968" s="1" t="s">
        <v>304</v>
      </c>
      <c r="C1968" s="4">
        <v>21</v>
      </c>
      <c r="D1968" s="8">
        <v>3.99</v>
      </c>
      <c r="E1968" s="4">
        <v>19</v>
      </c>
      <c r="F1968" s="8">
        <v>7.12</v>
      </c>
      <c r="G1968" s="4">
        <v>2</v>
      </c>
      <c r="H1968" s="8">
        <v>0.81</v>
      </c>
      <c r="I1968" s="4">
        <v>0</v>
      </c>
    </row>
    <row r="1969" spans="1:9" x14ac:dyDescent="0.2">
      <c r="A1969" s="2">
        <v>5</v>
      </c>
      <c r="B1969" s="1" t="s">
        <v>299</v>
      </c>
      <c r="C1969" s="4">
        <v>20</v>
      </c>
      <c r="D1969" s="8">
        <v>3.8</v>
      </c>
      <c r="E1969" s="4">
        <v>10</v>
      </c>
      <c r="F1969" s="8">
        <v>3.75</v>
      </c>
      <c r="G1969" s="4">
        <v>10</v>
      </c>
      <c r="H1969" s="8">
        <v>4.03</v>
      </c>
      <c r="I1969" s="4">
        <v>0</v>
      </c>
    </row>
    <row r="1970" spans="1:9" x14ac:dyDescent="0.2">
      <c r="A1970" s="2">
        <v>6</v>
      </c>
      <c r="B1970" s="1" t="s">
        <v>300</v>
      </c>
      <c r="C1970" s="4">
        <v>18</v>
      </c>
      <c r="D1970" s="8">
        <v>3.42</v>
      </c>
      <c r="E1970" s="4">
        <v>13</v>
      </c>
      <c r="F1970" s="8">
        <v>4.87</v>
      </c>
      <c r="G1970" s="4">
        <v>5</v>
      </c>
      <c r="H1970" s="8">
        <v>2.02</v>
      </c>
      <c r="I1970" s="4">
        <v>0</v>
      </c>
    </row>
    <row r="1971" spans="1:9" x14ac:dyDescent="0.2">
      <c r="A1971" s="2">
        <v>7</v>
      </c>
      <c r="B1971" s="1" t="s">
        <v>305</v>
      </c>
      <c r="C1971" s="4">
        <v>15</v>
      </c>
      <c r="D1971" s="8">
        <v>2.85</v>
      </c>
      <c r="E1971" s="4">
        <v>11</v>
      </c>
      <c r="F1971" s="8">
        <v>4.12</v>
      </c>
      <c r="G1971" s="4">
        <v>4</v>
      </c>
      <c r="H1971" s="8">
        <v>1.61</v>
      </c>
      <c r="I1971" s="4">
        <v>0</v>
      </c>
    </row>
    <row r="1972" spans="1:9" x14ac:dyDescent="0.2">
      <c r="A1972" s="2">
        <v>8</v>
      </c>
      <c r="B1972" s="1" t="s">
        <v>306</v>
      </c>
      <c r="C1972" s="4">
        <v>12</v>
      </c>
      <c r="D1972" s="8">
        <v>2.2799999999999998</v>
      </c>
      <c r="E1972" s="4">
        <v>12</v>
      </c>
      <c r="F1972" s="8">
        <v>4.49</v>
      </c>
      <c r="G1972" s="4">
        <v>0</v>
      </c>
      <c r="H1972" s="8">
        <v>0</v>
      </c>
      <c r="I1972" s="4">
        <v>0</v>
      </c>
    </row>
    <row r="1973" spans="1:9" x14ac:dyDescent="0.2">
      <c r="A1973" s="2">
        <v>9</v>
      </c>
      <c r="B1973" s="1" t="s">
        <v>302</v>
      </c>
      <c r="C1973" s="4">
        <v>11</v>
      </c>
      <c r="D1973" s="8">
        <v>2.09</v>
      </c>
      <c r="E1973" s="4">
        <v>9</v>
      </c>
      <c r="F1973" s="8">
        <v>3.37</v>
      </c>
      <c r="G1973" s="4">
        <v>2</v>
      </c>
      <c r="H1973" s="8">
        <v>0.81</v>
      </c>
      <c r="I1973" s="4">
        <v>0</v>
      </c>
    </row>
    <row r="1974" spans="1:9" x14ac:dyDescent="0.2">
      <c r="A1974" s="2">
        <v>10</v>
      </c>
      <c r="B1974" s="1" t="s">
        <v>289</v>
      </c>
      <c r="C1974" s="4">
        <v>9</v>
      </c>
      <c r="D1974" s="8">
        <v>1.71</v>
      </c>
      <c r="E1974" s="4">
        <v>0</v>
      </c>
      <c r="F1974" s="8">
        <v>0</v>
      </c>
      <c r="G1974" s="4">
        <v>9</v>
      </c>
      <c r="H1974" s="8">
        <v>3.63</v>
      </c>
      <c r="I1974" s="4">
        <v>0</v>
      </c>
    </row>
    <row r="1975" spans="1:9" x14ac:dyDescent="0.2">
      <c r="A1975" s="2">
        <v>10</v>
      </c>
      <c r="B1975" s="1" t="s">
        <v>422</v>
      </c>
      <c r="C1975" s="4">
        <v>9</v>
      </c>
      <c r="D1975" s="8">
        <v>1.71</v>
      </c>
      <c r="E1975" s="4">
        <v>7</v>
      </c>
      <c r="F1975" s="8">
        <v>2.62</v>
      </c>
      <c r="G1975" s="4">
        <v>2</v>
      </c>
      <c r="H1975" s="8">
        <v>0.81</v>
      </c>
      <c r="I1975" s="4">
        <v>0</v>
      </c>
    </row>
    <row r="1976" spans="1:9" x14ac:dyDescent="0.2">
      <c r="A1976" s="2">
        <v>10</v>
      </c>
      <c r="B1976" s="1" t="s">
        <v>307</v>
      </c>
      <c r="C1976" s="4">
        <v>9</v>
      </c>
      <c r="D1976" s="8">
        <v>1.71</v>
      </c>
      <c r="E1976" s="4">
        <v>4</v>
      </c>
      <c r="F1976" s="8">
        <v>1.5</v>
      </c>
      <c r="G1976" s="4">
        <v>5</v>
      </c>
      <c r="H1976" s="8">
        <v>2.02</v>
      </c>
      <c r="I1976" s="4">
        <v>0</v>
      </c>
    </row>
    <row r="1977" spans="1:9" x14ac:dyDescent="0.2">
      <c r="A1977" s="2">
        <v>13</v>
      </c>
      <c r="B1977" s="1" t="s">
        <v>310</v>
      </c>
      <c r="C1977" s="4">
        <v>8</v>
      </c>
      <c r="D1977" s="8">
        <v>1.52</v>
      </c>
      <c r="E1977" s="4">
        <v>0</v>
      </c>
      <c r="F1977" s="8">
        <v>0</v>
      </c>
      <c r="G1977" s="4">
        <v>8</v>
      </c>
      <c r="H1977" s="8">
        <v>3.23</v>
      </c>
      <c r="I1977" s="4">
        <v>0</v>
      </c>
    </row>
    <row r="1978" spans="1:9" x14ac:dyDescent="0.2">
      <c r="A1978" s="2">
        <v>13</v>
      </c>
      <c r="B1978" s="1" t="s">
        <v>334</v>
      </c>
      <c r="C1978" s="4">
        <v>8</v>
      </c>
      <c r="D1978" s="8">
        <v>1.52</v>
      </c>
      <c r="E1978" s="4">
        <v>6</v>
      </c>
      <c r="F1978" s="8">
        <v>2.25</v>
      </c>
      <c r="G1978" s="4">
        <v>2</v>
      </c>
      <c r="H1978" s="8">
        <v>0.81</v>
      </c>
      <c r="I1978" s="4">
        <v>0</v>
      </c>
    </row>
    <row r="1979" spans="1:9" x14ac:dyDescent="0.2">
      <c r="A1979" s="2">
        <v>13</v>
      </c>
      <c r="B1979" s="1" t="s">
        <v>323</v>
      </c>
      <c r="C1979" s="4">
        <v>8</v>
      </c>
      <c r="D1979" s="8">
        <v>1.52</v>
      </c>
      <c r="E1979" s="4">
        <v>2</v>
      </c>
      <c r="F1979" s="8">
        <v>0.75</v>
      </c>
      <c r="G1979" s="4">
        <v>6</v>
      </c>
      <c r="H1979" s="8">
        <v>2.42</v>
      </c>
      <c r="I1979" s="4">
        <v>0</v>
      </c>
    </row>
    <row r="1980" spans="1:9" x14ac:dyDescent="0.2">
      <c r="A1980" s="2">
        <v>13</v>
      </c>
      <c r="B1980" s="1" t="s">
        <v>303</v>
      </c>
      <c r="C1980" s="4">
        <v>8</v>
      </c>
      <c r="D1980" s="8">
        <v>1.52</v>
      </c>
      <c r="E1980" s="4">
        <v>8</v>
      </c>
      <c r="F1980" s="8">
        <v>3</v>
      </c>
      <c r="G1980" s="4">
        <v>0</v>
      </c>
      <c r="H1980" s="8">
        <v>0</v>
      </c>
      <c r="I1980" s="4">
        <v>0</v>
      </c>
    </row>
    <row r="1981" spans="1:9" x14ac:dyDescent="0.2">
      <c r="A1981" s="2">
        <v>13</v>
      </c>
      <c r="B1981" s="1" t="s">
        <v>347</v>
      </c>
      <c r="C1981" s="4">
        <v>8</v>
      </c>
      <c r="D1981" s="8">
        <v>1.52</v>
      </c>
      <c r="E1981" s="4">
        <v>0</v>
      </c>
      <c r="F1981" s="8">
        <v>0</v>
      </c>
      <c r="G1981" s="4">
        <v>8</v>
      </c>
      <c r="H1981" s="8">
        <v>3.23</v>
      </c>
      <c r="I1981" s="4">
        <v>0</v>
      </c>
    </row>
    <row r="1982" spans="1:9" x14ac:dyDescent="0.2">
      <c r="A1982" s="2">
        <v>18</v>
      </c>
      <c r="B1982" s="1" t="s">
        <v>311</v>
      </c>
      <c r="C1982" s="4">
        <v>7</v>
      </c>
      <c r="D1982" s="8">
        <v>1.33</v>
      </c>
      <c r="E1982" s="4">
        <v>0</v>
      </c>
      <c r="F1982" s="8">
        <v>0</v>
      </c>
      <c r="G1982" s="4">
        <v>7</v>
      </c>
      <c r="H1982" s="8">
        <v>2.82</v>
      </c>
      <c r="I1982" s="4">
        <v>0</v>
      </c>
    </row>
    <row r="1983" spans="1:9" x14ac:dyDescent="0.2">
      <c r="A1983" s="2">
        <v>19</v>
      </c>
      <c r="B1983" s="1" t="s">
        <v>333</v>
      </c>
      <c r="C1983" s="4">
        <v>6</v>
      </c>
      <c r="D1983" s="8">
        <v>1.1399999999999999</v>
      </c>
      <c r="E1983" s="4">
        <v>3</v>
      </c>
      <c r="F1983" s="8">
        <v>1.1200000000000001</v>
      </c>
      <c r="G1983" s="4">
        <v>3</v>
      </c>
      <c r="H1983" s="8">
        <v>1.21</v>
      </c>
      <c r="I1983" s="4">
        <v>0</v>
      </c>
    </row>
    <row r="1984" spans="1:9" x14ac:dyDescent="0.2">
      <c r="A1984" s="2">
        <v>19</v>
      </c>
      <c r="B1984" s="1" t="s">
        <v>329</v>
      </c>
      <c r="C1984" s="4">
        <v>6</v>
      </c>
      <c r="D1984" s="8">
        <v>1.1399999999999999</v>
      </c>
      <c r="E1984" s="4">
        <v>4</v>
      </c>
      <c r="F1984" s="8">
        <v>1.5</v>
      </c>
      <c r="G1984" s="4">
        <v>2</v>
      </c>
      <c r="H1984" s="8">
        <v>0.81</v>
      </c>
      <c r="I1984" s="4">
        <v>0</v>
      </c>
    </row>
    <row r="1985" spans="1:9" x14ac:dyDescent="0.2">
      <c r="A1985" s="2">
        <v>19</v>
      </c>
      <c r="B1985" s="1" t="s">
        <v>295</v>
      </c>
      <c r="C1985" s="4">
        <v>6</v>
      </c>
      <c r="D1985" s="8">
        <v>1.1399999999999999</v>
      </c>
      <c r="E1985" s="4">
        <v>3</v>
      </c>
      <c r="F1985" s="8">
        <v>1.1200000000000001</v>
      </c>
      <c r="G1985" s="4">
        <v>3</v>
      </c>
      <c r="H1985" s="8">
        <v>1.21</v>
      </c>
      <c r="I1985" s="4">
        <v>0</v>
      </c>
    </row>
    <row r="1986" spans="1:9" x14ac:dyDescent="0.2">
      <c r="A1986" s="2">
        <v>19</v>
      </c>
      <c r="B1986" s="1" t="s">
        <v>296</v>
      </c>
      <c r="C1986" s="4">
        <v>6</v>
      </c>
      <c r="D1986" s="8">
        <v>1.1399999999999999</v>
      </c>
      <c r="E1986" s="4">
        <v>3</v>
      </c>
      <c r="F1986" s="8">
        <v>1.1200000000000001</v>
      </c>
      <c r="G1986" s="4">
        <v>3</v>
      </c>
      <c r="H1986" s="8">
        <v>1.21</v>
      </c>
      <c r="I1986" s="4">
        <v>0</v>
      </c>
    </row>
    <row r="1987" spans="1:9" x14ac:dyDescent="0.2">
      <c r="A1987" s="2">
        <v>19</v>
      </c>
      <c r="B1987" s="1" t="s">
        <v>352</v>
      </c>
      <c r="C1987" s="4">
        <v>6</v>
      </c>
      <c r="D1987" s="8">
        <v>1.1399999999999999</v>
      </c>
      <c r="E1987" s="4">
        <v>3</v>
      </c>
      <c r="F1987" s="8">
        <v>1.1200000000000001</v>
      </c>
      <c r="G1987" s="4">
        <v>3</v>
      </c>
      <c r="H1987" s="8">
        <v>1.21</v>
      </c>
      <c r="I1987" s="4">
        <v>0</v>
      </c>
    </row>
    <row r="1988" spans="1:9" x14ac:dyDescent="0.2">
      <c r="A1988" s="2">
        <v>19</v>
      </c>
      <c r="B1988" s="1" t="s">
        <v>318</v>
      </c>
      <c r="C1988" s="4">
        <v>6</v>
      </c>
      <c r="D1988" s="8">
        <v>1.1399999999999999</v>
      </c>
      <c r="E1988" s="4">
        <v>0</v>
      </c>
      <c r="F1988" s="8">
        <v>0</v>
      </c>
      <c r="G1988" s="4">
        <v>6</v>
      </c>
      <c r="H1988" s="8">
        <v>2.42</v>
      </c>
      <c r="I1988" s="4">
        <v>0</v>
      </c>
    </row>
    <row r="1989" spans="1:9" x14ac:dyDescent="0.2">
      <c r="A1989" s="1"/>
      <c r="C1989" s="4"/>
      <c r="D1989" s="8"/>
      <c r="E1989" s="4"/>
      <c r="F1989" s="8"/>
      <c r="G1989" s="4"/>
      <c r="H1989" s="8"/>
      <c r="I1989" s="4"/>
    </row>
    <row r="1990" spans="1:9" x14ac:dyDescent="0.2">
      <c r="A1990" s="1" t="s">
        <v>74</v>
      </c>
      <c r="C1990" s="4"/>
      <c r="D1990" s="8"/>
      <c r="E1990" s="4"/>
      <c r="F1990" s="8"/>
      <c r="G1990" s="4"/>
      <c r="H1990" s="8"/>
      <c r="I1990" s="4"/>
    </row>
    <row r="1991" spans="1:9" x14ac:dyDescent="0.2">
      <c r="A1991" s="2">
        <v>1</v>
      </c>
      <c r="B1991" s="1" t="s">
        <v>339</v>
      </c>
      <c r="C1991" s="4">
        <v>6</v>
      </c>
      <c r="D1991" s="8">
        <v>5.17</v>
      </c>
      <c r="E1991" s="4">
        <v>3</v>
      </c>
      <c r="F1991" s="8">
        <v>8.33</v>
      </c>
      <c r="G1991" s="4">
        <v>3</v>
      </c>
      <c r="H1991" s="8">
        <v>4.76</v>
      </c>
      <c r="I1991" s="4">
        <v>0</v>
      </c>
    </row>
    <row r="1992" spans="1:9" x14ac:dyDescent="0.2">
      <c r="A1992" s="2">
        <v>2</v>
      </c>
      <c r="B1992" s="1" t="s">
        <v>330</v>
      </c>
      <c r="C1992" s="4">
        <v>5</v>
      </c>
      <c r="D1992" s="8">
        <v>4.3099999999999996</v>
      </c>
      <c r="E1992" s="4">
        <v>0</v>
      </c>
      <c r="F1992" s="8">
        <v>0</v>
      </c>
      <c r="G1992" s="4">
        <v>5</v>
      </c>
      <c r="H1992" s="8">
        <v>7.94</v>
      </c>
      <c r="I1992" s="4">
        <v>0</v>
      </c>
    </row>
    <row r="1993" spans="1:9" x14ac:dyDescent="0.2">
      <c r="A1993" s="2">
        <v>2</v>
      </c>
      <c r="B1993" s="1" t="s">
        <v>297</v>
      </c>
      <c r="C1993" s="4">
        <v>5</v>
      </c>
      <c r="D1993" s="8">
        <v>4.3099999999999996</v>
      </c>
      <c r="E1993" s="4">
        <v>3</v>
      </c>
      <c r="F1993" s="8">
        <v>8.33</v>
      </c>
      <c r="G1993" s="4">
        <v>1</v>
      </c>
      <c r="H1993" s="8">
        <v>1.59</v>
      </c>
      <c r="I1993" s="4">
        <v>0</v>
      </c>
    </row>
    <row r="1994" spans="1:9" x14ac:dyDescent="0.2">
      <c r="A1994" s="2">
        <v>2</v>
      </c>
      <c r="B1994" s="1" t="s">
        <v>405</v>
      </c>
      <c r="C1994" s="4">
        <v>5</v>
      </c>
      <c r="D1994" s="8">
        <v>4.3099999999999996</v>
      </c>
      <c r="E1994" s="4">
        <v>0</v>
      </c>
      <c r="F1994" s="8">
        <v>0</v>
      </c>
      <c r="G1994" s="4">
        <v>5</v>
      </c>
      <c r="H1994" s="8">
        <v>7.94</v>
      </c>
      <c r="I1994" s="4">
        <v>0</v>
      </c>
    </row>
    <row r="1995" spans="1:9" x14ac:dyDescent="0.2">
      <c r="A1995" s="2">
        <v>2</v>
      </c>
      <c r="B1995" s="1" t="s">
        <v>345</v>
      </c>
      <c r="C1995" s="4">
        <v>5</v>
      </c>
      <c r="D1995" s="8">
        <v>4.3099999999999996</v>
      </c>
      <c r="E1995" s="4">
        <v>0</v>
      </c>
      <c r="F1995" s="8">
        <v>0</v>
      </c>
      <c r="G1995" s="4">
        <v>0</v>
      </c>
      <c r="H1995" s="8">
        <v>0</v>
      </c>
      <c r="I1995" s="4">
        <v>0</v>
      </c>
    </row>
    <row r="1996" spans="1:9" x14ac:dyDescent="0.2">
      <c r="A1996" s="2">
        <v>6</v>
      </c>
      <c r="B1996" s="1" t="s">
        <v>289</v>
      </c>
      <c r="C1996" s="4">
        <v>4</v>
      </c>
      <c r="D1996" s="8">
        <v>3.45</v>
      </c>
      <c r="E1996" s="4">
        <v>0</v>
      </c>
      <c r="F1996" s="8">
        <v>0</v>
      </c>
      <c r="G1996" s="4">
        <v>4</v>
      </c>
      <c r="H1996" s="8">
        <v>6.35</v>
      </c>
      <c r="I1996" s="4">
        <v>0</v>
      </c>
    </row>
    <row r="1997" spans="1:9" x14ac:dyDescent="0.2">
      <c r="A1997" s="2">
        <v>6</v>
      </c>
      <c r="B1997" s="1" t="s">
        <v>303</v>
      </c>
      <c r="C1997" s="4">
        <v>4</v>
      </c>
      <c r="D1997" s="8">
        <v>3.45</v>
      </c>
      <c r="E1997" s="4">
        <v>4</v>
      </c>
      <c r="F1997" s="8">
        <v>11.11</v>
      </c>
      <c r="G1997" s="4">
        <v>0</v>
      </c>
      <c r="H1997" s="8">
        <v>0</v>
      </c>
      <c r="I1997" s="4">
        <v>0</v>
      </c>
    </row>
    <row r="1998" spans="1:9" x14ac:dyDescent="0.2">
      <c r="A1998" s="2">
        <v>6</v>
      </c>
      <c r="B1998" s="1" t="s">
        <v>304</v>
      </c>
      <c r="C1998" s="4">
        <v>4</v>
      </c>
      <c r="D1998" s="8">
        <v>3.45</v>
      </c>
      <c r="E1998" s="4">
        <v>4</v>
      </c>
      <c r="F1998" s="8">
        <v>11.11</v>
      </c>
      <c r="G1998" s="4">
        <v>0</v>
      </c>
      <c r="H1998" s="8">
        <v>0</v>
      </c>
      <c r="I1998" s="4">
        <v>0</v>
      </c>
    </row>
    <row r="1999" spans="1:9" x14ac:dyDescent="0.2">
      <c r="A1999" s="2">
        <v>9</v>
      </c>
      <c r="B1999" s="1" t="s">
        <v>333</v>
      </c>
      <c r="C1999" s="4">
        <v>3</v>
      </c>
      <c r="D1999" s="8">
        <v>2.59</v>
      </c>
      <c r="E1999" s="4">
        <v>1</v>
      </c>
      <c r="F1999" s="8">
        <v>2.78</v>
      </c>
      <c r="G1999" s="4">
        <v>2</v>
      </c>
      <c r="H1999" s="8">
        <v>3.17</v>
      </c>
      <c r="I1999" s="4">
        <v>0</v>
      </c>
    </row>
    <row r="2000" spans="1:9" x14ac:dyDescent="0.2">
      <c r="A2000" s="2">
        <v>9</v>
      </c>
      <c r="B2000" s="1" t="s">
        <v>291</v>
      </c>
      <c r="C2000" s="4">
        <v>3</v>
      </c>
      <c r="D2000" s="8">
        <v>2.59</v>
      </c>
      <c r="E2000" s="4">
        <v>1</v>
      </c>
      <c r="F2000" s="8">
        <v>2.78</v>
      </c>
      <c r="G2000" s="4">
        <v>2</v>
      </c>
      <c r="H2000" s="8">
        <v>3.17</v>
      </c>
      <c r="I2000" s="4">
        <v>0</v>
      </c>
    </row>
    <row r="2001" spans="1:9" x14ac:dyDescent="0.2">
      <c r="A2001" s="2">
        <v>9</v>
      </c>
      <c r="B2001" s="1" t="s">
        <v>434</v>
      </c>
      <c r="C2001" s="4">
        <v>3</v>
      </c>
      <c r="D2001" s="8">
        <v>2.59</v>
      </c>
      <c r="E2001" s="4">
        <v>0</v>
      </c>
      <c r="F2001" s="8">
        <v>0</v>
      </c>
      <c r="G2001" s="4">
        <v>3</v>
      </c>
      <c r="H2001" s="8">
        <v>4.76</v>
      </c>
      <c r="I2001" s="4">
        <v>0</v>
      </c>
    </row>
    <row r="2002" spans="1:9" x14ac:dyDescent="0.2">
      <c r="A2002" s="2">
        <v>9</v>
      </c>
      <c r="B2002" s="1" t="s">
        <v>341</v>
      </c>
      <c r="C2002" s="4">
        <v>3</v>
      </c>
      <c r="D2002" s="8">
        <v>2.59</v>
      </c>
      <c r="E2002" s="4">
        <v>0</v>
      </c>
      <c r="F2002" s="8">
        <v>0</v>
      </c>
      <c r="G2002" s="4">
        <v>0</v>
      </c>
      <c r="H2002" s="8">
        <v>0</v>
      </c>
      <c r="I2002" s="4">
        <v>0</v>
      </c>
    </row>
    <row r="2003" spans="1:9" x14ac:dyDescent="0.2">
      <c r="A2003" s="2">
        <v>9</v>
      </c>
      <c r="B2003" s="1" t="s">
        <v>331</v>
      </c>
      <c r="C2003" s="4">
        <v>3</v>
      </c>
      <c r="D2003" s="8">
        <v>2.59</v>
      </c>
      <c r="E2003" s="4">
        <v>0</v>
      </c>
      <c r="F2003" s="8">
        <v>0</v>
      </c>
      <c r="G2003" s="4">
        <v>0</v>
      </c>
      <c r="H2003" s="8">
        <v>0</v>
      </c>
      <c r="I2003" s="4">
        <v>0</v>
      </c>
    </row>
    <row r="2004" spans="1:9" x14ac:dyDescent="0.2">
      <c r="A2004" s="2">
        <v>9</v>
      </c>
      <c r="B2004" s="1" t="s">
        <v>307</v>
      </c>
      <c r="C2004" s="4">
        <v>3</v>
      </c>
      <c r="D2004" s="8">
        <v>2.59</v>
      </c>
      <c r="E2004" s="4">
        <v>2</v>
      </c>
      <c r="F2004" s="8">
        <v>5.56</v>
      </c>
      <c r="G2004" s="4">
        <v>1</v>
      </c>
      <c r="H2004" s="8">
        <v>1.59</v>
      </c>
      <c r="I2004" s="4">
        <v>0</v>
      </c>
    </row>
    <row r="2005" spans="1:9" x14ac:dyDescent="0.2">
      <c r="A2005" s="2">
        <v>9</v>
      </c>
      <c r="B2005" s="1" t="s">
        <v>371</v>
      </c>
      <c r="C2005" s="4">
        <v>3</v>
      </c>
      <c r="D2005" s="8">
        <v>2.59</v>
      </c>
      <c r="E2005" s="4">
        <v>2</v>
      </c>
      <c r="F2005" s="8">
        <v>5.56</v>
      </c>
      <c r="G2005" s="4">
        <v>1</v>
      </c>
      <c r="H2005" s="8">
        <v>1.59</v>
      </c>
      <c r="I2005" s="4">
        <v>0</v>
      </c>
    </row>
    <row r="2006" spans="1:9" x14ac:dyDescent="0.2">
      <c r="A2006" s="2">
        <v>16</v>
      </c>
      <c r="B2006" s="1" t="s">
        <v>288</v>
      </c>
      <c r="C2006" s="4">
        <v>2</v>
      </c>
      <c r="D2006" s="8">
        <v>1.72</v>
      </c>
      <c r="E2006" s="4">
        <v>0</v>
      </c>
      <c r="F2006" s="8">
        <v>0</v>
      </c>
      <c r="G2006" s="4">
        <v>2</v>
      </c>
      <c r="H2006" s="8">
        <v>3.17</v>
      </c>
      <c r="I2006" s="4">
        <v>0</v>
      </c>
    </row>
    <row r="2007" spans="1:9" x14ac:dyDescent="0.2">
      <c r="A2007" s="2">
        <v>16</v>
      </c>
      <c r="B2007" s="1" t="s">
        <v>343</v>
      </c>
      <c r="C2007" s="4">
        <v>2</v>
      </c>
      <c r="D2007" s="8">
        <v>1.72</v>
      </c>
      <c r="E2007" s="4">
        <v>0</v>
      </c>
      <c r="F2007" s="8">
        <v>0</v>
      </c>
      <c r="G2007" s="4">
        <v>2</v>
      </c>
      <c r="H2007" s="8">
        <v>3.17</v>
      </c>
      <c r="I2007" s="4">
        <v>0</v>
      </c>
    </row>
    <row r="2008" spans="1:9" x14ac:dyDescent="0.2">
      <c r="A2008" s="2">
        <v>16</v>
      </c>
      <c r="B2008" s="1" t="s">
        <v>435</v>
      </c>
      <c r="C2008" s="4">
        <v>2</v>
      </c>
      <c r="D2008" s="8">
        <v>1.72</v>
      </c>
      <c r="E2008" s="4">
        <v>1</v>
      </c>
      <c r="F2008" s="8">
        <v>2.78</v>
      </c>
      <c r="G2008" s="4">
        <v>1</v>
      </c>
      <c r="H2008" s="8">
        <v>1.59</v>
      </c>
      <c r="I2008" s="4">
        <v>0</v>
      </c>
    </row>
    <row r="2009" spans="1:9" x14ac:dyDescent="0.2">
      <c r="A2009" s="2">
        <v>16</v>
      </c>
      <c r="B2009" s="1" t="s">
        <v>350</v>
      </c>
      <c r="C2009" s="4">
        <v>2</v>
      </c>
      <c r="D2009" s="8">
        <v>1.72</v>
      </c>
      <c r="E2009" s="4">
        <v>0</v>
      </c>
      <c r="F2009" s="8">
        <v>0</v>
      </c>
      <c r="G2009" s="4">
        <v>1</v>
      </c>
      <c r="H2009" s="8">
        <v>1.59</v>
      </c>
      <c r="I2009" s="4">
        <v>1</v>
      </c>
    </row>
    <row r="2010" spans="1:9" x14ac:dyDescent="0.2">
      <c r="A2010" s="2">
        <v>16</v>
      </c>
      <c r="B2010" s="1" t="s">
        <v>324</v>
      </c>
      <c r="C2010" s="4">
        <v>2</v>
      </c>
      <c r="D2010" s="8">
        <v>1.72</v>
      </c>
      <c r="E2010" s="4">
        <v>0</v>
      </c>
      <c r="F2010" s="8">
        <v>0</v>
      </c>
      <c r="G2010" s="4">
        <v>2</v>
      </c>
      <c r="H2010" s="8">
        <v>3.17</v>
      </c>
      <c r="I2010" s="4">
        <v>0</v>
      </c>
    </row>
    <row r="2011" spans="1:9" x14ac:dyDescent="0.2">
      <c r="A2011" s="2">
        <v>16</v>
      </c>
      <c r="B2011" s="1" t="s">
        <v>309</v>
      </c>
      <c r="C2011" s="4">
        <v>2</v>
      </c>
      <c r="D2011" s="8">
        <v>1.72</v>
      </c>
      <c r="E2011" s="4">
        <v>0</v>
      </c>
      <c r="F2011" s="8">
        <v>0</v>
      </c>
      <c r="G2011" s="4">
        <v>2</v>
      </c>
      <c r="H2011" s="8">
        <v>3.17</v>
      </c>
      <c r="I2011" s="4">
        <v>0</v>
      </c>
    </row>
    <row r="2012" spans="1:9" x14ac:dyDescent="0.2">
      <c r="A2012" s="2">
        <v>16</v>
      </c>
      <c r="B2012" s="1" t="s">
        <v>332</v>
      </c>
      <c r="C2012" s="4">
        <v>2</v>
      </c>
      <c r="D2012" s="8">
        <v>1.72</v>
      </c>
      <c r="E2012" s="4">
        <v>2</v>
      </c>
      <c r="F2012" s="8">
        <v>5.56</v>
      </c>
      <c r="G2012" s="4">
        <v>0</v>
      </c>
      <c r="H2012" s="8">
        <v>0</v>
      </c>
      <c r="I2012" s="4">
        <v>0</v>
      </c>
    </row>
    <row r="2013" spans="1:9" x14ac:dyDescent="0.2">
      <c r="A2013" s="2">
        <v>16</v>
      </c>
      <c r="B2013" s="1" t="s">
        <v>372</v>
      </c>
      <c r="C2013" s="4">
        <v>2</v>
      </c>
      <c r="D2013" s="8">
        <v>1.72</v>
      </c>
      <c r="E2013" s="4">
        <v>0</v>
      </c>
      <c r="F2013" s="8">
        <v>0</v>
      </c>
      <c r="G2013" s="4">
        <v>2</v>
      </c>
      <c r="H2013" s="8">
        <v>3.17</v>
      </c>
      <c r="I2013" s="4">
        <v>0</v>
      </c>
    </row>
    <row r="2014" spans="1:9" x14ac:dyDescent="0.2">
      <c r="A2014" s="2">
        <v>16</v>
      </c>
      <c r="B2014" s="1" t="s">
        <v>302</v>
      </c>
      <c r="C2014" s="4">
        <v>2</v>
      </c>
      <c r="D2014" s="8">
        <v>1.72</v>
      </c>
      <c r="E2014" s="4">
        <v>2</v>
      </c>
      <c r="F2014" s="8">
        <v>5.56</v>
      </c>
      <c r="G2014" s="4">
        <v>0</v>
      </c>
      <c r="H2014" s="8">
        <v>0</v>
      </c>
      <c r="I2014" s="4">
        <v>0</v>
      </c>
    </row>
    <row r="2015" spans="1:9" x14ac:dyDescent="0.2">
      <c r="A2015" s="2">
        <v>16</v>
      </c>
      <c r="B2015" s="1" t="s">
        <v>323</v>
      </c>
      <c r="C2015" s="4">
        <v>2</v>
      </c>
      <c r="D2015" s="8">
        <v>1.72</v>
      </c>
      <c r="E2015" s="4">
        <v>0</v>
      </c>
      <c r="F2015" s="8">
        <v>0</v>
      </c>
      <c r="G2015" s="4">
        <v>2</v>
      </c>
      <c r="H2015" s="8">
        <v>3.17</v>
      </c>
      <c r="I2015" s="4">
        <v>0</v>
      </c>
    </row>
    <row r="2016" spans="1:9" x14ac:dyDescent="0.2">
      <c r="A2016" s="2">
        <v>16</v>
      </c>
      <c r="B2016" s="1" t="s">
        <v>340</v>
      </c>
      <c r="C2016" s="4">
        <v>2</v>
      </c>
      <c r="D2016" s="8">
        <v>1.72</v>
      </c>
      <c r="E2016" s="4">
        <v>0</v>
      </c>
      <c r="F2016" s="8">
        <v>0</v>
      </c>
      <c r="G2016" s="4">
        <v>0</v>
      </c>
      <c r="H2016" s="8">
        <v>0</v>
      </c>
      <c r="I2016" s="4">
        <v>0</v>
      </c>
    </row>
    <row r="2017" spans="1:9" x14ac:dyDescent="0.2">
      <c r="A2017" s="2">
        <v>16</v>
      </c>
      <c r="B2017" s="1" t="s">
        <v>312</v>
      </c>
      <c r="C2017" s="4">
        <v>2</v>
      </c>
      <c r="D2017" s="8">
        <v>1.72</v>
      </c>
      <c r="E2017" s="4">
        <v>1</v>
      </c>
      <c r="F2017" s="8">
        <v>2.78</v>
      </c>
      <c r="G2017" s="4">
        <v>1</v>
      </c>
      <c r="H2017" s="8">
        <v>1.59</v>
      </c>
      <c r="I2017" s="4">
        <v>0</v>
      </c>
    </row>
    <row r="2018" spans="1:9" x14ac:dyDescent="0.2">
      <c r="A2018" s="1"/>
      <c r="C2018" s="4"/>
      <c r="D2018" s="8"/>
      <c r="E2018" s="4"/>
      <c r="F2018" s="8"/>
      <c r="G2018" s="4"/>
      <c r="H2018" s="8"/>
      <c r="I2018" s="4"/>
    </row>
    <row r="2019" spans="1:9" x14ac:dyDescent="0.2">
      <c r="A2019" s="1" t="s">
        <v>75</v>
      </c>
      <c r="C2019" s="4"/>
      <c r="D2019" s="8"/>
      <c r="E2019" s="4"/>
      <c r="F2019" s="8"/>
      <c r="G2019" s="4"/>
      <c r="H2019" s="8"/>
      <c r="I2019" s="4"/>
    </row>
    <row r="2020" spans="1:9" x14ac:dyDescent="0.2">
      <c r="A2020" s="2">
        <v>1</v>
      </c>
      <c r="B2020" s="1" t="s">
        <v>297</v>
      </c>
      <c r="C2020" s="4">
        <v>42</v>
      </c>
      <c r="D2020" s="8">
        <v>9.23</v>
      </c>
      <c r="E2020" s="4">
        <v>33</v>
      </c>
      <c r="F2020" s="8">
        <v>12.45</v>
      </c>
      <c r="G2020" s="4">
        <v>9</v>
      </c>
      <c r="H2020" s="8">
        <v>5</v>
      </c>
      <c r="I2020" s="4">
        <v>0</v>
      </c>
    </row>
    <row r="2021" spans="1:9" x14ac:dyDescent="0.2">
      <c r="A2021" s="2">
        <v>1</v>
      </c>
      <c r="B2021" s="1" t="s">
        <v>301</v>
      </c>
      <c r="C2021" s="4">
        <v>42</v>
      </c>
      <c r="D2021" s="8">
        <v>9.23</v>
      </c>
      <c r="E2021" s="4">
        <v>37</v>
      </c>
      <c r="F2021" s="8">
        <v>13.96</v>
      </c>
      <c r="G2021" s="4">
        <v>5</v>
      </c>
      <c r="H2021" s="8">
        <v>2.78</v>
      </c>
      <c r="I2021" s="4">
        <v>0</v>
      </c>
    </row>
    <row r="2022" spans="1:9" x14ac:dyDescent="0.2">
      <c r="A2022" s="2">
        <v>3</v>
      </c>
      <c r="B2022" s="1" t="s">
        <v>304</v>
      </c>
      <c r="C2022" s="4">
        <v>26</v>
      </c>
      <c r="D2022" s="8">
        <v>5.71</v>
      </c>
      <c r="E2022" s="4">
        <v>25</v>
      </c>
      <c r="F2022" s="8">
        <v>9.43</v>
      </c>
      <c r="G2022" s="4">
        <v>1</v>
      </c>
      <c r="H2022" s="8">
        <v>0.56000000000000005</v>
      </c>
      <c r="I2022" s="4">
        <v>0</v>
      </c>
    </row>
    <row r="2023" spans="1:9" x14ac:dyDescent="0.2">
      <c r="A2023" s="2">
        <v>4</v>
      </c>
      <c r="B2023" s="1" t="s">
        <v>303</v>
      </c>
      <c r="C2023" s="4">
        <v>19</v>
      </c>
      <c r="D2023" s="8">
        <v>4.18</v>
      </c>
      <c r="E2023" s="4">
        <v>19</v>
      </c>
      <c r="F2023" s="8">
        <v>7.17</v>
      </c>
      <c r="G2023" s="4">
        <v>0</v>
      </c>
      <c r="H2023" s="8">
        <v>0</v>
      </c>
      <c r="I2023" s="4">
        <v>0</v>
      </c>
    </row>
    <row r="2024" spans="1:9" x14ac:dyDescent="0.2">
      <c r="A2024" s="2">
        <v>5</v>
      </c>
      <c r="B2024" s="1" t="s">
        <v>306</v>
      </c>
      <c r="C2024" s="4">
        <v>12</v>
      </c>
      <c r="D2024" s="8">
        <v>2.64</v>
      </c>
      <c r="E2024" s="4">
        <v>12</v>
      </c>
      <c r="F2024" s="8">
        <v>4.53</v>
      </c>
      <c r="G2024" s="4">
        <v>0</v>
      </c>
      <c r="H2024" s="8">
        <v>0</v>
      </c>
      <c r="I2024" s="4">
        <v>0</v>
      </c>
    </row>
    <row r="2025" spans="1:9" x14ac:dyDescent="0.2">
      <c r="A2025" s="2">
        <v>6</v>
      </c>
      <c r="B2025" s="1" t="s">
        <v>330</v>
      </c>
      <c r="C2025" s="4">
        <v>10</v>
      </c>
      <c r="D2025" s="8">
        <v>2.2000000000000002</v>
      </c>
      <c r="E2025" s="4">
        <v>1</v>
      </c>
      <c r="F2025" s="8">
        <v>0.38</v>
      </c>
      <c r="G2025" s="4">
        <v>9</v>
      </c>
      <c r="H2025" s="8">
        <v>5</v>
      </c>
      <c r="I2025" s="4">
        <v>0</v>
      </c>
    </row>
    <row r="2026" spans="1:9" x14ac:dyDescent="0.2">
      <c r="A2026" s="2">
        <v>6</v>
      </c>
      <c r="B2026" s="1" t="s">
        <v>325</v>
      </c>
      <c r="C2026" s="4">
        <v>10</v>
      </c>
      <c r="D2026" s="8">
        <v>2.2000000000000002</v>
      </c>
      <c r="E2026" s="4">
        <v>0</v>
      </c>
      <c r="F2026" s="8">
        <v>0</v>
      </c>
      <c r="G2026" s="4">
        <v>10</v>
      </c>
      <c r="H2026" s="8">
        <v>5.56</v>
      </c>
      <c r="I2026" s="4">
        <v>0</v>
      </c>
    </row>
    <row r="2027" spans="1:9" x14ac:dyDescent="0.2">
      <c r="A2027" s="2">
        <v>8</v>
      </c>
      <c r="B2027" s="1" t="s">
        <v>333</v>
      </c>
      <c r="C2027" s="4">
        <v>9</v>
      </c>
      <c r="D2027" s="8">
        <v>1.98</v>
      </c>
      <c r="E2027" s="4">
        <v>7</v>
      </c>
      <c r="F2027" s="8">
        <v>2.64</v>
      </c>
      <c r="G2027" s="4">
        <v>2</v>
      </c>
      <c r="H2027" s="8">
        <v>1.1100000000000001</v>
      </c>
      <c r="I2027" s="4">
        <v>0</v>
      </c>
    </row>
    <row r="2028" spans="1:9" x14ac:dyDescent="0.2">
      <c r="A2028" s="2">
        <v>8</v>
      </c>
      <c r="B2028" s="1" t="s">
        <v>295</v>
      </c>
      <c r="C2028" s="4">
        <v>9</v>
      </c>
      <c r="D2028" s="8">
        <v>1.98</v>
      </c>
      <c r="E2028" s="4">
        <v>6</v>
      </c>
      <c r="F2028" s="8">
        <v>2.2599999999999998</v>
      </c>
      <c r="G2028" s="4">
        <v>3</v>
      </c>
      <c r="H2028" s="8">
        <v>1.67</v>
      </c>
      <c r="I2028" s="4">
        <v>0</v>
      </c>
    </row>
    <row r="2029" spans="1:9" x14ac:dyDescent="0.2">
      <c r="A2029" s="2">
        <v>8</v>
      </c>
      <c r="B2029" s="1" t="s">
        <v>296</v>
      </c>
      <c r="C2029" s="4">
        <v>9</v>
      </c>
      <c r="D2029" s="8">
        <v>1.98</v>
      </c>
      <c r="E2029" s="4">
        <v>6</v>
      </c>
      <c r="F2029" s="8">
        <v>2.2599999999999998</v>
      </c>
      <c r="G2029" s="4">
        <v>3</v>
      </c>
      <c r="H2029" s="8">
        <v>1.67</v>
      </c>
      <c r="I2029" s="4">
        <v>0</v>
      </c>
    </row>
    <row r="2030" spans="1:9" x14ac:dyDescent="0.2">
      <c r="A2030" s="2">
        <v>8</v>
      </c>
      <c r="B2030" s="1" t="s">
        <v>339</v>
      </c>
      <c r="C2030" s="4">
        <v>9</v>
      </c>
      <c r="D2030" s="8">
        <v>1.98</v>
      </c>
      <c r="E2030" s="4">
        <v>5</v>
      </c>
      <c r="F2030" s="8">
        <v>1.89</v>
      </c>
      <c r="G2030" s="4">
        <v>4</v>
      </c>
      <c r="H2030" s="8">
        <v>2.2200000000000002</v>
      </c>
      <c r="I2030" s="4">
        <v>0</v>
      </c>
    </row>
    <row r="2031" spans="1:9" x14ac:dyDescent="0.2">
      <c r="A2031" s="2">
        <v>8</v>
      </c>
      <c r="B2031" s="1" t="s">
        <v>334</v>
      </c>
      <c r="C2031" s="4">
        <v>9</v>
      </c>
      <c r="D2031" s="8">
        <v>1.98</v>
      </c>
      <c r="E2031" s="4">
        <v>7</v>
      </c>
      <c r="F2031" s="8">
        <v>2.64</v>
      </c>
      <c r="G2031" s="4">
        <v>2</v>
      </c>
      <c r="H2031" s="8">
        <v>1.1100000000000001</v>
      </c>
      <c r="I2031" s="4">
        <v>0</v>
      </c>
    </row>
    <row r="2032" spans="1:9" x14ac:dyDescent="0.2">
      <c r="A2032" s="2">
        <v>8</v>
      </c>
      <c r="B2032" s="1" t="s">
        <v>300</v>
      </c>
      <c r="C2032" s="4">
        <v>9</v>
      </c>
      <c r="D2032" s="8">
        <v>1.98</v>
      </c>
      <c r="E2032" s="4">
        <v>8</v>
      </c>
      <c r="F2032" s="8">
        <v>3.02</v>
      </c>
      <c r="G2032" s="4">
        <v>1</v>
      </c>
      <c r="H2032" s="8">
        <v>0.56000000000000005</v>
      </c>
      <c r="I2032" s="4">
        <v>0</v>
      </c>
    </row>
    <row r="2033" spans="1:9" x14ac:dyDescent="0.2">
      <c r="A2033" s="2">
        <v>14</v>
      </c>
      <c r="B2033" s="1" t="s">
        <v>288</v>
      </c>
      <c r="C2033" s="4">
        <v>8</v>
      </c>
      <c r="D2033" s="8">
        <v>1.76</v>
      </c>
      <c r="E2033" s="4">
        <v>0</v>
      </c>
      <c r="F2033" s="8">
        <v>0</v>
      </c>
      <c r="G2033" s="4">
        <v>8</v>
      </c>
      <c r="H2033" s="8">
        <v>4.4400000000000004</v>
      </c>
      <c r="I2033" s="4">
        <v>0</v>
      </c>
    </row>
    <row r="2034" spans="1:9" x14ac:dyDescent="0.2">
      <c r="A2034" s="2">
        <v>14</v>
      </c>
      <c r="B2034" s="1" t="s">
        <v>290</v>
      </c>
      <c r="C2034" s="4">
        <v>8</v>
      </c>
      <c r="D2034" s="8">
        <v>1.76</v>
      </c>
      <c r="E2034" s="4">
        <v>3</v>
      </c>
      <c r="F2034" s="8">
        <v>1.1299999999999999</v>
      </c>
      <c r="G2034" s="4">
        <v>5</v>
      </c>
      <c r="H2034" s="8">
        <v>2.78</v>
      </c>
      <c r="I2034" s="4">
        <v>0</v>
      </c>
    </row>
    <row r="2035" spans="1:9" x14ac:dyDescent="0.2">
      <c r="A2035" s="2">
        <v>14</v>
      </c>
      <c r="B2035" s="1" t="s">
        <v>292</v>
      </c>
      <c r="C2035" s="4">
        <v>8</v>
      </c>
      <c r="D2035" s="8">
        <v>1.76</v>
      </c>
      <c r="E2035" s="4">
        <v>6</v>
      </c>
      <c r="F2035" s="8">
        <v>2.2599999999999998</v>
      </c>
      <c r="G2035" s="4">
        <v>2</v>
      </c>
      <c r="H2035" s="8">
        <v>1.1100000000000001</v>
      </c>
      <c r="I2035" s="4">
        <v>0</v>
      </c>
    </row>
    <row r="2036" spans="1:9" x14ac:dyDescent="0.2">
      <c r="A2036" s="2">
        <v>17</v>
      </c>
      <c r="B2036" s="1" t="s">
        <v>328</v>
      </c>
      <c r="C2036" s="4">
        <v>7</v>
      </c>
      <c r="D2036" s="8">
        <v>1.54</v>
      </c>
      <c r="E2036" s="4">
        <v>3</v>
      </c>
      <c r="F2036" s="8">
        <v>1.1299999999999999</v>
      </c>
      <c r="G2036" s="4">
        <v>4</v>
      </c>
      <c r="H2036" s="8">
        <v>2.2200000000000002</v>
      </c>
      <c r="I2036" s="4">
        <v>0</v>
      </c>
    </row>
    <row r="2037" spans="1:9" x14ac:dyDescent="0.2">
      <c r="A2037" s="2">
        <v>17</v>
      </c>
      <c r="B2037" s="1" t="s">
        <v>299</v>
      </c>
      <c r="C2037" s="4">
        <v>7</v>
      </c>
      <c r="D2037" s="8">
        <v>1.54</v>
      </c>
      <c r="E2037" s="4">
        <v>4</v>
      </c>
      <c r="F2037" s="8">
        <v>1.51</v>
      </c>
      <c r="G2037" s="4">
        <v>3</v>
      </c>
      <c r="H2037" s="8">
        <v>1.67</v>
      </c>
      <c r="I2037" s="4">
        <v>0</v>
      </c>
    </row>
    <row r="2038" spans="1:9" x14ac:dyDescent="0.2">
      <c r="A2038" s="2">
        <v>19</v>
      </c>
      <c r="B2038" s="1" t="s">
        <v>314</v>
      </c>
      <c r="C2038" s="4">
        <v>6</v>
      </c>
      <c r="D2038" s="8">
        <v>1.32</v>
      </c>
      <c r="E2038" s="4">
        <v>4</v>
      </c>
      <c r="F2038" s="8">
        <v>1.51</v>
      </c>
      <c r="G2038" s="4">
        <v>2</v>
      </c>
      <c r="H2038" s="8">
        <v>1.1100000000000001</v>
      </c>
      <c r="I2038" s="4">
        <v>0</v>
      </c>
    </row>
    <row r="2039" spans="1:9" x14ac:dyDescent="0.2">
      <c r="A2039" s="2">
        <v>19</v>
      </c>
      <c r="B2039" s="1" t="s">
        <v>329</v>
      </c>
      <c r="C2039" s="4">
        <v>6</v>
      </c>
      <c r="D2039" s="8">
        <v>1.32</v>
      </c>
      <c r="E2039" s="4">
        <v>4</v>
      </c>
      <c r="F2039" s="8">
        <v>1.51</v>
      </c>
      <c r="G2039" s="4">
        <v>2</v>
      </c>
      <c r="H2039" s="8">
        <v>1.1100000000000001</v>
      </c>
      <c r="I2039" s="4">
        <v>0</v>
      </c>
    </row>
    <row r="2040" spans="1:9" x14ac:dyDescent="0.2">
      <c r="A2040" s="2">
        <v>19</v>
      </c>
      <c r="B2040" s="1" t="s">
        <v>335</v>
      </c>
      <c r="C2040" s="4">
        <v>6</v>
      </c>
      <c r="D2040" s="8">
        <v>1.32</v>
      </c>
      <c r="E2040" s="4">
        <v>2</v>
      </c>
      <c r="F2040" s="8">
        <v>0.75</v>
      </c>
      <c r="G2040" s="4">
        <v>4</v>
      </c>
      <c r="H2040" s="8">
        <v>2.2200000000000002</v>
      </c>
      <c r="I2040" s="4">
        <v>0</v>
      </c>
    </row>
    <row r="2041" spans="1:9" x14ac:dyDescent="0.2">
      <c r="A2041" s="1"/>
      <c r="C2041" s="4"/>
      <c r="D2041" s="8"/>
      <c r="E2041" s="4"/>
      <c r="F2041" s="8"/>
      <c r="G2041" s="4"/>
      <c r="H2041" s="8"/>
      <c r="I2041" s="4"/>
    </row>
    <row r="2042" spans="1:9" x14ac:dyDescent="0.2">
      <c r="A2042" s="1" t="s">
        <v>76</v>
      </c>
      <c r="C2042" s="4"/>
      <c r="D2042" s="8"/>
      <c r="E2042" s="4"/>
      <c r="F2042" s="8"/>
      <c r="G2042" s="4"/>
      <c r="H2042" s="8"/>
      <c r="I2042" s="4"/>
    </row>
    <row r="2043" spans="1:9" x14ac:dyDescent="0.2">
      <c r="A2043" s="2">
        <v>1</v>
      </c>
      <c r="B2043" s="1" t="s">
        <v>339</v>
      </c>
      <c r="C2043" s="4">
        <v>5</v>
      </c>
      <c r="D2043" s="8">
        <v>9.43</v>
      </c>
      <c r="E2043" s="4">
        <v>5</v>
      </c>
      <c r="F2043" s="8">
        <v>20</v>
      </c>
      <c r="G2043" s="4">
        <v>0</v>
      </c>
      <c r="H2043" s="8">
        <v>0</v>
      </c>
      <c r="I2043" s="4">
        <v>0</v>
      </c>
    </row>
    <row r="2044" spans="1:9" x14ac:dyDescent="0.2">
      <c r="A2044" s="2">
        <v>2</v>
      </c>
      <c r="B2044" s="1" t="s">
        <v>291</v>
      </c>
      <c r="C2044" s="4">
        <v>4</v>
      </c>
      <c r="D2044" s="8">
        <v>7.55</v>
      </c>
      <c r="E2044" s="4">
        <v>1</v>
      </c>
      <c r="F2044" s="8">
        <v>4</v>
      </c>
      <c r="G2044" s="4">
        <v>3</v>
      </c>
      <c r="H2044" s="8">
        <v>12.5</v>
      </c>
      <c r="I2044" s="4">
        <v>0</v>
      </c>
    </row>
    <row r="2045" spans="1:9" x14ac:dyDescent="0.2">
      <c r="A2045" s="2">
        <v>3</v>
      </c>
      <c r="B2045" s="1" t="s">
        <v>328</v>
      </c>
      <c r="C2045" s="4">
        <v>3</v>
      </c>
      <c r="D2045" s="8">
        <v>5.66</v>
      </c>
      <c r="E2045" s="4">
        <v>1</v>
      </c>
      <c r="F2045" s="8">
        <v>4</v>
      </c>
      <c r="G2045" s="4">
        <v>2</v>
      </c>
      <c r="H2045" s="8">
        <v>8.33</v>
      </c>
      <c r="I2045" s="4">
        <v>0</v>
      </c>
    </row>
    <row r="2046" spans="1:9" x14ac:dyDescent="0.2">
      <c r="A2046" s="2">
        <v>3</v>
      </c>
      <c r="B2046" s="1" t="s">
        <v>295</v>
      </c>
      <c r="C2046" s="4">
        <v>3</v>
      </c>
      <c r="D2046" s="8">
        <v>5.66</v>
      </c>
      <c r="E2046" s="4">
        <v>1</v>
      </c>
      <c r="F2046" s="8">
        <v>4</v>
      </c>
      <c r="G2046" s="4">
        <v>2</v>
      </c>
      <c r="H2046" s="8">
        <v>8.33</v>
      </c>
      <c r="I2046" s="4">
        <v>0</v>
      </c>
    </row>
    <row r="2047" spans="1:9" x14ac:dyDescent="0.2">
      <c r="A2047" s="2">
        <v>3</v>
      </c>
      <c r="B2047" s="1" t="s">
        <v>303</v>
      </c>
      <c r="C2047" s="4">
        <v>3</v>
      </c>
      <c r="D2047" s="8">
        <v>5.66</v>
      </c>
      <c r="E2047" s="4">
        <v>3</v>
      </c>
      <c r="F2047" s="8">
        <v>12</v>
      </c>
      <c r="G2047" s="4">
        <v>0</v>
      </c>
      <c r="H2047" s="8">
        <v>0</v>
      </c>
      <c r="I2047" s="4">
        <v>0</v>
      </c>
    </row>
    <row r="2048" spans="1:9" x14ac:dyDescent="0.2">
      <c r="A2048" s="2">
        <v>6</v>
      </c>
      <c r="B2048" s="1" t="s">
        <v>333</v>
      </c>
      <c r="C2048" s="4">
        <v>2</v>
      </c>
      <c r="D2048" s="8">
        <v>3.77</v>
      </c>
      <c r="E2048" s="4">
        <v>1</v>
      </c>
      <c r="F2048" s="8">
        <v>4</v>
      </c>
      <c r="G2048" s="4">
        <v>1</v>
      </c>
      <c r="H2048" s="8">
        <v>4.17</v>
      </c>
      <c r="I2048" s="4">
        <v>0</v>
      </c>
    </row>
    <row r="2049" spans="1:9" x14ac:dyDescent="0.2">
      <c r="A2049" s="2">
        <v>6</v>
      </c>
      <c r="B2049" s="1" t="s">
        <v>437</v>
      </c>
      <c r="C2049" s="4">
        <v>2</v>
      </c>
      <c r="D2049" s="8">
        <v>3.77</v>
      </c>
      <c r="E2049" s="4">
        <v>0</v>
      </c>
      <c r="F2049" s="8">
        <v>0</v>
      </c>
      <c r="G2049" s="4">
        <v>2</v>
      </c>
      <c r="H2049" s="8">
        <v>8.33</v>
      </c>
      <c r="I2049" s="4">
        <v>0</v>
      </c>
    </row>
    <row r="2050" spans="1:9" x14ac:dyDescent="0.2">
      <c r="A2050" s="2">
        <v>6</v>
      </c>
      <c r="B2050" s="1" t="s">
        <v>336</v>
      </c>
      <c r="C2050" s="4">
        <v>2</v>
      </c>
      <c r="D2050" s="8">
        <v>3.77</v>
      </c>
      <c r="E2050" s="4">
        <v>2</v>
      </c>
      <c r="F2050" s="8">
        <v>8</v>
      </c>
      <c r="G2050" s="4">
        <v>0</v>
      </c>
      <c r="H2050" s="8">
        <v>0</v>
      </c>
      <c r="I2050" s="4">
        <v>0</v>
      </c>
    </row>
    <row r="2051" spans="1:9" x14ac:dyDescent="0.2">
      <c r="A2051" s="2">
        <v>6</v>
      </c>
      <c r="B2051" s="1" t="s">
        <v>292</v>
      </c>
      <c r="C2051" s="4">
        <v>2</v>
      </c>
      <c r="D2051" s="8">
        <v>3.77</v>
      </c>
      <c r="E2051" s="4">
        <v>1</v>
      </c>
      <c r="F2051" s="8">
        <v>4</v>
      </c>
      <c r="G2051" s="4">
        <v>1</v>
      </c>
      <c r="H2051" s="8">
        <v>4.17</v>
      </c>
      <c r="I2051" s="4">
        <v>0</v>
      </c>
    </row>
    <row r="2052" spans="1:9" x14ac:dyDescent="0.2">
      <c r="A2052" s="2">
        <v>6</v>
      </c>
      <c r="B2052" s="1" t="s">
        <v>297</v>
      </c>
      <c r="C2052" s="4">
        <v>2</v>
      </c>
      <c r="D2052" s="8">
        <v>3.77</v>
      </c>
      <c r="E2052" s="4">
        <v>2</v>
      </c>
      <c r="F2052" s="8">
        <v>8</v>
      </c>
      <c r="G2052" s="4">
        <v>0</v>
      </c>
      <c r="H2052" s="8">
        <v>0</v>
      </c>
      <c r="I2052" s="4">
        <v>0</v>
      </c>
    </row>
    <row r="2053" spans="1:9" x14ac:dyDescent="0.2">
      <c r="A2053" s="2">
        <v>6</v>
      </c>
      <c r="B2053" s="1" t="s">
        <v>325</v>
      </c>
      <c r="C2053" s="4">
        <v>2</v>
      </c>
      <c r="D2053" s="8">
        <v>3.77</v>
      </c>
      <c r="E2053" s="4">
        <v>0</v>
      </c>
      <c r="F2053" s="8">
        <v>0</v>
      </c>
      <c r="G2053" s="4">
        <v>2</v>
      </c>
      <c r="H2053" s="8">
        <v>8.33</v>
      </c>
      <c r="I2053" s="4">
        <v>0</v>
      </c>
    </row>
    <row r="2054" spans="1:9" x14ac:dyDescent="0.2">
      <c r="A2054" s="2">
        <v>6</v>
      </c>
      <c r="B2054" s="1" t="s">
        <v>340</v>
      </c>
      <c r="C2054" s="4">
        <v>2</v>
      </c>
      <c r="D2054" s="8">
        <v>3.77</v>
      </c>
      <c r="E2054" s="4">
        <v>0</v>
      </c>
      <c r="F2054" s="8">
        <v>0</v>
      </c>
      <c r="G2054" s="4">
        <v>0</v>
      </c>
      <c r="H2054" s="8">
        <v>0</v>
      </c>
      <c r="I2054" s="4">
        <v>0</v>
      </c>
    </row>
    <row r="2055" spans="1:9" x14ac:dyDescent="0.2">
      <c r="A2055" s="2">
        <v>13</v>
      </c>
      <c r="B2055" s="1" t="s">
        <v>288</v>
      </c>
      <c r="C2055" s="4">
        <v>1</v>
      </c>
      <c r="D2055" s="8">
        <v>1.89</v>
      </c>
      <c r="E2055" s="4">
        <v>0</v>
      </c>
      <c r="F2055" s="8">
        <v>0</v>
      </c>
      <c r="G2055" s="4">
        <v>1</v>
      </c>
      <c r="H2055" s="8">
        <v>4.17</v>
      </c>
      <c r="I2055" s="4">
        <v>0</v>
      </c>
    </row>
    <row r="2056" spans="1:9" x14ac:dyDescent="0.2">
      <c r="A2056" s="2">
        <v>13</v>
      </c>
      <c r="B2056" s="1" t="s">
        <v>289</v>
      </c>
      <c r="C2056" s="4">
        <v>1</v>
      </c>
      <c r="D2056" s="8">
        <v>1.89</v>
      </c>
      <c r="E2056" s="4">
        <v>0</v>
      </c>
      <c r="F2056" s="8">
        <v>0</v>
      </c>
      <c r="G2056" s="4">
        <v>1</v>
      </c>
      <c r="H2056" s="8">
        <v>4.17</v>
      </c>
      <c r="I2056" s="4">
        <v>0</v>
      </c>
    </row>
    <row r="2057" spans="1:9" x14ac:dyDescent="0.2">
      <c r="A2057" s="2">
        <v>13</v>
      </c>
      <c r="B2057" s="1" t="s">
        <v>353</v>
      </c>
      <c r="C2057" s="4">
        <v>1</v>
      </c>
      <c r="D2057" s="8">
        <v>1.89</v>
      </c>
      <c r="E2057" s="4">
        <v>1</v>
      </c>
      <c r="F2057" s="8">
        <v>4</v>
      </c>
      <c r="G2057" s="4">
        <v>0</v>
      </c>
      <c r="H2057" s="8">
        <v>0</v>
      </c>
      <c r="I2057" s="4">
        <v>0</v>
      </c>
    </row>
    <row r="2058" spans="1:9" x14ac:dyDescent="0.2">
      <c r="A2058" s="2">
        <v>13</v>
      </c>
      <c r="B2058" s="1" t="s">
        <v>375</v>
      </c>
      <c r="C2058" s="4">
        <v>1</v>
      </c>
      <c r="D2058" s="8">
        <v>1.89</v>
      </c>
      <c r="E2058" s="4">
        <v>0</v>
      </c>
      <c r="F2058" s="8">
        <v>0</v>
      </c>
      <c r="G2058" s="4">
        <v>1</v>
      </c>
      <c r="H2058" s="8">
        <v>4.17</v>
      </c>
      <c r="I2058" s="4">
        <v>0</v>
      </c>
    </row>
    <row r="2059" spans="1:9" x14ac:dyDescent="0.2">
      <c r="A2059" s="2">
        <v>13</v>
      </c>
      <c r="B2059" s="1" t="s">
        <v>436</v>
      </c>
      <c r="C2059" s="4">
        <v>1</v>
      </c>
      <c r="D2059" s="8">
        <v>1.89</v>
      </c>
      <c r="E2059" s="4">
        <v>0</v>
      </c>
      <c r="F2059" s="8">
        <v>0</v>
      </c>
      <c r="G2059" s="4">
        <v>1</v>
      </c>
      <c r="H2059" s="8">
        <v>4.17</v>
      </c>
      <c r="I2059" s="4">
        <v>0</v>
      </c>
    </row>
    <row r="2060" spans="1:9" x14ac:dyDescent="0.2">
      <c r="A2060" s="2">
        <v>13</v>
      </c>
      <c r="B2060" s="1" t="s">
        <v>438</v>
      </c>
      <c r="C2060" s="4">
        <v>1</v>
      </c>
      <c r="D2060" s="8">
        <v>1.89</v>
      </c>
      <c r="E2060" s="4">
        <v>0</v>
      </c>
      <c r="F2060" s="8">
        <v>0</v>
      </c>
      <c r="G2060" s="4">
        <v>1</v>
      </c>
      <c r="H2060" s="8">
        <v>4.17</v>
      </c>
      <c r="I2060" s="4">
        <v>0</v>
      </c>
    </row>
    <row r="2061" spans="1:9" x14ac:dyDescent="0.2">
      <c r="A2061" s="2">
        <v>13</v>
      </c>
      <c r="B2061" s="1" t="s">
        <v>439</v>
      </c>
      <c r="C2061" s="4">
        <v>1</v>
      </c>
      <c r="D2061" s="8">
        <v>1.89</v>
      </c>
      <c r="E2061" s="4">
        <v>0</v>
      </c>
      <c r="F2061" s="8">
        <v>0</v>
      </c>
      <c r="G2061" s="4">
        <v>1</v>
      </c>
      <c r="H2061" s="8">
        <v>4.17</v>
      </c>
      <c r="I2061" s="4">
        <v>0</v>
      </c>
    </row>
    <row r="2062" spans="1:9" x14ac:dyDescent="0.2">
      <c r="A2062" s="2">
        <v>13</v>
      </c>
      <c r="B2062" s="1" t="s">
        <v>361</v>
      </c>
      <c r="C2062" s="4">
        <v>1</v>
      </c>
      <c r="D2062" s="8">
        <v>1.89</v>
      </c>
      <c r="E2062" s="4">
        <v>0</v>
      </c>
      <c r="F2062" s="8">
        <v>0</v>
      </c>
      <c r="G2062" s="4">
        <v>0</v>
      </c>
      <c r="H2062" s="8">
        <v>0</v>
      </c>
      <c r="I2062" s="4">
        <v>0</v>
      </c>
    </row>
    <row r="2063" spans="1:9" x14ac:dyDescent="0.2">
      <c r="A2063" s="2">
        <v>13</v>
      </c>
      <c r="B2063" s="1" t="s">
        <v>421</v>
      </c>
      <c r="C2063" s="4">
        <v>1</v>
      </c>
      <c r="D2063" s="8">
        <v>1.89</v>
      </c>
      <c r="E2063" s="4">
        <v>0</v>
      </c>
      <c r="F2063" s="8">
        <v>0</v>
      </c>
      <c r="G2063" s="4">
        <v>1</v>
      </c>
      <c r="H2063" s="8">
        <v>4.17</v>
      </c>
      <c r="I2063" s="4">
        <v>0</v>
      </c>
    </row>
    <row r="2064" spans="1:9" x14ac:dyDescent="0.2">
      <c r="A2064" s="2">
        <v>13</v>
      </c>
      <c r="B2064" s="1" t="s">
        <v>440</v>
      </c>
      <c r="C2064" s="4">
        <v>1</v>
      </c>
      <c r="D2064" s="8">
        <v>1.89</v>
      </c>
      <c r="E2064" s="4">
        <v>0</v>
      </c>
      <c r="F2064" s="8">
        <v>0</v>
      </c>
      <c r="G2064" s="4">
        <v>1</v>
      </c>
      <c r="H2064" s="8">
        <v>4.17</v>
      </c>
      <c r="I2064" s="4">
        <v>0</v>
      </c>
    </row>
    <row r="2065" spans="1:9" x14ac:dyDescent="0.2">
      <c r="A2065" s="2">
        <v>13</v>
      </c>
      <c r="B2065" s="1" t="s">
        <v>441</v>
      </c>
      <c r="C2065" s="4">
        <v>1</v>
      </c>
      <c r="D2065" s="8">
        <v>1.89</v>
      </c>
      <c r="E2065" s="4">
        <v>0</v>
      </c>
      <c r="F2065" s="8">
        <v>0</v>
      </c>
      <c r="G2065" s="4">
        <v>1</v>
      </c>
      <c r="H2065" s="8">
        <v>4.17</v>
      </c>
      <c r="I2065" s="4">
        <v>0</v>
      </c>
    </row>
    <row r="2066" spans="1:9" x14ac:dyDescent="0.2">
      <c r="A2066" s="2">
        <v>13</v>
      </c>
      <c r="B2066" s="1" t="s">
        <v>354</v>
      </c>
      <c r="C2066" s="4">
        <v>1</v>
      </c>
      <c r="D2066" s="8">
        <v>1.89</v>
      </c>
      <c r="E2066" s="4">
        <v>1</v>
      </c>
      <c r="F2066" s="8">
        <v>4</v>
      </c>
      <c r="G2066" s="4">
        <v>0</v>
      </c>
      <c r="H2066" s="8">
        <v>0</v>
      </c>
      <c r="I2066" s="4">
        <v>0</v>
      </c>
    </row>
    <row r="2067" spans="1:9" x14ac:dyDescent="0.2">
      <c r="A2067" s="2">
        <v>13</v>
      </c>
      <c r="B2067" s="1" t="s">
        <v>366</v>
      </c>
      <c r="C2067" s="4">
        <v>1</v>
      </c>
      <c r="D2067" s="8">
        <v>1.89</v>
      </c>
      <c r="E2067" s="4">
        <v>1</v>
      </c>
      <c r="F2067" s="8">
        <v>4</v>
      </c>
      <c r="G2067" s="4">
        <v>0</v>
      </c>
      <c r="H2067" s="8">
        <v>0</v>
      </c>
      <c r="I2067" s="4">
        <v>0</v>
      </c>
    </row>
    <row r="2068" spans="1:9" x14ac:dyDescent="0.2">
      <c r="A2068" s="2">
        <v>13</v>
      </c>
      <c r="B2068" s="1" t="s">
        <v>380</v>
      </c>
      <c r="C2068" s="4">
        <v>1</v>
      </c>
      <c r="D2068" s="8">
        <v>1.89</v>
      </c>
      <c r="E2068" s="4">
        <v>1</v>
      </c>
      <c r="F2068" s="8">
        <v>4</v>
      </c>
      <c r="G2068" s="4">
        <v>0</v>
      </c>
      <c r="H2068" s="8">
        <v>0</v>
      </c>
      <c r="I2068" s="4">
        <v>0</v>
      </c>
    </row>
    <row r="2069" spans="1:9" x14ac:dyDescent="0.2">
      <c r="A2069" s="2">
        <v>13</v>
      </c>
      <c r="B2069" s="1" t="s">
        <v>332</v>
      </c>
      <c r="C2069" s="4">
        <v>1</v>
      </c>
      <c r="D2069" s="8">
        <v>1.89</v>
      </c>
      <c r="E2069" s="4">
        <v>1</v>
      </c>
      <c r="F2069" s="8">
        <v>4</v>
      </c>
      <c r="G2069" s="4">
        <v>0</v>
      </c>
      <c r="H2069" s="8">
        <v>0</v>
      </c>
      <c r="I2069" s="4">
        <v>0</v>
      </c>
    </row>
    <row r="2070" spans="1:9" x14ac:dyDescent="0.2">
      <c r="A2070" s="2">
        <v>13</v>
      </c>
      <c r="B2070" s="1" t="s">
        <v>335</v>
      </c>
      <c r="C2070" s="4">
        <v>1</v>
      </c>
      <c r="D2070" s="8">
        <v>1.89</v>
      </c>
      <c r="E2070" s="4">
        <v>1</v>
      </c>
      <c r="F2070" s="8">
        <v>4</v>
      </c>
      <c r="G2070" s="4">
        <v>0</v>
      </c>
      <c r="H2070" s="8">
        <v>0</v>
      </c>
      <c r="I2070" s="4">
        <v>0</v>
      </c>
    </row>
    <row r="2071" spans="1:9" x14ac:dyDescent="0.2">
      <c r="A2071" s="2">
        <v>13</v>
      </c>
      <c r="B2071" s="1" t="s">
        <v>322</v>
      </c>
      <c r="C2071" s="4">
        <v>1</v>
      </c>
      <c r="D2071" s="8">
        <v>1.89</v>
      </c>
      <c r="E2071" s="4">
        <v>0</v>
      </c>
      <c r="F2071" s="8">
        <v>0</v>
      </c>
      <c r="G2071" s="4">
        <v>1</v>
      </c>
      <c r="H2071" s="8">
        <v>4.17</v>
      </c>
      <c r="I2071" s="4">
        <v>0</v>
      </c>
    </row>
    <row r="2072" spans="1:9" x14ac:dyDescent="0.2">
      <c r="A2072" s="2">
        <v>13</v>
      </c>
      <c r="B2072" s="1" t="s">
        <v>405</v>
      </c>
      <c r="C2072" s="4">
        <v>1</v>
      </c>
      <c r="D2072" s="8">
        <v>1.89</v>
      </c>
      <c r="E2072" s="4">
        <v>0</v>
      </c>
      <c r="F2072" s="8">
        <v>0</v>
      </c>
      <c r="G2072" s="4">
        <v>1</v>
      </c>
      <c r="H2072" s="8">
        <v>4.17</v>
      </c>
      <c r="I2072" s="4">
        <v>0</v>
      </c>
    </row>
    <row r="2073" spans="1:9" x14ac:dyDescent="0.2">
      <c r="A2073" s="2">
        <v>13</v>
      </c>
      <c r="B2073" s="1" t="s">
        <v>304</v>
      </c>
      <c r="C2073" s="4">
        <v>1</v>
      </c>
      <c r="D2073" s="8">
        <v>1.89</v>
      </c>
      <c r="E2073" s="4">
        <v>1</v>
      </c>
      <c r="F2073" s="8">
        <v>4</v>
      </c>
      <c r="G2073" s="4">
        <v>0</v>
      </c>
      <c r="H2073" s="8">
        <v>0</v>
      </c>
      <c r="I2073" s="4">
        <v>0</v>
      </c>
    </row>
    <row r="2074" spans="1:9" x14ac:dyDescent="0.2">
      <c r="A2074" s="2">
        <v>13</v>
      </c>
      <c r="B2074" s="1" t="s">
        <v>312</v>
      </c>
      <c r="C2074" s="4">
        <v>1</v>
      </c>
      <c r="D2074" s="8">
        <v>1.89</v>
      </c>
      <c r="E2074" s="4">
        <v>1</v>
      </c>
      <c r="F2074" s="8">
        <v>4</v>
      </c>
      <c r="G2074" s="4">
        <v>0</v>
      </c>
      <c r="H2074" s="8">
        <v>0</v>
      </c>
      <c r="I2074" s="4">
        <v>0</v>
      </c>
    </row>
    <row r="2075" spans="1:9" x14ac:dyDescent="0.2">
      <c r="A2075" s="2">
        <v>13</v>
      </c>
      <c r="B2075" s="1" t="s">
        <v>331</v>
      </c>
      <c r="C2075" s="4">
        <v>1</v>
      </c>
      <c r="D2075" s="8">
        <v>1.89</v>
      </c>
      <c r="E2075" s="4">
        <v>0</v>
      </c>
      <c r="F2075" s="8">
        <v>0</v>
      </c>
      <c r="G2075" s="4">
        <v>0</v>
      </c>
      <c r="H2075" s="8">
        <v>0</v>
      </c>
      <c r="I2075" s="4">
        <v>0</v>
      </c>
    </row>
    <row r="2076" spans="1:9" x14ac:dyDescent="0.2">
      <c r="A2076" s="1"/>
      <c r="C2076" s="4"/>
      <c r="D2076" s="8"/>
      <c r="E2076" s="4"/>
      <c r="F2076" s="8"/>
      <c r="G2076" s="4"/>
      <c r="H2076" s="8"/>
      <c r="I2076" s="4"/>
    </row>
    <row r="2077" spans="1:9" x14ac:dyDescent="0.2">
      <c r="A2077" s="1" t="s">
        <v>77</v>
      </c>
      <c r="C2077" s="4"/>
      <c r="D2077" s="8"/>
      <c r="E2077" s="4"/>
      <c r="F2077" s="8"/>
      <c r="G2077" s="4"/>
      <c r="H2077" s="8"/>
      <c r="I2077" s="4"/>
    </row>
    <row r="2078" spans="1:9" x14ac:dyDescent="0.2">
      <c r="A2078" s="2">
        <v>1</v>
      </c>
      <c r="B2078" s="1" t="s">
        <v>292</v>
      </c>
      <c r="C2078" s="4">
        <v>3</v>
      </c>
      <c r="D2078" s="8">
        <v>8.11</v>
      </c>
      <c r="E2078" s="4">
        <v>3</v>
      </c>
      <c r="F2078" s="8">
        <v>13.04</v>
      </c>
      <c r="G2078" s="4">
        <v>0</v>
      </c>
      <c r="H2078" s="8">
        <v>0</v>
      </c>
      <c r="I2078" s="4">
        <v>0</v>
      </c>
    </row>
    <row r="2079" spans="1:9" x14ac:dyDescent="0.2">
      <c r="A2079" s="2">
        <v>1</v>
      </c>
      <c r="B2079" s="1" t="s">
        <v>339</v>
      </c>
      <c r="C2079" s="4">
        <v>3</v>
      </c>
      <c r="D2079" s="8">
        <v>8.11</v>
      </c>
      <c r="E2079" s="4">
        <v>2</v>
      </c>
      <c r="F2079" s="8">
        <v>8.6999999999999993</v>
      </c>
      <c r="G2079" s="4">
        <v>1</v>
      </c>
      <c r="H2079" s="8">
        <v>7.69</v>
      </c>
      <c r="I2079" s="4">
        <v>0</v>
      </c>
    </row>
    <row r="2080" spans="1:9" x14ac:dyDescent="0.2">
      <c r="A2080" s="2">
        <v>3</v>
      </c>
      <c r="B2080" s="1" t="s">
        <v>354</v>
      </c>
      <c r="C2080" s="4">
        <v>2</v>
      </c>
      <c r="D2080" s="8">
        <v>5.41</v>
      </c>
      <c r="E2080" s="4">
        <v>1</v>
      </c>
      <c r="F2080" s="8">
        <v>4.3499999999999996</v>
      </c>
      <c r="G2080" s="4">
        <v>1</v>
      </c>
      <c r="H2080" s="8">
        <v>7.69</v>
      </c>
      <c r="I2080" s="4">
        <v>0</v>
      </c>
    </row>
    <row r="2081" spans="1:9" x14ac:dyDescent="0.2">
      <c r="A2081" s="2">
        <v>3</v>
      </c>
      <c r="B2081" s="1" t="s">
        <v>337</v>
      </c>
      <c r="C2081" s="4">
        <v>2</v>
      </c>
      <c r="D2081" s="8">
        <v>5.41</v>
      </c>
      <c r="E2081" s="4">
        <v>2</v>
      </c>
      <c r="F2081" s="8">
        <v>8.6999999999999993</v>
      </c>
      <c r="G2081" s="4">
        <v>0</v>
      </c>
      <c r="H2081" s="8">
        <v>0</v>
      </c>
      <c r="I2081" s="4">
        <v>0</v>
      </c>
    </row>
    <row r="2082" spans="1:9" x14ac:dyDescent="0.2">
      <c r="A2082" s="2">
        <v>3</v>
      </c>
      <c r="B2082" s="1" t="s">
        <v>301</v>
      </c>
      <c r="C2082" s="4">
        <v>2</v>
      </c>
      <c r="D2082" s="8">
        <v>5.41</v>
      </c>
      <c r="E2082" s="4">
        <v>2</v>
      </c>
      <c r="F2082" s="8">
        <v>8.6999999999999993</v>
      </c>
      <c r="G2082" s="4">
        <v>0</v>
      </c>
      <c r="H2082" s="8">
        <v>0</v>
      </c>
      <c r="I2082" s="4">
        <v>0</v>
      </c>
    </row>
    <row r="2083" spans="1:9" x14ac:dyDescent="0.2">
      <c r="A2083" s="2">
        <v>3</v>
      </c>
      <c r="B2083" s="1" t="s">
        <v>303</v>
      </c>
      <c r="C2083" s="4">
        <v>2</v>
      </c>
      <c r="D2083" s="8">
        <v>5.41</v>
      </c>
      <c r="E2083" s="4">
        <v>2</v>
      </c>
      <c r="F2083" s="8">
        <v>8.6999999999999993</v>
      </c>
      <c r="G2083" s="4">
        <v>0</v>
      </c>
      <c r="H2083" s="8">
        <v>0</v>
      </c>
      <c r="I2083" s="4">
        <v>0</v>
      </c>
    </row>
    <row r="2084" spans="1:9" x14ac:dyDescent="0.2">
      <c r="A2084" s="2">
        <v>7</v>
      </c>
      <c r="B2084" s="1" t="s">
        <v>288</v>
      </c>
      <c r="C2084" s="4">
        <v>1</v>
      </c>
      <c r="D2084" s="8">
        <v>2.7</v>
      </c>
      <c r="E2084" s="4">
        <v>0</v>
      </c>
      <c r="F2084" s="8">
        <v>0</v>
      </c>
      <c r="G2084" s="4">
        <v>1</v>
      </c>
      <c r="H2084" s="8">
        <v>7.69</v>
      </c>
      <c r="I2084" s="4">
        <v>0</v>
      </c>
    </row>
    <row r="2085" spans="1:9" x14ac:dyDescent="0.2">
      <c r="A2085" s="2">
        <v>7</v>
      </c>
      <c r="B2085" s="1" t="s">
        <v>375</v>
      </c>
      <c r="C2085" s="4">
        <v>1</v>
      </c>
      <c r="D2085" s="8">
        <v>2.7</v>
      </c>
      <c r="E2085" s="4">
        <v>0</v>
      </c>
      <c r="F2085" s="8">
        <v>0</v>
      </c>
      <c r="G2085" s="4">
        <v>1</v>
      </c>
      <c r="H2085" s="8">
        <v>7.69</v>
      </c>
      <c r="I2085" s="4">
        <v>0</v>
      </c>
    </row>
    <row r="2086" spans="1:9" x14ac:dyDescent="0.2">
      <c r="A2086" s="2">
        <v>7</v>
      </c>
      <c r="B2086" s="1" t="s">
        <v>291</v>
      </c>
      <c r="C2086" s="4">
        <v>1</v>
      </c>
      <c r="D2086" s="8">
        <v>2.7</v>
      </c>
      <c r="E2086" s="4">
        <v>0</v>
      </c>
      <c r="F2086" s="8">
        <v>0</v>
      </c>
      <c r="G2086" s="4">
        <v>1</v>
      </c>
      <c r="H2086" s="8">
        <v>7.69</v>
      </c>
      <c r="I2086" s="4">
        <v>0</v>
      </c>
    </row>
    <row r="2087" spans="1:9" x14ac:dyDescent="0.2">
      <c r="A2087" s="2">
        <v>7</v>
      </c>
      <c r="B2087" s="1" t="s">
        <v>342</v>
      </c>
      <c r="C2087" s="4">
        <v>1</v>
      </c>
      <c r="D2087" s="8">
        <v>2.7</v>
      </c>
      <c r="E2087" s="4">
        <v>1</v>
      </c>
      <c r="F2087" s="8">
        <v>4.3499999999999996</v>
      </c>
      <c r="G2087" s="4">
        <v>0</v>
      </c>
      <c r="H2087" s="8">
        <v>0</v>
      </c>
      <c r="I2087" s="4">
        <v>0</v>
      </c>
    </row>
    <row r="2088" spans="1:9" x14ac:dyDescent="0.2">
      <c r="A2088" s="2">
        <v>7</v>
      </c>
      <c r="B2088" s="1" t="s">
        <v>361</v>
      </c>
      <c r="C2088" s="4">
        <v>1</v>
      </c>
      <c r="D2088" s="8">
        <v>2.7</v>
      </c>
      <c r="E2088" s="4">
        <v>0</v>
      </c>
      <c r="F2088" s="8">
        <v>0</v>
      </c>
      <c r="G2088" s="4">
        <v>0</v>
      </c>
      <c r="H2088" s="8">
        <v>0</v>
      </c>
      <c r="I2088" s="4">
        <v>0</v>
      </c>
    </row>
    <row r="2089" spans="1:9" x14ac:dyDescent="0.2">
      <c r="A2089" s="2">
        <v>7</v>
      </c>
      <c r="B2089" s="1" t="s">
        <v>313</v>
      </c>
      <c r="C2089" s="4">
        <v>1</v>
      </c>
      <c r="D2089" s="8">
        <v>2.7</v>
      </c>
      <c r="E2089" s="4">
        <v>0</v>
      </c>
      <c r="F2089" s="8">
        <v>0</v>
      </c>
      <c r="G2089" s="4">
        <v>1</v>
      </c>
      <c r="H2089" s="8">
        <v>7.69</v>
      </c>
      <c r="I2089" s="4">
        <v>0</v>
      </c>
    </row>
    <row r="2090" spans="1:9" x14ac:dyDescent="0.2">
      <c r="A2090" s="2">
        <v>7</v>
      </c>
      <c r="B2090" s="1" t="s">
        <v>366</v>
      </c>
      <c r="C2090" s="4">
        <v>1</v>
      </c>
      <c r="D2090" s="8">
        <v>2.7</v>
      </c>
      <c r="E2090" s="4">
        <v>1</v>
      </c>
      <c r="F2090" s="8">
        <v>4.3499999999999996</v>
      </c>
      <c r="G2090" s="4">
        <v>0</v>
      </c>
      <c r="H2090" s="8">
        <v>0</v>
      </c>
      <c r="I2090" s="4">
        <v>0</v>
      </c>
    </row>
    <row r="2091" spans="1:9" x14ac:dyDescent="0.2">
      <c r="A2091" s="2">
        <v>7</v>
      </c>
      <c r="B2091" s="1" t="s">
        <v>329</v>
      </c>
      <c r="C2091" s="4">
        <v>1</v>
      </c>
      <c r="D2091" s="8">
        <v>2.7</v>
      </c>
      <c r="E2091" s="4">
        <v>1</v>
      </c>
      <c r="F2091" s="8">
        <v>4.3499999999999996</v>
      </c>
      <c r="G2091" s="4">
        <v>0</v>
      </c>
      <c r="H2091" s="8">
        <v>0</v>
      </c>
      <c r="I2091" s="4">
        <v>0</v>
      </c>
    </row>
    <row r="2092" spans="1:9" x14ac:dyDescent="0.2">
      <c r="A2092" s="2">
        <v>7</v>
      </c>
      <c r="B2092" s="1" t="s">
        <v>330</v>
      </c>
      <c r="C2092" s="4">
        <v>1</v>
      </c>
      <c r="D2092" s="8">
        <v>2.7</v>
      </c>
      <c r="E2092" s="4">
        <v>0</v>
      </c>
      <c r="F2092" s="8">
        <v>0</v>
      </c>
      <c r="G2092" s="4">
        <v>1</v>
      </c>
      <c r="H2092" s="8">
        <v>7.69</v>
      </c>
      <c r="I2092" s="4">
        <v>0</v>
      </c>
    </row>
    <row r="2093" spans="1:9" x14ac:dyDescent="0.2">
      <c r="A2093" s="2">
        <v>7</v>
      </c>
      <c r="B2093" s="1" t="s">
        <v>295</v>
      </c>
      <c r="C2093" s="4">
        <v>1</v>
      </c>
      <c r="D2093" s="8">
        <v>2.7</v>
      </c>
      <c r="E2093" s="4">
        <v>1</v>
      </c>
      <c r="F2093" s="8">
        <v>4.3499999999999996</v>
      </c>
      <c r="G2093" s="4">
        <v>0</v>
      </c>
      <c r="H2093" s="8">
        <v>0</v>
      </c>
      <c r="I2093" s="4">
        <v>0</v>
      </c>
    </row>
    <row r="2094" spans="1:9" x14ac:dyDescent="0.2">
      <c r="A2094" s="2">
        <v>7</v>
      </c>
      <c r="B2094" s="1" t="s">
        <v>297</v>
      </c>
      <c r="C2094" s="4">
        <v>1</v>
      </c>
      <c r="D2094" s="8">
        <v>2.7</v>
      </c>
      <c r="E2094" s="4">
        <v>0</v>
      </c>
      <c r="F2094" s="8">
        <v>0</v>
      </c>
      <c r="G2094" s="4">
        <v>1</v>
      </c>
      <c r="H2094" s="8">
        <v>7.69</v>
      </c>
      <c r="I2094" s="4">
        <v>0</v>
      </c>
    </row>
    <row r="2095" spans="1:9" x14ac:dyDescent="0.2">
      <c r="A2095" s="2">
        <v>7</v>
      </c>
      <c r="B2095" s="1" t="s">
        <v>405</v>
      </c>
      <c r="C2095" s="4">
        <v>1</v>
      </c>
      <c r="D2095" s="8">
        <v>2.7</v>
      </c>
      <c r="E2095" s="4">
        <v>0</v>
      </c>
      <c r="F2095" s="8">
        <v>0</v>
      </c>
      <c r="G2095" s="4">
        <v>1</v>
      </c>
      <c r="H2095" s="8">
        <v>7.69</v>
      </c>
      <c r="I2095" s="4">
        <v>0</v>
      </c>
    </row>
    <row r="2096" spans="1:9" x14ac:dyDescent="0.2">
      <c r="A2096" s="2">
        <v>7</v>
      </c>
      <c r="B2096" s="1" t="s">
        <v>334</v>
      </c>
      <c r="C2096" s="4">
        <v>1</v>
      </c>
      <c r="D2096" s="8">
        <v>2.7</v>
      </c>
      <c r="E2096" s="4">
        <v>1</v>
      </c>
      <c r="F2096" s="8">
        <v>4.3499999999999996</v>
      </c>
      <c r="G2096" s="4">
        <v>0</v>
      </c>
      <c r="H2096" s="8">
        <v>0</v>
      </c>
      <c r="I2096" s="4">
        <v>0</v>
      </c>
    </row>
    <row r="2097" spans="1:9" x14ac:dyDescent="0.2">
      <c r="A2097" s="2">
        <v>7</v>
      </c>
      <c r="B2097" s="1" t="s">
        <v>299</v>
      </c>
      <c r="C2097" s="4">
        <v>1</v>
      </c>
      <c r="D2097" s="8">
        <v>2.7</v>
      </c>
      <c r="E2097" s="4">
        <v>0</v>
      </c>
      <c r="F2097" s="8">
        <v>0</v>
      </c>
      <c r="G2097" s="4">
        <v>1</v>
      </c>
      <c r="H2097" s="8">
        <v>7.69</v>
      </c>
      <c r="I2097" s="4">
        <v>0</v>
      </c>
    </row>
    <row r="2098" spans="1:9" x14ac:dyDescent="0.2">
      <c r="A2098" s="2">
        <v>7</v>
      </c>
      <c r="B2098" s="1" t="s">
        <v>349</v>
      </c>
      <c r="C2098" s="4">
        <v>1</v>
      </c>
      <c r="D2098" s="8">
        <v>2.7</v>
      </c>
      <c r="E2098" s="4">
        <v>0</v>
      </c>
      <c r="F2098" s="8">
        <v>0</v>
      </c>
      <c r="G2098" s="4">
        <v>1</v>
      </c>
      <c r="H2098" s="8">
        <v>7.69</v>
      </c>
      <c r="I2098" s="4">
        <v>0</v>
      </c>
    </row>
    <row r="2099" spans="1:9" x14ac:dyDescent="0.2">
      <c r="A2099" s="2">
        <v>7</v>
      </c>
      <c r="B2099" s="1" t="s">
        <v>300</v>
      </c>
      <c r="C2099" s="4">
        <v>1</v>
      </c>
      <c r="D2099" s="8">
        <v>2.7</v>
      </c>
      <c r="E2099" s="4">
        <v>1</v>
      </c>
      <c r="F2099" s="8">
        <v>4.3499999999999996</v>
      </c>
      <c r="G2099" s="4">
        <v>0</v>
      </c>
      <c r="H2099" s="8">
        <v>0</v>
      </c>
      <c r="I2099" s="4">
        <v>0</v>
      </c>
    </row>
    <row r="2100" spans="1:9" x14ac:dyDescent="0.2">
      <c r="A2100" s="2">
        <v>7</v>
      </c>
      <c r="B2100" s="1" t="s">
        <v>302</v>
      </c>
      <c r="C2100" s="4">
        <v>1</v>
      </c>
      <c r="D2100" s="8">
        <v>2.7</v>
      </c>
      <c r="E2100" s="4">
        <v>1</v>
      </c>
      <c r="F2100" s="8">
        <v>4.3499999999999996</v>
      </c>
      <c r="G2100" s="4">
        <v>0</v>
      </c>
      <c r="H2100" s="8">
        <v>0</v>
      </c>
      <c r="I2100" s="4">
        <v>0</v>
      </c>
    </row>
    <row r="2101" spans="1:9" x14ac:dyDescent="0.2">
      <c r="A2101" s="2">
        <v>7</v>
      </c>
      <c r="B2101" s="1" t="s">
        <v>304</v>
      </c>
      <c r="C2101" s="4">
        <v>1</v>
      </c>
      <c r="D2101" s="8">
        <v>2.7</v>
      </c>
      <c r="E2101" s="4">
        <v>1</v>
      </c>
      <c r="F2101" s="8">
        <v>4.3499999999999996</v>
      </c>
      <c r="G2101" s="4">
        <v>0</v>
      </c>
      <c r="H2101" s="8">
        <v>0</v>
      </c>
      <c r="I2101" s="4">
        <v>0</v>
      </c>
    </row>
    <row r="2102" spans="1:9" x14ac:dyDescent="0.2">
      <c r="A2102" s="2">
        <v>7</v>
      </c>
      <c r="B2102" s="1" t="s">
        <v>312</v>
      </c>
      <c r="C2102" s="4">
        <v>1</v>
      </c>
      <c r="D2102" s="8">
        <v>2.7</v>
      </c>
      <c r="E2102" s="4">
        <v>1</v>
      </c>
      <c r="F2102" s="8">
        <v>4.3499999999999996</v>
      </c>
      <c r="G2102" s="4">
        <v>0</v>
      </c>
      <c r="H2102" s="8">
        <v>0</v>
      </c>
      <c r="I2102" s="4">
        <v>0</v>
      </c>
    </row>
    <row r="2103" spans="1:9" x14ac:dyDescent="0.2">
      <c r="A2103" s="2">
        <v>7</v>
      </c>
      <c r="B2103" s="1" t="s">
        <v>331</v>
      </c>
      <c r="C2103" s="4">
        <v>1</v>
      </c>
      <c r="D2103" s="8">
        <v>2.7</v>
      </c>
      <c r="E2103" s="4">
        <v>0</v>
      </c>
      <c r="F2103" s="8">
        <v>0</v>
      </c>
      <c r="G2103" s="4">
        <v>1</v>
      </c>
      <c r="H2103" s="8">
        <v>7.69</v>
      </c>
      <c r="I2103" s="4">
        <v>0</v>
      </c>
    </row>
    <row r="2104" spans="1:9" x14ac:dyDescent="0.2">
      <c r="A2104" s="2">
        <v>7</v>
      </c>
      <c r="B2104" s="1" t="s">
        <v>369</v>
      </c>
      <c r="C2104" s="4">
        <v>1</v>
      </c>
      <c r="D2104" s="8">
        <v>2.7</v>
      </c>
      <c r="E2104" s="4">
        <v>0</v>
      </c>
      <c r="F2104" s="8">
        <v>0</v>
      </c>
      <c r="G2104" s="4">
        <v>1</v>
      </c>
      <c r="H2104" s="8">
        <v>7.69</v>
      </c>
      <c r="I2104" s="4">
        <v>0</v>
      </c>
    </row>
    <row r="2105" spans="1:9" x14ac:dyDescent="0.2">
      <c r="A2105" s="2">
        <v>7</v>
      </c>
      <c r="B2105" s="1" t="s">
        <v>370</v>
      </c>
      <c r="C2105" s="4">
        <v>1</v>
      </c>
      <c r="D2105" s="8">
        <v>2.7</v>
      </c>
      <c r="E2105" s="4">
        <v>1</v>
      </c>
      <c r="F2105" s="8">
        <v>4.3499999999999996</v>
      </c>
      <c r="G2105" s="4">
        <v>0</v>
      </c>
      <c r="H2105" s="8">
        <v>0</v>
      </c>
      <c r="I2105" s="4">
        <v>0</v>
      </c>
    </row>
    <row r="2106" spans="1:9" x14ac:dyDescent="0.2">
      <c r="A2106" s="2">
        <v>7</v>
      </c>
      <c r="B2106" s="1" t="s">
        <v>307</v>
      </c>
      <c r="C2106" s="4">
        <v>1</v>
      </c>
      <c r="D2106" s="8">
        <v>2.7</v>
      </c>
      <c r="E2106" s="4">
        <v>1</v>
      </c>
      <c r="F2106" s="8">
        <v>4.3499999999999996</v>
      </c>
      <c r="G2106" s="4">
        <v>0</v>
      </c>
      <c r="H2106" s="8">
        <v>0</v>
      </c>
      <c r="I2106" s="4">
        <v>0</v>
      </c>
    </row>
    <row r="2107" spans="1:9" x14ac:dyDescent="0.2">
      <c r="A2107" s="1"/>
      <c r="C2107" s="4"/>
      <c r="D2107" s="8"/>
      <c r="E2107" s="4"/>
      <c r="F2107" s="8"/>
      <c r="G2107" s="4"/>
      <c r="H2107" s="8"/>
      <c r="I2107" s="4"/>
    </row>
    <row r="2108" spans="1:9" x14ac:dyDescent="0.2">
      <c r="A2108" s="1" t="s">
        <v>78</v>
      </c>
      <c r="C2108" s="4"/>
      <c r="D2108" s="8"/>
      <c r="E2108" s="4"/>
      <c r="F2108" s="8"/>
      <c r="G2108" s="4"/>
      <c r="H2108" s="8"/>
      <c r="I2108" s="4"/>
    </row>
    <row r="2109" spans="1:9" x14ac:dyDescent="0.2">
      <c r="A2109" s="2">
        <v>1</v>
      </c>
      <c r="B2109" s="1" t="s">
        <v>339</v>
      </c>
      <c r="C2109" s="4">
        <v>8</v>
      </c>
      <c r="D2109" s="8">
        <v>8.99</v>
      </c>
      <c r="E2109" s="4">
        <v>6</v>
      </c>
      <c r="F2109" s="8">
        <v>11.32</v>
      </c>
      <c r="G2109" s="4">
        <v>2</v>
      </c>
      <c r="H2109" s="8">
        <v>6.45</v>
      </c>
      <c r="I2109" s="4">
        <v>0</v>
      </c>
    </row>
    <row r="2110" spans="1:9" x14ac:dyDescent="0.2">
      <c r="A2110" s="2">
        <v>2</v>
      </c>
      <c r="B2110" s="1" t="s">
        <v>330</v>
      </c>
      <c r="C2110" s="4">
        <v>6</v>
      </c>
      <c r="D2110" s="8">
        <v>6.74</v>
      </c>
      <c r="E2110" s="4">
        <v>3</v>
      </c>
      <c r="F2110" s="8">
        <v>5.66</v>
      </c>
      <c r="G2110" s="4">
        <v>3</v>
      </c>
      <c r="H2110" s="8">
        <v>9.68</v>
      </c>
      <c r="I2110" s="4">
        <v>0</v>
      </c>
    </row>
    <row r="2111" spans="1:9" x14ac:dyDescent="0.2">
      <c r="A2111" s="2">
        <v>3</v>
      </c>
      <c r="B2111" s="1" t="s">
        <v>292</v>
      </c>
      <c r="C2111" s="4">
        <v>5</v>
      </c>
      <c r="D2111" s="8">
        <v>5.62</v>
      </c>
      <c r="E2111" s="4">
        <v>5</v>
      </c>
      <c r="F2111" s="8">
        <v>9.43</v>
      </c>
      <c r="G2111" s="4">
        <v>0</v>
      </c>
      <c r="H2111" s="8">
        <v>0</v>
      </c>
      <c r="I2111" s="4">
        <v>0</v>
      </c>
    </row>
    <row r="2112" spans="1:9" x14ac:dyDescent="0.2">
      <c r="A2112" s="2">
        <v>4</v>
      </c>
      <c r="B2112" s="1" t="s">
        <v>337</v>
      </c>
      <c r="C2112" s="4">
        <v>4</v>
      </c>
      <c r="D2112" s="8">
        <v>4.49</v>
      </c>
      <c r="E2112" s="4">
        <v>4</v>
      </c>
      <c r="F2112" s="8">
        <v>7.55</v>
      </c>
      <c r="G2112" s="4">
        <v>0</v>
      </c>
      <c r="H2112" s="8">
        <v>0</v>
      </c>
      <c r="I2112" s="4">
        <v>0</v>
      </c>
    </row>
    <row r="2113" spans="1:9" x14ac:dyDescent="0.2">
      <c r="A2113" s="2">
        <v>4</v>
      </c>
      <c r="B2113" s="1" t="s">
        <v>299</v>
      </c>
      <c r="C2113" s="4">
        <v>4</v>
      </c>
      <c r="D2113" s="8">
        <v>4.49</v>
      </c>
      <c r="E2113" s="4">
        <v>4</v>
      </c>
      <c r="F2113" s="8">
        <v>7.55</v>
      </c>
      <c r="G2113" s="4">
        <v>0</v>
      </c>
      <c r="H2113" s="8">
        <v>0</v>
      </c>
      <c r="I2113" s="4">
        <v>0</v>
      </c>
    </row>
    <row r="2114" spans="1:9" x14ac:dyDescent="0.2">
      <c r="A2114" s="2">
        <v>4</v>
      </c>
      <c r="B2114" s="1" t="s">
        <v>411</v>
      </c>
      <c r="C2114" s="4">
        <v>4</v>
      </c>
      <c r="D2114" s="8">
        <v>4.49</v>
      </c>
      <c r="E2114" s="4">
        <v>4</v>
      </c>
      <c r="F2114" s="8">
        <v>7.55</v>
      </c>
      <c r="G2114" s="4">
        <v>0</v>
      </c>
      <c r="H2114" s="8">
        <v>0</v>
      </c>
      <c r="I2114" s="4">
        <v>0</v>
      </c>
    </row>
    <row r="2115" spans="1:9" x14ac:dyDescent="0.2">
      <c r="A2115" s="2">
        <v>7</v>
      </c>
      <c r="B2115" s="1" t="s">
        <v>289</v>
      </c>
      <c r="C2115" s="4">
        <v>3</v>
      </c>
      <c r="D2115" s="8">
        <v>3.37</v>
      </c>
      <c r="E2115" s="4">
        <v>2</v>
      </c>
      <c r="F2115" s="8">
        <v>3.77</v>
      </c>
      <c r="G2115" s="4">
        <v>1</v>
      </c>
      <c r="H2115" s="8">
        <v>3.23</v>
      </c>
      <c r="I2115" s="4">
        <v>0</v>
      </c>
    </row>
    <row r="2116" spans="1:9" x14ac:dyDescent="0.2">
      <c r="A2116" s="2">
        <v>7</v>
      </c>
      <c r="B2116" s="1" t="s">
        <v>342</v>
      </c>
      <c r="C2116" s="4">
        <v>3</v>
      </c>
      <c r="D2116" s="8">
        <v>3.37</v>
      </c>
      <c r="E2116" s="4">
        <v>0</v>
      </c>
      <c r="F2116" s="8">
        <v>0</v>
      </c>
      <c r="G2116" s="4">
        <v>2</v>
      </c>
      <c r="H2116" s="8">
        <v>6.45</v>
      </c>
      <c r="I2116" s="4">
        <v>1</v>
      </c>
    </row>
    <row r="2117" spans="1:9" x14ac:dyDescent="0.2">
      <c r="A2117" s="2">
        <v>7</v>
      </c>
      <c r="B2117" s="1" t="s">
        <v>329</v>
      </c>
      <c r="C2117" s="4">
        <v>3</v>
      </c>
      <c r="D2117" s="8">
        <v>3.37</v>
      </c>
      <c r="E2117" s="4">
        <v>2</v>
      </c>
      <c r="F2117" s="8">
        <v>3.77</v>
      </c>
      <c r="G2117" s="4">
        <v>1</v>
      </c>
      <c r="H2117" s="8">
        <v>3.23</v>
      </c>
      <c r="I2117" s="4">
        <v>0</v>
      </c>
    </row>
    <row r="2118" spans="1:9" x14ac:dyDescent="0.2">
      <c r="A2118" s="2">
        <v>7</v>
      </c>
      <c r="B2118" s="1" t="s">
        <v>334</v>
      </c>
      <c r="C2118" s="4">
        <v>3</v>
      </c>
      <c r="D2118" s="8">
        <v>3.37</v>
      </c>
      <c r="E2118" s="4">
        <v>2</v>
      </c>
      <c r="F2118" s="8">
        <v>3.77</v>
      </c>
      <c r="G2118" s="4">
        <v>1</v>
      </c>
      <c r="H2118" s="8">
        <v>3.23</v>
      </c>
      <c r="I2118" s="4">
        <v>0</v>
      </c>
    </row>
    <row r="2119" spans="1:9" x14ac:dyDescent="0.2">
      <c r="A2119" s="2">
        <v>7</v>
      </c>
      <c r="B2119" s="1" t="s">
        <v>301</v>
      </c>
      <c r="C2119" s="4">
        <v>3</v>
      </c>
      <c r="D2119" s="8">
        <v>3.37</v>
      </c>
      <c r="E2119" s="4">
        <v>3</v>
      </c>
      <c r="F2119" s="8">
        <v>5.66</v>
      </c>
      <c r="G2119" s="4">
        <v>0</v>
      </c>
      <c r="H2119" s="8">
        <v>0</v>
      </c>
      <c r="I2119" s="4">
        <v>0</v>
      </c>
    </row>
    <row r="2120" spans="1:9" x14ac:dyDescent="0.2">
      <c r="A2120" s="2">
        <v>7</v>
      </c>
      <c r="B2120" s="1" t="s">
        <v>304</v>
      </c>
      <c r="C2120" s="4">
        <v>3</v>
      </c>
      <c r="D2120" s="8">
        <v>3.37</v>
      </c>
      <c r="E2120" s="4">
        <v>3</v>
      </c>
      <c r="F2120" s="8">
        <v>5.66</v>
      </c>
      <c r="G2120" s="4">
        <v>0</v>
      </c>
      <c r="H2120" s="8">
        <v>0</v>
      </c>
      <c r="I2120" s="4">
        <v>0</v>
      </c>
    </row>
    <row r="2121" spans="1:9" x14ac:dyDescent="0.2">
      <c r="A2121" s="2">
        <v>13</v>
      </c>
      <c r="B2121" s="1" t="s">
        <v>395</v>
      </c>
      <c r="C2121" s="4">
        <v>2</v>
      </c>
      <c r="D2121" s="8">
        <v>2.25</v>
      </c>
      <c r="E2121" s="4">
        <v>0</v>
      </c>
      <c r="F2121" s="8">
        <v>0</v>
      </c>
      <c r="G2121" s="4">
        <v>2</v>
      </c>
      <c r="H2121" s="8">
        <v>6.45</v>
      </c>
      <c r="I2121" s="4">
        <v>0</v>
      </c>
    </row>
    <row r="2122" spans="1:9" x14ac:dyDescent="0.2">
      <c r="A2122" s="2">
        <v>13</v>
      </c>
      <c r="B2122" s="1" t="s">
        <v>324</v>
      </c>
      <c r="C2122" s="4">
        <v>2</v>
      </c>
      <c r="D2122" s="8">
        <v>2.25</v>
      </c>
      <c r="E2122" s="4">
        <v>0</v>
      </c>
      <c r="F2122" s="8">
        <v>0</v>
      </c>
      <c r="G2122" s="4">
        <v>2</v>
      </c>
      <c r="H2122" s="8">
        <v>6.45</v>
      </c>
      <c r="I2122" s="4">
        <v>0</v>
      </c>
    </row>
    <row r="2123" spans="1:9" x14ac:dyDescent="0.2">
      <c r="A2123" s="2">
        <v>13</v>
      </c>
      <c r="B2123" s="1" t="s">
        <v>314</v>
      </c>
      <c r="C2123" s="4">
        <v>2</v>
      </c>
      <c r="D2123" s="8">
        <v>2.25</v>
      </c>
      <c r="E2123" s="4">
        <v>1</v>
      </c>
      <c r="F2123" s="8">
        <v>1.89</v>
      </c>
      <c r="G2123" s="4">
        <v>1</v>
      </c>
      <c r="H2123" s="8">
        <v>3.23</v>
      </c>
      <c r="I2123" s="4">
        <v>0</v>
      </c>
    </row>
    <row r="2124" spans="1:9" x14ac:dyDescent="0.2">
      <c r="A2124" s="2">
        <v>13</v>
      </c>
      <c r="B2124" s="1" t="s">
        <v>295</v>
      </c>
      <c r="C2124" s="4">
        <v>2</v>
      </c>
      <c r="D2124" s="8">
        <v>2.25</v>
      </c>
      <c r="E2124" s="4">
        <v>2</v>
      </c>
      <c r="F2124" s="8">
        <v>3.77</v>
      </c>
      <c r="G2124" s="4">
        <v>0</v>
      </c>
      <c r="H2124" s="8">
        <v>0</v>
      </c>
      <c r="I2124" s="4">
        <v>0</v>
      </c>
    </row>
    <row r="2125" spans="1:9" x14ac:dyDescent="0.2">
      <c r="A2125" s="2">
        <v>13</v>
      </c>
      <c r="B2125" s="1" t="s">
        <v>405</v>
      </c>
      <c r="C2125" s="4">
        <v>2</v>
      </c>
      <c r="D2125" s="8">
        <v>2.25</v>
      </c>
      <c r="E2125" s="4">
        <v>2</v>
      </c>
      <c r="F2125" s="8">
        <v>3.77</v>
      </c>
      <c r="G2125" s="4">
        <v>0</v>
      </c>
      <c r="H2125" s="8">
        <v>0</v>
      </c>
      <c r="I2125" s="4">
        <v>0</v>
      </c>
    </row>
    <row r="2126" spans="1:9" x14ac:dyDescent="0.2">
      <c r="A2126" s="2">
        <v>13</v>
      </c>
      <c r="B2126" s="1" t="s">
        <v>349</v>
      </c>
      <c r="C2126" s="4">
        <v>2</v>
      </c>
      <c r="D2126" s="8">
        <v>2.25</v>
      </c>
      <c r="E2126" s="4">
        <v>0</v>
      </c>
      <c r="F2126" s="8">
        <v>0</v>
      </c>
      <c r="G2126" s="4">
        <v>2</v>
      </c>
      <c r="H2126" s="8">
        <v>6.45</v>
      </c>
      <c r="I2126" s="4">
        <v>0</v>
      </c>
    </row>
    <row r="2127" spans="1:9" x14ac:dyDescent="0.2">
      <c r="A2127" s="2">
        <v>13</v>
      </c>
      <c r="B2127" s="1" t="s">
        <v>390</v>
      </c>
      <c r="C2127" s="4">
        <v>2</v>
      </c>
      <c r="D2127" s="8">
        <v>2.25</v>
      </c>
      <c r="E2127" s="4">
        <v>1</v>
      </c>
      <c r="F2127" s="8">
        <v>1.89</v>
      </c>
      <c r="G2127" s="4">
        <v>1</v>
      </c>
      <c r="H2127" s="8">
        <v>3.23</v>
      </c>
      <c r="I2127" s="4">
        <v>0</v>
      </c>
    </row>
    <row r="2128" spans="1:9" x14ac:dyDescent="0.2">
      <c r="A2128" s="2">
        <v>13</v>
      </c>
      <c r="B2128" s="1" t="s">
        <v>325</v>
      </c>
      <c r="C2128" s="4">
        <v>2</v>
      </c>
      <c r="D2128" s="8">
        <v>2.25</v>
      </c>
      <c r="E2128" s="4">
        <v>0</v>
      </c>
      <c r="F2128" s="8">
        <v>0</v>
      </c>
      <c r="G2128" s="4">
        <v>1</v>
      </c>
      <c r="H2128" s="8">
        <v>3.23</v>
      </c>
      <c r="I2128" s="4">
        <v>0</v>
      </c>
    </row>
    <row r="2129" spans="1:9" x14ac:dyDescent="0.2">
      <c r="A2129" s="2">
        <v>13</v>
      </c>
      <c r="B2129" s="1" t="s">
        <v>341</v>
      </c>
      <c r="C2129" s="4">
        <v>2</v>
      </c>
      <c r="D2129" s="8">
        <v>2.25</v>
      </c>
      <c r="E2129" s="4">
        <v>0</v>
      </c>
      <c r="F2129" s="8">
        <v>0</v>
      </c>
      <c r="G2129" s="4">
        <v>0</v>
      </c>
      <c r="H2129" s="8">
        <v>0</v>
      </c>
      <c r="I2129" s="4">
        <v>0</v>
      </c>
    </row>
    <row r="2130" spans="1:9" x14ac:dyDescent="0.2">
      <c r="A2130" s="1"/>
      <c r="C2130" s="4"/>
      <c r="D2130" s="8"/>
      <c r="E2130" s="4"/>
      <c r="F2130" s="8"/>
      <c r="G2130" s="4"/>
      <c r="H2130" s="8"/>
      <c r="I2130" s="4"/>
    </row>
    <row r="2131" spans="1:9" x14ac:dyDescent="0.2">
      <c r="A2131" s="1" t="s">
        <v>79</v>
      </c>
      <c r="C2131" s="4"/>
      <c r="D2131" s="8"/>
      <c r="E2131" s="4"/>
      <c r="F2131" s="8"/>
      <c r="G2131" s="4"/>
      <c r="H2131" s="8"/>
      <c r="I2131" s="4"/>
    </row>
    <row r="2132" spans="1:9" x14ac:dyDescent="0.2">
      <c r="A2132" s="2">
        <v>1</v>
      </c>
      <c r="B2132" s="1" t="s">
        <v>303</v>
      </c>
      <c r="C2132" s="4">
        <v>7</v>
      </c>
      <c r="D2132" s="8">
        <v>6.67</v>
      </c>
      <c r="E2132" s="4">
        <v>7</v>
      </c>
      <c r="F2132" s="8">
        <v>11.29</v>
      </c>
      <c r="G2132" s="4">
        <v>0</v>
      </c>
      <c r="H2132" s="8">
        <v>0</v>
      </c>
      <c r="I2132" s="4">
        <v>0</v>
      </c>
    </row>
    <row r="2133" spans="1:9" x14ac:dyDescent="0.2">
      <c r="A2133" s="2">
        <v>2</v>
      </c>
      <c r="B2133" s="1" t="s">
        <v>330</v>
      </c>
      <c r="C2133" s="4">
        <v>6</v>
      </c>
      <c r="D2133" s="8">
        <v>5.71</v>
      </c>
      <c r="E2133" s="4">
        <v>2</v>
      </c>
      <c r="F2133" s="8">
        <v>3.23</v>
      </c>
      <c r="G2133" s="4">
        <v>4</v>
      </c>
      <c r="H2133" s="8">
        <v>11.11</v>
      </c>
      <c r="I2133" s="4">
        <v>0</v>
      </c>
    </row>
    <row r="2134" spans="1:9" x14ac:dyDescent="0.2">
      <c r="A2134" s="2">
        <v>3</v>
      </c>
      <c r="B2134" s="1" t="s">
        <v>304</v>
      </c>
      <c r="C2134" s="4">
        <v>5</v>
      </c>
      <c r="D2134" s="8">
        <v>4.76</v>
      </c>
      <c r="E2134" s="4">
        <v>5</v>
      </c>
      <c r="F2134" s="8">
        <v>8.06</v>
      </c>
      <c r="G2134" s="4">
        <v>0</v>
      </c>
      <c r="H2134" s="8">
        <v>0</v>
      </c>
      <c r="I2134" s="4">
        <v>0</v>
      </c>
    </row>
    <row r="2135" spans="1:9" x14ac:dyDescent="0.2">
      <c r="A2135" s="2">
        <v>4</v>
      </c>
      <c r="B2135" s="1" t="s">
        <v>411</v>
      </c>
      <c r="C2135" s="4">
        <v>4</v>
      </c>
      <c r="D2135" s="8">
        <v>3.81</v>
      </c>
      <c r="E2135" s="4">
        <v>4</v>
      </c>
      <c r="F2135" s="8">
        <v>6.45</v>
      </c>
      <c r="G2135" s="4">
        <v>0</v>
      </c>
      <c r="H2135" s="8">
        <v>0</v>
      </c>
      <c r="I2135" s="4">
        <v>0</v>
      </c>
    </row>
    <row r="2136" spans="1:9" x14ac:dyDescent="0.2">
      <c r="A2136" s="2">
        <v>5</v>
      </c>
      <c r="B2136" s="1" t="s">
        <v>353</v>
      </c>
      <c r="C2136" s="4">
        <v>3</v>
      </c>
      <c r="D2136" s="8">
        <v>2.86</v>
      </c>
      <c r="E2136" s="4">
        <v>2</v>
      </c>
      <c r="F2136" s="8">
        <v>3.23</v>
      </c>
      <c r="G2136" s="4">
        <v>1</v>
      </c>
      <c r="H2136" s="8">
        <v>2.78</v>
      </c>
      <c r="I2136" s="4">
        <v>0</v>
      </c>
    </row>
    <row r="2137" spans="1:9" x14ac:dyDescent="0.2">
      <c r="A2137" s="2">
        <v>5</v>
      </c>
      <c r="B2137" s="1" t="s">
        <v>290</v>
      </c>
      <c r="C2137" s="4">
        <v>3</v>
      </c>
      <c r="D2137" s="8">
        <v>2.86</v>
      </c>
      <c r="E2137" s="4">
        <v>2</v>
      </c>
      <c r="F2137" s="8">
        <v>3.23</v>
      </c>
      <c r="G2137" s="4">
        <v>1</v>
      </c>
      <c r="H2137" s="8">
        <v>2.78</v>
      </c>
      <c r="I2137" s="4">
        <v>0</v>
      </c>
    </row>
    <row r="2138" spans="1:9" x14ac:dyDescent="0.2">
      <c r="A2138" s="2">
        <v>5</v>
      </c>
      <c r="B2138" s="1" t="s">
        <v>292</v>
      </c>
      <c r="C2138" s="4">
        <v>3</v>
      </c>
      <c r="D2138" s="8">
        <v>2.86</v>
      </c>
      <c r="E2138" s="4">
        <v>3</v>
      </c>
      <c r="F2138" s="8">
        <v>4.84</v>
      </c>
      <c r="G2138" s="4">
        <v>0</v>
      </c>
      <c r="H2138" s="8">
        <v>0</v>
      </c>
      <c r="I2138" s="4">
        <v>0</v>
      </c>
    </row>
    <row r="2139" spans="1:9" x14ac:dyDescent="0.2">
      <c r="A2139" s="2">
        <v>5</v>
      </c>
      <c r="B2139" s="1" t="s">
        <v>301</v>
      </c>
      <c r="C2139" s="4">
        <v>3</v>
      </c>
      <c r="D2139" s="8">
        <v>2.86</v>
      </c>
      <c r="E2139" s="4">
        <v>3</v>
      </c>
      <c r="F2139" s="8">
        <v>4.84</v>
      </c>
      <c r="G2139" s="4">
        <v>0</v>
      </c>
      <c r="H2139" s="8">
        <v>0</v>
      </c>
      <c r="I2139" s="4">
        <v>0</v>
      </c>
    </row>
    <row r="2140" spans="1:9" x14ac:dyDescent="0.2">
      <c r="A2140" s="2">
        <v>5</v>
      </c>
      <c r="B2140" s="1" t="s">
        <v>325</v>
      </c>
      <c r="C2140" s="4">
        <v>3</v>
      </c>
      <c r="D2140" s="8">
        <v>2.86</v>
      </c>
      <c r="E2140" s="4">
        <v>0</v>
      </c>
      <c r="F2140" s="8">
        <v>0</v>
      </c>
      <c r="G2140" s="4">
        <v>2</v>
      </c>
      <c r="H2140" s="8">
        <v>5.56</v>
      </c>
      <c r="I2140" s="4">
        <v>0</v>
      </c>
    </row>
    <row r="2141" spans="1:9" x14ac:dyDescent="0.2">
      <c r="A2141" s="2">
        <v>5</v>
      </c>
      <c r="B2141" s="1" t="s">
        <v>331</v>
      </c>
      <c r="C2141" s="4">
        <v>3</v>
      </c>
      <c r="D2141" s="8">
        <v>2.86</v>
      </c>
      <c r="E2141" s="4">
        <v>0</v>
      </c>
      <c r="F2141" s="8">
        <v>0</v>
      </c>
      <c r="G2141" s="4">
        <v>0</v>
      </c>
      <c r="H2141" s="8">
        <v>0</v>
      </c>
      <c r="I2141" s="4">
        <v>0</v>
      </c>
    </row>
    <row r="2142" spans="1:9" x14ac:dyDescent="0.2">
      <c r="A2142" s="2">
        <v>11</v>
      </c>
      <c r="B2142" s="1" t="s">
        <v>328</v>
      </c>
      <c r="C2142" s="4">
        <v>2</v>
      </c>
      <c r="D2142" s="8">
        <v>1.9</v>
      </c>
      <c r="E2142" s="4">
        <v>1</v>
      </c>
      <c r="F2142" s="8">
        <v>1.61</v>
      </c>
      <c r="G2142" s="4">
        <v>1</v>
      </c>
      <c r="H2142" s="8">
        <v>2.78</v>
      </c>
      <c r="I2142" s="4">
        <v>0</v>
      </c>
    </row>
    <row r="2143" spans="1:9" x14ac:dyDescent="0.2">
      <c r="A2143" s="2">
        <v>11</v>
      </c>
      <c r="B2143" s="1" t="s">
        <v>343</v>
      </c>
      <c r="C2143" s="4">
        <v>2</v>
      </c>
      <c r="D2143" s="8">
        <v>1.9</v>
      </c>
      <c r="E2143" s="4">
        <v>1</v>
      </c>
      <c r="F2143" s="8">
        <v>1.61</v>
      </c>
      <c r="G2143" s="4">
        <v>1</v>
      </c>
      <c r="H2143" s="8">
        <v>2.78</v>
      </c>
      <c r="I2143" s="4">
        <v>0</v>
      </c>
    </row>
    <row r="2144" spans="1:9" x14ac:dyDescent="0.2">
      <c r="A2144" s="2">
        <v>11</v>
      </c>
      <c r="B2144" s="1" t="s">
        <v>333</v>
      </c>
      <c r="C2144" s="4">
        <v>2</v>
      </c>
      <c r="D2144" s="8">
        <v>1.9</v>
      </c>
      <c r="E2144" s="4">
        <v>1</v>
      </c>
      <c r="F2144" s="8">
        <v>1.61</v>
      </c>
      <c r="G2144" s="4">
        <v>1</v>
      </c>
      <c r="H2144" s="8">
        <v>2.78</v>
      </c>
      <c r="I2144" s="4">
        <v>0</v>
      </c>
    </row>
    <row r="2145" spans="1:9" x14ac:dyDescent="0.2">
      <c r="A2145" s="2">
        <v>11</v>
      </c>
      <c r="B2145" s="1" t="s">
        <v>342</v>
      </c>
      <c r="C2145" s="4">
        <v>2</v>
      </c>
      <c r="D2145" s="8">
        <v>1.9</v>
      </c>
      <c r="E2145" s="4">
        <v>1</v>
      </c>
      <c r="F2145" s="8">
        <v>1.61</v>
      </c>
      <c r="G2145" s="4">
        <v>1</v>
      </c>
      <c r="H2145" s="8">
        <v>2.78</v>
      </c>
      <c r="I2145" s="4">
        <v>0</v>
      </c>
    </row>
    <row r="2146" spans="1:9" x14ac:dyDescent="0.2">
      <c r="A2146" s="2">
        <v>11</v>
      </c>
      <c r="B2146" s="1" t="s">
        <v>357</v>
      </c>
      <c r="C2146" s="4">
        <v>2</v>
      </c>
      <c r="D2146" s="8">
        <v>1.9</v>
      </c>
      <c r="E2146" s="4">
        <v>0</v>
      </c>
      <c r="F2146" s="8">
        <v>0</v>
      </c>
      <c r="G2146" s="4">
        <v>2</v>
      </c>
      <c r="H2146" s="8">
        <v>5.56</v>
      </c>
      <c r="I2146" s="4">
        <v>0</v>
      </c>
    </row>
    <row r="2147" spans="1:9" x14ac:dyDescent="0.2">
      <c r="A2147" s="2">
        <v>11</v>
      </c>
      <c r="B2147" s="1" t="s">
        <v>365</v>
      </c>
      <c r="C2147" s="4">
        <v>2</v>
      </c>
      <c r="D2147" s="8">
        <v>1.9</v>
      </c>
      <c r="E2147" s="4">
        <v>2</v>
      </c>
      <c r="F2147" s="8">
        <v>3.23</v>
      </c>
      <c r="G2147" s="4">
        <v>0</v>
      </c>
      <c r="H2147" s="8">
        <v>0</v>
      </c>
      <c r="I2147" s="4">
        <v>0</v>
      </c>
    </row>
    <row r="2148" spans="1:9" x14ac:dyDescent="0.2">
      <c r="A2148" s="2">
        <v>11</v>
      </c>
      <c r="B2148" s="1" t="s">
        <v>380</v>
      </c>
      <c r="C2148" s="4">
        <v>2</v>
      </c>
      <c r="D2148" s="8">
        <v>1.9</v>
      </c>
      <c r="E2148" s="4">
        <v>0</v>
      </c>
      <c r="F2148" s="8">
        <v>0</v>
      </c>
      <c r="G2148" s="4">
        <v>2</v>
      </c>
      <c r="H2148" s="8">
        <v>5.56</v>
      </c>
      <c r="I2148" s="4">
        <v>0</v>
      </c>
    </row>
    <row r="2149" spans="1:9" x14ac:dyDescent="0.2">
      <c r="A2149" s="2">
        <v>11</v>
      </c>
      <c r="B2149" s="1" t="s">
        <v>329</v>
      </c>
      <c r="C2149" s="4">
        <v>2</v>
      </c>
      <c r="D2149" s="8">
        <v>1.9</v>
      </c>
      <c r="E2149" s="4">
        <v>1</v>
      </c>
      <c r="F2149" s="8">
        <v>1.61</v>
      </c>
      <c r="G2149" s="4">
        <v>1</v>
      </c>
      <c r="H2149" s="8">
        <v>2.78</v>
      </c>
      <c r="I2149" s="4">
        <v>0</v>
      </c>
    </row>
    <row r="2150" spans="1:9" x14ac:dyDescent="0.2">
      <c r="A2150" s="2">
        <v>11</v>
      </c>
      <c r="B2150" s="1" t="s">
        <v>401</v>
      </c>
      <c r="C2150" s="4">
        <v>2</v>
      </c>
      <c r="D2150" s="8">
        <v>1.9</v>
      </c>
      <c r="E2150" s="4">
        <v>1</v>
      </c>
      <c r="F2150" s="8">
        <v>1.61</v>
      </c>
      <c r="G2150" s="4">
        <v>1</v>
      </c>
      <c r="H2150" s="8">
        <v>2.78</v>
      </c>
      <c r="I2150" s="4">
        <v>0</v>
      </c>
    </row>
    <row r="2151" spans="1:9" x14ac:dyDescent="0.2">
      <c r="A2151" s="2">
        <v>11</v>
      </c>
      <c r="B2151" s="1" t="s">
        <v>294</v>
      </c>
      <c r="C2151" s="4">
        <v>2</v>
      </c>
      <c r="D2151" s="8">
        <v>1.9</v>
      </c>
      <c r="E2151" s="4">
        <v>1</v>
      </c>
      <c r="F2151" s="8">
        <v>1.61</v>
      </c>
      <c r="G2151" s="4">
        <v>1</v>
      </c>
      <c r="H2151" s="8">
        <v>2.78</v>
      </c>
      <c r="I2151" s="4">
        <v>0</v>
      </c>
    </row>
    <row r="2152" spans="1:9" x14ac:dyDescent="0.2">
      <c r="A2152" s="2">
        <v>11</v>
      </c>
      <c r="B2152" s="1" t="s">
        <v>295</v>
      </c>
      <c r="C2152" s="4">
        <v>2</v>
      </c>
      <c r="D2152" s="8">
        <v>1.9</v>
      </c>
      <c r="E2152" s="4">
        <v>1</v>
      </c>
      <c r="F2152" s="8">
        <v>1.61</v>
      </c>
      <c r="G2152" s="4">
        <v>1</v>
      </c>
      <c r="H2152" s="8">
        <v>2.78</v>
      </c>
      <c r="I2152" s="4">
        <v>0</v>
      </c>
    </row>
    <row r="2153" spans="1:9" x14ac:dyDescent="0.2">
      <c r="A2153" s="2">
        <v>11</v>
      </c>
      <c r="B2153" s="1" t="s">
        <v>297</v>
      </c>
      <c r="C2153" s="4">
        <v>2</v>
      </c>
      <c r="D2153" s="8">
        <v>1.9</v>
      </c>
      <c r="E2153" s="4">
        <v>1</v>
      </c>
      <c r="F2153" s="8">
        <v>1.61</v>
      </c>
      <c r="G2153" s="4">
        <v>1</v>
      </c>
      <c r="H2153" s="8">
        <v>2.78</v>
      </c>
      <c r="I2153" s="4">
        <v>0</v>
      </c>
    </row>
    <row r="2154" spans="1:9" x14ac:dyDescent="0.2">
      <c r="A2154" s="2">
        <v>11</v>
      </c>
      <c r="B2154" s="1" t="s">
        <v>339</v>
      </c>
      <c r="C2154" s="4">
        <v>2</v>
      </c>
      <c r="D2154" s="8">
        <v>1.9</v>
      </c>
      <c r="E2154" s="4">
        <v>2</v>
      </c>
      <c r="F2154" s="8">
        <v>3.23</v>
      </c>
      <c r="G2154" s="4">
        <v>0</v>
      </c>
      <c r="H2154" s="8">
        <v>0</v>
      </c>
      <c r="I2154" s="4">
        <v>0</v>
      </c>
    </row>
    <row r="2155" spans="1:9" x14ac:dyDescent="0.2">
      <c r="A2155" s="2">
        <v>11</v>
      </c>
      <c r="B2155" s="1" t="s">
        <v>299</v>
      </c>
      <c r="C2155" s="4">
        <v>2</v>
      </c>
      <c r="D2155" s="8">
        <v>1.9</v>
      </c>
      <c r="E2155" s="4">
        <v>2</v>
      </c>
      <c r="F2155" s="8">
        <v>3.23</v>
      </c>
      <c r="G2155" s="4">
        <v>0</v>
      </c>
      <c r="H2155" s="8">
        <v>0</v>
      </c>
      <c r="I2155" s="4">
        <v>0</v>
      </c>
    </row>
    <row r="2156" spans="1:9" x14ac:dyDescent="0.2">
      <c r="A2156" s="2">
        <v>11</v>
      </c>
      <c r="B2156" s="1" t="s">
        <v>300</v>
      </c>
      <c r="C2156" s="4">
        <v>2</v>
      </c>
      <c r="D2156" s="8">
        <v>1.9</v>
      </c>
      <c r="E2156" s="4">
        <v>2</v>
      </c>
      <c r="F2156" s="8">
        <v>3.23</v>
      </c>
      <c r="G2156" s="4">
        <v>0</v>
      </c>
      <c r="H2156" s="8">
        <v>0</v>
      </c>
      <c r="I2156" s="4">
        <v>0</v>
      </c>
    </row>
    <row r="2157" spans="1:9" x14ac:dyDescent="0.2">
      <c r="A2157" s="2">
        <v>11</v>
      </c>
      <c r="B2157" s="1" t="s">
        <v>312</v>
      </c>
      <c r="C2157" s="4">
        <v>2</v>
      </c>
      <c r="D2157" s="8">
        <v>1.9</v>
      </c>
      <c r="E2157" s="4">
        <v>2</v>
      </c>
      <c r="F2157" s="8">
        <v>3.23</v>
      </c>
      <c r="G2157" s="4">
        <v>0</v>
      </c>
      <c r="H2157" s="8">
        <v>0</v>
      </c>
      <c r="I2157" s="4">
        <v>0</v>
      </c>
    </row>
    <row r="2158" spans="1:9" x14ac:dyDescent="0.2">
      <c r="A2158" s="2">
        <v>11</v>
      </c>
      <c r="B2158" s="1" t="s">
        <v>306</v>
      </c>
      <c r="C2158" s="4">
        <v>2</v>
      </c>
      <c r="D2158" s="8">
        <v>1.9</v>
      </c>
      <c r="E2158" s="4">
        <v>2</v>
      </c>
      <c r="F2158" s="8">
        <v>3.23</v>
      </c>
      <c r="G2158" s="4">
        <v>0</v>
      </c>
      <c r="H2158" s="8">
        <v>0</v>
      </c>
      <c r="I2158" s="4">
        <v>0</v>
      </c>
    </row>
    <row r="2159" spans="1:9" x14ac:dyDescent="0.2">
      <c r="A2159" s="2">
        <v>11</v>
      </c>
      <c r="B2159" s="1" t="s">
        <v>318</v>
      </c>
      <c r="C2159" s="4">
        <v>2</v>
      </c>
      <c r="D2159" s="8">
        <v>1.9</v>
      </c>
      <c r="E2159" s="4">
        <v>2</v>
      </c>
      <c r="F2159" s="8">
        <v>3.23</v>
      </c>
      <c r="G2159" s="4">
        <v>0</v>
      </c>
      <c r="H2159" s="8">
        <v>0</v>
      </c>
      <c r="I2159" s="4">
        <v>0</v>
      </c>
    </row>
    <row r="2160" spans="1:9" x14ac:dyDescent="0.2">
      <c r="A2160" s="1"/>
      <c r="C2160" s="4"/>
      <c r="D2160" s="8"/>
      <c r="E2160" s="4"/>
      <c r="F2160" s="8"/>
      <c r="G2160" s="4"/>
      <c r="H2160" s="8"/>
      <c r="I2160" s="4"/>
    </row>
    <row r="2161" spans="1:9" x14ac:dyDescent="0.2">
      <c r="A2161" s="1" t="s">
        <v>80</v>
      </c>
      <c r="C2161" s="4"/>
      <c r="D2161" s="8"/>
      <c r="E2161" s="4"/>
      <c r="F2161" s="8"/>
      <c r="G2161" s="4"/>
      <c r="H2161" s="8"/>
      <c r="I2161" s="4"/>
    </row>
    <row r="2162" spans="1:9" x14ac:dyDescent="0.2">
      <c r="A2162" s="2">
        <v>1</v>
      </c>
      <c r="B2162" s="1" t="s">
        <v>297</v>
      </c>
      <c r="C2162" s="4">
        <v>5</v>
      </c>
      <c r="D2162" s="8">
        <v>6.67</v>
      </c>
      <c r="E2162" s="4">
        <v>0</v>
      </c>
      <c r="F2162" s="8">
        <v>0</v>
      </c>
      <c r="G2162" s="4">
        <v>4</v>
      </c>
      <c r="H2162" s="8">
        <v>8.89</v>
      </c>
      <c r="I2162" s="4">
        <v>0</v>
      </c>
    </row>
    <row r="2163" spans="1:9" x14ac:dyDescent="0.2">
      <c r="A2163" s="2">
        <v>2</v>
      </c>
      <c r="B2163" s="1" t="s">
        <v>299</v>
      </c>
      <c r="C2163" s="4">
        <v>4</v>
      </c>
      <c r="D2163" s="8">
        <v>5.33</v>
      </c>
      <c r="E2163" s="4">
        <v>3</v>
      </c>
      <c r="F2163" s="8">
        <v>11.54</v>
      </c>
      <c r="G2163" s="4">
        <v>1</v>
      </c>
      <c r="H2163" s="8">
        <v>2.2200000000000002</v>
      </c>
      <c r="I2163" s="4">
        <v>0</v>
      </c>
    </row>
    <row r="2164" spans="1:9" x14ac:dyDescent="0.2">
      <c r="A2164" s="2">
        <v>3</v>
      </c>
      <c r="B2164" s="1" t="s">
        <v>395</v>
      </c>
      <c r="C2164" s="4">
        <v>3</v>
      </c>
      <c r="D2164" s="8">
        <v>4</v>
      </c>
      <c r="E2164" s="4">
        <v>0</v>
      </c>
      <c r="F2164" s="8">
        <v>0</v>
      </c>
      <c r="G2164" s="4">
        <v>3</v>
      </c>
      <c r="H2164" s="8">
        <v>6.67</v>
      </c>
      <c r="I2164" s="4">
        <v>0</v>
      </c>
    </row>
    <row r="2165" spans="1:9" x14ac:dyDescent="0.2">
      <c r="A2165" s="2">
        <v>3</v>
      </c>
      <c r="B2165" s="1" t="s">
        <v>324</v>
      </c>
      <c r="C2165" s="4">
        <v>3</v>
      </c>
      <c r="D2165" s="8">
        <v>4</v>
      </c>
      <c r="E2165" s="4">
        <v>1</v>
      </c>
      <c r="F2165" s="8">
        <v>3.85</v>
      </c>
      <c r="G2165" s="4">
        <v>2</v>
      </c>
      <c r="H2165" s="8">
        <v>4.4400000000000004</v>
      </c>
      <c r="I2165" s="4">
        <v>0</v>
      </c>
    </row>
    <row r="2166" spans="1:9" x14ac:dyDescent="0.2">
      <c r="A2166" s="2">
        <v>3</v>
      </c>
      <c r="B2166" s="1" t="s">
        <v>303</v>
      </c>
      <c r="C2166" s="4">
        <v>3</v>
      </c>
      <c r="D2166" s="8">
        <v>4</v>
      </c>
      <c r="E2166" s="4">
        <v>3</v>
      </c>
      <c r="F2166" s="8">
        <v>11.54</v>
      </c>
      <c r="G2166" s="4">
        <v>0</v>
      </c>
      <c r="H2166" s="8">
        <v>0</v>
      </c>
      <c r="I2166" s="4">
        <v>0</v>
      </c>
    </row>
    <row r="2167" spans="1:9" x14ac:dyDescent="0.2">
      <c r="A2167" s="2">
        <v>3</v>
      </c>
      <c r="B2167" s="1" t="s">
        <v>304</v>
      </c>
      <c r="C2167" s="4">
        <v>3</v>
      </c>
      <c r="D2167" s="8">
        <v>4</v>
      </c>
      <c r="E2167" s="4">
        <v>3</v>
      </c>
      <c r="F2167" s="8">
        <v>11.54</v>
      </c>
      <c r="G2167" s="4">
        <v>0</v>
      </c>
      <c r="H2167" s="8">
        <v>0</v>
      </c>
      <c r="I2167" s="4">
        <v>0</v>
      </c>
    </row>
    <row r="2168" spans="1:9" x14ac:dyDescent="0.2">
      <c r="A2168" s="2">
        <v>3</v>
      </c>
      <c r="B2168" s="1" t="s">
        <v>345</v>
      </c>
      <c r="C2168" s="4">
        <v>3</v>
      </c>
      <c r="D2168" s="8">
        <v>4</v>
      </c>
      <c r="E2168" s="4">
        <v>0</v>
      </c>
      <c r="F2168" s="8">
        <v>0</v>
      </c>
      <c r="G2168" s="4">
        <v>2</v>
      </c>
      <c r="H2168" s="8">
        <v>4.4400000000000004</v>
      </c>
      <c r="I2168" s="4">
        <v>1</v>
      </c>
    </row>
    <row r="2169" spans="1:9" x14ac:dyDescent="0.2">
      <c r="A2169" s="2">
        <v>8</v>
      </c>
      <c r="B2169" s="1" t="s">
        <v>288</v>
      </c>
      <c r="C2169" s="4">
        <v>2</v>
      </c>
      <c r="D2169" s="8">
        <v>2.67</v>
      </c>
      <c r="E2169" s="4">
        <v>0</v>
      </c>
      <c r="F2169" s="8">
        <v>0</v>
      </c>
      <c r="G2169" s="4">
        <v>2</v>
      </c>
      <c r="H2169" s="8">
        <v>4.4400000000000004</v>
      </c>
      <c r="I2169" s="4">
        <v>0</v>
      </c>
    </row>
    <row r="2170" spans="1:9" x14ac:dyDescent="0.2">
      <c r="A2170" s="2">
        <v>8</v>
      </c>
      <c r="B2170" s="1" t="s">
        <v>398</v>
      </c>
      <c r="C2170" s="4">
        <v>2</v>
      </c>
      <c r="D2170" s="8">
        <v>2.67</v>
      </c>
      <c r="E2170" s="4">
        <v>0</v>
      </c>
      <c r="F2170" s="8">
        <v>0</v>
      </c>
      <c r="G2170" s="4">
        <v>2</v>
      </c>
      <c r="H2170" s="8">
        <v>4.4400000000000004</v>
      </c>
      <c r="I2170" s="4">
        <v>0</v>
      </c>
    </row>
    <row r="2171" spans="1:9" x14ac:dyDescent="0.2">
      <c r="A2171" s="2">
        <v>8</v>
      </c>
      <c r="B2171" s="1" t="s">
        <v>443</v>
      </c>
      <c r="C2171" s="4">
        <v>2</v>
      </c>
      <c r="D2171" s="8">
        <v>2.67</v>
      </c>
      <c r="E2171" s="4">
        <v>0</v>
      </c>
      <c r="F2171" s="8">
        <v>0</v>
      </c>
      <c r="G2171" s="4">
        <v>2</v>
      </c>
      <c r="H2171" s="8">
        <v>4.4400000000000004</v>
      </c>
      <c r="I2171" s="4">
        <v>0</v>
      </c>
    </row>
    <row r="2172" spans="1:9" x14ac:dyDescent="0.2">
      <c r="A2172" s="2">
        <v>8</v>
      </c>
      <c r="B2172" s="1" t="s">
        <v>292</v>
      </c>
      <c r="C2172" s="4">
        <v>2</v>
      </c>
      <c r="D2172" s="8">
        <v>2.67</v>
      </c>
      <c r="E2172" s="4">
        <v>2</v>
      </c>
      <c r="F2172" s="8">
        <v>7.69</v>
      </c>
      <c r="G2172" s="4">
        <v>0</v>
      </c>
      <c r="H2172" s="8">
        <v>0</v>
      </c>
      <c r="I2172" s="4">
        <v>0</v>
      </c>
    </row>
    <row r="2173" spans="1:9" x14ac:dyDescent="0.2">
      <c r="A2173" s="2">
        <v>8</v>
      </c>
      <c r="B2173" s="1" t="s">
        <v>330</v>
      </c>
      <c r="C2173" s="4">
        <v>2</v>
      </c>
      <c r="D2173" s="8">
        <v>2.67</v>
      </c>
      <c r="E2173" s="4">
        <v>0</v>
      </c>
      <c r="F2173" s="8">
        <v>0</v>
      </c>
      <c r="G2173" s="4">
        <v>2</v>
      </c>
      <c r="H2173" s="8">
        <v>4.4400000000000004</v>
      </c>
      <c r="I2173" s="4">
        <v>0</v>
      </c>
    </row>
    <row r="2174" spans="1:9" x14ac:dyDescent="0.2">
      <c r="A2174" s="2">
        <v>8</v>
      </c>
      <c r="B2174" s="1" t="s">
        <v>337</v>
      </c>
      <c r="C2174" s="4">
        <v>2</v>
      </c>
      <c r="D2174" s="8">
        <v>2.67</v>
      </c>
      <c r="E2174" s="4">
        <v>1</v>
      </c>
      <c r="F2174" s="8">
        <v>3.85</v>
      </c>
      <c r="G2174" s="4">
        <v>1</v>
      </c>
      <c r="H2174" s="8">
        <v>2.2200000000000002</v>
      </c>
      <c r="I2174" s="4">
        <v>0</v>
      </c>
    </row>
    <row r="2175" spans="1:9" x14ac:dyDescent="0.2">
      <c r="A2175" s="2">
        <v>8</v>
      </c>
      <c r="B2175" s="1" t="s">
        <v>419</v>
      </c>
      <c r="C2175" s="4">
        <v>2</v>
      </c>
      <c r="D2175" s="8">
        <v>2.67</v>
      </c>
      <c r="E2175" s="4">
        <v>1</v>
      </c>
      <c r="F2175" s="8">
        <v>3.85</v>
      </c>
      <c r="G2175" s="4">
        <v>1</v>
      </c>
      <c r="H2175" s="8">
        <v>2.2200000000000002</v>
      </c>
      <c r="I2175" s="4">
        <v>0</v>
      </c>
    </row>
    <row r="2176" spans="1:9" x14ac:dyDescent="0.2">
      <c r="A2176" s="2">
        <v>8</v>
      </c>
      <c r="B2176" s="1" t="s">
        <v>300</v>
      </c>
      <c r="C2176" s="4">
        <v>2</v>
      </c>
      <c r="D2176" s="8">
        <v>2.67</v>
      </c>
      <c r="E2176" s="4">
        <v>2</v>
      </c>
      <c r="F2176" s="8">
        <v>7.69</v>
      </c>
      <c r="G2176" s="4">
        <v>0</v>
      </c>
      <c r="H2176" s="8">
        <v>0</v>
      </c>
      <c r="I2176" s="4">
        <v>0</v>
      </c>
    </row>
    <row r="2177" spans="1:9" x14ac:dyDescent="0.2">
      <c r="A2177" s="2">
        <v>8</v>
      </c>
      <c r="B2177" s="1" t="s">
        <v>306</v>
      </c>
      <c r="C2177" s="4">
        <v>2</v>
      </c>
      <c r="D2177" s="8">
        <v>2.67</v>
      </c>
      <c r="E2177" s="4">
        <v>2</v>
      </c>
      <c r="F2177" s="8">
        <v>7.69</v>
      </c>
      <c r="G2177" s="4">
        <v>0</v>
      </c>
      <c r="H2177" s="8">
        <v>0</v>
      </c>
      <c r="I2177" s="4">
        <v>0</v>
      </c>
    </row>
    <row r="2178" spans="1:9" x14ac:dyDescent="0.2">
      <c r="A2178" s="2">
        <v>8</v>
      </c>
      <c r="B2178" s="1" t="s">
        <v>341</v>
      </c>
      <c r="C2178" s="4">
        <v>2</v>
      </c>
      <c r="D2178" s="8">
        <v>2.67</v>
      </c>
      <c r="E2178" s="4">
        <v>0</v>
      </c>
      <c r="F2178" s="8">
        <v>0</v>
      </c>
      <c r="G2178" s="4">
        <v>1</v>
      </c>
      <c r="H2178" s="8">
        <v>2.2200000000000002</v>
      </c>
      <c r="I2178" s="4">
        <v>1</v>
      </c>
    </row>
    <row r="2179" spans="1:9" x14ac:dyDescent="0.2">
      <c r="A2179" s="2">
        <v>8</v>
      </c>
      <c r="B2179" s="1" t="s">
        <v>331</v>
      </c>
      <c r="C2179" s="4">
        <v>2</v>
      </c>
      <c r="D2179" s="8">
        <v>2.67</v>
      </c>
      <c r="E2179" s="4">
        <v>0</v>
      </c>
      <c r="F2179" s="8">
        <v>0</v>
      </c>
      <c r="G2179" s="4">
        <v>2</v>
      </c>
      <c r="H2179" s="8">
        <v>4.4400000000000004</v>
      </c>
      <c r="I2179" s="4">
        <v>0</v>
      </c>
    </row>
    <row r="2180" spans="1:9" x14ac:dyDescent="0.2">
      <c r="A2180" s="2">
        <v>8</v>
      </c>
      <c r="B2180" s="1" t="s">
        <v>307</v>
      </c>
      <c r="C2180" s="4">
        <v>2</v>
      </c>
      <c r="D2180" s="8">
        <v>2.67</v>
      </c>
      <c r="E2180" s="4">
        <v>0</v>
      </c>
      <c r="F2180" s="8">
        <v>0</v>
      </c>
      <c r="G2180" s="4">
        <v>2</v>
      </c>
      <c r="H2180" s="8">
        <v>4.4400000000000004</v>
      </c>
      <c r="I2180" s="4">
        <v>0</v>
      </c>
    </row>
    <row r="2181" spans="1:9" x14ac:dyDescent="0.2">
      <c r="A2181" s="2">
        <v>20</v>
      </c>
      <c r="B2181" s="1" t="s">
        <v>442</v>
      </c>
      <c r="C2181" s="4">
        <v>1</v>
      </c>
      <c r="D2181" s="8">
        <v>1.33</v>
      </c>
      <c r="E2181" s="4">
        <v>0</v>
      </c>
      <c r="F2181" s="8">
        <v>0</v>
      </c>
      <c r="G2181" s="4">
        <v>1</v>
      </c>
      <c r="H2181" s="8">
        <v>2.2200000000000002</v>
      </c>
      <c r="I2181" s="4">
        <v>0</v>
      </c>
    </row>
    <row r="2182" spans="1:9" x14ac:dyDescent="0.2">
      <c r="A2182" s="2">
        <v>20</v>
      </c>
      <c r="B2182" s="1" t="s">
        <v>319</v>
      </c>
      <c r="C2182" s="4">
        <v>1</v>
      </c>
      <c r="D2182" s="8">
        <v>1.33</v>
      </c>
      <c r="E2182" s="4">
        <v>0</v>
      </c>
      <c r="F2182" s="8">
        <v>0</v>
      </c>
      <c r="G2182" s="4">
        <v>1</v>
      </c>
      <c r="H2182" s="8">
        <v>2.2200000000000002</v>
      </c>
      <c r="I2182" s="4">
        <v>0</v>
      </c>
    </row>
    <row r="2183" spans="1:9" x14ac:dyDescent="0.2">
      <c r="A2183" s="2">
        <v>20</v>
      </c>
      <c r="B2183" s="1" t="s">
        <v>343</v>
      </c>
      <c r="C2183" s="4">
        <v>1</v>
      </c>
      <c r="D2183" s="8">
        <v>1.33</v>
      </c>
      <c r="E2183" s="4">
        <v>1</v>
      </c>
      <c r="F2183" s="8">
        <v>3.85</v>
      </c>
      <c r="G2183" s="4">
        <v>0</v>
      </c>
      <c r="H2183" s="8">
        <v>0</v>
      </c>
      <c r="I2183" s="4">
        <v>0</v>
      </c>
    </row>
    <row r="2184" spans="1:9" x14ac:dyDescent="0.2">
      <c r="A2184" s="2">
        <v>20</v>
      </c>
      <c r="B2184" s="1" t="s">
        <v>333</v>
      </c>
      <c r="C2184" s="4">
        <v>1</v>
      </c>
      <c r="D2184" s="8">
        <v>1.33</v>
      </c>
      <c r="E2184" s="4">
        <v>1</v>
      </c>
      <c r="F2184" s="8">
        <v>3.85</v>
      </c>
      <c r="G2184" s="4">
        <v>0</v>
      </c>
      <c r="H2184" s="8">
        <v>0</v>
      </c>
      <c r="I2184" s="4">
        <v>0</v>
      </c>
    </row>
    <row r="2185" spans="1:9" x14ac:dyDescent="0.2">
      <c r="A2185" s="2">
        <v>20</v>
      </c>
      <c r="B2185" s="1" t="s">
        <v>291</v>
      </c>
      <c r="C2185" s="4">
        <v>1</v>
      </c>
      <c r="D2185" s="8">
        <v>1.33</v>
      </c>
      <c r="E2185" s="4">
        <v>1</v>
      </c>
      <c r="F2185" s="8">
        <v>3.85</v>
      </c>
      <c r="G2185" s="4">
        <v>0</v>
      </c>
      <c r="H2185" s="8">
        <v>0</v>
      </c>
      <c r="I2185" s="4">
        <v>0</v>
      </c>
    </row>
    <row r="2186" spans="1:9" x14ac:dyDescent="0.2">
      <c r="A2186" s="2">
        <v>20</v>
      </c>
      <c r="B2186" s="1" t="s">
        <v>444</v>
      </c>
      <c r="C2186" s="4">
        <v>1</v>
      </c>
      <c r="D2186" s="8">
        <v>1.33</v>
      </c>
      <c r="E2186" s="4">
        <v>0</v>
      </c>
      <c r="F2186" s="8">
        <v>0</v>
      </c>
      <c r="G2186" s="4">
        <v>1</v>
      </c>
      <c r="H2186" s="8">
        <v>2.2200000000000002</v>
      </c>
      <c r="I2186" s="4">
        <v>0</v>
      </c>
    </row>
    <row r="2187" spans="1:9" x14ac:dyDescent="0.2">
      <c r="A2187" s="2">
        <v>20</v>
      </c>
      <c r="B2187" s="1" t="s">
        <v>385</v>
      </c>
      <c r="C2187" s="4">
        <v>1</v>
      </c>
      <c r="D2187" s="8">
        <v>1.33</v>
      </c>
      <c r="E2187" s="4">
        <v>0</v>
      </c>
      <c r="F2187" s="8">
        <v>0</v>
      </c>
      <c r="G2187" s="4">
        <v>1</v>
      </c>
      <c r="H2187" s="8">
        <v>2.2200000000000002</v>
      </c>
      <c r="I2187" s="4">
        <v>0</v>
      </c>
    </row>
    <row r="2188" spans="1:9" x14ac:dyDescent="0.2">
      <c r="A2188" s="2">
        <v>20</v>
      </c>
      <c r="B2188" s="1" t="s">
        <v>432</v>
      </c>
      <c r="C2188" s="4">
        <v>1</v>
      </c>
      <c r="D2188" s="8">
        <v>1.33</v>
      </c>
      <c r="E2188" s="4">
        <v>0</v>
      </c>
      <c r="F2188" s="8">
        <v>0</v>
      </c>
      <c r="G2188" s="4">
        <v>1</v>
      </c>
      <c r="H2188" s="8">
        <v>2.2200000000000002</v>
      </c>
      <c r="I2188" s="4">
        <v>0</v>
      </c>
    </row>
    <row r="2189" spans="1:9" x14ac:dyDescent="0.2">
      <c r="A2189" s="2">
        <v>20</v>
      </c>
      <c r="B2189" s="1" t="s">
        <v>362</v>
      </c>
      <c r="C2189" s="4">
        <v>1</v>
      </c>
      <c r="D2189" s="8">
        <v>1.33</v>
      </c>
      <c r="E2189" s="4">
        <v>0</v>
      </c>
      <c r="F2189" s="8">
        <v>0</v>
      </c>
      <c r="G2189" s="4">
        <v>0</v>
      </c>
      <c r="H2189" s="8">
        <v>0</v>
      </c>
      <c r="I2189" s="4">
        <v>0</v>
      </c>
    </row>
    <row r="2190" spans="1:9" x14ac:dyDescent="0.2">
      <c r="A2190" s="2">
        <v>20</v>
      </c>
      <c r="B2190" s="1" t="s">
        <v>445</v>
      </c>
      <c r="C2190" s="4">
        <v>1</v>
      </c>
      <c r="D2190" s="8">
        <v>1.33</v>
      </c>
      <c r="E2190" s="4">
        <v>0</v>
      </c>
      <c r="F2190" s="8">
        <v>0</v>
      </c>
      <c r="G2190" s="4">
        <v>1</v>
      </c>
      <c r="H2190" s="8">
        <v>2.2200000000000002</v>
      </c>
      <c r="I2190" s="4">
        <v>0</v>
      </c>
    </row>
    <row r="2191" spans="1:9" x14ac:dyDescent="0.2">
      <c r="A2191" s="2">
        <v>20</v>
      </c>
      <c r="B2191" s="1" t="s">
        <v>364</v>
      </c>
      <c r="C2191" s="4">
        <v>1</v>
      </c>
      <c r="D2191" s="8">
        <v>1.33</v>
      </c>
      <c r="E2191" s="4">
        <v>0</v>
      </c>
      <c r="F2191" s="8">
        <v>0</v>
      </c>
      <c r="G2191" s="4">
        <v>1</v>
      </c>
      <c r="H2191" s="8">
        <v>2.2200000000000002</v>
      </c>
      <c r="I2191" s="4">
        <v>0</v>
      </c>
    </row>
    <row r="2192" spans="1:9" x14ac:dyDescent="0.2">
      <c r="A2192" s="2">
        <v>20</v>
      </c>
      <c r="B2192" s="1" t="s">
        <v>446</v>
      </c>
      <c r="C2192" s="4">
        <v>1</v>
      </c>
      <c r="D2192" s="8">
        <v>1.33</v>
      </c>
      <c r="E2192" s="4">
        <v>1</v>
      </c>
      <c r="F2192" s="8">
        <v>3.85</v>
      </c>
      <c r="G2192" s="4">
        <v>0</v>
      </c>
      <c r="H2192" s="8">
        <v>0</v>
      </c>
      <c r="I2192" s="4">
        <v>0</v>
      </c>
    </row>
    <row r="2193" spans="1:9" x14ac:dyDescent="0.2">
      <c r="A2193" s="2">
        <v>20</v>
      </c>
      <c r="B2193" s="1" t="s">
        <v>336</v>
      </c>
      <c r="C2193" s="4">
        <v>1</v>
      </c>
      <c r="D2193" s="8">
        <v>1.33</v>
      </c>
      <c r="E2193" s="4">
        <v>0</v>
      </c>
      <c r="F2193" s="8">
        <v>0</v>
      </c>
      <c r="G2193" s="4">
        <v>1</v>
      </c>
      <c r="H2193" s="8">
        <v>2.2200000000000002</v>
      </c>
      <c r="I2193" s="4">
        <v>0</v>
      </c>
    </row>
    <row r="2194" spans="1:9" x14ac:dyDescent="0.2">
      <c r="A2194" s="2">
        <v>20</v>
      </c>
      <c r="B2194" s="1" t="s">
        <v>332</v>
      </c>
      <c r="C2194" s="4">
        <v>1</v>
      </c>
      <c r="D2194" s="8">
        <v>1.33</v>
      </c>
      <c r="E2194" s="4">
        <v>1</v>
      </c>
      <c r="F2194" s="8">
        <v>3.85</v>
      </c>
      <c r="G2194" s="4">
        <v>0</v>
      </c>
      <c r="H2194" s="8">
        <v>0</v>
      </c>
      <c r="I2194" s="4">
        <v>0</v>
      </c>
    </row>
    <row r="2195" spans="1:9" x14ac:dyDescent="0.2">
      <c r="A2195" s="2">
        <v>20</v>
      </c>
      <c r="B2195" s="1" t="s">
        <v>329</v>
      </c>
      <c r="C2195" s="4">
        <v>1</v>
      </c>
      <c r="D2195" s="8">
        <v>1.33</v>
      </c>
      <c r="E2195" s="4">
        <v>0</v>
      </c>
      <c r="F2195" s="8">
        <v>0</v>
      </c>
      <c r="G2195" s="4">
        <v>1</v>
      </c>
      <c r="H2195" s="8">
        <v>2.2200000000000002</v>
      </c>
      <c r="I2195" s="4">
        <v>0</v>
      </c>
    </row>
    <row r="2196" spans="1:9" x14ac:dyDescent="0.2">
      <c r="A2196" s="2">
        <v>20</v>
      </c>
      <c r="B2196" s="1" t="s">
        <v>372</v>
      </c>
      <c r="C2196" s="4">
        <v>1</v>
      </c>
      <c r="D2196" s="8">
        <v>1.33</v>
      </c>
      <c r="E2196" s="4">
        <v>0</v>
      </c>
      <c r="F2196" s="8">
        <v>0</v>
      </c>
      <c r="G2196" s="4">
        <v>1</v>
      </c>
      <c r="H2196" s="8">
        <v>2.2200000000000002</v>
      </c>
      <c r="I2196" s="4">
        <v>0</v>
      </c>
    </row>
    <row r="2197" spans="1:9" x14ac:dyDescent="0.2">
      <c r="A2197" s="2">
        <v>20</v>
      </c>
      <c r="B2197" s="1" t="s">
        <v>344</v>
      </c>
      <c r="C2197" s="4">
        <v>1</v>
      </c>
      <c r="D2197" s="8">
        <v>1.33</v>
      </c>
      <c r="E2197" s="4">
        <v>0</v>
      </c>
      <c r="F2197" s="8">
        <v>0</v>
      </c>
      <c r="G2197" s="4">
        <v>1</v>
      </c>
      <c r="H2197" s="8">
        <v>2.2200000000000002</v>
      </c>
      <c r="I2197" s="4">
        <v>0</v>
      </c>
    </row>
    <row r="2198" spans="1:9" x14ac:dyDescent="0.2">
      <c r="A2198" s="2">
        <v>20</v>
      </c>
      <c r="B2198" s="1" t="s">
        <v>296</v>
      </c>
      <c r="C2198" s="4">
        <v>1</v>
      </c>
      <c r="D2198" s="8">
        <v>1.33</v>
      </c>
      <c r="E2198" s="4">
        <v>0</v>
      </c>
      <c r="F2198" s="8">
        <v>0</v>
      </c>
      <c r="G2198" s="4">
        <v>1</v>
      </c>
      <c r="H2198" s="8">
        <v>2.2200000000000002</v>
      </c>
      <c r="I2198" s="4">
        <v>0</v>
      </c>
    </row>
    <row r="2199" spans="1:9" x14ac:dyDescent="0.2">
      <c r="A2199" s="2">
        <v>20</v>
      </c>
      <c r="B2199" s="1" t="s">
        <v>415</v>
      </c>
      <c r="C2199" s="4">
        <v>1</v>
      </c>
      <c r="D2199" s="8">
        <v>1.33</v>
      </c>
      <c r="E2199" s="4">
        <v>0</v>
      </c>
      <c r="F2199" s="8">
        <v>0</v>
      </c>
      <c r="G2199" s="4">
        <v>1</v>
      </c>
      <c r="H2199" s="8">
        <v>2.2200000000000002</v>
      </c>
      <c r="I2199" s="4">
        <v>0</v>
      </c>
    </row>
    <row r="2200" spans="1:9" x14ac:dyDescent="0.2">
      <c r="A2200" s="2">
        <v>20</v>
      </c>
      <c r="B2200" s="1" t="s">
        <v>383</v>
      </c>
      <c r="C2200" s="4">
        <v>1</v>
      </c>
      <c r="D2200" s="8">
        <v>1.33</v>
      </c>
      <c r="E2200" s="4">
        <v>1</v>
      </c>
      <c r="F2200" s="8">
        <v>3.85</v>
      </c>
      <c r="G2200" s="4">
        <v>0</v>
      </c>
      <c r="H2200" s="8">
        <v>0</v>
      </c>
      <c r="I2200" s="4">
        <v>0</v>
      </c>
    </row>
    <row r="2201" spans="1:9" x14ac:dyDescent="0.2">
      <c r="A2201" s="2">
        <v>20</v>
      </c>
      <c r="B2201" s="1" t="s">
        <v>334</v>
      </c>
      <c r="C2201" s="4">
        <v>1</v>
      </c>
      <c r="D2201" s="8">
        <v>1.33</v>
      </c>
      <c r="E2201" s="4">
        <v>0</v>
      </c>
      <c r="F2201" s="8">
        <v>0</v>
      </c>
      <c r="G2201" s="4">
        <v>1</v>
      </c>
      <c r="H2201" s="8">
        <v>2.2200000000000002</v>
      </c>
      <c r="I2201" s="4">
        <v>0</v>
      </c>
    </row>
    <row r="2202" spans="1:9" x14ac:dyDescent="0.2">
      <c r="A2202" s="2">
        <v>20</v>
      </c>
      <c r="B2202" s="1" t="s">
        <v>325</v>
      </c>
      <c r="C2202" s="4">
        <v>1</v>
      </c>
      <c r="D2202" s="8">
        <v>1.33</v>
      </c>
      <c r="E2202" s="4">
        <v>0</v>
      </c>
      <c r="F2202" s="8">
        <v>0</v>
      </c>
      <c r="G2202" s="4">
        <v>1</v>
      </c>
      <c r="H2202" s="8">
        <v>2.2200000000000002</v>
      </c>
      <c r="I2202" s="4">
        <v>0</v>
      </c>
    </row>
    <row r="2203" spans="1:9" x14ac:dyDescent="0.2">
      <c r="A2203" s="2">
        <v>20</v>
      </c>
      <c r="B2203" s="1" t="s">
        <v>323</v>
      </c>
      <c r="C2203" s="4">
        <v>1</v>
      </c>
      <c r="D2203" s="8">
        <v>1.33</v>
      </c>
      <c r="E2203" s="4">
        <v>1</v>
      </c>
      <c r="F2203" s="8">
        <v>3.85</v>
      </c>
      <c r="G2203" s="4">
        <v>0</v>
      </c>
      <c r="H2203" s="8">
        <v>0</v>
      </c>
      <c r="I2203" s="4">
        <v>0</v>
      </c>
    </row>
    <row r="2204" spans="1:9" x14ac:dyDescent="0.2">
      <c r="A2204" s="2">
        <v>20</v>
      </c>
      <c r="B2204" s="1" t="s">
        <v>312</v>
      </c>
      <c r="C2204" s="4">
        <v>1</v>
      </c>
      <c r="D2204" s="8">
        <v>1.33</v>
      </c>
      <c r="E2204" s="4">
        <v>1</v>
      </c>
      <c r="F2204" s="8">
        <v>3.85</v>
      </c>
      <c r="G2204" s="4">
        <v>0</v>
      </c>
      <c r="H2204" s="8">
        <v>0</v>
      </c>
      <c r="I2204" s="4">
        <v>0</v>
      </c>
    </row>
    <row r="2205" spans="1:9" x14ac:dyDescent="0.2">
      <c r="A2205" s="2">
        <v>20</v>
      </c>
      <c r="B2205" s="1" t="s">
        <v>447</v>
      </c>
      <c r="C2205" s="4">
        <v>1</v>
      </c>
      <c r="D2205" s="8">
        <v>1.33</v>
      </c>
      <c r="E2205" s="4">
        <v>0</v>
      </c>
      <c r="F2205" s="8">
        <v>0</v>
      </c>
      <c r="G2205" s="4">
        <v>1</v>
      </c>
      <c r="H2205" s="8">
        <v>2.2200000000000002</v>
      </c>
      <c r="I2205" s="4">
        <v>0</v>
      </c>
    </row>
    <row r="2206" spans="1:9" x14ac:dyDescent="0.2">
      <c r="A2206" s="2">
        <v>20</v>
      </c>
      <c r="B2206" s="1" t="s">
        <v>347</v>
      </c>
      <c r="C2206" s="4">
        <v>1</v>
      </c>
      <c r="D2206" s="8">
        <v>1.33</v>
      </c>
      <c r="E2206" s="4">
        <v>0</v>
      </c>
      <c r="F2206" s="8">
        <v>0</v>
      </c>
      <c r="G2206" s="4">
        <v>1</v>
      </c>
      <c r="H2206" s="8">
        <v>2.2200000000000002</v>
      </c>
      <c r="I2206" s="4">
        <v>0</v>
      </c>
    </row>
    <row r="2207" spans="1:9" x14ac:dyDescent="0.2">
      <c r="A2207" s="2">
        <v>20</v>
      </c>
      <c r="B2207" s="1" t="s">
        <v>370</v>
      </c>
      <c r="C2207" s="4">
        <v>1</v>
      </c>
      <c r="D2207" s="8">
        <v>1.33</v>
      </c>
      <c r="E2207" s="4">
        <v>0</v>
      </c>
      <c r="F2207" s="8">
        <v>0</v>
      </c>
      <c r="G2207" s="4">
        <v>1</v>
      </c>
      <c r="H2207" s="8">
        <v>2.2200000000000002</v>
      </c>
      <c r="I2207" s="4">
        <v>0</v>
      </c>
    </row>
    <row r="2208" spans="1:9" x14ac:dyDescent="0.2">
      <c r="A2208" s="1"/>
      <c r="C2208" s="4"/>
      <c r="D2208" s="8"/>
      <c r="E2208" s="4"/>
      <c r="F2208" s="8"/>
      <c r="G2208" s="4"/>
      <c r="H2208" s="8"/>
      <c r="I2208" s="4"/>
    </row>
    <row r="2209" spans="1:9" x14ac:dyDescent="0.2">
      <c r="A2209" s="1" t="s">
        <v>81</v>
      </c>
      <c r="C2209" s="4"/>
      <c r="D2209" s="8"/>
      <c r="E2209" s="4"/>
      <c r="F2209" s="8"/>
      <c r="G2209" s="4"/>
      <c r="H2209" s="8"/>
      <c r="I2209" s="4"/>
    </row>
    <row r="2210" spans="1:9" x14ac:dyDescent="0.2">
      <c r="A2210" s="2">
        <v>1</v>
      </c>
      <c r="B2210" s="1" t="s">
        <v>297</v>
      </c>
      <c r="C2210" s="4">
        <v>47</v>
      </c>
      <c r="D2210" s="8">
        <v>9.1999999999999993</v>
      </c>
      <c r="E2210" s="4">
        <v>36</v>
      </c>
      <c r="F2210" s="8">
        <v>13.28</v>
      </c>
      <c r="G2210" s="4">
        <v>10</v>
      </c>
      <c r="H2210" s="8">
        <v>4.41</v>
      </c>
      <c r="I2210" s="4">
        <v>0</v>
      </c>
    </row>
    <row r="2211" spans="1:9" x14ac:dyDescent="0.2">
      <c r="A2211" s="2">
        <v>2</v>
      </c>
      <c r="B2211" s="1" t="s">
        <v>303</v>
      </c>
      <c r="C2211" s="4">
        <v>28</v>
      </c>
      <c r="D2211" s="8">
        <v>5.48</v>
      </c>
      <c r="E2211" s="4">
        <v>27</v>
      </c>
      <c r="F2211" s="8">
        <v>9.9600000000000009</v>
      </c>
      <c r="G2211" s="4">
        <v>1</v>
      </c>
      <c r="H2211" s="8">
        <v>0.44</v>
      </c>
      <c r="I2211" s="4">
        <v>0</v>
      </c>
    </row>
    <row r="2212" spans="1:9" x14ac:dyDescent="0.2">
      <c r="A2212" s="2">
        <v>3</v>
      </c>
      <c r="B2212" s="1" t="s">
        <v>304</v>
      </c>
      <c r="C2212" s="4">
        <v>27</v>
      </c>
      <c r="D2212" s="8">
        <v>5.28</v>
      </c>
      <c r="E2212" s="4">
        <v>23</v>
      </c>
      <c r="F2212" s="8">
        <v>8.49</v>
      </c>
      <c r="G2212" s="4">
        <v>4</v>
      </c>
      <c r="H2212" s="8">
        <v>1.76</v>
      </c>
      <c r="I2212" s="4">
        <v>0</v>
      </c>
    </row>
    <row r="2213" spans="1:9" x14ac:dyDescent="0.2">
      <c r="A2213" s="2">
        <v>4</v>
      </c>
      <c r="B2213" s="1" t="s">
        <v>301</v>
      </c>
      <c r="C2213" s="4">
        <v>18</v>
      </c>
      <c r="D2213" s="8">
        <v>3.52</v>
      </c>
      <c r="E2213" s="4">
        <v>17</v>
      </c>
      <c r="F2213" s="8">
        <v>6.27</v>
      </c>
      <c r="G2213" s="4">
        <v>1</v>
      </c>
      <c r="H2213" s="8">
        <v>0.44</v>
      </c>
      <c r="I2213" s="4">
        <v>0</v>
      </c>
    </row>
    <row r="2214" spans="1:9" x14ac:dyDescent="0.2">
      <c r="A2214" s="2">
        <v>5</v>
      </c>
      <c r="B2214" s="1" t="s">
        <v>324</v>
      </c>
      <c r="C2214" s="4">
        <v>13</v>
      </c>
      <c r="D2214" s="8">
        <v>2.54</v>
      </c>
      <c r="E2214" s="4">
        <v>3</v>
      </c>
      <c r="F2214" s="8">
        <v>1.1100000000000001</v>
      </c>
      <c r="G2214" s="4">
        <v>10</v>
      </c>
      <c r="H2214" s="8">
        <v>4.41</v>
      </c>
      <c r="I2214" s="4">
        <v>0</v>
      </c>
    </row>
    <row r="2215" spans="1:9" x14ac:dyDescent="0.2">
      <c r="A2215" s="2">
        <v>5</v>
      </c>
      <c r="B2215" s="1" t="s">
        <v>292</v>
      </c>
      <c r="C2215" s="4">
        <v>13</v>
      </c>
      <c r="D2215" s="8">
        <v>2.54</v>
      </c>
      <c r="E2215" s="4">
        <v>10</v>
      </c>
      <c r="F2215" s="8">
        <v>3.69</v>
      </c>
      <c r="G2215" s="4">
        <v>3</v>
      </c>
      <c r="H2215" s="8">
        <v>1.32</v>
      </c>
      <c r="I2215" s="4">
        <v>0</v>
      </c>
    </row>
    <row r="2216" spans="1:9" x14ac:dyDescent="0.2">
      <c r="A2216" s="2">
        <v>5</v>
      </c>
      <c r="B2216" s="1" t="s">
        <v>295</v>
      </c>
      <c r="C2216" s="4">
        <v>13</v>
      </c>
      <c r="D2216" s="8">
        <v>2.54</v>
      </c>
      <c r="E2216" s="4">
        <v>6</v>
      </c>
      <c r="F2216" s="8">
        <v>2.21</v>
      </c>
      <c r="G2216" s="4">
        <v>7</v>
      </c>
      <c r="H2216" s="8">
        <v>3.08</v>
      </c>
      <c r="I2216" s="4">
        <v>0</v>
      </c>
    </row>
    <row r="2217" spans="1:9" x14ac:dyDescent="0.2">
      <c r="A2217" s="2">
        <v>5</v>
      </c>
      <c r="B2217" s="1" t="s">
        <v>306</v>
      </c>
      <c r="C2217" s="4">
        <v>13</v>
      </c>
      <c r="D2217" s="8">
        <v>2.54</v>
      </c>
      <c r="E2217" s="4">
        <v>12</v>
      </c>
      <c r="F2217" s="8">
        <v>4.43</v>
      </c>
      <c r="G2217" s="4">
        <v>1</v>
      </c>
      <c r="H2217" s="8">
        <v>0.44</v>
      </c>
      <c r="I2217" s="4">
        <v>0</v>
      </c>
    </row>
    <row r="2218" spans="1:9" x14ac:dyDescent="0.2">
      <c r="A2218" s="2">
        <v>9</v>
      </c>
      <c r="B2218" s="1" t="s">
        <v>448</v>
      </c>
      <c r="C2218" s="4">
        <v>12</v>
      </c>
      <c r="D2218" s="8">
        <v>2.35</v>
      </c>
      <c r="E2218" s="4">
        <v>11</v>
      </c>
      <c r="F2218" s="8">
        <v>4.0599999999999996</v>
      </c>
      <c r="G2218" s="4">
        <v>1</v>
      </c>
      <c r="H2218" s="8">
        <v>0.44</v>
      </c>
      <c r="I2218" s="4">
        <v>0</v>
      </c>
    </row>
    <row r="2219" spans="1:9" x14ac:dyDescent="0.2">
      <c r="A2219" s="2">
        <v>10</v>
      </c>
      <c r="B2219" s="1" t="s">
        <v>329</v>
      </c>
      <c r="C2219" s="4">
        <v>10</v>
      </c>
      <c r="D2219" s="8">
        <v>1.96</v>
      </c>
      <c r="E2219" s="4">
        <v>6</v>
      </c>
      <c r="F2219" s="8">
        <v>2.21</v>
      </c>
      <c r="G2219" s="4">
        <v>4</v>
      </c>
      <c r="H2219" s="8">
        <v>1.76</v>
      </c>
      <c r="I2219" s="4">
        <v>0</v>
      </c>
    </row>
    <row r="2220" spans="1:9" x14ac:dyDescent="0.2">
      <c r="A2220" s="2">
        <v>10</v>
      </c>
      <c r="B2220" s="1" t="s">
        <v>331</v>
      </c>
      <c r="C2220" s="4">
        <v>10</v>
      </c>
      <c r="D2220" s="8">
        <v>1.96</v>
      </c>
      <c r="E2220" s="4">
        <v>0</v>
      </c>
      <c r="F2220" s="8">
        <v>0</v>
      </c>
      <c r="G2220" s="4">
        <v>9</v>
      </c>
      <c r="H2220" s="8">
        <v>3.96</v>
      </c>
      <c r="I2220" s="4">
        <v>0</v>
      </c>
    </row>
    <row r="2221" spans="1:9" x14ac:dyDescent="0.2">
      <c r="A2221" s="2">
        <v>12</v>
      </c>
      <c r="B2221" s="1" t="s">
        <v>333</v>
      </c>
      <c r="C2221" s="4">
        <v>9</v>
      </c>
      <c r="D2221" s="8">
        <v>1.76</v>
      </c>
      <c r="E2221" s="4">
        <v>9</v>
      </c>
      <c r="F2221" s="8">
        <v>3.32</v>
      </c>
      <c r="G2221" s="4">
        <v>0</v>
      </c>
      <c r="H2221" s="8">
        <v>0</v>
      </c>
      <c r="I2221" s="4">
        <v>0</v>
      </c>
    </row>
    <row r="2222" spans="1:9" x14ac:dyDescent="0.2">
      <c r="A2222" s="2">
        <v>12</v>
      </c>
      <c r="B2222" s="1" t="s">
        <v>330</v>
      </c>
      <c r="C2222" s="4">
        <v>9</v>
      </c>
      <c r="D2222" s="8">
        <v>1.76</v>
      </c>
      <c r="E2222" s="4">
        <v>2</v>
      </c>
      <c r="F2222" s="8">
        <v>0.74</v>
      </c>
      <c r="G2222" s="4">
        <v>7</v>
      </c>
      <c r="H2222" s="8">
        <v>3.08</v>
      </c>
      <c r="I2222" s="4">
        <v>0</v>
      </c>
    </row>
    <row r="2223" spans="1:9" x14ac:dyDescent="0.2">
      <c r="A2223" s="2">
        <v>12</v>
      </c>
      <c r="B2223" s="1" t="s">
        <v>302</v>
      </c>
      <c r="C2223" s="4">
        <v>9</v>
      </c>
      <c r="D2223" s="8">
        <v>1.76</v>
      </c>
      <c r="E2223" s="4">
        <v>6</v>
      </c>
      <c r="F2223" s="8">
        <v>2.21</v>
      </c>
      <c r="G2223" s="4">
        <v>3</v>
      </c>
      <c r="H2223" s="8">
        <v>1.32</v>
      </c>
      <c r="I2223" s="4">
        <v>0</v>
      </c>
    </row>
    <row r="2224" spans="1:9" x14ac:dyDescent="0.2">
      <c r="A2224" s="2">
        <v>15</v>
      </c>
      <c r="B2224" s="1" t="s">
        <v>328</v>
      </c>
      <c r="C2224" s="4">
        <v>8</v>
      </c>
      <c r="D2224" s="8">
        <v>1.57</v>
      </c>
      <c r="E2224" s="4">
        <v>2</v>
      </c>
      <c r="F2224" s="8">
        <v>0.74</v>
      </c>
      <c r="G2224" s="4">
        <v>6</v>
      </c>
      <c r="H2224" s="8">
        <v>2.64</v>
      </c>
      <c r="I2224" s="4">
        <v>0</v>
      </c>
    </row>
    <row r="2225" spans="1:9" x14ac:dyDescent="0.2">
      <c r="A2225" s="2">
        <v>15</v>
      </c>
      <c r="B2225" s="1" t="s">
        <v>332</v>
      </c>
      <c r="C2225" s="4">
        <v>8</v>
      </c>
      <c r="D2225" s="8">
        <v>1.57</v>
      </c>
      <c r="E2225" s="4">
        <v>3</v>
      </c>
      <c r="F2225" s="8">
        <v>1.1100000000000001</v>
      </c>
      <c r="G2225" s="4">
        <v>5</v>
      </c>
      <c r="H2225" s="8">
        <v>2.2000000000000002</v>
      </c>
      <c r="I2225" s="4">
        <v>0</v>
      </c>
    </row>
    <row r="2226" spans="1:9" x14ac:dyDescent="0.2">
      <c r="A2226" s="2">
        <v>15</v>
      </c>
      <c r="B2226" s="1" t="s">
        <v>335</v>
      </c>
      <c r="C2226" s="4">
        <v>8</v>
      </c>
      <c r="D2226" s="8">
        <v>1.57</v>
      </c>
      <c r="E2226" s="4">
        <v>3</v>
      </c>
      <c r="F2226" s="8">
        <v>1.1100000000000001</v>
      </c>
      <c r="G2226" s="4">
        <v>5</v>
      </c>
      <c r="H2226" s="8">
        <v>2.2000000000000002</v>
      </c>
      <c r="I2226" s="4">
        <v>0</v>
      </c>
    </row>
    <row r="2227" spans="1:9" x14ac:dyDescent="0.2">
      <c r="A2227" s="2">
        <v>15</v>
      </c>
      <c r="B2227" s="1" t="s">
        <v>294</v>
      </c>
      <c r="C2227" s="4">
        <v>8</v>
      </c>
      <c r="D2227" s="8">
        <v>1.57</v>
      </c>
      <c r="E2227" s="4">
        <v>0</v>
      </c>
      <c r="F2227" s="8">
        <v>0</v>
      </c>
      <c r="G2227" s="4">
        <v>8</v>
      </c>
      <c r="H2227" s="8">
        <v>3.52</v>
      </c>
      <c r="I2227" s="4">
        <v>0</v>
      </c>
    </row>
    <row r="2228" spans="1:9" x14ac:dyDescent="0.2">
      <c r="A2228" s="2">
        <v>15</v>
      </c>
      <c r="B2228" s="1" t="s">
        <v>299</v>
      </c>
      <c r="C2228" s="4">
        <v>8</v>
      </c>
      <c r="D2228" s="8">
        <v>1.57</v>
      </c>
      <c r="E2228" s="4">
        <v>6</v>
      </c>
      <c r="F2228" s="8">
        <v>2.21</v>
      </c>
      <c r="G2228" s="4">
        <v>2</v>
      </c>
      <c r="H2228" s="8">
        <v>0.88</v>
      </c>
      <c r="I2228" s="4">
        <v>0</v>
      </c>
    </row>
    <row r="2229" spans="1:9" x14ac:dyDescent="0.2">
      <c r="A2229" s="2">
        <v>20</v>
      </c>
      <c r="B2229" s="1" t="s">
        <v>342</v>
      </c>
      <c r="C2229" s="4">
        <v>7</v>
      </c>
      <c r="D2229" s="8">
        <v>1.37</v>
      </c>
      <c r="E2229" s="4">
        <v>1</v>
      </c>
      <c r="F2229" s="8">
        <v>0.37</v>
      </c>
      <c r="G2229" s="4">
        <v>6</v>
      </c>
      <c r="H2229" s="8">
        <v>2.64</v>
      </c>
      <c r="I2229" s="4">
        <v>0</v>
      </c>
    </row>
    <row r="2230" spans="1:9" x14ac:dyDescent="0.2">
      <c r="A2230" s="2">
        <v>20</v>
      </c>
      <c r="B2230" s="1" t="s">
        <v>314</v>
      </c>
      <c r="C2230" s="4">
        <v>7</v>
      </c>
      <c r="D2230" s="8">
        <v>1.37</v>
      </c>
      <c r="E2230" s="4">
        <v>1</v>
      </c>
      <c r="F2230" s="8">
        <v>0.37</v>
      </c>
      <c r="G2230" s="4">
        <v>6</v>
      </c>
      <c r="H2230" s="8">
        <v>2.64</v>
      </c>
      <c r="I2230" s="4">
        <v>0</v>
      </c>
    </row>
    <row r="2231" spans="1:9" x14ac:dyDescent="0.2">
      <c r="A2231" s="2">
        <v>20</v>
      </c>
      <c r="B2231" s="1" t="s">
        <v>300</v>
      </c>
      <c r="C2231" s="4">
        <v>7</v>
      </c>
      <c r="D2231" s="8">
        <v>1.37</v>
      </c>
      <c r="E2231" s="4">
        <v>6</v>
      </c>
      <c r="F2231" s="8">
        <v>2.21</v>
      </c>
      <c r="G2231" s="4">
        <v>1</v>
      </c>
      <c r="H2231" s="8">
        <v>0.44</v>
      </c>
      <c r="I2231" s="4">
        <v>0</v>
      </c>
    </row>
    <row r="2232" spans="1:9" x14ac:dyDescent="0.2">
      <c r="A2232" s="1"/>
      <c r="C2232" s="4"/>
      <c r="D2232" s="8"/>
      <c r="E2232" s="4"/>
      <c r="F2232" s="8"/>
      <c r="G2232" s="4"/>
      <c r="H2232" s="8"/>
      <c r="I2232" s="4"/>
    </row>
    <row r="2233" spans="1:9" x14ac:dyDescent="0.2">
      <c r="A2233" s="1" t="s">
        <v>82</v>
      </c>
      <c r="C2233" s="4"/>
      <c r="D2233" s="8"/>
      <c r="E2233" s="4"/>
      <c r="F2233" s="8"/>
      <c r="G2233" s="4"/>
      <c r="H2233" s="8"/>
      <c r="I2233" s="4"/>
    </row>
    <row r="2234" spans="1:9" x14ac:dyDescent="0.2">
      <c r="A2234" s="2">
        <v>1</v>
      </c>
      <c r="B2234" s="1" t="s">
        <v>339</v>
      </c>
      <c r="C2234" s="4">
        <v>4</v>
      </c>
      <c r="D2234" s="8">
        <v>16.670000000000002</v>
      </c>
      <c r="E2234" s="4">
        <v>3</v>
      </c>
      <c r="F2234" s="8">
        <v>30</v>
      </c>
      <c r="G2234" s="4">
        <v>1</v>
      </c>
      <c r="H2234" s="8">
        <v>8.33</v>
      </c>
      <c r="I2234" s="4">
        <v>0</v>
      </c>
    </row>
    <row r="2235" spans="1:9" x14ac:dyDescent="0.2">
      <c r="A2235" s="2">
        <v>2</v>
      </c>
      <c r="B2235" s="1" t="s">
        <v>288</v>
      </c>
      <c r="C2235" s="4">
        <v>2</v>
      </c>
      <c r="D2235" s="8">
        <v>8.33</v>
      </c>
      <c r="E2235" s="4">
        <v>0</v>
      </c>
      <c r="F2235" s="8">
        <v>0</v>
      </c>
      <c r="G2235" s="4">
        <v>2</v>
      </c>
      <c r="H2235" s="8">
        <v>16.670000000000002</v>
      </c>
      <c r="I2235" s="4">
        <v>0</v>
      </c>
    </row>
    <row r="2236" spans="1:9" x14ac:dyDescent="0.2">
      <c r="A2236" s="2">
        <v>2</v>
      </c>
      <c r="B2236" s="1" t="s">
        <v>330</v>
      </c>
      <c r="C2236" s="4">
        <v>2</v>
      </c>
      <c r="D2236" s="8">
        <v>8.33</v>
      </c>
      <c r="E2236" s="4">
        <v>1</v>
      </c>
      <c r="F2236" s="8">
        <v>10</v>
      </c>
      <c r="G2236" s="4">
        <v>1</v>
      </c>
      <c r="H2236" s="8">
        <v>8.33</v>
      </c>
      <c r="I2236" s="4">
        <v>0</v>
      </c>
    </row>
    <row r="2237" spans="1:9" x14ac:dyDescent="0.2">
      <c r="A2237" s="2">
        <v>4</v>
      </c>
      <c r="B2237" s="1" t="s">
        <v>289</v>
      </c>
      <c r="C2237" s="4">
        <v>1</v>
      </c>
      <c r="D2237" s="8">
        <v>4.17</v>
      </c>
      <c r="E2237" s="4">
        <v>0</v>
      </c>
      <c r="F2237" s="8">
        <v>0</v>
      </c>
      <c r="G2237" s="4">
        <v>1</v>
      </c>
      <c r="H2237" s="8">
        <v>8.33</v>
      </c>
      <c r="I2237" s="4">
        <v>0</v>
      </c>
    </row>
    <row r="2238" spans="1:9" x14ac:dyDescent="0.2">
      <c r="A2238" s="2">
        <v>4</v>
      </c>
      <c r="B2238" s="1" t="s">
        <v>359</v>
      </c>
      <c r="C2238" s="4">
        <v>1</v>
      </c>
      <c r="D2238" s="8">
        <v>4.17</v>
      </c>
      <c r="E2238" s="4">
        <v>1</v>
      </c>
      <c r="F2238" s="8">
        <v>10</v>
      </c>
      <c r="G2238" s="4">
        <v>0</v>
      </c>
      <c r="H2238" s="8">
        <v>0</v>
      </c>
      <c r="I2238" s="4">
        <v>0</v>
      </c>
    </row>
    <row r="2239" spans="1:9" x14ac:dyDescent="0.2">
      <c r="A2239" s="2">
        <v>4</v>
      </c>
      <c r="B2239" s="1" t="s">
        <v>385</v>
      </c>
      <c r="C2239" s="4">
        <v>1</v>
      </c>
      <c r="D2239" s="8">
        <v>4.17</v>
      </c>
      <c r="E2239" s="4">
        <v>0</v>
      </c>
      <c r="F2239" s="8">
        <v>0</v>
      </c>
      <c r="G2239" s="4">
        <v>1</v>
      </c>
      <c r="H2239" s="8">
        <v>8.33</v>
      </c>
      <c r="I2239" s="4">
        <v>0</v>
      </c>
    </row>
    <row r="2240" spans="1:9" x14ac:dyDescent="0.2">
      <c r="A2240" s="2">
        <v>4</v>
      </c>
      <c r="B2240" s="1" t="s">
        <v>362</v>
      </c>
      <c r="C2240" s="4">
        <v>1</v>
      </c>
      <c r="D2240" s="8">
        <v>4.17</v>
      </c>
      <c r="E2240" s="4">
        <v>0</v>
      </c>
      <c r="F2240" s="8">
        <v>0</v>
      </c>
      <c r="G2240" s="4">
        <v>0</v>
      </c>
      <c r="H2240" s="8">
        <v>0</v>
      </c>
      <c r="I2240" s="4">
        <v>0</v>
      </c>
    </row>
    <row r="2241" spans="1:9" x14ac:dyDescent="0.2">
      <c r="A2241" s="2">
        <v>4</v>
      </c>
      <c r="B2241" s="1" t="s">
        <v>326</v>
      </c>
      <c r="C2241" s="4">
        <v>1</v>
      </c>
      <c r="D2241" s="8">
        <v>4.17</v>
      </c>
      <c r="E2241" s="4">
        <v>0</v>
      </c>
      <c r="F2241" s="8">
        <v>0</v>
      </c>
      <c r="G2241" s="4">
        <v>1</v>
      </c>
      <c r="H2241" s="8">
        <v>8.33</v>
      </c>
      <c r="I2241" s="4">
        <v>0</v>
      </c>
    </row>
    <row r="2242" spans="1:9" x14ac:dyDescent="0.2">
      <c r="A2242" s="2">
        <v>4</v>
      </c>
      <c r="B2242" s="1" t="s">
        <v>346</v>
      </c>
      <c r="C2242" s="4">
        <v>1</v>
      </c>
      <c r="D2242" s="8">
        <v>4.17</v>
      </c>
      <c r="E2242" s="4">
        <v>0</v>
      </c>
      <c r="F2242" s="8">
        <v>0</v>
      </c>
      <c r="G2242" s="4">
        <v>1</v>
      </c>
      <c r="H2242" s="8">
        <v>8.33</v>
      </c>
      <c r="I2242" s="4">
        <v>0</v>
      </c>
    </row>
    <row r="2243" spans="1:9" x14ac:dyDescent="0.2">
      <c r="A2243" s="2">
        <v>4</v>
      </c>
      <c r="B2243" s="1" t="s">
        <v>309</v>
      </c>
      <c r="C2243" s="4">
        <v>1</v>
      </c>
      <c r="D2243" s="8">
        <v>4.17</v>
      </c>
      <c r="E2243" s="4">
        <v>0</v>
      </c>
      <c r="F2243" s="8">
        <v>0</v>
      </c>
      <c r="G2243" s="4">
        <v>1</v>
      </c>
      <c r="H2243" s="8">
        <v>8.33</v>
      </c>
      <c r="I2243" s="4">
        <v>0</v>
      </c>
    </row>
    <row r="2244" spans="1:9" x14ac:dyDescent="0.2">
      <c r="A2244" s="2">
        <v>4</v>
      </c>
      <c r="B2244" s="1" t="s">
        <v>295</v>
      </c>
      <c r="C2244" s="4">
        <v>1</v>
      </c>
      <c r="D2244" s="8">
        <v>4.17</v>
      </c>
      <c r="E2244" s="4">
        <v>1</v>
      </c>
      <c r="F2244" s="8">
        <v>10</v>
      </c>
      <c r="G2244" s="4">
        <v>0</v>
      </c>
      <c r="H2244" s="8">
        <v>0</v>
      </c>
      <c r="I2244" s="4">
        <v>0</v>
      </c>
    </row>
    <row r="2245" spans="1:9" x14ac:dyDescent="0.2">
      <c r="A2245" s="2">
        <v>4</v>
      </c>
      <c r="B2245" s="1" t="s">
        <v>449</v>
      </c>
      <c r="C2245" s="4">
        <v>1</v>
      </c>
      <c r="D2245" s="8">
        <v>4.17</v>
      </c>
      <c r="E2245" s="4">
        <v>1</v>
      </c>
      <c r="F2245" s="8">
        <v>10</v>
      </c>
      <c r="G2245" s="4">
        <v>0</v>
      </c>
      <c r="H2245" s="8">
        <v>0</v>
      </c>
      <c r="I2245" s="4">
        <v>0</v>
      </c>
    </row>
    <row r="2246" spans="1:9" x14ac:dyDescent="0.2">
      <c r="A2246" s="2">
        <v>4</v>
      </c>
      <c r="B2246" s="1" t="s">
        <v>299</v>
      </c>
      <c r="C2246" s="4">
        <v>1</v>
      </c>
      <c r="D2246" s="8">
        <v>4.17</v>
      </c>
      <c r="E2246" s="4">
        <v>0</v>
      </c>
      <c r="F2246" s="8">
        <v>0</v>
      </c>
      <c r="G2246" s="4">
        <v>1</v>
      </c>
      <c r="H2246" s="8">
        <v>8.33</v>
      </c>
      <c r="I2246" s="4">
        <v>0</v>
      </c>
    </row>
    <row r="2247" spans="1:9" x14ac:dyDescent="0.2">
      <c r="A2247" s="2">
        <v>4</v>
      </c>
      <c r="B2247" s="1" t="s">
        <v>300</v>
      </c>
      <c r="C2247" s="4">
        <v>1</v>
      </c>
      <c r="D2247" s="8">
        <v>4.17</v>
      </c>
      <c r="E2247" s="4">
        <v>1</v>
      </c>
      <c r="F2247" s="8">
        <v>10</v>
      </c>
      <c r="G2247" s="4">
        <v>0</v>
      </c>
      <c r="H2247" s="8">
        <v>0</v>
      </c>
      <c r="I2247" s="4">
        <v>0</v>
      </c>
    </row>
    <row r="2248" spans="1:9" x14ac:dyDescent="0.2">
      <c r="A2248" s="2">
        <v>4</v>
      </c>
      <c r="B2248" s="1" t="s">
        <v>302</v>
      </c>
      <c r="C2248" s="4">
        <v>1</v>
      </c>
      <c r="D2248" s="8">
        <v>4.17</v>
      </c>
      <c r="E2248" s="4">
        <v>0</v>
      </c>
      <c r="F2248" s="8">
        <v>0</v>
      </c>
      <c r="G2248" s="4">
        <v>1</v>
      </c>
      <c r="H2248" s="8">
        <v>8.33</v>
      </c>
      <c r="I2248" s="4">
        <v>0</v>
      </c>
    </row>
    <row r="2249" spans="1:9" x14ac:dyDescent="0.2">
      <c r="A2249" s="2">
        <v>4</v>
      </c>
      <c r="B2249" s="1" t="s">
        <v>303</v>
      </c>
      <c r="C2249" s="4">
        <v>1</v>
      </c>
      <c r="D2249" s="8">
        <v>4.17</v>
      </c>
      <c r="E2249" s="4">
        <v>1</v>
      </c>
      <c r="F2249" s="8">
        <v>10</v>
      </c>
      <c r="G2249" s="4">
        <v>0</v>
      </c>
      <c r="H2249" s="8">
        <v>0</v>
      </c>
      <c r="I2249" s="4">
        <v>0</v>
      </c>
    </row>
    <row r="2250" spans="1:9" x14ac:dyDescent="0.2">
      <c r="A2250" s="2">
        <v>4</v>
      </c>
      <c r="B2250" s="1" t="s">
        <v>370</v>
      </c>
      <c r="C2250" s="4">
        <v>1</v>
      </c>
      <c r="D2250" s="8">
        <v>4.17</v>
      </c>
      <c r="E2250" s="4">
        <v>0</v>
      </c>
      <c r="F2250" s="8">
        <v>0</v>
      </c>
      <c r="G2250" s="4">
        <v>0</v>
      </c>
      <c r="H2250" s="8">
        <v>0</v>
      </c>
      <c r="I2250" s="4">
        <v>0</v>
      </c>
    </row>
    <row r="2251" spans="1:9" x14ac:dyDescent="0.2">
      <c r="A2251" s="2">
        <v>4</v>
      </c>
      <c r="B2251" s="1" t="s">
        <v>307</v>
      </c>
      <c r="C2251" s="4">
        <v>1</v>
      </c>
      <c r="D2251" s="8">
        <v>4.17</v>
      </c>
      <c r="E2251" s="4">
        <v>1</v>
      </c>
      <c r="F2251" s="8">
        <v>10</v>
      </c>
      <c r="G2251" s="4">
        <v>0</v>
      </c>
      <c r="H2251" s="8">
        <v>0</v>
      </c>
      <c r="I2251" s="4">
        <v>0</v>
      </c>
    </row>
    <row r="2252" spans="1:9" x14ac:dyDescent="0.2">
      <c r="A2252" s="2">
        <v>4</v>
      </c>
      <c r="B2252" s="1" t="s">
        <v>318</v>
      </c>
      <c r="C2252" s="4">
        <v>1</v>
      </c>
      <c r="D2252" s="8">
        <v>4.17</v>
      </c>
      <c r="E2252" s="4">
        <v>0</v>
      </c>
      <c r="F2252" s="8">
        <v>0</v>
      </c>
      <c r="G2252" s="4">
        <v>1</v>
      </c>
      <c r="H2252" s="8">
        <v>8.33</v>
      </c>
      <c r="I2252" s="4">
        <v>0</v>
      </c>
    </row>
    <row r="2253" spans="1:9" x14ac:dyDescent="0.2">
      <c r="A2253" s="1"/>
      <c r="C2253" s="4"/>
      <c r="D2253" s="8"/>
      <c r="E2253" s="4"/>
      <c r="F2253" s="8"/>
      <c r="G2253" s="4"/>
      <c r="H2253" s="8"/>
      <c r="I2253" s="4"/>
    </row>
    <row r="2254" spans="1:9" x14ac:dyDescent="0.2">
      <c r="A2254" s="1" t="s">
        <v>83</v>
      </c>
      <c r="C2254" s="4"/>
      <c r="D2254" s="8"/>
      <c r="E2254" s="4"/>
      <c r="F2254" s="8"/>
      <c r="G2254" s="4"/>
      <c r="H2254" s="8"/>
      <c r="I2254" s="4"/>
    </row>
    <row r="2255" spans="1:9" x14ac:dyDescent="0.2">
      <c r="A2255" s="2">
        <v>1</v>
      </c>
      <c r="B2255" s="1" t="s">
        <v>304</v>
      </c>
      <c r="C2255" s="4">
        <v>10</v>
      </c>
      <c r="D2255" s="8">
        <v>7.19</v>
      </c>
      <c r="E2255" s="4">
        <v>10</v>
      </c>
      <c r="F2255" s="8">
        <v>16.670000000000002</v>
      </c>
      <c r="G2255" s="4">
        <v>0</v>
      </c>
      <c r="H2255" s="8">
        <v>0</v>
      </c>
      <c r="I2255" s="4">
        <v>0</v>
      </c>
    </row>
    <row r="2256" spans="1:9" x14ac:dyDescent="0.2">
      <c r="A2256" s="2">
        <v>2</v>
      </c>
      <c r="B2256" s="1" t="s">
        <v>301</v>
      </c>
      <c r="C2256" s="4">
        <v>8</v>
      </c>
      <c r="D2256" s="8">
        <v>5.76</v>
      </c>
      <c r="E2256" s="4">
        <v>7</v>
      </c>
      <c r="F2256" s="8">
        <v>11.67</v>
      </c>
      <c r="G2256" s="4">
        <v>1</v>
      </c>
      <c r="H2256" s="8">
        <v>1.39</v>
      </c>
      <c r="I2256" s="4">
        <v>0</v>
      </c>
    </row>
    <row r="2257" spans="1:9" x14ac:dyDescent="0.2">
      <c r="A2257" s="2">
        <v>3</v>
      </c>
      <c r="B2257" s="1" t="s">
        <v>288</v>
      </c>
      <c r="C2257" s="4">
        <v>5</v>
      </c>
      <c r="D2257" s="8">
        <v>3.6</v>
      </c>
      <c r="E2257" s="4">
        <v>0</v>
      </c>
      <c r="F2257" s="8">
        <v>0</v>
      </c>
      <c r="G2257" s="4">
        <v>5</v>
      </c>
      <c r="H2257" s="8">
        <v>6.94</v>
      </c>
      <c r="I2257" s="4">
        <v>0</v>
      </c>
    </row>
    <row r="2258" spans="1:9" x14ac:dyDescent="0.2">
      <c r="A2258" s="2">
        <v>3</v>
      </c>
      <c r="B2258" s="1" t="s">
        <v>299</v>
      </c>
      <c r="C2258" s="4">
        <v>5</v>
      </c>
      <c r="D2258" s="8">
        <v>3.6</v>
      </c>
      <c r="E2258" s="4">
        <v>4</v>
      </c>
      <c r="F2258" s="8">
        <v>6.67</v>
      </c>
      <c r="G2258" s="4">
        <v>1</v>
      </c>
      <c r="H2258" s="8">
        <v>1.39</v>
      </c>
      <c r="I2258" s="4">
        <v>0</v>
      </c>
    </row>
    <row r="2259" spans="1:9" x14ac:dyDescent="0.2">
      <c r="A2259" s="2">
        <v>3</v>
      </c>
      <c r="B2259" s="1" t="s">
        <v>303</v>
      </c>
      <c r="C2259" s="4">
        <v>5</v>
      </c>
      <c r="D2259" s="8">
        <v>3.6</v>
      </c>
      <c r="E2259" s="4">
        <v>5</v>
      </c>
      <c r="F2259" s="8">
        <v>8.33</v>
      </c>
      <c r="G2259" s="4">
        <v>0</v>
      </c>
      <c r="H2259" s="8">
        <v>0</v>
      </c>
      <c r="I2259" s="4">
        <v>0</v>
      </c>
    </row>
    <row r="2260" spans="1:9" x14ac:dyDescent="0.2">
      <c r="A2260" s="2">
        <v>3</v>
      </c>
      <c r="B2260" s="1" t="s">
        <v>307</v>
      </c>
      <c r="C2260" s="4">
        <v>5</v>
      </c>
      <c r="D2260" s="8">
        <v>3.6</v>
      </c>
      <c r="E2260" s="4">
        <v>0</v>
      </c>
      <c r="F2260" s="8">
        <v>0</v>
      </c>
      <c r="G2260" s="4">
        <v>5</v>
      </c>
      <c r="H2260" s="8">
        <v>6.94</v>
      </c>
      <c r="I2260" s="4">
        <v>0</v>
      </c>
    </row>
    <row r="2261" spans="1:9" x14ac:dyDescent="0.2">
      <c r="A2261" s="2">
        <v>7</v>
      </c>
      <c r="B2261" s="1" t="s">
        <v>291</v>
      </c>
      <c r="C2261" s="4">
        <v>4</v>
      </c>
      <c r="D2261" s="8">
        <v>2.88</v>
      </c>
      <c r="E2261" s="4">
        <v>1</v>
      </c>
      <c r="F2261" s="8">
        <v>1.67</v>
      </c>
      <c r="G2261" s="4">
        <v>3</v>
      </c>
      <c r="H2261" s="8">
        <v>4.17</v>
      </c>
      <c r="I2261" s="4">
        <v>0</v>
      </c>
    </row>
    <row r="2262" spans="1:9" x14ac:dyDescent="0.2">
      <c r="A2262" s="2">
        <v>7</v>
      </c>
      <c r="B2262" s="1" t="s">
        <v>293</v>
      </c>
      <c r="C2262" s="4">
        <v>4</v>
      </c>
      <c r="D2262" s="8">
        <v>2.88</v>
      </c>
      <c r="E2262" s="4">
        <v>2</v>
      </c>
      <c r="F2262" s="8">
        <v>3.33</v>
      </c>
      <c r="G2262" s="4">
        <v>2</v>
      </c>
      <c r="H2262" s="8">
        <v>2.78</v>
      </c>
      <c r="I2262" s="4">
        <v>0</v>
      </c>
    </row>
    <row r="2263" spans="1:9" x14ac:dyDescent="0.2">
      <c r="A2263" s="2">
        <v>7</v>
      </c>
      <c r="B2263" s="1" t="s">
        <v>297</v>
      </c>
      <c r="C2263" s="4">
        <v>4</v>
      </c>
      <c r="D2263" s="8">
        <v>2.88</v>
      </c>
      <c r="E2263" s="4">
        <v>3</v>
      </c>
      <c r="F2263" s="8">
        <v>5</v>
      </c>
      <c r="G2263" s="4">
        <v>1</v>
      </c>
      <c r="H2263" s="8">
        <v>1.39</v>
      </c>
      <c r="I2263" s="4">
        <v>0</v>
      </c>
    </row>
    <row r="2264" spans="1:9" x14ac:dyDescent="0.2">
      <c r="A2264" s="2">
        <v>7</v>
      </c>
      <c r="B2264" s="1" t="s">
        <v>298</v>
      </c>
      <c r="C2264" s="4">
        <v>4</v>
      </c>
      <c r="D2264" s="8">
        <v>2.88</v>
      </c>
      <c r="E2264" s="4">
        <v>0</v>
      </c>
      <c r="F2264" s="8">
        <v>0</v>
      </c>
      <c r="G2264" s="4">
        <v>3</v>
      </c>
      <c r="H2264" s="8">
        <v>4.17</v>
      </c>
      <c r="I2264" s="4">
        <v>1</v>
      </c>
    </row>
    <row r="2265" spans="1:9" x14ac:dyDescent="0.2">
      <c r="A2265" s="2">
        <v>7</v>
      </c>
      <c r="B2265" s="1" t="s">
        <v>306</v>
      </c>
      <c r="C2265" s="4">
        <v>4</v>
      </c>
      <c r="D2265" s="8">
        <v>2.88</v>
      </c>
      <c r="E2265" s="4">
        <v>4</v>
      </c>
      <c r="F2265" s="8">
        <v>6.67</v>
      </c>
      <c r="G2265" s="4">
        <v>0</v>
      </c>
      <c r="H2265" s="8">
        <v>0</v>
      </c>
      <c r="I2265" s="4">
        <v>0</v>
      </c>
    </row>
    <row r="2266" spans="1:9" x14ac:dyDescent="0.2">
      <c r="A2266" s="2">
        <v>12</v>
      </c>
      <c r="B2266" s="1" t="s">
        <v>319</v>
      </c>
      <c r="C2266" s="4">
        <v>3</v>
      </c>
      <c r="D2266" s="8">
        <v>2.16</v>
      </c>
      <c r="E2266" s="4">
        <v>1</v>
      </c>
      <c r="F2266" s="8">
        <v>1.67</v>
      </c>
      <c r="G2266" s="4">
        <v>2</v>
      </c>
      <c r="H2266" s="8">
        <v>2.78</v>
      </c>
      <c r="I2266" s="4">
        <v>0</v>
      </c>
    </row>
    <row r="2267" spans="1:9" x14ac:dyDescent="0.2">
      <c r="A2267" s="2">
        <v>12</v>
      </c>
      <c r="B2267" s="1" t="s">
        <v>324</v>
      </c>
      <c r="C2267" s="4">
        <v>3</v>
      </c>
      <c r="D2267" s="8">
        <v>2.16</v>
      </c>
      <c r="E2267" s="4">
        <v>0</v>
      </c>
      <c r="F2267" s="8">
        <v>0</v>
      </c>
      <c r="G2267" s="4">
        <v>3</v>
      </c>
      <c r="H2267" s="8">
        <v>4.17</v>
      </c>
      <c r="I2267" s="4">
        <v>0</v>
      </c>
    </row>
    <row r="2268" spans="1:9" x14ac:dyDescent="0.2">
      <c r="A2268" s="2">
        <v>12</v>
      </c>
      <c r="B2268" s="1" t="s">
        <v>295</v>
      </c>
      <c r="C2268" s="4">
        <v>3</v>
      </c>
      <c r="D2268" s="8">
        <v>2.16</v>
      </c>
      <c r="E2268" s="4">
        <v>1</v>
      </c>
      <c r="F2268" s="8">
        <v>1.67</v>
      </c>
      <c r="G2268" s="4">
        <v>2</v>
      </c>
      <c r="H2268" s="8">
        <v>2.78</v>
      </c>
      <c r="I2268" s="4">
        <v>0</v>
      </c>
    </row>
    <row r="2269" spans="1:9" x14ac:dyDescent="0.2">
      <c r="A2269" s="2">
        <v>12</v>
      </c>
      <c r="B2269" s="1" t="s">
        <v>302</v>
      </c>
      <c r="C2269" s="4">
        <v>3</v>
      </c>
      <c r="D2269" s="8">
        <v>2.16</v>
      </c>
      <c r="E2269" s="4">
        <v>3</v>
      </c>
      <c r="F2269" s="8">
        <v>5</v>
      </c>
      <c r="G2269" s="4">
        <v>0</v>
      </c>
      <c r="H2269" s="8">
        <v>0</v>
      </c>
      <c r="I2269" s="4">
        <v>0</v>
      </c>
    </row>
    <row r="2270" spans="1:9" x14ac:dyDescent="0.2">
      <c r="A2270" s="2">
        <v>12</v>
      </c>
      <c r="B2270" s="1" t="s">
        <v>325</v>
      </c>
      <c r="C2270" s="4">
        <v>3</v>
      </c>
      <c r="D2270" s="8">
        <v>2.16</v>
      </c>
      <c r="E2270" s="4">
        <v>0</v>
      </c>
      <c r="F2270" s="8">
        <v>0</v>
      </c>
      <c r="G2270" s="4">
        <v>2</v>
      </c>
      <c r="H2270" s="8">
        <v>2.78</v>
      </c>
      <c r="I2270" s="4">
        <v>0</v>
      </c>
    </row>
    <row r="2271" spans="1:9" x14ac:dyDescent="0.2">
      <c r="A2271" s="2">
        <v>12</v>
      </c>
      <c r="B2271" s="1" t="s">
        <v>368</v>
      </c>
      <c r="C2271" s="4">
        <v>3</v>
      </c>
      <c r="D2271" s="8">
        <v>2.16</v>
      </c>
      <c r="E2271" s="4">
        <v>0</v>
      </c>
      <c r="F2271" s="8">
        <v>0</v>
      </c>
      <c r="G2271" s="4">
        <v>1</v>
      </c>
      <c r="H2271" s="8">
        <v>1.39</v>
      </c>
      <c r="I2271" s="4">
        <v>1</v>
      </c>
    </row>
    <row r="2272" spans="1:9" x14ac:dyDescent="0.2">
      <c r="A2272" s="2">
        <v>18</v>
      </c>
      <c r="B2272" s="1" t="s">
        <v>289</v>
      </c>
      <c r="C2272" s="4">
        <v>2</v>
      </c>
      <c r="D2272" s="8">
        <v>1.44</v>
      </c>
      <c r="E2272" s="4">
        <v>0</v>
      </c>
      <c r="F2272" s="8">
        <v>0</v>
      </c>
      <c r="G2272" s="4">
        <v>2</v>
      </c>
      <c r="H2272" s="8">
        <v>2.78</v>
      </c>
      <c r="I2272" s="4">
        <v>0</v>
      </c>
    </row>
    <row r="2273" spans="1:9" x14ac:dyDescent="0.2">
      <c r="A2273" s="2">
        <v>18</v>
      </c>
      <c r="B2273" s="1" t="s">
        <v>450</v>
      </c>
      <c r="C2273" s="4">
        <v>2</v>
      </c>
      <c r="D2273" s="8">
        <v>1.44</v>
      </c>
      <c r="E2273" s="4">
        <v>0</v>
      </c>
      <c r="F2273" s="8">
        <v>0</v>
      </c>
      <c r="G2273" s="4">
        <v>2</v>
      </c>
      <c r="H2273" s="8">
        <v>2.78</v>
      </c>
      <c r="I2273" s="4">
        <v>0</v>
      </c>
    </row>
    <row r="2274" spans="1:9" x14ac:dyDescent="0.2">
      <c r="A2274" s="2">
        <v>18</v>
      </c>
      <c r="B2274" s="1" t="s">
        <v>343</v>
      </c>
      <c r="C2274" s="4">
        <v>2</v>
      </c>
      <c r="D2274" s="8">
        <v>1.44</v>
      </c>
      <c r="E2274" s="4">
        <v>0</v>
      </c>
      <c r="F2274" s="8">
        <v>0</v>
      </c>
      <c r="G2274" s="4">
        <v>2</v>
      </c>
      <c r="H2274" s="8">
        <v>2.78</v>
      </c>
      <c r="I2274" s="4">
        <v>0</v>
      </c>
    </row>
    <row r="2275" spans="1:9" x14ac:dyDescent="0.2">
      <c r="A2275" s="2">
        <v>18</v>
      </c>
      <c r="B2275" s="1" t="s">
        <v>290</v>
      </c>
      <c r="C2275" s="4">
        <v>2</v>
      </c>
      <c r="D2275" s="8">
        <v>1.44</v>
      </c>
      <c r="E2275" s="4">
        <v>1</v>
      </c>
      <c r="F2275" s="8">
        <v>1.67</v>
      </c>
      <c r="G2275" s="4">
        <v>1</v>
      </c>
      <c r="H2275" s="8">
        <v>1.39</v>
      </c>
      <c r="I2275" s="4">
        <v>0</v>
      </c>
    </row>
    <row r="2276" spans="1:9" x14ac:dyDescent="0.2">
      <c r="A2276" s="2">
        <v>18</v>
      </c>
      <c r="B2276" s="1" t="s">
        <v>413</v>
      </c>
      <c r="C2276" s="4">
        <v>2</v>
      </c>
      <c r="D2276" s="8">
        <v>1.44</v>
      </c>
      <c r="E2276" s="4">
        <v>0</v>
      </c>
      <c r="F2276" s="8">
        <v>0</v>
      </c>
      <c r="G2276" s="4">
        <v>2</v>
      </c>
      <c r="H2276" s="8">
        <v>2.78</v>
      </c>
      <c r="I2276" s="4">
        <v>0</v>
      </c>
    </row>
    <row r="2277" spans="1:9" x14ac:dyDescent="0.2">
      <c r="A2277" s="2">
        <v>18</v>
      </c>
      <c r="B2277" s="1" t="s">
        <v>351</v>
      </c>
      <c r="C2277" s="4">
        <v>2</v>
      </c>
      <c r="D2277" s="8">
        <v>1.44</v>
      </c>
      <c r="E2277" s="4">
        <v>0</v>
      </c>
      <c r="F2277" s="8">
        <v>0</v>
      </c>
      <c r="G2277" s="4">
        <v>2</v>
      </c>
      <c r="H2277" s="8">
        <v>2.78</v>
      </c>
      <c r="I2277" s="4">
        <v>0</v>
      </c>
    </row>
    <row r="2278" spans="1:9" x14ac:dyDescent="0.2">
      <c r="A2278" s="2">
        <v>18</v>
      </c>
      <c r="B2278" s="1" t="s">
        <v>374</v>
      </c>
      <c r="C2278" s="4">
        <v>2</v>
      </c>
      <c r="D2278" s="8">
        <v>1.44</v>
      </c>
      <c r="E2278" s="4">
        <v>0</v>
      </c>
      <c r="F2278" s="8">
        <v>0</v>
      </c>
      <c r="G2278" s="4">
        <v>2</v>
      </c>
      <c r="H2278" s="8">
        <v>2.78</v>
      </c>
      <c r="I2278" s="4">
        <v>0</v>
      </c>
    </row>
    <row r="2279" spans="1:9" x14ac:dyDescent="0.2">
      <c r="A2279" s="2">
        <v>18</v>
      </c>
      <c r="B2279" s="1" t="s">
        <v>451</v>
      </c>
      <c r="C2279" s="4">
        <v>2</v>
      </c>
      <c r="D2279" s="8">
        <v>1.44</v>
      </c>
      <c r="E2279" s="4">
        <v>0</v>
      </c>
      <c r="F2279" s="8">
        <v>0</v>
      </c>
      <c r="G2279" s="4">
        <v>2</v>
      </c>
      <c r="H2279" s="8">
        <v>2.78</v>
      </c>
      <c r="I2279" s="4">
        <v>0</v>
      </c>
    </row>
    <row r="2280" spans="1:9" x14ac:dyDescent="0.2">
      <c r="A2280" s="2">
        <v>18</v>
      </c>
      <c r="B2280" s="1" t="s">
        <v>364</v>
      </c>
      <c r="C2280" s="4">
        <v>2</v>
      </c>
      <c r="D2280" s="8">
        <v>1.44</v>
      </c>
      <c r="E2280" s="4">
        <v>0</v>
      </c>
      <c r="F2280" s="8">
        <v>0</v>
      </c>
      <c r="G2280" s="4">
        <v>1</v>
      </c>
      <c r="H2280" s="8">
        <v>1.39</v>
      </c>
      <c r="I2280" s="4">
        <v>1</v>
      </c>
    </row>
    <row r="2281" spans="1:9" x14ac:dyDescent="0.2">
      <c r="A2281" s="2">
        <v>18</v>
      </c>
      <c r="B2281" s="1" t="s">
        <v>372</v>
      </c>
      <c r="C2281" s="4">
        <v>2</v>
      </c>
      <c r="D2281" s="8">
        <v>1.44</v>
      </c>
      <c r="E2281" s="4">
        <v>2</v>
      </c>
      <c r="F2281" s="8">
        <v>3.33</v>
      </c>
      <c r="G2281" s="4">
        <v>0</v>
      </c>
      <c r="H2281" s="8">
        <v>0</v>
      </c>
      <c r="I2281" s="4">
        <v>0</v>
      </c>
    </row>
    <row r="2282" spans="1:9" x14ac:dyDescent="0.2">
      <c r="A2282" s="2">
        <v>18</v>
      </c>
      <c r="B2282" s="1" t="s">
        <v>300</v>
      </c>
      <c r="C2282" s="4">
        <v>2</v>
      </c>
      <c r="D2282" s="8">
        <v>1.44</v>
      </c>
      <c r="E2282" s="4">
        <v>1</v>
      </c>
      <c r="F2282" s="8">
        <v>1.67</v>
      </c>
      <c r="G2282" s="4">
        <v>1</v>
      </c>
      <c r="H2282" s="8">
        <v>1.39</v>
      </c>
      <c r="I2282" s="4">
        <v>0</v>
      </c>
    </row>
    <row r="2283" spans="1:9" x14ac:dyDescent="0.2">
      <c r="A2283" s="2">
        <v>18</v>
      </c>
      <c r="B2283" s="1" t="s">
        <v>352</v>
      </c>
      <c r="C2283" s="4">
        <v>2</v>
      </c>
      <c r="D2283" s="8">
        <v>1.44</v>
      </c>
      <c r="E2283" s="4">
        <v>2</v>
      </c>
      <c r="F2283" s="8">
        <v>3.33</v>
      </c>
      <c r="G2283" s="4">
        <v>0</v>
      </c>
      <c r="H2283" s="8">
        <v>0</v>
      </c>
      <c r="I2283" s="4">
        <v>0</v>
      </c>
    </row>
    <row r="2284" spans="1:9" x14ac:dyDescent="0.2">
      <c r="A2284" s="2">
        <v>18</v>
      </c>
      <c r="B2284" s="1" t="s">
        <v>305</v>
      </c>
      <c r="C2284" s="4">
        <v>2</v>
      </c>
      <c r="D2284" s="8">
        <v>1.44</v>
      </c>
      <c r="E2284" s="4">
        <v>2</v>
      </c>
      <c r="F2284" s="8">
        <v>3.33</v>
      </c>
      <c r="G2284" s="4">
        <v>0</v>
      </c>
      <c r="H2284" s="8">
        <v>0</v>
      </c>
      <c r="I2284" s="4">
        <v>0</v>
      </c>
    </row>
    <row r="2285" spans="1:9" x14ac:dyDescent="0.2">
      <c r="A2285" s="1"/>
      <c r="C2285" s="4"/>
      <c r="D2285" s="8"/>
      <c r="E2285" s="4"/>
      <c r="F2285" s="8"/>
      <c r="G2285" s="4"/>
      <c r="H2285" s="8"/>
      <c r="I2285" s="4"/>
    </row>
    <row r="2286" spans="1:9" x14ac:dyDescent="0.2">
      <c r="A2286" s="1" t="s">
        <v>84</v>
      </c>
      <c r="C2286" s="4"/>
      <c r="D2286" s="8"/>
      <c r="E2286" s="4"/>
      <c r="F2286" s="8"/>
      <c r="G2286" s="4"/>
      <c r="H2286" s="8"/>
      <c r="I2286" s="4"/>
    </row>
    <row r="2287" spans="1:9" x14ac:dyDescent="0.2">
      <c r="A2287" s="2">
        <v>1</v>
      </c>
      <c r="B2287" s="1" t="s">
        <v>288</v>
      </c>
      <c r="C2287" s="4">
        <v>8</v>
      </c>
      <c r="D2287" s="8">
        <v>6.11</v>
      </c>
      <c r="E2287" s="4">
        <v>0</v>
      </c>
      <c r="F2287" s="8">
        <v>0</v>
      </c>
      <c r="G2287" s="4">
        <v>8</v>
      </c>
      <c r="H2287" s="8">
        <v>11.43</v>
      </c>
      <c r="I2287" s="4">
        <v>0</v>
      </c>
    </row>
    <row r="2288" spans="1:9" x14ac:dyDescent="0.2">
      <c r="A2288" s="2">
        <v>1</v>
      </c>
      <c r="B2288" s="1" t="s">
        <v>297</v>
      </c>
      <c r="C2288" s="4">
        <v>8</v>
      </c>
      <c r="D2288" s="8">
        <v>6.11</v>
      </c>
      <c r="E2288" s="4">
        <v>4</v>
      </c>
      <c r="F2288" s="8">
        <v>7.84</v>
      </c>
      <c r="G2288" s="4">
        <v>2</v>
      </c>
      <c r="H2288" s="8">
        <v>2.86</v>
      </c>
      <c r="I2288" s="4">
        <v>0</v>
      </c>
    </row>
    <row r="2289" spans="1:9" x14ac:dyDescent="0.2">
      <c r="A2289" s="2">
        <v>3</v>
      </c>
      <c r="B2289" s="1" t="s">
        <v>330</v>
      </c>
      <c r="C2289" s="4">
        <v>4</v>
      </c>
      <c r="D2289" s="8">
        <v>3.05</v>
      </c>
      <c r="E2289" s="4">
        <v>0</v>
      </c>
      <c r="F2289" s="8">
        <v>0</v>
      </c>
      <c r="G2289" s="4">
        <v>4</v>
      </c>
      <c r="H2289" s="8">
        <v>5.71</v>
      </c>
      <c r="I2289" s="4">
        <v>0</v>
      </c>
    </row>
    <row r="2290" spans="1:9" x14ac:dyDescent="0.2">
      <c r="A2290" s="2">
        <v>3</v>
      </c>
      <c r="B2290" s="1" t="s">
        <v>300</v>
      </c>
      <c r="C2290" s="4">
        <v>4</v>
      </c>
      <c r="D2290" s="8">
        <v>3.05</v>
      </c>
      <c r="E2290" s="4">
        <v>4</v>
      </c>
      <c r="F2290" s="8">
        <v>7.84</v>
      </c>
      <c r="G2290" s="4">
        <v>0</v>
      </c>
      <c r="H2290" s="8">
        <v>0</v>
      </c>
      <c r="I2290" s="4">
        <v>0</v>
      </c>
    </row>
    <row r="2291" spans="1:9" x14ac:dyDescent="0.2">
      <c r="A2291" s="2">
        <v>3</v>
      </c>
      <c r="B2291" s="1" t="s">
        <v>304</v>
      </c>
      <c r="C2291" s="4">
        <v>4</v>
      </c>
      <c r="D2291" s="8">
        <v>3.05</v>
      </c>
      <c r="E2291" s="4">
        <v>4</v>
      </c>
      <c r="F2291" s="8">
        <v>7.84</v>
      </c>
      <c r="G2291" s="4">
        <v>0</v>
      </c>
      <c r="H2291" s="8">
        <v>0</v>
      </c>
      <c r="I2291" s="4">
        <v>0</v>
      </c>
    </row>
    <row r="2292" spans="1:9" x14ac:dyDescent="0.2">
      <c r="A2292" s="2">
        <v>6</v>
      </c>
      <c r="B2292" s="1" t="s">
        <v>343</v>
      </c>
      <c r="C2292" s="4">
        <v>3</v>
      </c>
      <c r="D2292" s="8">
        <v>2.29</v>
      </c>
      <c r="E2292" s="4">
        <v>2</v>
      </c>
      <c r="F2292" s="8">
        <v>3.92</v>
      </c>
      <c r="G2292" s="4">
        <v>1</v>
      </c>
      <c r="H2292" s="8">
        <v>1.43</v>
      </c>
      <c r="I2292" s="4">
        <v>0</v>
      </c>
    </row>
    <row r="2293" spans="1:9" x14ac:dyDescent="0.2">
      <c r="A2293" s="2">
        <v>6</v>
      </c>
      <c r="B2293" s="1" t="s">
        <v>333</v>
      </c>
      <c r="C2293" s="4">
        <v>3</v>
      </c>
      <c r="D2293" s="8">
        <v>2.29</v>
      </c>
      <c r="E2293" s="4">
        <v>2</v>
      </c>
      <c r="F2293" s="8">
        <v>3.92</v>
      </c>
      <c r="G2293" s="4">
        <v>1</v>
      </c>
      <c r="H2293" s="8">
        <v>1.43</v>
      </c>
      <c r="I2293" s="4">
        <v>0</v>
      </c>
    </row>
    <row r="2294" spans="1:9" x14ac:dyDescent="0.2">
      <c r="A2294" s="2">
        <v>6</v>
      </c>
      <c r="B2294" s="1" t="s">
        <v>308</v>
      </c>
      <c r="C2294" s="4">
        <v>3</v>
      </c>
      <c r="D2294" s="8">
        <v>2.29</v>
      </c>
      <c r="E2294" s="4">
        <v>2</v>
      </c>
      <c r="F2294" s="8">
        <v>3.92</v>
      </c>
      <c r="G2294" s="4">
        <v>1</v>
      </c>
      <c r="H2294" s="8">
        <v>1.43</v>
      </c>
      <c r="I2294" s="4">
        <v>0</v>
      </c>
    </row>
    <row r="2295" spans="1:9" x14ac:dyDescent="0.2">
      <c r="A2295" s="2">
        <v>6</v>
      </c>
      <c r="B2295" s="1" t="s">
        <v>290</v>
      </c>
      <c r="C2295" s="4">
        <v>3</v>
      </c>
      <c r="D2295" s="8">
        <v>2.29</v>
      </c>
      <c r="E2295" s="4">
        <v>1</v>
      </c>
      <c r="F2295" s="8">
        <v>1.96</v>
      </c>
      <c r="G2295" s="4">
        <v>2</v>
      </c>
      <c r="H2295" s="8">
        <v>2.86</v>
      </c>
      <c r="I2295" s="4">
        <v>0</v>
      </c>
    </row>
    <row r="2296" spans="1:9" x14ac:dyDescent="0.2">
      <c r="A2296" s="2">
        <v>6</v>
      </c>
      <c r="B2296" s="1" t="s">
        <v>332</v>
      </c>
      <c r="C2296" s="4">
        <v>3</v>
      </c>
      <c r="D2296" s="8">
        <v>2.29</v>
      </c>
      <c r="E2296" s="4">
        <v>2</v>
      </c>
      <c r="F2296" s="8">
        <v>3.92</v>
      </c>
      <c r="G2296" s="4">
        <v>1</v>
      </c>
      <c r="H2296" s="8">
        <v>1.43</v>
      </c>
      <c r="I2296" s="4">
        <v>0</v>
      </c>
    </row>
    <row r="2297" spans="1:9" x14ac:dyDescent="0.2">
      <c r="A2297" s="2">
        <v>6</v>
      </c>
      <c r="B2297" s="1" t="s">
        <v>295</v>
      </c>
      <c r="C2297" s="4">
        <v>3</v>
      </c>
      <c r="D2297" s="8">
        <v>2.29</v>
      </c>
      <c r="E2297" s="4">
        <v>2</v>
      </c>
      <c r="F2297" s="8">
        <v>3.92</v>
      </c>
      <c r="G2297" s="4">
        <v>1</v>
      </c>
      <c r="H2297" s="8">
        <v>1.43</v>
      </c>
      <c r="I2297" s="4">
        <v>0</v>
      </c>
    </row>
    <row r="2298" spans="1:9" x14ac:dyDescent="0.2">
      <c r="A2298" s="2">
        <v>6</v>
      </c>
      <c r="B2298" s="1" t="s">
        <v>299</v>
      </c>
      <c r="C2298" s="4">
        <v>3</v>
      </c>
      <c r="D2298" s="8">
        <v>2.29</v>
      </c>
      <c r="E2298" s="4">
        <v>2</v>
      </c>
      <c r="F2298" s="8">
        <v>3.92</v>
      </c>
      <c r="G2298" s="4">
        <v>1</v>
      </c>
      <c r="H2298" s="8">
        <v>1.43</v>
      </c>
      <c r="I2298" s="4">
        <v>0</v>
      </c>
    </row>
    <row r="2299" spans="1:9" x14ac:dyDescent="0.2">
      <c r="A2299" s="2">
        <v>6</v>
      </c>
      <c r="B2299" s="1" t="s">
        <v>301</v>
      </c>
      <c r="C2299" s="4">
        <v>3</v>
      </c>
      <c r="D2299" s="8">
        <v>2.29</v>
      </c>
      <c r="E2299" s="4">
        <v>2</v>
      </c>
      <c r="F2299" s="8">
        <v>3.92</v>
      </c>
      <c r="G2299" s="4">
        <v>1</v>
      </c>
      <c r="H2299" s="8">
        <v>1.43</v>
      </c>
      <c r="I2299" s="4">
        <v>0</v>
      </c>
    </row>
    <row r="2300" spans="1:9" x14ac:dyDescent="0.2">
      <c r="A2300" s="2">
        <v>6</v>
      </c>
      <c r="B2300" s="1" t="s">
        <v>305</v>
      </c>
      <c r="C2300" s="4">
        <v>3</v>
      </c>
      <c r="D2300" s="8">
        <v>2.29</v>
      </c>
      <c r="E2300" s="4">
        <v>3</v>
      </c>
      <c r="F2300" s="8">
        <v>5.88</v>
      </c>
      <c r="G2300" s="4">
        <v>0</v>
      </c>
      <c r="H2300" s="8">
        <v>0</v>
      </c>
      <c r="I2300" s="4">
        <v>0</v>
      </c>
    </row>
    <row r="2301" spans="1:9" x14ac:dyDescent="0.2">
      <c r="A2301" s="2">
        <v>6</v>
      </c>
      <c r="B2301" s="1" t="s">
        <v>306</v>
      </c>
      <c r="C2301" s="4">
        <v>3</v>
      </c>
      <c r="D2301" s="8">
        <v>2.29</v>
      </c>
      <c r="E2301" s="4">
        <v>3</v>
      </c>
      <c r="F2301" s="8">
        <v>5.88</v>
      </c>
      <c r="G2301" s="4">
        <v>0</v>
      </c>
      <c r="H2301" s="8">
        <v>0</v>
      </c>
      <c r="I2301" s="4">
        <v>0</v>
      </c>
    </row>
    <row r="2302" spans="1:9" x14ac:dyDescent="0.2">
      <c r="A2302" s="2">
        <v>6</v>
      </c>
      <c r="B2302" s="1" t="s">
        <v>341</v>
      </c>
      <c r="C2302" s="4">
        <v>3</v>
      </c>
      <c r="D2302" s="8">
        <v>2.29</v>
      </c>
      <c r="E2302" s="4">
        <v>0</v>
      </c>
      <c r="F2302" s="8">
        <v>0</v>
      </c>
      <c r="G2302" s="4">
        <v>0</v>
      </c>
      <c r="H2302" s="8">
        <v>0</v>
      </c>
      <c r="I2302" s="4">
        <v>0</v>
      </c>
    </row>
    <row r="2303" spans="1:9" x14ac:dyDescent="0.2">
      <c r="A2303" s="2">
        <v>6</v>
      </c>
      <c r="B2303" s="1" t="s">
        <v>331</v>
      </c>
      <c r="C2303" s="4">
        <v>3</v>
      </c>
      <c r="D2303" s="8">
        <v>2.29</v>
      </c>
      <c r="E2303" s="4">
        <v>0</v>
      </c>
      <c r="F2303" s="8">
        <v>0</v>
      </c>
      <c r="G2303" s="4">
        <v>2</v>
      </c>
      <c r="H2303" s="8">
        <v>2.86</v>
      </c>
      <c r="I2303" s="4">
        <v>0</v>
      </c>
    </row>
    <row r="2304" spans="1:9" x14ac:dyDescent="0.2">
      <c r="A2304" s="2">
        <v>6</v>
      </c>
      <c r="B2304" s="1" t="s">
        <v>347</v>
      </c>
      <c r="C2304" s="4">
        <v>3</v>
      </c>
      <c r="D2304" s="8">
        <v>2.29</v>
      </c>
      <c r="E2304" s="4">
        <v>0</v>
      </c>
      <c r="F2304" s="8">
        <v>0</v>
      </c>
      <c r="G2304" s="4">
        <v>3</v>
      </c>
      <c r="H2304" s="8">
        <v>4.29</v>
      </c>
      <c r="I2304" s="4">
        <v>0</v>
      </c>
    </row>
    <row r="2305" spans="1:9" x14ac:dyDescent="0.2">
      <c r="A2305" s="2">
        <v>19</v>
      </c>
      <c r="B2305" s="1" t="s">
        <v>353</v>
      </c>
      <c r="C2305" s="4">
        <v>2</v>
      </c>
      <c r="D2305" s="8">
        <v>1.53</v>
      </c>
      <c r="E2305" s="4">
        <v>0</v>
      </c>
      <c r="F2305" s="8">
        <v>0</v>
      </c>
      <c r="G2305" s="4">
        <v>2</v>
      </c>
      <c r="H2305" s="8">
        <v>2.86</v>
      </c>
      <c r="I2305" s="4">
        <v>0</v>
      </c>
    </row>
    <row r="2306" spans="1:9" x14ac:dyDescent="0.2">
      <c r="A2306" s="2">
        <v>19</v>
      </c>
      <c r="B2306" s="1" t="s">
        <v>291</v>
      </c>
      <c r="C2306" s="4">
        <v>2</v>
      </c>
      <c r="D2306" s="8">
        <v>1.53</v>
      </c>
      <c r="E2306" s="4">
        <v>0</v>
      </c>
      <c r="F2306" s="8">
        <v>0</v>
      </c>
      <c r="G2306" s="4">
        <v>2</v>
      </c>
      <c r="H2306" s="8">
        <v>2.86</v>
      </c>
      <c r="I2306" s="4">
        <v>0</v>
      </c>
    </row>
    <row r="2307" spans="1:9" x14ac:dyDescent="0.2">
      <c r="A2307" s="2">
        <v>19</v>
      </c>
      <c r="B2307" s="1" t="s">
        <v>378</v>
      </c>
      <c r="C2307" s="4">
        <v>2</v>
      </c>
      <c r="D2307" s="8">
        <v>1.53</v>
      </c>
      <c r="E2307" s="4">
        <v>0</v>
      </c>
      <c r="F2307" s="8">
        <v>0</v>
      </c>
      <c r="G2307" s="4">
        <v>2</v>
      </c>
      <c r="H2307" s="8">
        <v>2.86</v>
      </c>
      <c r="I2307" s="4">
        <v>0</v>
      </c>
    </row>
    <row r="2308" spans="1:9" x14ac:dyDescent="0.2">
      <c r="A2308" s="2">
        <v>19</v>
      </c>
      <c r="B2308" s="1" t="s">
        <v>385</v>
      </c>
      <c r="C2308" s="4">
        <v>2</v>
      </c>
      <c r="D2308" s="8">
        <v>1.53</v>
      </c>
      <c r="E2308" s="4">
        <v>0</v>
      </c>
      <c r="F2308" s="8">
        <v>0</v>
      </c>
      <c r="G2308" s="4">
        <v>2</v>
      </c>
      <c r="H2308" s="8">
        <v>2.86</v>
      </c>
      <c r="I2308" s="4">
        <v>0</v>
      </c>
    </row>
    <row r="2309" spans="1:9" x14ac:dyDescent="0.2">
      <c r="A2309" s="2">
        <v>19</v>
      </c>
      <c r="B2309" s="1" t="s">
        <v>452</v>
      </c>
      <c r="C2309" s="4">
        <v>2</v>
      </c>
      <c r="D2309" s="8">
        <v>1.53</v>
      </c>
      <c r="E2309" s="4">
        <v>0</v>
      </c>
      <c r="F2309" s="8">
        <v>0</v>
      </c>
      <c r="G2309" s="4">
        <v>2</v>
      </c>
      <c r="H2309" s="8">
        <v>2.86</v>
      </c>
      <c r="I2309" s="4">
        <v>0</v>
      </c>
    </row>
    <row r="2310" spans="1:9" x14ac:dyDescent="0.2">
      <c r="A2310" s="2">
        <v>19</v>
      </c>
      <c r="B2310" s="1" t="s">
        <v>314</v>
      </c>
      <c r="C2310" s="4">
        <v>2</v>
      </c>
      <c r="D2310" s="8">
        <v>1.53</v>
      </c>
      <c r="E2310" s="4">
        <v>1</v>
      </c>
      <c r="F2310" s="8">
        <v>1.96</v>
      </c>
      <c r="G2310" s="4">
        <v>1</v>
      </c>
      <c r="H2310" s="8">
        <v>1.43</v>
      </c>
      <c r="I2310" s="4">
        <v>0</v>
      </c>
    </row>
    <row r="2311" spans="1:9" x14ac:dyDescent="0.2">
      <c r="A2311" s="2">
        <v>19</v>
      </c>
      <c r="B2311" s="1" t="s">
        <v>335</v>
      </c>
      <c r="C2311" s="4">
        <v>2</v>
      </c>
      <c r="D2311" s="8">
        <v>1.53</v>
      </c>
      <c r="E2311" s="4">
        <v>1</v>
      </c>
      <c r="F2311" s="8">
        <v>1.96</v>
      </c>
      <c r="G2311" s="4">
        <v>1</v>
      </c>
      <c r="H2311" s="8">
        <v>1.43</v>
      </c>
      <c r="I2311" s="4">
        <v>0</v>
      </c>
    </row>
    <row r="2312" spans="1:9" x14ac:dyDescent="0.2">
      <c r="A2312" s="2">
        <v>19</v>
      </c>
      <c r="B2312" s="1" t="s">
        <v>415</v>
      </c>
      <c r="C2312" s="4">
        <v>2</v>
      </c>
      <c r="D2312" s="8">
        <v>1.53</v>
      </c>
      <c r="E2312" s="4">
        <v>0</v>
      </c>
      <c r="F2312" s="8">
        <v>0</v>
      </c>
      <c r="G2312" s="4">
        <v>2</v>
      </c>
      <c r="H2312" s="8">
        <v>2.86</v>
      </c>
      <c r="I2312" s="4">
        <v>0</v>
      </c>
    </row>
    <row r="2313" spans="1:9" x14ac:dyDescent="0.2">
      <c r="A2313" s="2">
        <v>19</v>
      </c>
      <c r="B2313" s="1" t="s">
        <v>303</v>
      </c>
      <c r="C2313" s="4">
        <v>2</v>
      </c>
      <c r="D2313" s="8">
        <v>1.53</v>
      </c>
      <c r="E2313" s="4">
        <v>2</v>
      </c>
      <c r="F2313" s="8">
        <v>3.92</v>
      </c>
      <c r="G2313" s="4">
        <v>0</v>
      </c>
      <c r="H2313" s="8">
        <v>0</v>
      </c>
      <c r="I2313" s="4">
        <v>0</v>
      </c>
    </row>
    <row r="2314" spans="1:9" x14ac:dyDescent="0.2">
      <c r="A2314" s="2">
        <v>19</v>
      </c>
      <c r="B2314" s="1" t="s">
        <v>340</v>
      </c>
      <c r="C2314" s="4">
        <v>2</v>
      </c>
      <c r="D2314" s="8">
        <v>1.53</v>
      </c>
      <c r="E2314" s="4">
        <v>0</v>
      </c>
      <c r="F2314" s="8">
        <v>0</v>
      </c>
      <c r="G2314" s="4">
        <v>0</v>
      </c>
      <c r="H2314" s="8">
        <v>0</v>
      </c>
      <c r="I2314" s="4">
        <v>0</v>
      </c>
    </row>
    <row r="2315" spans="1:9" x14ac:dyDescent="0.2">
      <c r="A2315" s="1"/>
      <c r="C2315" s="4"/>
      <c r="D2315" s="8"/>
      <c r="E2315" s="4"/>
      <c r="F2315" s="8"/>
      <c r="G2315" s="4"/>
      <c r="H2315" s="8"/>
      <c r="I2315" s="4"/>
    </row>
    <row r="2316" spans="1:9" x14ac:dyDescent="0.2">
      <c r="A2316" s="1" t="s">
        <v>85</v>
      </c>
      <c r="C2316" s="4"/>
      <c r="D2316" s="8"/>
      <c r="E2316" s="4"/>
      <c r="F2316" s="8"/>
      <c r="G2316" s="4"/>
      <c r="H2316" s="8"/>
      <c r="I2316" s="4"/>
    </row>
    <row r="2317" spans="1:9" x14ac:dyDescent="0.2">
      <c r="A2317" s="2">
        <v>1</v>
      </c>
      <c r="B2317" s="1" t="s">
        <v>304</v>
      </c>
      <c r="C2317" s="4">
        <v>6</v>
      </c>
      <c r="D2317" s="8">
        <v>9.68</v>
      </c>
      <c r="E2317" s="4">
        <v>6</v>
      </c>
      <c r="F2317" s="8">
        <v>19.350000000000001</v>
      </c>
      <c r="G2317" s="4">
        <v>0</v>
      </c>
      <c r="H2317" s="8">
        <v>0</v>
      </c>
      <c r="I2317" s="4">
        <v>0</v>
      </c>
    </row>
    <row r="2318" spans="1:9" x14ac:dyDescent="0.2">
      <c r="A2318" s="2">
        <v>2</v>
      </c>
      <c r="B2318" s="1" t="s">
        <v>303</v>
      </c>
      <c r="C2318" s="4">
        <v>4</v>
      </c>
      <c r="D2318" s="8">
        <v>6.45</v>
      </c>
      <c r="E2318" s="4">
        <v>4</v>
      </c>
      <c r="F2318" s="8">
        <v>12.9</v>
      </c>
      <c r="G2318" s="4">
        <v>0</v>
      </c>
      <c r="H2318" s="8">
        <v>0</v>
      </c>
      <c r="I2318" s="4">
        <v>0</v>
      </c>
    </row>
    <row r="2319" spans="1:9" x14ac:dyDescent="0.2">
      <c r="A2319" s="2">
        <v>3</v>
      </c>
      <c r="B2319" s="1" t="s">
        <v>289</v>
      </c>
      <c r="C2319" s="4">
        <v>2</v>
      </c>
      <c r="D2319" s="8">
        <v>3.23</v>
      </c>
      <c r="E2319" s="4">
        <v>1</v>
      </c>
      <c r="F2319" s="8">
        <v>3.23</v>
      </c>
      <c r="G2319" s="4">
        <v>1</v>
      </c>
      <c r="H2319" s="8">
        <v>4.76</v>
      </c>
      <c r="I2319" s="4">
        <v>0</v>
      </c>
    </row>
    <row r="2320" spans="1:9" x14ac:dyDescent="0.2">
      <c r="A2320" s="2">
        <v>3</v>
      </c>
      <c r="B2320" s="1" t="s">
        <v>450</v>
      </c>
      <c r="C2320" s="4">
        <v>2</v>
      </c>
      <c r="D2320" s="8">
        <v>3.23</v>
      </c>
      <c r="E2320" s="4">
        <v>2</v>
      </c>
      <c r="F2320" s="8">
        <v>6.45</v>
      </c>
      <c r="G2320" s="4">
        <v>0</v>
      </c>
      <c r="H2320" s="8">
        <v>0</v>
      </c>
      <c r="I2320" s="4">
        <v>0</v>
      </c>
    </row>
    <row r="2321" spans="1:9" x14ac:dyDescent="0.2">
      <c r="A2321" s="2">
        <v>3</v>
      </c>
      <c r="B2321" s="1" t="s">
        <v>333</v>
      </c>
      <c r="C2321" s="4">
        <v>2</v>
      </c>
      <c r="D2321" s="8">
        <v>3.23</v>
      </c>
      <c r="E2321" s="4">
        <v>2</v>
      </c>
      <c r="F2321" s="8">
        <v>6.45</v>
      </c>
      <c r="G2321" s="4">
        <v>0</v>
      </c>
      <c r="H2321" s="8">
        <v>0</v>
      </c>
      <c r="I2321" s="4">
        <v>0</v>
      </c>
    </row>
    <row r="2322" spans="1:9" x14ac:dyDescent="0.2">
      <c r="A2322" s="2">
        <v>3</v>
      </c>
      <c r="B2322" s="1" t="s">
        <v>354</v>
      </c>
      <c r="C2322" s="4">
        <v>2</v>
      </c>
      <c r="D2322" s="8">
        <v>3.23</v>
      </c>
      <c r="E2322" s="4">
        <v>0</v>
      </c>
      <c r="F2322" s="8">
        <v>0</v>
      </c>
      <c r="G2322" s="4">
        <v>2</v>
      </c>
      <c r="H2322" s="8">
        <v>9.52</v>
      </c>
      <c r="I2322" s="4">
        <v>0</v>
      </c>
    </row>
    <row r="2323" spans="1:9" x14ac:dyDescent="0.2">
      <c r="A2323" s="2">
        <v>3</v>
      </c>
      <c r="B2323" s="1" t="s">
        <v>335</v>
      </c>
      <c r="C2323" s="4">
        <v>2</v>
      </c>
      <c r="D2323" s="8">
        <v>3.23</v>
      </c>
      <c r="E2323" s="4">
        <v>0</v>
      </c>
      <c r="F2323" s="8">
        <v>0</v>
      </c>
      <c r="G2323" s="4">
        <v>2</v>
      </c>
      <c r="H2323" s="8">
        <v>9.52</v>
      </c>
      <c r="I2323" s="4">
        <v>0</v>
      </c>
    </row>
    <row r="2324" spans="1:9" x14ac:dyDescent="0.2">
      <c r="A2324" s="2">
        <v>3</v>
      </c>
      <c r="B2324" s="1" t="s">
        <v>294</v>
      </c>
      <c r="C2324" s="4">
        <v>2</v>
      </c>
      <c r="D2324" s="8">
        <v>3.23</v>
      </c>
      <c r="E2324" s="4">
        <v>2</v>
      </c>
      <c r="F2324" s="8">
        <v>6.45</v>
      </c>
      <c r="G2324" s="4">
        <v>0</v>
      </c>
      <c r="H2324" s="8">
        <v>0</v>
      </c>
      <c r="I2324" s="4">
        <v>0</v>
      </c>
    </row>
    <row r="2325" spans="1:9" x14ac:dyDescent="0.2">
      <c r="A2325" s="2">
        <v>3</v>
      </c>
      <c r="B2325" s="1" t="s">
        <v>356</v>
      </c>
      <c r="C2325" s="4">
        <v>2</v>
      </c>
      <c r="D2325" s="8">
        <v>3.23</v>
      </c>
      <c r="E2325" s="4">
        <v>0</v>
      </c>
      <c r="F2325" s="8">
        <v>0</v>
      </c>
      <c r="G2325" s="4">
        <v>0</v>
      </c>
      <c r="H2325" s="8">
        <v>0</v>
      </c>
      <c r="I2325" s="4">
        <v>2</v>
      </c>
    </row>
    <row r="2326" spans="1:9" x14ac:dyDescent="0.2">
      <c r="A2326" s="2">
        <v>3</v>
      </c>
      <c r="B2326" s="1" t="s">
        <v>368</v>
      </c>
      <c r="C2326" s="4">
        <v>2</v>
      </c>
      <c r="D2326" s="8">
        <v>3.23</v>
      </c>
      <c r="E2326" s="4">
        <v>0</v>
      </c>
      <c r="F2326" s="8">
        <v>0</v>
      </c>
      <c r="G2326" s="4">
        <v>0</v>
      </c>
      <c r="H2326" s="8">
        <v>0</v>
      </c>
      <c r="I2326" s="4">
        <v>0</v>
      </c>
    </row>
    <row r="2327" spans="1:9" x14ac:dyDescent="0.2">
      <c r="A2327" s="2">
        <v>3</v>
      </c>
      <c r="B2327" s="1" t="s">
        <v>331</v>
      </c>
      <c r="C2327" s="4">
        <v>2</v>
      </c>
      <c r="D2327" s="8">
        <v>3.23</v>
      </c>
      <c r="E2327" s="4">
        <v>0</v>
      </c>
      <c r="F2327" s="8">
        <v>0</v>
      </c>
      <c r="G2327" s="4">
        <v>2</v>
      </c>
      <c r="H2327" s="8">
        <v>9.52</v>
      </c>
      <c r="I2327" s="4">
        <v>0</v>
      </c>
    </row>
    <row r="2328" spans="1:9" x14ac:dyDescent="0.2">
      <c r="A2328" s="2">
        <v>3</v>
      </c>
      <c r="B2328" s="1" t="s">
        <v>370</v>
      </c>
      <c r="C2328" s="4">
        <v>2</v>
      </c>
      <c r="D2328" s="8">
        <v>3.23</v>
      </c>
      <c r="E2328" s="4">
        <v>1</v>
      </c>
      <c r="F2328" s="8">
        <v>3.23</v>
      </c>
      <c r="G2328" s="4">
        <v>0</v>
      </c>
      <c r="H2328" s="8">
        <v>0</v>
      </c>
      <c r="I2328" s="4">
        <v>0</v>
      </c>
    </row>
    <row r="2329" spans="1:9" x14ac:dyDescent="0.2">
      <c r="A2329" s="2">
        <v>13</v>
      </c>
      <c r="B2329" s="1" t="s">
        <v>442</v>
      </c>
      <c r="C2329" s="4">
        <v>1</v>
      </c>
      <c r="D2329" s="8">
        <v>1.61</v>
      </c>
      <c r="E2329" s="4">
        <v>0</v>
      </c>
      <c r="F2329" s="8">
        <v>0</v>
      </c>
      <c r="G2329" s="4">
        <v>1</v>
      </c>
      <c r="H2329" s="8">
        <v>4.76</v>
      </c>
      <c r="I2329" s="4">
        <v>0</v>
      </c>
    </row>
    <row r="2330" spans="1:9" x14ac:dyDescent="0.2">
      <c r="A2330" s="2">
        <v>13</v>
      </c>
      <c r="B2330" s="1" t="s">
        <v>288</v>
      </c>
      <c r="C2330" s="4">
        <v>1</v>
      </c>
      <c r="D2330" s="8">
        <v>1.61</v>
      </c>
      <c r="E2330" s="4">
        <v>0</v>
      </c>
      <c r="F2330" s="8">
        <v>0</v>
      </c>
      <c r="G2330" s="4">
        <v>1</v>
      </c>
      <c r="H2330" s="8">
        <v>4.76</v>
      </c>
      <c r="I2330" s="4">
        <v>0</v>
      </c>
    </row>
    <row r="2331" spans="1:9" x14ac:dyDescent="0.2">
      <c r="A2331" s="2">
        <v>13</v>
      </c>
      <c r="B2331" s="1" t="s">
        <v>375</v>
      </c>
      <c r="C2331" s="4">
        <v>1</v>
      </c>
      <c r="D2331" s="8">
        <v>1.61</v>
      </c>
      <c r="E2331" s="4">
        <v>0</v>
      </c>
      <c r="F2331" s="8">
        <v>0</v>
      </c>
      <c r="G2331" s="4">
        <v>1</v>
      </c>
      <c r="H2331" s="8">
        <v>4.76</v>
      </c>
      <c r="I2331" s="4">
        <v>0</v>
      </c>
    </row>
    <row r="2332" spans="1:9" x14ac:dyDescent="0.2">
      <c r="A2332" s="2">
        <v>13</v>
      </c>
      <c r="B2332" s="1" t="s">
        <v>343</v>
      </c>
      <c r="C2332" s="4">
        <v>1</v>
      </c>
      <c r="D2332" s="8">
        <v>1.61</v>
      </c>
      <c r="E2332" s="4">
        <v>1</v>
      </c>
      <c r="F2332" s="8">
        <v>3.23</v>
      </c>
      <c r="G2332" s="4">
        <v>0</v>
      </c>
      <c r="H2332" s="8">
        <v>0</v>
      </c>
      <c r="I2332" s="4">
        <v>0</v>
      </c>
    </row>
    <row r="2333" spans="1:9" x14ac:dyDescent="0.2">
      <c r="A2333" s="2">
        <v>13</v>
      </c>
      <c r="B2333" s="1" t="s">
        <v>291</v>
      </c>
      <c r="C2333" s="4">
        <v>1</v>
      </c>
      <c r="D2333" s="8">
        <v>1.61</v>
      </c>
      <c r="E2333" s="4">
        <v>1</v>
      </c>
      <c r="F2333" s="8">
        <v>3.23</v>
      </c>
      <c r="G2333" s="4">
        <v>0</v>
      </c>
      <c r="H2333" s="8">
        <v>0</v>
      </c>
      <c r="I2333" s="4">
        <v>0</v>
      </c>
    </row>
    <row r="2334" spans="1:9" x14ac:dyDescent="0.2">
      <c r="A2334" s="2">
        <v>13</v>
      </c>
      <c r="B2334" s="1" t="s">
        <v>453</v>
      </c>
      <c r="C2334" s="4">
        <v>1</v>
      </c>
      <c r="D2334" s="8">
        <v>1.61</v>
      </c>
      <c r="E2334" s="4">
        <v>1</v>
      </c>
      <c r="F2334" s="8">
        <v>3.23</v>
      </c>
      <c r="G2334" s="4">
        <v>0</v>
      </c>
      <c r="H2334" s="8">
        <v>0</v>
      </c>
      <c r="I2334" s="4">
        <v>0</v>
      </c>
    </row>
    <row r="2335" spans="1:9" x14ac:dyDescent="0.2">
      <c r="A2335" s="2">
        <v>13</v>
      </c>
      <c r="B2335" s="1" t="s">
        <v>413</v>
      </c>
      <c r="C2335" s="4">
        <v>1</v>
      </c>
      <c r="D2335" s="8">
        <v>1.61</v>
      </c>
      <c r="E2335" s="4">
        <v>1</v>
      </c>
      <c r="F2335" s="8">
        <v>3.23</v>
      </c>
      <c r="G2335" s="4">
        <v>0</v>
      </c>
      <c r="H2335" s="8">
        <v>0</v>
      </c>
      <c r="I2335" s="4">
        <v>0</v>
      </c>
    </row>
    <row r="2336" spans="1:9" x14ac:dyDescent="0.2">
      <c r="A2336" s="2">
        <v>13</v>
      </c>
      <c r="B2336" s="1" t="s">
        <v>351</v>
      </c>
      <c r="C2336" s="4">
        <v>1</v>
      </c>
      <c r="D2336" s="8">
        <v>1.61</v>
      </c>
      <c r="E2336" s="4">
        <v>1</v>
      </c>
      <c r="F2336" s="8">
        <v>3.23</v>
      </c>
      <c r="G2336" s="4">
        <v>0</v>
      </c>
      <c r="H2336" s="8">
        <v>0</v>
      </c>
      <c r="I2336" s="4">
        <v>0</v>
      </c>
    </row>
    <row r="2337" spans="1:9" x14ac:dyDescent="0.2">
      <c r="A2337" s="2">
        <v>13</v>
      </c>
      <c r="B2337" s="1" t="s">
        <v>399</v>
      </c>
      <c r="C2337" s="4">
        <v>1</v>
      </c>
      <c r="D2337" s="8">
        <v>1.61</v>
      </c>
      <c r="E2337" s="4">
        <v>0</v>
      </c>
      <c r="F2337" s="8">
        <v>0</v>
      </c>
      <c r="G2337" s="4">
        <v>1</v>
      </c>
      <c r="H2337" s="8">
        <v>4.76</v>
      </c>
      <c r="I2337" s="4">
        <v>0</v>
      </c>
    </row>
    <row r="2338" spans="1:9" x14ac:dyDescent="0.2">
      <c r="A2338" s="2">
        <v>13</v>
      </c>
      <c r="B2338" s="1" t="s">
        <v>454</v>
      </c>
      <c r="C2338" s="4">
        <v>1</v>
      </c>
      <c r="D2338" s="8">
        <v>1.61</v>
      </c>
      <c r="E2338" s="4">
        <v>0</v>
      </c>
      <c r="F2338" s="8">
        <v>0</v>
      </c>
      <c r="G2338" s="4">
        <v>1</v>
      </c>
      <c r="H2338" s="8">
        <v>4.76</v>
      </c>
      <c r="I2338" s="4">
        <v>0</v>
      </c>
    </row>
    <row r="2339" spans="1:9" x14ac:dyDescent="0.2">
      <c r="A2339" s="2">
        <v>13</v>
      </c>
      <c r="B2339" s="1" t="s">
        <v>455</v>
      </c>
      <c r="C2339" s="4">
        <v>1</v>
      </c>
      <c r="D2339" s="8">
        <v>1.61</v>
      </c>
      <c r="E2339" s="4">
        <v>0</v>
      </c>
      <c r="F2339" s="8">
        <v>0</v>
      </c>
      <c r="G2339" s="4">
        <v>1</v>
      </c>
      <c r="H2339" s="8">
        <v>4.76</v>
      </c>
      <c r="I2339" s="4">
        <v>0</v>
      </c>
    </row>
    <row r="2340" spans="1:9" x14ac:dyDescent="0.2">
      <c r="A2340" s="2">
        <v>13</v>
      </c>
      <c r="B2340" s="1" t="s">
        <v>361</v>
      </c>
      <c r="C2340" s="4">
        <v>1</v>
      </c>
      <c r="D2340" s="8">
        <v>1.61</v>
      </c>
      <c r="E2340" s="4">
        <v>0</v>
      </c>
      <c r="F2340" s="8">
        <v>0</v>
      </c>
      <c r="G2340" s="4">
        <v>0</v>
      </c>
      <c r="H2340" s="8">
        <v>0</v>
      </c>
      <c r="I2340" s="4">
        <v>0</v>
      </c>
    </row>
    <row r="2341" spans="1:9" x14ac:dyDescent="0.2">
      <c r="A2341" s="2">
        <v>13</v>
      </c>
      <c r="B2341" s="1" t="s">
        <v>313</v>
      </c>
      <c r="C2341" s="4">
        <v>1</v>
      </c>
      <c r="D2341" s="8">
        <v>1.61</v>
      </c>
      <c r="E2341" s="4">
        <v>0</v>
      </c>
      <c r="F2341" s="8">
        <v>0</v>
      </c>
      <c r="G2341" s="4">
        <v>1</v>
      </c>
      <c r="H2341" s="8">
        <v>4.76</v>
      </c>
      <c r="I2341" s="4">
        <v>0</v>
      </c>
    </row>
    <row r="2342" spans="1:9" x14ac:dyDescent="0.2">
      <c r="A2342" s="2">
        <v>13</v>
      </c>
      <c r="B2342" s="1" t="s">
        <v>350</v>
      </c>
      <c r="C2342" s="4">
        <v>1</v>
      </c>
      <c r="D2342" s="8">
        <v>1.61</v>
      </c>
      <c r="E2342" s="4">
        <v>0</v>
      </c>
      <c r="F2342" s="8">
        <v>0</v>
      </c>
      <c r="G2342" s="4">
        <v>1</v>
      </c>
      <c r="H2342" s="8">
        <v>4.76</v>
      </c>
      <c r="I2342" s="4">
        <v>0</v>
      </c>
    </row>
    <row r="2343" spans="1:9" x14ac:dyDescent="0.2">
      <c r="A2343" s="2">
        <v>13</v>
      </c>
      <c r="B2343" s="1" t="s">
        <v>346</v>
      </c>
      <c r="C2343" s="4">
        <v>1</v>
      </c>
      <c r="D2343" s="8">
        <v>1.61</v>
      </c>
      <c r="E2343" s="4">
        <v>0</v>
      </c>
      <c r="F2343" s="8">
        <v>0</v>
      </c>
      <c r="G2343" s="4">
        <v>1</v>
      </c>
      <c r="H2343" s="8">
        <v>4.76</v>
      </c>
      <c r="I2343" s="4">
        <v>0</v>
      </c>
    </row>
    <row r="2344" spans="1:9" x14ac:dyDescent="0.2">
      <c r="A2344" s="2">
        <v>13</v>
      </c>
      <c r="B2344" s="1" t="s">
        <v>309</v>
      </c>
      <c r="C2344" s="4">
        <v>1</v>
      </c>
      <c r="D2344" s="8">
        <v>1.61</v>
      </c>
      <c r="E2344" s="4">
        <v>1</v>
      </c>
      <c r="F2344" s="8">
        <v>3.23</v>
      </c>
      <c r="G2344" s="4">
        <v>0</v>
      </c>
      <c r="H2344" s="8">
        <v>0</v>
      </c>
      <c r="I2344" s="4">
        <v>0</v>
      </c>
    </row>
    <row r="2345" spans="1:9" x14ac:dyDescent="0.2">
      <c r="A2345" s="2">
        <v>13</v>
      </c>
      <c r="B2345" s="1" t="s">
        <v>314</v>
      </c>
      <c r="C2345" s="4">
        <v>1</v>
      </c>
      <c r="D2345" s="8">
        <v>1.61</v>
      </c>
      <c r="E2345" s="4">
        <v>1</v>
      </c>
      <c r="F2345" s="8">
        <v>3.23</v>
      </c>
      <c r="G2345" s="4">
        <v>0</v>
      </c>
      <c r="H2345" s="8">
        <v>0</v>
      </c>
      <c r="I2345" s="4">
        <v>0</v>
      </c>
    </row>
    <row r="2346" spans="1:9" x14ac:dyDescent="0.2">
      <c r="A2346" s="2">
        <v>13</v>
      </c>
      <c r="B2346" s="1" t="s">
        <v>365</v>
      </c>
      <c r="C2346" s="4">
        <v>1</v>
      </c>
      <c r="D2346" s="8">
        <v>1.61</v>
      </c>
      <c r="E2346" s="4">
        <v>1</v>
      </c>
      <c r="F2346" s="8">
        <v>3.23</v>
      </c>
      <c r="G2346" s="4">
        <v>0</v>
      </c>
      <c r="H2346" s="8">
        <v>0</v>
      </c>
      <c r="I2346" s="4">
        <v>0</v>
      </c>
    </row>
    <row r="2347" spans="1:9" x14ac:dyDescent="0.2">
      <c r="A2347" s="2">
        <v>13</v>
      </c>
      <c r="B2347" s="1" t="s">
        <v>380</v>
      </c>
      <c r="C2347" s="4">
        <v>1</v>
      </c>
      <c r="D2347" s="8">
        <v>1.61</v>
      </c>
      <c r="E2347" s="4">
        <v>1</v>
      </c>
      <c r="F2347" s="8">
        <v>3.23</v>
      </c>
      <c r="G2347" s="4">
        <v>0</v>
      </c>
      <c r="H2347" s="8">
        <v>0</v>
      </c>
      <c r="I2347" s="4">
        <v>0</v>
      </c>
    </row>
    <row r="2348" spans="1:9" x14ac:dyDescent="0.2">
      <c r="A2348" s="2">
        <v>13</v>
      </c>
      <c r="B2348" s="1" t="s">
        <v>332</v>
      </c>
      <c r="C2348" s="4">
        <v>1</v>
      </c>
      <c r="D2348" s="8">
        <v>1.61</v>
      </c>
      <c r="E2348" s="4">
        <v>0</v>
      </c>
      <c r="F2348" s="8">
        <v>0</v>
      </c>
      <c r="G2348" s="4">
        <v>1</v>
      </c>
      <c r="H2348" s="8">
        <v>4.76</v>
      </c>
      <c r="I2348" s="4">
        <v>0</v>
      </c>
    </row>
    <row r="2349" spans="1:9" x14ac:dyDescent="0.2">
      <c r="A2349" s="2">
        <v>13</v>
      </c>
      <c r="B2349" s="1" t="s">
        <v>402</v>
      </c>
      <c r="C2349" s="4">
        <v>1</v>
      </c>
      <c r="D2349" s="8">
        <v>1.61</v>
      </c>
      <c r="E2349" s="4">
        <v>1</v>
      </c>
      <c r="F2349" s="8">
        <v>3.23</v>
      </c>
      <c r="G2349" s="4">
        <v>0</v>
      </c>
      <c r="H2349" s="8">
        <v>0</v>
      </c>
      <c r="I2349" s="4">
        <v>0</v>
      </c>
    </row>
    <row r="2350" spans="1:9" x14ac:dyDescent="0.2">
      <c r="A2350" s="2">
        <v>13</v>
      </c>
      <c r="B2350" s="1" t="s">
        <v>372</v>
      </c>
      <c r="C2350" s="4">
        <v>1</v>
      </c>
      <c r="D2350" s="8">
        <v>1.61</v>
      </c>
      <c r="E2350" s="4">
        <v>1</v>
      </c>
      <c r="F2350" s="8">
        <v>3.23</v>
      </c>
      <c r="G2350" s="4">
        <v>0</v>
      </c>
      <c r="H2350" s="8">
        <v>0</v>
      </c>
      <c r="I2350" s="4">
        <v>0</v>
      </c>
    </row>
    <row r="2351" spans="1:9" x14ac:dyDescent="0.2">
      <c r="A2351" s="2">
        <v>13</v>
      </c>
      <c r="B2351" s="1" t="s">
        <v>338</v>
      </c>
      <c r="C2351" s="4">
        <v>1</v>
      </c>
      <c r="D2351" s="8">
        <v>1.61</v>
      </c>
      <c r="E2351" s="4">
        <v>0</v>
      </c>
      <c r="F2351" s="8">
        <v>0</v>
      </c>
      <c r="G2351" s="4">
        <v>1</v>
      </c>
      <c r="H2351" s="8">
        <v>4.76</v>
      </c>
      <c r="I2351" s="4">
        <v>0</v>
      </c>
    </row>
    <row r="2352" spans="1:9" x14ac:dyDescent="0.2">
      <c r="A2352" s="2">
        <v>13</v>
      </c>
      <c r="B2352" s="1" t="s">
        <v>295</v>
      </c>
      <c r="C2352" s="4">
        <v>1</v>
      </c>
      <c r="D2352" s="8">
        <v>1.61</v>
      </c>
      <c r="E2352" s="4">
        <v>1</v>
      </c>
      <c r="F2352" s="8">
        <v>3.23</v>
      </c>
      <c r="G2352" s="4">
        <v>0</v>
      </c>
      <c r="H2352" s="8">
        <v>0</v>
      </c>
      <c r="I2352" s="4">
        <v>0</v>
      </c>
    </row>
    <row r="2353" spans="1:9" x14ac:dyDescent="0.2">
      <c r="A2353" s="2">
        <v>13</v>
      </c>
      <c r="B2353" s="1" t="s">
        <v>297</v>
      </c>
      <c r="C2353" s="4">
        <v>1</v>
      </c>
      <c r="D2353" s="8">
        <v>1.61</v>
      </c>
      <c r="E2353" s="4">
        <v>0</v>
      </c>
      <c r="F2353" s="8">
        <v>0</v>
      </c>
      <c r="G2353" s="4">
        <v>1</v>
      </c>
      <c r="H2353" s="8">
        <v>4.76</v>
      </c>
      <c r="I2353" s="4">
        <v>0</v>
      </c>
    </row>
    <row r="2354" spans="1:9" x14ac:dyDescent="0.2">
      <c r="A2354" s="2">
        <v>13</v>
      </c>
      <c r="B2354" s="1" t="s">
        <v>311</v>
      </c>
      <c r="C2354" s="4">
        <v>1</v>
      </c>
      <c r="D2354" s="8">
        <v>1.61</v>
      </c>
      <c r="E2354" s="4">
        <v>0</v>
      </c>
      <c r="F2354" s="8">
        <v>0</v>
      </c>
      <c r="G2354" s="4">
        <v>0</v>
      </c>
      <c r="H2354" s="8">
        <v>0</v>
      </c>
      <c r="I2354" s="4">
        <v>0</v>
      </c>
    </row>
    <row r="2355" spans="1:9" x14ac:dyDescent="0.2">
      <c r="A2355" s="2">
        <v>13</v>
      </c>
      <c r="B2355" s="1" t="s">
        <v>299</v>
      </c>
      <c r="C2355" s="4">
        <v>1</v>
      </c>
      <c r="D2355" s="8">
        <v>1.61</v>
      </c>
      <c r="E2355" s="4">
        <v>1</v>
      </c>
      <c r="F2355" s="8">
        <v>3.23</v>
      </c>
      <c r="G2355" s="4">
        <v>0</v>
      </c>
      <c r="H2355" s="8">
        <v>0</v>
      </c>
      <c r="I2355" s="4">
        <v>0</v>
      </c>
    </row>
    <row r="2356" spans="1:9" x14ac:dyDescent="0.2">
      <c r="A2356" s="2">
        <v>13</v>
      </c>
      <c r="B2356" s="1" t="s">
        <v>341</v>
      </c>
      <c r="C2356" s="4">
        <v>1</v>
      </c>
      <c r="D2356" s="8">
        <v>1.61</v>
      </c>
      <c r="E2356" s="4">
        <v>0</v>
      </c>
      <c r="F2356" s="8">
        <v>0</v>
      </c>
      <c r="G2356" s="4">
        <v>0</v>
      </c>
      <c r="H2356" s="8">
        <v>0</v>
      </c>
      <c r="I2356" s="4">
        <v>0</v>
      </c>
    </row>
    <row r="2357" spans="1:9" x14ac:dyDescent="0.2">
      <c r="A2357" s="2">
        <v>13</v>
      </c>
      <c r="B2357" s="1" t="s">
        <v>347</v>
      </c>
      <c r="C2357" s="4">
        <v>1</v>
      </c>
      <c r="D2357" s="8">
        <v>1.61</v>
      </c>
      <c r="E2357" s="4">
        <v>0</v>
      </c>
      <c r="F2357" s="8">
        <v>0</v>
      </c>
      <c r="G2357" s="4">
        <v>1</v>
      </c>
      <c r="H2357" s="8">
        <v>4.76</v>
      </c>
      <c r="I2357" s="4">
        <v>0</v>
      </c>
    </row>
    <row r="2358" spans="1:9" x14ac:dyDescent="0.2">
      <c r="A2358" s="2">
        <v>13</v>
      </c>
      <c r="B2358" s="1" t="s">
        <v>397</v>
      </c>
      <c r="C2358" s="4">
        <v>1</v>
      </c>
      <c r="D2358" s="8">
        <v>1.61</v>
      </c>
      <c r="E2358" s="4">
        <v>0</v>
      </c>
      <c r="F2358" s="8">
        <v>0</v>
      </c>
      <c r="G2358" s="4">
        <v>1</v>
      </c>
      <c r="H2358" s="8">
        <v>4.76</v>
      </c>
      <c r="I2358" s="4">
        <v>0</v>
      </c>
    </row>
    <row r="2359" spans="1:9" x14ac:dyDescent="0.2">
      <c r="A2359" s="2">
        <v>13</v>
      </c>
      <c r="B2359" s="1" t="s">
        <v>345</v>
      </c>
      <c r="C2359" s="4">
        <v>1</v>
      </c>
      <c r="D2359" s="8">
        <v>1.61</v>
      </c>
      <c r="E2359" s="4">
        <v>0</v>
      </c>
      <c r="F2359" s="8">
        <v>0</v>
      </c>
      <c r="G2359" s="4">
        <v>0</v>
      </c>
      <c r="H2359" s="8">
        <v>0</v>
      </c>
      <c r="I2359" s="4">
        <v>0</v>
      </c>
    </row>
    <row r="2360" spans="1:9" x14ac:dyDescent="0.2">
      <c r="A2360" s="2">
        <v>13</v>
      </c>
      <c r="B2360" s="1" t="s">
        <v>456</v>
      </c>
      <c r="C2360" s="4">
        <v>1</v>
      </c>
      <c r="D2360" s="8">
        <v>1.61</v>
      </c>
      <c r="E2360" s="4">
        <v>0</v>
      </c>
      <c r="F2360" s="8">
        <v>0</v>
      </c>
      <c r="G2360" s="4">
        <v>0</v>
      </c>
      <c r="H2360" s="8">
        <v>0</v>
      </c>
      <c r="I2360" s="4">
        <v>0</v>
      </c>
    </row>
    <row r="2361" spans="1:9" x14ac:dyDescent="0.2">
      <c r="A2361" s="1"/>
      <c r="C2361" s="4"/>
      <c r="D2361" s="8"/>
      <c r="E2361" s="4"/>
      <c r="F2361" s="8"/>
      <c r="G2361" s="4"/>
      <c r="H2361" s="8"/>
      <c r="I2361" s="4"/>
    </row>
    <row r="2362" spans="1:9" x14ac:dyDescent="0.2">
      <c r="A2362" s="1" t="s">
        <v>86</v>
      </c>
      <c r="C2362" s="4"/>
      <c r="D2362" s="8"/>
      <c r="E2362" s="4"/>
      <c r="F2362" s="8"/>
      <c r="G2362" s="4"/>
      <c r="H2362" s="8"/>
      <c r="I2362" s="4"/>
    </row>
    <row r="2363" spans="1:9" x14ac:dyDescent="0.2">
      <c r="A2363" s="2">
        <v>1</v>
      </c>
      <c r="B2363" s="1" t="s">
        <v>292</v>
      </c>
      <c r="C2363" s="4">
        <v>7</v>
      </c>
      <c r="D2363" s="8">
        <v>5</v>
      </c>
      <c r="E2363" s="4">
        <v>2</v>
      </c>
      <c r="F2363" s="8">
        <v>3.33</v>
      </c>
      <c r="G2363" s="4">
        <v>5</v>
      </c>
      <c r="H2363" s="8">
        <v>6.85</v>
      </c>
      <c r="I2363" s="4">
        <v>0</v>
      </c>
    </row>
    <row r="2364" spans="1:9" x14ac:dyDescent="0.2">
      <c r="A2364" s="2">
        <v>1</v>
      </c>
      <c r="B2364" s="1" t="s">
        <v>303</v>
      </c>
      <c r="C2364" s="4">
        <v>7</v>
      </c>
      <c r="D2364" s="8">
        <v>5</v>
      </c>
      <c r="E2364" s="4">
        <v>7</v>
      </c>
      <c r="F2364" s="8">
        <v>11.67</v>
      </c>
      <c r="G2364" s="4">
        <v>0</v>
      </c>
      <c r="H2364" s="8">
        <v>0</v>
      </c>
      <c r="I2364" s="4">
        <v>0</v>
      </c>
    </row>
    <row r="2365" spans="1:9" x14ac:dyDescent="0.2">
      <c r="A2365" s="2">
        <v>3</v>
      </c>
      <c r="B2365" s="1" t="s">
        <v>291</v>
      </c>
      <c r="C2365" s="4">
        <v>4</v>
      </c>
      <c r="D2365" s="8">
        <v>2.86</v>
      </c>
      <c r="E2365" s="4">
        <v>1</v>
      </c>
      <c r="F2365" s="8">
        <v>1.67</v>
      </c>
      <c r="G2365" s="4">
        <v>3</v>
      </c>
      <c r="H2365" s="8">
        <v>4.1100000000000003</v>
      </c>
      <c r="I2365" s="4">
        <v>0</v>
      </c>
    </row>
    <row r="2366" spans="1:9" x14ac:dyDescent="0.2">
      <c r="A2366" s="2">
        <v>3</v>
      </c>
      <c r="B2366" s="1" t="s">
        <v>335</v>
      </c>
      <c r="C2366" s="4">
        <v>4</v>
      </c>
      <c r="D2366" s="8">
        <v>2.86</v>
      </c>
      <c r="E2366" s="4">
        <v>2</v>
      </c>
      <c r="F2366" s="8">
        <v>3.33</v>
      </c>
      <c r="G2366" s="4">
        <v>2</v>
      </c>
      <c r="H2366" s="8">
        <v>2.74</v>
      </c>
      <c r="I2366" s="4">
        <v>0</v>
      </c>
    </row>
    <row r="2367" spans="1:9" x14ac:dyDescent="0.2">
      <c r="A2367" s="2">
        <v>3</v>
      </c>
      <c r="B2367" s="1" t="s">
        <v>330</v>
      </c>
      <c r="C2367" s="4">
        <v>4</v>
      </c>
      <c r="D2367" s="8">
        <v>2.86</v>
      </c>
      <c r="E2367" s="4">
        <v>0</v>
      </c>
      <c r="F2367" s="8">
        <v>0</v>
      </c>
      <c r="G2367" s="4">
        <v>4</v>
      </c>
      <c r="H2367" s="8">
        <v>5.48</v>
      </c>
      <c r="I2367" s="4">
        <v>0</v>
      </c>
    </row>
    <row r="2368" spans="1:9" x14ac:dyDescent="0.2">
      <c r="A2368" s="2">
        <v>3</v>
      </c>
      <c r="B2368" s="1" t="s">
        <v>299</v>
      </c>
      <c r="C2368" s="4">
        <v>4</v>
      </c>
      <c r="D2368" s="8">
        <v>2.86</v>
      </c>
      <c r="E2368" s="4">
        <v>4</v>
      </c>
      <c r="F2368" s="8">
        <v>6.67</v>
      </c>
      <c r="G2368" s="4">
        <v>0</v>
      </c>
      <c r="H2368" s="8">
        <v>0</v>
      </c>
      <c r="I2368" s="4">
        <v>0</v>
      </c>
    </row>
    <row r="2369" spans="1:9" x14ac:dyDescent="0.2">
      <c r="A2369" s="2">
        <v>3</v>
      </c>
      <c r="B2369" s="1" t="s">
        <v>325</v>
      </c>
      <c r="C2369" s="4">
        <v>4</v>
      </c>
      <c r="D2369" s="8">
        <v>2.86</v>
      </c>
      <c r="E2369" s="4">
        <v>0</v>
      </c>
      <c r="F2369" s="8">
        <v>0</v>
      </c>
      <c r="G2369" s="4">
        <v>3</v>
      </c>
      <c r="H2369" s="8">
        <v>4.1100000000000003</v>
      </c>
      <c r="I2369" s="4">
        <v>0</v>
      </c>
    </row>
    <row r="2370" spans="1:9" x14ac:dyDescent="0.2">
      <c r="A2370" s="2">
        <v>3</v>
      </c>
      <c r="B2370" s="1" t="s">
        <v>304</v>
      </c>
      <c r="C2370" s="4">
        <v>4</v>
      </c>
      <c r="D2370" s="8">
        <v>2.86</v>
      </c>
      <c r="E2370" s="4">
        <v>3</v>
      </c>
      <c r="F2370" s="8">
        <v>5</v>
      </c>
      <c r="G2370" s="4">
        <v>1</v>
      </c>
      <c r="H2370" s="8">
        <v>1.37</v>
      </c>
      <c r="I2370" s="4">
        <v>0</v>
      </c>
    </row>
    <row r="2371" spans="1:9" x14ac:dyDescent="0.2">
      <c r="A2371" s="2">
        <v>3</v>
      </c>
      <c r="B2371" s="1" t="s">
        <v>371</v>
      </c>
      <c r="C2371" s="4">
        <v>4</v>
      </c>
      <c r="D2371" s="8">
        <v>2.86</v>
      </c>
      <c r="E2371" s="4">
        <v>2</v>
      </c>
      <c r="F2371" s="8">
        <v>3.33</v>
      </c>
      <c r="G2371" s="4">
        <v>2</v>
      </c>
      <c r="H2371" s="8">
        <v>2.74</v>
      </c>
      <c r="I2371" s="4">
        <v>0</v>
      </c>
    </row>
    <row r="2372" spans="1:9" x14ac:dyDescent="0.2">
      <c r="A2372" s="2">
        <v>10</v>
      </c>
      <c r="B2372" s="1" t="s">
        <v>399</v>
      </c>
      <c r="C2372" s="4">
        <v>3</v>
      </c>
      <c r="D2372" s="8">
        <v>2.14</v>
      </c>
      <c r="E2372" s="4">
        <v>0</v>
      </c>
      <c r="F2372" s="8">
        <v>0</v>
      </c>
      <c r="G2372" s="4">
        <v>3</v>
      </c>
      <c r="H2372" s="8">
        <v>4.1100000000000003</v>
      </c>
      <c r="I2372" s="4">
        <v>0</v>
      </c>
    </row>
    <row r="2373" spans="1:9" x14ac:dyDescent="0.2">
      <c r="A2373" s="2">
        <v>10</v>
      </c>
      <c r="B2373" s="1" t="s">
        <v>385</v>
      </c>
      <c r="C2373" s="4">
        <v>3</v>
      </c>
      <c r="D2373" s="8">
        <v>2.14</v>
      </c>
      <c r="E2373" s="4">
        <v>0</v>
      </c>
      <c r="F2373" s="8">
        <v>0</v>
      </c>
      <c r="G2373" s="4">
        <v>3</v>
      </c>
      <c r="H2373" s="8">
        <v>4.1100000000000003</v>
      </c>
      <c r="I2373" s="4">
        <v>0</v>
      </c>
    </row>
    <row r="2374" spans="1:9" x14ac:dyDescent="0.2">
      <c r="A2374" s="2">
        <v>10</v>
      </c>
      <c r="B2374" s="1" t="s">
        <v>321</v>
      </c>
      <c r="C2374" s="4">
        <v>3</v>
      </c>
      <c r="D2374" s="8">
        <v>2.14</v>
      </c>
      <c r="E2374" s="4">
        <v>0</v>
      </c>
      <c r="F2374" s="8">
        <v>0</v>
      </c>
      <c r="G2374" s="4">
        <v>3</v>
      </c>
      <c r="H2374" s="8">
        <v>4.1100000000000003</v>
      </c>
      <c r="I2374" s="4">
        <v>0</v>
      </c>
    </row>
    <row r="2375" spans="1:9" x14ac:dyDescent="0.2">
      <c r="A2375" s="2">
        <v>10</v>
      </c>
      <c r="B2375" s="1" t="s">
        <v>305</v>
      </c>
      <c r="C2375" s="4">
        <v>3</v>
      </c>
      <c r="D2375" s="8">
        <v>2.14</v>
      </c>
      <c r="E2375" s="4">
        <v>3</v>
      </c>
      <c r="F2375" s="8">
        <v>5</v>
      </c>
      <c r="G2375" s="4">
        <v>0</v>
      </c>
      <c r="H2375" s="8">
        <v>0</v>
      </c>
      <c r="I2375" s="4">
        <v>0</v>
      </c>
    </row>
    <row r="2376" spans="1:9" x14ac:dyDescent="0.2">
      <c r="A2376" s="2">
        <v>10</v>
      </c>
      <c r="B2376" s="1" t="s">
        <v>312</v>
      </c>
      <c r="C2376" s="4">
        <v>3</v>
      </c>
      <c r="D2376" s="8">
        <v>2.14</v>
      </c>
      <c r="E2376" s="4">
        <v>3</v>
      </c>
      <c r="F2376" s="8">
        <v>5</v>
      </c>
      <c r="G2376" s="4">
        <v>0</v>
      </c>
      <c r="H2376" s="8">
        <v>0</v>
      </c>
      <c r="I2376" s="4">
        <v>0</v>
      </c>
    </row>
    <row r="2377" spans="1:9" x14ac:dyDescent="0.2">
      <c r="A2377" s="2">
        <v>10</v>
      </c>
      <c r="B2377" s="1" t="s">
        <v>318</v>
      </c>
      <c r="C2377" s="4">
        <v>3</v>
      </c>
      <c r="D2377" s="8">
        <v>2.14</v>
      </c>
      <c r="E2377" s="4">
        <v>0</v>
      </c>
      <c r="F2377" s="8">
        <v>0</v>
      </c>
      <c r="G2377" s="4">
        <v>3</v>
      </c>
      <c r="H2377" s="8">
        <v>4.1100000000000003</v>
      </c>
      <c r="I2377" s="4">
        <v>0</v>
      </c>
    </row>
    <row r="2378" spans="1:9" x14ac:dyDescent="0.2">
      <c r="A2378" s="2">
        <v>16</v>
      </c>
      <c r="B2378" s="1" t="s">
        <v>289</v>
      </c>
      <c r="C2378" s="4">
        <v>2</v>
      </c>
      <c r="D2378" s="8">
        <v>1.43</v>
      </c>
      <c r="E2378" s="4">
        <v>1</v>
      </c>
      <c r="F2378" s="8">
        <v>1.67</v>
      </c>
      <c r="G2378" s="4">
        <v>1</v>
      </c>
      <c r="H2378" s="8">
        <v>1.37</v>
      </c>
      <c r="I2378" s="4">
        <v>0</v>
      </c>
    </row>
    <row r="2379" spans="1:9" x14ac:dyDescent="0.2">
      <c r="A2379" s="2">
        <v>16</v>
      </c>
      <c r="B2379" s="1" t="s">
        <v>333</v>
      </c>
      <c r="C2379" s="4">
        <v>2</v>
      </c>
      <c r="D2379" s="8">
        <v>1.43</v>
      </c>
      <c r="E2379" s="4">
        <v>1</v>
      </c>
      <c r="F2379" s="8">
        <v>1.67</v>
      </c>
      <c r="G2379" s="4">
        <v>1</v>
      </c>
      <c r="H2379" s="8">
        <v>1.37</v>
      </c>
      <c r="I2379" s="4">
        <v>0</v>
      </c>
    </row>
    <row r="2380" spans="1:9" x14ac:dyDescent="0.2">
      <c r="A2380" s="2">
        <v>16</v>
      </c>
      <c r="B2380" s="1" t="s">
        <v>290</v>
      </c>
      <c r="C2380" s="4">
        <v>2</v>
      </c>
      <c r="D2380" s="8">
        <v>1.43</v>
      </c>
      <c r="E2380" s="4">
        <v>0</v>
      </c>
      <c r="F2380" s="8">
        <v>0</v>
      </c>
      <c r="G2380" s="4">
        <v>2</v>
      </c>
      <c r="H2380" s="8">
        <v>2.74</v>
      </c>
      <c r="I2380" s="4">
        <v>0</v>
      </c>
    </row>
    <row r="2381" spans="1:9" x14ac:dyDescent="0.2">
      <c r="A2381" s="2">
        <v>16</v>
      </c>
      <c r="B2381" s="1" t="s">
        <v>351</v>
      </c>
      <c r="C2381" s="4">
        <v>2</v>
      </c>
      <c r="D2381" s="8">
        <v>1.43</v>
      </c>
      <c r="E2381" s="4">
        <v>0</v>
      </c>
      <c r="F2381" s="8">
        <v>0</v>
      </c>
      <c r="G2381" s="4">
        <v>2</v>
      </c>
      <c r="H2381" s="8">
        <v>2.74</v>
      </c>
      <c r="I2381" s="4">
        <v>0</v>
      </c>
    </row>
    <row r="2382" spans="1:9" x14ac:dyDescent="0.2">
      <c r="A2382" s="2">
        <v>16</v>
      </c>
      <c r="B2382" s="1" t="s">
        <v>350</v>
      </c>
      <c r="C2382" s="4">
        <v>2</v>
      </c>
      <c r="D2382" s="8">
        <v>1.43</v>
      </c>
      <c r="E2382" s="4">
        <v>0</v>
      </c>
      <c r="F2382" s="8">
        <v>0</v>
      </c>
      <c r="G2382" s="4">
        <v>2</v>
      </c>
      <c r="H2382" s="8">
        <v>2.74</v>
      </c>
      <c r="I2382" s="4">
        <v>0</v>
      </c>
    </row>
    <row r="2383" spans="1:9" x14ac:dyDescent="0.2">
      <c r="A2383" s="2">
        <v>16</v>
      </c>
      <c r="B2383" s="1" t="s">
        <v>314</v>
      </c>
      <c r="C2383" s="4">
        <v>2</v>
      </c>
      <c r="D2383" s="8">
        <v>1.43</v>
      </c>
      <c r="E2383" s="4">
        <v>2</v>
      </c>
      <c r="F2383" s="8">
        <v>3.33</v>
      </c>
      <c r="G2383" s="4">
        <v>0</v>
      </c>
      <c r="H2383" s="8">
        <v>0</v>
      </c>
      <c r="I2383" s="4">
        <v>0</v>
      </c>
    </row>
    <row r="2384" spans="1:9" x14ac:dyDescent="0.2">
      <c r="A2384" s="2">
        <v>16</v>
      </c>
      <c r="B2384" s="1" t="s">
        <v>329</v>
      </c>
      <c r="C2384" s="4">
        <v>2</v>
      </c>
      <c r="D2384" s="8">
        <v>1.43</v>
      </c>
      <c r="E2384" s="4">
        <v>2</v>
      </c>
      <c r="F2384" s="8">
        <v>3.33</v>
      </c>
      <c r="G2384" s="4">
        <v>0</v>
      </c>
      <c r="H2384" s="8">
        <v>0</v>
      </c>
      <c r="I2384" s="4">
        <v>0</v>
      </c>
    </row>
    <row r="2385" spans="1:9" x14ac:dyDescent="0.2">
      <c r="A2385" s="2">
        <v>16</v>
      </c>
      <c r="B2385" s="1" t="s">
        <v>293</v>
      </c>
      <c r="C2385" s="4">
        <v>2</v>
      </c>
      <c r="D2385" s="8">
        <v>1.43</v>
      </c>
      <c r="E2385" s="4">
        <v>2</v>
      </c>
      <c r="F2385" s="8">
        <v>3.33</v>
      </c>
      <c r="G2385" s="4">
        <v>0</v>
      </c>
      <c r="H2385" s="8">
        <v>0</v>
      </c>
      <c r="I2385" s="4">
        <v>0</v>
      </c>
    </row>
    <row r="2386" spans="1:9" x14ac:dyDescent="0.2">
      <c r="A2386" s="2">
        <v>16</v>
      </c>
      <c r="B2386" s="1" t="s">
        <v>337</v>
      </c>
      <c r="C2386" s="4">
        <v>2</v>
      </c>
      <c r="D2386" s="8">
        <v>1.43</v>
      </c>
      <c r="E2386" s="4">
        <v>2</v>
      </c>
      <c r="F2386" s="8">
        <v>3.33</v>
      </c>
      <c r="G2386" s="4">
        <v>0</v>
      </c>
      <c r="H2386" s="8">
        <v>0</v>
      </c>
      <c r="I2386" s="4">
        <v>0</v>
      </c>
    </row>
    <row r="2387" spans="1:9" x14ac:dyDescent="0.2">
      <c r="A2387" s="2">
        <v>16</v>
      </c>
      <c r="B2387" s="1" t="s">
        <v>295</v>
      </c>
      <c r="C2387" s="4">
        <v>2</v>
      </c>
      <c r="D2387" s="8">
        <v>1.43</v>
      </c>
      <c r="E2387" s="4">
        <v>1</v>
      </c>
      <c r="F2387" s="8">
        <v>1.67</v>
      </c>
      <c r="G2387" s="4">
        <v>1</v>
      </c>
      <c r="H2387" s="8">
        <v>1.37</v>
      </c>
      <c r="I2387" s="4">
        <v>0</v>
      </c>
    </row>
    <row r="2388" spans="1:9" x14ac:dyDescent="0.2">
      <c r="A2388" s="2">
        <v>16</v>
      </c>
      <c r="B2388" s="1" t="s">
        <v>297</v>
      </c>
      <c r="C2388" s="4">
        <v>2</v>
      </c>
      <c r="D2388" s="8">
        <v>1.43</v>
      </c>
      <c r="E2388" s="4">
        <v>1</v>
      </c>
      <c r="F2388" s="8">
        <v>1.67</v>
      </c>
      <c r="G2388" s="4">
        <v>1</v>
      </c>
      <c r="H2388" s="8">
        <v>1.37</v>
      </c>
      <c r="I2388" s="4">
        <v>0</v>
      </c>
    </row>
    <row r="2389" spans="1:9" x14ac:dyDescent="0.2">
      <c r="A2389" s="2">
        <v>16</v>
      </c>
      <c r="B2389" s="1" t="s">
        <v>298</v>
      </c>
      <c r="C2389" s="4">
        <v>2</v>
      </c>
      <c r="D2389" s="8">
        <v>1.43</v>
      </c>
      <c r="E2389" s="4">
        <v>0</v>
      </c>
      <c r="F2389" s="8">
        <v>0</v>
      </c>
      <c r="G2389" s="4">
        <v>2</v>
      </c>
      <c r="H2389" s="8">
        <v>2.74</v>
      </c>
      <c r="I2389" s="4">
        <v>0</v>
      </c>
    </row>
    <row r="2390" spans="1:9" x14ac:dyDescent="0.2">
      <c r="A2390" s="2">
        <v>16</v>
      </c>
      <c r="B2390" s="1" t="s">
        <v>334</v>
      </c>
      <c r="C2390" s="4">
        <v>2</v>
      </c>
      <c r="D2390" s="8">
        <v>1.43</v>
      </c>
      <c r="E2390" s="4">
        <v>2</v>
      </c>
      <c r="F2390" s="8">
        <v>3.33</v>
      </c>
      <c r="G2390" s="4">
        <v>0</v>
      </c>
      <c r="H2390" s="8">
        <v>0</v>
      </c>
      <c r="I2390" s="4">
        <v>0</v>
      </c>
    </row>
    <row r="2391" spans="1:9" x14ac:dyDescent="0.2">
      <c r="A2391" s="2">
        <v>16</v>
      </c>
      <c r="B2391" s="1" t="s">
        <v>302</v>
      </c>
      <c r="C2391" s="4">
        <v>2</v>
      </c>
      <c r="D2391" s="8">
        <v>1.43</v>
      </c>
      <c r="E2391" s="4">
        <v>1</v>
      </c>
      <c r="F2391" s="8">
        <v>1.67</v>
      </c>
      <c r="G2391" s="4">
        <v>1</v>
      </c>
      <c r="H2391" s="8">
        <v>1.37</v>
      </c>
      <c r="I2391" s="4">
        <v>0</v>
      </c>
    </row>
    <row r="2392" spans="1:9" x14ac:dyDescent="0.2">
      <c r="A2392" s="2">
        <v>16</v>
      </c>
      <c r="B2392" s="1" t="s">
        <v>341</v>
      </c>
      <c r="C2392" s="4">
        <v>2</v>
      </c>
      <c r="D2392" s="8">
        <v>1.43</v>
      </c>
      <c r="E2392" s="4">
        <v>0</v>
      </c>
      <c r="F2392" s="8">
        <v>0</v>
      </c>
      <c r="G2392" s="4">
        <v>0</v>
      </c>
      <c r="H2392" s="8">
        <v>0</v>
      </c>
      <c r="I2392" s="4">
        <v>2</v>
      </c>
    </row>
    <row r="2393" spans="1:9" x14ac:dyDescent="0.2">
      <c r="A2393" s="2">
        <v>16</v>
      </c>
      <c r="B2393" s="1" t="s">
        <v>331</v>
      </c>
      <c r="C2393" s="4">
        <v>2</v>
      </c>
      <c r="D2393" s="8">
        <v>1.43</v>
      </c>
      <c r="E2393" s="4">
        <v>0</v>
      </c>
      <c r="F2393" s="8">
        <v>0</v>
      </c>
      <c r="G2393" s="4">
        <v>1</v>
      </c>
      <c r="H2393" s="8">
        <v>1.37</v>
      </c>
      <c r="I2393" s="4">
        <v>0</v>
      </c>
    </row>
    <row r="2394" spans="1:9" x14ac:dyDescent="0.2">
      <c r="A2394" s="2">
        <v>16</v>
      </c>
      <c r="B2394" s="1" t="s">
        <v>307</v>
      </c>
      <c r="C2394" s="4">
        <v>2</v>
      </c>
      <c r="D2394" s="8">
        <v>1.43</v>
      </c>
      <c r="E2394" s="4">
        <v>1</v>
      </c>
      <c r="F2394" s="8">
        <v>1.67</v>
      </c>
      <c r="G2394" s="4">
        <v>1</v>
      </c>
      <c r="H2394" s="8">
        <v>1.37</v>
      </c>
      <c r="I2394" s="4">
        <v>0</v>
      </c>
    </row>
    <row r="2395" spans="1:9" x14ac:dyDescent="0.2">
      <c r="A2395" s="1"/>
      <c r="C2395" s="4"/>
      <c r="D2395" s="8"/>
      <c r="E2395" s="4"/>
      <c r="F2395" s="8"/>
      <c r="G2395" s="4"/>
      <c r="H2395" s="8"/>
      <c r="I2395" s="4"/>
    </row>
    <row r="2396" spans="1:9" x14ac:dyDescent="0.2">
      <c r="A2396" s="1" t="s">
        <v>87</v>
      </c>
      <c r="C2396" s="4"/>
      <c r="D2396" s="8"/>
      <c r="E2396" s="4"/>
      <c r="F2396" s="8"/>
      <c r="G2396" s="4"/>
      <c r="H2396" s="8"/>
      <c r="I2396" s="4"/>
    </row>
    <row r="2397" spans="1:9" x14ac:dyDescent="0.2">
      <c r="A2397" s="2">
        <v>1</v>
      </c>
      <c r="B2397" s="1" t="s">
        <v>301</v>
      </c>
      <c r="C2397" s="4">
        <v>17</v>
      </c>
      <c r="D2397" s="8">
        <v>6.16</v>
      </c>
      <c r="E2397" s="4">
        <v>16</v>
      </c>
      <c r="F2397" s="8">
        <v>12.7</v>
      </c>
      <c r="G2397" s="4">
        <v>1</v>
      </c>
      <c r="H2397" s="8">
        <v>0.74</v>
      </c>
      <c r="I2397" s="4">
        <v>0</v>
      </c>
    </row>
    <row r="2398" spans="1:9" x14ac:dyDescent="0.2">
      <c r="A2398" s="2">
        <v>2</v>
      </c>
      <c r="B2398" s="1" t="s">
        <v>297</v>
      </c>
      <c r="C2398" s="4">
        <v>15</v>
      </c>
      <c r="D2398" s="8">
        <v>5.43</v>
      </c>
      <c r="E2398" s="4">
        <v>8</v>
      </c>
      <c r="F2398" s="8">
        <v>6.35</v>
      </c>
      <c r="G2398" s="4">
        <v>6</v>
      </c>
      <c r="H2398" s="8">
        <v>4.4400000000000004</v>
      </c>
      <c r="I2398" s="4">
        <v>0</v>
      </c>
    </row>
    <row r="2399" spans="1:9" x14ac:dyDescent="0.2">
      <c r="A2399" s="2">
        <v>3</v>
      </c>
      <c r="B2399" s="1" t="s">
        <v>300</v>
      </c>
      <c r="C2399" s="4">
        <v>12</v>
      </c>
      <c r="D2399" s="8">
        <v>4.3499999999999996</v>
      </c>
      <c r="E2399" s="4">
        <v>10</v>
      </c>
      <c r="F2399" s="8">
        <v>7.94</v>
      </c>
      <c r="G2399" s="4">
        <v>2</v>
      </c>
      <c r="H2399" s="8">
        <v>1.48</v>
      </c>
      <c r="I2399" s="4">
        <v>0</v>
      </c>
    </row>
    <row r="2400" spans="1:9" x14ac:dyDescent="0.2">
      <c r="A2400" s="2">
        <v>4</v>
      </c>
      <c r="B2400" s="1" t="s">
        <v>303</v>
      </c>
      <c r="C2400" s="4">
        <v>10</v>
      </c>
      <c r="D2400" s="8">
        <v>3.62</v>
      </c>
      <c r="E2400" s="4">
        <v>10</v>
      </c>
      <c r="F2400" s="8">
        <v>7.94</v>
      </c>
      <c r="G2400" s="4">
        <v>0</v>
      </c>
      <c r="H2400" s="8">
        <v>0</v>
      </c>
      <c r="I2400" s="4">
        <v>0</v>
      </c>
    </row>
    <row r="2401" spans="1:9" x14ac:dyDescent="0.2">
      <c r="A2401" s="2">
        <v>4</v>
      </c>
      <c r="B2401" s="1" t="s">
        <v>304</v>
      </c>
      <c r="C2401" s="4">
        <v>10</v>
      </c>
      <c r="D2401" s="8">
        <v>3.62</v>
      </c>
      <c r="E2401" s="4">
        <v>9</v>
      </c>
      <c r="F2401" s="8">
        <v>7.14</v>
      </c>
      <c r="G2401" s="4">
        <v>1</v>
      </c>
      <c r="H2401" s="8">
        <v>0.74</v>
      </c>
      <c r="I2401" s="4">
        <v>0</v>
      </c>
    </row>
    <row r="2402" spans="1:9" x14ac:dyDescent="0.2">
      <c r="A2402" s="2">
        <v>6</v>
      </c>
      <c r="B2402" s="1" t="s">
        <v>302</v>
      </c>
      <c r="C2402" s="4">
        <v>8</v>
      </c>
      <c r="D2402" s="8">
        <v>2.9</v>
      </c>
      <c r="E2402" s="4">
        <v>7</v>
      </c>
      <c r="F2402" s="8">
        <v>5.56</v>
      </c>
      <c r="G2402" s="4">
        <v>1</v>
      </c>
      <c r="H2402" s="8">
        <v>0.74</v>
      </c>
      <c r="I2402" s="4">
        <v>0</v>
      </c>
    </row>
    <row r="2403" spans="1:9" x14ac:dyDescent="0.2">
      <c r="A2403" s="2">
        <v>7</v>
      </c>
      <c r="B2403" s="1" t="s">
        <v>333</v>
      </c>
      <c r="C2403" s="4">
        <v>6</v>
      </c>
      <c r="D2403" s="8">
        <v>2.17</v>
      </c>
      <c r="E2403" s="4">
        <v>4</v>
      </c>
      <c r="F2403" s="8">
        <v>3.17</v>
      </c>
      <c r="G2403" s="4">
        <v>2</v>
      </c>
      <c r="H2403" s="8">
        <v>1.48</v>
      </c>
      <c r="I2403" s="4">
        <v>0</v>
      </c>
    </row>
    <row r="2404" spans="1:9" x14ac:dyDescent="0.2">
      <c r="A2404" s="2">
        <v>7</v>
      </c>
      <c r="B2404" s="1" t="s">
        <v>329</v>
      </c>
      <c r="C2404" s="4">
        <v>6</v>
      </c>
      <c r="D2404" s="8">
        <v>2.17</v>
      </c>
      <c r="E2404" s="4">
        <v>4</v>
      </c>
      <c r="F2404" s="8">
        <v>3.17</v>
      </c>
      <c r="G2404" s="4">
        <v>2</v>
      </c>
      <c r="H2404" s="8">
        <v>1.48</v>
      </c>
      <c r="I2404" s="4">
        <v>0</v>
      </c>
    </row>
    <row r="2405" spans="1:9" x14ac:dyDescent="0.2">
      <c r="A2405" s="2">
        <v>9</v>
      </c>
      <c r="B2405" s="1" t="s">
        <v>292</v>
      </c>
      <c r="C2405" s="4">
        <v>5</v>
      </c>
      <c r="D2405" s="8">
        <v>1.81</v>
      </c>
      <c r="E2405" s="4">
        <v>2</v>
      </c>
      <c r="F2405" s="8">
        <v>1.59</v>
      </c>
      <c r="G2405" s="4">
        <v>3</v>
      </c>
      <c r="H2405" s="8">
        <v>2.2200000000000002</v>
      </c>
      <c r="I2405" s="4">
        <v>0</v>
      </c>
    </row>
    <row r="2406" spans="1:9" x14ac:dyDescent="0.2">
      <c r="A2406" s="2">
        <v>9</v>
      </c>
      <c r="B2406" s="1" t="s">
        <v>295</v>
      </c>
      <c r="C2406" s="4">
        <v>5</v>
      </c>
      <c r="D2406" s="8">
        <v>1.81</v>
      </c>
      <c r="E2406" s="4">
        <v>1</v>
      </c>
      <c r="F2406" s="8">
        <v>0.79</v>
      </c>
      <c r="G2406" s="4">
        <v>4</v>
      </c>
      <c r="H2406" s="8">
        <v>2.96</v>
      </c>
      <c r="I2406" s="4">
        <v>0</v>
      </c>
    </row>
    <row r="2407" spans="1:9" x14ac:dyDescent="0.2">
      <c r="A2407" s="2">
        <v>9</v>
      </c>
      <c r="B2407" s="1" t="s">
        <v>296</v>
      </c>
      <c r="C2407" s="4">
        <v>5</v>
      </c>
      <c r="D2407" s="8">
        <v>1.81</v>
      </c>
      <c r="E2407" s="4">
        <v>1</v>
      </c>
      <c r="F2407" s="8">
        <v>0.79</v>
      </c>
      <c r="G2407" s="4">
        <v>4</v>
      </c>
      <c r="H2407" s="8">
        <v>2.96</v>
      </c>
      <c r="I2407" s="4">
        <v>0</v>
      </c>
    </row>
    <row r="2408" spans="1:9" x14ac:dyDescent="0.2">
      <c r="A2408" s="2">
        <v>9</v>
      </c>
      <c r="B2408" s="1" t="s">
        <v>299</v>
      </c>
      <c r="C2408" s="4">
        <v>5</v>
      </c>
      <c r="D2408" s="8">
        <v>1.81</v>
      </c>
      <c r="E2408" s="4">
        <v>4</v>
      </c>
      <c r="F2408" s="8">
        <v>3.17</v>
      </c>
      <c r="G2408" s="4">
        <v>1</v>
      </c>
      <c r="H2408" s="8">
        <v>0.74</v>
      </c>
      <c r="I2408" s="4">
        <v>0</v>
      </c>
    </row>
    <row r="2409" spans="1:9" x14ac:dyDescent="0.2">
      <c r="A2409" s="2">
        <v>9</v>
      </c>
      <c r="B2409" s="1" t="s">
        <v>331</v>
      </c>
      <c r="C2409" s="4">
        <v>5</v>
      </c>
      <c r="D2409" s="8">
        <v>1.81</v>
      </c>
      <c r="E2409" s="4">
        <v>0</v>
      </c>
      <c r="F2409" s="8">
        <v>0</v>
      </c>
      <c r="G2409" s="4">
        <v>3</v>
      </c>
      <c r="H2409" s="8">
        <v>2.2200000000000002</v>
      </c>
      <c r="I2409" s="4">
        <v>0</v>
      </c>
    </row>
    <row r="2410" spans="1:9" x14ac:dyDescent="0.2">
      <c r="A2410" s="2">
        <v>9</v>
      </c>
      <c r="B2410" s="1" t="s">
        <v>307</v>
      </c>
      <c r="C2410" s="4">
        <v>5</v>
      </c>
      <c r="D2410" s="8">
        <v>1.81</v>
      </c>
      <c r="E2410" s="4">
        <v>1</v>
      </c>
      <c r="F2410" s="8">
        <v>0.79</v>
      </c>
      <c r="G2410" s="4">
        <v>4</v>
      </c>
      <c r="H2410" s="8">
        <v>2.96</v>
      </c>
      <c r="I2410" s="4">
        <v>0</v>
      </c>
    </row>
    <row r="2411" spans="1:9" x14ac:dyDescent="0.2">
      <c r="A2411" s="2">
        <v>15</v>
      </c>
      <c r="B2411" s="1" t="s">
        <v>374</v>
      </c>
      <c r="C2411" s="4">
        <v>4</v>
      </c>
      <c r="D2411" s="8">
        <v>1.45</v>
      </c>
      <c r="E2411" s="4">
        <v>0</v>
      </c>
      <c r="F2411" s="8">
        <v>0</v>
      </c>
      <c r="G2411" s="4">
        <v>4</v>
      </c>
      <c r="H2411" s="8">
        <v>2.96</v>
      </c>
      <c r="I2411" s="4">
        <v>0</v>
      </c>
    </row>
    <row r="2412" spans="1:9" x14ac:dyDescent="0.2">
      <c r="A2412" s="2">
        <v>15</v>
      </c>
      <c r="B2412" s="1" t="s">
        <v>321</v>
      </c>
      <c r="C2412" s="4">
        <v>4</v>
      </c>
      <c r="D2412" s="8">
        <v>1.45</v>
      </c>
      <c r="E2412" s="4">
        <v>1</v>
      </c>
      <c r="F2412" s="8">
        <v>0.79</v>
      </c>
      <c r="G2412" s="4">
        <v>3</v>
      </c>
      <c r="H2412" s="8">
        <v>2.2200000000000002</v>
      </c>
      <c r="I2412" s="4">
        <v>0</v>
      </c>
    </row>
    <row r="2413" spans="1:9" x14ac:dyDescent="0.2">
      <c r="A2413" s="2">
        <v>15</v>
      </c>
      <c r="B2413" s="1" t="s">
        <v>335</v>
      </c>
      <c r="C2413" s="4">
        <v>4</v>
      </c>
      <c r="D2413" s="8">
        <v>1.45</v>
      </c>
      <c r="E2413" s="4">
        <v>1</v>
      </c>
      <c r="F2413" s="8">
        <v>0.79</v>
      </c>
      <c r="G2413" s="4">
        <v>3</v>
      </c>
      <c r="H2413" s="8">
        <v>2.2200000000000002</v>
      </c>
      <c r="I2413" s="4">
        <v>0</v>
      </c>
    </row>
    <row r="2414" spans="1:9" x14ac:dyDescent="0.2">
      <c r="A2414" s="2">
        <v>15</v>
      </c>
      <c r="B2414" s="1" t="s">
        <v>294</v>
      </c>
      <c r="C2414" s="4">
        <v>4</v>
      </c>
      <c r="D2414" s="8">
        <v>1.45</v>
      </c>
      <c r="E2414" s="4">
        <v>1</v>
      </c>
      <c r="F2414" s="8">
        <v>0.79</v>
      </c>
      <c r="G2414" s="4">
        <v>3</v>
      </c>
      <c r="H2414" s="8">
        <v>2.2200000000000002</v>
      </c>
      <c r="I2414" s="4">
        <v>0</v>
      </c>
    </row>
    <row r="2415" spans="1:9" x14ac:dyDescent="0.2">
      <c r="A2415" s="2">
        <v>15</v>
      </c>
      <c r="B2415" s="1" t="s">
        <v>330</v>
      </c>
      <c r="C2415" s="4">
        <v>4</v>
      </c>
      <c r="D2415" s="8">
        <v>1.45</v>
      </c>
      <c r="E2415" s="4">
        <v>0</v>
      </c>
      <c r="F2415" s="8">
        <v>0</v>
      </c>
      <c r="G2415" s="4">
        <v>4</v>
      </c>
      <c r="H2415" s="8">
        <v>2.96</v>
      </c>
      <c r="I2415" s="4">
        <v>0</v>
      </c>
    </row>
    <row r="2416" spans="1:9" x14ac:dyDescent="0.2">
      <c r="A2416" s="2">
        <v>15</v>
      </c>
      <c r="B2416" s="1" t="s">
        <v>306</v>
      </c>
      <c r="C2416" s="4">
        <v>4</v>
      </c>
      <c r="D2416" s="8">
        <v>1.45</v>
      </c>
      <c r="E2416" s="4">
        <v>3</v>
      </c>
      <c r="F2416" s="8">
        <v>2.38</v>
      </c>
      <c r="G2416" s="4">
        <v>1</v>
      </c>
      <c r="H2416" s="8">
        <v>0.74</v>
      </c>
      <c r="I2416" s="4">
        <v>0</v>
      </c>
    </row>
    <row r="2417" spans="1:9" x14ac:dyDescent="0.2">
      <c r="A2417" s="1"/>
      <c r="C2417" s="4"/>
      <c r="D2417" s="8"/>
      <c r="E2417" s="4"/>
      <c r="F2417" s="8"/>
      <c r="G2417" s="4"/>
      <c r="H2417" s="8"/>
      <c r="I2417" s="4"/>
    </row>
    <row r="2418" spans="1:9" x14ac:dyDescent="0.2">
      <c r="A2418" s="1" t="s">
        <v>88</v>
      </c>
      <c r="C2418" s="4"/>
      <c r="D2418" s="8"/>
      <c r="E2418" s="4"/>
      <c r="F2418" s="8"/>
      <c r="G2418" s="4"/>
      <c r="H2418" s="8"/>
      <c r="I2418" s="4"/>
    </row>
    <row r="2419" spans="1:9" x14ac:dyDescent="0.2">
      <c r="A2419" s="2">
        <v>1</v>
      </c>
      <c r="B2419" s="1" t="s">
        <v>297</v>
      </c>
      <c r="C2419" s="4">
        <v>23</v>
      </c>
      <c r="D2419" s="8">
        <v>7.19</v>
      </c>
      <c r="E2419" s="4">
        <v>20</v>
      </c>
      <c r="F2419" s="8">
        <v>11.43</v>
      </c>
      <c r="G2419" s="4">
        <v>2</v>
      </c>
      <c r="H2419" s="8">
        <v>1.43</v>
      </c>
      <c r="I2419" s="4">
        <v>0</v>
      </c>
    </row>
    <row r="2420" spans="1:9" x14ac:dyDescent="0.2">
      <c r="A2420" s="2">
        <v>2</v>
      </c>
      <c r="B2420" s="1" t="s">
        <v>304</v>
      </c>
      <c r="C2420" s="4">
        <v>17</v>
      </c>
      <c r="D2420" s="8">
        <v>5.31</v>
      </c>
      <c r="E2420" s="4">
        <v>16</v>
      </c>
      <c r="F2420" s="8">
        <v>9.14</v>
      </c>
      <c r="G2420" s="4">
        <v>1</v>
      </c>
      <c r="H2420" s="8">
        <v>0.71</v>
      </c>
      <c r="I2420" s="4">
        <v>0</v>
      </c>
    </row>
    <row r="2421" spans="1:9" x14ac:dyDescent="0.2">
      <c r="A2421" s="2">
        <v>3</v>
      </c>
      <c r="B2421" s="1" t="s">
        <v>303</v>
      </c>
      <c r="C2421" s="4">
        <v>13</v>
      </c>
      <c r="D2421" s="8">
        <v>4.0599999999999996</v>
      </c>
      <c r="E2421" s="4">
        <v>13</v>
      </c>
      <c r="F2421" s="8">
        <v>7.43</v>
      </c>
      <c r="G2421" s="4">
        <v>0</v>
      </c>
      <c r="H2421" s="8">
        <v>0</v>
      </c>
      <c r="I2421" s="4">
        <v>0</v>
      </c>
    </row>
    <row r="2422" spans="1:9" x14ac:dyDescent="0.2">
      <c r="A2422" s="2">
        <v>4</v>
      </c>
      <c r="B2422" s="1" t="s">
        <v>301</v>
      </c>
      <c r="C2422" s="4">
        <v>12</v>
      </c>
      <c r="D2422" s="8">
        <v>3.75</v>
      </c>
      <c r="E2422" s="4">
        <v>12</v>
      </c>
      <c r="F2422" s="8">
        <v>6.86</v>
      </c>
      <c r="G2422" s="4">
        <v>0</v>
      </c>
      <c r="H2422" s="8">
        <v>0</v>
      </c>
      <c r="I2422" s="4">
        <v>0</v>
      </c>
    </row>
    <row r="2423" spans="1:9" x14ac:dyDescent="0.2">
      <c r="A2423" s="2">
        <v>5</v>
      </c>
      <c r="B2423" s="1" t="s">
        <v>307</v>
      </c>
      <c r="C2423" s="4">
        <v>10</v>
      </c>
      <c r="D2423" s="8">
        <v>3.13</v>
      </c>
      <c r="E2423" s="4">
        <v>5</v>
      </c>
      <c r="F2423" s="8">
        <v>2.86</v>
      </c>
      <c r="G2423" s="4">
        <v>5</v>
      </c>
      <c r="H2423" s="8">
        <v>3.57</v>
      </c>
      <c r="I2423" s="4">
        <v>0</v>
      </c>
    </row>
    <row r="2424" spans="1:9" x14ac:dyDescent="0.2">
      <c r="A2424" s="2">
        <v>6</v>
      </c>
      <c r="B2424" s="1" t="s">
        <v>294</v>
      </c>
      <c r="C2424" s="4">
        <v>9</v>
      </c>
      <c r="D2424" s="8">
        <v>2.81</v>
      </c>
      <c r="E2424" s="4">
        <v>2</v>
      </c>
      <c r="F2424" s="8">
        <v>1.1399999999999999</v>
      </c>
      <c r="G2424" s="4">
        <v>7</v>
      </c>
      <c r="H2424" s="8">
        <v>5</v>
      </c>
      <c r="I2424" s="4">
        <v>0</v>
      </c>
    </row>
    <row r="2425" spans="1:9" x14ac:dyDescent="0.2">
      <c r="A2425" s="2">
        <v>7</v>
      </c>
      <c r="B2425" s="1" t="s">
        <v>329</v>
      </c>
      <c r="C2425" s="4">
        <v>8</v>
      </c>
      <c r="D2425" s="8">
        <v>2.5</v>
      </c>
      <c r="E2425" s="4">
        <v>4</v>
      </c>
      <c r="F2425" s="8">
        <v>2.29</v>
      </c>
      <c r="G2425" s="4">
        <v>3</v>
      </c>
      <c r="H2425" s="8">
        <v>2.14</v>
      </c>
      <c r="I2425" s="4">
        <v>1</v>
      </c>
    </row>
    <row r="2426" spans="1:9" x14ac:dyDescent="0.2">
      <c r="A2426" s="2">
        <v>7</v>
      </c>
      <c r="B2426" s="1" t="s">
        <v>335</v>
      </c>
      <c r="C2426" s="4">
        <v>8</v>
      </c>
      <c r="D2426" s="8">
        <v>2.5</v>
      </c>
      <c r="E2426" s="4">
        <v>6</v>
      </c>
      <c r="F2426" s="8">
        <v>3.43</v>
      </c>
      <c r="G2426" s="4">
        <v>2</v>
      </c>
      <c r="H2426" s="8">
        <v>1.43</v>
      </c>
      <c r="I2426" s="4">
        <v>0</v>
      </c>
    </row>
    <row r="2427" spans="1:9" x14ac:dyDescent="0.2">
      <c r="A2427" s="2">
        <v>9</v>
      </c>
      <c r="B2427" s="1" t="s">
        <v>288</v>
      </c>
      <c r="C2427" s="4">
        <v>7</v>
      </c>
      <c r="D2427" s="8">
        <v>2.19</v>
      </c>
      <c r="E2427" s="4">
        <v>1</v>
      </c>
      <c r="F2427" s="8">
        <v>0.56999999999999995</v>
      </c>
      <c r="G2427" s="4">
        <v>6</v>
      </c>
      <c r="H2427" s="8">
        <v>4.29</v>
      </c>
      <c r="I2427" s="4">
        <v>0</v>
      </c>
    </row>
    <row r="2428" spans="1:9" x14ac:dyDescent="0.2">
      <c r="A2428" s="2">
        <v>9</v>
      </c>
      <c r="B2428" s="1" t="s">
        <v>299</v>
      </c>
      <c r="C2428" s="4">
        <v>7</v>
      </c>
      <c r="D2428" s="8">
        <v>2.19</v>
      </c>
      <c r="E2428" s="4">
        <v>5</v>
      </c>
      <c r="F2428" s="8">
        <v>2.86</v>
      </c>
      <c r="G2428" s="4">
        <v>2</v>
      </c>
      <c r="H2428" s="8">
        <v>1.43</v>
      </c>
      <c r="I2428" s="4">
        <v>0</v>
      </c>
    </row>
    <row r="2429" spans="1:9" x14ac:dyDescent="0.2">
      <c r="A2429" s="2">
        <v>11</v>
      </c>
      <c r="B2429" s="1" t="s">
        <v>293</v>
      </c>
      <c r="C2429" s="4">
        <v>6</v>
      </c>
      <c r="D2429" s="8">
        <v>1.88</v>
      </c>
      <c r="E2429" s="4">
        <v>1</v>
      </c>
      <c r="F2429" s="8">
        <v>0.56999999999999995</v>
      </c>
      <c r="G2429" s="4">
        <v>5</v>
      </c>
      <c r="H2429" s="8">
        <v>3.57</v>
      </c>
      <c r="I2429" s="4">
        <v>0</v>
      </c>
    </row>
    <row r="2430" spans="1:9" x14ac:dyDescent="0.2">
      <c r="A2430" s="2">
        <v>11</v>
      </c>
      <c r="B2430" s="1" t="s">
        <v>330</v>
      </c>
      <c r="C2430" s="4">
        <v>6</v>
      </c>
      <c r="D2430" s="8">
        <v>1.88</v>
      </c>
      <c r="E2430" s="4">
        <v>2</v>
      </c>
      <c r="F2430" s="8">
        <v>1.1399999999999999</v>
      </c>
      <c r="G2430" s="4">
        <v>4</v>
      </c>
      <c r="H2430" s="8">
        <v>2.86</v>
      </c>
      <c r="I2430" s="4">
        <v>0</v>
      </c>
    </row>
    <row r="2431" spans="1:9" x14ac:dyDescent="0.2">
      <c r="A2431" s="2">
        <v>11</v>
      </c>
      <c r="B2431" s="1" t="s">
        <v>295</v>
      </c>
      <c r="C2431" s="4">
        <v>6</v>
      </c>
      <c r="D2431" s="8">
        <v>1.88</v>
      </c>
      <c r="E2431" s="4">
        <v>3</v>
      </c>
      <c r="F2431" s="8">
        <v>1.71</v>
      </c>
      <c r="G2431" s="4">
        <v>3</v>
      </c>
      <c r="H2431" s="8">
        <v>2.14</v>
      </c>
      <c r="I2431" s="4">
        <v>0</v>
      </c>
    </row>
    <row r="2432" spans="1:9" x14ac:dyDescent="0.2">
      <c r="A2432" s="2">
        <v>14</v>
      </c>
      <c r="B2432" s="1" t="s">
        <v>289</v>
      </c>
      <c r="C2432" s="4">
        <v>5</v>
      </c>
      <c r="D2432" s="8">
        <v>1.56</v>
      </c>
      <c r="E2432" s="4">
        <v>2</v>
      </c>
      <c r="F2432" s="8">
        <v>1.1399999999999999</v>
      </c>
      <c r="G2432" s="4">
        <v>3</v>
      </c>
      <c r="H2432" s="8">
        <v>2.14</v>
      </c>
      <c r="I2432" s="4">
        <v>0</v>
      </c>
    </row>
    <row r="2433" spans="1:9" x14ac:dyDescent="0.2">
      <c r="A2433" s="2">
        <v>14</v>
      </c>
      <c r="B2433" s="1" t="s">
        <v>328</v>
      </c>
      <c r="C2433" s="4">
        <v>5</v>
      </c>
      <c r="D2433" s="8">
        <v>1.56</v>
      </c>
      <c r="E2433" s="4">
        <v>2</v>
      </c>
      <c r="F2433" s="8">
        <v>1.1399999999999999</v>
      </c>
      <c r="G2433" s="4">
        <v>3</v>
      </c>
      <c r="H2433" s="8">
        <v>2.14</v>
      </c>
      <c r="I2433" s="4">
        <v>0</v>
      </c>
    </row>
    <row r="2434" spans="1:9" x14ac:dyDescent="0.2">
      <c r="A2434" s="2">
        <v>14</v>
      </c>
      <c r="B2434" s="1" t="s">
        <v>291</v>
      </c>
      <c r="C2434" s="4">
        <v>5</v>
      </c>
      <c r="D2434" s="8">
        <v>1.56</v>
      </c>
      <c r="E2434" s="4">
        <v>2</v>
      </c>
      <c r="F2434" s="8">
        <v>1.1399999999999999</v>
      </c>
      <c r="G2434" s="4">
        <v>3</v>
      </c>
      <c r="H2434" s="8">
        <v>2.14</v>
      </c>
      <c r="I2434" s="4">
        <v>0</v>
      </c>
    </row>
    <row r="2435" spans="1:9" x14ac:dyDescent="0.2">
      <c r="A2435" s="2">
        <v>14</v>
      </c>
      <c r="B2435" s="1" t="s">
        <v>334</v>
      </c>
      <c r="C2435" s="4">
        <v>5</v>
      </c>
      <c r="D2435" s="8">
        <v>1.56</v>
      </c>
      <c r="E2435" s="4">
        <v>4</v>
      </c>
      <c r="F2435" s="8">
        <v>2.29</v>
      </c>
      <c r="G2435" s="4">
        <v>1</v>
      </c>
      <c r="H2435" s="8">
        <v>0.71</v>
      </c>
      <c r="I2435" s="4">
        <v>0</v>
      </c>
    </row>
    <row r="2436" spans="1:9" x14ac:dyDescent="0.2">
      <c r="A2436" s="2">
        <v>14</v>
      </c>
      <c r="B2436" s="1" t="s">
        <v>300</v>
      </c>
      <c r="C2436" s="4">
        <v>5</v>
      </c>
      <c r="D2436" s="8">
        <v>1.56</v>
      </c>
      <c r="E2436" s="4">
        <v>3</v>
      </c>
      <c r="F2436" s="8">
        <v>1.71</v>
      </c>
      <c r="G2436" s="4">
        <v>2</v>
      </c>
      <c r="H2436" s="8">
        <v>1.43</v>
      </c>
      <c r="I2436" s="4">
        <v>0</v>
      </c>
    </row>
    <row r="2437" spans="1:9" x14ac:dyDescent="0.2">
      <c r="A2437" s="2">
        <v>14</v>
      </c>
      <c r="B2437" s="1" t="s">
        <v>302</v>
      </c>
      <c r="C2437" s="4">
        <v>5</v>
      </c>
      <c r="D2437" s="8">
        <v>1.56</v>
      </c>
      <c r="E2437" s="4">
        <v>3</v>
      </c>
      <c r="F2437" s="8">
        <v>1.71</v>
      </c>
      <c r="G2437" s="4">
        <v>2</v>
      </c>
      <c r="H2437" s="8">
        <v>1.43</v>
      </c>
      <c r="I2437" s="4">
        <v>0</v>
      </c>
    </row>
    <row r="2438" spans="1:9" x14ac:dyDescent="0.2">
      <c r="A2438" s="2">
        <v>14</v>
      </c>
      <c r="B2438" s="1" t="s">
        <v>306</v>
      </c>
      <c r="C2438" s="4">
        <v>5</v>
      </c>
      <c r="D2438" s="8">
        <v>1.56</v>
      </c>
      <c r="E2438" s="4">
        <v>4</v>
      </c>
      <c r="F2438" s="8">
        <v>2.29</v>
      </c>
      <c r="G2438" s="4">
        <v>1</v>
      </c>
      <c r="H2438" s="8">
        <v>0.71</v>
      </c>
      <c r="I2438" s="4">
        <v>0</v>
      </c>
    </row>
    <row r="2439" spans="1:9" x14ac:dyDescent="0.2">
      <c r="A2439" s="1"/>
      <c r="C2439" s="4"/>
      <c r="D2439" s="8"/>
      <c r="E2439" s="4"/>
      <c r="F2439" s="8"/>
      <c r="G2439" s="4"/>
      <c r="H2439" s="8"/>
      <c r="I2439" s="4"/>
    </row>
    <row r="2440" spans="1:9" x14ac:dyDescent="0.2">
      <c r="A2440" s="1" t="s">
        <v>89</v>
      </c>
      <c r="C2440" s="4"/>
      <c r="D2440" s="8"/>
      <c r="E2440" s="4"/>
      <c r="F2440" s="8"/>
      <c r="G2440" s="4"/>
      <c r="H2440" s="8"/>
      <c r="I2440" s="4"/>
    </row>
    <row r="2441" spans="1:9" x14ac:dyDescent="0.2">
      <c r="A2441" s="2">
        <v>1</v>
      </c>
      <c r="B2441" s="1" t="s">
        <v>337</v>
      </c>
      <c r="C2441" s="4">
        <v>4</v>
      </c>
      <c r="D2441" s="8">
        <v>5.71</v>
      </c>
      <c r="E2441" s="4">
        <v>4</v>
      </c>
      <c r="F2441" s="8">
        <v>12.12</v>
      </c>
      <c r="G2441" s="4">
        <v>0</v>
      </c>
      <c r="H2441" s="8">
        <v>0</v>
      </c>
      <c r="I2441" s="4">
        <v>0</v>
      </c>
    </row>
    <row r="2442" spans="1:9" x14ac:dyDescent="0.2">
      <c r="A2442" s="2">
        <v>1</v>
      </c>
      <c r="B2442" s="1" t="s">
        <v>300</v>
      </c>
      <c r="C2442" s="4">
        <v>4</v>
      </c>
      <c r="D2442" s="8">
        <v>5.71</v>
      </c>
      <c r="E2442" s="4">
        <v>3</v>
      </c>
      <c r="F2442" s="8">
        <v>9.09</v>
      </c>
      <c r="G2442" s="4">
        <v>1</v>
      </c>
      <c r="H2442" s="8">
        <v>2.78</v>
      </c>
      <c r="I2442" s="4">
        <v>0</v>
      </c>
    </row>
    <row r="2443" spans="1:9" x14ac:dyDescent="0.2">
      <c r="A2443" s="2">
        <v>3</v>
      </c>
      <c r="B2443" s="1" t="s">
        <v>289</v>
      </c>
      <c r="C2443" s="4">
        <v>3</v>
      </c>
      <c r="D2443" s="8">
        <v>4.29</v>
      </c>
      <c r="E2443" s="4">
        <v>0</v>
      </c>
      <c r="F2443" s="8">
        <v>0</v>
      </c>
      <c r="G2443" s="4">
        <v>3</v>
      </c>
      <c r="H2443" s="8">
        <v>8.33</v>
      </c>
      <c r="I2443" s="4">
        <v>0</v>
      </c>
    </row>
    <row r="2444" spans="1:9" x14ac:dyDescent="0.2">
      <c r="A2444" s="2">
        <v>3</v>
      </c>
      <c r="B2444" s="1" t="s">
        <v>292</v>
      </c>
      <c r="C2444" s="4">
        <v>3</v>
      </c>
      <c r="D2444" s="8">
        <v>4.29</v>
      </c>
      <c r="E2444" s="4">
        <v>2</v>
      </c>
      <c r="F2444" s="8">
        <v>6.06</v>
      </c>
      <c r="G2444" s="4">
        <v>1</v>
      </c>
      <c r="H2444" s="8">
        <v>2.78</v>
      </c>
      <c r="I2444" s="4">
        <v>0</v>
      </c>
    </row>
    <row r="2445" spans="1:9" x14ac:dyDescent="0.2">
      <c r="A2445" s="2">
        <v>3</v>
      </c>
      <c r="B2445" s="1" t="s">
        <v>297</v>
      </c>
      <c r="C2445" s="4">
        <v>3</v>
      </c>
      <c r="D2445" s="8">
        <v>4.29</v>
      </c>
      <c r="E2445" s="4">
        <v>3</v>
      </c>
      <c r="F2445" s="8">
        <v>9.09</v>
      </c>
      <c r="G2445" s="4">
        <v>0</v>
      </c>
      <c r="H2445" s="8">
        <v>0</v>
      </c>
      <c r="I2445" s="4">
        <v>0</v>
      </c>
    </row>
    <row r="2446" spans="1:9" x14ac:dyDescent="0.2">
      <c r="A2446" s="2">
        <v>3</v>
      </c>
      <c r="B2446" s="1" t="s">
        <v>325</v>
      </c>
      <c r="C2446" s="4">
        <v>3</v>
      </c>
      <c r="D2446" s="8">
        <v>4.29</v>
      </c>
      <c r="E2446" s="4">
        <v>0</v>
      </c>
      <c r="F2446" s="8">
        <v>0</v>
      </c>
      <c r="G2446" s="4">
        <v>3</v>
      </c>
      <c r="H2446" s="8">
        <v>8.33</v>
      </c>
      <c r="I2446" s="4">
        <v>0</v>
      </c>
    </row>
    <row r="2447" spans="1:9" x14ac:dyDescent="0.2">
      <c r="A2447" s="2">
        <v>3</v>
      </c>
      <c r="B2447" s="1" t="s">
        <v>347</v>
      </c>
      <c r="C2447" s="4">
        <v>3</v>
      </c>
      <c r="D2447" s="8">
        <v>4.29</v>
      </c>
      <c r="E2447" s="4">
        <v>0</v>
      </c>
      <c r="F2447" s="8">
        <v>0</v>
      </c>
      <c r="G2447" s="4">
        <v>3</v>
      </c>
      <c r="H2447" s="8">
        <v>8.33</v>
      </c>
      <c r="I2447" s="4">
        <v>0</v>
      </c>
    </row>
    <row r="2448" spans="1:9" x14ac:dyDescent="0.2">
      <c r="A2448" s="2">
        <v>8</v>
      </c>
      <c r="B2448" s="1" t="s">
        <v>328</v>
      </c>
      <c r="C2448" s="4">
        <v>2</v>
      </c>
      <c r="D2448" s="8">
        <v>2.86</v>
      </c>
      <c r="E2448" s="4">
        <v>0</v>
      </c>
      <c r="F2448" s="8">
        <v>0</v>
      </c>
      <c r="G2448" s="4">
        <v>2</v>
      </c>
      <c r="H2448" s="8">
        <v>5.56</v>
      </c>
      <c r="I2448" s="4">
        <v>0</v>
      </c>
    </row>
    <row r="2449" spans="1:9" x14ac:dyDescent="0.2">
      <c r="A2449" s="2">
        <v>8</v>
      </c>
      <c r="B2449" s="1" t="s">
        <v>329</v>
      </c>
      <c r="C2449" s="4">
        <v>2</v>
      </c>
      <c r="D2449" s="8">
        <v>2.86</v>
      </c>
      <c r="E2449" s="4">
        <v>1</v>
      </c>
      <c r="F2449" s="8">
        <v>3.03</v>
      </c>
      <c r="G2449" s="4">
        <v>1</v>
      </c>
      <c r="H2449" s="8">
        <v>2.78</v>
      </c>
      <c r="I2449" s="4">
        <v>0</v>
      </c>
    </row>
    <row r="2450" spans="1:9" x14ac:dyDescent="0.2">
      <c r="A2450" s="2">
        <v>8</v>
      </c>
      <c r="B2450" s="1" t="s">
        <v>294</v>
      </c>
      <c r="C2450" s="4">
        <v>2</v>
      </c>
      <c r="D2450" s="8">
        <v>2.86</v>
      </c>
      <c r="E2450" s="4">
        <v>0</v>
      </c>
      <c r="F2450" s="8">
        <v>0</v>
      </c>
      <c r="G2450" s="4">
        <v>2</v>
      </c>
      <c r="H2450" s="8">
        <v>5.56</v>
      </c>
      <c r="I2450" s="4">
        <v>0</v>
      </c>
    </row>
    <row r="2451" spans="1:9" x14ac:dyDescent="0.2">
      <c r="A2451" s="2">
        <v>8</v>
      </c>
      <c r="B2451" s="1" t="s">
        <v>299</v>
      </c>
      <c r="C2451" s="4">
        <v>2</v>
      </c>
      <c r="D2451" s="8">
        <v>2.86</v>
      </c>
      <c r="E2451" s="4">
        <v>2</v>
      </c>
      <c r="F2451" s="8">
        <v>6.06</v>
      </c>
      <c r="G2451" s="4">
        <v>0</v>
      </c>
      <c r="H2451" s="8">
        <v>0</v>
      </c>
      <c r="I2451" s="4">
        <v>0</v>
      </c>
    </row>
    <row r="2452" spans="1:9" x14ac:dyDescent="0.2">
      <c r="A2452" s="2">
        <v>8</v>
      </c>
      <c r="B2452" s="1" t="s">
        <v>304</v>
      </c>
      <c r="C2452" s="4">
        <v>2</v>
      </c>
      <c r="D2452" s="8">
        <v>2.86</v>
      </c>
      <c r="E2452" s="4">
        <v>2</v>
      </c>
      <c r="F2452" s="8">
        <v>6.06</v>
      </c>
      <c r="G2452" s="4">
        <v>0</v>
      </c>
      <c r="H2452" s="8">
        <v>0</v>
      </c>
      <c r="I2452" s="4">
        <v>0</v>
      </c>
    </row>
    <row r="2453" spans="1:9" x14ac:dyDescent="0.2">
      <c r="A2453" s="2">
        <v>8</v>
      </c>
      <c r="B2453" s="1" t="s">
        <v>305</v>
      </c>
      <c r="C2453" s="4">
        <v>2</v>
      </c>
      <c r="D2453" s="8">
        <v>2.86</v>
      </c>
      <c r="E2453" s="4">
        <v>2</v>
      </c>
      <c r="F2453" s="8">
        <v>6.06</v>
      </c>
      <c r="G2453" s="4">
        <v>0</v>
      </c>
      <c r="H2453" s="8">
        <v>0</v>
      </c>
      <c r="I2453" s="4">
        <v>0</v>
      </c>
    </row>
    <row r="2454" spans="1:9" x14ac:dyDescent="0.2">
      <c r="A2454" s="2">
        <v>14</v>
      </c>
      <c r="B2454" s="1" t="s">
        <v>319</v>
      </c>
      <c r="C2454" s="4">
        <v>1</v>
      </c>
      <c r="D2454" s="8">
        <v>1.43</v>
      </c>
      <c r="E2454" s="4">
        <v>1</v>
      </c>
      <c r="F2454" s="8">
        <v>3.03</v>
      </c>
      <c r="G2454" s="4">
        <v>0</v>
      </c>
      <c r="H2454" s="8">
        <v>0</v>
      </c>
      <c r="I2454" s="4">
        <v>0</v>
      </c>
    </row>
    <row r="2455" spans="1:9" x14ac:dyDescent="0.2">
      <c r="A2455" s="2">
        <v>14</v>
      </c>
      <c r="B2455" s="1" t="s">
        <v>450</v>
      </c>
      <c r="C2455" s="4">
        <v>1</v>
      </c>
      <c r="D2455" s="8">
        <v>1.43</v>
      </c>
      <c r="E2455" s="4">
        <v>1</v>
      </c>
      <c r="F2455" s="8">
        <v>3.03</v>
      </c>
      <c r="G2455" s="4">
        <v>0</v>
      </c>
      <c r="H2455" s="8">
        <v>0</v>
      </c>
      <c r="I2455" s="4">
        <v>0</v>
      </c>
    </row>
    <row r="2456" spans="1:9" x14ac:dyDescent="0.2">
      <c r="A2456" s="2">
        <v>14</v>
      </c>
      <c r="B2456" s="1" t="s">
        <v>393</v>
      </c>
      <c r="C2456" s="4">
        <v>1</v>
      </c>
      <c r="D2456" s="8">
        <v>1.43</v>
      </c>
      <c r="E2456" s="4">
        <v>1</v>
      </c>
      <c r="F2456" s="8">
        <v>3.03</v>
      </c>
      <c r="G2456" s="4">
        <v>0</v>
      </c>
      <c r="H2456" s="8">
        <v>0</v>
      </c>
      <c r="I2456" s="4">
        <v>0</v>
      </c>
    </row>
    <row r="2457" spans="1:9" x14ac:dyDescent="0.2">
      <c r="A2457" s="2">
        <v>14</v>
      </c>
      <c r="B2457" s="1" t="s">
        <v>343</v>
      </c>
      <c r="C2457" s="4">
        <v>1</v>
      </c>
      <c r="D2457" s="8">
        <v>1.43</v>
      </c>
      <c r="E2457" s="4">
        <v>0</v>
      </c>
      <c r="F2457" s="8">
        <v>0</v>
      </c>
      <c r="G2457" s="4">
        <v>1</v>
      </c>
      <c r="H2457" s="8">
        <v>2.78</v>
      </c>
      <c r="I2457" s="4">
        <v>0</v>
      </c>
    </row>
    <row r="2458" spans="1:9" x14ac:dyDescent="0.2">
      <c r="A2458" s="2">
        <v>14</v>
      </c>
      <c r="B2458" s="1" t="s">
        <v>333</v>
      </c>
      <c r="C2458" s="4">
        <v>1</v>
      </c>
      <c r="D2458" s="8">
        <v>1.43</v>
      </c>
      <c r="E2458" s="4">
        <v>1</v>
      </c>
      <c r="F2458" s="8">
        <v>3.03</v>
      </c>
      <c r="G2458" s="4">
        <v>0</v>
      </c>
      <c r="H2458" s="8">
        <v>0</v>
      </c>
      <c r="I2458" s="4">
        <v>0</v>
      </c>
    </row>
    <row r="2459" spans="1:9" x14ac:dyDescent="0.2">
      <c r="A2459" s="2">
        <v>14</v>
      </c>
      <c r="B2459" s="1" t="s">
        <v>320</v>
      </c>
      <c r="C2459" s="4">
        <v>1</v>
      </c>
      <c r="D2459" s="8">
        <v>1.43</v>
      </c>
      <c r="E2459" s="4">
        <v>1</v>
      </c>
      <c r="F2459" s="8">
        <v>3.03</v>
      </c>
      <c r="G2459" s="4">
        <v>0</v>
      </c>
      <c r="H2459" s="8">
        <v>0</v>
      </c>
      <c r="I2459" s="4">
        <v>0</v>
      </c>
    </row>
    <row r="2460" spans="1:9" x14ac:dyDescent="0.2">
      <c r="A2460" s="2">
        <v>14</v>
      </c>
      <c r="B2460" s="1" t="s">
        <v>290</v>
      </c>
      <c r="C2460" s="4">
        <v>1</v>
      </c>
      <c r="D2460" s="8">
        <v>1.43</v>
      </c>
      <c r="E2460" s="4">
        <v>0</v>
      </c>
      <c r="F2460" s="8">
        <v>0</v>
      </c>
      <c r="G2460" s="4">
        <v>1</v>
      </c>
      <c r="H2460" s="8">
        <v>2.78</v>
      </c>
      <c r="I2460" s="4">
        <v>0</v>
      </c>
    </row>
    <row r="2461" spans="1:9" x14ac:dyDescent="0.2">
      <c r="A2461" s="2">
        <v>14</v>
      </c>
      <c r="B2461" s="1" t="s">
        <v>291</v>
      </c>
      <c r="C2461" s="4">
        <v>1</v>
      </c>
      <c r="D2461" s="8">
        <v>1.43</v>
      </c>
      <c r="E2461" s="4">
        <v>0</v>
      </c>
      <c r="F2461" s="8">
        <v>0</v>
      </c>
      <c r="G2461" s="4">
        <v>1</v>
      </c>
      <c r="H2461" s="8">
        <v>2.78</v>
      </c>
      <c r="I2461" s="4">
        <v>0</v>
      </c>
    </row>
    <row r="2462" spans="1:9" x14ac:dyDescent="0.2">
      <c r="A2462" s="2">
        <v>14</v>
      </c>
      <c r="B2462" s="1" t="s">
        <v>351</v>
      </c>
      <c r="C2462" s="4">
        <v>1</v>
      </c>
      <c r="D2462" s="8">
        <v>1.43</v>
      </c>
      <c r="E2462" s="4">
        <v>0</v>
      </c>
      <c r="F2462" s="8">
        <v>0</v>
      </c>
      <c r="G2462" s="4">
        <v>1</v>
      </c>
      <c r="H2462" s="8">
        <v>2.78</v>
      </c>
      <c r="I2462" s="4">
        <v>0</v>
      </c>
    </row>
    <row r="2463" spans="1:9" x14ac:dyDescent="0.2">
      <c r="A2463" s="2">
        <v>14</v>
      </c>
      <c r="B2463" s="1" t="s">
        <v>443</v>
      </c>
      <c r="C2463" s="4">
        <v>1</v>
      </c>
      <c r="D2463" s="8">
        <v>1.43</v>
      </c>
      <c r="E2463" s="4">
        <v>0</v>
      </c>
      <c r="F2463" s="8">
        <v>0</v>
      </c>
      <c r="G2463" s="4">
        <v>1</v>
      </c>
      <c r="H2463" s="8">
        <v>2.78</v>
      </c>
      <c r="I2463" s="4">
        <v>0</v>
      </c>
    </row>
    <row r="2464" spans="1:9" x14ac:dyDescent="0.2">
      <c r="A2464" s="2">
        <v>14</v>
      </c>
      <c r="B2464" s="1" t="s">
        <v>378</v>
      </c>
      <c r="C2464" s="4">
        <v>1</v>
      </c>
      <c r="D2464" s="8">
        <v>1.43</v>
      </c>
      <c r="E2464" s="4">
        <v>0</v>
      </c>
      <c r="F2464" s="8">
        <v>0</v>
      </c>
      <c r="G2464" s="4">
        <v>1</v>
      </c>
      <c r="H2464" s="8">
        <v>2.78</v>
      </c>
      <c r="I2464" s="4">
        <v>0</v>
      </c>
    </row>
    <row r="2465" spans="1:9" x14ac:dyDescent="0.2">
      <c r="A2465" s="2">
        <v>14</v>
      </c>
      <c r="B2465" s="1" t="s">
        <v>384</v>
      </c>
      <c r="C2465" s="4">
        <v>1</v>
      </c>
      <c r="D2465" s="8">
        <v>1.43</v>
      </c>
      <c r="E2465" s="4">
        <v>0</v>
      </c>
      <c r="F2465" s="8">
        <v>0</v>
      </c>
      <c r="G2465" s="4">
        <v>1</v>
      </c>
      <c r="H2465" s="8">
        <v>2.78</v>
      </c>
      <c r="I2465" s="4">
        <v>0</v>
      </c>
    </row>
    <row r="2466" spans="1:9" x14ac:dyDescent="0.2">
      <c r="A2466" s="2">
        <v>14</v>
      </c>
      <c r="B2466" s="1" t="s">
        <v>381</v>
      </c>
      <c r="C2466" s="4">
        <v>1</v>
      </c>
      <c r="D2466" s="8">
        <v>1.43</v>
      </c>
      <c r="E2466" s="4">
        <v>1</v>
      </c>
      <c r="F2466" s="8">
        <v>3.03</v>
      </c>
      <c r="G2466" s="4">
        <v>0</v>
      </c>
      <c r="H2466" s="8">
        <v>0</v>
      </c>
      <c r="I2466" s="4">
        <v>0</v>
      </c>
    </row>
    <row r="2467" spans="1:9" x14ac:dyDescent="0.2">
      <c r="A2467" s="2">
        <v>14</v>
      </c>
      <c r="B2467" s="1" t="s">
        <v>385</v>
      </c>
      <c r="C2467" s="4">
        <v>1</v>
      </c>
      <c r="D2467" s="8">
        <v>1.43</v>
      </c>
      <c r="E2467" s="4">
        <v>0</v>
      </c>
      <c r="F2467" s="8">
        <v>0</v>
      </c>
      <c r="G2467" s="4">
        <v>1</v>
      </c>
      <c r="H2467" s="8">
        <v>2.78</v>
      </c>
      <c r="I2467" s="4">
        <v>0</v>
      </c>
    </row>
    <row r="2468" spans="1:9" x14ac:dyDescent="0.2">
      <c r="A2468" s="2">
        <v>14</v>
      </c>
      <c r="B2468" s="1" t="s">
        <v>457</v>
      </c>
      <c r="C2468" s="4">
        <v>1</v>
      </c>
      <c r="D2468" s="8">
        <v>1.43</v>
      </c>
      <c r="E2468" s="4">
        <v>1</v>
      </c>
      <c r="F2468" s="8">
        <v>3.03</v>
      </c>
      <c r="G2468" s="4">
        <v>0</v>
      </c>
      <c r="H2468" s="8">
        <v>0</v>
      </c>
      <c r="I2468" s="4">
        <v>0</v>
      </c>
    </row>
    <row r="2469" spans="1:9" x14ac:dyDescent="0.2">
      <c r="A2469" s="2">
        <v>14</v>
      </c>
      <c r="B2469" s="1" t="s">
        <v>435</v>
      </c>
      <c r="C2469" s="4">
        <v>1</v>
      </c>
      <c r="D2469" s="8">
        <v>1.43</v>
      </c>
      <c r="E2469" s="4">
        <v>0</v>
      </c>
      <c r="F2469" s="8">
        <v>0</v>
      </c>
      <c r="G2469" s="4">
        <v>1</v>
      </c>
      <c r="H2469" s="8">
        <v>2.78</v>
      </c>
      <c r="I2469" s="4">
        <v>0</v>
      </c>
    </row>
    <row r="2470" spans="1:9" x14ac:dyDescent="0.2">
      <c r="A2470" s="2">
        <v>14</v>
      </c>
      <c r="B2470" s="1" t="s">
        <v>364</v>
      </c>
      <c r="C2470" s="4">
        <v>1</v>
      </c>
      <c r="D2470" s="8">
        <v>1.43</v>
      </c>
      <c r="E2470" s="4">
        <v>0</v>
      </c>
      <c r="F2470" s="8">
        <v>0</v>
      </c>
      <c r="G2470" s="4">
        <v>1</v>
      </c>
      <c r="H2470" s="8">
        <v>2.78</v>
      </c>
      <c r="I2470" s="4">
        <v>0</v>
      </c>
    </row>
    <row r="2471" spans="1:9" x14ac:dyDescent="0.2">
      <c r="A2471" s="2">
        <v>14</v>
      </c>
      <c r="B2471" s="1" t="s">
        <v>458</v>
      </c>
      <c r="C2471" s="4">
        <v>1</v>
      </c>
      <c r="D2471" s="8">
        <v>1.43</v>
      </c>
      <c r="E2471" s="4">
        <v>0</v>
      </c>
      <c r="F2471" s="8">
        <v>0</v>
      </c>
      <c r="G2471" s="4">
        <v>1</v>
      </c>
      <c r="H2471" s="8">
        <v>2.78</v>
      </c>
      <c r="I2471" s="4">
        <v>0</v>
      </c>
    </row>
    <row r="2472" spans="1:9" x14ac:dyDescent="0.2">
      <c r="A2472" s="2">
        <v>14</v>
      </c>
      <c r="B2472" s="1" t="s">
        <v>382</v>
      </c>
      <c r="C2472" s="4">
        <v>1</v>
      </c>
      <c r="D2472" s="8">
        <v>1.43</v>
      </c>
      <c r="E2472" s="4">
        <v>1</v>
      </c>
      <c r="F2472" s="8">
        <v>3.03</v>
      </c>
      <c r="G2472" s="4">
        <v>0</v>
      </c>
      <c r="H2472" s="8">
        <v>0</v>
      </c>
      <c r="I2472" s="4">
        <v>0</v>
      </c>
    </row>
    <row r="2473" spans="1:9" x14ac:dyDescent="0.2">
      <c r="A2473" s="2">
        <v>14</v>
      </c>
      <c r="B2473" s="1" t="s">
        <v>354</v>
      </c>
      <c r="C2473" s="4">
        <v>1</v>
      </c>
      <c r="D2473" s="8">
        <v>1.43</v>
      </c>
      <c r="E2473" s="4">
        <v>1</v>
      </c>
      <c r="F2473" s="8">
        <v>3.03</v>
      </c>
      <c r="G2473" s="4">
        <v>0</v>
      </c>
      <c r="H2473" s="8">
        <v>0</v>
      </c>
      <c r="I2473" s="4">
        <v>0</v>
      </c>
    </row>
    <row r="2474" spans="1:9" x14ac:dyDescent="0.2">
      <c r="A2474" s="2">
        <v>14</v>
      </c>
      <c r="B2474" s="1" t="s">
        <v>366</v>
      </c>
      <c r="C2474" s="4">
        <v>1</v>
      </c>
      <c r="D2474" s="8">
        <v>1.43</v>
      </c>
      <c r="E2474" s="4">
        <v>0</v>
      </c>
      <c r="F2474" s="8">
        <v>0</v>
      </c>
      <c r="G2474" s="4">
        <v>1</v>
      </c>
      <c r="H2474" s="8">
        <v>2.78</v>
      </c>
      <c r="I2474" s="4">
        <v>0</v>
      </c>
    </row>
    <row r="2475" spans="1:9" x14ac:dyDescent="0.2">
      <c r="A2475" s="2">
        <v>14</v>
      </c>
      <c r="B2475" s="1" t="s">
        <v>372</v>
      </c>
      <c r="C2475" s="4">
        <v>1</v>
      </c>
      <c r="D2475" s="8">
        <v>1.43</v>
      </c>
      <c r="E2475" s="4">
        <v>0</v>
      </c>
      <c r="F2475" s="8">
        <v>0</v>
      </c>
      <c r="G2475" s="4">
        <v>1</v>
      </c>
      <c r="H2475" s="8">
        <v>2.78</v>
      </c>
      <c r="I2475" s="4">
        <v>0</v>
      </c>
    </row>
    <row r="2476" spans="1:9" x14ac:dyDescent="0.2">
      <c r="A2476" s="2">
        <v>14</v>
      </c>
      <c r="B2476" s="1" t="s">
        <v>295</v>
      </c>
      <c r="C2476" s="4">
        <v>1</v>
      </c>
      <c r="D2476" s="8">
        <v>1.43</v>
      </c>
      <c r="E2476" s="4">
        <v>0</v>
      </c>
      <c r="F2476" s="8">
        <v>0</v>
      </c>
      <c r="G2476" s="4">
        <v>1</v>
      </c>
      <c r="H2476" s="8">
        <v>2.78</v>
      </c>
      <c r="I2476" s="4">
        <v>0</v>
      </c>
    </row>
    <row r="2477" spans="1:9" x14ac:dyDescent="0.2">
      <c r="A2477" s="2">
        <v>14</v>
      </c>
      <c r="B2477" s="1" t="s">
        <v>334</v>
      </c>
      <c r="C2477" s="4">
        <v>1</v>
      </c>
      <c r="D2477" s="8">
        <v>1.43</v>
      </c>
      <c r="E2477" s="4">
        <v>1</v>
      </c>
      <c r="F2477" s="8">
        <v>3.03</v>
      </c>
      <c r="G2477" s="4">
        <v>0</v>
      </c>
      <c r="H2477" s="8">
        <v>0</v>
      </c>
      <c r="I2477" s="4">
        <v>0</v>
      </c>
    </row>
    <row r="2478" spans="1:9" x14ac:dyDescent="0.2">
      <c r="A2478" s="2">
        <v>14</v>
      </c>
      <c r="B2478" s="1" t="s">
        <v>419</v>
      </c>
      <c r="C2478" s="4">
        <v>1</v>
      </c>
      <c r="D2478" s="8">
        <v>1.43</v>
      </c>
      <c r="E2478" s="4">
        <v>1</v>
      </c>
      <c r="F2478" s="8">
        <v>3.03</v>
      </c>
      <c r="G2478" s="4">
        <v>0</v>
      </c>
      <c r="H2478" s="8">
        <v>0</v>
      </c>
      <c r="I2478" s="4">
        <v>0</v>
      </c>
    </row>
    <row r="2479" spans="1:9" x14ac:dyDescent="0.2">
      <c r="A2479" s="2">
        <v>14</v>
      </c>
      <c r="B2479" s="1" t="s">
        <v>303</v>
      </c>
      <c r="C2479" s="4">
        <v>1</v>
      </c>
      <c r="D2479" s="8">
        <v>1.43</v>
      </c>
      <c r="E2479" s="4">
        <v>1</v>
      </c>
      <c r="F2479" s="8">
        <v>3.03</v>
      </c>
      <c r="G2479" s="4">
        <v>0</v>
      </c>
      <c r="H2479" s="8">
        <v>0</v>
      </c>
      <c r="I2479" s="4">
        <v>0</v>
      </c>
    </row>
    <row r="2480" spans="1:9" x14ac:dyDescent="0.2">
      <c r="A2480" s="2">
        <v>14</v>
      </c>
      <c r="B2480" s="1" t="s">
        <v>391</v>
      </c>
      <c r="C2480" s="4">
        <v>1</v>
      </c>
      <c r="D2480" s="8">
        <v>1.43</v>
      </c>
      <c r="E2480" s="4">
        <v>1</v>
      </c>
      <c r="F2480" s="8">
        <v>3.03</v>
      </c>
      <c r="G2480" s="4">
        <v>0</v>
      </c>
      <c r="H2480" s="8">
        <v>0</v>
      </c>
      <c r="I2480" s="4">
        <v>0</v>
      </c>
    </row>
    <row r="2481" spans="1:9" x14ac:dyDescent="0.2">
      <c r="A2481" s="2">
        <v>14</v>
      </c>
      <c r="B2481" s="1" t="s">
        <v>352</v>
      </c>
      <c r="C2481" s="4">
        <v>1</v>
      </c>
      <c r="D2481" s="8">
        <v>1.43</v>
      </c>
      <c r="E2481" s="4">
        <v>1</v>
      </c>
      <c r="F2481" s="8">
        <v>3.03</v>
      </c>
      <c r="G2481" s="4">
        <v>0</v>
      </c>
      <c r="H2481" s="8">
        <v>0</v>
      </c>
      <c r="I2481" s="4">
        <v>0</v>
      </c>
    </row>
    <row r="2482" spans="1:9" x14ac:dyDescent="0.2">
      <c r="A2482" s="2">
        <v>14</v>
      </c>
      <c r="B2482" s="1" t="s">
        <v>459</v>
      </c>
      <c r="C2482" s="4">
        <v>1</v>
      </c>
      <c r="D2482" s="8">
        <v>1.43</v>
      </c>
      <c r="E2482" s="4">
        <v>0</v>
      </c>
      <c r="F2482" s="8">
        <v>0</v>
      </c>
      <c r="G2482" s="4">
        <v>1</v>
      </c>
      <c r="H2482" s="8">
        <v>2.78</v>
      </c>
      <c r="I2482" s="4">
        <v>0</v>
      </c>
    </row>
    <row r="2483" spans="1:9" x14ac:dyDescent="0.2">
      <c r="A2483" s="2">
        <v>14</v>
      </c>
      <c r="B2483" s="1" t="s">
        <v>340</v>
      </c>
      <c r="C2483" s="4">
        <v>1</v>
      </c>
      <c r="D2483" s="8">
        <v>1.43</v>
      </c>
      <c r="E2483" s="4">
        <v>0</v>
      </c>
      <c r="F2483" s="8">
        <v>0</v>
      </c>
      <c r="G2483" s="4">
        <v>0</v>
      </c>
      <c r="H2483" s="8">
        <v>0</v>
      </c>
      <c r="I2483" s="4">
        <v>0</v>
      </c>
    </row>
    <row r="2484" spans="1:9" x14ac:dyDescent="0.2">
      <c r="A2484" s="2">
        <v>14</v>
      </c>
      <c r="B2484" s="1" t="s">
        <v>447</v>
      </c>
      <c r="C2484" s="4">
        <v>1</v>
      </c>
      <c r="D2484" s="8">
        <v>1.43</v>
      </c>
      <c r="E2484" s="4">
        <v>0</v>
      </c>
      <c r="F2484" s="8">
        <v>0</v>
      </c>
      <c r="G2484" s="4">
        <v>1</v>
      </c>
      <c r="H2484" s="8">
        <v>2.78</v>
      </c>
      <c r="I2484" s="4">
        <v>0</v>
      </c>
    </row>
    <row r="2485" spans="1:9" x14ac:dyDescent="0.2">
      <c r="A2485" s="2">
        <v>14</v>
      </c>
      <c r="B2485" s="1" t="s">
        <v>370</v>
      </c>
      <c r="C2485" s="4">
        <v>1</v>
      </c>
      <c r="D2485" s="8">
        <v>1.43</v>
      </c>
      <c r="E2485" s="4">
        <v>0</v>
      </c>
      <c r="F2485" s="8">
        <v>0</v>
      </c>
      <c r="G2485" s="4">
        <v>1</v>
      </c>
      <c r="H2485" s="8">
        <v>2.78</v>
      </c>
      <c r="I2485" s="4">
        <v>0</v>
      </c>
    </row>
    <row r="2486" spans="1:9" x14ac:dyDescent="0.2">
      <c r="A2486" s="2">
        <v>14</v>
      </c>
      <c r="B2486" s="1" t="s">
        <v>307</v>
      </c>
      <c r="C2486" s="4">
        <v>1</v>
      </c>
      <c r="D2486" s="8">
        <v>1.43</v>
      </c>
      <c r="E2486" s="4">
        <v>0</v>
      </c>
      <c r="F2486" s="8">
        <v>0</v>
      </c>
      <c r="G2486" s="4">
        <v>1</v>
      </c>
      <c r="H2486" s="8">
        <v>2.78</v>
      </c>
      <c r="I2486" s="4">
        <v>0</v>
      </c>
    </row>
    <row r="2487" spans="1:9" x14ac:dyDescent="0.2">
      <c r="A2487" s="2">
        <v>14</v>
      </c>
      <c r="B2487" s="1" t="s">
        <v>460</v>
      </c>
      <c r="C2487" s="4">
        <v>1</v>
      </c>
      <c r="D2487" s="8">
        <v>1.43</v>
      </c>
      <c r="E2487" s="4">
        <v>0</v>
      </c>
      <c r="F2487" s="8">
        <v>0</v>
      </c>
      <c r="G2487" s="4">
        <v>1</v>
      </c>
      <c r="H2487" s="8">
        <v>2.78</v>
      </c>
      <c r="I2487" s="4">
        <v>0</v>
      </c>
    </row>
    <row r="2488" spans="1:9" x14ac:dyDescent="0.2">
      <c r="A2488" s="2">
        <v>14</v>
      </c>
      <c r="B2488" s="1" t="s">
        <v>348</v>
      </c>
      <c r="C2488" s="4">
        <v>1</v>
      </c>
      <c r="D2488" s="8">
        <v>1.43</v>
      </c>
      <c r="E2488" s="4">
        <v>0</v>
      </c>
      <c r="F2488" s="8">
        <v>0</v>
      </c>
      <c r="G2488" s="4">
        <v>1</v>
      </c>
      <c r="H2488" s="8">
        <v>2.78</v>
      </c>
      <c r="I2488" s="4">
        <v>0</v>
      </c>
    </row>
    <row r="2489" spans="1:9" x14ac:dyDescent="0.2">
      <c r="A2489" s="1"/>
      <c r="C2489" s="4"/>
      <c r="D2489" s="8"/>
      <c r="E2489" s="4"/>
      <c r="F2489" s="8"/>
      <c r="G2489" s="4"/>
      <c r="H2489" s="8"/>
      <c r="I2489" s="4"/>
    </row>
    <row r="2490" spans="1:9" x14ac:dyDescent="0.2">
      <c r="A2490" s="1" t="s">
        <v>90</v>
      </c>
      <c r="C2490" s="4"/>
      <c r="D2490" s="8"/>
      <c r="E2490" s="4"/>
      <c r="F2490" s="8"/>
      <c r="G2490" s="4"/>
      <c r="H2490" s="8"/>
      <c r="I2490" s="4"/>
    </row>
    <row r="2491" spans="1:9" x14ac:dyDescent="0.2">
      <c r="A2491" s="2">
        <v>1</v>
      </c>
      <c r="B2491" s="1" t="s">
        <v>330</v>
      </c>
      <c r="C2491" s="4">
        <v>3</v>
      </c>
      <c r="D2491" s="8">
        <v>6.98</v>
      </c>
      <c r="E2491" s="4">
        <v>0</v>
      </c>
      <c r="F2491" s="8">
        <v>0</v>
      </c>
      <c r="G2491" s="4">
        <v>3</v>
      </c>
      <c r="H2491" s="8">
        <v>12</v>
      </c>
      <c r="I2491" s="4">
        <v>0</v>
      </c>
    </row>
    <row r="2492" spans="1:9" x14ac:dyDescent="0.2">
      <c r="A2492" s="2">
        <v>2</v>
      </c>
      <c r="B2492" s="1" t="s">
        <v>332</v>
      </c>
      <c r="C2492" s="4">
        <v>2</v>
      </c>
      <c r="D2492" s="8">
        <v>4.6500000000000004</v>
      </c>
      <c r="E2492" s="4">
        <v>0</v>
      </c>
      <c r="F2492" s="8">
        <v>0</v>
      </c>
      <c r="G2492" s="4">
        <v>2</v>
      </c>
      <c r="H2492" s="8">
        <v>8</v>
      </c>
      <c r="I2492" s="4">
        <v>0</v>
      </c>
    </row>
    <row r="2493" spans="1:9" x14ac:dyDescent="0.2">
      <c r="A2493" s="2">
        <v>2</v>
      </c>
      <c r="B2493" s="1" t="s">
        <v>334</v>
      </c>
      <c r="C2493" s="4">
        <v>2</v>
      </c>
      <c r="D2493" s="8">
        <v>4.6500000000000004</v>
      </c>
      <c r="E2493" s="4">
        <v>1</v>
      </c>
      <c r="F2493" s="8">
        <v>6.25</v>
      </c>
      <c r="G2493" s="4">
        <v>1</v>
      </c>
      <c r="H2493" s="8">
        <v>4</v>
      </c>
      <c r="I2493" s="4">
        <v>0</v>
      </c>
    </row>
    <row r="2494" spans="1:9" x14ac:dyDescent="0.2">
      <c r="A2494" s="2">
        <v>2</v>
      </c>
      <c r="B2494" s="1" t="s">
        <v>299</v>
      </c>
      <c r="C2494" s="4">
        <v>2</v>
      </c>
      <c r="D2494" s="8">
        <v>4.6500000000000004</v>
      </c>
      <c r="E2494" s="4">
        <v>0</v>
      </c>
      <c r="F2494" s="8">
        <v>0</v>
      </c>
      <c r="G2494" s="4">
        <v>2</v>
      </c>
      <c r="H2494" s="8">
        <v>8</v>
      </c>
      <c r="I2494" s="4">
        <v>0</v>
      </c>
    </row>
    <row r="2495" spans="1:9" x14ac:dyDescent="0.2">
      <c r="A2495" s="2">
        <v>2</v>
      </c>
      <c r="B2495" s="1" t="s">
        <v>304</v>
      </c>
      <c r="C2495" s="4">
        <v>2</v>
      </c>
      <c r="D2495" s="8">
        <v>4.6500000000000004</v>
      </c>
      <c r="E2495" s="4">
        <v>2</v>
      </c>
      <c r="F2495" s="8">
        <v>12.5</v>
      </c>
      <c r="G2495" s="4">
        <v>0</v>
      </c>
      <c r="H2495" s="8">
        <v>0</v>
      </c>
      <c r="I2495" s="4">
        <v>0</v>
      </c>
    </row>
    <row r="2496" spans="1:9" x14ac:dyDescent="0.2">
      <c r="A2496" s="2">
        <v>2</v>
      </c>
      <c r="B2496" s="1" t="s">
        <v>305</v>
      </c>
      <c r="C2496" s="4">
        <v>2</v>
      </c>
      <c r="D2496" s="8">
        <v>4.6500000000000004</v>
      </c>
      <c r="E2496" s="4">
        <v>2</v>
      </c>
      <c r="F2496" s="8">
        <v>12.5</v>
      </c>
      <c r="G2496" s="4">
        <v>0</v>
      </c>
      <c r="H2496" s="8">
        <v>0</v>
      </c>
      <c r="I2496" s="4">
        <v>0</v>
      </c>
    </row>
    <row r="2497" spans="1:9" x14ac:dyDescent="0.2">
      <c r="A2497" s="2">
        <v>2</v>
      </c>
      <c r="B2497" s="1" t="s">
        <v>307</v>
      </c>
      <c r="C2497" s="4">
        <v>2</v>
      </c>
      <c r="D2497" s="8">
        <v>4.6500000000000004</v>
      </c>
      <c r="E2497" s="4">
        <v>0</v>
      </c>
      <c r="F2497" s="8">
        <v>0</v>
      </c>
      <c r="G2497" s="4">
        <v>2</v>
      </c>
      <c r="H2497" s="8">
        <v>8</v>
      </c>
      <c r="I2497" s="4">
        <v>0</v>
      </c>
    </row>
    <row r="2498" spans="1:9" x14ac:dyDescent="0.2">
      <c r="A2498" s="2">
        <v>8</v>
      </c>
      <c r="B2498" s="1" t="s">
        <v>442</v>
      </c>
      <c r="C2498" s="4">
        <v>1</v>
      </c>
      <c r="D2498" s="8">
        <v>2.33</v>
      </c>
      <c r="E2498" s="4">
        <v>0</v>
      </c>
      <c r="F2498" s="8">
        <v>0</v>
      </c>
      <c r="G2498" s="4">
        <v>1</v>
      </c>
      <c r="H2498" s="8">
        <v>4</v>
      </c>
      <c r="I2498" s="4">
        <v>0</v>
      </c>
    </row>
    <row r="2499" spans="1:9" x14ac:dyDescent="0.2">
      <c r="A2499" s="2">
        <v>8</v>
      </c>
      <c r="B2499" s="1" t="s">
        <v>288</v>
      </c>
      <c r="C2499" s="4">
        <v>1</v>
      </c>
      <c r="D2499" s="8">
        <v>2.33</v>
      </c>
      <c r="E2499" s="4">
        <v>0</v>
      </c>
      <c r="F2499" s="8">
        <v>0</v>
      </c>
      <c r="G2499" s="4">
        <v>1</v>
      </c>
      <c r="H2499" s="8">
        <v>4</v>
      </c>
      <c r="I2499" s="4">
        <v>0</v>
      </c>
    </row>
    <row r="2500" spans="1:9" x14ac:dyDescent="0.2">
      <c r="A2500" s="2">
        <v>8</v>
      </c>
      <c r="B2500" s="1" t="s">
        <v>289</v>
      </c>
      <c r="C2500" s="4">
        <v>1</v>
      </c>
      <c r="D2500" s="8">
        <v>2.33</v>
      </c>
      <c r="E2500" s="4">
        <v>0</v>
      </c>
      <c r="F2500" s="8">
        <v>0</v>
      </c>
      <c r="G2500" s="4">
        <v>1</v>
      </c>
      <c r="H2500" s="8">
        <v>4</v>
      </c>
      <c r="I2500" s="4">
        <v>0</v>
      </c>
    </row>
    <row r="2501" spans="1:9" x14ac:dyDescent="0.2">
      <c r="A2501" s="2">
        <v>8</v>
      </c>
      <c r="B2501" s="1" t="s">
        <v>343</v>
      </c>
      <c r="C2501" s="4">
        <v>1</v>
      </c>
      <c r="D2501" s="8">
        <v>2.33</v>
      </c>
      <c r="E2501" s="4">
        <v>1</v>
      </c>
      <c r="F2501" s="8">
        <v>6.25</v>
      </c>
      <c r="G2501" s="4">
        <v>0</v>
      </c>
      <c r="H2501" s="8">
        <v>0</v>
      </c>
      <c r="I2501" s="4">
        <v>0</v>
      </c>
    </row>
    <row r="2502" spans="1:9" x14ac:dyDescent="0.2">
      <c r="A2502" s="2">
        <v>8</v>
      </c>
      <c r="B2502" s="1" t="s">
        <v>320</v>
      </c>
      <c r="C2502" s="4">
        <v>1</v>
      </c>
      <c r="D2502" s="8">
        <v>2.33</v>
      </c>
      <c r="E2502" s="4">
        <v>0</v>
      </c>
      <c r="F2502" s="8">
        <v>0</v>
      </c>
      <c r="G2502" s="4">
        <v>1</v>
      </c>
      <c r="H2502" s="8">
        <v>4</v>
      </c>
      <c r="I2502" s="4">
        <v>0</v>
      </c>
    </row>
    <row r="2503" spans="1:9" x14ac:dyDescent="0.2">
      <c r="A2503" s="2">
        <v>8</v>
      </c>
      <c r="B2503" s="1" t="s">
        <v>291</v>
      </c>
      <c r="C2503" s="4">
        <v>1</v>
      </c>
      <c r="D2503" s="8">
        <v>2.33</v>
      </c>
      <c r="E2503" s="4">
        <v>0</v>
      </c>
      <c r="F2503" s="8">
        <v>0</v>
      </c>
      <c r="G2503" s="4">
        <v>1</v>
      </c>
      <c r="H2503" s="8">
        <v>4</v>
      </c>
      <c r="I2503" s="4">
        <v>0</v>
      </c>
    </row>
    <row r="2504" spans="1:9" x14ac:dyDescent="0.2">
      <c r="A2504" s="2">
        <v>8</v>
      </c>
      <c r="B2504" s="1" t="s">
        <v>413</v>
      </c>
      <c r="C2504" s="4">
        <v>1</v>
      </c>
      <c r="D2504" s="8">
        <v>2.33</v>
      </c>
      <c r="E2504" s="4">
        <v>0</v>
      </c>
      <c r="F2504" s="8">
        <v>0</v>
      </c>
      <c r="G2504" s="4">
        <v>1</v>
      </c>
      <c r="H2504" s="8">
        <v>4</v>
      </c>
      <c r="I2504" s="4">
        <v>0</v>
      </c>
    </row>
    <row r="2505" spans="1:9" x14ac:dyDescent="0.2">
      <c r="A2505" s="2">
        <v>8</v>
      </c>
      <c r="B2505" s="1" t="s">
        <v>443</v>
      </c>
      <c r="C2505" s="4">
        <v>1</v>
      </c>
      <c r="D2505" s="8">
        <v>2.33</v>
      </c>
      <c r="E2505" s="4">
        <v>0</v>
      </c>
      <c r="F2505" s="8">
        <v>0</v>
      </c>
      <c r="G2505" s="4">
        <v>1</v>
      </c>
      <c r="H2505" s="8">
        <v>4</v>
      </c>
      <c r="I2505" s="4">
        <v>0</v>
      </c>
    </row>
    <row r="2506" spans="1:9" x14ac:dyDescent="0.2">
      <c r="A2506" s="2">
        <v>8</v>
      </c>
      <c r="B2506" s="1" t="s">
        <v>461</v>
      </c>
      <c r="C2506" s="4">
        <v>1</v>
      </c>
      <c r="D2506" s="8">
        <v>2.33</v>
      </c>
      <c r="E2506" s="4">
        <v>1</v>
      </c>
      <c r="F2506" s="8">
        <v>6.25</v>
      </c>
      <c r="G2506" s="4">
        <v>0</v>
      </c>
      <c r="H2506" s="8">
        <v>0</v>
      </c>
      <c r="I2506" s="4">
        <v>0</v>
      </c>
    </row>
    <row r="2507" spans="1:9" x14ac:dyDescent="0.2">
      <c r="A2507" s="2">
        <v>8</v>
      </c>
      <c r="B2507" s="1" t="s">
        <v>360</v>
      </c>
      <c r="C2507" s="4">
        <v>1</v>
      </c>
      <c r="D2507" s="8">
        <v>2.33</v>
      </c>
      <c r="E2507" s="4">
        <v>0</v>
      </c>
      <c r="F2507" s="8">
        <v>0</v>
      </c>
      <c r="G2507" s="4">
        <v>1</v>
      </c>
      <c r="H2507" s="8">
        <v>4</v>
      </c>
      <c r="I2507" s="4">
        <v>0</v>
      </c>
    </row>
    <row r="2508" spans="1:9" x14ac:dyDescent="0.2">
      <c r="A2508" s="2">
        <v>8</v>
      </c>
      <c r="B2508" s="1" t="s">
        <v>374</v>
      </c>
      <c r="C2508" s="4">
        <v>1</v>
      </c>
      <c r="D2508" s="8">
        <v>2.33</v>
      </c>
      <c r="E2508" s="4">
        <v>1</v>
      </c>
      <c r="F2508" s="8">
        <v>6.25</v>
      </c>
      <c r="G2508" s="4">
        <v>0</v>
      </c>
      <c r="H2508" s="8">
        <v>0</v>
      </c>
      <c r="I2508" s="4">
        <v>0</v>
      </c>
    </row>
    <row r="2509" spans="1:9" x14ac:dyDescent="0.2">
      <c r="A2509" s="2">
        <v>8</v>
      </c>
      <c r="B2509" s="1" t="s">
        <v>462</v>
      </c>
      <c r="C2509" s="4">
        <v>1</v>
      </c>
      <c r="D2509" s="8">
        <v>2.33</v>
      </c>
      <c r="E2509" s="4">
        <v>0</v>
      </c>
      <c r="F2509" s="8">
        <v>0</v>
      </c>
      <c r="G2509" s="4">
        <v>1</v>
      </c>
      <c r="H2509" s="8">
        <v>4</v>
      </c>
      <c r="I2509" s="4">
        <v>0</v>
      </c>
    </row>
    <row r="2510" spans="1:9" x14ac:dyDescent="0.2">
      <c r="A2510" s="2">
        <v>8</v>
      </c>
      <c r="B2510" s="1" t="s">
        <v>463</v>
      </c>
      <c r="C2510" s="4">
        <v>1</v>
      </c>
      <c r="D2510" s="8">
        <v>2.33</v>
      </c>
      <c r="E2510" s="4">
        <v>0</v>
      </c>
      <c r="F2510" s="8">
        <v>0</v>
      </c>
      <c r="G2510" s="4">
        <v>1</v>
      </c>
      <c r="H2510" s="8">
        <v>4</v>
      </c>
      <c r="I2510" s="4">
        <v>0</v>
      </c>
    </row>
    <row r="2511" spans="1:9" x14ac:dyDescent="0.2">
      <c r="A2511" s="2">
        <v>8</v>
      </c>
      <c r="B2511" s="1" t="s">
        <v>321</v>
      </c>
      <c r="C2511" s="4">
        <v>1</v>
      </c>
      <c r="D2511" s="8">
        <v>2.33</v>
      </c>
      <c r="E2511" s="4">
        <v>0</v>
      </c>
      <c r="F2511" s="8">
        <v>0</v>
      </c>
      <c r="G2511" s="4">
        <v>1</v>
      </c>
      <c r="H2511" s="8">
        <v>4</v>
      </c>
      <c r="I2511" s="4">
        <v>0</v>
      </c>
    </row>
    <row r="2512" spans="1:9" x14ac:dyDescent="0.2">
      <c r="A2512" s="2">
        <v>8</v>
      </c>
      <c r="B2512" s="1" t="s">
        <v>421</v>
      </c>
      <c r="C2512" s="4">
        <v>1</v>
      </c>
      <c r="D2512" s="8">
        <v>2.33</v>
      </c>
      <c r="E2512" s="4">
        <v>1</v>
      </c>
      <c r="F2512" s="8">
        <v>6.25</v>
      </c>
      <c r="G2512" s="4">
        <v>0</v>
      </c>
      <c r="H2512" s="8">
        <v>0</v>
      </c>
      <c r="I2512" s="4">
        <v>0</v>
      </c>
    </row>
    <row r="2513" spans="1:9" x14ac:dyDescent="0.2">
      <c r="A2513" s="2">
        <v>8</v>
      </c>
      <c r="B2513" s="1" t="s">
        <v>314</v>
      </c>
      <c r="C2513" s="4">
        <v>1</v>
      </c>
      <c r="D2513" s="8">
        <v>2.33</v>
      </c>
      <c r="E2513" s="4">
        <v>1</v>
      </c>
      <c r="F2513" s="8">
        <v>6.25</v>
      </c>
      <c r="G2513" s="4">
        <v>0</v>
      </c>
      <c r="H2513" s="8">
        <v>0</v>
      </c>
      <c r="I2513" s="4">
        <v>0</v>
      </c>
    </row>
    <row r="2514" spans="1:9" x14ac:dyDescent="0.2">
      <c r="A2514" s="2">
        <v>8</v>
      </c>
      <c r="B2514" s="1" t="s">
        <v>329</v>
      </c>
      <c r="C2514" s="4">
        <v>1</v>
      </c>
      <c r="D2514" s="8">
        <v>2.33</v>
      </c>
      <c r="E2514" s="4">
        <v>0</v>
      </c>
      <c r="F2514" s="8">
        <v>0</v>
      </c>
      <c r="G2514" s="4">
        <v>1</v>
      </c>
      <c r="H2514" s="8">
        <v>4</v>
      </c>
      <c r="I2514" s="4">
        <v>0</v>
      </c>
    </row>
    <row r="2515" spans="1:9" x14ac:dyDescent="0.2">
      <c r="A2515" s="2">
        <v>8</v>
      </c>
      <c r="B2515" s="1" t="s">
        <v>292</v>
      </c>
      <c r="C2515" s="4">
        <v>1</v>
      </c>
      <c r="D2515" s="8">
        <v>2.33</v>
      </c>
      <c r="E2515" s="4">
        <v>0</v>
      </c>
      <c r="F2515" s="8">
        <v>0</v>
      </c>
      <c r="G2515" s="4">
        <v>1</v>
      </c>
      <c r="H2515" s="8">
        <v>4</v>
      </c>
      <c r="I2515" s="4">
        <v>0</v>
      </c>
    </row>
    <row r="2516" spans="1:9" x14ac:dyDescent="0.2">
      <c r="A2516" s="2">
        <v>8</v>
      </c>
      <c r="B2516" s="1" t="s">
        <v>294</v>
      </c>
      <c r="C2516" s="4">
        <v>1</v>
      </c>
      <c r="D2516" s="8">
        <v>2.33</v>
      </c>
      <c r="E2516" s="4">
        <v>1</v>
      </c>
      <c r="F2516" s="8">
        <v>6.25</v>
      </c>
      <c r="G2516" s="4">
        <v>0</v>
      </c>
      <c r="H2516" s="8">
        <v>0</v>
      </c>
      <c r="I2516" s="4">
        <v>0</v>
      </c>
    </row>
    <row r="2517" spans="1:9" x14ac:dyDescent="0.2">
      <c r="A2517" s="2">
        <v>8</v>
      </c>
      <c r="B2517" s="1" t="s">
        <v>337</v>
      </c>
      <c r="C2517" s="4">
        <v>1</v>
      </c>
      <c r="D2517" s="8">
        <v>2.33</v>
      </c>
      <c r="E2517" s="4">
        <v>1</v>
      </c>
      <c r="F2517" s="8">
        <v>6.25</v>
      </c>
      <c r="G2517" s="4">
        <v>0</v>
      </c>
      <c r="H2517" s="8">
        <v>0</v>
      </c>
      <c r="I2517" s="4">
        <v>0</v>
      </c>
    </row>
    <row r="2518" spans="1:9" x14ac:dyDescent="0.2">
      <c r="A2518" s="2">
        <v>8</v>
      </c>
      <c r="B2518" s="1" t="s">
        <v>429</v>
      </c>
      <c r="C2518" s="4">
        <v>1</v>
      </c>
      <c r="D2518" s="8">
        <v>2.33</v>
      </c>
      <c r="E2518" s="4">
        <v>1</v>
      </c>
      <c r="F2518" s="8">
        <v>6.25</v>
      </c>
      <c r="G2518" s="4">
        <v>0</v>
      </c>
      <c r="H2518" s="8">
        <v>0</v>
      </c>
      <c r="I2518" s="4">
        <v>0</v>
      </c>
    </row>
    <row r="2519" spans="1:9" x14ac:dyDescent="0.2">
      <c r="A2519" s="2">
        <v>8</v>
      </c>
      <c r="B2519" s="1" t="s">
        <v>419</v>
      </c>
      <c r="C2519" s="4">
        <v>1</v>
      </c>
      <c r="D2519" s="8">
        <v>2.33</v>
      </c>
      <c r="E2519" s="4">
        <v>0</v>
      </c>
      <c r="F2519" s="8">
        <v>0</v>
      </c>
      <c r="G2519" s="4">
        <v>1</v>
      </c>
      <c r="H2519" s="8">
        <v>4</v>
      </c>
      <c r="I2519" s="4">
        <v>0</v>
      </c>
    </row>
    <row r="2520" spans="1:9" x14ac:dyDescent="0.2">
      <c r="A2520" s="2">
        <v>8</v>
      </c>
      <c r="B2520" s="1" t="s">
        <v>303</v>
      </c>
      <c r="C2520" s="4">
        <v>1</v>
      </c>
      <c r="D2520" s="8">
        <v>2.33</v>
      </c>
      <c r="E2520" s="4">
        <v>1</v>
      </c>
      <c r="F2520" s="8">
        <v>6.25</v>
      </c>
      <c r="G2520" s="4">
        <v>0</v>
      </c>
      <c r="H2520" s="8">
        <v>0</v>
      </c>
      <c r="I2520" s="4">
        <v>0</v>
      </c>
    </row>
    <row r="2521" spans="1:9" x14ac:dyDescent="0.2">
      <c r="A2521" s="2">
        <v>8</v>
      </c>
      <c r="B2521" s="1" t="s">
        <v>368</v>
      </c>
      <c r="C2521" s="4">
        <v>1</v>
      </c>
      <c r="D2521" s="8">
        <v>2.33</v>
      </c>
      <c r="E2521" s="4">
        <v>0</v>
      </c>
      <c r="F2521" s="8">
        <v>0</v>
      </c>
      <c r="G2521" s="4">
        <v>0</v>
      </c>
      <c r="H2521" s="8">
        <v>0</v>
      </c>
      <c r="I2521" s="4">
        <v>0</v>
      </c>
    </row>
    <row r="2522" spans="1:9" x14ac:dyDescent="0.2">
      <c r="A2522" s="2">
        <v>8</v>
      </c>
      <c r="B2522" s="1" t="s">
        <v>340</v>
      </c>
      <c r="C2522" s="4">
        <v>1</v>
      </c>
      <c r="D2522" s="8">
        <v>2.33</v>
      </c>
      <c r="E2522" s="4">
        <v>0</v>
      </c>
      <c r="F2522" s="8">
        <v>0</v>
      </c>
      <c r="G2522" s="4">
        <v>0</v>
      </c>
      <c r="H2522" s="8">
        <v>0</v>
      </c>
      <c r="I2522" s="4">
        <v>0</v>
      </c>
    </row>
    <row r="2523" spans="1:9" x14ac:dyDescent="0.2">
      <c r="A2523" s="2">
        <v>8</v>
      </c>
      <c r="B2523" s="1" t="s">
        <v>306</v>
      </c>
      <c r="C2523" s="4">
        <v>1</v>
      </c>
      <c r="D2523" s="8">
        <v>2.33</v>
      </c>
      <c r="E2523" s="4">
        <v>1</v>
      </c>
      <c r="F2523" s="8">
        <v>6.25</v>
      </c>
      <c r="G2523" s="4">
        <v>0</v>
      </c>
      <c r="H2523" s="8">
        <v>0</v>
      </c>
      <c r="I2523" s="4">
        <v>0</v>
      </c>
    </row>
    <row r="2524" spans="1:9" x14ac:dyDescent="0.2">
      <c r="A2524" s="2">
        <v>8</v>
      </c>
      <c r="B2524" s="1" t="s">
        <v>370</v>
      </c>
      <c r="C2524" s="4">
        <v>1</v>
      </c>
      <c r="D2524" s="8">
        <v>2.33</v>
      </c>
      <c r="E2524" s="4">
        <v>0</v>
      </c>
      <c r="F2524" s="8">
        <v>0</v>
      </c>
      <c r="G2524" s="4">
        <v>1</v>
      </c>
      <c r="H2524" s="8">
        <v>4</v>
      </c>
      <c r="I2524" s="4">
        <v>0</v>
      </c>
    </row>
    <row r="2525" spans="1:9" x14ac:dyDescent="0.2">
      <c r="A2525" s="2">
        <v>8</v>
      </c>
      <c r="B2525" s="1" t="s">
        <v>371</v>
      </c>
      <c r="C2525" s="4">
        <v>1</v>
      </c>
      <c r="D2525" s="8">
        <v>2.33</v>
      </c>
      <c r="E2525" s="4">
        <v>1</v>
      </c>
      <c r="F2525" s="8">
        <v>6.25</v>
      </c>
      <c r="G2525" s="4">
        <v>0</v>
      </c>
      <c r="H2525" s="8">
        <v>0</v>
      </c>
      <c r="I2525" s="4">
        <v>0</v>
      </c>
    </row>
    <row r="2526" spans="1:9" x14ac:dyDescent="0.2">
      <c r="A2526" s="1"/>
      <c r="C2526" s="4"/>
      <c r="D2526" s="8"/>
      <c r="E2526" s="4"/>
      <c r="F2526" s="8"/>
      <c r="G2526" s="4"/>
      <c r="H2526" s="8"/>
      <c r="I2526" s="4"/>
    </row>
    <row r="2527" spans="1:9" x14ac:dyDescent="0.2">
      <c r="A2527" s="1" t="s">
        <v>91</v>
      </c>
      <c r="C2527" s="4"/>
      <c r="D2527" s="8"/>
      <c r="E2527" s="4"/>
      <c r="F2527" s="8"/>
      <c r="G2527" s="4"/>
      <c r="H2527" s="8"/>
      <c r="I2527" s="4"/>
    </row>
    <row r="2528" spans="1:9" x14ac:dyDescent="0.2">
      <c r="A2528" s="2">
        <v>1</v>
      </c>
      <c r="B2528" s="1" t="s">
        <v>289</v>
      </c>
      <c r="C2528" s="4">
        <v>6</v>
      </c>
      <c r="D2528" s="8">
        <v>7.06</v>
      </c>
      <c r="E2528" s="4">
        <v>0</v>
      </c>
      <c r="F2528" s="8">
        <v>0</v>
      </c>
      <c r="G2528" s="4">
        <v>6</v>
      </c>
      <c r="H2528" s="8">
        <v>13.64</v>
      </c>
      <c r="I2528" s="4">
        <v>0</v>
      </c>
    </row>
    <row r="2529" spans="1:9" x14ac:dyDescent="0.2">
      <c r="A2529" s="2">
        <v>1</v>
      </c>
      <c r="B2529" s="1" t="s">
        <v>303</v>
      </c>
      <c r="C2529" s="4">
        <v>6</v>
      </c>
      <c r="D2529" s="8">
        <v>7.06</v>
      </c>
      <c r="E2529" s="4">
        <v>6</v>
      </c>
      <c r="F2529" s="8">
        <v>15</v>
      </c>
      <c r="G2529" s="4">
        <v>0</v>
      </c>
      <c r="H2529" s="8">
        <v>0</v>
      </c>
      <c r="I2529" s="4">
        <v>0</v>
      </c>
    </row>
    <row r="2530" spans="1:9" x14ac:dyDescent="0.2">
      <c r="A2530" s="2">
        <v>3</v>
      </c>
      <c r="B2530" s="1" t="s">
        <v>288</v>
      </c>
      <c r="C2530" s="4">
        <v>4</v>
      </c>
      <c r="D2530" s="8">
        <v>4.71</v>
      </c>
      <c r="E2530" s="4">
        <v>1</v>
      </c>
      <c r="F2530" s="8">
        <v>2.5</v>
      </c>
      <c r="G2530" s="4">
        <v>3</v>
      </c>
      <c r="H2530" s="8">
        <v>6.82</v>
      </c>
      <c r="I2530" s="4">
        <v>0</v>
      </c>
    </row>
    <row r="2531" spans="1:9" x14ac:dyDescent="0.2">
      <c r="A2531" s="2">
        <v>3</v>
      </c>
      <c r="B2531" s="1" t="s">
        <v>297</v>
      </c>
      <c r="C2531" s="4">
        <v>4</v>
      </c>
      <c r="D2531" s="8">
        <v>4.71</v>
      </c>
      <c r="E2531" s="4">
        <v>4</v>
      </c>
      <c r="F2531" s="8">
        <v>10</v>
      </c>
      <c r="G2531" s="4">
        <v>0</v>
      </c>
      <c r="H2531" s="8">
        <v>0</v>
      </c>
      <c r="I2531" s="4">
        <v>0</v>
      </c>
    </row>
    <row r="2532" spans="1:9" x14ac:dyDescent="0.2">
      <c r="A2532" s="2">
        <v>5</v>
      </c>
      <c r="B2532" s="1" t="s">
        <v>450</v>
      </c>
      <c r="C2532" s="4">
        <v>3</v>
      </c>
      <c r="D2532" s="8">
        <v>3.53</v>
      </c>
      <c r="E2532" s="4">
        <v>0</v>
      </c>
      <c r="F2532" s="8">
        <v>0</v>
      </c>
      <c r="G2532" s="4">
        <v>3</v>
      </c>
      <c r="H2532" s="8">
        <v>6.82</v>
      </c>
      <c r="I2532" s="4">
        <v>0</v>
      </c>
    </row>
    <row r="2533" spans="1:9" x14ac:dyDescent="0.2">
      <c r="A2533" s="2">
        <v>5</v>
      </c>
      <c r="B2533" s="1" t="s">
        <v>333</v>
      </c>
      <c r="C2533" s="4">
        <v>3</v>
      </c>
      <c r="D2533" s="8">
        <v>3.53</v>
      </c>
      <c r="E2533" s="4">
        <v>2</v>
      </c>
      <c r="F2533" s="8">
        <v>5</v>
      </c>
      <c r="G2533" s="4">
        <v>1</v>
      </c>
      <c r="H2533" s="8">
        <v>2.27</v>
      </c>
      <c r="I2533" s="4">
        <v>0</v>
      </c>
    </row>
    <row r="2534" spans="1:9" x14ac:dyDescent="0.2">
      <c r="A2534" s="2">
        <v>5</v>
      </c>
      <c r="B2534" s="1" t="s">
        <v>372</v>
      </c>
      <c r="C2534" s="4">
        <v>3</v>
      </c>
      <c r="D2534" s="8">
        <v>3.53</v>
      </c>
      <c r="E2534" s="4">
        <v>3</v>
      </c>
      <c r="F2534" s="8">
        <v>7.5</v>
      </c>
      <c r="G2534" s="4">
        <v>0</v>
      </c>
      <c r="H2534" s="8">
        <v>0</v>
      </c>
      <c r="I2534" s="4">
        <v>0</v>
      </c>
    </row>
    <row r="2535" spans="1:9" x14ac:dyDescent="0.2">
      <c r="A2535" s="2">
        <v>5</v>
      </c>
      <c r="B2535" s="1" t="s">
        <v>334</v>
      </c>
      <c r="C2535" s="4">
        <v>3</v>
      </c>
      <c r="D2535" s="8">
        <v>3.53</v>
      </c>
      <c r="E2535" s="4">
        <v>2</v>
      </c>
      <c r="F2535" s="8">
        <v>5</v>
      </c>
      <c r="G2535" s="4">
        <v>1</v>
      </c>
      <c r="H2535" s="8">
        <v>2.27</v>
      </c>
      <c r="I2535" s="4">
        <v>0</v>
      </c>
    </row>
    <row r="2536" spans="1:9" x14ac:dyDescent="0.2">
      <c r="A2536" s="2">
        <v>5</v>
      </c>
      <c r="B2536" s="1" t="s">
        <v>304</v>
      </c>
      <c r="C2536" s="4">
        <v>3</v>
      </c>
      <c r="D2536" s="8">
        <v>3.53</v>
      </c>
      <c r="E2536" s="4">
        <v>2</v>
      </c>
      <c r="F2536" s="8">
        <v>5</v>
      </c>
      <c r="G2536" s="4">
        <v>1</v>
      </c>
      <c r="H2536" s="8">
        <v>2.27</v>
      </c>
      <c r="I2536" s="4">
        <v>0</v>
      </c>
    </row>
    <row r="2537" spans="1:9" x14ac:dyDescent="0.2">
      <c r="A2537" s="2">
        <v>5</v>
      </c>
      <c r="B2537" s="1" t="s">
        <v>318</v>
      </c>
      <c r="C2537" s="4">
        <v>3</v>
      </c>
      <c r="D2537" s="8">
        <v>3.53</v>
      </c>
      <c r="E2537" s="4">
        <v>1</v>
      </c>
      <c r="F2537" s="8">
        <v>2.5</v>
      </c>
      <c r="G2537" s="4">
        <v>2</v>
      </c>
      <c r="H2537" s="8">
        <v>4.55</v>
      </c>
      <c r="I2537" s="4">
        <v>0</v>
      </c>
    </row>
    <row r="2538" spans="1:9" x14ac:dyDescent="0.2">
      <c r="A2538" s="2">
        <v>11</v>
      </c>
      <c r="B2538" s="1" t="s">
        <v>343</v>
      </c>
      <c r="C2538" s="4">
        <v>2</v>
      </c>
      <c r="D2538" s="8">
        <v>2.35</v>
      </c>
      <c r="E2538" s="4">
        <v>0</v>
      </c>
      <c r="F2538" s="8">
        <v>0</v>
      </c>
      <c r="G2538" s="4">
        <v>2</v>
      </c>
      <c r="H2538" s="8">
        <v>4.55</v>
      </c>
      <c r="I2538" s="4">
        <v>0</v>
      </c>
    </row>
    <row r="2539" spans="1:9" x14ac:dyDescent="0.2">
      <c r="A2539" s="2">
        <v>11</v>
      </c>
      <c r="B2539" s="1" t="s">
        <v>308</v>
      </c>
      <c r="C2539" s="4">
        <v>2</v>
      </c>
      <c r="D2539" s="8">
        <v>2.35</v>
      </c>
      <c r="E2539" s="4">
        <v>2</v>
      </c>
      <c r="F2539" s="8">
        <v>5</v>
      </c>
      <c r="G2539" s="4">
        <v>0</v>
      </c>
      <c r="H2539" s="8">
        <v>0</v>
      </c>
      <c r="I2539" s="4">
        <v>0</v>
      </c>
    </row>
    <row r="2540" spans="1:9" x14ac:dyDescent="0.2">
      <c r="A2540" s="2">
        <v>11</v>
      </c>
      <c r="B2540" s="1" t="s">
        <v>336</v>
      </c>
      <c r="C2540" s="4">
        <v>2</v>
      </c>
      <c r="D2540" s="8">
        <v>2.35</v>
      </c>
      <c r="E2540" s="4">
        <v>1</v>
      </c>
      <c r="F2540" s="8">
        <v>2.5</v>
      </c>
      <c r="G2540" s="4">
        <v>1</v>
      </c>
      <c r="H2540" s="8">
        <v>2.27</v>
      </c>
      <c r="I2540" s="4">
        <v>0</v>
      </c>
    </row>
    <row r="2541" spans="1:9" x14ac:dyDescent="0.2">
      <c r="A2541" s="2">
        <v>11</v>
      </c>
      <c r="B2541" s="1" t="s">
        <v>292</v>
      </c>
      <c r="C2541" s="4">
        <v>2</v>
      </c>
      <c r="D2541" s="8">
        <v>2.35</v>
      </c>
      <c r="E2541" s="4">
        <v>2</v>
      </c>
      <c r="F2541" s="8">
        <v>5</v>
      </c>
      <c r="G2541" s="4">
        <v>0</v>
      </c>
      <c r="H2541" s="8">
        <v>0</v>
      </c>
      <c r="I2541" s="4">
        <v>0</v>
      </c>
    </row>
    <row r="2542" spans="1:9" x14ac:dyDescent="0.2">
      <c r="A2542" s="2">
        <v>11</v>
      </c>
      <c r="B2542" s="1" t="s">
        <v>296</v>
      </c>
      <c r="C2542" s="4">
        <v>2</v>
      </c>
      <c r="D2542" s="8">
        <v>2.35</v>
      </c>
      <c r="E2542" s="4">
        <v>1</v>
      </c>
      <c r="F2542" s="8">
        <v>2.5</v>
      </c>
      <c r="G2542" s="4">
        <v>1</v>
      </c>
      <c r="H2542" s="8">
        <v>2.27</v>
      </c>
      <c r="I2542" s="4">
        <v>0</v>
      </c>
    </row>
    <row r="2543" spans="1:9" x14ac:dyDescent="0.2">
      <c r="A2543" s="2">
        <v>11</v>
      </c>
      <c r="B2543" s="1" t="s">
        <v>305</v>
      </c>
      <c r="C2543" s="4">
        <v>2</v>
      </c>
      <c r="D2543" s="8">
        <v>2.35</v>
      </c>
      <c r="E2543" s="4">
        <v>2</v>
      </c>
      <c r="F2543" s="8">
        <v>5</v>
      </c>
      <c r="G2543" s="4">
        <v>0</v>
      </c>
      <c r="H2543" s="8">
        <v>0</v>
      </c>
      <c r="I2543" s="4">
        <v>0</v>
      </c>
    </row>
    <row r="2544" spans="1:9" x14ac:dyDescent="0.2">
      <c r="A2544" s="2">
        <v>11</v>
      </c>
      <c r="B2544" s="1" t="s">
        <v>307</v>
      </c>
      <c r="C2544" s="4">
        <v>2</v>
      </c>
      <c r="D2544" s="8">
        <v>2.35</v>
      </c>
      <c r="E2544" s="4">
        <v>0</v>
      </c>
      <c r="F2544" s="8">
        <v>0</v>
      </c>
      <c r="G2544" s="4">
        <v>2</v>
      </c>
      <c r="H2544" s="8">
        <v>4.55</v>
      </c>
      <c r="I2544" s="4">
        <v>0</v>
      </c>
    </row>
    <row r="2545" spans="1:9" x14ac:dyDescent="0.2">
      <c r="A2545" s="2">
        <v>18</v>
      </c>
      <c r="B2545" s="1" t="s">
        <v>328</v>
      </c>
      <c r="C2545" s="4">
        <v>1</v>
      </c>
      <c r="D2545" s="8">
        <v>1.18</v>
      </c>
      <c r="E2545" s="4">
        <v>0</v>
      </c>
      <c r="F2545" s="8">
        <v>0</v>
      </c>
      <c r="G2545" s="4">
        <v>1</v>
      </c>
      <c r="H2545" s="8">
        <v>2.27</v>
      </c>
      <c r="I2545" s="4">
        <v>0</v>
      </c>
    </row>
    <row r="2546" spans="1:9" x14ac:dyDescent="0.2">
      <c r="A2546" s="2">
        <v>18</v>
      </c>
      <c r="B2546" s="1" t="s">
        <v>375</v>
      </c>
      <c r="C2546" s="4">
        <v>1</v>
      </c>
      <c r="D2546" s="8">
        <v>1.18</v>
      </c>
      <c r="E2546" s="4">
        <v>0</v>
      </c>
      <c r="F2546" s="8">
        <v>0</v>
      </c>
      <c r="G2546" s="4">
        <v>1</v>
      </c>
      <c r="H2546" s="8">
        <v>2.27</v>
      </c>
      <c r="I2546" s="4">
        <v>0</v>
      </c>
    </row>
    <row r="2547" spans="1:9" x14ac:dyDescent="0.2">
      <c r="A2547" s="2">
        <v>18</v>
      </c>
      <c r="B2547" s="1" t="s">
        <v>290</v>
      </c>
      <c r="C2547" s="4">
        <v>1</v>
      </c>
      <c r="D2547" s="8">
        <v>1.18</v>
      </c>
      <c r="E2547" s="4">
        <v>0</v>
      </c>
      <c r="F2547" s="8">
        <v>0</v>
      </c>
      <c r="G2547" s="4">
        <v>1</v>
      </c>
      <c r="H2547" s="8">
        <v>2.27</v>
      </c>
      <c r="I2547" s="4">
        <v>0</v>
      </c>
    </row>
    <row r="2548" spans="1:9" x14ac:dyDescent="0.2">
      <c r="A2548" s="2">
        <v>18</v>
      </c>
      <c r="B2548" s="1" t="s">
        <v>437</v>
      </c>
      <c r="C2548" s="4">
        <v>1</v>
      </c>
      <c r="D2548" s="8">
        <v>1.18</v>
      </c>
      <c r="E2548" s="4">
        <v>0</v>
      </c>
      <c r="F2548" s="8">
        <v>0</v>
      </c>
      <c r="G2548" s="4">
        <v>1</v>
      </c>
      <c r="H2548" s="8">
        <v>2.27</v>
      </c>
      <c r="I2548" s="4">
        <v>0</v>
      </c>
    </row>
    <row r="2549" spans="1:9" x14ac:dyDescent="0.2">
      <c r="A2549" s="2">
        <v>18</v>
      </c>
      <c r="B2549" s="1" t="s">
        <v>376</v>
      </c>
      <c r="C2549" s="4">
        <v>1</v>
      </c>
      <c r="D2549" s="8">
        <v>1.18</v>
      </c>
      <c r="E2549" s="4">
        <v>0</v>
      </c>
      <c r="F2549" s="8">
        <v>0</v>
      </c>
      <c r="G2549" s="4">
        <v>1</v>
      </c>
      <c r="H2549" s="8">
        <v>2.27</v>
      </c>
      <c r="I2549" s="4">
        <v>0</v>
      </c>
    </row>
    <row r="2550" spans="1:9" x14ac:dyDescent="0.2">
      <c r="A2550" s="2">
        <v>18</v>
      </c>
      <c r="B2550" s="1" t="s">
        <v>395</v>
      </c>
      <c r="C2550" s="4">
        <v>1</v>
      </c>
      <c r="D2550" s="8">
        <v>1.18</v>
      </c>
      <c r="E2550" s="4">
        <v>0</v>
      </c>
      <c r="F2550" s="8">
        <v>0</v>
      </c>
      <c r="G2550" s="4">
        <v>1</v>
      </c>
      <c r="H2550" s="8">
        <v>2.27</v>
      </c>
      <c r="I2550" s="4">
        <v>0</v>
      </c>
    </row>
    <row r="2551" spans="1:9" x14ac:dyDescent="0.2">
      <c r="A2551" s="2">
        <v>18</v>
      </c>
      <c r="B2551" s="1" t="s">
        <v>434</v>
      </c>
      <c r="C2551" s="4">
        <v>1</v>
      </c>
      <c r="D2551" s="8">
        <v>1.18</v>
      </c>
      <c r="E2551" s="4">
        <v>0</v>
      </c>
      <c r="F2551" s="8">
        <v>0</v>
      </c>
      <c r="G2551" s="4">
        <v>1</v>
      </c>
      <c r="H2551" s="8">
        <v>2.27</v>
      </c>
      <c r="I2551" s="4">
        <v>0</v>
      </c>
    </row>
    <row r="2552" spans="1:9" x14ac:dyDescent="0.2">
      <c r="A2552" s="2">
        <v>18</v>
      </c>
      <c r="B2552" s="1" t="s">
        <v>464</v>
      </c>
      <c r="C2552" s="4">
        <v>1</v>
      </c>
      <c r="D2552" s="8">
        <v>1.18</v>
      </c>
      <c r="E2552" s="4">
        <v>1</v>
      </c>
      <c r="F2552" s="8">
        <v>2.5</v>
      </c>
      <c r="G2552" s="4">
        <v>0</v>
      </c>
      <c r="H2552" s="8">
        <v>0</v>
      </c>
      <c r="I2552" s="4">
        <v>0</v>
      </c>
    </row>
    <row r="2553" spans="1:9" x14ac:dyDescent="0.2">
      <c r="A2553" s="2">
        <v>18</v>
      </c>
      <c r="B2553" s="1" t="s">
        <v>465</v>
      </c>
      <c r="C2553" s="4">
        <v>1</v>
      </c>
      <c r="D2553" s="8">
        <v>1.18</v>
      </c>
      <c r="E2553" s="4">
        <v>1</v>
      </c>
      <c r="F2553" s="8">
        <v>2.5</v>
      </c>
      <c r="G2553" s="4">
        <v>0</v>
      </c>
      <c r="H2553" s="8">
        <v>0</v>
      </c>
      <c r="I2553" s="4">
        <v>0</v>
      </c>
    </row>
    <row r="2554" spans="1:9" x14ac:dyDescent="0.2">
      <c r="A2554" s="2">
        <v>18</v>
      </c>
      <c r="B2554" s="1" t="s">
        <v>374</v>
      </c>
      <c r="C2554" s="4">
        <v>1</v>
      </c>
      <c r="D2554" s="8">
        <v>1.18</v>
      </c>
      <c r="E2554" s="4">
        <v>0</v>
      </c>
      <c r="F2554" s="8">
        <v>0</v>
      </c>
      <c r="G2554" s="4">
        <v>1</v>
      </c>
      <c r="H2554" s="8">
        <v>2.27</v>
      </c>
      <c r="I2554" s="4">
        <v>0</v>
      </c>
    </row>
    <row r="2555" spans="1:9" x14ac:dyDescent="0.2">
      <c r="A2555" s="2">
        <v>18</v>
      </c>
      <c r="B2555" s="1" t="s">
        <v>435</v>
      </c>
      <c r="C2555" s="4">
        <v>1</v>
      </c>
      <c r="D2555" s="8">
        <v>1.18</v>
      </c>
      <c r="E2555" s="4">
        <v>0</v>
      </c>
      <c r="F2555" s="8">
        <v>0</v>
      </c>
      <c r="G2555" s="4">
        <v>1</v>
      </c>
      <c r="H2555" s="8">
        <v>2.27</v>
      </c>
      <c r="I2555" s="4">
        <v>0</v>
      </c>
    </row>
    <row r="2556" spans="1:9" x14ac:dyDescent="0.2">
      <c r="A2556" s="2">
        <v>18</v>
      </c>
      <c r="B2556" s="1" t="s">
        <v>466</v>
      </c>
      <c r="C2556" s="4">
        <v>1</v>
      </c>
      <c r="D2556" s="8">
        <v>1.18</v>
      </c>
      <c r="E2556" s="4">
        <v>0</v>
      </c>
      <c r="F2556" s="8">
        <v>0</v>
      </c>
      <c r="G2556" s="4">
        <v>1</v>
      </c>
      <c r="H2556" s="8">
        <v>2.27</v>
      </c>
      <c r="I2556" s="4">
        <v>0</v>
      </c>
    </row>
    <row r="2557" spans="1:9" x14ac:dyDescent="0.2">
      <c r="A2557" s="2">
        <v>18</v>
      </c>
      <c r="B2557" s="1" t="s">
        <v>324</v>
      </c>
      <c r="C2557" s="4">
        <v>1</v>
      </c>
      <c r="D2557" s="8">
        <v>1.18</v>
      </c>
      <c r="E2557" s="4">
        <v>0</v>
      </c>
      <c r="F2557" s="8">
        <v>0</v>
      </c>
      <c r="G2557" s="4">
        <v>1</v>
      </c>
      <c r="H2557" s="8">
        <v>2.27</v>
      </c>
      <c r="I2557" s="4">
        <v>0</v>
      </c>
    </row>
    <row r="2558" spans="1:9" x14ac:dyDescent="0.2">
      <c r="A2558" s="2">
        <v>18</v>
      </c>
      <c r="B2558" s="1" t="s">
        <v>346</v>
      </c>
      <c r="C2558" s="4">
        <v>1</v>
      </c>
      <c r="D2558" s="8">
        <v>1.18</v>
      </c>
      <c r="E2558" s="4">
        <v>0</v>
      </c>
      <c r="F2558" s="8">
        <v>0</v>
      </c>
      <c r="G2558" s="4">
        <v>1</v>
      </c>
      <c r="H2558" s="8">
        <v>2.27</v>
      </c>
      <c r="I2558" s="4">
        <v>0</v>
      </c>
    </row>
    <row r="2559" spans="1:9" x14ac:dyDescent="0.2">
      <c r="A2559" s="2">
        <v>18</v>
      </c>
      <c r="B2559" s="1" t="s">
        <v>452</v>
      </c>
      <c r="C2559" s="4">
        <v>1</v>
      </c>
      <c r="D2559" s="8">
        <v>1.18</v>
      </c>
      <c r="E2559" s="4">
        <v>0</v>
      </c>
      <c r="F2559" s="8">
        <v>0</v>
      </c>
      <c r="G2559" s="4">
        <v>1</v>
      </c>
      <c r="H2559" s="8">
        <v>2.27</v>
      </c>
      <c r="I2559" s="4">
        <v>0</v>
      </c>
    </row>
    <row r="2560" spans="1:9" x14ac:dyDescent="0.2">
      <c r="A2560" s="2">
        <v>18</v>
      </c>
      <c r="B2560" s="1" t="s">
        <v>321</v>
      </c>
      <c r="C2560" s="4">
        <v>1</v>
      </c>
      <c r="D2560" s="8">
        <v>1.18</v>
      </c>
      <c r="E2560" s="4">
        <v>0</v>
      </c>
      <c r="F2560" s="8">
        <v>0</v>
      </c>
      <c r="G2560" s="4">
        <v>1</v>
      </c>
      <c r="H2560" s="8">
        <v>2.27</v>
      </c>
      <c r="I2560" s="4">
        <v>0</v>
      </c>
    </row>
    <row r="2561" spans="1:9" x14ac:dyDescent="0.2">
      <c r="A2561" s="2">
        <v>18</v>
      </c>
      <c r="B2561" s="1" t="s">
        <v>314</v>
      </c>
      <c r="C2561" s="4">
        <v>1</v>
      </c>
      <c r="D2561" s="8">
        <v>1.18</v>
      </c>
      <c r="E2561" s="4">
        <v>0</v>
      </c>
      <c r="F2561" s="8">
        <v>0</v>
      </c>
      <c r="G2561" s="4">
        <v>1</v>
      </c>
      <c r="H2561" s="8">
        <v>2.27</v>
      </c>
      <c r="I2561" s="4">
        <v>0</v>
      </c>
    </row>
    <row r="2562" spans="1:9" x14ac:dyDescent="0.2">
      <c r="A2562" s="2">
        <v>18</v>
      </c>
      <c r="B2562" s="1" t="s">
        <v>467</v>
      </c>
      <c r="C2562" s="4">
        <v>1</v>
      </c>
      <c r="D2562" s="8">
        <v>1.18</v>
      </c>
      <c r="E2562" s="4">
        <v>0</v>
      </c>
      <c r="F2562" s="8">
        <v>0</v>
      </c>
      <c r="G2562" s="4">
        <v>1</v>
      </c>
      <c r="H2562" s="8">
        <v>2.27</v>
      </c>
      <c r="I2562" s="4">
        <v>0</v>
      </c>
    </row>
    <row r="2563" spans="1:9" x14ac:dyDescent="0.2">
      <c r="A2563" s="2">
        <v>18</v>
      </c>
      <c r="B2563" s="1" t="s">
        <v>293</v>
      </c>
      <c r="C2563" s="4">
        <v>1</v>
      </c>
      <c r="D2563" s="8">
        <v>1.18</v>
      </c>
      <c r="E2563" s="4">
        <v>0</v>
      </c>
      <c r="F2563" s="8">
        <v>0</v>
      </c>
      <c r="G2563" s="4">
        <v>1</v>
      </c>
      <c r="H2563" s="8">
        <v>2.27</v>
      </c>
      <c r="I2563" s="4">
        <v>0</v>
      </c>
    </row>
    <row r="2564" spans="1:9" x14ac:dyDescent="0.2">
      <c r="A2564" s="2">
        <v>18</v>
      </c>
      <c r="B2564" s="1" t="s">
        <v>401</v>
      </c>
      <c r="C2564" s="4">
        <v>1</v>
      </c>
      <c r="D2564" s="8">
        <v>1.18</v>
      </c>
      <c r="E2564" s="4">
        <v>0</v>
      </c>
      <c r="F2564" s="8">
        <v>0</v>
      </c>
      <c r="G2564" s="4">
        <v>1</v>
      </c>
      <c r="H2564" s="8">
        <v>2.27</v>
      </c>
      <c r="I2564" s="4">
        <v>0</v>
      </c>
    </row>
    <row r="2565" spans="1:9" x14ac:dyDescent="0.2">
      <c r="A2565" s="2">
        <v>18</v>
      </c>
      <c r="B2565" s="1" t="s">
        <v>402</v>
      </c>
      <c r="C2565" s="4">
        <v>1</v>
      </c>
      <c r="D2565" s="8">
        <v>1.18</v>
      </c>
      <c r="E2565" s="4">
        <v>1</v>
      </c>
      <c r="F2565" s="8">
        <v>2.5</v>
      </c>
      <c r="G2565" s="4">
        <v>0</v>
      </c>
      <c r="H2565" s="8">
        <v>0</v>
      </c>
      <c r="I2565" s="4">
        <v>0</v>
      </c>
    </row>
    <row r="2566" spans="1:9" x14ac:dyDescent="0.2">
      <c r="A2566" s="2">
        <v>18</v>
      </c>
      <c r="B2566" s="1" t="s">
        <v>337</v>
      </c>
      <c r="C2566" s="4">
        <v>1</v>
      </c>
      <c r="D2566" s="8">
        <v>1.18</v>
      </c>
      <c r="E2566" s="4">
        <v>0</v>
      </c>
      <c r="F2566" s="8">
        <v>0</v>
      </c>
      <c r="G2566" s="4">
        <v>1</v>
      </c>
      <c r="H2566" s="8">
        <v>2.27</v>
      </c>
      <c r="I2566" s="4">
        <v>0</v>
      </c>
    </row>
    <row r="2567" spans="1:9" x14ac:dyDescent="0.2">
      <c r="A2567" s="2">
        <v>18</v>
      </c>
      <c r="B2567" s="1" t="s">
        <v>338</v>
      </c>
      <c r="C2567" s="4">
        <v>1</v>
      </c>
      <c r="D2567" s="8">
        <v>1.18</v>
      </c>
      <c r="E2567" s="4">
        <v>1</v>
      </c>
      <c r="F2567" s="8">
        <v>2.5</v>
      </c>
      <c r="G2567" s="4">
        <v>0</v>
      </c>
      <c r="H2567" s="8">
        <v>0</v>
      </c>
      <c r="I2567" s="4">
        <v>0</v>
      </c>
    </row>
    <row r="2568" spans="1:9" x14ac:dyDescent="0.2">
      <c r="A2568" s="2">
        <v>18</v>
      </c>
      <c r="B2568" s="1" t="s">
        <v>396</v>
      </c>
      <c r="C2568" s="4">
        <v>1</v>
      </c>
      <c r="D2568" s="8">
        <v>1.18</v>
      </c>
      <c r="E2568" s="4">
        <v>0</v>
      </c>
      <c r="F2568" s="8">
        <v>0</v>
      </c>
      <c r="G2568" s="4">
        <v>1</v>
      </c>
      <c r="H2568" s="8">
        <v>2.27</v>
      </c>
      <c r="I2568" s="4">
        <v>0</v>
      </c>
    </row>
    <row r="2569" spans="1:9" x14ac:dyDescent="0.2">
      <c r="A2569" s="2">
        <v>18</v>
      </c>
      <c r="B2569" s="1" t="s">
        <v>299</v>
      </c>
      <c r="C2569" s="4">
        <v>1</v>
      </c>
      <c r="D2569" s="8">
        <v>1.18</v>
      </c>
      <c r="E2569" s="4">
        <v>1</v>
      </c>
      <c r="F2569" s="8">
        <v>2.5</v>
      </c>
      <c r="G2569" s="4">
        <v>0</v>
      </c>
      <c r="H2569" s="8">
        <v>0</v>
      </c>
      <c r="I2569" s="4">
        <v>0</v>
      </c>
    </row>
    <row r="2570" spans="1:9" x14ac:dyDescent="0.2">
      <c r="A2570" s="2">
        <v>18</v>
      </c>
      <c r="B2570" s="1" t="s">
        <v>349</v>
      </c>
      <c r="C2570" s="4">
        <v>1</v>
      </c>
      <c r="D2570" s="8">
        <v>1.18</v>
      </c>
      <c r="E2570" s="4">
        <v>1</v>
      </c>
      <c r="F2570" s="8">
        <v>2.5</v>
      </c>
      <c r="G2570" s="4">
        <v>0</v>
      </c>
      <c r="H2570" s="8">
        <v>0</v>
      </c>
      <c r="I2570" s="4">
        <v>0</v>
      </c>
    </row>
    <row r="2571" spans="1:9" x14ac:dyDescent="0.2">
      <c r="A2571" s="2">
        <v>18</v>
      </c>
      <c r="B2571" s="1" t="s">
        <v>300</v>
      </c>
      <c r="C2571" s="4">
        <v>1</v>
      </c>
      <c r="D2571" s="8">
        <v>1.18</v>
      </c>
      <c r="E2571" s="4">
        <v>1</v>
      </c>
      <c r="F2571" s="8">
        <v>2.5</v>
      </c>
      <c r="G2571" s="4">
        <v>0</v>
      </c>
      <c r="H2571" s="8">
        <v>0</v>
      </c>
      <c r="I2571" s="4">
        <v>0</v>
      </c>
    </row>
    <row r="2572" spans="1:9" x14ac:dyDescent="0.2">
      <c r="A2572" s="2">
        <v>18</v>
      </c>
      <c r="B2572" s="1" t="s">
        <v>302</v>
      </c>
      <c r="C2572" s="4">
        <v>1</v>
      </c>
      <c r="D2572" s="8">
        <v>1.18</v>
      </c>
      <c r="E2572" s="4">
        <v>1</v>
      </c>
      <c r="F2572" s="8">
        <v>2.5</v>
      </c>
      <c r="G2572" s="4">
        <v>0</v>
      </c>
      <c r="H2572" s="8">
        <v>0</v>
      </c>
      <c r="I2572" s="4">
        <v>0</v>
      </c>
    </row>
    <row r="2573" spans="1:9" x14ac:dyDescent="0.2">
      <c r="A2573" s="2">
        <v>18</v>
      </c>
      <c r="B2573" s="1" t="s">
        <v>325</v>
      </c>
      <c r="C2573" s="4">
        <v>1</v>
      </c>
      <c r="D2573" s="8">
        <v>1.18</v>
      </c>
      <c r="E2573" s="4">
        <v>0</v>
      </c>
      <c r="F2573" s="8">
        <v>0</v>
      </c>
      <c r="G2573" s="4">
        <v>0</v>
      </c>
      <c r="H2573" s="8">
        <v>0</v>
      </c>
      <c r="I2573" s="4">
        <v>0</v>
      </c>
    </row>
    <row r="2574" spans="1:9" x14ac:dyDescent="0.2">
      <c r="A2574" s="2">
        <v>18</v>
      </c>
      <c r="B2574" s="1" t="s">
        <v>468</v>
      </c>
      <c r="C2574" s="4">
        <v>1</v>
      </c>
      <c r="D2574" s="8">
        <v>1.18</v>
      </c>
      <c r="E2574" s="4">
        <v>1</v>
      </c>
      <c r="F2574" s="8">
        <v>2.5</v>
      </c>
      <c r="G2574" s="4">
        <v>0</v>
      </c>
      <c r="H2574" s="8">
        <v>0</v>
      </c>
      <c r="I2574" s="4">
        <v>0</v>
      </c>
    </row>
    <row r="2575" spans="1:9" x14ac:dyDescent="0.2">
      <c r="A2575" s="2">
        <v>18</v>
      </c>
      <c r="B2575" s="1" t="s">
        <v>306</v>
      </c>
      <c r="C2575" s="4">
        <v>1</v>
      </c>
      <c r="D2575" s="8">
        <v>1.18</v>
      </c>
      <c r="E2575" s="4">
        <v>1</v>
      </c>
      <c r="F2575" s="8">
        <v>2.5</v>
      </c>
      <c r="G2575" s="4">
        <v>0</v>
      </c>
      <c r="H2575" s="8">
        <v>0</v>
      </c>
      <c r="I2575" s="4">
        <v>0</v>
      </c>
    </row>
    <row r="2576" spans="1:9" x14ac:dyDescent="0.2">
      <c r="A2576" s="2">
        <v>18</v>
      </c>
      <c r="B2576" s="1" t="s">
        <v>469</v>
      </c>
      <c r="C2576" s="4">
        <v>1</v>
      </c>
      <c r="D2576" s="8">
        <v>1.18</v>
      </c>
      <c r="E2576" s="4">
        <v>0</v>
      </c>
      <c r="F2576" s="8">
        <v>0</v>
      </c>
      <c r="G2576" s="4">
        <v>1</v>
      </c>
      <c r="H2576" s="8">
        <v>2.27</v>
      </c>
      <c r="I2576" s="4">
        <v>0</v>
      </c>
    </row>
    <row r="2577" spans="1:9" x14ac:dyDescent="0.2">
      <c r="A2577" s="2">
        <v>18</v>
      </c>
      <c r="B2577" s="1" t="s">
        <v>371</v>
      </c>
      <c r="C2577" s="4">
        <v>1</v>
      </c>
      <c r="D2577" s="8">
        <v>1.18</v>
      </c>
      <c r="E2577" s="4">
        <v>1</v>
      </c>
      <c r="F2577" s="8">
        <v>2.5</v>
      </c>
      <c r="G2577" s="4">
        <v>0</v>
      </c>
      <c r="H2577" s="8">
        <v>0</v>
      </c>
      <c r="I2577" s="4">
        <v>0</v>
      </c>
    </row>
    <row r="2578" spans="1:9" x14ac:dyDescent="0.2">
      <c r="A2578" s="1"/>
      <c r="C2578" s="4"/>
      <c r="D2578" s="8"/>
      <c r="E2578" s="4"/>
      <c r="F2578" s="8"/>
      <c r="G2578" s="4"/>
      <c r="H2578" s="8"/>
      <c r="I2578" s="4"/>
    </row>
    <row r="2579" spans="1:9" x14ac:dyDescent="0.2">
      <c r="A2579" s="1" t="s">
        <v>92</v>
      </c>
      <c r="C2579" s="4"/>
      <c r="D2579" s="8"/>
      <c r="E2579" s="4"/>
      <c r="F2579" s="8"/>
      <c r="G2579" s="4"/>
      <c r="H2579" s="8"/>
      <c r="I2579" s="4"/>
    </row>
    <row r="2580" spans="1:9" x14ac:dyDescent="0.2">
      <c r="A2580" s="2">
        <v>1</v>
      </c>
      <c r="B2580" s="1" t="s">
        <v>304</v>
      </c>
      <c r="C2580" s="4">
        <v>5</v>
      </c>
      <c r="D2580" s="8">
        <v>6.17</v>
      </c>
      <c r="E2580" s="4">
        <v>4</v>
      </c>
      <c r="F2580" s="8">
        <v>8.89</v>
      </c>
      <c r="G2580" s="4">
        <v>1</v>
      </c>
      <c r="H2580" s="8">
        <v>3.33</v>
      </c>
      <c r="I2580" s="4">
        <v>0</v>
      </c>
    </row>
    <row r="2581" spans="1:9" x14ac:dyDescent="0.2">
      <c r="A2581" s="2">
        <v>2</v>
      </c>
      <c r="B2581" s="1" t="s">
        <v>303</v>
      </c>
      <c r="C2581" s="4">
        <v>4</v>
      </c>
      <c r="D2581" s="8">
        <v>4.9400000000000004</v>
      </c>
      <c r="E2581" s="4">
        <v>4</v>
      </c>
      <c r="F2581" s="8">
        <v>8.89</v>
      </c>
      <c r="G2581" s="4">
        <v>0</v>
      </c>
      <c r="H2581" s="8">
        <v>0</v>
      </c>
      <c r="I2581" s="4">
        <v>0</v>
      </c>
    </row>
    <row r="2582" spans="1:9" x14ac:dyDescent="0.2">
      <c r="A2582" s="2">
        <v>2</v>
      </c>
      <c r="B2582" s="1" t="s">
        <v>305</v>
      </c>
      <c r="C2582" s="4">
        <v>4</v>
      </c>
      <c r="D2582" s="8">
        <v>4.9400000000000004</v>
      </c>
      <c r="E2582" s="4">
        <v>4</v>
      </c>
      <c r="F2582" s="8">
        <v>8.89</v>
      </c>
      <c r="G2582" s="4">
        <v>0</v>
      </c>
      <c r="H2582" s="8">
        <v>0</v>
      </c>
      <c r="I2582" s="4">
        <v>0</v>
      </c>
    </row>
    <row r="2583" spans="1:9" x14ac:dyDescent="0.2">
      <c r="A2583" s="2">
        <v>4</v>
      </c>
      <c r="B2583" s="1" t="s">
        <v>289</v>
      </c>
      <c r="C2583" s="4">
        <v>3</v>
      </c>
      <c r="D2583" s="8">
        <v>3.7</v>
      </c>
      <c r="E2583" s="4">
        <v>0</v>
      </c>
      <c r="F2583" s="8">
        <v>0</v>
      </c>
      <c r="G2583" s="4">
        <v>3</v>
      </c>
      <c r="H2583" s="8">
        <v>10</v>
      </c>
      <c r="I2583" s="4">
        <v>0</v>
      </c>
    </row>
    <row r="2584" spans="1:9" x14ac:dyDescent="0.2">
      <c r="A2584" s="2">
        <v>4</v>
      </c>
      <c r="B2584" s="1" t="s">
        <v>332</v>
      </c>
      <c r="C2584" s="4">
        <v>3</v>
      </c>
      <c r="D2584" s="8">
        <v>3.7</v>
      </c>
      <c r="E2584" s="4">
        <v>1</v>
      </c>
      <c r="F2584" s="8">
        <v>2.2200000000000002</v>
      </c>
      <c r="G2584" s="4">
        <v>2</v>
      </c>
      <c r="H2584" s="8">
        <v>6.67</v>
      </c>
      <c r="I2584" s="4">
        <v>0</v>
      </c>
    </row>
    <row r="2585" spans="1:9" x14ac:dyDescent="0.2">
      <c r="A2585" s="2">
        <v>4</v>
      </c>
      <c r="B2585" s="1" t="s">
        <v>335</v>
      </c>
      <c r="C2585" s="4">
        <v>3</v>
      </c>
      <c r="D2585" s="8">
        <v>3.7</v>
      </c>
      <c r="E2585" s="4">
        <v>3</v>
      </c>
      <c r="F2585" s="8">
        <v>6.67</v>
      </c>
      <c r="G2585" s="4">
        <v>0</v>
      </c>
      <c r="H2585" s="8">
        <v>0</v>
      </c>
      <c r="I2585" s="4">
        <v>0</v>
      </c>
    </row>
    <row r="2586" spans="1:9" x14ac:dyDescent="0.2">
      <c r="A2586" s="2">
        <v>4</v>
      </c>
      <c r="B2586" s="1" t="s">
        <v>330</v>
      </c>
      <c r="C2586" s="4">
        <v>3</v>
      </c>
      <c r="D2586" s="8">
        <v>3.7</v>
      </c>
      <c r="E2586" s="4">
        <v>0</v>
      </c>
      <c r="F2586" s="8">
        <v>0</v>
      </c>
      <c r="G2586" s="4">
        <v>3</v>
      </c>
      <c r="H2586" s="8">
        <v>10</v>
      </c>
      <c r="I2586" s="4">
        <v>0</v>
      </c>
    </row>
    <row r="2587" spans="1:9" x14ac:dyDescent="0.2">
      <c r="A2587" s="2">
        <v>4</v>
      </c>
      <c r="B2587" s="1" t="s">
        <v>300</v>
      </c>
      <c r="C2587" s="4">
        <v>3</v>
      </c>
      <c r="D2587" s="8">
        <v>3.7</v>
      </c>
      <c r="E2587" s="4">
        <v>3</v>
      </c>
      <c r="F2587" s="8">
        <v>6.67</v>
      </c>
      <c r="G2587" s="4">
        <v>0</v>
      </c>
      <c r="H2587" s="8">
        <v>0</v>
      </c>
      <c r="I2587" s="4">
        <v>0</v>
      </c>
    </row>
    <row r="2588" spans="1:9" x14ac:dyDescent="0.2">
      <c r="A2588" s="2">
        <v>4</v>
      </c>
      <c r="B2588" s="1" t="s">
        <v>301</v>
      </c>
      <c r="C2588" s="4">
        <v>3</v>
      </c>
      <c r="D2588" s="8">
        <v>3.7</v>
      </c>
      <c r="E2588" s="4">
        <v>3</v>
      </c>
      <c r="F2588" s="8">
        <v>6.67</v>
      </c>
      <c r="G2588" s="4">
        <v>0</v>
      </c>
      <c r="H2588" s="8">
        <v>0</v>
      </c>
      <c r="I2588" s="4">
        <v>0</v>
      </c>
    </row>
    <row r="2589" spans="1:9" x14ac:dyDescent="0.2">
      <c r="A2589" s="2">
        <v>10</v>
      </c>
      <c r="B2589" s="1" t="s">
        <v>328</v>
      </c>
      <c r="C2589" s="4">
        <v>2</v>
      </c>
      <c r="D2589" s="8">
        <v>2.4700000000000002</v>
      </c>
      <c r="E2589" s="4">
        <v>1</v>
      </c>
      <c r="F2589" s="8">
        <v>2.2200000000000002</v>
      </c>
      <c r="G2589" s="4">
        <v>1</v>
      </c>
      <c r="H2589" s="8">
        <v>3.33</v>
      </c>
      <c r="I2589" s="4">
        <v>0</v>
      </c>
    </row>
    <row r="2590" spans="1:9" x14ac:dyDescent="0.2">
      <c r="A2590" s="2">
        <v>10</v>
      </c>
      <c r="B2590" s="1" t="s">
        <v>365</v>
      </c>
      <c r="C2590" s="4">
        <v>2</v>
      </c>
      <c r="D2590" s="8">
        <v>2.4700000000000002</v>
      </c>
      <c r="E2590" s="4">
        <v>2</v>
      </c>
      <c r="F2590" s="8">
        <v>4.4400000000000004</v>
      </c>
      <c r="G2590" s="4">
        <v>0</v>
      </c>
      <c r="H2590" s="8">
        <v>0</v>
      </c>
      <c r="I2590" s="4">
        <v>0</v>
      </c>
    </row>
    <row r="2591" spans="1:9" x14ac:dyDescent="0.2">
      <c r="A2591" s="2">
        <v>10</v>
      </c>
      <c r="B2591" s="1" t="s">
        <v>382</v>
      </c>
      <c r="C2591" s="4">
        <v>2</v>
      </c>
      <c r="D2591" s="8">
        <v>2.4700000000000002</v>
      </c>
      <c r="E2591" s="4">
        <v>0</v>
      </c>
      <c r="F2591" s="8">
        <v>0</v>
      </c>
      <c r="G2591" s="4">
        <v>2</v>
      </c>
      <c r="H2591" s="8">
        <v>6.67</v>
      </c>
      <c r="I2591" s="4">
        <v>0</v>
      </c>
    </row>
    <row r="2592" spans="1:9" x14ac:dyDescent="0.2">
      <c r="A2592" s="2">
        <v>10</v>
      </c>
      <c r="B2592" s="1" t="s">
        <v>293</v>
      </c>
      <c r="C2592" s="4">
        <v>2</v>
      </c>
      <c r="D2592" s="8">
        <v>2.4700000000000002</v>
      </c>
      <c r="E2592" s="4">
        <v>1</v>
      </c>
      <c r="F2592" s="8">
        <v>2.2200000000000002</v>
      </c>
      <c r="G2592" s="4">
        <v>1</v>
      </c>
      <c r="H2592" s="8">
        <v>3.33</v>
      </c>
      <c r="I2592" s="4">
        <v>0</v>
      </c>
    </row>
    <row r="2593" spans="1:9" x14ac:dyDescent="0.2">
      <c r="A2593" s="2">
        <v>10</v>
      </c>
      <c r="B2593" s="1" t="s">
        <v>294</v>
      </c>
      <c r="C2593" s="4">
        <v>2</v>
      </c>
      <c r="D2593" s="8">
        <v>2.4700000000000002</v>
      </c>
      <c r="E2593" s="4">
        <v>2</v>
      </c>
      <c r="F2593" s="8">
        <v>4.4400000000000004</v>
      </c>
      <c r="G2593" s="4">
        <v>0</v>
      </c>
      <c r="H2593" s="8">
        <v>0</v>
      </c>
      <c r="I2593" s="4">
        <v>0</v>
      </c>
    </row>
    <row r="2594" spans="1:9" x14ac:dyDescent="0.2">
      <c r="A2594" s="2">
        <v>10</v>
      </c>
      <c r="B2594" s="1" t="s">
        <v>338</v>
      </c>
      <c r="C2594" s="4">
        <v>2</v>
      </c>
      <c r="D2594" s="8">
        <v>2.4700000000000002</v>
      </c>
      <c r="E2594" s="4">
        <v>2</v>
      </c>
      <c r="F2594" s="8">
        <v>4.4400000000000004</v>
      </c>
      <c r="G2594" s="4">
        <v>0</v>
      </c>
      <c r="H2594" s="8">
        <v>0</v>
      </c>
      <c r="I2594" s="4">
        <v>0</v>
      </c>
    </row>
    <row r="2595" spans="1:9" x14ac:dyDescent="0.2">
      <c r="A2595" s="2">
        <v>10</v>
      </c>
      <c r="B2595" s="1" t="s">
        <v>331</v>
      </c>
      <c r="C2595" s="4">
        <v>2</v>
      </c>
      <c r="D2595" s="8">
        <v>2.4700000000000002</v>
      </c>
      <c r="E2595" s="4">
        <v>0</v>
      </c>
      <c r="F2595" s="8">
        <v>0</v>
      </c>
      <c r="G2595" s="4">
        <v>0</v>
      </c>
      <c r="H2595" s="8">
        <v>0</v>
      </c>
      <c r="I2595" s="4">
        <v>0</v>
      </c>
    </row>
    <row r="2596" spans="1:9" x14ac:dyDescent="0.2">
      <c r="A2596" s="2">
        <v>10</v>
      </c>
      <c r="B2596" s="1" t="s">
        <v>370</v>
      </c>
      <c r="C2596" s="4">
        <v>2</v>
      </c>
      <c r="D2596" s="8">
        <v>2.4700000000000002</v>
      </c>
      <c r="E2596" s="4">
        <v>0</v>
      </c>
      <c r="F2596" s="8">
        <v>0</v>
      </c>
      <c r="G2596" s="4">
        <v>1</v>
      </c>
      <c r="H2596" s="8">
        <v>3.33</v>
      </c>
      <c r="I2596" s="4">
        <v>0</v>
      </c>
    </row>
    <row r="2597" spans="1:9" x14ac:dyDescent="0.2">
      <c r="A2597" s="2">
        <v>18</v>
      </c>
      <c r="B2597" s="1" t="s">
        <v>288</v>
      </c>
      <c r="C2597" s="4">
        <v>1</v>
      </c>
      <c r="D2597" s="8">
        <v>1.23</v>
      </c>
      <c r="E2597" s="4">
        <v>0</v>
      </c>
      <c r="F2597" s="8">
        <v>0</v>
      </c>
      <c r="G2597" s="4">
        <v>1</v>
      </c>
      <c r="H2597" s="8">
        <v>3.33</v>
      </c>
      <c r="I2597" s="4">
        <v>0</v>
      </c>
    </row>
    <row r="2598" spans="1:9" x14ac:dyDescent="0.2">
      <c r="A2598" s="2">
        <v>18</v>
      </c>
      <c r="B2598" s="1" t="s">
        <v>353</v>
      </c>
      <c r="C2598" s="4">
        <v>1</v>
      </c>
      <c r="D2598" s="8">
        <v>1.23</v>
      </c>
      <c r="E2598" s="4">
        <v>1</v>
      </c>
      <c r="F2598" s="8">
        <v>2.2200000000000002</v>
      </c>
      <c r="G2598" s="4">
        <v>0</v>
      </c>
      <c r="H2598" s="8">
        <v>0</v>
      </c>
      <c r="I2598" s="4">
        <v>0</v>
      </c>
    </row>
    <row r="2599" spans="1:9" x14ac:dyDescent="0.2">
      <c r="A2599" s="2">
        <v>18</v>
      </c>
      <c r="B2599" s="1" t="s">
        <v>375</v>
      </c>
      <c r="C2599" s="4">
        <v>1</v>
      </c>
      <c r="D2599" s="8">
        <v>1.23</v>
      </c>
      <c r="E2599" s="4">
        <v>0</v>
      </c>
      <c r="F2599" s="8">
        <v>0</v>
      </c>
      <c r="G2599" s="4">
        <v>1</v>
      </c>
      <c r="H2599" s="8">
        <v>3.33</v>
      </c>
      <c r="I2599" s="4">
        <v>0</v>
      </c>
    </row>
    <row r="2600" spans="1:9" x14ac:dyDescent="0.2">
      <c r="A2600" s="2">
        <v>18</v>
      </c>
      <c r="B2600" s="1" t="s">
        <v>450</v>
      </c>
      <c r="C2600" s="4">
        <v>1</v>
      </c>
      <c r="D2600" s="8">
        <v>1.23</v>
      </c>
      <c r="E2600" s="4">
        <v>0</v>
      </c>
      <c r="F2600" s="8">
        <v>0</v>
      </c>
      <c r="G2600" s="4">
        <v>1</v>
      </c>
      <c r="H2600" s="8">
        <v>3.33</v>
      </c>
      <c r="I2600" s="4">
        <v>0</v>
      </c>
    </row>
    <row r="2601" spans="1:9" x14ac:dyDescent="0.2">
      <c r="A2601" s="2">
        <v>18</v>
      </c>
      <c r="B2601" s="1" t="s">
        <v>393</v>
      </c>
      <c r="C2601" s="4">
        <v>1</v>
      </c>
      <c r="D2601" s="8">
        <v>1.23</v>
      </c>
      <c r="E2601" s="4">
        <v>1</v>
      </c>
      <c r="F2601" s="8">
        <v>2.2200000000000002</v>
      </c>
      <c r="G2601" s="4">
        <v>0</v>
      </c>
      <c r="H2601" s="8">
        <v>0</v>
      </c>
      <c r="I2601" s="4">
        <v>0</v>
      </c>
    </row>
    <row r="2602" spans="1:9" x14ac:dyDescent="0.2">
      <c r="A2602" s="2">
        <v>18</v>
      </c>
      <c r="B2602" s="1" t="s">
        <v>343</v>
      </c>
      <c r="C2602" s="4">
        <v>1</v>
      </c>
      <c r="D2602" s="8">
        <v>1.23</v>
      </c>
      <c r="E2602" s="4">
        <v>1</v>
      </c>
      <c r="F2602" s="8">
        <v>2.2200000000000002</v>
      </c>
      <c r="G2602" s="4">
        <v>0</v>
      </c>
      <c r="H2602" s="8">
        <v>0</v>
      </c>
      <c r="I2602" s="4">
        <v>0</v>
      </c>
    </row>
    <row r="2603" spans="1:9" x14ac:dyDescent="0.2">
      <c r="A2603" s="2">
        <v>18</v>
      </c>
      <c r="B2603" s="1" t="s">
        <v>333</v>
      </c>
      <c r="C2603" s="4">
        <v>1</v>
      </c>
      <c r="D2603" s="8">
        <v>1.23</v>
      </c>
      <c r="E2603" s="4">
        <v>0</v>
      </c>
      <c r="F2603" s="8">
        <v>0</v>
      </c>
      <c r="G2603" s="4">
        <v>1</v>
      </c>
      <c r="H2603" s="8">
        <v>3.33</v>
      </c>
      <c r="I2603" s="4">
        <v>0</v>
      </c>
    </row>
    <row r="2604" spans="1:9" x14ac:dyDescent="0.2">
      <c r="A2604" s="2">
        <v>18</v>
      </c>
      <c r="B2604" s="1" t="s">
        <v>290</v>
      </c>
      <c r="C2604" s="4">
        <v>1</v>
      </c>
      <c r="D2604" s="8">
        <v>1.23</v>
      </c>
      <c r="E2604" s="4">
        <v>0</v>
      </c>
      <c r="F2604" s="8">
        <v>0</v>
      </c>
      <c r="G2604" s="4">
        <v>1</v>
      </c>
      <c r="H2604" s="8">
        <v>3.33</v>
      </c>
      <c r="I2604" s="4">
        <v>0</v>
      </c>
    </row>
    <row r="2605" spans="1:9" x14ac:dyDescent="0.2">
      <c r="A2605" s="2">
        <v>18</v>
      </c>
      <c r="B2605" s="1" t="s">
        <v>291</v>
      </c>
      <c r="C2605" s="4">
        <v>1</v>
      </c>
      <c r="D2605" s="8">
        <v>1.23</v>
      </c>
      <c r="E2605" s="4">
        <v>0</v>
      </c>
      <c r="F2605" s="8">
        <v>0</v>
      </c>
      <c r="G2605" s="4">
        <v>1</v>
      </c>
      <c r="H2605" s="8">
        <v>3.33</v>
      </c>
      <c r="I2605" s="4">
        <v>0</v>
      </c>
    </row>
    <row r="2606" spans="1:9" x14ac:dyDescent="0.2">
      <c r="A2606" s="2">
        <v>18</v>
      </c>
      <c r="B2606" s="1" t="s">
        <v>437</v>
      </c>
      <c r="C2606" s="4">
        <v>1</v>
      </c>
      <c r="D2606" s="8">
        <v>1.23</v>
      </c>
      <c r="E2606" s="4">
        <v>0</v>
      </c>
      <c r="F2606" s="8">
        <v>0</v>
      </c>
      <c r="G2606" s="4">
        <v>1</v>
      </c>
      <c r="H2606" s="8">
        <v>3.33</v>
      </c>
      <c r="I2606" s="4">
        <v>0</v>
      </c>
    </row>
    <row r="2607" spans="1:9" x14ac:dyDescent="0.2">
      <c r="A2607" s="2">
        <v>18</v>
      </c>
      <c r="B2607" s="1" t="s">
        <v>376</v>
      </c>
      <c r="C2607" s="4">
        <v>1</v>
      </c>
      <c r="D2607" s="8">
        <v>1.23</v>
      </c>
      <c r="E2607" s="4">
        <v>0</v>
      </c>
      <c r="F2607" s="8">
        <v>0</v>
      </c>
      <c r="G2607" s="4">
        <v>0</v>
      </c>
      <c r="H2607" s="8">
        <v>0</v>
      </c>
      <c r="I2607" s="4">
        <v>0</v>
      </c>
    </row>
    <row r="2608" spans="1:9" x14ac:dyDescent="0.2">
      <c r="A2608" s="2">
        <v>18</v>
      </c>
      <c r="B2608" s="1" t="s">
        <v>351</v>
      </c>
      <c r="C2608" s="4">
        <v>1</v>
      </c>
      <c r="D2608" s="8">
        <v>1.23</v>
      </c>
      <c r="E2608" s="4">
        <v>1</v>
      </c>
      <c r="F2608" s="8">
        <v>2.2200000000000002</v>
      </c>
      <c r="G2608" s="4">
        <v>0</v>
      </c>
      <c r="H2608" s="8">
        <v>0</v>
      </c>
      <c r="I2608" s="4">
        <v>0</v>
      </c>
    </row>
    <row r="2609" spans="1:9" x14ac:dyDescent="0.2">
      <c r="A2609" s="2">
        <v>18</v>
      </c>
      <c r="B2609" s="1" t="s">
        <v>424</v>
      </c>
      <c r="C2609" s="4">
        <v>1</v>
      </c>
      <c r="D2609" s="8">
        <v>1.23</v>
      </c>
      <c r="E2609" s="4">
        <v>0</v>
      </c>
      <c r="F2609" s="8">
        <v>0</v>
      </c>
      <c r="G2609" s="4">
        <v>1</v>
      </c>
      <c r="H2609" s="8">
        <v>3.33</v>
      </c>
      <c r="I2609" s="4">
        <v>0</v>
      </c>
    </row>
    <row r="2610" spans="1:9" x14ac:dyDescent="0.2">
      <c r="A2610" s="2">
        <v>18</v>
      </c>
      <c r="B2610" s="1" t="s">
        <v>399</v>
      </c>
      <c r="C2610" s="4">
        <v>1</v>
      </c>
      <c r="D2610" s="8">
        <v>1.23</v>
      </c>
      <c r="E2610" s="4">
        <v>1</v>
      </c>
      <c r="F2610" s="8">
        <v>2.2200000000000002</v>
      </c>
      <c r="G2610" s="4">
        <v>0</v>
      </c>
      <c r="H2610" s="8">
        <v>0</v>
      </c>
      <c r="I2610" s="4">
        <v>0</v>
      </c>
    </row>
    <row r="2611" spans="1:9" x14ac:dyDescent="0.2">
      <c r="A2611" s="2">
        <v>18</v>
      </c>
      <c r="B2611" s="1" t="s">
        <v>457</v>
      </c>
      <c r="C2611" s="4">
        <v>1</v>
      </c>
      <c r="D2611" s="8">
        <v>1.23</v>
      </c>
      <c r="E2611" s="4">
        <v>0</v>
      </c>
      <c r="F2611" s="8">
        <v>0</v>
      </c>
      <c r="G2611" s="4">
        <v>1</v>
      </c>
      <c r="H2611" s="8">
        <v>3.33</v>
      </c>
      <c r="I2611" s="4">
        <v>0</v>
      </c>
    </row>
    <row r="2612" spans="1:9" x14ac:dyDescent="0.2">
      <c r="A2612" s="2">
        <v>18</v>
      </c>
      <c r="B2612" s="1" t="s">
        <v>470</v>
      </c>
      <c r="C2612" s="4">
        <v>1</v>
      </c>
      <c r="D2612" s="8">
        <v>1.23</v>
      </c>
      <c r="E2612" s="4">
        <v>0</v>
      </c>
      <c r="F2612" s="8">
        <v>0</v>
      </c>
      <c r="G2612" s="4">
        <v>1</v>
      </c>
      <c r="H2612" s="8">
        <v>3.33</v>
      </c>
      <c r="I2612" s="4">
        <v>0</v>
      </c>
    </row>
    <row r="2613" spans="1:9" x14ac:dyDescent="0.2">
      <c r="A2613" s="2">
        <v>18</v>
      </c>
      <c r="B2613" s="1" t="s">
        <v>362</v>
      </c>
      <c r="C2613" s="4">
        <v>1</v>
      </c>
      <c r="D2613" s="8">
        <v>1.23</v>
      </c>
      <c r="E2613" s="4">
        <v>0</v>
      </c>
      <c r="F2613" s="8">
        <v>0</v>
      </c>
      <c r="G2613" s="4">
        <v>0</v>
      </c>
      <c r="H2613" s="8">
        <v>0</v>
      </c>
      <c r="I2613" s="4">
        <v>0</v>
      </c>
    </row>
    <row r="2614" spans="1:9" x14ac:dyDescent="0.2">
      <c r="A2614" s="2">
        <v>18</v>
      </c>
      <c r="B2614" s="1" t="s">
        <v>363</v>
      </c>
      <c r="C2614" s="4">
        <v>1</v>
      </c>
      <c r="D2614" s="8">
        <v>1.23</v>
      </c>
      <c r="E2614" s="4">
        <v>0</v>
      </c>
      <c r="F2614" s="8">
        <v>0</v>
      </c>
      <c r="G2614" s="4">
        <v>1</v>
      </c>
      <c r="H2614" s="8">
        <v>3.33</v>
      </c>
      <c r="I2614" s="4">
        <v>0</v>
      </c>
    </row>
    <row r="2615" spans="1:9" x14ac:dyDescent="0.2">
      <c r="A2615" s="2">
        <v>18</v>
      </c>
      <c r="B2615" s="1" t="s">
        <v>471</v>
      </c>
      <c r="C2615" s="4">
        <v>1</v>
      </c>
      <c r="D2615" s="8">
        <v>1.23</v>
      </c>
      <c r="E2615" s="4">
        <v>0</v>
      </c>
      <c r="F2615" s="8">
        <v>0</v>
      </c>
      <c r="G2615" s="4">
        <v>1</v>
      </c>
      <c r="H2615" s="8">
        <v>3.33</v>
      </c>
      <c r="I2615" s="4">
        <v>0</v>
      </c>
    </row>
    <row r="2616" spans="1:9" x14ac:dyDescent="0.2">
      <c r="A2616" s="2">
        <v>18</v>
      </c>
      <c r="B2616" s="1" t="s">
        <v>314</v>
      </c>
      <c r="C2616" s="4">
        <v>1</v>
      </c>
      <c r="D2616" s="8">
        <v>1.23</v>
      </c>
      <c r="E2616" s="4">
        <v>1</v>
      </c>
      <c r="F2616" s="8">
        <v>2.2200000000000002</v>
      </c>
      <c r="G2616" s="4">
        <v>0</v>
      </c>
      <c r="H2616" s="8">
        <v>0</v>
      </c>
      <c r="I2616" s="4">
        <v>0</v>
      </c>
    </row>
    <row r="2617" spans="1:9" x14ac:dyDescent="0.2">
      <c r="A2617" s="2">
        <v>18</v>
      </c>
      <c r="B2617" s="1" t="s">
        <v>402</v>
      </c>
      <c r="C2617" s="4">
        <v>1</v>
      </c>
      <c r="D2617" s="8">
        <v>1.23</v>
      </c>
      <c r="E2617" s="4">
        <v>0</v>
      </c>
      <c r="F2617" s="8">
        <v>0</v>
      </c>
      <c r="G2617" s="4">
        <v>1</v>
      </c>
      <c r="H2617" s="8">
        <v>3.33</v>
      </c>
      <c r="I2617" s="4">
        <v>0</v>
      </c>
    </row>
    <row r="2618" spans="1:9" x14ac:dyDescent="0.2">
      <c r="A2618" s="2">
        <v>18</v>
      </c>
      <c r="B2618" s="1" t="s">
        <v>295</v>
      </c>
      <c r="C2618" s="4">
        <v>1</v>
      </c>
      <c r="D2618" s="8">
        <v>1.23</v>
      </c>
      <c r="E2618" s="4">
        <v>1</v>
      </c>
      <c r="F2618" s="8">
        <v>2.2200000000000002</v>
      </c>
      <c r="G2618" s="4">
        <v>0</v>
      </c>
      <c r="H2618" s="8">
        <v>0</v>
      </c>
      <c r="I2618" s="4">
        <v>0</v>
      </c>
    </row>
    <row r="2619" spans="1:9" x14ac:dyDescent="0.2">
      <c r="A2619" s="2">
        <v>18</v>
      </c>
      <c r="B2619" s="1" t="s">
        <v>298</v>
      </c>
      <c r="C2619" s="4">
        <v>1</v>
      </c>
      <c r="D2619" s="8">
        <v>1.23</v>
      </c>
      <c r="E2619" s="4">
        <v>0</v>
      </c>
      <c r="F2619" s="8">
        <v>0</v>
      </c>
      <c r="G2619" s="4">
        <v>1</v>
      </c>
      <c r="H2619" s="8">
        <v>3.33</v>
      </c>
      <c r="I2619" s="4">
        <v>0</v>
      </c>
    </row>
    <row r="2620" spans="1:9" x14ac:dyDescent="0.2">
      <c r="A2620" s="2">
        <v>18</v>
      </c>
      <c r="B2620" s="1" t="s">
        <v>409</v>
      </c>
      <c r="C2620" s="4">
        <v>1</v>
      </c>
      <c r="D2620" s="8">
        <v>1.23</v>
      </c>
      <c r="E2620" s="4">
        <v>1</v>
      </c>
      <c r="F2620" s="8">
        <v>2.2200000000000002</v>
      </c>
      <c r="G2620" s="4">
        <v>0</v>
      </c>
      <c r="H2620" s="8">
        <v>0</v>
      </c>
      <c r="I2620" s="4">
        <v>0</v>
      </c>
    </row>
    <row r="2621" spans="1:9" x14ac:dyDescent="0.2">
      <c r="A2621" s="2">
        <v>18</v>
      </c>
      <c r="B2621" s="1" t="s">
        <v>339</v>
      </c>
      <c r="C2621" s="4">
        <v>1</v>
      </c>
      <c r="D2621" s="8">
        <v>1.23</v>
      </c>
      <c r="E2621" s="4">
        <v>1</v>
      </c>
      <c r="F2621" s="8">
        <v>2.2200000000000002</v>
      </c>
      <c r="G2621" s="4">
        <v>0</v>
      </c>
      <c r="H2621" s="8">
        <v>0</v>
      </c>
      <c r="I2621" s="4">
        <v>0</v>
      </c>
    </row>
    <row r="2622" spans="1:9" x14ac:dyDescent="0.2">
      <c r="A2622" s="2">
        <v>18</v>
      </c>
      <c r="B2622" s="1" t="s">
        <v>299</v>
      </c>
      <c r="C2622" s="4">
        <v>1</v>
      </c>
      <c r="D2622" s="8">
        <v>1.23</v>
      </c>
      <c r="E2622" s="4">
        <v>1</v>
      </c>
      <c r="F2622" s="8">
        <v>2.2200000000000002</v>
      </c>
      <c r="G2622" s="4">
        <v>0</v>
      </c>
      <c r="H2622" s="8">
        <v>0</v>
      </c>
      <c r="I2622" s="4">
        <v>0</v>
      </c>
    </row>
    <row r="2623" spans="1:9" x14ac:dyDescent="0.2">
      <c r="A2623" s="2">
        <v>18</v>
      </c>
      <c r="B2623" s="1" t="s">
        <v>349</v>
      </c>
      <c r="C2623" s="4">
        <v>1</v>
      </c>
      <c r="D2623" s="8">
        <v>1.23</v>
      </c>
      <c r="E2623" s="4">
        <v>1</v>
      </c>
      <c r="F2623" s="8">
        <v>2.2200000000000002</v>
      </c>
      <c r="G2623" s="4">
        <v>0</v>
      </c>
      <c r="H2623" s="8">
        <v>0</v>
      </c>
      <c r="I2623" s="4">
        <v>0</v>
      </c>
    </row>
    <row r="2624" spans="1:9" x14ac:dyDescent="0.2">
      <c r="A2624" s="2">
        <v>18</v>
      </c>
      <c r="B2624" s="1" t="s">
        <v>302</v>
      </c>
      <c r="C2624" s="4">
        <v>1</v>
      </c>
      <c r="D2624" s="8">
        <v>1.23</v>
      </c>
      <c r="E2624" s="4">
        <v>1</v>
      </c>
      <c r="F2624" s="8">
        <v>2.2200000000000002</v>
      </c>
      <c r="G2624" s="4">
        <v>0</v>
      </c>
      <c r="H2624" s="8">
        <v>0</v>
      </c>
      <c r="I2624" s="4">
        <v>0</v>
      </c>
    </row>
    <row r="2625" spans="1:9" x14ac:dyDescent="0.2">
      <c r="A2625" s="2">
        <v>18</v>
      </c>
      <c r="B2625" s="1" t="s">
        <v>411</v>
      </c>
      <c r="C2625" s="4">
        <v>1</v>
      </c>
      <c r="D2625" s="8">
        <v>1.23</v>
      </c>
      <c r="E2625" s="4">
        <v>1</v>
      </c>
      <c r="F2625" s="8">
        <v>2.2200000000000002</v>
      </c>
      <c r="G2625" s="4">
        <v>0</v>
      </c>
      <c r="H2625" s="8">
        <v>0</v>
      </c>
      <c r="I2625" s="4">
        <v>0</v>
      </c>
    </row>
    <row r="2626" spans="1:9" x14ac:dyDescent="0.2">
      <c r="A2626" s="2">
        <v>18</v>
      </c>
      <c r="B2626" s="1" t="s">
        <v>340</v>
      </c>
      <c r="C2626" s="4">
        <v>1</v>
      </c>
      <c r="D2626" s="8">
        <v>1.23</v>
      </c>
      <c r="E2626" s="4">
        <v>0</v>
      </c>
      <c r="F2626" s="8">
        <v>0</v>
      </c>
      <c r="G2626" s="4">
        <v>0</v>
      </c>
      <c r="H2626" s="8">
        <v>0</v>
      </c>
      <c r="I2626" s="4">
        <v>0</v>
      </c>
    </row>
    <row r="2627" spans="1:9" x14ac:dyDescent="0.2">
      <c r="A2627" s="2">
        <v>18</v>
      </c>
      <c r="B2627" s="1" t="s">
        <v>327</v>
      </c>
      <c r="C2627" s="4">
        <v>1</v>
      </c>
      <c r="D2627" s="8">
        <v>1.23</v>
      </c>
      <c r="E2627" s="4">
        <v>1</v>
      </c>
      <c r="F2627" s="8">
        <v>2.2200000000000002</v>
      </c>
      <c r="G2627" s="4">
        <v>0</v>
      </c>
      <c r="H2627" s="8">
        <v>0</v>
      </c>
      <c r="I2627" s="4">
        <v>0</v>
      </c>
    </row>
    <row r="2628" spans="1:9" x14ac:dyDescent="0.2">
      <c r="A2628" s="2">
        <v>18</v>
      </c>
      <c r="B2628" s="1" t="s">
        <v>312</v>
      </c>
      <c r="C2628" s="4">
        <v>1</v>
      </c>
      <c r="D2628" s="8">
        <v>1.23</v>
      </c>
      <c r="E2628" s="4">
        <v>0</v>
      </c>
      <c r="F2628" s="8">
        <v>0</v>
      </c>
      <c r="G2628" s="4">
        <v>1</v>
      </c>
      <c r="H2628" s="8">
        <v>3.33</v>
      </c>
      <c r="I2628" s="4">
        <v>0</v>
      </c>
    </row>
    <row r="2629" spans="1:9" x14ac:dyDescent="0.2">
      <c r="A2629" s="2">
        <v>18</v>
      </c>
      <c r="B2629" s="1" t="s">
        <v>306</v>
      </c>
      <c r="C2629" s="4">
        <v>1</v>
      </c>
      <c r="D2629" s="8">
        <v>1.23</v>
      </c>
      <c r="E2629" s="4">
        <v>1</v>
      </c>
      <c r="F2629" s="8">
        <v>2.2200000000000002</v>
      </c>
      <c r="G2629" s="4">
        <v>0</v>
      </c>
      <c r="H2629" s="8">
        <v>0</v>
      </c>
      <c r="I2629" s="4">
        <v>0</v>
      </c>
    </row>
    <row r="2630" spans="1:9" x14ac:dyDescent="0.2">
      <c r="A2630" s="2">
        <v>18</v>
      </c>
      <c r="B2630" s="1" t="s">
        <v>347</v>
      </c>
      <c r="C2630" s="4">
        <v>1</v>
      </c>
      <c r="D2630" s="8">
        <v>1.23</v>
      </c>
      <c r="E2630" s="4">
        <v>0</v>
      </c>
      <c r="F2630" s="8">
        <v>0</v>
      </c>
      <c r="G2630" s="4">
        <v>1</v>
      </c>
      <c r="H2630" s="8">
        <v>3.33</v>
      </c>
      <c r="I2630" s="4">
        <v>0</v>
      </c>
    </row>
    <row r="2631" spans="1:9" x14ac:dyDescent="0.2">
      <c r="A2631" s="1"/>
      <c r="C2631" s="4"/>
      <c r="D2631" s="8"/>
      <c r="E2631" s="4"/>
      <c r="F2631" s="8"/>
      <c r="G2631" s="4"/>
      <c r="H2631" s="8"/>
      <c r="I2631" s="4"/>
    </row>
    <row r="2632" spans="1:9" x14ac:dyDescent="0.2">
      <c r="A2632" s="1" t="s">
        <v>93</v>
      </c>
      <c r="C2632" s="4"/>
      <c r="D2632" s="8"/>
      <c r="E2632" s="4"/>
      <c r="F2632" s="8"/>
      <c r="G2632" s="4"/>
      <c r="H2632" s="8"/>
      <c r="I2632" s="4"/>
    </row>
    <row r="2633" spans="1:9" x14ac:dyDescent="0.2">
      <c r="A2633" s="2">
        <v>1</v>
      </c>
      <c r="B2633" s="1" t="s">
        <v>304</v>
      </c>
      <c r="C2633" s="4">
        <v>6</v>
      </c>
      <c r="D2633" s="8">
        <v>9.23</v>
      </c>
      <c r="E2633" s="4">
        <v>5</v>
      </c>
      <c r="F2633" s="8">
        <v>11.9</v>
      </c>
      <c r="G2633" s="4">
        <v>1</v>
      </c>
      <c r="H2633" s="8">
        <v>5</v>
      </c>
      <c r="I2633" s="4">
        <v>0</v>
      </c>
    </row>
    <row r="2634" spans="1:9" x14ac:dyDescent="0.2">
      <c r="A2634" s="2">
        <v>2</v>
      </c>
      <c r="B2634" s="1" t="s">
        <v>300</v>
      </c>
      <c r="C2634" s="4">
        <v>5</v>
      </c>
      <c r="D2634" s="8">
        <v>7.69</v>
      </c>
      <c r="E2634" s="4">
        <v>5</v>
      </c>
      <c r="F2634" s="8">
        <v>11.9</v>
      </c>
      <c r="G2634" s="4">
        <v>0</v>
      </c>
      <c r="H2634" s="8">
        <v>0</v>
      </c>
      <c r="I2634" s="4">
        <v>0</v>
      </c>
    </row>
    <row r="2635" spans="1:9" x14ac:dyDescent="0.2">
      <c r="A2635" s="2">
        <v>3</v>
      </c>
      <c r="B2635" s="1" t="s">
        <v>293</v>
      </c>
      <c r="C2635" s="4">
        <v>3</v>
      </c>
      <c r="D2635" s="8">
        <v>4.62</v>
      </c>
      <c r="E2635" s="4">
        <v>3</v>
      </c>
      <c r="F2635" s="8">
        <v>7.14</v>
      </c>
      <c r="G2635" s="4">
        <v>0</v>
      </c>
      <c r="H2635" s="8">
        <v>0</v>
      </c>
      <c r="I2635" s="4">
        <v>0</v>
      </c>
    </row>
    <row r="2636" spans="1:9" x14ac:dyDescent="0.2">
      <c r="A2636" s="2">
        <v>3</v>
      </c>
      <c r="B2636" s="1" t="s">
        <v>301</v>
      </c>
      <c r="C2636" s="4">
        <v>3</v>
      </c>
      <c r="D2636" s="8">
        <v>4.62</v>
      </c>
      <c r="E2636" s="4">
        <v>3</v>
      </c>
      <c r="F2636" s="8">
        <v>7.14</v>
      </c>
      <c r="G2636" s="4">
        <v>0</v>
      </c>
      <c r="H2636" s="8">
        <v>0</v>
      </c>
      <c r="I2636" s="4">
        <v>0</v>
      </c>
    </row>
    <row r="2637" spans="1:9" x14ac:dyDescent="0.2">
      <c r="A2637" s="2">
        <v>3</v>
      </c>
      <c r="B2637" s="1" t="s">
        <v>303</v>
      </c>
      <c r="C2637" s="4">
        <v>3</v>
      </c>
      <c r="D2637" s="8">
        <v>4.62</v>
      </c>
      <c r="E2637" s="4">
        <v>3</v>
      </c>
      <c r="F2637" s="8">
        <v>7.14</v>
      </c>
      <c r="G2637" s="4">
        <v>0</v>
      </c>
      <c r="H2637" s="8">
        <v>0</v>
      </c>
      <c r="I2637" s="4">
        <v>0</v>
      </c>
    </row>
    <row r="2638" spans="1:9" x14ac:dyDescent="0.2">
      <c r="A2638" s="2">
        <v>6</v>
      </c>
      <c r="B2638" s="1" t="s">
        <v>343</v>
      </c>
      <c r="C2638" s="4">
        <v>2</v>
      </c>
      <c r="D2638" s="8">
        <v>3.08</v>
      </c>
      <c r="E2638" s="4">
        <v>2</v>
      </c>
      <c r="F2638" s="8">
        <v>4.76</v>
      </c>
      <c r="G2638" s="4">
        <v>0</v>
      </c>
      <c r="H2638" s="8">
        <v>0</v>
      </c>
      <c r="I2638" s="4">
        <v>0</v>
      </c>
    </row>
    <row r="2639" spans="1:9" x14ac:dyDescent="0.2">
      <c r="A2639" s="2">
        <v>6</v>
      </c>
      <c r="B2639" s="1" t="s">
        <v>344</v>
      </c>
      <c r="C2639" s="4">
        <v>2</v>
      </c>
      <c r="D2639" s="8">
        <v>3.08</v>
      </c>
      <c r="E2639" s="4">
        <v>2</v>
      </c>
      <c r="F2639" s="8">
        <v>4.76</v>
      </c>
      <c r="G2639" s="4">
        <v>0</v>
      </c>
      <c r="H2639" s="8">
        <v>0</v>
      </c>
      <c r="I2639" s="4">
        <v>0</v>
      </c>
    </row>
    <row r="2640" spans="1:9" x14ac:dyDescent="0.2">
      <c r="A2640" s="2">
        <v>6</v>
      </c>
      <c r="B2640" s="1" t="s">
        <v>297</v>
      </c>
      <c r="C2640" s="4">
        <v>2</v>
      </c>
      <c r="D2640" s="8">
        <v>3.08</v>
      </c>
      <c r="E2640" s="4">
        <v>1</v>
      </c>
      <c r="F2640" s="8">
        <v>2.38</v>
      </c>
      <c r="G2640" s="4">
        <v>1</v>
      </c>
      <c r="H2640" s="8">
        <v>5</v>
      </c>
      <c r="I2640" s="4">
        <v>0</v>
      </c>
    </row>
    <row r="2641" spans="1:9" x14ac:dyDescent="0.2">
      <c r="A2641" s="2">
        <v>6</v>
      </c>
      <c r="B2641" s="1" t="s">
        <v>299</v>
      </c>
      <c r="C2641" s="4">
        <v>2</v>
      </c>
      <c r="D2641" s="8">
        <v>3.08</v>
      </c>
      <c r="E2641" s="4">
        <v>2</v>
      </c>
      <c r="F2641" s="8">
        <v>4.76</v>
      </c>
      <c r="G2641" s="4">
        <v>0</v>
      </c>
      <c r="H2641" s="8">
        <v>0</v>
      </c>
      <c r="I2641" s="4">
        <v>0</v>
      </c>
    </row>
    <row r="2642" spans="1:9" x14ac:dyDescent="0.2">
      <c r="A2642" s="2">
        <v>6</v>
      </c>
      <c r="B2642" s="1" t="s">
        <v>312</v>
      </c>
      <c r="C2642" s="4">
        <v>2</v>
      </c>
      <c r="D2642" s="8">
        <v>3.08</v>
      </c>
      <c r="E2642" s="4">
        <v>1</v>
      </c>
      <c r="F2642" s="8">
        <v>2.38</v>
      </c>
      <c r="G2642" s="4">
        <v>0</v>
      </c>
      <c r="H2642" s="8">
        <v>0</v>
      </c>
      <c r="I2642" s="4">
        <v>0</v>
      </c>
    </row>
    <row r="2643" spans="1:9" x14ac:dyDescent="0.2">
      <c r="A2643" s="2">
        <v>6</v>
      </c>
      <c r="B2643" s="1" t="s">
        <v>306</v>
      </c>
      <c r="C2643" s="4">
        <v>2</v>
      </c>
      <c r="D2643" s="8">
        <v>3.08</v>
      </c>
      <c r="E2643" s="4">
        <v>2</v>
      </c>
      <c r="F2643" s="8">
        <v>4.76</v>
      </c>
      <c r="G2643" s="4">
        <v>0</v>
      </c>
      <c r="H2643" s="8">
        <v>0</v>
      </c>
      <c r="I2643" s="4">
        <v>0</v>
      </c>
    </row>
    <row r="2644" spans="1:9" x14ac:dyDescent="0.2">
      <c r="A2644" s="2">
        <v>6</v>
      </c>
      <c r="B2644" s="1" t="s">
        <v>331</v>
      </c>
      <c r="C2644" s="4">
        <v>2</v>
      </c>
      <c r="D2644" s="8">
        <v>3.08</v>
      </c>
      <c r="E2644" s="4">
        <v>0</v>
      </c>
      <c r="F2644" s="8">
        <v>0</v>
      </c>
      <c r="G2644" s="4">
        <v>2</v>
      </c>
      <c r="H2644" s="8">
        <v>10</v>
      </c>
      <c r="I2644" s="4">
        <v>0</v>
      </c>
    </row>
    <row r="2645" spans="1:9" x14ac:dyDescent="0.2">
      <c r="A2645" s="2">
        <v>13</v>
      </c>
      <c r="B2645" s="1" t="s">
        <v>328</v>
      </c>
      <c r="C2645" s="4">
        <v>1</v>
      </c>
      <c r="D2645" s="8">
        <v>1.54</v>
      </c>
      <c r="E2645" s="4">
        <v>0</v>
      </c>
      <c r="F2645" s="8">
        <v>0</v>
      </c>
      <c r="G2645" s="4">
        <v>1</v>
      </c>
      <c r="H2645" s="8">
        <v>5</v>
      </c>
      <c r="I2645" s="4">
        <v>0</v>
      </c>
    </row>
    <row r="2646" spans="1:9" x14ac:dyDescent="0.2">
      <c r="A2646" s="2">
        <v>13</v>
      </c>
      <c r="B2646" s="1" t="s">
        <v>319</v>
      </c>
      <c r="C2646" s="4">
        <v>1</v>
      </c>
      <c r="D2646" s="8">
        <v>1.54</v>
      </c>
      <c r="E2646" s="4">
        <v>0</v>
      </c>
      <c r="F2646" s="8">
        <v>0</v>
      </c>
      <c r="G2646" s="4">
        <v>1</v>
      </c>
      <c r="H2646" s="8">
        <v>5</v>
      </c>
      <c r="I2646" s="4">
        <v>0</v>
      </c>
    </row>
    <row r="2647" spans="1:9" x14ac:dyDescent="0.2">
      <c r="A2647" s="2">
        <v>13</v>
      </c>
      <c r="B2647" s="1" t="s">
        <v>290</v>
      </c>
      <c r="C2647" s="4">
        <v>1</v>
      </c>
      <c r="D2647" s="8">
        <v>1.54</v>
      </c>
      <c r="E2647" s="4">
        <v>0</v>
      </c>
      <c r="F2647" s="8">
        <v>0</v>
      </c>
      <c r="G2647" s="4">
        <v>1</v>
      </c>
      <c r="H2647" s="8">
        <v>5</v>
      </c>
      <c r="I2647" s="4">
        <v>0</v>
      </c>
    </row>
    <row r="2648" spans="1:9" x14ac:dyDescent="0.2">
      <c r="A2648" s="2">
        <v>13</v>
      </c>
      <c r="B2648" s="1" t="s">
        <v>394</v>
      </c>
      <c r="C2648" s="4">
        <v>1</v>
      </c>
      <c r="D2648" s="8">
        <v>1.54</v>
      </c>
      <c r="E2648" s="4">
        <v>0</v>
      </c>
      <c r="F2648" s="8">
        <v>0</v>
      </c>
      <c r="G2648" s="4">
        <v>0</v>
      </c>
      <c r="H2648" s="8">
        <v>0</v>
      </c>
      <c r="I2648" s="4">
        <v>1</v>
      </c>
    </row>
    <row r="2649" spans="1:9" x14ac:dyDescent="0.2">
      <c r="A2649" s="2">
        <v>13</v>
      </c>
      <c r="B2649" s="1" t="s">
        <v>384</v>
      </c>
      <c r="C2649" s="4">
        <v>1</v>
      </c>
      <c r="D2649" s="8">
        <v>1.54</v>
      </c>
      <c r="E2649" s="4">
        <v>0</v>
      </c>
      <c r="F2649" s="8">
        <v>0</v>
      </c>
      <c r="G2649" s="4">
        <v>1</v>
      </c>
      <c r="H2649" s="8">
        <v>5</v>
      </c>
      <c r="I2649" s="4">
        <v>0</v>
      </c>
    </row>
    <row r="2650" spans="1:9" x14ac:dyDescent="0.2">
      <c r="A2650" s="2">
        <v>13</v>
      </c>
      <c r="B2650" s="1" t="s">
        <v>457</v>
      </c>
      <c r="C2650" s="4">
        <v>1</v>
      </c>
      <c r="D2650" s="8">
        <v>1.54</v>
      </c>
      <c r="E2650" s="4">
        <v>0</v>
      </c>
      <c r="F2650" s="8">
        <v>0</v>
      </c>
      <c r="G2650" s="4">
        <v>1</v>
      </c>
      <c r="H2650" s="8">
        <v>5</v>
      </c>
      <c r="I2650" s="4">
        <v>0</v>
      </c>
    </row>
    <row r="2651" spans="1:9" x14ac:dyDescent="0.2">
      <c r="A2651" s="2">
        <v>13</v>
      </c>
      <c r="B2651" s="1" t="s">
        <v>374</v>
      </c>
      <c r="C2651" s="4">
        <v>1</v>
      </c>
      <c r="D2651" s="8">
        <v>1.54</v>
      </c>
      <c r="E2651" s="4">
        <v>1</v>
      </c>
      <c r="F2651" s="8">
        <v>2.38</v>
      </c>
      <c r="G2651" s="4">
        <v>0</v>
      </c>
      <c r="H2651" s="8">
        <v>0</v>
      </c>
      <c r="I2651" s="4">
        <v>0</v>
      </c>
    </row>
    <row r="2652" spans="1:9" x14ac:dyDescent="0.2">
      <c r="A2652" s="2">
        <v>13</v>
      </c>
      <c r="B2652" s="1" t="s">
        <v>362</v>
      </c>
      <c r="C2652" s="4">
        <v>1</v>
      </c>
      <c r="D2652" s="8">
        <v>1.54</v>
      </c>
      <c r="E2652" s="4">
        <v>0</v>
      </c>
      <c r="F2652" s="8">
        <v>0</v>
      </c>
      <c r="G2652" s="4">
        <v>0</v>
      </c>
      <c r="H2652" s="8">
        <v>0</v>
      </c>
      <c r="I2652" s="4">
        <v>0</v>
      </c>
    </row>
    <row r="2653" spans="1:9" x14ac:dyDescent="0.2">
      <c r="A2653" s="2">
        <v>13</v>
      </c>
      <c r="B2653" s="1" t="s">
        <v>472</v>
      </c>
      <c r="C2653" s="4">
        <v>1</v>
      </c>
      <c r="D2653" s="8">
        <v>1.54</v>
      </c>
      <c r="E2653" s="4">
        <v>0</v>
      </c>
      <c r="F2653" s="8">
        <v>0</v>
      </c>
      <c r="G2653" s="4">
        <v>1</v>
      </c>
      <c r="H2653" s="8">
        <v>5</v>
      </c>
      <c r="I2653" s="4">
        <v>0</v>
      </c>
    </row>
    <row r="2654" spans="1:9" x14ac:dyDescent="0.2">
      <c r="A2654" s="2">
        <v>13</v>
      </c>
      <c r="B2654" s="1" t="s">
        <v>350</v>
      </c>
      <c r="C2654" s="4">
        <v>1</v>
      </c>
      <c r="D2654" s="8">
        <v>1.54</v>
      </c>
      <c r="E2654" s="4">
        <v>1</v>
      </c>
      <c r="F2654" s="8">
        <v>2.38</v>
      </c>
      <c r="G2654" s="4">
        <v>0</v>
      </c>
      <c r="H2654" s="8">
        <v>0</v>
      </c>
      <c r="I2654" s="4">
        <v>0</v>
      </c>
    </row>
    <row r="2655" spans="1:9" x14ac:dyDescent="0.2">
      <c r="A2655" s="2">
        <v>13</v>
      </c>
      <c r="B2655" s="1" t="s">
        <v>324</v>
      </c>
      <c r="C2655" s="4">
        <v>1</v>
      </c>
      <c r="D2655" s="8">
        <v>1.54</v>
      </c>
      <c r="E2655" s="4">
        <v>0</v>
      </c>
      <c r="F2655" s="8">
        <v>0</v>
      </c>
      <c r="G2655" s="4">
        <v>1</v>
      </c>
      <c r="H2655" s="8">
        <v>5</v>
      </c>
      <c r="I2655" s="4">
        <v>0</v>
      </c>
    </row>
    <row r="2656" spans="1:9" x14ac:dyDescent="0.2">
      <c r="A2656" s="2">
        <v>13</v>
      </c>
      <c r="B2656" s="1" t="s">
        <v>446</v>
      </c>
      <c r="C2656" s="4">
        <v>1</v>
      </c>
      <c r="D2656" s="8">
        <v>1.54</v>
      </c>
      <c r="E2656" s="4">
        <v>1</v>
      </c>
      <c r="F2656" s="8">
        <v>2.38</v>
      </c>
      <c r="G2656" s="4">
        <v>0</v>
      </c>
      <c r="H2656" s="8">
        <v>0</v>
      </c>
      <c r="I2656" s="4">
        <v>0</v>
      </c>
    </row>
    <row r="2657" spans="1:9" x14ac:dyDescent="0.2">
      <c r="A2657" s="2">
        <v>13</v>
      </c>
      <c r="B2657" s="1" t="s">
        <v>421</v>
      </c>
      <c r="C2657" s="4">
        <v>1</v>
      </c>
      <c r="D2657" s="8">
        <v>1.54</v>
      </c>
      <c r="E2657" s="4">
        <v>0</v>
      </c>
      <c r="F2657" s="8">
        <v>0</v>
      </c>
      <c r="G2657" s="4">
        <v>1</v>
      </c>
      <c r="H2657" s="8">
        <v>5</v>
      </c>
      <c r="I2657" s="4">
        <v>0</v>
      </c>
    </row>
    <row r="2658" spans="1:9" x14ac:dyDescent="0.2">
      <c r="A2658" s="2">
        <v>13</v>
      </c>
      <c r="B2658" s="1" t="s">
        <v>332</v>
      </c>
      <c r="C2658" s="4">
        <v>1</v>
      </c>
      <c r="D2658" s="8">
        <v>1.54</v>
      </c>
      <c r="E2658" s="4">
        <v>1</v>
      </c>
      <c r="F2658" s="8">
        <v>2.38</v>
      </c>
      <c r="G2658" s="4">
        <v>0</v>
      </c>
      <c r="H2658" s="8">
        <v>0</v>
      </c>
      <c r="I2658" s="4">
        <v>0</v>
      </c>
    </row>
    <row r="2659" spans="1:9" x14ac:dyDescent="0.2">
      <c r="A2659" s="2">
        <v>13</v>
      </c>
      <c r="B2659" s="1" t="s">
        <v>329</v>
      </c>
      <c r="C2659" s="4">
        <v>1</v>
      </c>
      <c r="D2659" s="8">
        <v>1.54</v>
      </c>
      <c r="E2659" s="4">
        <v>1</v>
      </c>
      <c r="F2659" s="8">
        <v>2.38</v>
      </c>
      <c r="G2659" s="4">
        <v>0</v>
      </c>
      <c r="H2659" s="8">
        <v>0</v>
      </c>
      <c r="I2659" s="4">
        <v>0</v>
      </c>
    </row>
    <row r="2660" spans="1:9" x14ac:dyDescent="0.2">
      <c r="A2660" s="2">
        <v>13</v>
      </c>
      <c r="B2660" s="1" t="s">
        <v>292</v>
      </c>
      <c r="C2660" s="4">
        <v>1</v>
      </c>
      <c r="D2660" s="8">
        <v>1.54</v>
      </c>
      <c r="E2660" s="4">
        <v>1</v>
      </c>
      <c r="F2660" s="8">
        <v>2.38</v>
      </c>
      <c r="G2660" s="4">
        <v>0</v>
      </c>
      <c r="H2660" s="8">
        <v>0</v>
      </c>
      <c r="I2660" s="4">
        <v>0</v>
      </c>
    </row>
    <row r="2661" spans="1:9" x14ac:dyDescent="0.2">
      <c r="A2661" s="2">
        <v>13</v>
      </c>
      <c r="B2661" s="1" t="s">
        <v>389</v>
      </c>
      <c r="C2661" s="4">
        <v>1</v>
      </c>
      <c r="D2661" s="8">
        <v>1.54</v>
      </c>
      <c r="E2661" s="4">
        <v>1</v>
      </c>
      <c r="F2661" s="8">
        <v>2.38</v>
      </c>
      <c r="G2661" s="4">
        <v>0</v>
      </c>
      <c r="H2661" s="8">
        <v>0</v>
      </c>
      <c r="I2661" s="4">
        <v>0</v>
      </c>
    </row>
    <row r="2662" spans="1:9" x14ac:dyDescent="0.2">
      <c r="A2662" s="2">
        <v>13</v>
      </c>
      <c r="B2662" s="1" t="s">
        <v>335</v>
      </c>
      <c r="C2662" s="4">
        <v>1</v>
      </c>
      <c r="D2662" s="8">
        <v>1.54</v>
      </c>
      <c r="E2662" s="4">
        <v>1</v>
      </c>
      <c r="F2662" s="8">
        <v>2.38</v>
      </c>
      <c r="G2662" s="4">
        <v>0</v>
      </c>
      <c r="H2662" s="8">
        <v>0</v>
      </c>
      <c r="I2662" s="4">
        <v>0</v>
      </c>
    </row>
    <row r="2663" spans="1:9" x14ac:dyDescent="0.2">
      <c r="A2663" s="2">
        <v>13</v>
      </c>
      <c r="B2663" s="1" t="s">
        <v>401</v>
      </c>
      <c r="C2663" s="4">
        <v>1</v>
      </c>
      <c r="D2663" s="8">
        <v>1.54</v>
      </c>
      <c r="E2663" s="4">
        <v>1</v>
      </c>
      <c r="F2663" s="8">
        <v>2.38</v>
      </c>
      <c r="G2663" s="4">
        <v>0</v>
      </c>
      <c r="H2663" s="8">
        <v>0</v>
      </c>
      <c r="I2663" s="4">
        <v>0</v>
      </c>
    </row>
    <row r="2664" spans="1:9" x14ac:dyDescent="0.2">
      <c r="A2664" s="2">
        <v>13</v>
      </c>
      <c r="B2664" s="1" t="s">
        <v>402</v>
      </c>
      <c r="C2664" s="4">
        <v>1</v>
      </c>
      <c r="D2664" s="8">
        <v>1.54</v>
      </c>
      <c r="E2664" s="4">
        <v>0</v>
      </c>
      <c r="F2664" s="8">
        <v>0</v>
      </c>
      <c r="G2664" s="4">
        <v>1</v>
      </c>
      <c r="H2664" s="8">
        <v>5</v>
      </c>
      <c r="I2664" s="4">
        <v>0</v>
      </c>
    </row>
    <row r="2665" spans="1:9" x14ac:dyDescent="0.2">
      <c r="A2665" s="2">
        <v>13</v>
      </c>
      <c r="B2665" s="1" t="s">
        <v>294</v>
      </c>
      <c r="C2665" s="4">
        <v>1</v>
      </c>
      <c r="D2665" s="8">
        <v>1.54</v>
      </c>
      <c r="E2665" s="4">
        <v>0</v>
      </c>
      <c r="F2665" s="8">
        <v>0</v>
      </c>
      <c r="G2665" s="4">
        <v>1</v>
      </c>
      <c r="H2665" s="8">
        <v>5</v>
      </c>
      <c r="I2665" s="4">
        <v>0</v>
      </c>
    </row>
    <row r="2666" spans="1:9" x14ac:dyDescent="0.2">
      <c r="A2666" s="2">
        <v>13</v>
      </c>
      <c r="B2666" s="1" t="s">
        <v>372</v>
      </c>
      <c r="C2666" s="4">
        <v>1</v>
      </c>
      <c r="D2666" s="8">
        <v>1.54</v>
      </c>
      <c r="E2666" s="4">
        <v>1</v>
      </c>
      <c r="F2666" s="8">
        <v>2.38</v>
      </c>
      <c r="G2666" s="4">
        <v>0</v>
      </c>
      <c r="H2666" s="8">
        <v>0</v>
      </c>
      <c r="I2666" s="4">
        <v>0</v>
      </c>
    </row>
    <row r="2667" spans="1:9" x14ac:dyDescent="0.2">
      <c r="A2667" s="2">
        <v>13</v>
      </c>
      <c r="B2667" s="1" t="s">
        <v>415</v>
      </c>
      <c r="C2667" s="4">
        <v>1</v>
      </c>
      <c r="D2667" s="8">
        <v>1.54</v>
      </c>
      <c r="E2667" s="4">
        <v>0</v>
      </c>
      <c r="F2667" s="8">
        <v>0</v>
      </c>
      <c r="G2667" s="4">
        <v>1</v>
      </c>
      <c r="H2667" s="8">
        <v>5</v>
      </c>
      <c r="I2667" s="4">
        <v>0</v>
      </c>
    </row>
    <row r="2668" spans="1:9" x14ac:dyDescent="0.2">
      <c r="A2668" s="2">
        <v>13</v>
      </c>
      <c r="B2668" s="1" t="s">
        <v>298</v>
      </c>
      <c r="C2668" s="4">
        <v>1</v>
      </c>
      <c r="D2668" s="8">
        <v>1.54</v>
      </c>
      <c r="E2668" s="4">
        <v>0</v>
      </c>
      <c r="F2668" s="8">
        <v>0</v>
      </c>
      <c r="G2668" s="4">
        <v>1</v>
      </c>
      <c r="H2668" s="8">
        <v>5</v>
      </c>
      <c r="I2668" s="4">
        <v>0</v>
      </c>
    </row>
    <row r="2669" spans="1:9" x14ac:dyDescent="0.2">
      <c r="A2669" s="2">
        <v>13</v>
      </c>
      <c r="B2669" s="1" t="s">
        <v>409</v>
      </c>
      <c r="C2669" s="4">
        <v>1</v>
      </c>
      <c r="D2669" s="8">
        <v>1.54</v>
      </c>
      <c r="E2669" s="4">
        <v>1</v>
      </c>
      <c r="F2669" s="8">
        <v>2.38</v>
      </c>
      <c r="G2669" s="4">
        <v>0</v>
      </c>
      <c r="H2669" s="8">
        <v>0</v>
      </c>
      <c r="I2669" s="4">
        <v>0</v>
      </c>
    </row>
    <row r="2670" spans="1:9" x14ac:dyDescent="0.2">
      <c r="A2670" s="2">
        <v>13</v>
      </c>
      <c r="B2670" s="1" t="s">
        <v>349</v>
      </c>
      <c r="C2670" s="4">
        <v>1</v>
      </c>
      <c r="D2670" s="8">
        <v>1.54</v>
      </c>
      <c r="E2670" s="4">
        <v>1</v>
      </c>
      <c r="F2670" s="8">
        <v>2.38</v>
      </c>
      <c r="G2670" s="4">
        <v>0</v>
      </c>
      <c r="H2670" s="8">
        <v>0</v>
      </c>
      <c r="I2670" s="4">
        <v>0</v>
      </c>
    </row>
    <row r="2671" spans="1:9" x14ac:dyDescent="0.2">
      <c r="A2671" s="2">
        <v>13</v>
      </c>
      <c r="B2671" s="1" t="s">
        <v>323</v>
      </c>
      <c r="C2671" s="4">
        <v>1</v>
      </c>
      <c r="D2671" s="8">
        <v>1.54</v>
      </c>
      <c r="E2671" s="4">
        <v>1</v>
      </c>
      <c r="F2671" s="8">
        <v>2.38</v>
      </c>
      <c r="G2671" s="4">
        <v>0</v>
      </c>
      <c r="H2671" s="8">
        <v>0</v>
      </c>
      <c r="I2671" s="4">
        <v>0</v>
      </c>
    </row>
    <row r="2672" spans="1:9" x14ac:dyDescent="0.2">
      <c r="A2672" s="2">
        <v>13</v>
      </c>
      <c r="B2672" s="1" t="s">
        <v>411</v>
      </c>
      <c r="C2672" s="4">
        <v>1</v>
      </c>
      <c r="D2672" s="8">
        <v>1.54</v>
      </c>
      <c r="E2672" s="4">
        <v>0</v>
      </c>
      <c r="F2672" s="8">
        <v>0</v>
      </c>
      <c r="G2672" s="4">
        <v>1</v>
      </c>
      <c r="H2672" s="8">
        <v>5</v>
      </c>
      <c r="I2672" s="4">
        <v>0</v>
      </c>
    </row>
    <row r="2673" spans="1:9" x14ac:dyDescent="0.2">
      <c r="A2673" s="2">
        <v>13</v>
      </c>
      <c r="B2673" s="1" t="s">
        <v>340</v>
      </c>
      <c r="C2673" s="4">
        <v>1</v>
      </c>
      <c r="D2673" s="8">
        <v>1.54</v>
      </c>
      <c r="E2673" s="4">
        <v>0</v>
      </c>
      <c r="F2673" s="8">
        <v>0</v>
      </c>
      <c r="G2673" s="4">
        <v>1</v>
      </c>
      <c r="H2673" s="8">
        <v>5</v>
      </c>
      <c r="I2673" s="4">
        <v>0</v>
      </c>
    </row>
    <row r="2674" spans="1:9" x14ac:dyDescent="0.2">
      <c r="A2674" s="2">
        <v>13</v>
      </c>
      <c r="B2674" s="1" t="s">
        <v>369</v>
      </c>
      <c r="C2674" s="4">
        <v>1</v>
      </c>
      <c r="D2674" s="8">
        <v>1.54</v>
      </c>
      <c r="E2674" s="4">
        <v>0</v>
      </c>
      <c r="F2674" s="8">
        <v>0</v>
      </c>
      <c r="G2674" s="4">
        <v>1</v>
      </c>
      <c r="H2674" s="8">
        <v>5</v>
      </c>
      <c r="I2674" s="4">
        <v>0</v>
      </c>
    </row>
    <row r="2675" spans="1:9" x14ac:dyDescent="0.2">
      <c r="A2675" s="2">
        <v>13</v>
      </c>
      <c r="B2675" s="1" t="s">
        <v>370</v>
      </c>
      <c r="C2675" s="4">
        <v>1</v>
      </c>
      <c r="D2675" s="8">
        <v>1.54</v>
      </c>
      <c r="E2675" s="4">
        <v>0</v>
      </c>
      <c r="F2675" s="8">
        <v>0</v>
      </c>
      <c r="G2675" s="4">
        <v>1</v>
      </c>
      <c r="H2675" s="8">
        <v>5</v>
      </c>
      <c r="I2675" s="4">
        <v>0</v>
      </c>
    </row>
    <row r="2676" spans="1:9" x14ac:dyDescent="0.2">
      <c r="A2676" s="1"/>
      <c r="C2676" s="4"/>
      <c r="D2676" s="8"/>
      <c r="E2676" s="4"/>
      <c r="F2676" s="8"/>
      <c r="G2676" s="4"/>
      <c r="H2676" s="8"/>
      <c r="I2676" s="4"/>
    </row>
    <row r="2677" spans="1:9" x14ac:dyDescent="0.2">
      <c r="A2677" s="1" t="s">
        <v>94</v>
      </c>
      <c r="C2677" s="4"/>
      <c r="D2677" s="8"/>
      <c r="E2677" s="4"/>
      <c r="F2677" s="8"/>
      <c r="G2677" s="4"/>
      <c r="H2677" s="8"/>
      <c r="I2677" s="4"/>
    </row>
    <row r="2678" spans="1:9" x14ac:dyDescent="0.2">
      <c r="A2678" s="2">
        <v>1</v>
      </c>
      <c r="B2678" s="1" t="s">
        <v>304</v>
      </c>
      <c r="C2678" s="4">
        <v>4</v>
      </c>
      <c r="D2678" s="8">
        <v>7.84</v>
      </c>
      <c r="E2678" s="4">
        <v>4</v>
      </c>
      <c r="F2678" s="8">
        <v>14.29</v>
      </c>
      <c r="G2678" s="4">
        <v>0</v>
      </c>
      <c r="H2678" s="8">
        <v>0</v>
      </c>
      <c r="I2678" s="4">
        <v>0</v>
      </c>
    </row>
    <row r="2679" spans="1:9" x14ac:dyDescent="0.2">
      <c r="A2679" s="2">
        <v>2</v>
      </c>
      <c r="B2679" s="1" t="s">
        <v>288</v>
      </c>
      <c r="C2679" s="4">
        <v>3</v>
      </c>
      <c r="D2679" s="8">
        <v>5.88</v>
      </c>
      <c r="E2679" s="4">
        <v>1</v>
      </c>
      <c r="F2679" s="8">
        <v>3.57</v>
      </c>
      <c r="G2679" s="4">
        <v>2</v>
      </c>
      <c r="H2679" s="8">
        <v>8.6999999999999993</v>
      </c>
      <c r="I2679" s="4">
        <v>0</v>
      </c>
    </row>
    <row r="2680" spans="1:9" x14ac:dyDescent="0.2">
      <c r="A2680" s="2">
        <v>2</v>
      </c>
      <c r="B2680" s="1" t="s">
        <v>303</v>
      </c>
      <c r="C2680" s="4">
        <v>3</v>
      </c>
      <c r="D2680" s="8">
        <v>5.88</v>
      </c>
      <c r="E2680" s="4">
        <v>3</v>
      </c>
      <c r="F2680" s="8">
        <v>10.71</v>
      </c>
      <c r="G2680" s="4">
        <v>0</v>
      </c>
      <c r="H2680" s="8">
        <v>0</v>
      </c>
      <c r="I2680" s="4">
        <v>0</v>
      </c>
    </row>
    <row r="2681" spans="1:9" x14ac:dyDescent="0.2">
      <c r="A2681" s="2">
        <v>2</v>
      </c>
      <c r="B2681" s="1" t="s">
        <v>307</v>
      </c>
      <c r="C2681" s="4">
        <v>3</v>
      </c>
      <c r="D2681" s="8">
        <v>5.88</v>
      </c>
      <c r="E2681" s="4">
        <v>1</v>
      </c>
      <c r="F2681" s="8">
        <v>3.57</v>
      </c>
      <c r="G2681" s="4">
        <v>2</v>
      </c>
      <c r="H2681" s="8">
        <v>8.6999999999999993</v>
      </c>
      <c r="I2681" s="4">
        <v>0</v>
      </c>
    </row>
    <row r="2682" spans="1:9" x14ac:dyDescent="0.2">
      <c r="A2682" s="2">
        <v>5</v>
      </c>
      <c r="B2682" s="1" t="s">
        <v>324</v>
      </c>
      <c r="C2682" s="4">
        <v>2</v>
      </c>
      <c r="D2682" s="8">
        <v>3.92</v>
      </c>
      <c r="E2682" s="4">
        <v>0</v>
      </c>
      <c r="F2682" s="8">
        <v>0</v>
      </c>
      <c r="G2682" s="4">
        <v>2</v>
      </c>
      <c r="H2682" s="8">
        <v>8.6999999999999993</v>
      </c>
      <c r="I2682" s="4">
        <v>0</v>
      </c>
    </row>
    <row r="2683" spans="1:9" x14ac:dyDescent="0.2">
      <c r="A2683" s="2">
        <v>5</v>
      </c>
      <c r="B2683" s="1" t="s">
        <v>335</v>
      </c>
      <c r="C2683" s="4">
        <v>2</v>
      </c>
      <c r="D2683" s="8">
        <v>3.92</v>
      </c>
      <c r="E2683" s="4">
        <v>2</v>
      </c>
      <c r="F2683" s="8">
        <v>7.14</v>
      </c>
      <c r="G2683" s="4">
        <v>0</v>
      </c>
      <c r="H2683" s="8">
        <v>0</v>
      </c>
      <c r="I2683" s="4">
        <v>0</v>
      </c>
    </row>
    <row r="2684" spans="1:9" x14ac:dyDescent="0.2">
      <c r="A2684" s="2">
        <v>5</v>
      </c>
      <c r="B2684" s="1" t="s">
        <v>339</v>
      </c>
      <c r="C2684" s="4">
        <v>2</v>
      </c>
      <c r="D2684" s="8">
        <v>3.92</v>
      </c>
      <c r="E2684" s="4">
        <v>2</v>
      </c>
      <c r="F2684" s="8">
        <v>7.14</v>
      </c>
      <c r="G2684" s="4">
        <v>0</v>
      </c>
      <c r="H2684" s="8">
        <v>0</v>
      </c>
      <c r="I2684" s="4">
        <v>0</v>
      </c>
    </row>
    <row r="2685" spans="1:9" x14ac:dyDescent="0.2">
      <c r="A2685" s="2">
        <v>5</v>
      </c>
      <c r="B2685" s="1" t="s">
        <v>306</v>
      </c>
      <c r="C2685" s="4">
        <v>2</v>
      </c>
      <c r="D2685" s="8">
        <v>3.92</v>
      </c>
      <c r="E2685" s="4">
        <v>2</v>
      </c>
      <c r="F2685" s="8">
        <v>7.14</v>
      </c>
      <c r="G2685" s="4">
        <v>0</v>
      </c>
      <c r="H2685" s="8">
        <v>0</v>
      </c>
      <c r="I2685" s="4">
        <v>0</v>
      </c>
    </row>
    <row r="2686" spans="1:9" x14ac:dyDescent="0.2">
      <c r="A2686" s="2">
        <v>9</v>
      </c>
      <c r="B2686" s="1" t="s">
        <v>289</v>
      </c>
      <c r="C2686" s="4">
        <v>1</v>
      </c>
      <c r="D2686" s="8">
        <v>1.96</v>
      </c>
      <c r="E2686" s="4">
        <v>0</v>
      </c>
      <c r="F2686" s="8">
        <v>0</v>
      </c>
      <c r="G2686" s="4">
        <v>1</v>
      </c>
      <c r="H2686" s="8">
        <v>4.3499999999999996</v>
      </c>
      <c r="I2686" s="4">
        <v>0</v>
      </c>
    </row>
    <row r="2687" spans="1:9" x14ac:dyDescent="0.2">
      <c r="A2687" s="2">
        <v>9</v>
      </c>
      <c r="B2687" s="1" t="s">
        <v>328</v>
      </c>
      <c r="C2687" s="4">
        <v>1</v>
      </c>
      <c r="D2687" s="8">
        <v>1.96</v>
      </c>
      <c r="E2687" s="4">
        <v>0</v>
      </c>
      <c r="F2687" s="8">
        <v>0</v>
      </c>
      <c r="G2687" s="4">
        <v>1</v>
      </c>
      <c r="H2687" s="8">
        <v>4.3499999999999996</v>
      </c>
      <c r="I2687" s="4">
        <v>0</v>
      </c>
    </row>
    <row r="2688" spans="1:9" x14ac:dyDescent="0.2">
      <c r="A2688" s="2">
        <v>9</v>
      </c>
      <c r="B2688" s="1" t="s">
        <v>319</v>
      </c>
      <c r="C2688" s="4">
        <v>1</v>
      </c>
      <c r="D2688" s="8">
        <v>1.96</v>
      </c>
      <c r="E2688" s="4">
        <v>0</v>
      </c>
      <c r="F2688" s="8">
        <v>0</v>
      </c>
      <c r="G2688" s="4">
        <v>1</v>
      </c>
      <c r="H2688" s="8">
        <v>4.3499999999999996</v>
      </c>
      <c r="I2688" s="4">
        <v>0</v>
      </c>
    </row>
    <row r="2689" spans="1:9" x14ac:dyDescent="0.2">
      <c r="A2689" s="2">
        <v>9</v>
      </c>
      <c r="B2689" s="1" t="s">
        <v>353</v>
      </c>
      <c r="C2689" s="4">
        <v>1</v>
      </c>
      <c r="D2689" s="8">
        <v>1.96</v>
      </c>
      <c r="E2689" s="4">
        <v>0</v>
      </c>
      <c r="F2689" s="8">
        <v>0</v>
      </c>
      <c r="G2689" s="4">
        <v>1</v>
      </c>
      <c r="H2689" s="8">
        <v>4.3499999999999996</v>
      </c>
      <c r="I2689" s="4">
        <v>0</v>
      </c>
    </row>
    <row r="2690" spans="1:9" x14ac:dyDescent="0.2">
      <c r="A2690" s="2">
        <v>9</v>
      </c>
      <c r="B2690" s="1" t="s">
        <v>393</v>
      </c>
      <c r="C2690" s="4">
        <v>1</v>
      </c>
      <c r="D2690" s="8">
        <v>1.96</v>
      </c>
      <c r="E2690" s="4">
        <v>1</v>
      </c>
      <c r="F2690" s="8">
        <v>3.57</v>
      </c>
      <c r="G2690" s="4">
        <v>0</v>
      </c>
      <c r="H2690" s="8">
        <v>0</v>
      </c>
      <c r="I2690" s="4">
        <v>0</v>
      </c>
    </row>
    <row r="2691" spans="1:9" x14ac:dyDescent="0.2">
      <c r="A2691" s="2">
        <v>9</v>
      </c>
      <c r="B2691" s="1" t="s">
        <v>333</v>
      </c>
      <c r="C2691" s="4">
        <v>1</v>
      </c>
      <c r="D2691" s="8">
        <v>1.96</v>
      </c>
      <c r="E2691" s="4">
        <v>0</v>
      </c>
      <c r="F2691" s="8">
        <v>0</v>
      </c>
      <c r="G2691" s="4">
        <v>1</v>
      </c>
      <c r="H2691" s="8">
        <v>4.3499999999999996</v>
      </c>
      <c r="I2691" s="4">
        <v>0</v>
      </c>
    </row>
    <row r="2692" spans="1:9" x14ac:dyDescent="0.2">
      <c r="A2692" s="2">
        <v>9</v>
      </c>
      <c r="B2692" s="1" t="s">
        <v>290</v>
      </c>
      <c r="C2692" s="4">
        <v>1</v>
      </c>
      <c r="D2692" s="8">
        <v>1.96</v>
      </c>
      <c r="E2692" s="4">
        <v>1</v>
      </c>
      <c r="F2692" s="8">
        <v>3.57</v>
      </c>
      <c r="G2692" s="4">
        <v>0</v>
      </c>
      <c r="H2692" s="8">
        <v>0</v>
      </c>
      <c r="I2692" s="4">
        <v>0</v>
      </c>
    </row>
    <row r="2693" spans="1:9" x14ac:dyDescent="0.2">
      <c r="A2693" s="2">
        <v>9</v>
      </c>
      <c r="B2693" s="1" t="s">
        <v>376</v>
      </c>
      <c r="C2693" s="4">
        <v>1</v>
      </c>
      <c r="D2693" s="8">
        <v>1.96</v>
      </c>
      <c r="E2693" s="4">
        <v>1</v>
      </c>
      <c r="F2693" s="8">
        <v>3.57</v>
      </c>
      <c r="G2693" s="4">
        <v>0</v>
      </c>
      <c r="H2693" s="8">
        <v>0</v>
      </c>
      <c r="I2693" s="4">
        <v>0</v>
      </c>
    </row>
    <row r="2694" spans="1:9" x14ac:dyDescent="0.2">
      <c r="A2694" s="2">
        <v>9</v>
      </c>
      <c r="B2694" s="1" t="s">
        <v>407</v>
      </c>
      <c r="C2694" s="4">
        <v>1</v>
      </c>
      <c r="D2694" s="8">
        <v>1.96</v>
      </c>
      <c r="E2694" s="4">
        <v>0</v>
      </c>
      <c r="F2694" s="8">
        <v>0</v>
      </c>
      <c r="G2694" s="4">
        <v>1</v>
      </c>
      <c r="H2694" s="8">
        <v>4.3499999999999996</v>
      </c>
      <c r="I2694" s="4">
        <v>0</v>
      </c>
    </row>
    <row r="2695" spans="1:9" x14ac:dyDescent="0.2">
      <c r="A2695" s="2">
        <v>9</v>
      </c>
      <c r="B2695" s="1" t="s">
        <v>326</v>
      </c>
      <c r="C2695" s="4">
        <v>1</v>
      </c>
      <c r="D2695" s="8">
        <v>1.96</v>
      </c>
      <c r="E2695" s="4">
        <v>0</v>
      </c>
      <c r="F2695" s="8">
        <v>0</v>
      </c>
      <c r="G2695" s="4">
        <v>1</v>
      </c>
      <c r="H2695" s="8">
        <v>4.3499999999999996</v>
      </c>
      <c r="I2695" s="4">
        <v>0</v>
      </c>
    </row>
    <row r="2696" spans="1:9" x14ac:dyDescent="0.2">
      <c r="A2696" s="2">
        <v>9</v>
      </c>
      <c r="B2696" s="1" t="s">
        <v>350</v>
      </c>
      <c r="C2696" s="4">
        <v>1</v>
      </c>
      <c r="D2696" s="8">
        <v>1.96</v>
      </c>
      <c r="E2696" s="4">
        <v>0</v>
      </c>
      <c r="F2696" s="8">
        <v>0</v>
      </c>
      <c r="G2696" s="4">
        <v>1</v>
      </c>
      <c r="H2696" s="8">
        <v>4.3499999999999996</v>
      </c>
      <c r="I2696" s="4">
        <v>0</v>
      </c>
    </row>
    <row r="2697" spans="1:9" x14ac:dyDescent="0.2">
      <c r="A2697" s="2">
        <v>9</v>
      </c>
      <c r="B2697" s="1" t="s">
        <v>388</v>
      </c>
      <c r="C2697" s="4">
        <v>1</v>
      </c>
      <c r="D2697" s="8">
        <v>1.96</v>
      </c>
      <c r="E2697" s="4">
        <v>0</v>
      </c>
      <c r="F2697" s="8">
        <v>0</v>
      </c>
      <c r="G2697" s="4">
        <v>1</v>
      </c>
      <c r="H2697" s="8">
        <v>4.3499999999999996</v>
      </c>
      <c r="I2697" s="4">
        <v>0</v>
      </c>
    </row>
    <row r="2698" spans="1:9" x14ac:dyDescent="0.2">
      <c r="A2698" s="2">
        <v>9</v>
      </c>
      <c r="B2698" s="1" t="s">
        <v>309</v>
      </c>
      <c r="C2698" s="4">
        <v>1</v>
      </c>
      <c r="D2698" s="8">
        <v>1.96</v>
      </c>
      <c r="E2698" s="4">
        <v>0</v>
      </c>
      <c r="F2698" s="8">
        <v>0</v>
      </c>
      <c r="G2698" s="4">
        <v>1</v>
      </c>
      <c r="H2698" s="8">
        <v>4.3499999999999996</v>
      </c>
      <c r="I2698" s="4">
        <v>0</v>
      </c>
    </row>
    <row r="2699" spans="1:9" x14ac:dyDescent="0.2">
      <c r="A2699" s="2">
        <v>9</v>
      </c>
      <c r="B2699" s="1" t="s">
        <v>428</v>
      </c>
      <c r="C2699" s="4">
        <v>1</v>
      </c>
      <c r="D2699" s="8">
        <v>1.96</v>
      </c>
      <c r="E2699" s="4">
        <v>1</v>
      </c>
      <c r="F2699" s="8">
        <v>3.57</v>
      </c>
      <c r="G2699" s="4">
        <v>0</v>
      </c>
      <c r="H2699" s="8">
        <v>0</v>
      </c>
      <c r="I2699" s="4">
        <v>0</v>
      </c>
    </row>
    <row r="2700" spans="1:9" x14ac:dyDescent="0.2">
      <c r="A2700" s="2">
        <v>9</v>
      </c>
      <c r="B2700" s="1" t="s">
        <v>332</v>
      </c>
      <c r="C2700" s="4">
        <v>1</v>
      </c>
      <c r="D2700" s="8">
        <v>1.96</v>
      </c>
      <c r="E2700" s="4">
        <v>1</v>
      </c>
      <c r="F2700" s="8">
        <v>3.57</v>
      </c>
      <c r="G2700" s="4">
        <v>0</v>
      </c>
      <c r="H2700" s="8">
        <v>0</v>
      </c>
      <c r="I2700" s="4">
        <v>0</v>
      </c>
    </row>
    <row r="2701" spans="1:9" x14ac:dyDescent="0.2">
      <c r="A2701" s="2">
        <v>9</v>
      </c>
      <c r="B2701" s="1" t="s">
        <v>293</v>
      </c>
      <c r="C2701" s="4">
        <v>1</v>
      </c>
      <c r="D2701" s="8">
        <v>1.96</v>
      </c>
      <c r="E2701" s="4">
        <v>0</v>
      </c>
      <c r="F2701" s="8">
        <v>0</v>
      </c>
      <c r="G2701" s="4">
        <v>1</v>
      </c>
      <c r="H2701" s="8">
        <v>4.3499999999999996</v>
      </c>
      <c r="I2701" s="4">
        <v>0</v>
      </c>
    </row>
    <row r="2702" spans="1:9" x14ac:dyDescent="0.2">
      <c r="A2702" s="2">
        <v>9</v>
      </c>
      <c r="B2702" s="1" t="s">
        <v>402</v>
      </c>
      <c r="C2702" s="4">
        <v>1</v>
      </c>
      <c r="D2702" s="8">
        <v>1.96</v>
      </c>
      <c r="E2702" s="4">
        <v>0</v>
      </c>
      <c r="F2702" s="8">
        <v>0</v>
      </c>
      <c r="G2702" s="4">
        <v>1</v>
      </c>
      <c r="H2702" s="8">
        <v>4.3499999999999996</v>
      </c>
      <c r="I2702" s="4">
        <v>0</v>
      </c>
    </row>
    <row r="2703" spans="1:9" x14ac:dyDescent="0.2">
      <c r="A2703" s="2">
        <v>9</v>
      </c>
      <c r="B2703" s="1" t="s">
        <v>372</v>
      </c>
      <c r="C2703" s="4">
        <v>1</v>
      </c>
      <c r="D2703" s="8">
        <v>1.96</v>
      </c>
      <c r="E2703" s="4">
        <v>0</v>
      </c>
      <c r="F2703" s="8">
        <v>0</v>
      </c>
      <c r="G2703" s="4">
        <v>1</v>
      </c>
      <c r="H2703" s="8">
        <v>4.3499999999999996</v>
      </c>
      <c r="I2703" s="4">
        <v>0</v>
      </c>
    </row>
    <row r="2704" spans="1:9" x14ac:dyDescent="0.2">
      <c r="A2704" s="2">
        <v>9</v>
      </c>
      <c r="B2704" s="1" t="s">
        <v>330</v>
      </c>
      <c r="C2704" s="4">
        <v>1</v>
      </c>
      <c r="D2704" s="8">
        <v>1.96</v>
      </c>
      <c r="E2704" s="4">
        <v>0</v>
      </c>
      <c r="F2704" s="8">
        <v>0</v>
      </c>
      <c r="G2704" s="4">
        <v>1</v>
      </c>
      <c r="H2704" s="8">
        <v>4.3499999999999996</v>
      </c>
      <c r="I2704" s="4">
        <v>0</v>
      </c>
    </row>
    <row r="2705" spans="1:9" x14ac:dyDescent="0.2">
      <c r="A2705" s="2">
        <v>9</v>
      </c>
      <c r="B2705" s="1" t="s">
        <v>337</v>
      </c>
      <c r="C2705" s="4">
        <v>1</v>
      </c>
      <c r="D2705" s="8">
        <v>1.96</v>
      </c>
      <c r="E2705" s="4">
        <v>0</v>
      </c>
      <c r="F2705" s="8">
        <v>0</v>
      </c>
      <c r="G2705" s="4">
        <v>1</v>
      </c>
      <c r="H2705" s="8">
        <v>4.3499999999999996</v>
      </c>
      <c r="I2705" s="4">
        <v>0</v>
      </c>
    </row>
    <row r="2706" spans="1:9" x14ac:dyDescent="0.2">
      <c r="A2706" s="2">
        <v>9</v>
      </c>
      <c r="B2706" s="1" t="s">
        <v>295</v>
      </c>
      <c r="C2706" s="4">
        <v>1</v>
      </c>
      <c r="D2706" s="8">
        <v>1.96</v>
      </c>
      <c r="E2706" s="4">
        <v>1</v>
      </c>
      <c r="F2706" s="8">
        <v>3.57</v>
      </c>
      <c r="G2706" s="4">
        <v>0</v>
      </c>
      <c r="H2706" s="8">
        <v>0</v>
      </c>
      <c r="I2706" s="4">
        <v>0</v>
      </c>
    </row>
    <row r="2707" spans="1:9" x14ac:dyDescent="0.2">
      <c r="A2707" s="2">
        <v>9</v>
      </c>
      <c r="B2707" s="1" t="s">
        <v>416</v>
      </c>
      <c r="C2707" s="4">
        <v>1</v>
      </c>
      <c r="D2707" s="8">
        <v>1.96</v>
      </c>
      <c r="E2707" s="4">
        <v>1</v>
      </c>
      <c r="F2707" s="8">
        <v>3.57</v>
      </c>
      <c r="G2707" s="4">
        <v>0</v>
      </c>
      <c r="H2707" s="8">
        <v>0</v>
      </c>
      <c r="I2707" s="4">
        <v>0</v>
      </c>
    </row>
    <row r="2708" spans="1:9" x14ac:dyDescent="0.2">
      <c r="A2708" s="2">
        <v>9</v>
      </c>
      <c r="B2708" s="1" t="s">
        <v>409</v>
      </c>
      <c r="C2708" s="4">
        <v>1</v>
      </c>
      <c r="D2708" s="8">
        <v>1.96</v>
      </c>
      <c r="E2708" s="4">
        <v>1</v>
      </c>
      <c r="F2708" s="8">
        <v>3.57</v>
      </c>
      <c r="G2708" s="4">
        <v>0</v>
      </c>
      <c r="H2708" s="8">
        <v>0</v>
      </c>
      <c r="I2708" s="4">
        <v>0</v>
      </c>
    </row>
    <row r="2709" spans="1:9" x14ac:dyDescent="0.2">
      <c r="A2709" s="2">
        <v>9</v>
      </c>
      <c r="B2709" s="1" t="s">
        <v>419</v>
      </c>
      <c r="C2709" s="4">
        <v>1</v>
      </c>
      <c r="D2709" s="8">
        <v>1.96</v>
      </c>
      <c r="E2709" s="4">
        <v>0</v>
      </c>
      <c r="F2709" s="8">
        <v>0</v>
      </c>
      <c r="G2709" s="4">
        <v>1</v>
      </c>
      <c r="H2709" s="8">
        <v>4.3499999999999996</v>
      </c>
      <c r="I2709" s="4">
        <v>0</v>
      </c>
    </row>
    <row r="2710" spans="1:9" x14ac:dyDescent="0.2">
      <c r="A2710" s="2">
        <v>9</v>
      </c>
      <c r="B2710" s="1" t="s">
        <v>349</v>
      </c>
      <c r="C2710" s="4">
        <v>1</v>
      </c>
      <c r="D2710" s="8">
        <v>1.96</v>
      </c>
      <c r="E2710" s="4">
        <v>1</v>
      </c>
      <c r="F2710" s="8">
        <v>3.57</v>
      </c>
      <c r="G2710" s="4">
        <v>0</v>
      </c>
      <c r="H2710" s="8">
        <v>0</v>
      </c>
      <c r="I2710" s="4">
        <v>0</v>
      </c>
    </row>
    <row r="2711" spans="1:9" x14ac:dyDescent="0.2">
      <c r="A2711" s="2">
        <v>9</v>
      </c>
      <c r="B2711" s="1" t="s">
        <v>300</v>
      </c>
      <c r="C2711" s="4">
        <v>1</v>
      </c>
      <c r="D2711" s="8">
        <v>1.96</v>
      </c>
      <c r="E2711" s="4">
        <v>1</v>
      </c>
      <c r="F2711" s="8">
        <v>3.57</v>
      </c>
      <c r="G2711" s="4">
        <v>0</v>
      </c>
      <c r="H2711" s="8">
        <v>0</v>
      </c>
      <c r="I2711" s="4">
        <v>0</v>
      </c>
    </row>
    <row r="2712" spans="1:9" x14ac:dyDescent="0.2">
      <c r="A2712" s="2">
        <v>9</v>
      </c>
      <c r="B2712" s="1" t="s">
        <v>301</v>
      </c>
      <c r="C2712" s="4">
        <v>1</v>
      </c>
      <c r="D2712" s="8">
        <v>1.96</v>
      </c>
      <c r="E2712" s="4">
        <v>1</v>
      </c>
      <c r="F2712" s="8">
        <v>3.57</v>
      </c>
      <c r="G2712" s="4">
        <v>0</v>
      </c>
      <c r="H2712" s="8">
        <v>0</v>
      </c>
      <c r="I2712" s="4">
        <v>0</v>
      </c>
    </row>
    <row r="2713" spans="1:9" x14ac:dyDescent="0.2">
      <c r="A2713" s="2">
        <v>9</v>
      </c>
      <c r="B2713" s="1" t="s">
        <v>323</v>
      </c>
      <c r="C2713" s="4">
        <v>1</v>
      </c>
      <c r="D2713" s="8">
        <v>1.96</v>
      </c>
      <c r="E2713" s="4">
        <v>0</v>
      </c>
      <c r="F2713" s="8">
        <v>0</v>
      </c>
      <c r="G2713" s="4">
        <v>1</v>
      </c>
      <c r="H2713" s="8">
        <v>4.3499999999999996</v>
      </c>
      <c r="I2713" s="4">
        <v>0</v>
      </c>
    </row>
    <row r="2714" spans="1:9" x14ac:dyDescent="0.2">
      <c r="A2714" s="2">
        <v>9</v>
      </c>
      <c r="B2714" s="1" t="s">
        <v>473</v>
      </c>
      <c r="C2714" s="4">
        <v>1</v>
      </c>
      <c r="D2714" s="8">
        <v>1.96</v>
      </c>
      <c r="E2714" s="4">
        <v>1</v>
      </c>
      <c r="F2714" s="8">
        <v>3.57</v>
      </c>
      <c r="G2714" s="4">
        <v>0</v>
      </c>
      <c r="H2714" s="8">
        <v>0</v>
      </c>
      <c r="I2714" s="4">
        <v>0</v>
      </c>
    </row>
    <row r="2715" spans="1:9" x14ac:dyDescent="0.2">
      <c r="A2715" s="2">
        <v>9</v>
      </c>
      <c r="B2715" s="1" t="s">
        <v>312</v>
      </c>
      <c r="C2715" s="4">
        <v>1</v>
      </c>
      <c r="D2715" s="8">
        <v>1.96</v>
      </c>
      <c r="E2715" s="4">
        <v>1</v>
      </c>
      <c r="F2715" s="8">
        <v>3.57</v>
      </c>
      <c r="G2715" s="4">
        <v>0</v>
      </c>
      <c r="H2715" s="8">
        <v>0</v>
      </c>
      <c r="I2715" s="4">
        <v>0</v>
      </c>
    </row>
    <row r="2716" spans="1:9" x14ac:dyDescent="0.2">
      <c r="A2716" s="1"/>
      <c r="C2716" s="4"/>
      <c r="D2716" s="8"/>
      <c r="E2716" s="4"/>
      <c r="F2716" s="8"/>
      <c r="G2716" s="4"/>
      <c r="H2716" s="8"/>
      <c r="I2716" s="4"/>
    </row>
    <row r="2717" spans="1:9" x14ac:dyDescent="0.2">
      <c r="A2717" s="1" t="s">
        <v>95</v>
      </c>
      <c r="C2717" s="4"/>
      <c r="D2717" s="8"/>
      <c r="E2717" s="4"/>
      <c r="F2717" s="8"/>
      <c r="G2717" s="4"/>
      <c r="H2717" s="8"/>
      <c r="I2717" s="4"/>
    </row>
    <row r="2718" spans="1:9" x14ac:dyDescent="0.2">
      <c r="A2718" s="2">
        <v>1</v>
      </c>
      <c r="B2718" s="1" t="s">
        <v>330</v>
      </c>
      <c r="C2718" s="4">
        <v>3</v>
      </c>
      <c r="D2718" s="8">
        <v>7.5</v>
      </c>
      <c r="E2718" s="4">
        <v>2</v>
      </c>
      <c r="F2718" s="8">
        <v>8.33</v>
      </c>
      <c r="G2718" s="4">
        <v>1</v>
      </c>
      <c r="H2718" s="8">
        <v>7.69</v>
      </c>
      <c r="I2718" s="4">
        <v>0</v>
      </c>
    </row>
    <row r="2719" spans="1:9" x14ac:dyDescent="0.2">
      <c r="A2719" s="2">
        <v>1</v>
      </c>
      <c r="B2719" s="1" t="s">
        <v>304</v>
      </c>
      <c r="C2719" s="4">
        <v>3</v>
      </c>
      <c r="D2719" s="8">
        <v>7.5</v>
      </c>
      <c r="E2719" s="4">
        <v>3</v>
      </c>
      <c r="F2719" s="8">
        <v>12.5</v>
      </c>
      <c r="G2719" s="4">
        <v>0</v>
      </c>
      <c r="H2719" s="8">
        <v>0</v>
      </c>
      <c r="I2719" s="4">
        <v>0</v>
      </c>
    </row>
    <row r="2720" spans="1:9" x14ac:dyDescent="0.2">
      <c r="A2720" s="2">
        <v>3</v>
      </c>
      <c r="B2720" s="1" t="s">
        <v>288</v>
      </c>
      <c r="C2720" s="4">
        <v>2</v>
      </c>
      <c r="D2720" s="8">
        <v>5</v>
      </c>
      <c r="E2720" s="4">
        <v>0</v>
      </c>
      <c r="F2720" s="8">
        <v>0</v>
      </c>
      <c r="G2720" s="4">
        <v>2</v>
      </c>
      <c r="H2720" s="8">
        <v>15.38</v>
      </c>
      <c r="I2720" s="4">
        <v>0</v>
      </c>
    </row>
    <row r="2721" spans="1:9" x14ac:dyDescent="0.2">
      <c r="A2721" s="2">
        <v>3</v>
      </c>
      <c r="B2721" s="1" t="s">
        <v>299</v>
      </c>
      <c r="C2721" s="4">
        <v>2</v>
      </c>
      <c r="D2721" s="8">
        <v>5</v>
      </c>
      <c r="E2721" s="4">
        <v>2</v>
      </c>
      <c r="F2721" s="8">
        <v>8.33</v>
      </c>
      <c r="G2721" s="4">
        <v>0</v>
      </c>
      <c r="H2721" s="8">
        <v>0</v>
      </c>
      <c r="I2721" s="4">
        <v>0</v>
      </c>
    </row>
    <row r="2722" spans="1:9" x14ac:dyDescent="0.2">
      <c r="A2722" s="2">
        <v>3</v>
      </c>
      <c r="B2722" s="1" t="s">
        <v>300</v>
      </c>
      <c r="C2722" s="4">
        <v>2</v>
      </c>
      <c r="D2722" s="8">
        <v>5</v>
      </c>
      <c r="E2722" s="4">
        <v>2</v>
      </c>
      <c r="F2722" s="8">
        <v>8.33</v>
      </c>
      <c r="G2722" s="4">
        <v>0</v>
      </c>
      <c r="H2722" s="8">
        <v>0</v>
      </c>
      <c r="I2722" s="4">
        <v>0</v>
      </c>
    </row>
    <row r="2723" spans="1:9" x14ac:dyDescent="0.2">
      <c r="A2723" s="2">
        <v>3</v>
      </c>
      <c r="B2723" s="1" t="s">
        <v>301</v>
      </c>
      <c r="C2723" s="4">
        <v>2</v>
      </c>
      <c r="D2723" s="8">
        <v>5</v>
      </c>
      <c r="E2723" s="4">
        <v>2</v>
      </c>
      <c r="F2723" s="8">
        <v>8.33</v>
      </c>
      <c r="G2723" s="4">
        <v>0</v>
      </c>
      <c r="H2723" s="8">
        <v>0</v>
      </c>
      <c r="I2723" s="4">
        <v>0</v>
      </c>
    </row>
    <row r="2724" spans="1:9" x14ac:dyDescent="0.2">
      <c r="A2724" s="2">
        <v>3</v>
      </c>
      <c r="B2724" s="1" t="s">
        <v>303</v>
      </c>
      <c r="C2724" s="4">
        <v>2</v>
      </c>
      <c r="D2724" s="8">
        <v>5</v>
      </c>
      <c r="E2724" s="4">
        <v>2</v>
      </c>
      <c r="F2724" s="8">
        <v>8.33</v>
      </c>
      <c r="G2724" s="4">
        <v>0</v>
      </c>
      <c r="H2724" s="8">
        <v>0</v>
      </c>
      <c r="I2724" s="4">
        <v>0</v>
      </c>
    </row>
    <row r="2725" spans="1:9" x14ac:dyDescent="0.2">
      <c r="A2725" s="2">
        <v>3</v>
      </c>
      <c r="B2725" s="1" t="s">
        <v>306</v>
      </c>
      <c r="C2725" s="4">
        <v>2</v>
      </c>
      <c r="D2725" s="8">
        <v>5</v>
      </c>
      <c r="E2725" s="4">
        <v>2</v>
      </c>
      <c r="F2725" s="8">
        <v>8.33</v>
      </c>
      <c r="G2725" s="4">
        <v>0</v>
      </c>
      <c r="H2725" s="8">
        <v>0</v>
      </c>
      <c r="I2725" s="4">
        <v>0</v>
      </c>
    </row>
    <row r="2726" spans="1:9" x14ac:dyDescent="0.2">
      <c r="A2726" s="2">
        <v>3</v>
      </c>
      <c r="B2726" s="1" t="s">
        <v>371</v>
      </c>
      <c r="C2726" s="4">
        <v>2</v>
      </c>
      <c r="D2726" s="8">
        <v>5</v>
      </c>
      <c r="E2726" s="4">
        <v>1</v>
      </c>
      <c r="F2726" s="8">
        <v>4.17</v>
      </c>
      <c r="G2726" s="4">
        <v>1</v>
      </c>
      <c r="H2726" s="8">
        <v>7.69</v>
      </c>
      <c r="I2726" s="4">
        <v>0</v>
      </c>
    </row>
    <row r="2727" spans="1:9" x14ac:dyDescent="0.2">
      <c r="A2727" s="2">
        <v>10</v>
      </c>
      <c r="B2727" s="1" t="s">
        <v>427</v>
      </c>
      <c r="C2727" s="4">
        <v>1</v>
      </c>
      <c r="D2727" s="8">
        <v>2.5</v>
      </c>
      <c r="E2727" s="4">
        <v>1</v>
      </c>
      <c r="F2727" s="8">
        <v>4.17</v>
      </c>
      <c r="G2727" s="4">
        <v>0</v>
      </c>
      <c r="H2727" s="8">
        <v>0</v>
      </c>
      <c r="I2727" s="4">
        <v>0</v>
      </c>
    </row>
    <row r="2728" spans="1:9" x14ac:dyDescent="0.2">
      <c r="A2728" s="2">
        <v>10</v>
      </c>
      <c r="B2728" s="1" t="s">
        <v>442</v>
      </c>
      <c r="C2728" s="4">
        <v>1</v>
      </c>
      <c r="D2728" s="8">
        <v>2.5</v>
      </c>
      <c r="E2728" s="4">
        <v>0</v>
      </c>
      <c r="F2728" s="8">
        <v>0</v>
      </c>
      <c r="G2728" s="4">
        <v>1</v>
      </c>
      <c r="H2728" s="8">
        <v>7.69</v>
      </c>
      <c r="I2728" s="4">
        <v>0</v>
      </c>
    </row>
    <row r="2729" spans="1:9" x14ac:dyDescent="0.2">
      <c r="A2729" s="2">
        <v>10</v>
      </c>
      <c r="B2729" s="1" t="s">
        <v>289</v>
      </c>
      <c r="C2729" s="4">
        <v>1</v>
      </c>
      <c r="D2729" s="8">
        <v>2.5</v>
      </c>
      <c r="E2729" s="4">
        <v>1</v>
      </c>
      <c r="F2729" s="8">
        <v>4.17</v>
      </c>
      <c r="G2729" s="4">
        <v>0</v>
      </c>
      <c r="H2729" s="8">
        <v>0</v>
      </c>
      <c r="I2729" s="4">
        <v>0</v>
      </c>
    </row>
    <row r="2730" spans="1:9" x14ac:dyDescent="0.2">
      <c r="A2730" s="2">
        <v>10</v>
      </c>
      <c r="B2730" s="1" t="s">
        <v>328</v>
      </c>
      <c r="C2730" s="4">
        <v>1</v>
      </c>
      <c r="D2730" s="8">
        <v>2.5</v>
      </c>
      <c r="E2730" s="4">
        <v>0</v>
      </c>
      <c r="F2730" s="8">
        <v>0</v>
      </c>
      <c r="G2730" s="4">
        <v>1</v>
      </c>
      <c r="H2730" s="8">
        <v>7.69</v>
      </c>
      <c r="I2730" s="4">
        <v>0</v>
      </c>
    </row>
    <row r="2731" spans="1:9" x14ac:dyDescent="0.2">
      <c r="A2731" s="2">
        <v>10</v>
      </c>
      <c r="B2731" s="1" t="s">
        <v>343</v>
      </c>
      <c r="C2731" s="4">
        <v>1</v>
      </c>
      <c r="D2731" s="8">
        <v>2.5</v>
      </c>
      <c r="E2731" s="4">
        <v>1</v>
      </c>
      <c r="F2731" s="8">
        <v>4.17</v>
      </c>
      <c r="G2731" s="4">
        <v>0</v>
      </c>
      <c r="H2731" s="8">
        <v>0</v>
      </c>
      <c r="I2731" s="4">
        <v>0</v>
      </c>
    </row>
    <row r="2732" spans="1:9" x14ac:dyDescent="0.2">
      <c r="A2732" s="2">
        <v>10</v>
      </c>
      <c r="B2732" s="1" t="s">
        <v>362</v>
      </c>
      <c r="C2732" s="4">
        <v>1</v>
      </c>
      <c r="D2732" s="8">
        <v>2.5</v>
      </c>
      <c r="E2732" s="4">
        <v>0</v>
      </c>
      <c r="F2732" s="8">
        <v>0</v>
      </c>
      <c r="G2732" s="4">
        <v>0</v>
      </c>
      <c r="H2732" s="8">
        <v>0</v>
      </c>
      <c r="I2732" s="4">
        <v>0</v>
      </c>
    </row>
    <row r="2733" spans="1:9" x14ac:dyDescent="0.2">
      <c r="A2733" s="2">
        <v>10</v>
      </c>
      <c r="B2733" s="1" t="s">
        <v>326</v>
      </c>
      <c r="C2733" s="4">
        <v>1</v>
      </c>
      <c r="D2733" s="8">
        <v>2.5</v>
      </c>
      <c r="E2733" s="4">
        <v>0</v>
      </c>
      <c r="F2733" s="8">
        <v>0</v>
      </c>
      <c r="G2733" s="4">
        <v>1</v>
      </c>
      <c r="H2733" s="8">
        <v>7.69</v>
      </c>
      <c r="I2733" s="4">
        <v>0</v>
      </c>
    </row>
    <row r="2734" spans="1:9" x14ac:dyDescent="0.2">
      <c r="A2734" s="2">
        <v>10</v>
      </c>
      <c r="B2734" s="1" t="s">
        <v>332</v>
      </c>
      <c r="C2734" s="4">
        <v>1</v>
      </c>
      <c r="D2734" s="8">
        <v>2.5</v>
      </c>
      <c r="E2734" s="4">
        <v>1</v>
      </c>
      <c r="F2734" s="8">
        <v>4.17</v>
      </c>
      <c r="G2734" s="4">
        <v>0</v>
      </c>
      <c r="H2734" s="8">
        <v>0</v>
      </c>
      <c r="I2734" s="4">
        <v>0</v>
      </c>
    </row>
    <row r="2735" spans="1:9" x14ac:dyDescent="0.2">
      <c r="A2735" s="2">
        <v>10</v>
      </c>
      <c r="B2735" s="1" t="s">
        <v>292</v>
      </c>
      <c r="C2735" s="4">
        <v>1</v>
      </c>
      <c r="D2735" s="8">
        <v>2.5</v>
      </c>
      <c r="E2735" s="4">
        <v>0</v>
      </c>
      <c r="F2735" s="8">
        <v>0</v>
      </c>
      <c r="G2735" s="4">
        <v>1</v>
      </c>
      <c r="H2735" s="8">
        <v>7.69</v>
      </c>
      <c r="I2735" s="4">
        <v>0</v>
      </c>
    </row>
    <row r="2736" spans="1:9" x14ac:dyDescent="0.2">
      <c r="A2736" s="2">
        <v>10</v>
      </c>
      <c r="B2736" s="1" t="s">
        <v>293</v>
      </c>
      <c r="C2736" s="4">
        <v>1</v>
      </c>
      <c r="D2736" s="8">
        <v>2.5</v>
      </c>
      <c r="E2736" s="4">
        <v>0</v>
      </c>
      <c r="F2736" s="8">
        <v>0</v>
      </c>
      <c r="G2736" s="4">
        <v>1</v>
      </c>
      <c r="H2736" s="8">
        <v>7.69</v>
      </c>
      <c r="I2736" s="4">
        <v>0</v>
      </c>
    </row>
    <row r="2737" spans="1:9" x14ac:dyDescent="0.2">
      <c r="A2737" s="2">
        <v>10</v>
      </c>
      <c r="B2737" s="1" t="s">
        <v>401</v>
      </c>
      <c r="C2737" s="4">
        <v>1</v>
      </c>
      <c r="D2737" s="8">
        <v>2.5</v>
      </c>
      <c r="E2737" s="4">
        <v>0</v>
      </c>
      <c r="F2737" s="8">
        <v>0</v>
      </c>
      <c r="G2737" s="4">
        <v>1</v>
      </c>
      <c r="H2737" s="8">
        <v>7.69</v>
      </c>
      <c r="I2737" s="4">
        <v>0</v>
      </c>
    </row>
    <row r="2738" spans="1:9" x14ac:dyDescent="0.2">
      <c r="A2738" s="2">
        <v>10</v>
      </c>
      <c r="B2738" s="1" t="s">
        <v>402</v>
      </c>
      <c r="C2738" s="4">
        <v>1</v>
      </c>
      <c r="D2738" s="8">
        <v>2.5</v>
      </c>
      <c r="E2738" s="4">
        <v>1</v>
      </c>
      <c r="F2738" s="8">
        <v>4.17</v>
      </c>
      <c r="G2738" s="4">
        <v>0</v>
      </c>
      <c r="H2738" s="8">
        <v>0</v>
      </c>
      <c r="I2738" s="4">
        <v>0</v>
      </c>
    </row>
    <row r="2739" spans="1:9" x14ac:dyDescent="0.2">
      <c r="A2739" s="2">
        <v>10</v>
      </c>
      <c r="B2739" s="1" t="s">
        <v>294</v>
      </c>
      <c r="C2739" s="4">
        <v>1</v>
      </c>
      <c r="D2739" s="8">
        <v>2.5</v>
      </c>
      <c r="E2739" s="4">
        <v>1</v>
      </c>
      <c r="F2739" s="8">
        <v>4.17</v>
      </c>
      <c r="G2739" s="4">
        <v>0</v>
      </c>
      <c r="H2739" s="8">
        <v>0</v>
      </c>
      <c r="I2739" s="4">
        <v>0</v>
      </c>
    </row>
    <row r="2740" spans="1:9" x14ac:dyDescent="0.2">
      <c r="A2740" s="2">
        <v>10</v>
      </c>
      <c r="B2740" s="1" t="s">
        <v>372</v>
      </c>
      <c r="C2740" s="4">
        <v>1</v>
      </c>
      <c r="D2740" s="8">
        <v>2.5</v>
      </c>
      <c r="E2740" s="4">
        <v>0</v>
      </c>
      <c r="F2740" s="8">
        <v>0</v>
      </c>
      <c r="G2740" s="4">
        <v>1</v>
      </c>
      <c r="H2740" s="8">
        <v>7.69</v>
      </c>
      <c r="I2740" s="4">
        <v>0</v>
      </c>
    </row>
    <row r="2741" spans="1:9" x14ac:dyDescent="0.2">
      <c r="A2741" s="2">
        <v>10</v>
      </c>
      <c r="B2741" s="1" t="s">
        <v>337</v>
      </c>
      <c r="C2741" s="4">
        <v>1</v>
      </c>
      <c r="D2741" s="8">
        <v>2.5</v>
      </c>
      <c r="E2741" s="4">
        <v>1</v>
      </c>
      <c r="F2741" s="8">
        <v>4.17</v>
      </c>
      <c r="G2741" s="4">
        <v>0</v>
      </c>
      <c r="H2741" s="8">
        <v>0</v>
      </c>
      <c r="I2741" s="4">
        <v>0</v>
      </c>
    </row>
    <row r="2742" spans="1:9" x14ac:dyDescent="0.2">
      <c r="A2742" s="2">
        <v>10</v>
      </c>
      <c r="B2742" s="1" t="s">
        <v>297</v>
      </c>
      <c r="C2742" s="4">
        <v>1</v>
      </c>
      <c r="D2742" s="8">
        <v>2.5</v>
      </c>
      <c r="E2742" s="4">
        <v>0</v>
      </c>
      <c r="F2742" s="8">
        <v>0</v>
      </c>
      <c r="G2742" s="4">
        <v>1</v>
      </c>
      <c r="H2742" s="8">
        <v>7.69</v>
      </c>
      <c r="I2742" s="4">
        <v>0</v>
      </c>
    </row>
    <row r="2743" spans="1:9" x14ac:dyDescent="0.2">
      <c r="A2743" s="2">
        <v>10</v>
      </c>
      <c r="B2743" s="1" t="s">
        <v>415</v>
      </c>
      <c r="C2743" s="4">
        <v>1</v>
      </c>
      <c r="D2743" s="8">
        <v>2.5</v>
      </c>
      <c r="E2743" s="4">
        <v>0</v>
      </c>
      <c r="F2743" s="8">
        <v>0</v>
      </c>
      <c r="G2743" s="4">
        <v>1</v>
      </c>
      <c r="H2743" s="8">
        <v>7.69</v>
      </c>
      <c r="I2743" s="4">
        <v>0</v>
      </c>
    </row>
    <row r="2744" spans="1:9" x14ac:dyDescent="0.2">
      <c r="A2744" s="2">
        <v>10</v>
      </c>
      <c r="B2744" s="1" t="s">
        <v>312</v>
      </c>
      <c r="C2744" s="4">
        <v>1</v>
      </c>
      <c r="D2744" s="8">
        <v>2.5</v>
      </c>
      <c r="E2744" s="4">
        <v>1</v>
      </c>
      <c r="F2744" s="8">
        <v>4.17</v>
      </c>
      <c r="G2744" s="4">
        <v>0</v>
      </c>
      <c r="H2744" s="8">
        <v>0</v>
      </c>
      <c r="I2744" s="4">
        <v>0</v>
      </c>
    </row>
    <row r="2745" spans="1:9" x14ac:dyDescent="0.2">
      <c r="A2745" s="2">
        <v>10</v>
      </c>
      <c r="B2745" s="1" t="s">
        <v>331</v>
      </c>
      <c r="C2745" s="4">
        <v>1</v>
      </c>
      <c r="D2745" s="8">
        <v>2.5</v>
      </c>
      <c r="E2745" s="4">
        <v>0</v>
      </c>
      <c r="F2745" s="8">
        <v>0</v>
      </c>
      <c r="G2745" s="4">
        <v>0</v>
      </c>
      <c r="H2745" s="8">
        <v>0</v>
      </c>
      <c r="I2745" s="4">
        <v>0</v>
      </c>
    </row>
    <row r="2746" spans="1:9" x14ac:dyDescent="0.2">
      <c r="A2746" s="2">
        <v>10</v>
      </c>
      <c r="B2746" s="1" t="s">
        <v>345</v>
      </c>
      <c r="C2746" s="4">
        <v>1</v>
      </c>
      <c r="D2746" s="8">
        <v>2.5</v>
      </c>
      <c r="E2746" s="4">
        <v>0</v>
      </c>
      <c r="F2746" s="8">
        <v>0</v>
      </c>
      <c r="G2746" s="4">
        <v>0</v>
      </c>
      <c r="H2746" s="8">
        <v>0</v>
      </c>
      <c r="I2746" s="4">
        <v>0</v>
      </c>
    </row>
    <row r="2747" spans="1:9" x14ac:dyDescent="0.2">
      <c r="A2747" s="1"/>
      <c r="C2747" s="4"/>
      <c r="D2747" s="8"/>
      <c r="E2747" s="4"/>
      <c r="F2747" s="8"/>
      <c r="G2747" s="4"/>
      <c r="H2747" s="8"/>
      <c r="I2747" s="4"/>
    </row>
    <row r="2748" spans="1:9" x14ac:dyDescent="0.2">
      <c r="A2748" s="1" t="s">
        <v>96</v>
      </c>
      <c r="C2748" s="4"/>
      <c r="D2748" s="8"/>
      <c r="E2748" s="4"/>
      <c r="F2748" s="8"/>
      <c r="G2748" s="4"/>
      <c r="H2748" s="8"/>
      <c r="I2748" s="4"/>
    </row>
    <row r="2749" spans="1:9" x14ac:dyDescent="0.2">
      <c r="A2749" s="2">
        <v>1</v>
      </c>
      <c r="B2749" s="1" t="s">
        <v>304</v>
      </c>
      <c r="C2749" s="4">
        <v>7</v>
      </c>
      <c r="D2749" s="8">
        <v>6.8</v>
      </c>
      <c r="E2749" s="4">
        <v>7</v>
      </c>
      <c r="F2749" s="8">
        <v>11.67</v>
      </c>
      <c r="G2749" s="4">
        <v>0</v>
      </c>
      <c r="H2749" s="8">
        <v>0</v>
      </c>
      <c r="I2749" s="4">
        <v>0</v>
      </c>
    </row>
    <row r="2750" spans="1:9" x14ac:dyDescent="0.2">
      <c r="A2750" s="2">
        <v>2</v>
      </c>
      <c r="B2750" s="1" t="s">
        <v>301</v>
      </c>
      <c r="C2750" s="4">
        <v>6</v>
      </c>
      <c r="D2750" s="8">
        <v>5.83</v>
      </c>
      <c r="E2750" s="4">
        <v>6</v>
      </c>
      <c r="F2750" s="8">
        <v>10</v>
      </c>
      <c r="G2750" s="4">
        <v>0</v>
      </c>
      <c r="H2750" s="8">
        <v>0</v>
      </c>
      <c r="I2750" s="4">
        <v>0</v>
      </c>
    </row>
    <row r="2751" spans="1:9" x14ac:dyDescent="0.2">
      <c r="A2751" s="2">
        <v>3</v>
      </c>
      <c r="B2751" s="1" t="s">
        <v>332</v>
      </c>
      <c r="C2751" s="4">
        <v>4</v>
      </c>
      <c r="D2751" s="8">
        <v>3.88</v>
      </c>
      <c r="E2751" s="4">
        <v>3</v>
      </c>
      <c r="F2751" s="8">
        <v>5</v>
      </c>
      <c r="G2751" s="4">
        <v>1</v>
      </c>
      <c r="H2751" s="8">
        <v>3.03</v>
      </c>
      <c r="I2751" s="4">
        <v>0</v>
      </c>
    </row>
    <row r="2752" spans="1:9" x14ac:dyDescent="0.2">
      <c r="A2752" s="2">
        <v>3</v>
      </c>
      <c r="B2752" s="1" t="s">
        <v>300</v>
      </c>
      <c r="C2752" s="4">
        <v>4</v>
      </c>
      <c r="D2752" s="8">
        <v>3.88</v>
      </c>
      <c r="E2752" s="4">
        <v>4</v>
      </c>
      <c r="F2752" s="8">
        <v>6.67</v>
      </c>
      <c r="G2752" s="4">
        <v>0</v>
      </c>
      <c r="H2752" s="8">
        <v>0</v>
      </c>
      <c r="I2752" s="4">
        <v>0</v>
      </c>
    </row>
    <row r="2753" spans="1:9" x14ac:dyDescent="0.2">
      <c r="A2753" s="2">
        <v>3</v>
      </c>
      <c r="B2753" s="1" t="s">
        <v>340</v>
      </c>
      <c r="C2753" s="4">
        <v>4</v>
      </c>
      <c r="D2753" s="8">
        <v>3.88</v>
      </c>
      <c r="E2753" s="4">
        <v>0</v>
      </c>
      <c r="F2753" s="8">
        <v>0</v>
      </c>
      <c r="G2753" s="4">
        <v>0</v>
      </c>
      <c r="H2753" s="8">
        <v>0</v>
      </c>
      <c r="I2753" s="4">
        <v>0</v>
      </c>
    </row>
    <row r="2754" spans="1:9" x14ac:dyDescent="0.2">
      <c r="A2754" s="2">
        <v>6</v>
      </c>
      <c r="B2754" s="1" t="s">
        <v>289</v>
      </c>
      <c r="C2754" s="4">
        <v>3</v>
      </c>
      <c r="D2754" s="8">
        <v>2.91</v>
      </c>
      <c r="E2754" s="4">
        <v>0</v>
      </c>
      <c r="F2754" s="8">
        <v>0</v>
      </c>
      <c r="G2754" s="4">
        <v>3</v>
      </c>
      <c r="H2754" s="8">
        <v>9.09</v>
      </c>
      <c r="I2754" s="4">
        <v>0</v>
      </c>
    </row>
    <row r="2755" spans="1:9" x14ac:dyDescent="0.2">
      <c r="A2755" s="2">
        <v>6</v>
      </c>
      <c r="B2755" s="1" t="s">
        <v>295</v>
      </c>
      <c r="C2755" s="4">
        <v>3</v>
      </c>
      <c r="D2755" s="8">
        <v>2.91</v>
      </c>
      <c r="E2755" s="4">
        <v>2</v>
      </c>
      <c r="F2755" s="8">
        <v>3.33</v>
      </c>
      <c r="G2755" s="4">
        <v>1</v>
      </c>
      <c r="H2755" s="8">
        <v>3.03</v>
      </c>
      <c r="I2755" s="4">
        <v>0</v>
      </c>
    </row>
    <row r="2756" spans="1:9" x14ac:dyDescent="0.2">
      <c r="A2756" s="2">
        <v>6</v>
      </c>
      <c r="B2756" s="1" t="s">
        <v>334</v>
      </c>
      <c r="C2756" s="4">
        <v>3</v>
      </c>
      <c r="D2756" s="8">
        <v>2.91</v>
      </c>
      <c r="E2756" s="4">
        <v>3</v>
      </c>
      <c r="F2756" s="8">
        <v>5</v>
      </c>
      <c r="G2756" s="4">
        <v>0</v>
      </c>
      <c r="H2756" s="8">
        <v>0</v>
      </c>
      <c r="I2756" s="4">
        <v>0</v>
      </c>
    </row>
    <row r="2757" spans="1:9" x14ac:dyDescent="0.2">
      <c r="A2757" s="2">
        <v>6</v>
      </c>
      <c r="B2757" s="1" t="s">
        <v>348</v>
      </c>
      <c r="C2757" s="4">
        <v>3</v>
      </c>
      <c r="D2757" s="8">
        <v>2.91</v>
      </c>
      <c r="E2757" s="4">
        <v>0</v>
      </c>
      <c r="F2757" s="8">
        <v>0</v>
      </c>
      <c r="G2757" s="4">
        <v>3</v>
      </c>
      <c r="H2757" s="8">
        <v>9.09</v>
      </c>
      <c r="I2757" s="4">
        <v>0</v>
      </c>
    </row>
    <row r="2758" spans="1:9" x14ac:dyDescent="0.2">
      <c r="A2758" s="2">
        <v>10</v>
      </c>
      <c r="B2758" s="1" t="s">
        <v>375</v>
      </c>
      <c r="C2758" s="4">
        <v>2</v>
      </c>
      <c r="D2758" s="8">
        <v>1.94</v>
      </c>
      <c r="E2758" s="4">
        <v>1</v>
      </c>
      <c r="F2758" s="8">
        <v>1.67</v>
      </c>
      <c r="G2758" s="4">
        <v>1</v>
      </c>
      <c r="H2758" s="8">
        <v>3.03</v>
      </c>
      <c r="I2758" s="4">
        <v>0</v>
      </c>
    </row>
    <row r="2759" spans="1:9" x14ac:dyDescent="0.2">
      <c r="A2759" s="2">
        <v>10</v>
      </c>
      <c r="B2759" s="1" t="s">
        <v>333</v>
      </c>
      <c r="C2759" s="4">
        <v>2</v>
      </c>
      <c r="D2759" s="8">
        <v>1.94</v>
      </c>
      <c r="E2759" s="4">
        <v>1</v>
      </c>
      <c r="F2759" s="8">
        <v>1.67</v>
      </c>
      <c r="G2759" s="4">
        <v>1</v>
      </c>
      <c r="H2759" s="8">
        <v>3.03</v>
      </c>
      <c r="I2759" s="4">
        <v>0</v>
      </c>
    </row>
    <row r="2760" spans="1:9" x14ac:dyDescent="0.2">
      <c r="A2760" s="2">
        <v>10</v>
      </c>
      <c r="B2760" s="1" t="s">
        <v>308</v>
      </c>
      <c r="C2760" s="4">
        <v>2</v>
      </c>
      <c r="D2760" s="8">
        <v>1.94</v>
      </c>
      <c r="E2760" s="4">
        <v>1</v>
      </c>
      <c r="F2760" s="8">
        <v>1.67</v>
      </c>
      <c r="G2760" s="4">
        <v>1</v>
      </c>
      <c r="H2760" s="8">
        <v>3.03</v>
      </c>
      <c r="I2760" s="4">
        <v>0</v>
      </c>
    </row>
    <row r="2761" spans="1:9" x14ac:dyDescent="0.2">
      <c r="A2761" s="2">
        <v>10</v>
      </c>
      <c r="B2761" s="1" t="s">
        <v>290</v>
      </c>
      <c r="C2761" s="4">
        <v>2</v>
      </c>
      <c r="D2761" s="8">
        <v>1.94</v>
      </c>
      <c r="E2761" s="4">
        <v>0</v>
      </c>
      <c r="F2761" s="8">
        <v>0</v>
      </c>
      <c r="G2761" s="4">
        <v>2</v>
      </c>
      <c r="H2761" s="8">
        <v>6.06</v>
      </c>
      <c r="I2761" s="4">
        <v>0</v>
      </c>
    </row>
    <row r="2762" spans="1:9" x14ac:dyDescent="0.2">
      <c r="A2762" s="2">
        <v>10</v>
      </c>
      <c r="B2762" s="1" t="s">
        <v>381</v>
      </c>
      <c r="C2762" s="4">
        <v>2</v>
      </c>
      <c r="D2762" s="8">
        <v>1.94</v>
      </c>
      <c r="E2762" s="4">
        <v>2</v>
      </c>
      <c r="F2762" s="8">
        <v>3.33</v>
      </c>
      <c r="G2762" s="4">
        <v>0</v>
      </c>
      <c r="H2762" s="8">
        <v>0</v>
      </c>
      <c r="I2762" s="4">
        <v>0</v>
      </c>
    </row>
    <row r="2763" spans="1:9" x14ac:dyDescent="0.2">
      <c r="A2763" s="2">
        <v>10</v>
      </c>
      <c r="B2763" s="1" t="s">
        <v>363</v>
      </c>
      <c r="C2763" s="4">
        <v>2</v>
      </c>
      <c r="D2763" s="8">
        <v>1.94</v>
      </c>
      <c r="E2763" s="4">
        <v>0</v>
      </c>
      <c r="F2763" s="8">
        <v>0</v>
      </c>
      <c r="G2763" s="4">
        <v>2</v>
      </c>
      <c r="H2763" s="8">
        <v>6.06</v>
      </c>
      <c r="I2763" s="4">
        <v>0</v>
      </c>
    </row>
    <row r="2764" spans="1:9" x14ac:dyDescent="0.2">
      <c r="A2764" s="2">
        <v>10</v>
      </c>
      <c r="B2764" s="1" t="s">
        <v>294</v>
      </c>
      <c r="C2764" s="4">
        <v>2</v>
      </c>
      <c r="D2764" s="8">
        <v>1.94</v>
      </c>
      <c r="E2764" s="4">
        <v>1</v>
      </c>
      <c r="F2764" s="8">
        <v>1.67</v>
      </c>
      <c r="G2764" s="4">
        <v>1</v>
      </c>
      <c r="H2764" s="8">
        <v>3.03</v>
      </c>
      <c r="I2764" s="4">
        <v>0</v>
      </c>
    </row>
    <row r="2765" spans="1:9" x14ac:dyDescent="0.2">
      <c r="A2765" s="2">
        <v>10</v>
      </c>
      <c r="B2765" s="1" t="s">
        <v>330</v>
      </c>
      <c r="C2765" s="4">
        <v>2</v>
      </c>
      <c r="D2765" s="8">
        <v>1.94</v>
      </c>
      <c r="E2765" s="4">
        <v>1</v>
      </c>
      <c r="F2765" s="8">
        <v>1.67</v>
      </c>
      <c r="G2765" s="4">
        <v>1</v>
      </c>
      <c r="H2765" s="8">
        <v>3.03</v>
      </c>
      <c r="I2765" s="4">
        <v>0</v>
      </c>
    </row>
    <row r="2766" spans="1:9" x14ac:dyDescent="0.2">
      <c r="A2766" s="2">
        <v>10</v>
      </c>
      <c r="B2766" s="1" t="s">
        <v>299</v>
      </c>
      <c r="C2766" s="4">
        <v>2</v>
      </c>
      <c r="D2766" s="8">
        <v>1.94</v>
      </c>
      <c r="E2766" s="4">
        <v>2</v>
      </c>
      <c r="F2766" s="8">
        <v>3.33</v>
      </c>
      <c r="G2766" s="4">
        <v>0</v>
      </c>
      <c r="H2766" s="8">
        <v>0</v>
      </c>
      <c r="I2766" s="4">
        <v>0</v>
      </c>
    </row>
    <row r="2767" spans="1:9" x14ac:dyDescent="0.2">
      <c r="A2767" s="2">
        <v>10</v>
      </c>
      <c r="B2767" s="1" t="s">
        <v>419</v>
      </c>
      <c r="C2767" s="4">
        <v>2</v>
      </c>
      <c r="D2767" s="8">
        <v>1.94</v>
      </c>
      <c r="E2767" s="4">
        <v>2</v>
      </c>
      <c r="F2767" s="8">
        <v>3.33</v>
      </c>
      <c r="G2767" s="4">
        <v>0</v>
      </c>
      <c r="H2767" s="8">
        <v>0</v>
      </c>
      <c r="I2767" s="4">
        <v>0</v>
      </c>
    </row>
    <row r="2768" spans="1:9" x14ac:dyDescent="0.2">
      <c r="A2768" s="2">
        <v>10</v>
      </c>
      <c r="B2768" s="1" t="s">
        <v>303</v>
      </c>
      <c r="C2768" s="4">
        <v>2</v>
      </c>
      <c r="D2768" s="8">
        <v>1.94</v>
      </c>
      <c r="E2768" s="4">
        <v>2</v>
      </c>
      <c r="F2768" s="8">
        <v>3.33</v>
      </c>
      <c r="G2768" s="4">
        <v>0</v>
      </c>
      <c r="H2768" s="8">
        <v>0</v>
      </c>
      <c r="I2768" s="4">
        <v>0</v>
      </c>
    </row>
    <row r="2769" spans="1:9" x14ac:dyDescent="0.2">
      <c r="A2769" s="2">
        <v>10</v>
      </c>
      <c r="B2769" s="1" t="s">
        <v>368</v>
      </c>
      <c r="C2769" s="4">
        <v>2</v>
      </c>
      <c r="D2769" s="8">
        <v>1.94</v>
      </c>
      <c r="E2769" s="4">
        <v>0</v>
      </c>
      <c r="F2769" s="8">
        <v>0</v>
      </c>
      <c r="G2769" s="4">
        <v>0</v>
      </c>
      <c r="H2769" s="8">
        <v>0</v>
      </c>
      <c r="I2769" s="4">
        <v>0</v>
      </c>
    </row>
    <row r="2770" spans="1:9" x14ac:dyDescent="0.2">
      <c r="A2770" s="2">
        <v>10</v>
      </c>
      <c r="B2770" s="1" t="s">
        <v>305</v>
      </c>
      <c r="C2770" s="4">
        <v>2</v>
      </c>
      <c r="D2770" s="8">
        <v>1.94</v>
      </c>
      <c r="E2770" s="4">
        <v>2</v>
      </c>
      <c r="F2770" s="8">
        <v>3.33</v>
      </c>
      <c r="G2770" s="4">
        <v>0</v>
      </c>
      <c r="H2770" s="8">
        <v>0</v>
      </c>
      <c r="I2770" s="4">
        <v>0</v>
      </c>
    </row>
    <row r="2771" spans="1:9" x14ac:dyDescent="0.2">
      <c r="A2771" s="1"/>
      <c r="C2771" s="4"/>
      <c r="D2771" s="8"/>
      <c r="E2771" s="4"/>
      <c r="F2771" s="8"/>
      <c r="G2771" s="4"/>
      <c r="H2771" s="8"/>
      <c r="I2771" s="4"/>
    </row>
    <row r="2772" spans="1:9" x14ac:dyDescent="0.2">
      <c r="A2772" s="1" t="s">
        <v>97</v>
      </c>
      <c r="C2772" s="4"/>
      <c r="D2772" s="8"/>
      <c r="E2772" s="4"/>
      <c r="F2772" s="8"/>
      <c r="G2772" s="4"/>
      <c r="H2772" s="8"/>
      <c r="I2772" s="4"/>
    </row>
    <row r="2773" spans="1:9" x14ac:dyDescent="0.2">
      <c r="A2773" s="2">
        <v>1</v>
      </c>
      <c r="B2773" s="1" t="s">
        <v>320</v>
      </c>
      <c r="C2773" s="4">
        <v>5</v>
      </c>
      <c r="D2773" s="8">
        <v>3.5</v>
      </c>
      <c r="E2773" s="4">
        <v>4</v>
      </c>
      <c r="F2773" s="8">
        <v>5.8</v>
      </c>
      <c r="G2773" s="4">
        <v>1</v>
      </c>
      <c r="H2773" s="8">
        <v>1.43</v>
      </c>
      <c r="I2773" s="4">
        <v>0</v>
      </c>
    </row>
    <row r="2774" spans="1:9" x14ac:dyDescent="0.2">
      <c r="A2774" s="2">
        <v>1</v>
      </c>
      <c r="B2774" s="1" t="s">
        <v>344</v>
      </c>
      <c r="C2774" s="4">
        <v>5</v>
      </c>
      <c r="D2774" s="8">
        <v>3.5</v>
      </c>
      <c r="E2774" s="4">
        <v>3</v>
      </c>
      <c r="F2774" s="8">
        <v>4.3499999999999996</v>
      </c>
      <c r="G2774" s="4">
        <v>2</v>
      </c>
      <c r="H2774" s="8">
        <v>2.86</v>
      </c>
      <c r="I2774" s="4">
        <v>0</v>
      </c>
    </row>
    <row r="2775" spans="1:9" x14ac:dyDescent="0.2">
      <c r="A2775" s="2">
        <v>1</v>
      </c>
      <c r="B2775" s="1" t="s">
        <v>304</v>
      </c>
      <c r="C2775" s="4">
        <v>5</v>
      </c>
      <c r="D2775" s="8">
        <v>3.5</v>
      </c>
      <c r="E2775" s="4">
        <v>5</v>
      </c>
      <c r="F2775" s="8">
        <v>7.25</v>
      </c>
      <c r="G2775" s="4">
        <v>0</v>
      </c>
      <c r="H2775" s="8">
        <v>0</v>
      </c>
      <c r="I2775" s="4">
        <v>0</v>
      </c>
    </row>
    <row r="2776" spans="1:9" x14ac:dyDescent="0.2">
      <c r="A2776" s="2">
        <v>4</v>
      </c>
      <c r="B2776" s="1" t="s">
        <v>288</v>
      </c>
      <c r="C2776" s="4">
        <v>4</v>
      </c>
      <c r="D2776" s="8">
        <v>2.8</v>
      </c>
      <c r="E2776" s="4">
        <v>0</v>
      </c>
      <c r="F2776" s="8">
        <v>0</v>
      </c>
      <c r="G2776" s="4">
        <v>4</v>
      </c>
      <c r="H2776" s="8">
        <v>5.71</v>
      </c>
      <c r="I2776" s="4">
        <v>0</v>
      </c>
    </row>
    <row r="2777" spans="1:9" x14ac:dyDescent="0.2">
      <c r="A2777" s="2">
        <v>4</v>
      </c>
      <c r="B2777" s="1" t="s">
        <v>289</v>
      </c>
      <c r="C2777" s="4">
        <v>4</v>
      </c>
      <c r="D2777" s="8">
        <v>2.8</v>
      </c>
      <c r="E2777" s="4">
        <v>1</v>
      </c>
      <c r="F2777" s="8">
        <v>1.45</v>
      </c>
      <c r="G2777" s="4">
        <v>3</v>
      </c>
      <c r="H2777" s="8">
        <v>4.29</v>
      </c>
      <c r="I2777" s="4">
        <v>0</v>
      </c>
    </row>
    <row r="2778" spans="1:9" x14ac:dyDescent="0.2">
      <c r="A2778" s="2">
        <v>4</v>
      </c>
      <c r="B2778" s="1" t="s">
        <v>290</v>
      </c>
      <c r="C2778" s="4">
        <v>4</v>
      </c>
      <c r="D2778" s="8">
        <v>2.8</v>
      </c>
      <c r="E2778" s="4">
        <v>4</v>
      </c>
      <c r="F2778" s="8">
        <v>5.8</v>
      </c>
      <c r="G2778" s="4">
        <v>0</v>
      </c>
      <c r="H2778" s="8">
        <v>0</v>
      </c>
      <c r="I2778" s="4">
        <v>0</v>
      </c>
    </row>
    <row r="2779" spans="1:9" x14ac:dyDescent="0.2">
      <c r="A2779" s="2">
        <v>4</v>
      </c>
      <c r="B2779" s="1" t="s">
        <v>352</v>
      </c>
      <c r="C2779" s="4">
        <v>4</v>
      </c>
      <c r="D2779" s="8">
        <v>2.8</v>
      </c>
      <c r="E2779" s="4">
        <v>1</v>
      </c>
      <c r="F2779" s="8">
        <v>1.45</v>
      </c>
      <c r="G2779" s="4">
        <v>2</v>
      </c>
      <c r="H2779" s="8">
        <v>2.86</v>
      </c>
      <c r="I2779" s="4">
        <v>0</v>
      </c>
    </row>
    <row r="2780" spans="1:9" x14ac:dyDescent="0.2">
      <c r="A2780" s="2">
        <v>4</v>
      </c>
      <c r="B2780" s="1" t="s">
        <v>306</v>
      </c>
      <c r="C2780" s="4">
        <v>4</v>
      </c>
      <c r="D2780" s="8">
        <v>2.8</v>
      </c>
      <c r="E2780" s="4">
        <v>3</v>
      </c>
      <c r="F2780" s="8">
        <v>4.3499999999999996</v>
      </c>
      <c r="G2780" s="4">
        <v>1</v>
      </c>
      <c r="H2780" s="8">
        <v>1.43</v>
      </c>
      <c r="I2780" s="4">
        <v>0</v>
      </c>
    </row>
    <row r="2781" spans="1:9" x14ac:dyDescent="0.2">
      <c r="A2781" s="2">
        <v>4</v>
      </c>
      <c r="B2781" s="1" t="s">
        <v>341</v>
      </c>
      <c r="C2781" s="4">
        <v>4</v>
      </c>
      <c r="D2781" s="8">
        <v>2.8</v>
      </c>
      <c r="E2781" s="4">
        <v>0</v>
      </c>
      <c r="F2781" s="8">
        <v>0</v>
      </c>
      <c r="G2781" s="4">
        <v>4</v>
      </c>
      <c r="H2781" s="8">
        <v>5.71</v>
      </c>
      <c r="I2781" s="4">
        <v>0</v>
      </c>
    </row>
    <row r="2782" spans="1:9" x14ac:dyDescent="0.2">
      <c r="A2782" s="2">
        <v>10</v>
      </c>
      <c r="B2782" s="1" t="s">
        <v>291</v>
      </c>
      <c r="C2782" s="4">
        <v>3</v>
      </c>
      <c r="D2782" s="8">
        <v>2.1</v>
      </c>
      <c r="E2782" s="4">
        <v>0</v>
      </c>
      <c r="F2782" s="8">
        <v>0</v>
      </c>
      <c r="G2782" s="4">
        <v>3</v>
      </c>
      <c r="H2782" s="8">
        <v>4.29</v>
      </c>
      <c r="I2782" s="4">
        <v>0</v>
      </c>
    </row>
    <row r="2783" spans="1:9" x14ac:dyDescent="0.2">
      <c r="A2783" s="2">
        <v>10</v>
      </c>
      <c r="B2783" s="1" t="s">
        <v>292</v>
      </c>
      <c r="C2783" s="4">
        <v>3</v>
      </c>
      <c r="D2783" s="8">
        <v>2.1</v>
      </c>
      <c r="E2783" s="4">
        <v>3</v>
      </c>
      <c r="F2783" s="8">
        <v>4.3499999999999996</v>
      </c>
      <c r="G2783" s="4">
        <v>0</v>
      </c>
      <c r="H2783" s="8">
        <v>0</v>
      </c>
      <c r="I2783" s="4">
        <v>0</v>
      </c>
    </row>
    <row r="2784" spans="1:9" x14ac:dyDescent="0.2">
      <c r="A2784" s="2">
        <v>10</v>
      </c>
      <c r="B2784" s="1" t="s">
        <v>330</v>
      </c>
      <c r="C2784" s="4">
        <v>3</v>
      </c>
      <c r="D2784" s="8">
        <v>2.1</v>
      </c>
      <c r="E2784" s="4">
        <v>1</v>
      </c>
      <c r="F2784" s="8">
        <v>1.45</v>
      </c>
      <c r="G2784" s="4">
        <v>2</v>
      </c>
      <c r="H2784" s="8">
        <v>2.86</v>
      </c>
      <c r="I2784" s="4">
        <v>0</v>
      </c>
    </row>
    <row r="2785" spans="1:9" x14ac:dyDescent="0.2">
      <c r="A2785" s="2">
        <v>10</v>
      </c>
      <c r="B2785" s="1" t="s">
        <v>295</v>
      </c>
      <c r="C2785" s="4">
        <v>3</v>
      </c>
      <c r="D2785" s="8">
        <v>2.1</v>
      </c>
      <c r="E2785" s="4">
        <v>2</v>
      </c>
      <c r="F2785" s="8">
        <v>2.9</v>
      </c>
      <c r="G2785" s="4">
        <v>1</v>
      </c>
      <c r="H2785" s="8">
        <v>1.43</v>
      </c>
      <c r="I2785" s="4">
        <v>0</v>
      </c>
    </row>
    <row r="2786" spans="1:9" x14ac:dyDescent="0.2">
      <c r="A2786" s="2">
        <v>10</v>
      </c>
      <c r="B2786" s="1" t="s">
        <v>299</v>
      </c>
      <c r="C2786" s="4">
        <v>3</v>
      </c>
      <c r="D2786" s="8">
        <v>2.1</v>
      </c>
      <c r="E2786" s="4">
        <v>1</v>
      </c>
      <c r="F2786" s="8">
        <v>1.45</v>
      </c>
      <c r="G2786" s="4">
        <v>2</v>
      </c>
      <c r="H2786" s="8">
        <v>2.86</v>
      </c>
      <c r="I2786" s="4">
        <v>0</v>
      </c>
    </row>
    <row r="2787" spans="1:9" x14ac:dyDescent="0.2">
      <c r="A2787" s="2">
        <v>10</v>
      </c>
      <c r="B2787" s="1" t="s">
        <v>301</v>
      </c>
      <c r="C2787" s="4">
        <v>3</v>
      </c>
      <c r="D2787" s="8">
        <v>2.1</v>
      </c>
      <c r="E2787" s="4">
        <v>3</v>
      </c>
      <c r="F2787" s="8">
        <v>4.3499999999999996</v>
      </c>
      <c r="G2787" s="4">
        <v>0</v>
      </c>
      <c r="H2787" s="8">
        <v>0</v>
      </c>
      <c r="I2787" s="4">
        <v>0</v>
      </c>
    </row>
    <row r="2788" spans="1:9" x14ac:dyDescent="0.2">
      <c r="A2788" s="2">
        <v>10</v>
      </c>
      <c r="B2788" s="1" t="s">
        <v>303</v>
      </c>
      <c r="C2788" s="4">
        <v>3</v>
      </c>
      <c r="D2788" s="8">
        <v>2.1</v>
      </c>
      <c r="E2788" s="4">
        <v>3</v>
      </c>
      <c r="F2788" s="8">
        <v>4.3499999999999996</v>
      </c>
      <c r="G2788" s="4">
        <v>0</v>
      </c>
      <c r="H2788" s="8">
        <v>0</v>
      </c>
      <c r="I2788" s="4">
        <v>0</v>
      </c>
    </row>
    <row r="2789" spans="1:9" x14ac:dyDescent="0.2">
      <c r="A2789" s="2">
        <v>17</v>
      </c>
      <c r="B2789" s="1" t="s">
        <v>328</v>
      </c>
      <c r="C2789" s="4">
        <v>2</v>
      </c>
      <c r="D2789" s="8">
        <v>1.4</v>
      </c>
      <c r="E2789" s="4">
        <v>1</v>
      </c>
      <c r="F2789" s="8">
        <v>1.45</v>
      </c>
      <c r="G2789" s="4">
        <v>1</v>
      </c>
      <c r="H2789" s="8">
        <v>1.43</v>
      </c>
      <c r="I2789" s="4">
        <v>0</v>
      </c>
    </row>
    <row r="2790" spans="1:9" x14ac:dyDescent="0.2">
      <c r="A2790" s="2">
        <v>17</v>
      </c>
      <c r="B2790" s="1" t="s">
        <v>319</v>
      </c>
      <c r="C2790" s="4">
        <v>2</v>
      </c>
      <c r="D2790" s="8">
        <v>1.4</v>
      </c>
      <c r="E2790" s="4">
        <v>0</v>
      </c>
      <c r="F2790" s="8">
        <v>0</v>
      </c>
      <c r="G2790" s="4">
        <v>2</v>
      </c>
      <c r="H2790" s="8">
        <v>2.86</v>
      </c>
      <c r="I2790" s="4">
        <v>0</v>
      </c>
    </row>
    <row r="2791" spans="1:9" x14ac:dyDescent="0.2">
      <c r="A2791" s="2">
        <v>17</v>
      </c>
      <c r="B2791" s="1" t="s">
        <v>353</v>
      </c>
      <c r="C2791" s="4">
        <v>2</v>
      </c>
      <c r="D2791" s="8">
        <v>1.4</v>
      </c>
      <c r="E2791" s="4">
        <v>2</v>
      </c>
      <c r="F2791" s="8">
        <v>2.9</v>
      </c>
      <c r="G2791" s="4">
        <v>0</v>
      </c>
      <c r="H2791" s="8">
        <v>0</v>
      </c>
      <c r="I2791" s="4">
        <v>0</v>
      </c>
    </row>
    <row r="2792" spans="1:9" x14ac:dyDescent="0.2">
      <c r="A2792" s="2">
        <v>17</v>
      </c>
      <c r="B2792" s="1" t="s">
        <v>343</v>
      </c>
      <c r="C2792" s="4">
        <v>2</v>
      </c>
      <c r="D2792" s="8">
        <v>1.4</v>
      </c>
      <c r="E2792" s="4">
        <v>1</v>
      </c>
      <c r="F2792" s="8">
        <v>1.45</v>
      </c>
      <c r="G2792" s="4">
        <v>1</v>
      </c>
      <c r="H2792" s="8">
        <v>1.43</v>
      </c>
      <c r="I2792" s="4">
        <v>0</v>
      </c>
    </row>
    <row r="2793" spans="1:9" x14ac:dyDescent="0.2">
      <c r="A2793" s="2">
        <v>17</v>
      </c>
      <c r="B2793" s="1" t="s">
        <v>333</v>
      </c>
      <c r="C2793" s="4">
        <v>2</v>
      </c>
      <c r="D2793" s="8">
        <v>1.4</v>
      </c>
      <c r="E2793" s="4">
        <v>0</v>
      </c>
      <c r="F2793" s="8">
        <v>0</v>
      </c>
      <c r="G2793" s="4">
        <v>2</v>
      </c>
      <c r="H2793" s="8">
        <v>2.86</v>
      </c>
      <c r="I2793" s="4">
        <v>0</v>
      </c>
    </row>
    <row r="2794" spans="1:9" x14ac:dyDescent="0.2">
      <c r="A2794" s="2">
        <v>17</v>
      </c>
      <c r="B2794" s="1" t="s">
        <v>413</v>
      </c>
      <c r="C2794" s="4">
        <v>2</v>
      </c>
      <c r="D2794" s="8">
        <v>1.4</v>
      </c>
      <c r="E2794" s="4">
        <v>0</v>
      </c>
      <c r="F2794" s="8">
        <v>0</v>
      </c>
      <c r="G2794" s="4">
        <v>2</v>
      </c>
      <c r="H2794" s="8">
        <v>2.86</v>
      </c>
      <c r="I2794" s="4">
        <v>0</v>
      </c>
    </row>
    <row r="2795" spans="1:9" x14ac:dyDescent="0.2">
      <c r="A2795" s="2">
        <v>17</v>
      </c>
      <c r="B2795" s="1" t="s">
        <v>432</v>
      </c>
      <c r="C2795" s="4">
        <v>2</v>
      </c>
      <c r="D2795" s="8">
        <v>1.4</v>
      </c>
      <c r="E2795" s="4">
        <v>0</v>
      </c>
      <c r="F2795" s="8">
        <v>0</v>
      </c>
      <c r="G2795" s="4">
        <v>2</v>
      </c>
      <c r="H2795" s="8">
        <v>2.86</v>
      </c>
      <c r="I2795" s="4">
        <v>0</v>
      </c>
    </row>
    <row r="2796" spans="1:9" x14ac:dyDescent="0.2">
      <c r="A2796" s="2">
        <v>17</v>
      </c>
      <c r="B2796" s="1" t="s">
        <v>474</v>
      </c>
      <c r="C2796" s="4">
        <v>2</v>
      </c>
      <c r="D2796" s="8">
        <v>1.4</v>
      </c>
      <c r="E2796" s="4">
        <v>1</v>
      </c>
      <c r="F2796" s="8">
        <v>1.45</v>
      </c>
      <c r="G2796" s="4">
        <v>1</v>
      </c>
      <c r="H2796" s="8">
        <v>1.43</v>
      </c>
      <c r="I2796" s="4">
        <v>0</v>
      </c>
    </row>
    <row r="2797" spans="1:9" x14ac:dyDescent="0.2">
      <c r="A2797" s="2">
        <v>17</v>
      </c>
      <c r="B2797" s="1" t="s">
        <v>346</v>
      </c>
      <c r="C2797" s="4">
        <v>2</v>
      </c>
      <c r="D2797" s="8">
        <v>1.4</v>
      </c>
      <c r="E2797" s="4">
        <v>2</v>
      </c>
      <c r="F2797" s="8">
        <v>2.9</v>
      </c>
      <c r="G2797" s="4">
        <v>0</v>
      </c>
      <c r="H2797" s="8">
        <v>0</v>
      </c>
      <c r="I2797" s="4">
        <v>0</v>
      </c>
    </row>
    <row r="2798" spans="1:9" x14ac:dyDescent="0.2">
      <c r="A2798" s="2">
        <v>17</v>
      </c>
      <c r="B2798" s="1" t="s">
        <v>321</v>
      </c>
      <c r="C2798" s="4">
        <v>2</v>
      </c>
      <c r="D2798" s="8">
        <v>1.4</v>
      </c>
      <c r="E2798" s="4">
        <v>0</v>
      </c>
      <c r="F2798" s="8">
        <v>0</v>
      </c>
      <c r="G2798" s="4">
        <v>2</v>
      </c>
      <c r="H2798" s="8">
        <v>2.86</v>
      </c>
      <c r="I2798" s="4">
        <v>0</v>
      </c>
    </row>
    <row r="2799" spans="1:9" x14ac:dyDescent="0.2">
      <c r="A2799" s="2">
        <v>17</v>
      </c>
      <c r="B2799" s="1" t="s">
        <v>309</v>
      </c>
      <c r="C2799" s="4">
        <v>2</v>
      </c>
      <c r="D2799" s="8">
        <v>1.4</v>
      </c>
      <c r="E2799" s="4">
        <v>1</v>
      </c>
      <c r="F2799" s="8">
        <v>1.45</v>
      </c>
      <c r="G2799" s="4">
        <v>1</v>
      </c>
      <c r="H2799" s="8">
        <v>1.43</v>
      </c>
      <c r="I2799" s="4">
        <v>0</v>
      </c>
    </row>
    <row r="2800" spans="1:9" x14ac:dyDescent="0.2">
      <c r="A2800" s="2">
        <v>17</v>
      </c>
      <c r="B2800" s="1" t="s">
        <v>293</v>
      </c>
      <c r="C2800" s="4">
        <v>2</v>
      </c>
      <c r="D2800" s="8">
        <v>1.4</v>
      </c>
      <c r="E2800" s="4">
        <v>1</v>
      </c>
      <c r="F2800" s="8">
        <v>1.45</v>
      </c>
      <c r="G2800" s="4">
        <v>1</v>
      </c>
      <c r="H2800" s="8">
        <v>1.43</v>
      </c>
      <c r="I2800" s="4">
        <v>0</v>
      </c>
    </row>
    <row r="2801" spans="1:9" x14ac:dyDescent="0.2">
      <c r="A2801" s="2">
        <v>17</v>
      </c>
      <c r="B2801" s="1" t="s">
        <v>372</v>
      </c>
      <c r="C2801" s="4">
        <v>2</v>
      </c>
      <c r="D2801" s="8">
        <v>1.4</v>
      </c>
      <c r="E2801" s="4">
        <v>0</v>
      </c>
      <c r="F2801" s="8">
        <v>0</v>
      </c>
      <c r="G2801" s="4">
        <v>2</v>
      </c>
      <c r="H2801" s="8">
        <v>2.86</v>
      </c>
      <c r="I2801" s="4">
        <v>0</v>
      </c>
    </row>
    <row r="2802" spans="1:9" x14ac:dyDescent="0.2">
      <c r="A2802" s="2">
        <v>17</v>
      </c>
      <c r="B2802" s="1" t="s">
        <v>337</v>
      </c>
      <c r="C2802" s="4">
        <v>2</v>
      </c>
      <c r="D2802" s="8">
        <v>1.4</v>
      </c>
      <c r="E2802" s="4">
        <v>2</v>
      </c>
      <c r="F2802" s="8">
        <v>2.9</v>
      </c>
      <c r="G2802" s="4">
        <v>0</v>
      </c>
      <c r="H2802" s="8">
        <v>0</v>
      </c>
      <c r="I2802" s="4">
        <v>0</v>
      </c>
    </row>
    <row r="2803" spans="1:9" x14ac:dyDescent="0.2">
      <c r="A2803" s="2">
        <v>17</v>
      </c>
      <c r="B2803" s="1" t="s">
        <v>311</v>
      </c>
      <c r="C2803" s="4">
        <v>2</v>
      </c>
      <c r="D2803" s="8">
        <v>1.4</v>
      </c>
      <c r="E2803" s="4">
        <v>1</v>
      </c>
      <c r="F2803" s="8">
        <v>1.45</v>
      </c>
      <c r="G2803" s="4">
        <v>1</v>
      </c>
      <c r="H2803" s="8">
        <v>1.43</v>
      </c>
      <c r="I2803" s="4">
        <v>0</v>
      </c>
    </row>
    <row r="2804" spans="1:9" x14ac:dyDescent="0.2">
      <c r="A2804" s="2">
        <v>17</v>
      </c>
      <c r="B2804" s="1" t="s">
        <v>298</v>
      </c>
      <c r="C2804" s="4">
        <v>2</v>
      </c>
      <c r="D2804" s="8">
        <v>1.4</v>
      </c>
      <c r="E2804" s="4">
        <v>2</v>
      </c>
      <c r="F2804" s="8">
        <v>2.9</v>
      </c>
      <c r="G2804" s="4">
        <v>0</v>
      </c>
      <c r="H2804" s="8">
        <v>0</v>
      </c>
      <c r="I2804" s="4">
        <v>0</v>
      </c>
    </row>
    <row r="2805" spans="1:9" x14ac:dyDescent="0.2">
      <c r="A2805" s="2">
        <v>17</v>
      </c>
      <c r="B2805" s="1" t="s">
        <v>334</v>
      </c>
      <c r="C2805" s="4">
        <v>2</v>
      </c>
      <c r="D2805" s="8">
        <v>1.4</v>
      </c>
      <c r="E2805" s="4">
        <v>2</v>
      </c>
      <c r="F2805" s="8">
        <v>2.9</v>
      </c>
      <c r="G2805" s="4">
        <v>0</v>
      </c>
      <c r="H2805" s="8">
        <v>0</v>
      </c>
      <c r="I2805" s="4">
        <v>0</v>
      </c>
    </row>
    <row r="2806" spans="1:9" x14ac:dyDescent="0.2">
      <c r="A2806" s="2">
        <v>17</v>
      </c>
      <c r="B2806" s="1" t="s">
        <v>307</v>
      </c>
      <c r="C2806" s="4">
        <v>2</v>
      </c>
      <c r="D2806" s="8">
        <v>1.4</v>
      </c>
      <c r="E2806" s="4">
        <v>0</v>
      </c>
      <c r="F2806" s="8">
        <v>0</v>
      </c>
      <c r="G2806" s="4">
        <v>2</v>
      </c>
      <c r="H2806" s="8">
        <v>2.86</v>
      </c>
      <c r="I2806" s="4">
        <v>0</v>
      </c>
    </row>
    <row r="2807" spans="1:9" x14ac:dyDescent="0.2">
      <c r="A2807" s="2">
        <v>17</v>
      </c>
      <c r="B2807" s="1" t="s">
        <v>371</v>
      </c>
      <c r="C2807" s="4">
        <v>2</v>
      </c>
      <c r="D2807" s="8">
        <v>1.4</v>
      </c>
      <c r="E2807" s="4">
        <v>1</v>
      </c>
      <c r="F2807" s="8">
        <v>1.45</v>
      </c>
      <c r="G2807" s="4">
        <v>1</v>
      </c>
      <c r="H2807" s="8">
        <v>1.43</v>
      </c>
      <c r="I2807" s="4">
        <v>0</v>
      </c>
    </row>
    <row r="2808" spans="1:9" x14ac:dyDescent="0.2">
      <c r="A2808" s="2">
        <v>17</v>
      </c>
      <c r="B2808" s="1" t="s">
        <v>475</v>
      </c>
      <c r="C2808" s="4">
        <v>2</v>
      </c>
      <c r="D2808" s="8">
        <v>1.4</v>
      </c>
      <c r="E2808" s="4">
        <v>1</v>
      </c>
      <c r="F2808" s="8">
        <v>1.45</v>
      </c>
      <c r="G2808" s="4">
        <v>1</v>
      </c>
      <c r="H2808" s="8">
        <v>1.43</v>
      </c>
      <c r="I2808" s="4">
        <v>0</v>
      </c>
    </row>
    <row r="2809" spans="1:9" x14ac:dyDescent="0.2">
      <c r="A2809" s="1"/>
      <c r="C2809" s="4"/>
      <c r="D2809" s="8"/>
      <c r="E2809" s="4"/>
      <c r="F2809" s="8"/>
      <c r="G2809" s="4"/>
      <c r="H2809" s="8"/>
      <c r="I2809" s="4"/>
    </row>
    <row r="2810" spans="1:9" x14ac:dyDescent="0.2">
      <c r="A2810" s="1" t="s">
        <v>98</v>
      </c>
      <c r="C2810" s="4"/>
      <c r="D2810" s="8"/>
      <c r="E2810" s="4"/>
      <c r="F2810" s="8"/>
      <c r="G2810" s="4"/>
      <c r="H2810" s="8"/>
      <c r="I2810" s="4"/>
    </row>
    <row r="2811" spans="1:9" x14ac:dyDescent="0.2">
      <c r="A2811" s="2">
        <v>1</v>
      </c>
      <c r="B2811" s="1" t="s">
        <v>304</v>
      </c>
      <c r="C2811" s="4">
        <v>9</v>
      </c>
      <c r="D2811" s="8">
        <v>5.03</v>
      </c>
      <c r="E2811" s="4">
        <v>8</v>
      </c>
      <c r="F2811" s="8">
        <v>12.31</v>
      </c>
      <c r="G2811" s="4">
        <v>1</v>
      </c>
      <c r="H2811" s="8">
        <v>0.93</v>
      </c>
      <c r="I2811" s="4">
        <v>0</v>
      </c>
    </row>
    <row r="2812" spans="1:9" x14ac:dyDescent="0.2">
      <c r="A2812" s="2">
        <v>2</v>
      </c>
      <c r="B2812" s="1" t="s">
        <v>359</v>
      </c>
      <c r="C2812" s="4">
        <v>6</v>
      </c>
      <c r="D2812" s="8">
        <v>3.35</v>
      </c>
      <c r="E2812" s="4">
        <v>1</v>
      </c>
      <c r="F2812" s="8">
        <v>1.54</v>
      </c>
      <c r="G2812" s="4">
        <v>5</v>
      </c>
      <c r="H2812" s="8">
        <v>4.67</v>
      </c>
      <c r="I2812" s="4">
        <v>0</v>
      </c>
    </row>
    <row r="2813" spans="1:9" x14ac:dyDescent="0.2">
      <c r="A2813" s="2">
        <v>2</v>
      </c>
      <c r="B2813" s="1" t="s">
        <v>303</v>
      </c>
      <c r="C2813" s="4">
        <v>6</v>
      </c>
      <c r="D2813" s="8">
        <v>3.35</v>
      </c>
      <c r="E2813" s="4">
        <v>6</v>
      </c>
      <c r="F2813" s="8">
        <v>9.23</v>
      </c>
      <c r="G2813" s="4">
        <v>0</v>
      </c>
      <c r="H2813" s="8">
        <v>0</v>
      </c>
      <c r="I2813" s="4">
        <v>0</v>
      </c>
    </row>
    <row r="2814" spans="1:9" x14ac:dyDescent="0.2">
      <c r="A2814" s="2">
        <v>2</v>
      </c>
      <c r="B2814" s="1" t="s">
        <v>327</v>
      </c>
      <c r="C2814" s="4">
        <v>6</v>
      </c>
      <c r="D2814" s="8">
        <v>3.35</v>
      </c>
      <c r="E2814" s="4">
        <v>4</v>
      </c>
      <c r="F2814" s="8">
        <v>6.15</v>
      </c>
      <c r="G2814" s="4">
        <v>2</v>
      </c>
      <c r="H2814" s="8">
        <v>1.87</v>
      </c>
      <c r="I2814" s="4">
        <v>0</v>
      </c>
    </row>
    <row r="2815" spans="1:9" x14ac:dyDescent="0.2">
      <c r="A2815" s="2">
        <v>5</v>
      </c>
      <c r="B2815" s="1" t="s">
        <v>328</v>
      </c>
      <c r="C2815" s="4">
        <v>5</v>
      </c>
      <c r="D2815" s="8">
        <v>2.79</v>
      </c>
      <c r="E2815" s="4">
        <v>0</v>
      </c>
      <c r="F2815" s="8">
        <v>0</v>
      </c>
      <c r="G2815" s="4">
        <v>5</v>
      </c>
      <c r="H2815" s="8">
        <v>4.67</v>
      </c>
      <c r="I2815" s="4">
        <v>0</v>
      </c>
    </row>
    <row r="2816" spans="1:9" x14ac:dyDescent="0.2">
      <c r="A2816" s="2">
        <v>5</v>
      </c>
      <c r="B2816" s="1" t="s">
        <v>329</v>
      </c>
      <c r="C2816" s="4">
        <v>5</v>
      </c>
      <c r="D2816" s="8">
        <v>2.79</v>
      </c>
      <c r="E2816" s="4">
        <v>1</v>
      </c>
      <c r="F2816" s="8">
        <v>1.54</v>
      </c>
      <c r="G2816" s="4">
        <v>4</v>
      </c>
      <c r="H2816" s="8">
        <v>3.74</v>
      </c>
      <c r="I2816" s="4">
        <v>0</v>
      </c>
    </row>
    <row r="2817" spans="1:9" x14ac:dyDescent="0.2">
      <c r="A2817" s="2">
        <v>5</v>
      </c>
      <c r="B2817" s="1" t="s">
        <v>295</v>
      </c>
      <c r="C2817" s="4">
        <v>5</v>
      </c>
      <c r="D2817" s="8">
        <v>2.79</v>
      </c>
      <c r="E2817" s="4">
        <v>2</v>
      </c>
      <c r="F2817" s="8">
        <v>3.08</v>
      </c>
      <c r="G2817" s="4">
        <v>3</v>
      </c>
      <c r="H2817" s="8">
        <v>2.8</v>
      </c>
      <c r="I2817" s="4">
        <v>0</v>
      </c>
    </row>
    <row r="2818" spans="1:9" x14ac:dyDescent="0.2">
      <c r="A2818" s="2">
        <v>5</v>
      </c>
      <c r="B2818" s="1" t="s">
        <v>299</v>
      </c>
      <c r="C2818" s="4">
        <v>5</v>
      </c>
      <c r="D2818" s="8">
        <v>2.79</v>
      </c>
      <c r="E2818" s="4">
        <v>2</v>
      </c>
      <c r="F2818" s="8">
        <v>3.08</v>
      </c>
      <c r="G2818" s="4">
        <v>3</v>
      </c>
      <c r="H2818" s="8">
        <v>2.8</v>
      </c>
      <c r="I2818" s="4">
        <v>0</v>
      </c>
    </row>
    <row r="2819" spans="1:9" x14ac:dyDescent="0.2">
      <c r="A2819" s="2">
        <v>5</v>
      </c>
      <c r="B2819" s="1" t="s">
        <v>306</v>
      </c>
      <c r="C2819" s="4">
        <v>5</v>
      </c>
      <c r="D2819" s="8">
        <v>2.79</v>
      </c>
      <c r="E2819" s="4">
        <v>4</v>
      </c>
      <c r="F2819" s="8">
        <v>6.15</v>
      </c>
      <c r="G2819" s="4">
        <v>1</v>
      </c>
      <c r="H2819" s="8">
        <v>0.93</v>
      </c>
      <c r="I2819" s="4">
        <v>0</v>
      </c>
    </row>
    <row r="2820" spans="1:9" x14ac:dyDescent="0.2">
      <c r="A2820" s="2">
        <v>10</v>
      </c>
      <c r="B2820" s="1" t="s">
        <v>353</v>
      </c>
      <c r="C2820" s="4">
        <v>4</v>
      </c>
      <c r="D2820" s="8">
        <v>2.23</v>
      </c>
      <c r="E2820" s="4">
        <v>1</v>
      </c>
      <c r="F2820" s="8">
        <v>1.54</v>
      </c>
      <c r="G2820" s="4">
        <v>3</v>
      </c>
      <c r="H2820" s="8">
        <v>2.8</v>
      </c>
      <c r="I2820" s="4">
        <v>0</v>
      </c>
    </row>
    <row r="2821" spans="1:9" x14ac:dyDescent="0.2">
      <c r="A2821" s="2">
        <v>10</v>
      </c>
      <c r="B2821" s="1" t="s">
        <v>333</v>
      </c>
      <c r="C2821" s="4">
        <v>4</v>
      </c>
      <c r="D2821" s="8">
        <v>2.23</v>
      </c>
      <c r="E2821" s="4">
        <v>1</v>
      </c>
      <c r="F2821" s="8">
        <v>1.54</v>
      </c>
      <c r="G2821" s="4">
        <v>3</v>
      </c>
      <c r="H2821" s="8">
        <v>2.8</v>
      </c>
      <c r="I2821" s="4">
        <v>0</v>
      </c>
    </row>
    <row r="2822" spans="1:9" x14ac:dyDescent="0.2">
      <c r="A2822" s="2">
        <v>10</v>
      </c>
      <c r="B2822" s="1" t="s">
        <v>297</v>
      </c>
      <c r="C2822" s="4">
        <v>4</v>
      </c>
      <c r="D2822" s="8">
        <v>2.23</v>
      </c>
      <c r="E2822" s="4">
        <v>2</v>
      </c>
      <c r="F2822" s="8">
        <v>3.08</v>
      </c>
      <c r="G2822" s="4">
        <v>2</v>
      </c>
      <c r="H2822" s="8">
        <v>1.87</v>
      </c>
      <c r="I2822" s="4">
        <v>0</v>
      </c>
    </row>
    <row r="2823" spans="1:9" x14ac:dyDescent="0.2">
      <c r="A2823" s="2">
        <v>10</v>
      </c>
      <c r="B2823" s="1" t="s">
        <v>419</v>
      </c>
      <c r="C2823" s="4">
        <v>4</v>
      </c>
      <c r="D2823" s="8">
        <v>2.23</v>
      </c>
      <c r="E2823" s="4">
        <v>4</v>
      </c>
      <c r="F2823" s="8">
        <v>6.15</v>
      </c>
      <c r="G2823" s="4">
        <v>0</v>
      </c>
      <c r="H2823" s="8">
        <v>0</v>
      </c>
      <c r="I2823" s="4">
        <v>0</v>
      </c>
    </row>
    <row r="2824" spans="1:9" x14ac:dyDescent="0.2">
      <c r="A2824" s="2">
        <v>10</v>
      </c>
      <c r="B2824" s="1" t="s">
        <v>300</v>
      </c>
      <c r="C2824" s="4">
        <v>4</v>
      </c>
      <c r="D2824" s="8">
        <v>2.23</v>
      </c>
      <c r="E2824" s="4">
        <v>4</v>
      </c>
      <c r="F2824" s="8">
        <v>6.15</v>
      </c>
      <c r="G2824" s="4">
        <v>0</v>
      </c>
      <c r="H2824" s="8">
        <v>0</v>
      </c>
      <c r="I2824" s="4">
        <v>0</v>
      </c>
    </row>
    <row r="2825" spans="1:9" x14ac:dyDescent="0.2">
      <c r="A2825" s="2">
        <v>10</v>
      </c>
      <c r="B2825" s="1" t="s">
        <v>323</v>
      </c>
      <c r="C2825" s="4">
        <v>4</v>
      </c>
      <c r="D2825" s="8">
        <v>2.23</v>
      </c>
      <c r="E2825" s="4">
        <v>0</v>
      </c>
      <c r="F2825" s="8">
        <v>0</v>
      </c>
      <c r="G2825" s="4">
        <v>4</v>
      </c>
      <c r="H2825" s="8">
        <v>3.74</v>
      </c>
      <c r="I2825" s="4">
        <v>0</v>
      </c>
    </row>
    <row r="2826" spans="1:9" x14ac:dyDescent="0.2">
      <c r="A2826" s="2">
        <v>16</v>
      </c>
      <c r="B2826" s="1" t="s">
        <v>319</v>
      </c>
      <c r="C2826" s="4">
        <v>3</v>
      </c>
      <c r="D2826" s="8">
        <v>1.68</v>
      </c>
      <c r="E2826" s="4">
        <v>1</v>
      </c>
      <c r="F2826" s="8">
        <v>1.54</v>
      </c>
      <c r="G2826" s="4">
        <v>2</v>
      </c>
      <c r="H2826" s="8">
        <v>1.87</v>
      </c>
      <c r="I2826" s="4">
        <v>0</v>
      </c>
    </row>
    <row r="2827" spans="1:9" x14ac:dyDescent="0.2">
      <c r="A2827" s="2">
        <v>16</v>
      </c>
      <c r="B2827" s="1" t="s">
        <v>308</v>
      </c>
      <c r="C2827" s="4">
        <v>3</v>
      </c>
      <c r="D2827" s="8">
        <v>1.68</v>
      </c>
      <c r="E2827" s="4">
        <v>1</v>
      </c>
      <c r="F2827" s="8">
        <v>1.54</v>
      </c>
      <c r="G2827" s="4">
        <v>2</v>
      </c>
      <c r="H2827" s="8">
        <v>1.87</v>
      </c>
      <c r="I2827" s="4">
        <v>0</v>
      </c>
    </row>
    <row r="2828" spans="1:9" x14ac:dyDescent="0.2">
      <c r="A2828" s="2">
        <v>16</v>
      </c>
      <c r="B2828" s="1" t="s">
        <v>290</v>
      </c>
      <c r="C2828" s="4">
        <v>3</v>
      </c>
      <c r="D2828" s="8">
        <v>1.68</v>
      </c>
      <c r="E2828" s="4">
        <v>1</v>
      </c>
      <c r="F2828" s="8">
        <v>1.54</v>
      </c>
      <c r="G2828" s="4">
        <v>2</v>
      </c>
      <c r="H2828" s="8">
        <v>1.87</v>
      </c>
      <c r="I2828" s="4">
        <v>0</v>
      </c>
    </row>
    <row r="2829" spans="1:9" x14ac:dyDescent="0.2">
      <c r="A2829" s="2">
        <v>16</v>
      </c>
      <c r="B2829" s="1" t="s">
        <v>291</v>
      </c>
      <c r="C2829" s="4">
        <v>3</v>
      </c>
      <c r="D2829" s="8">
        <v>1.68</v>
      </c>
      <c r="E2829" s="4">
        <v>1</v>
      </c>
      <c r="F2829" s="8">
        <v>1.54</v>
      </c>
      <c r="G2829" s="4">
        <v>2</v>
      </c>
      <c r="H2829" s="8">
        <v>1.87</v>
      </c>
      <c r="I2829" s="4">
        <v>0</v>
      </c>
    </row>
    <row r="2830" spans="1:9" x14ac:dyDescent="0.2">
      <c r="A2830" s="2">
        <v>16</v>
      </c>
      <c r="B2830" s="1" t="s">
        <v>294</v>
      </c>
      <c r="C2830" s="4">
        <v>3</v>
      </c>
      <c r="D2830" s="8">
        <v>1.68</v>
      </c>
      <c r="E2830" s="4">
        <v>1</v>
      </c>
      <c r="F2830" s="8">
        <v>1.54</v>
      </c>
      <c r="G2830" s="4">
        <v>2</v>
      </c>
      <c r="H2830" s="8">
        <v>1.87</v>
      </c>
      <c r="I2830" s="4">
        <v>0</v>
      </c>
    </row>
    <row r="2831" spans="1:9" x14ac:dyDescent="0.2">
      <c r="A2831" s="2">
        <v>16</v>
      </c>
      <c r="B2831" s="1" t="s">
        <v>396</v>
      </c>
      <c r="C2831" s="4">
        <v>3</v>
      </c>
      <c r="D2831" s="8">
        <v>1.68</v>
      </c>
      <c r="E2831" s="4">
        <v>0</v>
      </c>
      <c r="F2831" s="8">
        <v>0</v>
      </c>
      <c r="G2831" s="4">
        <v>3</v>
      </c>
      <c r="H2831" s="8">
        <v>2.8</v>
      </c>
      <c r="I2831" s="4">
        <v>0</v>
      </c>
    </row>
    <row r="2832" spans="1:9" x14ac:dyDescent="0.2">
      <c r="A2832" s="2">
        <v>16</v>
      </c>
      <c r="B2832" s="1" t="s">
        <v>302</v>
      </c>
      <c r="C2832" s="4">
        <v>3</v>
      </c>
      <c r="D2832" s="8">
        <v>1.68</v>
      </c>
      <c r="E2832" s="4">
        <v>1</v>
      </c>
      <c r="F2832" s="8">
        <v>1.54</v>
      </c>
      <c r="G2832" s="4">
        <v>2</v>
      </c>
      <c r="H2832" s="8">
        <v>1.87</v>
      </c>
      <c r="I2832" s="4">
        <v>0</v>
      </c>
    </row>
    <row r="2833" spans="1:9" x14ac:dyDescent="0.2">
      <c r="A2833" s="2">
        <v>16</v>
      </c>
      <c r="B2833" s="1" t="s">
        <v>352</v>
      </c>
      <c r="C2833" s="4">
        <v>3</v>
      </c>
      <c r="D2833" s="8">
        <v>1.68</v>
      </c>
      <c r="E2833" s="4">
        <v>2</v>
      </c>
      <c r="F2833" s="8">
        <v>3.08</v>
      </c>
      <c r="G2833" s="4">
        <v>1</v>
      </c>
      <c r="H2833" s="8">
        <v>0.93</v>
      </c>
      <c r="I2833" s="4">
        <v>0</v>
      </c>
    </row>
    <row r="2834" spans="1:9" x14ac:dyDescent="0.2">
      <c r="A2834" s="2">
        <v>16</v>
      </c>
      <c r="B2834" s="1" t="s">
        <v>341</v>
      </c>
      <c r="C2834" s="4">
        <v>3</v>
      </c>
      <c r="D2834" s="8">
        <v>1.68</v>
      </c>
      <c r="E2834" s="4">
        <v>1</v>
      </c>
      <c r="F2834" s="8">
        <v>1.54</v>
      </c>
      <c r="G2834" s="4">
        <v>1</v>
      </c>
      <c r="H2834" s="8">
        <v>0.93</v>
      </c>
      <c r="I2834" s="4">
        <v>0</v>
      </c>
    </row>
    <row r="2835" spans="1:9" x14ac:dyDescent="0.2">
      <c r="A2835" s="2">
        <v>16</v>
      </c>
      <c r="B2835" s="1" t="s">
        <v>331</v>
      </c>
      <c r="C2835" s="4">
        <v>3</v>
      </c>
      <c r="D2835" s="8">
        <v>1.68</v>
      </c>
      <c r="E2835" s="4">
        <v>0</v>
      </c>
      <c r="F2835" s="8">
        <v>0</v>
      </c>
      <c r="G2835" s="4">
        <v>2</v>
      </c>
      <c r="H2835" s="8">
        <v>1.87</v>
      </c>
      <c r="I2835" s="4">
        <v>0</v>
      </c>
    </row>
    <row r="2836" spans="1:9" x14ac:dyDescent="0.2">
      <c r="A2836" s="2">
        <v>16</v>
      </c>
      <c r="B2836" s="1" t="s">
        <v>307</v>
      </c>
      <c r="C2836" s="4">
        <v>3</v>
      </c>
      <c r="D2836" s="8">
        <v>1.68</v>
      </c>
      <c r="E2836" s="4">
        <v>1</v>
      </c>
      <c r="F2836" s="8">
        <v>1.54</v>
      </c>
      <c r="G2836" s="4">
        <v>2</v>
      </c>
      <c r="H2836" s="8">
        <v>1.87</v>
      </c>
      <c r="I2836" s="4">
        <v>0</v>
      </c>
    </row>
    <row r="2837" spans="1:9" x14ac:dyDescent="0.2">
      <c r="A2837" s="1"/>
      <c r="C2837" s="4"/>
      <c r="D2837" s="8"/>
      <c r="E2837" s="4"/>
      <c r="F2837" s="8"/>
      <c r="G2837" s="4"/>
      <c r="H2837" s="8"/>
      <c r="I2837" s="4"/>
    </row>
    <row r="2838" spans="1:9" x14ac:dyDescent="0.2">
      <c r="A2838" s="1" t="s">
        <v>99</v>
      </c>
      <c r="C2838" s="4"/>
      <c r="D2838" s="8"/>
      <c r="E2838" s="4"/>
      <c r="F2838" s="8"/>
      <c r="G2838" s="4"/>
      <c r="H2838" s="8"/>
      <c r="I2838" s="4"/>
    </row>
    <row r="2839" spans="1:9" x14ac:dyDescent="0.2">
      <c r="A2839" s="2">
        <v>1</v>
      </c>
      <c r="B2839" s="1" t="s">
        <v>297</v>
      </c>
      <c r="C2839" s="4">
        <v>9</v>
      </c>
      <c r="D2839" s="8">
        <v>5.92</v>
      </c>
      <c r="E2839" s="4">
        <v>9</v>
      </c>
      <c r="F2839" s="8">
        <v>12.33</v>
      </c>
      <c r="G2839" s="4">
        <v>0</v>
      </c>
      <c r="H2839" s="8">
        <v>0</v>
      </c>
      <c r="I2839" s="4">
        <v>0</v>
      </c>
    </row>
    <row r="2840" spans="1:9" x14ac:dyDescent="0.2">
      <c r="A2840" s="2">
        <v>2</v>
      </c>
      <c r="B2840" s="1" t="s">
        <v>329</v>
      </c>
      <c r="C2840" s="4">
        <v>5</v>
      </c>
      <c r="D2840" s="8">
        <v>3.29</v>
      </c>
      <c r="E2840" s="4">
        <v>3</v>
      </c>
      <c r="F2840" s="8">
        <v>4.1100000000000003</v>
      </c>
      <c r="G2840" s="4">
        <v>2</v>
      </c>
      <c r="H2840" s="8">
        <v>2.86</v>
      </c>
      <c r="I2840" s="4">
        <v>0</v>
      </c>
    </row>
    <row r="2841" spans="1:9" x14ac:dyDescent="0.2">
      <c r="A2841" s="2">
        <v>2</v>
      </c>
      <c r="B2841" s="1" t="s">
        <v>292</v>
      </c>
      <c r="C2841" s="4">
        <v>5</v>
      </c>
      <c r="D2841" s="8">
        <v>3.29</v>
      </c>
      <c r="E2841" s="4">
        <v>3</v>
      </c>
      <c r="F2841" s="8">
        <v>4.1100000000000003</v>
      </c>
      <c r="G2841" s="4">
        <v>2</v>
      </c>
      <c r="H2841" s="8">
        <v>2.86</v>
      </c>
      <c r="I2841" s="4">
        <v>0</v>
      </c>
    </row>
    <row r="2842" spans="1:9" x14ac:dyDescent="0.2">
      <c r="A2842" s="2">
        <v>2</v>
      </c>
      <c r="B2842" s="1" t="s">
        <v>344</v>
      </c>
      <c r="C2842" s="4">
        <v>5</v>
      </c>
      <c r="D2842" s="8">
        <v>3.29</v>
      </c>
      <c r="E2842" s="4">
        <v>3</v>
      </c>
      <c r="F2842" s="8">
        <v>4.1100000000000003</v>
      </c>
      <c r="G2842" s="4">
        <v>2</v>
      </c>
      <c r="H2842" s="8">
        <v>2.86</v>
      </c>
      <c r="I2842" s="4">
        <v>0</v>
      </c>
    </row>
    <row r="2843" spans="1:9" x14ac:dyDescent="0.2">
      <c r="A2843" s="2">
        <v>2</v>
      </c>
      <c r="B2843" s="1" t="s">
        <v>304</v>
      </c>
      <c r="C2843" s="4">
        <v>5</v>
      </c>
      <c r="D2843" s="8">
        <v>3.29</v>
      </c>
      <c r="E2843" s="4">
        <v>5</v>
      </c>
      <c r="F2843" s="8">
        <v>6.85</v>
      </c>
      <c r="G2843" s="4">
        <v>0</v>
      </c>
      <c r="H2843" s="8">
        <v>0</v>
      </c>
      <c r="I2843" s="4">
        <v>0</v>
      </c>
    </row>
    <row r="2844" spans="1:9" x14ac:dyDescent="0.2">
      <c r="A2844" s="2">
        <v>6</v>
      </c>
      <c r="B2844" s="1" t="s">
        <v>288</v>
      </c>
      <c r="C2844" s="4">
        <v>4</v>
      </c>
      <c r="D2844" s="8">
        <v>2.63</v>
      </c>
      <c r="E2844" s="4">
        <v>0</v>
      </c>
      <c r="F2844" s="8">
        <v>0</v>
      </c>
      <c r="G2844" s="4">
        <v>4</v>
      </c>
      <c r="H2844" s="8">
        <v>5.71</v>
      </c>
      <c r="I2844" s="4">
        <v>0</v>
      </c>
    </row>
    <row r="2845" spans="1:9" x14ac:dyDescent="0.2">
      <c r="A2845" s="2">
        <v>6</v>
      </c>
      <c r="B2845" s="1" t="s">
        <v>434</v>
      </c>
      <c r="C2845" s="4">
        <v>4</v>
      </c>
      <c r="D2845" s="8">
        <v>2.63</v>
      </c>
      <c r="E2845" s="4">
        <v>0</v>
      </c>
      <c r="F2845" s="8">
        <v>0</v>
      </c>
      <c r="G2845" s="4">
        <v>4</v>
      </c>
      <c r="H2845" s="8">
        <v>5.71</v>
      </c>
      <c r="I2845" s="4">
        <v>0</v>
      </c>
    </row>
    <row r="2846" spans="1:9" x14ac:dyDescent="0.2">
      <c r="A2846" s="2">
        <v>6</v>
      </c>
      <c r="B2846" s="1" t="s">
        <v>339</v>
      </c>
      <c r="C2846" s="4">
        <v>4</v>
      </c>
      <c r="D2846" s="8">
        <v>2.63</v>
      </c>
      <c r="E2846" s="4">
        <v>3</v>
      </c>
      <c r="F2846" s="8">
        <v>4.1100000000000003</v>
      </c>
      <c r="G2846" s="4">
        <v>1</v>
      </c>
      <c r="H2846" s="8">
        <v>1.43</v>
      </c>
      <c r="I2846" s="4">
        <v>0</v>
      </c>
    </row>
    <row r="2847" spans="1:9" x14ac:dyDescent="0.2">
      <c r="A2847" s="2">
        <v>6</v>
      </c>
      <c r="B2847" s="1" t="s">
        <v>301</v>
      </c>
      <c r="C2847" s="4">
        <v>4</v>
      </c>
      <c r="D2847" s="8">
        <v>2.63</v>
      </c>
      <c r="E2847" s="4">
        <v>4</v>
      </c>
      <c r="F2847" s="8">
        <v>5.48</v>
      </c>
      <c r="G2847" s="4">
        <v>0</v>
      </c>
      <c r="H2847" s="8">
        <v>0</v>
      </c>
      <c r="I2847" s="4">
        <v>0</v>
      </c>
    </row>
    <row r="2848" spans="1:9" x14ac:dyDescent="0.2">
      <c r="A2848" s="2">
        <v>6</v>
      </c>
      <c r="B2848" s="1" t="s">
        <v>303</v>
      </c>
      <c r="C2848" s="4">
        <v>4</v>
      </c>
      <c r="D2848" s="8">
        <v>2.63</v>
      </c>
      <c r="E2848" s="4">
        <v>4</v>
      </c>
      <c r="F2848" s="8">
        <v>5.48</v>
      </c>
      <c r="G2848" s="4">
        <v>0</v>
      </c>
      <c r="H2848" s="8">
        <v>0</v>
      </c>
      <c r="I2848" s="4">
        <v>0</v>
      </c>
    </row>
    <row r="2849" spans="1:9" x14ac:dyDescent="0.2">
      <c r="A2849" s="2">
        <v>11</v>
      </c>
      <c r="B2849" s="1" t="s">
        <v>446</v>
      </c>
      <c r="C2849" s="4">
        <v>3</v>
      </c>
      <c r="D2849" s="8">
        <v>1.97</v>
      </c>
      <c r="E2849" s="4">
        <v>1</v>
      </c>
      <c r="F2849" s="8">
        <v>1.37</v>
      </c>
      <c r="G2849" s="4">
        <v>2</v>
      </c>
      <c r="H2849" s="8">
        <v>2.86</v>
      </c>
      <c r="I2849" s="4">
        <v>0</v>
      </c>
    </row>
    <row r="2850" spans="1:9" x14ac:dyDescent="0.2">
      <c r="A2850" s="2">
        <v>11</v>
      </c>
      <c r="B2850" s="1" t="s">
        <v>401</v>
      </c>
      <c r="C2850" s="4">
        <v>3</v>
      </c>
      <c r="D2850" s="8">
        <v>1.97</v>
      </c>
      <c r="E2850" s="4">
        <v>2</v>
      </c>
      <c r="F2850" s="8">
        <v>2.74</v>
      </c>
      <c r="G2850" s="4">
        <v>1</v>
      </c>
      <c r="H2850" s="8">
        <v>1.43</v>
      </c>
      <c r="I2850" s="4">
        <v>0</v>
      </c>
    </row>
    <row r="2851" spans="1:9" x14ac:dyDescent="0.2">
      <c r="A2851" s="2">
        <v>11</v>
      </c>
      <c r="B2851" s="1" t="s">
        <v>300</v>
      </c>
      <c r="C2851" s="4">
        <v>3</v>
      </c>
      <c r="D2851" s="8">
        <v>1.97</v>
      </c>
      <c r="E2851" s="4">
        <v>3</v>
      </c>
      <c r="F2851" s="8">
        <v>4.1100000000000003</v>
      </c>
      <c r="G2851" s="4">
        <v>0</v>
      </c>
      <c r="H2851" s="8">
        <v>0</v>
      </c>
      <c r="I2851" s="4">
        <v>0</v>
      </c>
    </row>
    <row r="2852" spans="1:9" x14ac:dyDescent="0.2">
      <c r="A2852" s="2">
        <v>11</v>
      </c>
      <c r="B2852" s="1" t="s">
        <v>340</v>
      </c>
      <c r="C2852" s="4">
        <v>3</v>
      </c>
      <c r="D2852" s="8">
        <v>1.97</v>
      </c>
      <c r="E2852" s="4">
        <v>0</v>
      </c>
      <c r="F2852" s="8">
        <v>0</v>
      </c>
      <c r="G2852" s="4">
        <v>2</v>
      </c>
      <c r="H2852" s="8">
        <v>2.86</v>
      </c>
      <c r="I2852" s="4">
        <v>0</v>
      </c>
    </row>
    <row r="2853" spans="1:9" x14ac:dyDescent="0.2">
      <c r="A2853" s="2">
        <v>11</v>
      </c>
      <c r="B2853" s="1" t="s">
        <v>331</v>
      </c>
      <c r="C2853" s="4">
        <v>3</v>
      </c>
      <c r="D2853" s="8">
        <v>1.97</v>
      </c>
      <c r="E2853" s="4">
        <v>0</v>
      </c>
      <c r="F2853" s="8">
        <v>0</v>
      </c>
      <c r="G2853" s="4">
        <v>2</v>
      </c>
      <c r="H2853" s="8">
        <v>2.86</v>
      </c>
      <c r="I2853" s="4">
        <v>0</v>
      </c>
    </row>
    <row r="2854" spans="1:9" x14ac:dyDescent="0.2">
      <c r="A2854" s="2">
        <v>16</v>
      </c>
      <c r="B2854" s="1" t="s">
        <v>289</v>
      </c>
      <c r="C2854" s="4">
        <v>2</v>
      </c>
      <c r="D2854" s="8">
        <v>1.32</v>
      </c>
      <c r="E2854" s="4">
        <v>1</v>
      </c>
      <c r="F2854" s="8">
        <v>1.37</v>
      </c>
      <c r="G2854" s="4">
        <v>1</v>
      </c>
      <c r="H2854" s="8">
        <v>1.43</v>
      </c>
      <c r="I2854" s="4">
        <v>0</v>
      </c>
    </row>
    <row r="2855" spans="1:9" x14ac:dyDescent="0.2">
      <c r="A2855" s="2">
        <v>16</v>
      </c>
      <c r="B2855" s="1" t="s">
        <v>343</v>
      </c>
      <c r="C2855" s="4">
        <v>2</v>
      </c>
      <c r="D2855" s="8">
        <v>1.32</v>
      </c>
      <c r="E2855" s="4">
        <v>0</v>
      </c>
      <c r="F2855" s="8">
        <v>0</v>
      </c>
      <c r="G2855" s="4">
        <v>2</v>
      </c>
      <c r="H2855" s="8">
        <v>2.86</v>
      </c>
      <c r="I2855" s="4">
        <v>0</v>
      </c>
    </row>
    <row r="2856" spans="1:9" x14ac:dyDescent="0.2">
      <c r="A2856" s="2">
        <v>16</v>
      </c>
      <c r="B2856" s="1" t="s">
        <v>320</v>
      </c>
      <c r="C2856" s="4">
        <v>2</v>
      </c>
      <c r="D2856" s="8">
        <v>1.32</v>
      </c>
      <c r="E2856" s="4">
        <v>1</v>
      </c>
      <c r="F2856" s="8">
        <v>1.37</v>
      </c>
      <c r="G2856" s="4">
        <v>1</v>
      </c>
      <c r="H2856" s="8">
        <v>1.43</v>
      </c>
      <c r="I2856" s="4">
        <v>0</v>
      </c>
    </row>
    <row r="2857" spans="1:9" x14ac:dyDescent="0.2">
      <c r="A2857" s="2">
        <v>16</v>
      </c>
      <c r="B2857" s="1" t="s">
        <v>290</v>
      </c>
      <c r="C2857" s="4">
        <v>2</v>
      </c>
      <c r="D2857" s="8">
        <v>1.32</v>
      </c>
      <c r="E2857" s="4">
        <v>0</v>
      </c>
      <c r="F2857" s="8">
        <v>0</v>
      </c>
      <c r="G2857" s="4">
        <v>2</v>
      </c>
      <c r="H2857" s="8">
        <v>2.86</v>
      </c>
      <c r="I2857" s="4">
        <v>0</v>
      </c>
    </row>
    <row r="2858" spans="1:9" x14ac:dyDescent="0.2">
      <c r="A2858" s="2">
        <v>16</v>
      </c>
      <c r="B2858" s="1" t="s">
        <v>359</v>
      </c>
      <c r="C2858" s="4">
        <v>2</v>
      </c>
      <c r="D2858" s="8">
        <v>1.32</v>
      </c>
      <c r="E2858" s="4">
        <v>1</v>
      </c>
      <c r="F2858" s="8">
        <v>1.37</v>
      </c>
      <c r="G2858" s="4">
        <v>1</v>
      </c>
      <c r="H2858" s="8">
        <v>1.43</v>
      </c>
      <c r="I2858" s="4">
        <v>0</v>
      </c>
    </row>
    <row r="2859" spans="1:9" x14ac:dyDescent="0.2">
      <c r="A2859" s="2">
        <v>16</v>
      </c>
      <c r="B2859" s="1" t="s">
        <v>385</v>
      </c>
      <c r="C2859" s="4">
        <v>2</v>
      </c>
      <c r="D2859" s="8">
        <v>1.32</v>
      </c>
      <c r="E2859" s="4">
        <v>0</v>
      </c>
      <c r="F2859" s="8">
        <v>0</v>
      </c>
      <c r="G2859" s="4">
        <v>2</v>
      </c>
      <c r="H2859" s="8">
        <v>2.86</v>
      </c>
      <c r="I2859" s="4">
        <v>0</v>
      </c>
    </row>
    <row r="2860" spans="1:9" x14ac:dyDescent="0.2">
      <c r="A2860" s="2">
        <v>16</v>
      </c>
      <c r="B2860" s="1" t="s">
        <v>432</v>
      </c>
      <c r="C2860" s="4">
        <v>2</v>
      </c>
      <c r="D2860" s="8">
        <v>1.32</v>
      </c>
      <c r="E2860" s="4">
        <v>0</v>
      </c>
      <c r="F2860" s="8">
        <v>0</v>
      </c>
      <c r="G2860" s="4">
        <v>2</v>
      </c>
      <c r="H2860" s="8">
        <v>2.86</v>
      </c>
      <c r="I2860" s="4">
        <v>0</v>
      </c>
    </row>
    <row r="2861" spans="1:9" x14ac:dyDescent="0.2">
      <c r="A2861" s="2">
        <v>16</v>
      </c>
      <c r="B2861" s="1" t="s">
        <v>324</v>
      </c>
      <c r="C2861" s="4">
        <v>2</v>
      </c>
      <c r="D2861" s="8">
        <v>1.32</v>
      </c>
      <c r="E2861" s="4">
        <v>0</v>
      </c>
      <c r="F2861" s="8">
        <v>0</v>
      </c>
      <c r="G2861" s="4">
        <v>2</v>
      </c>
      <c r="H2861" s="8">
        <v>2.86</v>
      </c>
      <c r="I2861" s="4">
        <v>0</v>
      </c>
    </row>
    <row r="2862" spans="1:9" x14ac:dyDescent="0.2">
      <c r="A2862" s="2">
        <v>16</v>
      </c>
      <c r="B2862" s="1" t="s">
        <v>346</v>
      </c>
      <c r="C2862" s="4">
        <v>2</v>
      </c>
      <c r="D2862" s="8">
        <v>1.32</v>
      </c>
      <c r="E2862" s="4">
        <v>1</v>
      </c>
      <c r="F2862" s="8">
        <v>1.37</v>
      </c>
      <c r="G2862" s="4">
        <v>1</v>
      </c>
      <c r="H2862" s="8">
        <v>1.43</v>
      </c>
      <c r="I2862" s="4">
        <v>0</v>
      </c>
    </row>
    <row r="2863" spans="1:9" x14ac:dyDescent="0.2">
      <c r="A2863" s="2">
        <v>16</v>
      </c>
      <c r="B2863" s="1" t="s">
        <v>293</v>
      </c>
      <c r="C2863" s="4">
        <v>2</v>
      </c>
      <c r="D2863" s="8">
        <v>1.32</v>
      </c>
      <c r="E2863" s="4">
        <v>2</v>
      </c>
      <c r="F2863" s="8">
        <v>2.74</v>
      </c>
      <c r="G2863" s="4">
        <v>0</v>
      </c>
      <c r="H2863" s="8">
        <v>0</v>
      </c>
      <c r="I2863" s="4">
        <v>0</v>
      </c>
    </row>
    <row r="2864" spans="1:9" x14ac:dyDescent="0.2">
      <c r="A2864" s="2">
        <v>16</v>
      </c>
      <c r="B2864" s="1" t="s">
        <v>335</v>
      </c>
      <c r="C2864" s="4">
        <v>2</v>
      </c>
      <c r="D2864" s="8">
        <v>1.32</v>
      </c>
      <c r="E2864" s="4">
        <v>1</v>
      </c>
      <c r="F2864" s="8">
        <v>1.37</v>
      </c>
      <c r="G2864" s="4">
        <v>1</v>
      </c>
      <c r="H2864" s="8">
        <v>1.43</v>
      </c>
      <c r="I2864" s="4">
        <v>0</v>
      </c>
    </row>
    <row r="2865" spans="1:9" x14ac:dyDescent="0.2">
      <c r="A2865" s="2">
        <v>16</v>
      </c>
      <c r="B2865" s="1" t="s">
        <v>294</v>
      </c>
      <c r="C2865" s="4">
        <v>2</v>
      </c>
      <c r="D2865" s="8">
        <v>1.32</v>
      </c>
      <c r="E2865" s="4">
        <v>1</v>
      </c>
      <c r="F2865" s="8">
        <v>1.37</v>
      </c>
      <c r="G2865" s="4">
        <v>1</v>
      </c>
      <c r="H2865" s="8">
        <v>1.43</v>
      </c>
      <c r="I2865" s="4">
        <v>0</v>
      </c>
    </row>
    <row r="2866" spans="1:9" x14ac:dyDescent="0.2">
      <c r="A2866" s="2">
        <v>16</v>
      </c>
      <c r="B2866" s="1" t="s">
        <v>337</v>
      </c>
      <c r="C2866" s="4">
        <v>2</v>
      </c>
      <c r="D2866" s="8">
        <v>1.32</v>
      </c>
      <c r="E2866" s="4">
        <v>1</v>
      </c>
      <c r="F2866" s="8">
        <v>1.37</v>
      </c>
      <c r="G2866" s="4">
        <v>1</v>
      </c>
      <c r="H2866" s="8">
        <v>1.43</v>
      </c>
      <c r="I2866" s="4">
        <v>0</v>
      </c>
    </row>
    <row r="2867" spans="1:9" x14ac:dyDescent="0.2">
      <c r="A2867" s="2">
        <v>16</v>
      </c>
      <c r="B2867" s="1" t="s">
        <v>373</v>
      </c>
      <c r="C2867" s="4">
        <v>2</v>
      </c>
      <c r="D2867" s="8">
        <v>1.32</v>
      </c>
      <c r="E2867" s="4">
        <v>2</v>
      </c>
      <c r="F2867" s="8">
        <v>2.74</v>
      </c>
      <c r="G2867" s="4">
        <v>0</v>
      </c>
      <c r="H2867" s="8">
        <v>0</v>
      </c>
      <c r="I2867" s="4">
        <v>0</v>
      </c>
    </row>
    <row r="2868" spans="1:9" x14ac:dyDescent="0.2">
      <c r="A2868" s="2">
        <v>16</v>
      </c>
      <c r="B2868" s="1" t="s">
        <v>338</v>
      </c>
      <c r="C2868" s="4">
        <v>2</v>
      </c>
      <c r="D2868" s="8">
        <v>1.32</v>
      </c>
      <c r="E2868" s="4">
        <v>2</v>
      </c>
      <c r="F2868" s="8">
        <v>2.74</v>
      </c>
      <c r="G2868" s="4">
        <v>0</v>
      </c>
      <c r="H2868" s="8">
        <v>0</v>
      </c>
      <c r="I2868" s="4">
        <v>0</v>
      </c>
    </row>
    <row r="2869" spans="1:9" x14ac:dyDescent="0.2">
      <c r="A2869" s="2">
        <v>16</v>
      </c>
      <c r="B2869" s="1" t="s">
        <v>311</v>
      </c>
      <c r="C2869" s="4">
        <v>2</v>
      </c>
      <c r="D2869" s="8">
        <v>1.32</v>
      </c>
      <c r="E2869" s="4">
        <v>1</v>
      </c>
      <c r="F2869" s="8">
        <v>1.37</v>
      </c>
      <c r="G2869" s="4">
        <v>1</v>
      </c>
      <c r="H2869" s="8">
        <v>1.43</v>
      </c>
      <c r="I2869" s="4">
        <v>0</v>
      </c>
    </row>
    <row r="2870" spans="1:9" x14ac:dyDescent="0.2">
      <c r="A2870" s="2">
        <v>16</v>
      </c>
      <c r="B2870" s="1" t="s">
        <v>476</v>
      </c>
      <c r="C2870" s="4">
        <v>2</v>
      </c>
      <c r="D2870" s="8">
        <v>1.32</v>
      </c>
      <c r="E2870" s="4">
        <v>0</v>
      </c>
      <c r="F2870" s="8">
        <v>0</v>
      </c>
      <c r="G2870" s="4">
        <v>2</v>
      </c>
      <c r="H2870" s="8">
        <v>2.86</v>
      </c>
      <c r="I2870" s="4">
        <v>0</v>
      </c>
    </row>
    <row r="2871" spans="1:9" x14ac:dyDescent="0.2">
      <c r="A2871" s="2">
        <v>16</v>
      </c>
      <c r="B2871" s="1" t="s">
        <v>415</v>
      </c>
      <c r="C2871" s="4">
        <v>2</v>
      </c>
      <c r="D2871" s="8">
        <v>1.32</v>
      </c>
      <c r="E2871" s="4">
        <v>0</v>
      </c>
      <c r="F2871" s="8">
        <v>0</v>
      </c>
      <c r="G2871" s="4">
        <v>2</v>
      </c>
      <c r="H2871" s="8">
        <v>2.86</v>
      </c>
      <c r="I2871" s="4">
        <v>0</v>
      </c>
    </row>
    <row r="2872" spans="1:9" x14ac:dyDescent="0.2">
      <c r="A2872" s="2">
        <v>16</v>
      </c>
      <c r="B2872" s="1" t="s">
        <v>298</v>
      </c>
      <c r="C2872" s="4">
        <v>2</v>
      </c>
      <c r="D2872" s="8">
        <v>1.32</v>
      </c>
      <c r="E2872" s="4">
        <v>2</v>
      </c>
      <c r="F2872" s="8">
        <v>2.74</v>
      </c>
      <c r="G2872" s="4">
        <v>0</v>
      </c>
      <c r="H2872" s="8">
        <v>0</v>
      </c>
      <c r="I2872" s="4">
        <v>0</v>
      </c>
    </row>
    <row r="2873" spans="1:9" x14ac:dyDescent="0.2">
      <c r="A2873" s="2">
        <v>16</v>
      </c>
      <c r="B2873" s="1" t="s">
        <v>368</v>
      </c>
      <c r="C2873" s="4">
        <v>2</v>
      </c>
      <c r="D2873" s="8">
        <v>1.32</v>
      </c>
      <c r="E2873" s="4">
        <v>0</v>
      </c>
      <c r="F2873" s="8">
        <v>0</v>
      </c>
      <c r="G2873" s="4">
        <v>1</v>
      </c>
      <c r="H2873" s="8">
        <v>1.43</v>
      </c>
      <c r="I2873" s="4">
        <v>0</v>
      </c>
    </row>
    <row r="2874" spans="1:9" x14ac:dyDescent="0.2">
      <c r="A2874" s="2">
        <v>16</v>
      </c>
      <c r="B2874" s="1" t="s">
        <v>305</v>
      </c>
      <c r="C2874" s="4">
        <v>2</v>
      </c>
      <c r="D2874" s="8">
        <v>1.32</v>
      </c>
      <c r="E2874" s="4">
        <v>2</v>
      </c>
      <c r="F2874" s="8">
        <v>2.74</v>
      </c>
      <c r="G2874" s="4">
        <v>0</v>
      </c>
      <c r="H2874" s="8">
        <v>0</v>
      </c>
      <c r="I2874" s="4">
        <v>0</v>
      </c>
    </row>
    <row r="2875" spans="1:9" x14ac:dyDescent="0.2">
      <c r="A2875" s="2">
        <v>16</v>
      </c>
      <c r="B2875" s="1" t="s">
        <v>306</v>
      </c>
      <c r="C2875" s="4">
        <v>2</v>
      </c>
      <c r="D2875" s="8">
        <v>1.32</v>
      </c>
      <c r="E2875" s="4">
        <v>2</v>
      </c>
      <c r="F2875" s="8">
        <v>2.74</v>
      </c>
      <c r="G2875" s="4">
        <v>0</v>
      </c>
      <c r="H2875" s="8">
        <v>0</v>
      </c>
      <c r="I2875" s="4">
        <v>0</v>
      </c>
    </row>
    <row r="2876" spans="1:9" x14ac:dyDescent="0.2">
      <c r="A2876" s="1"/>
      <c r="C2876" s="4"/>
      <c r="D2876" s="8"/>
      <c r="E2876" s="4"/>
      <c r="F2876" s="8"/>
      <c r="G2876" s="4"/>
      <c r="H2876" s="8"/>
      <c r="I2876" s="4"/>
    </row>
    <row r="2877" spans="1:9" x14ac:dyDescent="0.2">
      <c r="A2877" s="1" t="s">
        <v>100</v>
      </c>
      <c r="C2877" s="4"/>
      <c r="D2877" s="8"/>
      <c r="E2877" s="4"/>
      <c r="F2877" s="8"/>
      <c r="G2877" s="4"/>
      <c r="H2877" s="8"/>
      <c r="I2877" s="4"/>
    </row>
    <row r="2878" spans="1:9" x14ac:dyDescent="0.2">
      <c r="A2878" s="2">
        <v>1</v>
      </c>
      <c r="B2878" s="1" t="s">
        <v>288</v>
      </c>
      <c r="C2878" s="4">
        <v>4</v>
      </c>
      <c r="D2878" s="8">
        <v>4.3</v>
      </c>
      <c r="E2878" s="4">
        <v>1</v>
      </c>
      <c r="F2878" s="8">
        <v>2.5</v>
      </c>
      <c r="G2878" s="4">
        <v>3</v>
      </c>
      <c r="H2878" s="8">
        <v>6.52</v>
      </c>
      <c r="I2878" s="4">
        <v>0</v>
      </c>
    </row>
    <row r="2879" spans="1:9" x14ac:dyDescent="0.2">
      <c r="A2879" s="2">
        <v>1</v>
      </c>
      <c r="B2879" s="1" t="s">
        <v>289</v>
      </c>
      <c r="C2879" s="4">
        <v>4</v>
      </c>
      <c r="D2879" s="8">
        <v>4.3</v>
      </c>
      <c r="E2879" s="4">
        <v>0</v>
      </c>
      <c r="F2879" s="8">
        <v>0</v>
      </c>
      <c r="G2879" s="4">
        <v>4</v>
      </c>
      <c r="H2879" s="8">
        <v>8.6999999999999993</v>
      </c>
      <c r="I2879" s="4">
        <v>0</v>
      </c>
    </row>
    <row r="2880" spans="1:9" x14ac:dyDescent="0.2">
      <c r="A2880" s="2">
        <v>1</v>
      </c>
      <c r="B2880" s="1" t="s">
        <v>330</v>
      </c>
      <c r="C2880" s="4">
        <v>4</v>
      </c>
      <c r="D2880" s="8">
        <v>4.3</v>
      </c>
      <c r="E2880" s="4">
        <v>1</v>
      </c>
      <c r="F2880" s="8">
        <v>2.5</v>
      </c>
      <c r="G2880" s="4">
        <v>3</v>
      </c>
      <c r="H2880" s="8">
        <v>6.52</v>
      </c>
      <c r="I2880" s="4">
        <v>0</v>
      </c>
    </row>
    <row r="2881" spans="1:9" x14ac:dyDescent="0.2">
      <c r="A2881" s="2">
        <v>1</v>
      </c>
      <c r="B2881" s="1" t="s">
        <v>344</v>
      </c>
      <c r="C2881" s="4">
        <v>4</v>
      </c>
      <c r="D2881" s="8">
        <v>4.3</v>
      </c>
      <c r="E2881" s="4">
        <v>1</v>
      </c>
      <c r="F2881" s="8">
        <v>2.5</v>
      </c>
      <c r="G2881" s="4">
        <v>3</v>
      </c>
      <c r="H2881" s="8">
        <v>6.52</v>
      </c>
      <c r="I2881" s="4">
        <v>0</v>
      </c>
    </row>
    <row r="2882" spans="1:9" x14ac:dyDescent="0.2">
      <c r="A2882" s="2">
        <v>1</v>
      </c>
      <c r="B2882" s="1" t="s">
        <v>306</v>
      </c>
      <c r="C2882" s="4">
        <v>4</v>
      </c>
      <c r="D2882" s="8">
        <v>4.3</v>
      </c>
      <c r="E2882" s="4">
        <v>4</v>
      </c>
      <c r="F2882" s="8">
        <v>10</v>
      </c>
      <c r="G2882" s="4">
        <v>0</v>
      </c>
      <c r="H2882" s="8">
        <v>0</v>
      </c>
      <c r="I2882" s="4">
        <v>0</v>
      </c>
    </row>
    <row r="2883" spans="1:9" x14ac:dyDescent="0.2">
      <c r="A2883" s="2">
        <v>6</v>
      </c>
      <c r="B2883" s="1" t="s">
        <v>291</v>
      </c>
      <c r="C2883" s="4">
        <v>3</v>
      </c>
      <c r="D2883" s="8">
        <v>3.23</v>
      </c>
      <c r="E2883" s="4">
        <v>3</v>
      </c>
      <c r="F2883" s="8">
        <v>7.5</v>
      </c>
      <c r="G2883" s="4">
        <v>0</v>
      </c>
      <c r="H2883" s="8">
        <v>0</v>
      </c>
      <c r="I2883" s="4">
        <v>0</v>
      </c>
    </row>
    <row r="2884" spans="1:9" x14ac:dyDescent="0.2">
      <c r="A2884" s="2">
        <v>6</v>
      </c>
      <c r="B2884" s="1" t="s">
        <v>302</v>
      </c>
      <c r="C2884" s="4">
        <v>3</v>
      </c>
      <c r="D2884" s="8">
        <v>3.23</v>
      </c>
      <c r="E2884" s="4">
        <v>2</v>
      </c>
      <c r="F2884" s="8">
        <v>5</v>
      </c>
      <c r="G2884" s="4">
        <v>1</v>
      </c>
      <c r="H2884" s="8">
        <v>2.17</v>
      </c>
      <c r="I2884" s="4">
        <v>0</v>
      </c>
    </row>
    <row r="2885" spans="1:9" x14ac:dyDescent="0.2">
      <c r="A2885" s="2">
        <v>6</v>
      </c>
      <c r="B2885" s="1" t="s">
        <v>303</v>
      </c>
      <c r="C2885" s="4">
        <v>3</v>
      </c>
      <c r="D2885" s="8">
        <v>3.23</v>
      </c>
      <c r="E2885" s="4">
        <v>3</v>
      </c>
      <c r="F2885" s="8">
        <v>7.5</v>
      </c>
      <c r="G2885" s="4">
        <v>0</v>
      </c>
      <c r="H2885" s="8">
        <v>0</v>
      </c>
      <c r="I2885" s="4">
        <v>0</v>
      </c>
    </row>
    <row r="2886" spans="1:9" x14ac:dyDescent="0.2">
      <c r="A2886" s="2">
        <v>9</v>
      </c>
      <c r="B2886" s="1" t="s">
        <v>450</v>
      </c>
      <c r="C2886" s="4">
        <v>2</v>
      </c>
      <c r="D2886" s="8">
        <v>2.15</v>
      </c>
      <c r="E2886" s="4">
        <v>1</v>
      </c>
      <c r="F2886" s="8">
        <v>2.5</v>
      </c>
      <c r="G2886" s="4">
        <v>1</v>
      </c>
      <c r="H2886" s="8">
        <v>2.17</v>
      </c>
      <c r="I2886" s="4">
        <v>0</v>
      </c>
    </row>
    <row r="2887" spans="1:9" x14ac:dyDescent="0.2">
      <c r="A2887" s="2">
        <v>9</v>
      </c>
      <c r="B2887" s="1" t="s">
        <v>333</v>
      </c>
      <c r="C2887" s="4">
        <v>2</v>
      </c>
      <c r="D2887" s="8">
        <v>2.15</v>
      </c>
      <c r="E2887" s="4">
        <v>1</v>
      </c>
      <c r="F2887" s="8">
        <v>2.5</v>
      </c>
      <c r="G2887" s="4">
        <v>1</v>
      </c>
      <c r="H2887" s="8">
        <v>2.17</v>
      </c>
      <c r="I2887" s="4">
        <v>0</v>
      </c>
    </row>
    <row r="2888" spans="1:9" x14ac:dyDescent="0.2">
      <c r="A2888" s="2">
        <v>9</v>
      </c>
      <c r="B2888" s="1" t="s">
        <v>290</v>
      </c>
      <c r="C2888" s="4">
        <v>2</v>
      </c>
      <c r="D2888" s="8">
        <v>2.15</v>
      </c>
      <c r="E2888" s="4">
        <v>0</v>
      </c>
      <c r="F2888" s="8">
        <v>0</v>
      </c>
      <c r="G2888" s="4">
        <v>2</v>
      </c>
      <c r="H2888" s="8">
        <v>4.3499999999999996</v>
      </c>
      <c r="I2888" s="4">
        <v>0</v>
      </c>
    </row>
    <row r="2889" spans="1:9" x14ac:dyDescent="0.2">
      <c r="A2889" s="2">
        <v>9</v>
      </c>
      <c r="B2889" s="1" t="s">
        <v>384</v>
      </c>
      <c r="C2889" s="4">
        <v>2</v>
      </c>
      <c r="D2889" s="8">
        <v>2.15</v>
      </c>
      <c r="E2889" s="4">
        <v>0</v>
      </c>
      <c r="F2889" s="8">
        <v>0</v>
      </c>
      <c r="G2889" s="4">
        <v>2</v>
      </c>
      <c r="H2889" s="8">
        <v>4.3499999999999996</v>
      </c>
      <c r="I2889" s="4">
        <v>0</v>
      </c>
    </row>
    <row r="2890" spans="1:9" x14ac:dyDescent="0.2">
      <c r="A2890" s="2">
        <v>9</v>
      </c>
      <c r="B2890" s="1" t="s">
        <v>329</v>
      </c>
      <c r="C2890" s="4">
        <v>2</v>
      </c>
      <c r="D2890" s="8">
        <v>2.15</v>
      </c>
      <c r="E2890" s="4">
        <v>1</v>
      </c>
      <c r="F2890" s="8">
        <v>2.5</v>
      </c>
      <c r="G2890" s="4">
        <v>1</v>
      </c>
      <c r="H2890" s="8">
        <v>2.17</v>
      </c>
      <c r="I2890" s="4">
        <v>0</v>
      </c>
    </row>
    <row r="2891" spans="1:9" x14ac:dyDescent="0.2">
      <c r="A2891" s="2">
        <v>9</v>
      </c>
      <c r="B2891" s="1" t="s">
        <v>293</v>
      </c>
      <c r="C2891" s="4">
        <v>2</v>
      </c>
      <c r="D2891" s="8">
        <v>2.15</v>
      </c>
      <c r="E2891" s="4">
        <v>0</v>
      </c>
      <c r="F2891" s="8">
        <v>0</v>
      </c>
      <c r="G2891" s="4">
        <v>2</v>
      </c>
      <c r="H2891" s="8">
        <v>4.3499999999999996</v>
      </c>
      <c r="I2891" s="4">
        <v>0</v>
      </c>
    </row>
    <row r="2892" spans="1:9" x14ac:dyDescent="0.2">
      <c r="A2892" s="2">
        <v>9</v>
      </c>
      <c r="B2892" s="1" t="s">
        <v>372</v>
      </c>
      <c r="C2892" s="4">
        <v>2</v>
      </c>
      <c r="D2892" s="8">
        <v>2.15</v>
      </c>
      <c r="E2892" s="4">
        <v>0</v>
      </c>
      <c r="F2892" s="8">
        <v>0</v>
      </c>
      <c r="G2892" s="4">
        <v>2</v>
      </c>
      <c r="H2892" s="8">
        <v>4.3499999999999996</v>
      </c>
      <c r="I2892" s="4">
        <v>0</v>
      </c>
    </row>
    <row r="2893" spans="1:9" x14ac:dyDescent="0.2">
      <c r="A2893" s="2">
        <v>9</v>
      </c>
      <c r="B2893" s="1" t="s">
        <v>337</v>
      </c>
      <c r="C2893" s="4">
        <v>2</v>
      </c>
      <c r="D2893" s="8">
        <v>2.15</v>
      </c>
      <c r="E2893" s="4">
        <v>2</v>
      </c>
      <c r="F2893" s="8">
        <v>5</v>
      </c>
      <c r="G2893" s="4">
        <v>0</v>
      </c>
      <c r="H2893" s="8">
        <v>0</v>
      </c>
      <c r="I2893" s="4">
        <v>0</v>
      </c>
    </row>
    <row r="2894" spans="1:9" x14ac:dyDescent="0.2">
      <c r="A2894" s="2">
        <v>9</v>
      </c>
      <c r="B2894" s="1" t="s">
        <v>304</v>
      </c>
      <c r="C2894" s="4">
        <v>2</v>
      </c>
      <c r="D2894" s="8">
        <v>2.15</v>
      </c>
      <c r="E2894" s="4">
        <v>2</v>
      </c>
      <c r="F2894" s="8">
        <v>5</v>
      </c>
      <c r="G2894" s="4">
        <v>0</v>
      </c>
      <c r="H2894" s="8">
        <v>0</v>
      </c>
      <c r="I2894" s="4">
        <v>0</v>
      </c>
    </row>
    <row r="2895" spans="1:9" x14ac:dyDescent="0.2">
      <c r="A2895" s="2">
        <v>9</v>
      </c>
      <c r="B2895" s="1" t="s">
        <v>352</v>
      </c>
      <c r="C2895" s="4">
        <v>2</v>
      </c>
      <c r="D2895" s="8">
        <v>2.15</v>
      </c>
      <c r="E2895" s="4">
        <v>2</v>
      </c>
      <c r="F2895" s="8">
        <v>5</v>
      </c>
      <c r="G2895" s="4">
        <v>0</v>
      </c>
      <c r="H2895" s="8">
        <v>0</v>
      </c>
      <c r="I2895" s="4">
        <v>0</v>
      </c>
    </row>
    <row r="2896" spans="1:9" x14ac:dyDescent="0.2">
      <c r="A2896" s="2">
        <v>9</v>
      </c>
      <c r="B2896" s="1" t="s">
        <v>368</v>
      </c>
      <c r="C2896" s="4">
        <v>2</v>
      </c>
      <c r="D2896" s="8">
        <v>2.15</v>
      </c>
      <c r="E2896" s="4">
        <v>0</v>
      </c>
      <c r="F2896" s="8">
        <v>0</v>
      </c>
      <c r="G2896" s="4">
        <v>0</v>
      </c>
      <c r="H2896" s="8">
        <v>0</v>
      </c>
      <c r="I2896" s="4">
        <v>0</v>
      </c>
    </row>
    <row r="2897" spans="1:9" x14ac:dyDescent="0.2">
      <c r="A2897" s="2">
        <v>20</v>
      </c>
      <c r="B2897" s="1" t="s">
        <v>398</v>
      </c>
      <c r="C2897" s="4">
        <v>1</v>
      </c>
      <c r="D2897" s="8">
        <v>1.08</v>
      </c>
      <c r="E2897" s="4">
        <v>0</v>
      </c>
      <c r="F2897" s="8">
        <v>0</v>
      </c>
      <c r="G2897" s="4">
        <v>1</v>
      </c>
      <c r="H2897" s="8">
        <v>2.17</v>
      </c>
      <c r="I2897" s="4">
        <v>0</v>
      </c>
    </row>
    <row r="2898" spans="1:9" x14ac:dyDescent="0.2">
      <c r="A2898" s="2">
        <v>20</v>
      </c>
      <c r="B2898" s="1" t="s">
        <v>353</v>
      </c>
      <c r="C2898" s="4">
        <v>1</v>
      </c>
      <c r="D2898" s="8">
        <v>1.08</v>
      </c>
      <c r="E2898" s="4">
        <v>0</v>
      </c>
      <c r="F2898" s="8">
        <v>0</v>
      </c>
      <c r="G2898" s="4">
        <v>1</v>
      </c>
      <c r="H2898" s="8">
        <v>2.17</v>
      </c>
      <c r="I2898" s="4">
        <v>0</v>
      </c>
    </row>
    <row r="2899" spans="1:9" x14ac:dyDescent="0.2">
      <c r="A2899" s="2">
        <v>20</v>
      </c>
      <c r="B2899" s="1" t="s">
        <v>393</v>
      </c>
      <c r="C2899" s="4">
        <v>1</v>
      </c>
      <c r="D2899" s="8">
        <v>1.08</v>
      </c>
      <c r="E2899" s="4">
        <v>1</v>
      </c>
      <c r="F2899" s="8">
        <v>2.5</v>
      </c>
      <c r="G2899" s="4">
        <v>0</v>
      </c>
      <c r="H2899" s="8">
        <v>0</v>
      </c>
      <c r="I2899" s="4">
        <v>0</v>
      </c>
    </row>
    <row r="2900" spans="1:9" x14ac:dyDescent="0.2">
      <c r="A2900" s="2">
        <v>20</v>
      </c>
      <c r="B2900" s="1" t="s">
        <v>308</v>
      </c>
      <c r="C2900" s="4">
        <v>1</v>
      </c>
      <c r="D2900" s="8">
        <v>1.08</v>
      </c>
      <c r="E2900" s="4">
        <v>1</v>
      </c>
      <c r="F2900" s="8">
        <v>2.5</v>
      </c>
      <c r="G2900" s="4">
        <v>0</v>
      </c>
      <c r="H2900" s="8">
        <v>0</v>
      </c>
      <c r="I2900" s="4">
        <v>0</v>
      </c>
    </row>
    <row r="2901" spans="1:9" x14ac:dyDescent="0.2">
      <c r="A2901" s="2">
        <v>20</v>
      </c>
      <c r="B2901" s="1" t="s">
        <v>320</v>
      </c>
      <c r="C2901" s="4">
        <v>1</v>
      </c>
      <c r="D2901" s="8">
        <v>1.08</v>
      </c>
      <c r="E2901" s="4">
        <v>0</v>
      </c>
      <c r="F2901" s="8">
        <v>0</v>
      </c>
      <c r="G2901" s="4">
        <v>1</v>
      </c>
      <c r="H2901" s="8">
        <v>2.17</v>
      </c>
      <c r="I2901" s="4">
        <v>0</v>
      </c>
    </row>
    <row r="2902" spans="1:9" x14ac:dyDescent="0.2">
      <c r="A2902" s="2">
        <v>20</v>
      </c>
      <c r="B2902" s="1" t="s">
        <v>394</v>
      </c>
      <c r="C2902" s="4">
        <v>1</v>
      </c>
      <c r="D2902" s="8">
        <v>1.08</v>
      </c>
      <c r="E2902" s="4">
        <v>0</v>
      </c>
      <c r="F2902" s="8">
        <v>0</v>
      </c>
      <c r="G2902" s="4">
        <v>1</v>
      </c>
      <c r="H2902" s="8">
        <v>2.17</v>
      </c>
      <c r="I2902" s="4">
        <v>0</v>
      </c>
    </row>
    <row r="2903" spans="1:9" x14ac:dyDescent="0.2">
      <c r="A2903" s="2">
        <v>20</v>
      </c>
      <c r="B2903" s="1" t="s">
        <v>381</v>
      </c>
      <c r="C2903" s="4">
        <v>1</v>
      </c>
      <c r="D2903" s="8">
        <v>1.08</v>
      </c>
      <c r="E2903" s="4">
        <v>1</v>
      </c>
      <c r="F2903" s="8">
        <v>2.5</v>
      </c>
      <c r="G2903" s="4">
        <v>0</v>
      </c>
      <c r="H2903" s="8">
        <v>0</v>
      </c>
      <c r="I2903" s="4">
        <v>0</v>
      </c>
    </row>
    <row r="2904" spans="1:9" x14ac:dyDescent="0.2">
      <c r="A2904" s="2">
        <v>20</v>
      </c>
      <c r="B2904" s="1" t="s">
        <v>385</v>
      </c>
      <c r="C2904" s="4">
        <v>1</v>
      </c>
      <c r="D2904" s="8">
        <v>1.08</v>
      </c>
      <c r="E2904" s="4">
        <v>0</v>
      </c>
      <c r="F2904" s="8">
        <v>0</v>
      </c>
      <c r="G2904" s="4">
        <v>1</v>
      </c>
      <c r="H2904" s="8">
        <v>2.17</v>
      </c>
      <c r="I2904" s="4">
        <v>0</v>
      </c>
    </row>
    <row r="2905" spans="1:9" x14ac:dyDescent="0.2">
      <c r="A2905" s="2">
        <v>20</v>
      </c>
      <c r="B2905" s="1" t="s">
        <v>432</v>
      </c>
      <c r="C2905" s="4">
        <v>1</v>
      </c>
      <c r="D2905" s="8">
        <v>1.08</v>
      </c>
      <c r="E2905" s="4">
        <v>0</v>
      </c>
      <c r="F2905" s="8">
        <v>0</v>
      </c>
      <c r="G2905" s="4">
        <v>1</v>
      </c>
      <c r="H2905" s="8">
        <v>2.17</v>
      </c>
      <c r="I2905" s="4">
        <v>0</v>
      </c>
    </row>
    <row r="2906" spans="1:9" x14ac:dyDescent="0.2">
      <c r="A2906" s="2">
        <v>20</v>
      </c>
      <c r="B2906" s="1" t="s">
        <v>406</v>
      </c>
      <c r="C2906" s="4">
        <v>1</v>
      </c>
      <c r="D2906" s="8">
        <v>1.08</v>
      </c>
      <c r="E2906" s="4">
        <v>0</v>
      </c>
      <c r="F2906" s="8">
        <v>0</v>
      </c>
      <c r="G2906" s="4">
        <v>1</v>
      </c>
      <c r="H2906" s="8">
        <v>2.17</v>
      </c>
      <c r="I2906" s="4">
        <v>0</v>
      </c>
    </row>
    <row r="2907" spans="1:9" x14ac:dyDescent="0.2">
      <c r="A2907" s="2">
        <v>20</v>
      </c>
      <c r="B2907" s="1" t="s">
        <v>374</v>
      </c>
      <c r="C2907" s="4">
        <v>1</v>
      </c>
      <c r="D2907" s="8">
        <v>1.08</v>
      </c>
      <c r="E2907" s="4">
        <v>0</v>
      </c>
      <c r="F2907" s="8">
        <v>0</v>
      </c>
      <c r="G2907" s="4">
        <v>1</v>
      </c>
      <c r="H2907" s="8">
        <v>2.17</v>
      </c>
      <c r="I2907" s="4">
        <v>0</v>
      </c>
    </row>
    <row r="2908" spans="1:9" x14ac:dyDescent="0.2">
      <c r="A2908" s="2">
        <v>20</v>
      </c>
      <c r="B2908" s="1" t="s">
        <v>362</v>
      </c>
      <c r="C2908" s="4">
        <v>1</v>
      </c>
      <c r="D2908" s="8">
        <v>1.08</v>
      </c>
      <c r="E2908" s="4">
        <v>0</v>
      </c>
      <c r="F2908" s="8">
        <v>0</v>
      </c>
      <c r="G2908" s="4">
        <v>0</v>
      </c>
      <c r="H2908" s="8">
        <v>0</v>
      </c>
      <c r="I2908" s="4">
        <v>0</v>
      </c>
    </row>
    <row r="2909" spans="1:9" x14ac:dyDescent="0.2">
      <c r="A2909" s="2">
        <v>20</v>
      </c>
      <c r="B2909" s="1" t="s">
        <v>477</v>
      </c>
      <c r="C2909" s="4">
        <v>1</v>
      </c>
      <c r="D2909" s="8">
        <v>1.08</v>
      </c>
      <c r="E2909" s="4">
        <v>1</v>
      </c>
      <c r="F2909" s="8">
        <v>2.5</v>
      </c>
      <c r="G2909" s="4">
        <v>0</v>
      </c>
      <c r="H2909" s="8">
        <v>0</v>
      </c>
      <c r="I2909" s="4">
        <v>0</v>
      </c>
    </row>
    <row r="2910" spans="1:9" x14ac:dyDescent="0.2">
      <c r="A2910" s="2">
        <v>20</v>
      </c>
      <c r="B2910" s="1" t="s">
        <v>478</v>
      </c>
      <c r="C2910" s="4">
        <v>1</v>
      </c>
      <c r="D2910" s="8">
        <v>1.08</v>
      </c>
      <c r="E2910" s="4">
        <v>1</v>
      </c>
      <c r="F2910" s="8">
        <v>2.5</v>
      </c>
      <c r="G2910" s="4">
        <v>0</v>
      </c>
      <c r="H2910" s="8">
        <v>0</v>
      </c>
      <c r="I2910" s="4">
        <v>0</v>
      </c>
    </row>
    <row r="2911" spans="1:9" x14ac:dyDescent="0.2">
      <c r="A2911" s="2">
        <v>20</v>
      </c>
      <c r="B2911" s="1" t="s">
        <v>324</v>
      </c>
      <c r="C2911" s="4">
        <v>1</v>
      </c>
      <c r="D2911" s="8">
        <v>1.08</v>
      </c>
      <c r="E2911" s="4">
        <v>0</v>
      </c>
      <c r="F2911" s="8">
        <v>0</v>
      </c>
      <c r="G2911" s="4">
        <v>1</v>
      </c>
      <c r="H2911" s="8">
        <v>2.17</v>
      </c>
      <c r="I2911" s="4">
        <v>0</v>
      </c>
    </row>
    <row r="2912" spans="1:9" x14ac:dyDescent="0.2">
      <c r="A2912" s="2">
        <v>20</v>
      </c>
      <c r="B2912" s="1" t="s">
        <v>346</v>
      </c>
      <c r="C2912" s="4">
        <v>1</v>
      </c>
      <c r="D2912" s="8">
        <v>1.08</v>
      </c>
      <c r="E2912" s="4">
        <v>0</v>
      </c>
      <c r="F2912" s="8">
        <v>0</v>
      </c>
      <c r="G2912" s="4">
        <v>1</v>
      </c>
      <c r="H2912" s="8">
        <v>2.17</v>
      </c>
      <c r="I2912" s="4">
        <v>0</v>
      </c>
    </row>
    <row r="2913" spans="1:9" x14ac:dyDescent="0.2">
      <c r="A2913" s="2">
        <v>20</v>
      </c>
      <c r="B2913" s="1" t="s">
        <v>379</v>
      </c>
      <c r="C2913" s="4">
        <v>1</v>
      </c>
      <c r="D2913" s="8">
        <v>1.08</v>
      </c>
      <c r="E2913" s="4">
        <v>0</v>
      </c>
      <c r="F2913" s="8">
        <v>0</v>
      </c>
      <c r="G2913" s="4">
        <v>1</v>
      </c>
      <c r="H2913" s="8">
        <v>2.17</v>
      </c>
      <c r="I2913" s="4">
        <v>0</v>
      </c>
    </row>
    <row r="2914" spans="1:9" x14ac:dyDescent="0.2">
      <c r="A2914" s="2">
        <v>20</v>
      </c>
      <c r="B2914" s="1" t="s">
        <v>421</v>
      </c>
      <c r="C2914" s="4">
        <v>1</v>
      </c>
      <c r="D2914" s="8">
        <v>1.08</v>
      </c>
      <c r="E2914" s="4">
        <v>0</v>
      </c>
      <c r="F2914" s="8">
        <v>0</v>
      </c>
      <c r="G2914" s="4">
        <v>1</v>
      </c>
      <c r="H2914" s="8">
        <v>2.17</v>
      </c>
      <c r="I2914" s="4">
        <v>0</v>
      </c>
    </row>
    <row r="2915" spans="1:9" x14ac:dyDescent="0.2">
      <c r="A2915" s="2">
        <v>20</v>
      </c>
      <c r="B2915" s="1" t="s">
        <v>479</v>
      </c>
      <c r="C2915" s="4">
        <v>1</v>
      </c>
      <c r="D2915" s="8">
        <v>1.08</v>
      </c>
      <c r="E2915" s="4">
        <v>0</v>
      </c>
      <c r="F2915" s="8">
        <v>0</v>
      </c>
      <c r="G2915" s="4">
        <v>1</v>
      </c>
      <c r="H2915" s="8">
        <v>2.17</v>
      </c>
      <c r="I2915" s="4">
        <v>0</v>
      </c>
    </row>
    <row r="2916" spans="1:9" x14ac:dyDescent="0.2">
      <c r="A2916" s="2">
        <v>20</v>
      </c>
      <c r="B2916" s="1" t="s">
        <v>314</v>
      </c>
      <c r="C2916" s="4">
        <v>1</v>
      </c>
      <c r="D2916" s="8">
        <v>1.08</v>
      </c>
      <c r="E2916" s="4">
        <v>1</v>
      </c>
      <c r="F2916" s="8">
        <v>2.5</v>
      </c>
      <c r="G2916" s="4">
        <v>0</v>
      </c>
      <c r="H2916" s="8">
        <v>0</v>
      </c>
      <c r="I2916" s="4">
        <v>0</v>
      </c>
    </row>
    <row r="2917" spans="1:9" x14ac:dyDescent="0.2">
      <c r="A2917" s="2">
        <v>20</v>
      </c>
      <c r="B2917" s="1" t="s">
        <v>332</v>
      </c>
      <c r="C2917" s="4">
        <v>1</v>
      </c>
      <c r="D2917" s="8">
        <v>1.08</v>
      </c>
      <c r="E2917" s="4">
        <v>1</v>
      </c>
      <c r="F2917" s="8">
        <v>2.5</v>
      </c>
      <c r="G2917" s="4">
        <v>0</v>
      </c>
      <c r="H2917" s="8">
        <v>0</v>
      </c>
      <c r="I2917" s="4">
        <v>0</v>
      </c>
    </row>
    <row r="2918" spans="1:9" x14ac:dyDescent="0.2">
      <c r="A2918" s="2">
        <v>20</v>
      </c>
      <c r="B2918" s="1" t="s">
        <v>292</v>
      </c>
      <c r="C2918" s="4">
        <v>1</v>
      </c>
      <c r="D2918" s="8">
        <v>1.08</v>
      </c>
      <c r="E2918" s="4">
        <v>0</v>
      </c>
      <c r="F2918" s="8">
        <v>0</v>
      </c>
      <c r="G2918" s="4">
        <v>1</v>
      </c>
      <c r="H2918" s="8">
        <v>2.17</v>
      </c>
      <c r="I2918" s="4">
        <v>0</v>
      </c>
    </row>
    <row r="2919" spans="1:9" x14ac:dyDescent="0.2">
      <c r="A2919" s="2">
        <v>20</v>
      </c>
      <c r="B2919" s="1" t="s">
        <v>335</v>
      </c>
      <c r="C2919" s="4">
        <v>1</v>
      </c>
      <c r="D2919" s="8">
        <v>1.08</v>
      </c>
      <c r="E2919" s="4">
        <v>1</v>
      </c>
      <c r="F2919" s="8">
        <v>2.5</v>
      </c>
      <c r="G2919" s="4">
        <v>0</v>
      </c>
      <c r="H2919" s="8">
        <v>0</v>
      </c>
      <c r="I2919" s="4">
        <v>0</v>
      </c>
    </row>
    <row r="2920" spans="1:9" x14ac:dyDescent="0.2">
      <c r="A2920" s="2">
        <v>20</v>
      </c>
      <c r="B2920" s="1" t="s">
        <v>402</v>
      </c>
      <c r="C2920" s="4">
        <v>1</v>
      </c>
      <c r="D2920" s="8">
        <v>1.08</v>
      </c>
      <c r="E2920" s="4">
        <v>1</v>
      </c>
      <c r="F2920" s="8">
        <v>2.5</v>
      </c>
      <c r="G2920" s="4">
        <v>0</v>
      </c>
      <c r="H2920" s="8">
        <v>0</v>
      </c>
      <c r="I2920" s="4">
        <v>0</v>
      </c>
    </row>
    <row r="2921" spans="1:9" x14ac:dyDescent="0.2">
      <c r="A2921" s="2">
        <v>20</v>
      </c>
      <c r="B2921" s="1" t="s">
        <v>294</v>
      </c>
      <c r="C2921" s="4">
        <v>1</v>
      </c>
      <c r="D2921" s="8">
        <v>1.08</v>
      </c>
      <c r="E2921" s="4">
        <v>0</v>
      </c>
      <c r="F2921" s="8">
        <v>0</v>
      </c>
      <c r="G2921" s="4">
        <v>1</v>
      </c>
      <c r="H2921" s="8">
        <v>2.17</v>
      </c>
      <c r="I2921" s="4">
        <v>0</v>
      </c>
    </row>
    <row r="2922" spans="1:9" x14ac:dyDescent="0.2">
      <c r="A2922" s="2">
        <v>20</v>
      </c>
      <c r="B2922" s="1" t="s">
        <v>296</v>
      </c>
      <c r="C2922" s="4">
        <v>1</v>
      </c>
      <c r="D2922" s="8">
        <v>1.08</v>
      </c>
      <c r="E2922" s="4">
        <v>0</v>
      </c>
      <c r="F2922" s="8">
        <v>0</v>
      </c>
      <c r="G2922" s="4">
        <v>1</v>
      </c>
      <c r="H2922" s="8">
        <v>2.17</v>
      </c>
      <c r="I2922" s="4">
        <v>0</v>
      </c>
    </row>
    <row r="2923" spans="1:9" x14ac:dyDescent="0.2">
      <c r="A2923" s="2">
        <v>20</v>
      </c>
      <c r="B2923" s="1" t="s">
        <v>297</v>
      </c>
      <c r="C2923" s="4">
        <v>1</v>
      </c>
      <c r="D2923" s="8">
        <v>1.08</v>
      </c>
      <c r="E2923" s="4">
        <v>0</v>
      </c>
      <c r="F2923" s="8">
        <v>0</v>
      </c>
      <c r="G2923" s="4">
        <v>0</v>
      </c>
      <c r="H2923" s="8">
        <v>0</v>
      </c>
      <c r="I2923" s="4">
        <v>0</v>
      </c>
    </row>
    <row r="2924" spans="1:9" x14ac:dyDescent="0.2">
      <c r="A2924" s="2">
        <v>20</v>
      </c>
      <c r="B2924" s="1" t="s">
        <v>396</v>
      </c>
      <c r="C2924" s="4">
        <v>1</v>
      </c>
      <c r="D2924" s="8">
        <v>1.08</v>
      </c>
      <c r="E2924" s="4">
        <v>1</v>
      </c>
      <c r="F2924" s="8">
        <v>2.5</v>
      </c>
      <c r="G2924" s="4">
        <v>0</v>
      </c>
      <c r="H2924" s="8">
        <v>0</v>
      </c>
      <c r="I2924" s="4">
        <v>0</v>
      </c>
    </row>
    <row r="2925" spans="1:9" x14ac:dyDescent="0.2">
      <c r="A2925" s="2">
        <v>20</v>
      </c>
      <c r="B2925" s="1" t="s">
        <v>417</v>
      </c>
      <c r="C2925" s="4">
        <v>1</v>
      </c>
      <c r="D2925" s="8">
        <v>1.08</v>
      </c>
      <c r="E2925" s="4">
        <v>1</v>
      </c>
      <c r="F2925" s="8">
        <v>2.5</v>
      </c>
      <c r="G2925" s="4">
        <v>0</v>
      </c>
      <c r="H2925" s="8">
        <v>0</v>
      </c>
      <c r="I2925" s="4">
        <v>0</v>
      </c>
    </row>
    <row r="2926" spans="1:9" x14ac:dyDescent="0.2">
      <c r="A2926" s="2">
        <v>20</v>
      </c>
      <c r="B2926" s="1" t="s">
        <v>298</v>
      </c>
      <c r="C2926" s="4">
        <v>1</v>
      </c>
      <c r="D2926" s="8">
        <v>1.08</v>
      </c>
      <c r="E2926" s="4">
        <v>1</v>
      </c>
      <c r="F2926" s="8">
        <v>2.5</v>
      </c>
      <c r="G2926" s="4">
        <v>0</v>
      </c>
      <c r="H2926" s="8">
        <v>0</v>
      </c>
      <c r="I2926" s="4">
        <v>0</v>
      </c>
    </row>
    <row r="2927" spans="1:9" x14ac:dyDescent="0.2">
      <c r="A2927" s="2">
        <v>20</v>
      </c>
      <c r="B2927" s="1" t="s">
        <v>418</v>
      </c>
      <c r="C2927" s="4">
        <v>1</v>
      </c>
      <c r="D2927" s="8">
        <v>1.08</v>
      </c>
      <c r="E2927" s="4">
        <v>0</v>
      </c>
      <c r="F2927" s="8">
        <v>0</v>
      </c>
      <c r="G2927" s="4">
        <v>0</v>
      </c>
      <c r="H2927" s="8">
        <v>0</v>
      </c>
      <c r="I2927" s="4">
        <v>0</v>
      </c>
    </row>
    <row r="2928" spans="1:9" x14ac:dyDescent="0.2">
      <c r="A2928" s="2">
        <v>20</v>
      </c>
      <c r="B2928" s="1" t="s">
        <v>334</v>
      </c>
      <c r="C2928" s="4">
        <v>1</v>
      </c>
      <c r="D2928" s="8">
        <v>1.08</v>
      </c>
      <c r="E2928" s="4">
        <v>0</v>
      </c>
      <c r="F2928" s="8">
        <v>0</v>
      </c>
      <c r="G2928" s="4">
        <v>1</v>
      </c>
      <c r="H2928" s="8">
        <v>2.17</v>
      </c>
      <c r="I2928" s="4">
        <v>0</v>
      </c>
    </row>
    <row r="2929" spans="1:9" x14ac:dyDescent="0.2">
      <c r="A2929" s="2">
        <v>20</v>
      </c>
      <c r="B2929" s="1" t="s">
        <v>300</v>
      </c>
      <c r="C2929" s="4">
        <v>1</v>
      </c>
      <c r="D2929" s="8">
        <v>1.08</v>
      </c>
      <c r="E2929" s="4">
        <v>0</v>
      </c>
      <c r="F2929" s="8">
        <v>0</v>
      </c>
      <c r="G2929" s="4">
        <v>1</v>
      </c>
      <c r="H2929" s="8">
        <v>2.17</v>
      </c>
      <c r="I2929" s="4">
        <v>0</v>
      </c>
    </row>
    <row r="2930" spans="1:9" x14ac:dyDescent="0.2">
      <c r="A2930" s="2">
        <v>20</v>
      </c>
      <c r="B2930" s="1" t="s">
        <v>325</v>
      </c>
      <c r="C2930" s="4">
        <v>1</v>
      </c>
      <c r="D2930" s="8">
        <v>1.08</v>
      </c>
      <c r="E2930" s="4">
        <v>0</v>
      </c>
      <c r="F2930" s="8">
        <v>0</v>
      </c>
      <c r="G2930" s="4">
        <v>1</v>
      </c>
      <c r="H2930" s="8">
        <v>2.17</v>
      </c>
      <c r="I2930" s="4">
        <v>0</v>
      </c>
    </row>
    <row r="2931" spans="1:9" x14ac:dyDescent="0.2">
      <c r="A2931" s="2">
        <v>20</v>
      </c>
      <c r="B2931" s="1" t="s">
        <v>323</v>
      </c>
      <c r="C2931" s="4">
        <v>1</v>
      </c>
      <c r="D2931" s="8">
        <v>1.08</v>
      </c>
      <c r="E2931" s="4">
        <v>1</v>
      </c>
      <c r="F2931" s="8">
        <v>2.5</v>
      </c>
      <c r="G2931" s="4">
        <v>0</v>
      </c>
      <c r="H2931" s="8">
        <v>0</v>
      </c>
      <c r="I2931" s="4">
        <v>0</v>
      </c>
    </row>
    <row r="2932" spans="1:9" x14ac:dyDescent="0.2">
      <c r="A2932" s="2">
        <v>20</v>
      </c>
      <c r="B2932" s="1" t="s">
        <v>317</v>
      </c>
      <c r="C2932" s="4">
        <v>1</v>
      </c>
      <c r="D2932" s="8">
        <v>1.08</v>
      </c>
      <c r="E2932" s="4">
        <v>1</v>
      </c>
      <c r="F2932" s="8">
        <v>2.5</v>
      </c>
      <c r="G2932" s="4">
        <v>0</v>
      </c>
      <c r="H2932" s="8">
        <v>0</v>
      </c>
      <c r="I2932" s="4">
        <v>0</v>
      </c>
    </row>
    <row r="2933" spans="1:9" x14ac:dyDescent="0.2">
      <c r="A2933" s="2">
        <v>20</v>
      </c>
      <c r="B2933" s="1" t="s">
        <v>340</v>
      </c>
      <c r="C2933" s="4">
        <v>1</v>
      </c>
      <c r="D2933" s="8">
        <v>1.08</v>
      </c>
      <c r="E2933" s="4">
        <v>0</v>
      </c>
      <c r="F2933" s="8">
        <v>0</v>
      </c>
      <c r="G2933" s="4">
        <v>0</v>
      </c>
      <c r="H2933" s="8">
        <v>0</v>
      </c>
      <c r="I2933" s="4">
        <v>0</v>
      </c>
    </row>
    <row r="2934" spans="1:9" x14ac:dyDescent="0.2">
      <c r="A2934" s="2">
        <v>20</v>
      </c>
      <c r="B2934" s="1" t="s">
        <v>305</v>
      </c>
      <c r="C2934" s="4">
        <v>1</v>
      </c>
      <c r="D2934" s="8">
        <v>1.08</v>
      </c>
      <c r="E2934" s="4">
        <v>1</v>
      </c>
      <c r="F2934" s="8">
        <v>2.5</v>
      </c>
      <c r="G2934" s="4">
        <v>0</v>
      </c>
      <c r="H2934" s="8">
        <v>0</v>
      </c>
      <c r="I2934" s="4">
        <v>0</v>
      </c>
    </row>
    <row r="2935" spans="1:9" x14ac:dyDescent="0.2">
      <c r="A2935" s="2">
        <v>20</v>
      </c>
      <c r="B2935" s="1" t="s">
        <v>469</v>
      </c>
      <c r="C2935" s="4">
        <v>1</v>
      </c>
      <c r="D2935" s="8">
        <v>1.08</v>
      </c>
      <c r="E2935" s="4">
        <v>1</v>
      </c>
      <c r="F2935" s="8">
        <v>2.5</v>
      </c>
      <c r="G2935" s="4">
        <v>0</v>
      </c>
      <c r="H2935" s="8">
        <v>0</v>
      </c>
      <c r="I2935" s="4">
        <v>0</v>
      </c>
    </row>
    <row r="2936" spans="1:9" x14ac:dyDescent="0.2">
      <c r="A2936" s="2">
        <v>20</v>
      </c>
      <c r="B2936" s="1" t="s">
        <v>347</v>
      </c>
      <c r="C2936" s="4">
        <v>1</v>
      </c>
      <c r="D2936" s="8">
        <v>1.08</v>
      </c>
      <c r="E2936" s="4">
        <v>0</v>
      </c>
      <c r="F2936" s="8">
        <v>0</v>
      </c>
      <c r="G2936" s="4">
        <v>1</v>
      </c>
      <c r="H2936" s="8">
        <v>2.17</v>
      </c>
      <c r="I2936" s="4">
        <v>0</v>
      </c>
    </row>
    <row r="2937" spans="1:9" x14ac:dyDescent="0.2">
      <c r="A2937" s="2">
        <v>20</v>
      </c>
      <c r="B2937" s="1" t="s">
        <v>307</v>
      </c>
      <c r="C2937" s="4">
        <v>1</v>
      </c>
      <c r="D2937" s="8">
        <v>1.08</v>
      </c>
      <c r="E2937" s="4">
        <v>0</v>
      </c>
      <c r="F2937" s="8">
        <v>0</v>
      </c>
      <c r="G2937" s="4">
        <v>1</v>
      </c>
      <c r="H2937" s="8">
        <v>2.17</v>
      </c>
      <c r="I2937" s="4">
        <v>0</v>
      </c>
    </row>
    <row r="2938" spans="1:9" x14ac:dyDescent="0.2">
      <c r="A2938" s="2">
        <v>20</v>
      </c>
      <c r="B2938" s="1" t="s">
        <v>460</v>
      </c>
      <c r="C2938" s="4">
        <v>1</v>
      </c>
      <c r="D2938" s="8">
        <v>1.08</v>
      </c>
      <c r="E2938" s="4">
        <v>0</v>
      </c>
      <c r="F2938" s="8">
        <v>0</v>
      </c>
      <c r="G2938" s="4">
        <v>0</v>
      </c>
      <c r="H2938" s="8">
        <v>0</v>
      </c>
      <c r="I2938" s="4">
        <v>1</v>
      </c>
    </row>
    <row r="2939" spans="1:9" x14ac:dyDescent="0.2">
      <c r="A2939" s="1"/>
      <c r="C2939" s="4"/>
      <c r="D2939" s="8"/>
      <c r="E2939" s="4"/>
      <c r="F2939" s="8"/>
      <c r="G2939" s="4"/>
      <c r="H2939" s="8"/>
      <c r="I2939" s="4"/>
    </row>
    <row r="2940" spans="1:9" x14ac:dyDescent="0.2">
      <c r="A2940" s="1" t="s">
        <v>101</v>
      </c>
      <c r="C2940" s="4"/>
      <c r="D2940" s="8"/>
      <c r="E2940" s="4"/>
      <c r="F2940" s="8"/>
      <c r="G2940" s="4"/>
      <c r="H2940" s="8"/>
      <c r="I2940" s="4"/>
    </row>
    <row r="2941" spans="1:9" x14ac:dyDescent="0.2">
      <c r="A2941" s="2">
        <v>1</v>
      </c>
      <c r="B2941" s="1" t="s">
        <v>288</v>
      </c>
      <c r="C2941" s="4">
        <v>3</v>
      </c>
      <c r="D2941" s="8">
        <v>4.17</v>
      </c>
      <c r="E2941" s="4">
        <v>0</v>
      </c>
      <c r="F2941" s="8">
        <v>0</v>
      </c>
      <c r="G2941" s="4">
        <v>3</v>
      </c>
      <c r="H2941" s="8">
        <v>8.82</v>
      </c>
      <c r="I2941" s="4">
        <v>0</v>
      </c>
    </row>
    <row r="2942" spans="1:9" x14ac:dyDescent="0.2">
      <c r="A2942" s="2">
        <v>1</v>
      </c>
      <c r="B2942" s="1" t="s">
        <v>330</v>
      </c>
      <c r="C2942" s="4">
        <v>3</v>
      </c>
      <c r="D2942" s="8">
        <v>4.17</v>
      </c>
      <c r="E2942" s="4">
        <v>0</v>
      </c>
      <c r="F2942" s="8">
        <v>0</v>
      </c>
      <c r="G2942" s="4">
        <v>3</v>
      </c>
      <c r="H2942" s="8">
        <v>8.82</v>
      </c>
      <c r="I2942" s="4">
        <v>0</v>
      </c>
    </row>
    <row r="2943" spans="1:9" x14ac:dyDescent="0.2">
      <c r="A2943" s="2">
        <v>1</v>
      </c>
      <c r="B2943" s="1" t="s">
        <v>334</v>
      </c>
      <c r="C2943" s="4">
        <v>3</v>
      </c>
      <c r="D2943" s="8">
        <v>4.17</v>
      </c>
      <c r="E2943" s="4">
        <v>2</v>
      </c>
      <c r="F2943" s="8">
        <v>5.71</v>
      </c>
      <c r="G2943" s="4">
        <v>1</v>
      </c>
      <c r="H2943" s="8">
        <v>2.94</v>
      </c>
      <c r="I2943" s="4">
        <v>0</v>
      </c>
    </row>
    <row r="2944" spans="1:9" x14ac:dyDescent="0.2">
      <c r="A2944" s="2">
        <v>1</v>
      </c>
      <c r="B2944" s="1" t="s">
        <v>303</v>
      </c>
      <c r="C2944" s="4">
        <v>3</v>
      </c>
      <c r="D2944" s="8">
        <v>4.17</v>
      </c>
      <c r="E2944" s="4">
        <v>3</v>
      </c>
      <c r="F2944" s="8">
        <v>8.57</v>
      </c>
      <c r="G2944" s="4">
        <v>0</v>
      </c>
      <c r="H2944" s="8">
        <v>0</v>
      </c>
      <c r="I2944" s="4">
        <v>0</v>
      </c>
    </row>
    <row r="2945" spans="1:9" x14ac:dyDescent="0.2">
      <c r="A2945" s="2">
        <v>1</v>
      </c>
      <c r="B2945" s="1" t="s">
        <v>304</v>
      </c>
      <c r="C2945" s="4">
        <v>3</v>
      </c>
      <c r="D2945" s="8">
        <v>4.17</v>
      </c>
      <c r="E2945" s="4">
        <v>3</v>
      </c>
      <c r="F2945" s="8">
        <v>8.57</v>
      </c>
      <c r="G2945" s="4">
        <v>0</v>
      </c>
      <c r="H2945" s="8">
        <v>0</v>
      </c>
      <c r="I2945" s="4">
        <v>0</v>
      </c>
    </row>
    <row r="2946" spans="1:9" x14ac:dyDescent="0.2">
      <c r="A2946" s="2">
        <v>6</v>
      </c>
      <c r="B2946" s="1" t="s">
        <v>320</v>
      </c>
      <c r="C2946" s="4">
        <v>2</v>
      </c>
      <c r="D2946" s="8">
        <v>2.78</v>
      </c>
      <c r="E2946" s="4">
        <v>0</v>
      </c>
      <c r="F2946" s="8">
        <v>0</v>
      </c>
      <c r="G2946" s="4">
        <v>2</v>
      </c>
      <c r="H2946" s="8">
        <v>5.88</v>
      </c>
      <c r="I2946" s="4">
        <v>0</v>
      </c>
    </row>
    <row r="2947" spans="1:9" x14ac:dyDescent="0.2">
      <c r="A2947" s="2">
        <v>6</v>
      </c>
      <c r="B2947" s="1" t="s">
        <v>481</v>
      </c>
      <c r="C2947" s="4">
        <v>2</v>
      </c>
      <c r="D2947" s="8">
        <v>2.78</v>
      </c>
      <c r="E2947" s="4">
        <v>0</v>
      </c>
      <c r="F2947" s="8">
        <v>0</v>
      </c>
      <c r="G2947" s="4">
        <v>2</v>
      </c>
      <c r="H2947" s="8">
        <v>5.88</v>
      </c>
      <c r="I2947" s="4">
        <v>0</v>
      </c>
    </row>
    <row r="2948" spans="1:9" x14ac:dyDescent="0.2">
      <c r="A2948" s="2">
        <v>6</v>
      </c>
      <c r="B2948" s="1" t="s">
        <v>292</v>
      </c>
      <c r="C2948" s="4">
        <v>2</v>
      </c>
      <c r="D2948" s="8">
        <v>2.78</v>
      </c>
      <c r="E2948" s="4">
        <v>1</v>
      </c>
      <c r="F2948" s="8">
        <v>2.86</v>
      </c>
      <c r="G2948" s="4">
        <v>1</v>
      </c>
      <c r="H2948" s="8">
        <v>2.94</v>
      </c>
      <c r="I2948" s="4">
        <v>0</v>
      </c>
    </row>
    <row r="2949" spans="1:9" x14ac:dyDescent="0.2">
      <c r="A2949" s="2">
        <v>6</v>
      </c>
      <c r="B2949" s="1" t="s">
        <v>344</v>
      </c>
      <c r="C2949" s="4">
        <v>2</v>
      </c>
      <c r="D2949" s="8">
        <v>2.78</v>
      </c>
      <c r="E2949" s="4">
        <v>2</v>
      </c>
      <c r="F2949" s="8">
        <v>5.71</v>
      </c>
      <c r="G2949" s="4">
        <v>0</v>
      </c>
      <c r="H2949" s="8">
        <v>0</v>
      </c>
      <c r="I2949" s="4">
        <v>0</v>
      </c>
    </row>
    <row r="2950" spans="1:9" x14ac:dyDescent="0.2">
      <c r="A2950" s="2">
        <v>6</v>
      </c>
      <c r="B2950" s="1" t="s">
        <v>301</v>
      </c>
      <c r="C2950" s="4">
        <v>2</v>
      </c>
      <c r="D2950" s="8">
        <v>2.78</v>
      </c>
      <c r="E2950" s="4">
        <v>2</v>
      </c>
      <c r="F2950" s="8">
        <v>5.71</v>
      </c>
      <c r="G2950" s="4">
        <v>0</v>
      </c>
      <c r="H2950" s="8">
        <v>0</v>
      </c>
      <c r="I2950" s="4">
        <v>0</v>
      </c>
    </row>
    <row r="2951" spans="1:9" x14ac:dyDescent="0.2">
      <c r="A2951" s="2">
        <v>6</v>
      </c>
      <c r="B2951" s="1" t="s">
        <v>302</v>
      </c>
      <c r="C2951" s="4">
        <v>2</v>
      </c>
      <c r="D2951" s="8">
        <v>2.78</v>
      </c>
      <c r="E2951" s="4">
        <v>2</v>
      </c>
      <c r="F2951" s="8">
        <v>5.71</v>
      </c>
      <c r="G2951" s="4">
        <v>0</v>
      </c>
      <c r="H2951" s="8">
        <v>0</v>
      </c>
      <c r="I2951" s="4">
        <v>0</v>
      </c>
    </row>
    <row r="2952" spans="1:9" x14ac:dyDescent="0.2">
      <c r="A2952" s="2">
        <v>6</v>
      </c>
      <c r="B2952" s="1" t="s">
        <v>306</v>
      </c>
      <c r="C2952" s="4">
        <v>2</v>
      </c>
      <c r="D2952" s="8">
        <v>2.78</v>
      </c>
      <c r="E2952" s="4">
        <v>2</v>
      </c>
      <c r="F2952" s="8">
        <v>5.71</v>
      </c>
      <c r="G2952" s="4">
        <v>0</v>
      </c>
      <c r="H2952" s="8">
        <v>0</v>
      </c>
      <c r="I2952" s="4">
        <v>0</v>
      </c>
    </row>
    <row r="2953" spans="1:9" x14ac:dyDescent="0.2">
      <c r="A2953" s="2">
        <v>6</v>
      </c>
      <c r="B2953" s="1" t="s">
        <v>307</v>
      </c>
      <c r="C2953" s="4">
        <v>2</v>
      </c>
      <c r="D2953" s="8">
        <v>2.78</v>
      </c>
      <c r="E2953" s="4">
        <v>0</v>
      </c>
      <c r="F2953" s="8">
        <v>0</v>
      </c>
      <c r="G2953" s="4">
        <v>2</v>
      </c>
      <c r="H2953" s="8">
        <v>5.88</v>
      </c>
      <c r="I2953" s="4">
        <v>0</v>
      </c>
    </row>
    <row r="2954" spans="1:9" x14ac:dyDescent="0.2">
      <c r="A2954" s="2">
        <v>14</v>
      </c>
      <c r="B2954" s="1" t="s">
        <v>398</v>
      </c>
      <c r="C2954" s="4">
        <v>1</v>
      </c>
      <c r="D2954" s="8">
        <v>1.39</v>
      </c>
      <c r="E2954" s="4">
        <v>0</v>
      </c>
      <c r="F2954" s="8">
        <v>0</v>
      </c>
      <c r="G2954" s="4">
        <v>1</v>
      </c>
      <c r="H2954" s="8">
        <v>2.94</v>
      </c>
      <c r="I2954" s="4">
        <v>0</v>
      </c>
    </row>
    <row r="2955" spans="1:9" x14ac:dyDescent="0.2">
      <c r="A2955" s="2">
        <v>14</v>
      </c>
      <c r="B2955" s="1" t="s">
        <v>289</v>
      </c>
      <c r="C2955" s="4">
        <v>1</v>
      </c>
      <c r="D2955" s="8">
        <v>1.39</v>
      </c>
      <c r="E2955" s="4">
        <v>0</v>
      </c>
      <c r="F2955" s="8">
        <v>0</v>
      </c>
      <c r="G2955" s="4">
        <v>1</v>
      </c>
      <c r="H2955" s="8">
        <v>2.94</v>
      </c>
      <c r="I2955" s="4">
        <v>0</v>
      </c>
    </row>
    <row r="2956" spans="1:9" x14ac:dyDescent="0.2">
      <c r="A2956" s="2">
        <v>14</v>
      </c>
      <c r="B2956" s="1" t="s">
        <v>375</v>
      </c>
      <c r="C2956" s="4">
        <v>1</v>
      </c>
      <c r="D2956" s="8">
        <v>1.39</v>
      </c>
      <c r="E2956" s="4">
        <v>0</v>
      </c>
      <c r="F2956" s="8">
        <v>0</v>
      </c>
      <c r="G2956" s="4">
        <v>1</v>
      </c>
      <c r="H2956" s="8">
        <v>2.94</v>
      </c>
      <c r="I2956" s="4">
        <v>0</v>
      </c>
    </row>
    <row r="2957" spans="1:9" x14ac:dyDescent="0.2">
      <c r="A2957" s="2">
        <v>14</v>
      </c>
      <c r="B2957" s="1" t="s">
        <v>450</v>
      </c>
      <c r="C2957" s="4">
        <v>1</v>
      </c>
      <c r="D2957" s="8">
        <v>1.39</v>
      </c>
      <c r="E2957" s="4">
        <v>1</v>
      </c>
      <c r="F2957" s="8">
        <v>2.86</v>
      </c>
      <c r="G2957" s="4">
        <v>0</v>
      </c>
      <c r="H2957" s="8">
        <v>0</v>
      </c>
      <c r="I2957" s="4">
        <v>0</v>
      </c>
    </row>
    <row r="2958" spans="1:9" x14ac:dyDescent="0.2">
      <c r="A2958" s="2">
        <v>14</v>
      </c>
      <c r="B2958" s="1" t="s">
        <v>333</v>
      </c>
      <c r="C2958" s="4">
        <v>1</v>
      </c>
      <c r="D2958" s="8">
        <v>1.39</v>
      </c>
      <c r="E2958" s="4">
        <v>1</v>
      </c>
      <c r="F2958" s="8">
        <v>2.86</v>
      </c>
      <c r="G2958" s="4">
        <v>0</v>
      </c>
      <c r="H2958" s="8">
        <v>0</v>
      </c>
      <c r="I2958" s="4">
        <v>0</v>
      </c>
    </row>
    <row r="2959" spans="1:9" x14ac:dyDescent="0.2">
      <c r="A2959" s="2">
        <v>14</v>
      </c>
      <c r="B2959" s="1" t="s">
        <v>290</v>
      </c>
      <c r="C2959" s="4">
        <v>1</v>
      </c>
      <c r="D2959" s="8">
        <v>1.39</v>
      </c>
      <c r="E2959" s="4">
        <v>0</v>
      </c>
      <c r="F2959" s="8">
        <v>0</v>
      </c>
      <c r="G2959" s="4">
        <v>1</v>
      </c>
      <c r="H2959" s="8">
        <v>2.94</v>
      </c>
      <c r="I2959" s="4">
        <v>0</v>
      </c>
    </row>
    <row r="2960" spans="1:9" x14ac:dyDescent="0.2">
      <c r="A2960" s="2">
        <v>14</v>
      </c>
      <c r="B2960" s="1" t="s">
        <v>291</v>
      </c>
      <c r="C2960" s="4">
        <v>1</v>
      </c>
      <c r="D2960" s="8">
        <v>1.39</v>
      </c>
      <c r="E2960" s="4">
        <v>1</v>
      </c>
      <c r="F2960" s="8">
        <v>2.86</v>
      </c>
      <c r="G2960" s="4">
        <v>0</v>
      </c>
      <c r="H2960" s="8">
        <v>0</v>
      </c>
      <c r="I2960" s="4">
        <v>0</v>
      </c>
    </row>
    <row r="2961" spans="1:9" x14ac:dyDescent="0.2">
      <c r="A2961" s="2">
        <v>14</v>
      </c>
      <c r="B2961" s="1" t="s">
        <v>376</v>
      </c>
      <c r="C2961" s="4">
        <v>1</v>
      </c>
      <c r="D2961" s="8">
        <v>1.39</v>
      </c>
      <c r="E2961" s="4">
        <v>1</v>
      </c>
      <c r="F2961" s="8">
        <v>2.86</v>
      </c>
      <c r="G2961" s="4">
        <v>0</v>
      </c>
      <c r="H2961" s="8">
        <v>0</v>
      </c>
      <c r="I2961" s="4">
        <v>0</v>
      </c>
    </row>
    <row r="2962" spans="1:9" x14ac:dyDescent="0.2">
      <c r="A2962" s="2">
        <v>14</v>
      </c>
      <c r="B2962" s="1" t="s">
        <v>351</v>
      </c>
      <c r="C2962" s="4">
        <v>1</v>
      </c>
      <c r="D2962" s="8">
        <v>1.39</v>
      </c>
      <c r="E2962" s="4">
        <v>1</v>
      </c>
      <c r="F2962" s="8">
        <v>2.86</v>
      </c>
      <c r="G2962" s="4">
        <v>0</v>
      </c>
      <c r="H2962" s="8">
        <v>0</v>
      </c>
      <c r="I2962" s="4">
        <v>0</v>
      </c>
    </row>
    <row r="2963" spans="1:9" x14ac:dyDescent="0.2">
      <c r="A2963" s="2">
        <v>14</v>
      </c>
      <c r="B2963" s="1" t="s">
        <v>480</v>
      </c>
      <c r="C2963" s="4">
        <v>1</v>
      </c>
      <c r="D2963" s="8">
        <v>1.39</v>
      </c>
      <c r="E2963" s="4">
        <v>0</v>
      </c>
      <c r="F2963" s="8">
        <v>0</v>
      </c>
      <c r="G2963" s="4">
        <v>1</v>
      </c>
      <c r="H2963" s="8">
        <v>2.94</v>
      </c>
      <c r="I2963" s="4">
        <v>0</v>
      </c>
    </row>
    <row r="2964" spans="1:9" x14ac:dyDescent="0.2">
      <c r="A2964" s="2">
        <v>14</v>
      </c>
      <c r="B2964" s="1" t="s">
        <v>385</v>
      </c>
      <c r="C2964" s="4">
        <v>1</v>
      </c>
      <c r="D2964" s="8">
        <v>1.39</v>
      </c>
      <c r="E2964" s="4">
        <v>0</v>
      </c>
      <c r="F2964" s="8">
        <v>0</v>
      </c>
      <c r="G2964" s="4">
        <v>1</v>
      </c>
      <c r="H2964" s="8">
        <v>2.94</v>
      </c>
      <c r="I2964" s="4">
        <v>0</v>
      </c>
    </row>
    <row r="2965" spans="1:9" x14ac:dyDescent="0.2">
      <c r="A2965" s="2">
        <v>14</v>
      </c>
      <c r="B2965" s="1" t="s">
        <v>432</v>
      </c>
      <c r="C2965" s="4">
        <v>1</v>
      </c>
      <c r="D2965" s="8">
        <v>1.39</v>
      </c>
      <c r="E2965" s="4">
        <v>0</v>
      </c>
      <c r="F2965" s="8">
        <v>0</v>
      </c>
      <c r="G2965" s="4">
        <v>1</v>
      </c>
      <c r="H2965" s="8">
        <v>2.94</v>
      </c>
      <c r="I2965" s="4">
        <v>0</v>
      </c>
    </row>
    <row r="2966" spans="1:9" x14ac:dyDescent="0.2">
      <c r="A2966" s="2">
        <v>14</v>
      </c>
      <c r="B2966" s="1" t="s">
        <v>465</v>
      </c>
      <c r="C2966" s="4">
        <v>1</v>
      </c>
      <c r="D2966" s="8">
        <v>1.39</v>
      </c>
      <c r="E2966" s="4">
        <v>1</v>
      </c>
      <c r="F2966" s="8">
        <v>2.86</v>
      </c>
      <c r="G2966" s="4">
        <v>0</v>
      </c>
      <c r="H2966" s="8">
        <v>0</v>
      </c>
      <c r="I2966" s="4">
        <v>0</v>
      </c>
    </row>
    <row r="2967" spans="1:9" x14ac:dyDescent="0.2">
      <c r="A2967" s="2">
        <v>14</v>
      </c>
      <c r="B2967" s="1" t="s">
        <v>361</v>
      </c>
      <c r="C2967" s="4">
        <v>1</v>
      </c>
      <c r="D2967" s="8">
        <v>1.39</v>
      </c>
      <c r="E2967" s="4">
        <v>0</v>
      </c>
      <c r="F2967" s="8">
        <v>0</v>
      </c>
      <c r="G2967" s="4">
        <v>0</v>
      </c>
      <c r="H2967" s="8">
        <v>0</v>
      </c>
      <c r="I2967" s="4">
        <v>0</v>
      </c>
    </row>
    <row r="2968" spans="1:9" x14ac:dyDescent="0.2">
      <c r="A2968" s="2">
        <v>14</v>
      </c>
      <c r="B2968" s="1" t="s">
        <v>407</v>
      </c>
      <c r="C2968" s="4">
        <v>1</v>
      </c>
      <c r="D2968" s="8">
        <v>1.39</v>
      </c>
      <c r="E2968" s="4">
        <v>0</v>
      </c>
      <c r="F2968" s="8">
        <v>0</v>
      </c>
      <c r="G2968" s="4">
        <v>1</v>
      </c>
      <c r="H2968" s="8">
        <v>2.94</v>
      </c>
      <c r="I2968" s="4">
        <v>0</v>
      </c>
    </row>
    <row r="2969" spans="1:9" x14ac:dyDescent="0.2">
      <c r="A2969" s="2">
        <v>14</v>
      </c>
      <c r="B2969" s="1" t="s">
        <v>466</v>
      </c>
      <c r="C2969" s="4">
        <v>1</v>
      </c>
      <c r="D2969" s="8">
        <v>1.39</v>
      </c>
      <c r="E2969" s="4">
        <v>0</v>
      </c>
      <c r="F2969" s="8">
        <v>0</v>
      </c>
      <c r="G2969" s="4">
        <v>1</v>
      </c>
      <c r="H2969" s="8">
        <v>2.94</v>
      </c>
      <c r="I2969" s="4">
        <v>0</v>
      </c>
    </row>
    <row r="2970" spans="1:9" x14ac:dyDescent="0.2">
      <c r="A2970" s="2">
        <v>14</v>
      </c>
      <c r="B2970" s="1" t="s">
        <v>350</v>
      </c>
      <c r="C2970" s="4">
        <v>1</v>
      </c>
      <c r="D2970" s="8">
        <v>1.39</v>
      </c>
      <c r="E2970" s="4">
        <v>0</v>
      </c>
      <c r="F2970" s="8">
        <v>0</v>
      </c>
      <c r="G2970" s="4">
        <v>1</v>
      </c>
      <c r="H2970" s="8">
        <v>2.94</v>
      </c>
      <c r="I2970" s="4">
        <v>0</v>
      </c>
    </row>
    <row r="2971" spans="1:9" x14ac:dyDescent="0.2">
      <c r="A2971" s="2">
        <v>14</v>
      </c>
      <c r="B2971" s="1" t="s">
        <v>324</v>
      </c>
      <c r="C2971" s="4">
        <v>1</v>
      </c>
      <c r="D2971" s="8">
        <v>1.39</v>
      </c>
      <c r="E2971" s="4">
        <v>0</v>
      </c>
      <c r="F2971" s="8">
        <v>0</v>
      </c>
      <c r="G2971" s="4">
        <v>1</v>
      </c>
      <c r="H2971" s="8">
        <v>2.94</v>
      </c>
      <c r="I2971" s="4">
        <v>0</v>
      </c>
    </row>
    <row r="2972" spans="1:9" x14ac:dyDescent="0.2">
      <c r="A2972" s="2">
        <v>14</v>
      </c>
      <c r="B2972" s="1" t="s">
        <v>346</v>
      </c>
      <c r="C2972" s="4">
        <v>1</v>
      </c>
      <c r="D2972" s="8">
        <v>1.39</v>
      </c>
      <c r="E2972" s="4">
        <v>0</v>
      </c>
      <c r="F2972" s="8">
        <v>0</v>
      </c>
      <c r="G2972" s="4">
        <v>1</v>
      </c>
      <c r="H2972" s="8">
        <v>2.94</v>
      </c>
      <c r="I2972" s="4">
        <v>0</v>
      </c>
    </row>
    <row r="2973" spans="1:9" x14ac:dyDescent="0.2">
      <c r="A2973" s="2">
        <v>14</v>
      </c>
      <c r="B2973" s="1" t="s">
        <v>446</v>
      </c>
      <c r="C2973" s="4">
        <v>1</v>
      </c>
      <c r="D2973" s="8">
        <v>1.39</v>
      </c>
      <c r="E2973" s="4">
        <v>1</v>
      </c>
      <c r="F2973" s="8">
        <v>2.86</v>
      </c>
      <c r="G2973" s="4">
        <v>0</v>
      </c>
      <c r="H2973" s="8">
        <v>0</v>
      </c>
      <c r="I2973" s="4">
        <v>0</v>
      </c>
    </row>
    <row r="2974" spans="1:9" x14ac:dyDescent="0.2">
      <c r="A2974" s="2">
        <v>14</v>
      </c>
      <c r="B2974" s="1" t="s">
        <v>400</v>
      </c>
      <c r="C2974" s="4">
        <v>1</v>
      </c>
      <c r="D2974" s="8">
        <v>1.39</v>
      </c>
      <c r="E2974" s="4">
        <v>1</v>
      </c>
      <c r="F2974" s="8">
        <v>2.86</v>
      </c>
      <c r="G2974" s="4">
        <v>0</v>
      </c>
      <c r="H2974" s="8">
        <v>0</v>
      </c>
      <c r="I2974" s="4">
        <v>0</v>
      </c>
    </row>
    <row r="2975" spans="1:9" x14ac:dyDescent="0.2">
      <c r="A2975" s="2">
        <v>14</v>
      </c>
      <c r="B2975" s="1" t="s">
        <v>314</v>
      </c>
      <c r="C2975" s="4">
        <v>1</v>
      </c>
      <c r="D2975" s="8">
        <v>1.39</v>
      </c>
      <c r="E2975" s="4">
        <v>1</v>
      </c>
      <c r="F2975" s="8">
        <v>2.86</v>
      </c>
      <c r="G2975" s="4">
        <v>0</v>
      </c>
      <c r="H2975" s="8">
        <v>0</v>
      </c>
      <c r="I2975" s="4">
        <v>0</v>
      </c>
    </row>
    <row r="2976" spans="1:9" x14ac:dyDescent="0.2">
      <c r="A2976" s="2">
        <v>14</v>
      </c>
      <c r="B2976" s="1" t="s">
        <v>332</v>
      </c>
      <c r="C2976" s="4">
        <v>1</v>
      </c>
      <c r="D2976" s="8">
        <v>1.39</v>
      </c>
      <c r="E2976" s="4">
        <v>1</v>
      </c>
      <c r="F2976" s="8">
        <v>2.86</v>
      </c>
      <c r="G2976" s="4">
        <v>0</v>
      </c>
      <c r="H2976" s="8">
        <v>0</v>
      </c>
      <c r="I2976" s="4">
        <v>0</v>
      </c>
    </row>
    <row r="2977" spans="1:9" x14ac:dyDescent="0.2">
      <c r="A2977" s="2">
        <v>14</v>
      </c>
      <c r="B2977" s="1" t="s">
        <v>335</v>
      </c>
      <c r="C2977" s="4">
        <v>1</v>
      </c>
      <c r="D2977" s="8">
        <v>1.39</v>
      </c>
      <c r="E2977" s="4">
        <v>1</v>
      </c>
      <c r="F2977" s="8">
        <v>2.86</v>
      </c>
      <c r="G2977" s="4">
        <v>0</v>
      </c>
      <c r="H2977" s="8">
        <v>0</v>
      </c>
      <c r="I2977" s="4">
        <v>0</v>
      </c>
    </row>
    <row r="2978" spans="1:9" x14ac:dyDescent="0.2">
      <c r="A2978" s="2">
        <v>14</v>
      </c>
      <c r="B2978" s="1" t="s">
        <v>294</v>
      </c>
      <c r="C2978" s="4">
        <v>1</v>
      </c>
      <c r="D2978" s="8">
        <v>1.39</v>
      </c>
      <c r="E2978" s="4">
        <v>0</v>
      </c>
      <c r="F2978" s="8">
        <v>0</v>
      </c>
      <c r="G2978" s="4">
        <v>1</v>
      </c>
      <c r="H2978" s="8">
        <v>2.94</v>
      </c>
      <c r="I2978" s="4">
        <v>0</v>
      </c>
    </row>
    <row r="2979" spans="1:9" x14ac:dyDescent="0.2">
      <c r="A2979" s="2">
        <v>14</v>
      </c>
      <c r="B2979" s="1" t="s">
        <v>295</v>
      </c>
      <c r="C2979" s="4">
        <v>1</v>
      </c>
      <c r="D2979" s="8">
        <v>1.39</v>
      </c>
      <c r="E2979" s="4">
        <v>0</v>
      </c>
      <c r="F2979" s="8">
        <v>0</v>
      </c>
      <c r="G2979" s="4">
        <v>1</v>
      </c>
      <c r="H2979" s="8">
        <v>2.94</v>
      </c>
      <c r="I2979" s="4">
        <v>0</v>
      </c>
    </row>
    <row r="2980" spans="1:9" x14ac:dyDescent="0.2">
      <c r="A2980" s="2">
        <v>14</v>
      </c>
      <c r="B2980" s="1" t="s">
        <v>449</v>
      </c>
      <c r="C2980" s="4">
        <v>1</v>
      </c>
      <c r="D2980" s="8">
        <v>1.39</v>
      </c>
      <c r="E2980" s="4">
        <v>1</v>
      </c>
      <c r="F2980" s="8">
        <v>2.86</v>
      </c>
      <c r="G2980" s="4">
        <v>0</v>
      </c>
      <c r="H2980" s="8">
        <v>0</v>
      </c>
      <c r="I2980" s="4">
        <v>0</v>
      </c>
    </row>
    <row r="2981" spans="1:9" x14ac:dyDescent="0.2">
      <c r="A2981" s="2">
        <v>14</v>
      </c>
      <c r="B2981" s="1" t="s">
        <v>417</v>
      </c>
      <c r="C2981" s="4">
        <v>1</v>
      </c>
      <c r="D2981" s="8">
        <v>1.39</v>
      </c>
      <c r="E2981" s="4">
        <v>1</v>
      </c>
      <c r="F2981" s="8">
        <v>2.86</v>
      </c>
      <c r="G2981" s="4">
        <v>0</v>
      </c>
      <c r="H2981" s="8">
        <v>0</v>
      </c>
      <c r="I2981" s="4">
        <v>0</v>
      </c>
    </row>
    <row r="2982" spans="1:9" x14ac:dyDescent="0.2">
      <c r="A2982" s="2">
        <v>14</v>
      </c>
      <c r="B2982" s="1" t="s">
        <v>482</v>
      </c>
      <c r="C2982" s="4">
        <v>1</v>
      </c>
      <c r="D2982" s="8">
        <v>1.39</v>
      </c>
      <c r="E2982" s="4">
        <v>1</v>
      </c>
      <c r="F2982" s="8">
        <v>2.86</v>
      </c>
      <c r="G2982" s="4">
        <v>0</v>
      </c>
      <c r="H2982" s="8">
        <v>0</v>
      </c>
      <c r="I2982" s="4">
        <v>0</v>
      </c>
    </row>
    <row r="2983" spans="1:9" x14ac:dyDescent="0.2">
      <c r="A2983" s="2">
        <v>14</v>
      </c>
      <c r="B2983" s="1" t="s">
        <v>418</v>
      </c>
      <c r="C2983" s="4">
        <v>1</v>
      </c>
      <c r="D2983" s="8">
        <v>1.39</v>
      </c>
      <c r="E2983" s="4">
        <v>0</v>
      </c>
      <c r="F2983" s="8">
        <v>0</v>
      </c>
      <c r="G2983" s="4">
        <v>1</v>
      </c>
      <c r="H2983" s="8">
        <v>2.94</v>
      </c>
      <c r="I2983" s="4">
        <v>0</v>
      </c>
    </row>
    <row r="2984" spans="1:9" x14ac:dyDescent="0.2">
      <c r="A2984" s="2">
        <v>14</v>
      </c>
      <c r="B2984" s="1" t="s">
        <v>299</v>
      </c>
      <c r="C2984" s="4">
        <v>1</v>
      </c>
      <c r="D2984" s="8">
        <v>1.39</v>
      </c>
      <c r="E2984" s="4">
        <v>1</v>
      </c>
      <c r="F2984" s="8">
        <v>2.86</v>
      </c>
      <c r="G2984" s="4">
        <v>0</v>
      </c>
      <c r="H2984" s="8">
        <v>0</v>
      </c>
      <c r="I2984" s="4">
        <v>0</v>
      </c>
    </row>
    <row r="2985" spans="1:9" x14ac:dyDescent="0.2">
      <c r="A2985" s="2">
        <v>14</v>
      </c>
      <c r="B2985" s="1" t="s">
        <v>300</v>
      </c>
      <c r="C2985" s="4">
        <v>1</v>
      </c>
      <c r="D2985" s="8">
        <v>1.39</v>
      </c>
      <c r="E2985" s="4">
        <v>1</v>
      </c>
      <c r="F2985" s="8">
        <v>2.86</v>
      </c>
      <c r="G2985" s="4">
        <v>0</v>
      </c>
      <c r="H2985" s="8">
        <v>0</v>
      </c>
      <c r="I2985" s="4">
        <v>0</v>
      </c>
    </row>
    <row r="2986" spans="1:9" x14ac:dyDescent="0.2">
      <c r="A2986" s="2">
        <v>14</v>
      </c>
      <c r="B2986" s="1" t="s">
        <v>391</v>
      </c>
      <c r="C2986" s="4">
        <v>1</v>
      </c>
      <c r="D2986" s="8">
        <v>1.39</v>
      </c>
      <c r="E2986" s="4">
        <v>0</v>
      </c>
      <c r="F2986" s="8">
        <v>0</v>
      </c>
      <c r="G2986" s="4">
        <v>1</v>
      </c>
      <c r="H2986" s="8">
        <v>2.94</v>
      </c>
      <c r="I2986" s="4">
        <v>0</v>
      </c>
    </row>
    <row r="2987" spans="1:9" x14ac:dyDescent="0.2">
      <c r="A2987" s="2">
        <v>14</v>
      </c>
      <c r="B2987" s="1" t="s">
        <v>352</v>
      </c>
      <c r="C2987" s="4">
        <v>1</v>
      </c>
      <c r="D2987" s="8">
        <v>1.39</v>
      </c>
      <c r="E2987" s="4">
        <v>0</v>
      </c>
      <c r="F2987" s="8">
        <v>0</v>
      </c>
      <c r="G2987" s="4">
        <v>1</v>
      </c>
      <c r="H2987" s="8">
        <v>2.94</v>
      </c>
      <c r="I2987" s="4">
        <v>0</v>
      </c>
    </row>
    <row r="2988" spans="1:9" x14ac:dyDescent="0.2">
      <c r="A2988" s="2">
        <v>14</v>
      </c>
      <c r="B2988" s="1" t="s">
        <v>368</v>
      </c>
      <c r="C2988" s="4">
        <v>1</v>
      </c>
      <c r="D2988" s="8">
        <v>1.39</v>
      </c>
      <c r="E2988" s="4">
        <v>0</v>
      </c>
      <c r="F2988" s="8">
        <v>0</v>
      </c>
      <c r="G2988" s="4">
        <v>0</v>
      </c>
      <c r="H2988" s="8">
        <v>0</v>
      </c>
      <c r="I2988" s="4">
        <v>1</v>
      </c>
    </row>
    <row r="2989" spans="1:9" x14ac:dyDescent="0.2">
      <c r="A2989" s="2">
        <v>14</v>
      </c>
      <c r="B2989" s="1" t="s">
        <v>305</v>
      </c>
      <c r="C2989" s="4">
        <v>1</v>
      </c>
      <c r="D2989" s="8">
        <v>1.39</v>
      </c>
      <c r="E2989" s="4">
        <v>1</v>
      </c>
      <c r="F2989" s="8">
        <v>2.86</v>
      </c>
      <c r="G2989" s="4">
        <v>0</v>
      </c>
      <c r="H2989" s="8">
        <v>0</v>
      </c>
      <c r="I2989" s="4">
        <v>0</v>
      </c>
    </row>
    <row r="2990" spans="1:9" x14ac:dyDescent="0.2">
      <c r="A2990" s="2">
        <v>14</v>
      </c>
      <c r="B2990" s="1" t="s">
        <v>312</v>
      </c>
      <c r="C2990" s="4">
        <v>1</v>
      </c>
      <c r="D2990" s="8">
        <v>1.39</v>
      </c>
      <c r="E2990" s="4">
        <v>1</v>
      </c>
      <c r="F2990" s="8">
        <v>2.86</v>
      </c>
      <c r="G2990" s="4">
        <v>0</v>
      </c>
      <c r="H2990" s="8">
        <v>0</v>
      </c>
      <c r="I2990" s="4">
        <v>0</v>
      </c>
    </row>
    <row r="2991" spans="1:9" x14ac:dyDescent="0.2">
      <c r="A2991" s="2">
        <v>14</v>
      </c>
      <c r="B2991" s="1" t="s">
        <v>331</v>
      </c>
      <c r="C2991" s="4">
        <v>1</v>
      </c>
      <c r="D2991" s="8">
        <v>1.39</v>
      </c>
      <c r="E2991" s="4">
        <v>0</v>
      </c>
      <c r="F2991" s="8">
        <v>0</v>
      </c>
      <c r="G2991" s="4">
        <v>0</v>
      </c>
      <c r="H2991" s="8">
        <v>0</v>
      </c>
      <c r="I2991" s="4">
        <v>0</v>
      </c>
    </row>
    <row r="2992" spans="1:9" x14ac:dyDescent="0.2">
      <c r="A2992" s="2">
        <v>14</v>
      </c>
      <c r="B2992" s="1" t="s">
        <v>370</v>
      </c>
      <c r="C2992" s="4">
        <v>1</v>
      </c>
      <c r="D2992" s="8">
        <v>1.39</v>
      </c>
      <c r="E2992" s="4">
        <v>0</v>
      </c>
      <c r="F2992" s="8">
        <v>0</v>
      </c>
      <c r="G2992" s="4">
        <v>1</v>
      </c>
      <c r="H2992" s="8">
        <v>2.94</v>
      </c>
      <c r="I2992" s="4">
        <v>0</v>
      </c>
    </row>
    <row r="2993" spans="1:9" x14ac:dyDescent="0.2">
      <c r="A2993" s="2">
        <v>14</v>
      </c>
      <c r="B2993" s="1" t="s">
        <v>371</v>
      </c>
      <c r="C2993" s="4">
        <v>1</v>
      </c>
      <c r="D2993" s="8">
        <v>1.39</v>
      </c>
      <c r="E2993" s="4">
        <v>0</v>
      </c>
      <c r="F2993" s="8">
        <v>0</v>
      </c>
      <c r="G2993" s="4">
        <v>1</v>
      </c>
      <c r="H2993" s="8">
        <v>2.94</v>
      </c>
      <c r="I2993" s="4">
        <v>0</v>
      </c>
    </row>
    <row r="2994" spans="1:9" x14ac:dyDescent="0.2">
      <c r="A2994" s="2">
        <v>14</v>
      </c>
      <c r="B2994" s="1" t="s">
        <v>348</v>
      </c>
      <c r="C2994" s="4">
        <v>1</v>
      </c>
      <c r="D2994" s="8">
        <v>1.39</v>
      </c>
      <c r="E2994" s="4">
        <v>0</v>
      </c>
      <c r="F2994" s="8">
        <v>0</v>
      </c>
      <c r="G2994" s="4">
        <v>1</v>
      </c>
      <c r="H2994" s="8">
        <v>2.94</v>
      </c>
      <c r="I2994" s="4">
        <v>0</v>
      </c>
    </row>
    <row r="2995" spans="1:9" x14ac:dyDescent="0.2">
      <c r="A2995" s="1"/>
      <c r="C2995" s="4"/>
      <c r="D2995" s="8"/>
      <c r="E2995" s="4"/>
      <c r="F2995" s="8"/>
      <c r="G2995" s="4"/>
      <c r="H2995" s="8"/>
      <c r="I2995" s="4"/>
    </row>
    <row r="2996" spans="1:9" x14ac:dyDescent="0.2">
      <c r="A2996" s="1" t="s">
        <v>102</v>
      </c>
      <c r="C2996" s="4"/>
      <c r="D2996" s="8"/>
      <c r="E2996" s="4"/>
      <c r="F2996" s="8"/>
      <c r="G2996" s="4"/>
      <c r="H2996" s="8"/>
      <c r="I2996" s="4"/>
    </row>
    <row r="2997" spans="1:9" x14ac:dyDescent="0.2">
      <c r="A2997" s="2">
        <v>1</v>
      </c>
      <c r="B2997" s="1" t="s">
        <v>339</v>
      </c>
      <c r="C2997" s="4">
        <v>8</v>
      </c>
      <c r="D2997" s="8">
        <v>6.25</v>
      </c>
      <c r="E2997" s="4">
        <v>5</v>
      </c>
      <c r="F2997" s="8">
        <v>6.85</v>
      </c>
      <c r="G2997" s="4">
        <v>3</v>
      </c>
      <c r="H2997" s="8">
        <v>6.12</v>
      </c>
      <c r="I2997" s="4">
        <v>0</v>
      </c>
    </row>
    <row r="2998" spans="1:9" x14ac:dyDescent="0.2">
      <c r="A2998" s="2">
        <v>2</v>
      </c>
      <c r="B2998" s="1" t="s">
        <v>299</v>
      </c>
      <c r="C2998" s="4">
        <v>6</v>
      </c>
      <c r="D2998" s="8">
        <v>4.6900000000000004</v>
      </c>
      <c r="E2998" s="4">
        <v>4</v>
      </c>
      <c r="F2998" s="8">
        <v>5.48</v>
      </c>
      <c r="G2998" s="4">
        <v>2</v>
      </c>
      <c r="H2998" s="8">
        <v>4.08</v>
      </c>
      <c r="I2998" s="4">
        <v>0</v>
      </c>
    </row>
    <row r="2999" spans="1:9" x14ac:dyDescent="0.2">
      <c r="A2999" s="2">
        <v>2</v>
      </c>
      <c r="B2999" s="1" t="s">
        <v>304</v>
      </c>
      <c r="C2999" s="4">
        <v>6</v>
      </c>
      <c r="D2999" s="8">
        <v>4.6900000000000004</v>
      </c>
      <c r="E2999" s="4">
        <v>6</v>
      </c>
      <c r="F2999" s="8">
        <v>8.2200000000000006</v>
      </c>
      <c r="G2999" s="4">
        <v>0</v>
      </c>
      <c r="H2999" s="8">
        <v>0</v>
      </c>
      <c r="I2999" s="4">
        <v>0</v>
      </c>
    </row>
    <row r="3000" spans="1:9" x14ac:dyDescent="0.2">
      <c r="A3000" s="2">
        <v>4</v>
      </c>
      <c r="B3000" s="1" t="s">
        <v>295</v>
      </c>
      <c r="C3000" s="4">
        <v>5</v>
      </c>
      <c r="D3000" s="8">
        <v>3.91</v>
      </c>
      <c r="E3000" s="4">
        <v>4</v>
      </c>
      <c r="F3000" s="8">
        <v>5.48</v>
      </c>
      <c r="G3000" s="4">
        <v>1</v>
      </c>
      <c r="H3000" s="8">
        <v>2.04</v>
      </c>
      <c r="I3000" s="4">
        <v>0</v>
      </c>
    </row>
    <row r="3001" spans="1:9" x14ac:dyDescent="0.2">
      <c r="A3001" s="2">
        <v>4</v>
      </c>
      <c r="B3001" s="1" t="s">
        <v>301</v>
      </c>
      <c r="C3001" s="4">
        <v>5</v>
      </c>
      <c r="D3001" s="8">
        <v>3.91</v>
      </c>
      <c r="E3001" s="4">
        <v>5</v>
      </c>
      <c r="F3001" s="8">
        <v>6.85</v>
      </c>
      <c r="G3001" s="4">
        <v>0</v>
      </c>
      <c r="H3001" s="8">
        <v>0</v>
      </c>
      <c r="I3001" s="4">
        <v>0</v>
      </c>
    </row>
    <row r="3002" spans="1:9" x14ac:dyDescent="0.2">
      <c r="A3002" s="2">
        <v>6</v>
      </c>
      <c r="B3002" s="1" t="s">
        <v>303</v>
      </c>
      <c r="C3002" s="4">
        <v>4</v>
      </c>
      <c r="D3002" s="8">
        <v>3.13</v>
      </c>
      <c r="E3002" s="4">
        <v>4</v>
      </c>
      <c r="F3002" s="8">
        <v>5.48</v>
      </c>
      <c r="G3002" s="4">
        <v>0</v>
      </c>
      <c r="H3002" s="8">
        <v>0</v>
      </c>
      <c r="I3002" s="4">
        <v>0</v>
      </c>
    </row>
    <row r="3003" spans="1:9" x14ac:dyDescent="0.2">
      <c r="A3003" s="2">
        <v>6</v>
      </c>
      <c r="B3003" s="1" t="s">
        <v>331</v>
      </c>
      <c r="C3003" s="4">
        <v>4</v>
      </c>
      <c r="D3003" s="8">
        <v>3.13</v>
      </c>
      <c r="E3003" s="4">
        <v>0</v>
      </c>
      <c r="F3003" s="8">
        <v>0</v>
      </c>
      <c r="G3003" s="4">
        <v>4</v>
      </c>
      <c r="H3003" s="8">
        <v>8.16</v>
      </c>
      <c r="I3003" s="4">
        <v>0</v>
      </c>
    </row>
    <row r="3004" spans="1:9" x14ac:dyDescent="0.2">
      <c r="A3004" s="2">
        <v>8</v>
      </c>
      <c r="B3004" s="1" t="s">
        <v>351</v>
      </c>
      <c r="C3004" s="4">
        <v>3</v>
      </c>
      <c r="D3004" s="8">
        <v>2.34</v>
      </c>
      <c r="E3004" s="4">
        <v>0</v>
      </c>
      <c r="F3004" s="8">
        <v>0</v>
      </c>
      <c r="G3004" s="4">
        <v>3</v>
      </c>
      <c r="H3004" s="8">
        <v>6.12</v>
      </c>
      <c r="I3004" s="4">
        <v>0</v>
      </c>
    </row>
    <row r="3005" spans="1:9" x14ac:dyDescent="0.2">
      <c r="A3005" s="2">
        <v>8</v>
      </c>
      <c r="B3005" s="1" t="s">
        <v>329</v>
      </c>
      <c r="C3005" s="4">
        <v>3</v>
      </c>
      <c r="D3005" s="8">
        <v>2.34</v>
      </c>
      <c r="E3005" s="4">
        <v>3</v>
      </c>
      <c r="F3005" s="8">
        <v>4.1100000000000003</v>
      </c>
      <c r="G3005" s="4">
        <v>0</v>
      </c>
      <c r="H3005" s="8">
        <v>0</v>
      </c>
      <c r="I3005" s="4">
        <v>0</v>
      </c>
    </row>
    <row r="3006" spans="1:9" x14ac:dyDescent="0.2">
      <c r="A3006" s="2">
        <v>8</v>
      </c>
      <c r="B3006" s="1" t="s">
        <v>292</v>
      </c>
      <c r="C3006" s="4">
        <v>3</v>
      </c>
      <c r="D3006" s="8">
        <v>2.34</v>
      </c>
      <c r="E3006" s="4">
        <v>2</v>
      </c>
      <c r="F3006" s="8">
        <v>2.74</v>
      </c>
      <c r="G3006" s="4">
        <v>1</v>
      </c>
      <c r="H3006" s="8">
        <v>2.04</v>
      </c>
      <c r="I3006" s="4">
        <v>0</v>
      </c>
    </row>
    <row r="3007" spans="1:9" x14ac:dyDescent="0.2">
      <c r="A3007" s="2">
        <v>8</v>
      </c>
      <c r="B3007" s="1" t="s">
        <v>335</v>
      </c>
      <c r="C3007" s="4">
        <v>3</v>
      </c>
      <c r="D3007" s="8">
        <v>2.34</v>
      </c>
      <c r="E3007" s="4">
        <v>1</v>
      </c>
      <c r="F3007" s="8">
        <v>1.37</v>
      </c>
      <c r="G3007" s="4">
        <v>2</v>
      </c>
      <c r="H3007" s="8">
        <v>4.08</v>
      </c>
      <c r="I3007" s="4">
        <v>0</v>
      </c>
    </row>
    <row r="3008" spans="1:9" x14ac:dyDescent="0.2">
      <c r="A3008" s="2">
        <v>8</v>
      </c>
      <c r="B3008" s="1" t="s">
        <v>330</v>
      </c>
      <c r="C3008" s="4">
        <v>3</v>
      </c>
      <c r="D3008" s="8">
        <v>2.34</v>
      </c>
      <c r="E3008" s="4">
        <v>0</v>
      </c>
      <c r="F3008" s="8">
        <v>0</v>
      </c>
      <c r="G3008" s="4">
        <v>3</v>
      </c>
      <c r="H3008" s="8">
        <v>6.12</v>
      </c>
      <c r="I3008" s="4">
        <v>0</v>
      </c>
    </row>
    <row r="3009" spans="1:9" x14ac:dyDescent="0.2">
      <c r="A3009" s="2">
        <v>8</v>
      </c>
      <c r="B3009" s="1" t="s">
        <v>334</v>
      </c>
      <c r="C3009" s="4">
        <v>3</v>
      </c>
      <c r="D3009" s="8">
        <v>2.34</v>
      </c>
      <c r="E3009" s="4">
        <v>3</v>
      </c>
      <c r="F3009" s="8">
        <v>4.1100000000000003</v>
      </c>
      <c r="G3009" s="4">
        <v>0</v>
      </c>
      <c r="H3009" s="8">
        <v>0</v>
      </c>
      <c r="I3009" s="4">
        <v>0</v>
      </c>
    </row>
    <row r="3010" spans="1:9" x14ac:dyDescent="0.2">
      <c r="A3010" s="2">
        <v>8</v>
      </c>
      <c r="B3010" s="1" t="s">
        <v>302</v>
      </c>
      <c r="C3010" s="4">
        <v>3</v>
      </c>
      <c r="D3010" s="8">
        <v>2.34</v>
      </c>
      <c r="E3010" s="4">
        <v>3</v>
      </c>
      <c r="F3010" s="8">
        <v>4.1100000000000003</v>
      </c>
      <c r="G3010" s="4">
        <v>0</v>
      </c>
      <c r="H3010" s="8">
        <v>0</v>
      </c>
      <c r="I3010" s="4">
        <v>0</v>
      </c>
    </row>
    <row r="3011" spans="1:9" x14ac:dyDescent="0.2">
      <c r="A3011" s="2">
        <v>15</v>
      </c>
      <c r="B3011" s="1" t="s">
        <v>290</v>
      </c>
      <c r="C3011" s="4">
        <v>2</v>
      </c>
      <c r="D3011" s="8">
        <v>1.56</v>
      </c>
      <c r="E3011" s="4">
        <v>1</v>
      </c>
      <c r="F3011" s="8">
        <v>1.37</v>
      </c>
      <c r="G3011" s="4">
        <v>1</v>
      </c>
      <c r="H3011" s="8">
        <v>2.04</v>
      </c>
      <c r="I3011" s="4">
        <v>0</v>
      </c>
    </row>
    <row r="3012" spans="1:9" x14ac:dyDescent="0.2">
      <c r="A3012" s="2">
        <v>15</v>
      </c>
      <c r="B3012" s="1" t="s">
        <v>384</v>
      </c>
      <c r="C3012" s="4">
        <v>2</v>
      </c>
      <c r="D3012" s="8">
        <v>1.56</v>
      </c>
      <c r="E3012" s="4">
        <v>0</v>
      </c>
      <c r="F3012" s="8">
        <v>0</v>
      </c>
      <c r="G3012" s="4">
        <v>2</v>
      </c>
      <c r="H3012" s="8">
        <v>4.08</v>
      </c>
      <c r="I3012" s="4">
        <v>0</v>
      </c>
    </row>
    <row r="3013" spans="1:9" x14ac:dyDescent="0.2">
      <c r="A3013" s="2">
        <v>15</v>
      </c>
      <c r="B3013" s="1" t="s">
        <v>381</v>
      </c>
      <c r="C3013" s="4">
        <v>2</v>
      </c>
      <c r="D3013" s="8">
        <v>1.56</v>
      </c>
      <c r="E3013" s="4">
        <v>2</v>
      </c>
      <c r="F3013" s="8">
        <v>2.74</v>
      </c>
      <c r="G3013" s="4">
        <v>0</v>
      </c>
      <c r="H3013" s="8">
        <v>0</v>
      </c>
      <c r="I3013" s="4">
        <v>0</v>
      </c>
    </row>
    <row r="3014" spans="1:9" x14ac:dyDescent="0.2">
      <c r="A3014" s="2">
        <v>15</v>
      </c>
      <c r="B3014" s="1" t="s">
        <v>385</v>
      </c>
      <c r="C3014" s="4">
        <v>2</v>
      </c>
      <c r="D3014" s="8">
        <v>1.56</v>
      </c>
      <c r="E3014" s="4">
        <v>0</v>
      </c>
      <c r="F3014" s="8">
        <v>0</v>
      </c>
      <c r="G3014" s="4">
        <v>2</v>
      </c>
      <c r="H3014" s="8">
        <v>4.08</v>
      </c>
      <c r="I3014" s="4">
        <v>0</v>
      </c>
    </row>
    <row r="3015" spans="1:9" x14ac:dyDescent="0.2">
      <c r="A3015" s="2">
        <v>15</v>
      </c>
      <c r="B3015" s="1" t="s">
        <v>337</v>
      </c>
      <c r="C3015" s="4">
        <v>2</v>
      </c>
      <c r="D3015" s="8">
        <v>1.56</v>
      </c>
      <c r="E3015" s="4">
        <v>1</v>
      </c>
      <c r="F3015" s="8">
        <v>1.37</v>
      </c>
      <c r="G3015" s="4">
        <v>1</v>
      </c>
      <c r="H3015" s="8">
        <v>2.04</v>
      </c>
      <c r="I3015" s="4">
        <v>0</v>
      </c>
    </row>
    <row r="3016" spans="1:9" x14ac:dyDescent="0.2">
      <c r="A3016" s="2">
        <v>15</v>
      </c>
      <c r="B3016" s="1" t="s">
        <v>297</v>
      </c>
      <c r="C3016" s="4">
        <v>2</v>
      </c>
      <c r="D3016" s="8">
        <v>1.56</v>
      </c>
      <c r="E3016" s="4">
        <v>2</v>
      </c>
      <c r="F3016" s="8">
        <v>2.74</v>
      </c>
      <c r="G3016" s="4">
        <v>0</v>
      </c>
      <c r="H3016" s="8">
        <v>0</v>
      </c>
      <c r="I3016" s="4">
        <v>0</v>
      </c>
    </row>
    <row r="3017" spans="1:9" x14ac:dyDescent="0.2">
      <c r="A3017" s="2">
        <v>15</v>
      </c>
      <c r="B3017" s="1" t="s">
        <v>396</v>
      </c>
      <c r="C3017" s="4">
        <v>2</v>
      </c>
      <c r="D3017" s="8">
        <v>1.56</v>
      </c>
      <c r="E3017" s="4">
        <v>1</v>
      </c>
      <c r="F3017" s="8">
        <v>1.37</v>
      </c>
      <c r="G3017" s="4">
        <v>1</v>
      </c>
      <c r="H3017" s="8">
        <v>2.04</v>
      </c>
      <c r="I3017" s="4">
        <v>0</v>
      </c>
    </row>
    <row r="3018" spans="1:9" x14ac:dyDescent="0.2">
      <c r="A3018" s="2">
        <v>15</v>
      </c>
      <c r="B3018" s="1" t="s">
        <v>409</v>
      </c>
      <c r="C3018" s="4">
        <v>2</v>
      </c>
      <c r="D3018" s="8">
        <v>1.56</v>
      </c>
      <c r="E3018" s="4">
        <v>1</v>
      </c>
      <c r="F3018" s="8">
        <v>1.37</v>
      </c>
      <c r="G3018" s="4">
        <v>1</v>
      </c>
      <c r="H3018" s="8">
        <v>2.04</v>
      </c>
      <c r="I3018" s="4">
        <v>0</v>
      </c>
    </row>
    <row r="3019" spans="1:9" x14ac:dyDescent="0.2">
      <c r="A3019" s="2">
        <v>15</v>
      </c>
      <c r="B3019" s="1" t="s">
        <v>340</v>
      </c>
      <c r="C3019" s="4">
        <v>2</v>
      </c>
      <c r="D3019" s="8">
        <v>1.56</v>
      </c>
      <c r="E3019" s="4">
        <v>0</v>
      </c>
      <c r="F3019" s="8">
        <v>0</v>
      </c>
      <c r="G3019" s="4">
        <v>0</v>
      </c>
      <c r="H3019" s="8">
        <v>0</v>
      </c>
      <c r="I3019" s="4">
        <v>0</v>
      </c>
    </row>
    <row r="3020" spans="1:9" x14ac:dyDescent="0.2">
      <c r="A3020" s="2">
        <v>15</v>
      </c>
      <c r="B3020" s="1" t="s">
        <v>312</v>
      </c>
      <c r="C3020" s="4">
        <v>2</v>
      </c>
      <c r="D3020" s="8">
        <v>1.56</v>
      </c>
      <c r="E3020" s="4">
        <v>2</v>
      </c>
      <c r="F3020" s="8">
        <v>2.74</v>
      </c>
      <c r="G3020" s="4">
        <v>0</v>
      </c>
      <c r="H3020" s="8">
        <v>0</v>
      </c>
      <c r="I3020" s="4">
        <v>0</v>
      </c>
    </row>
    <row r="3021" spans="1:9" x14ac:dyDescent="0.2">
      <c r="A3021" s="2">
        <v>15</v>
      </c>
      <c r="B3021" s="1" t="s">
        <v>306</v>
      </c>
      <c r="C3021" s="4">
        <v>2</v>
      </c>
      <c r="D3021" s="8">
        <v>1.56</v>
      </c>
      <c r="E3021" s="4">
        <v>2</v>
      </c>
      <c r="F3021" s="8">
        <v>2.74</v>
      </c>
      <c r="G3021" s="4">
        <v>0</v>
      </c>
      <c r="H3021" s="8">
        <v>0</v>
      </c>
      <c r="I3021" s="4">
        <v>0</v>
      </c>
    </row>
    <row r="3022" spans="1:9" x14ac:dyDescent="0.2">
      <c r="A3022" s="2">
        <v>15</v>
      </c>
      <c r="B3022" s="1" t="s">
        <v>318</v>
      </c>
      <c r="C3022" s="4">
        <v>2</v>
      </c>
      <c r="D3022" s="8">
        <v>1.56</v>
      </c>
      <c r="E3022" s="4">
        <v>0</v>
      </c>
      <c r="F3022" s="8">
        <v>0</v>
      </c>
      <c r="G3022" s="4">
        <v>2</v>
      </c>
      <c r="H3022" s="8">
        <v>4.08</v>
      </c>
      <c r="I3022" s="4">
        <v>0</v>
      </c>
    </row>
    <row r="3023" spans="1:9" x14ac:dyDescent="0.2">
      <c r="A3023" s="1"/>
      <c r="C3023" s="4"/>
      <c r="D3023" s="8"/>
      <c r="E3023" s="4"/>
      <c r="F3023" s="8"/>
      <c r="G3023" s="4"/>
      <c r="H3023" s="8"/>
      <c r="I3023" s="4"/>
    </row>
    <row r="3024" spans="1:9" x14ac:dyDescent="0.2">
      <c r="A3024" s="1" t="s">
        <v>103</v>
      </c>
      <c r="C3024" s="4"/>
      <c r="D3024" s="8"/>
      <c r="E3024" s="4"/>
      <c r="F3024" s="8"/>
      <c r="G3024" s="4"/>
      <c r="H3024" s="8"/>
      <c r="I3024" s="4"/>
    </row>
    <row r="3025" spans="1:9" x14ac:dyDescent="0.2">
      <c r="A3025" s="2">
        <v>1</v>
      </c>
      <c r="B3025" s="1" t="s">
        <v>359</v>
      </c>
      <c r="C3025" s="4">
        <v>12</v>
      </c>
      <c r="D3025" s="8">
        <v>7.74</v>
      </c>
      <c r="E3025" s="4">
        <v>8</v>
      </c>
      <c r="F3025" s="8">
        <v>9.76</v>
      </c>
      <c r="G3025" s="4">
        <v>4</v>
      </c>
      <c r="H3025" s="8">
        <v>5.88</v>
      </c>
      <c r="I3025" s="4">
        <v>0</v>
      </c>
    </row>
    <row r="3026" spans="1:9" x14ac:dyDescent="0.2">
      <c r="A3026" s="2">
        <v>2</v>
      </c>
      <c r="B3026" s="1" t="s">
        <v>299</v>
      </c>
      <c r="C3026" s="4">
        <v>7</v>
      </c>
      <c r="D3026" s="8">
        <v>4.5199999999999996</v>
      </c>
      <c r="E3026" s="4">
        <v>7</v>
      </c>
      <c r="F3026" s="8">
        <v>8.5399999999999991</v>
      </c>
      <c r="G3026" s="4">
        <v>0</v>
      </c>
      <c r="H3026" s="8">
        <v>0</v>
      </c>
      <c r="I3026" s="4">
        <v>0</v>
      </c>
    </row>
    <row r="3027" spans="1:9" x14ac:dyDescent="0.2">
      <c r="A3027" s="2">
        <v>3</v>
      </c>
      <c r="B3027" s="1" t="s">
        <v>329</v>
      </c>
      <c r="C3027" s="4">
        <v>6</v>
      </c>
      <c r="D3027" s="8">
        <v>3.87</v>
      </c>
      <c r="E3027" s="4">
        <v>5</v>
      </c>
      <c r="F3027" s="8">
        <v>6.1</v>
      </c>
      <c r="G3027" s="4">
        <v>1</v>
      </c>
      <c r="H3027" s="8">
        <v>1.47</v>
      </c>
      <c r="I3027" s="4">
        <v>0</v>
      </c>
    </row>
    <row r="3028" spans="1:9" x14ac:dyDescent="0.2">
      <c r="A3028" s="2">
        <v>3</v>
      </c>
      <c r="B3028" s="1" t="s">
        <v>304</v>
      </c>
      <c r="C3028" s="4">
        <v>6</v>
      </c>
      <c r="D3028" s="8">
        <v>3.87</v>
      </c>
      <c r="E3028" s="4">
        <v>6</v>
      </c>
      <c r="F3028" s="8">
        <v>7.32</v>
      </c>
      <c r="G3028" s="4">
        <v>0</v>
      </c>
      <c r="H3028" s="8">
        <v>0</v>
      </c>
      <c r="I3028" s="4">
        <v>0</v>
      </c>
    </row>
    <row r="3029" spans="1:9" x14ac:dyDescent="0.2">
      <c r="A3029" s="2">
        <v>5</v>
      </c>
      <c r="B3029" s="1" t="s">
        <v>344</v>
      </c>
      <c r="C3029" s="4">
        <v>5</v>
      </c>
      <c r="D3029" s="8">
        <v>3.23</v>
      </c>
      <c r="E3029" s="4">
        <v>2</v>
      </c>
      <c r="F3029" s="8">
        <v>2.44</v>
      </c>
      <c r="G3029" s="4">
        <v>3</v>
      </c>
      <c r="H3029" s="8">
        <v>4.41</v>
      </c>
      <c r="I3029" s="4">
        <v>0</v>
      </c>
    </row>
    <row r="3030" spans="1:9" x14ac:dyDescent="0.2">
      <c r="A3030" s="2">
        <v>6</v>
      </c>
      <c r="B3030" s="1" t="s">
        <v>288</v>
      </c>
      <c r="C3030" s="4">
        <v>4</v>
      </c>
      <c r="D3030" s="8">
        <v>2.58</v>
      </c>
      <c r="E3030" s="4">
        <v>0</v>
      </c>
      <c r="F3030" s="8">
        <v>0</v>
      </c>
      <c r="G3030" s="4">
        <v>4</v>
      </c>
      <c r="H3030" s="8">
        <v>5.88</v>
      </c>
      <c r="I3030" s="4">
        <v>0</v>
      </c>
    </row>
    <row r="3031" spans="1:9" x14ac:dyDescent="0.2">
      <c r="A3031" s="2">
        <v>6</v>
      </c>
      <c r="B3031" s="1" t="s">
        <v>483</v>
      </c>
      <c r="C3031" s="4">
        <v>4</v>
      </c>
      <c r="D3031" s="8">
        <v>2.58</v>
      </c>
      <c r="E3031" s="4">
        <v>0</v>
      </c>
      <c r="F3031" s="8">
        <v>0</v>
      </c>
      <c r="G3031" s="4">
        <v>4</v>
      </c>
      <c r="H3031" s="8">
        <v>5.88</v>
      </c>
      <c r="I3031" s="4">
        <v>0</v>
      </c>
    </row>
    <row r="3032" spans="1:9" x14ac:dyDescent="0.2">
      <c r="A3032" s="2">
        <v>6</v>
      </c>
      <c r="B3032" s="1" t="s">
        <v>314</v>
      </c>
      <c r="C3032" s="4">
        <v>4</v>
      </c>
      <c r="D3032" s="8">
        <v>2.58</v>
      </c>
      <c r="E3032" s="4">
        <v>3</v>
      </c>
      <c r="F3032" s="8">
        <v>3.66</v>
      </c>
      <c r="G3032" s="4">
        <v>1</v>
      </c>
      <c r="H3032" s="8">
        <v>1.47</v>
      </c>
      <c r="I3032" s="4">
        <v>0</v>
      </c>
    </row>
    <row r="3033" spans="1:9" x14ac:dyDescent="0.2">
      <c r="A3033" s="2">
        <v>6</v>
      </c>
      <c r="B3033" s="1" t="s">
        <v>339</v>
      </c>
      <c r="C3033" s="4">
        <v>4</v>
      </c>
      <c r="D3033" s="8">
        <v>2.58</v>
      </c>
      <c r="E3033" s="4">
        <v>2</v>
      </c>
      <c r="F3033" s="8">
        <v>2.44</v>
      </c>
      <c r="G3033" s="4">
        <v>2</v>
      </c>
      <c r="H3033" s="8">
        <v>2.94</v>
      </c>
      <c r="I3033" s="4">
        <v>0</v>
      </c>
    </row>
    <row r="3034" spans="1:9" x14ac:dyDescent="0.2">
      <c r="A3034" s="2">
        <v>10</v>
      </c>
      <c r="B3034" s="1" t="s">
        <v>290</v>
      </c>
      <c r="C3034" s="4">
        <v>3</v>
      </c>
      <c r="D3034" s="8">
        <v>1.94</v>
      </c>
      <c r="E3034" s="4">
        <v>0</v>
      </c>
      <c r="F3034" s="8">
        <v>0</v>
      </c>
      <c r="G3034" s="4">
        <v>3</v>
      </c>
      <c r="H3034" s="8">
        <v>4.41</v>
      </c>
      <c r="I3034" s="4">
        <v>0</v>
      </c>
    </row>
    <row r="3035" spans="1:9" x14ac:dyDescent="0.2">
      <c r="A3035" s="2">
        <v>10</v>
      </c>
      <c r="B3035" s="1" t="s">
        <v>401</v>
      </c>
      <c r="C3035" s="4">
        <v>3</v>
      </c>
      <c r="D3035" s="8">
        <v>1.94</v>
      </c>
      <c r="E3035" s="4">
        <v>3</v>
      </c>
      <c r="F3035" s="8">
        <v>3.66</v>
      </c>
      <c r="G3035" s="4">
        <v>0</v>
      </c>
      <c r="H3035" s="8">
        <v>0</v>
      </c>
      <c r="I3035" s="4">
        <v>0</v>
      </c>
    </row>
    <row r="3036" spans="1:9" x14ac:dyDescent="0.2">
      <c r="A3036" s="2">
        <v>10</v>
      </c>
      <c r="B3036" s="1" t="s">
        <v>295</v>
      </c>
      <c r="C3036" s="4">
        <v>3</v>
      </c>
      <c r="D3036" s="8">
        <v>1.94</v>
      </c>
      <c r="E3036" s="4">
        <v>3</v>
      </c>
      <c r="F3036" s="8">
        <v>3.66</v>
      </c>
      <c r="G3036" s="4">
        <v>0</v>
      </c>
      <c r="H3036" s="8">
        <v>0</v>
      </c>
      <c r="I3036" s="4">
        <v>0</v>
      </c>
    </row>
    <row r="3037" spans="1:9" x14ac:dyDescent="0.2">
      <c r="A3037" s="2">
        <v>10</v>
      </c>
      <c r="B3037" s="1" t="s">
        <v>302</v>
      </c>
      <c r="C3037" s="4">
        <v>3</v>
      </c>
      <c r="D3037" s="8">
        <v>1.94</v>
      </c>
      <c r="E3037" s="4">
        <v>3</v>
      </c>
      <c r="F3037" s="8">
        <v>3.66</v>
      </c>
      <c r="G3037" s="4">
        <v>0</v>
      </c>
      <c r="H3037" s="8">
        <v>0</v>
      </c>
      <c r="I3037" s="4">
        <v>0</v>
      </c>
    </row>
    <row r="3038" spans="1:9" x14ac:dyDescent="0.2">
      <c r="A3038" s="2">
        <v>10</v>
      </c>
      <c r="B3038" s="1" t="s">
        <v>303</v>
      </c>
      <c r="C3038" s="4">
        <v>3</v>
      </c>
      <c r="D3038" s="8">
        <v>1.94</v>
      </c>
      <c r="E3038" s="4">
        <v>3</v>
      </c>
      <c r="F3038" s="8">
        <v>3.66</v>
      </c>
      <c r="G3038" s="4">
        <v>0</v>
      </c>
      <c r="H3038" s="8">
        <v>0</v>
      </c>
      <c r="I3038" s="4">
        <v>0</v>
      </c>
    </row>
    <row r="3039" spans="1:9" x14ac:dyDescent="0.2">
      <c r="A3039" s="2">
        <v>10</v>
      </c>
      <c r="B3039" s="1" t="s">
        <v>305</v>
      </c>
      <c r="C3039" s="4">
        <v>3</v>
      </c>
      <c r="D3039" s="8">
        <v>1.94</v>
      </c>
      <c r="E3039" s="4">
        <v>3</v>
      </c>
      <c r="F3039" s="8">
        <v>3.66</v>
      </c>
      <c r="G3039" s="4">
        <v>0</v>
      </c>
      <c r="H3039" s="8">
        <v>0</v>
      </c>
      <c r="I3039" s="4">
        <v>0</v>
      </c>
    </row>
    <row r="3040" spans="1:9" x14ac:dyDescent="0.2">
      <c r="A3040" s="2">
        <v>16</v>
      </c>
      <c r="B3040" s="1" t="s">
        <v>328</v>
      </c>
      <c r="C3040" s="4">
        <v>2</v>
      </c>
      <c r="D3040" s="8">
        <v>1.29</v>
      </c>
      <c r="E3040" s="4">
        <v>0</v>
      </c>
      <c r="F3040" s="8">
        <v>0</v>
      </c>
      <c r="G3040" s="4">
        <v>2</v>
      </c>
      <c r="H3040" s="8">
        <v>2.94</v>
      </c>
      <c r="I3040" s="4">
        <v>0</v>
      </c>
    </row>
    <row r="3041" spans="1:9" x14ac:dyDescent="0.2">
      <c r="A3041" s="2">
        <v>16</v>
      </c>
      <c r="B3041" s="1" t="s">
        <v>351</v>
      </c>
      <c r="C3041" s="4">
        <v>2</v>
      </c>
      <c r="D3041" s="8">
        <v>1.29</v>
      </c>
      <c r="E3041" s="4">
        <v>2</v>
      </c>
      <c r="F3041" s="8">
        <v>2.44</v>
      </c>
      <c r="G3041" s="4">
        <v>0</v>
      </c>
      <c r="H3041" s="8">
        <v>0</v>
      </c>
      <c r="I3041" s="4">
        <v>0</v>
      </c>
    </row>
    <row r="3042" spans="1:9" x14ac:dyDescent="0.2">
      <c r="A3042" s="2">
        <v>16</v>
      </c>
      <c r="B3042" s="1" t="s">
        <v>480</v>
      </c>
      <c r="C3042" s="4">
        <v>2</v>
      </c>
      <c r="D3042" s="8">
        <v>1.29</v>
      </c>
      <c r="E3042" s="4">
        <v>0</v>
      </c>
      <c r="F3042" s="8">
        <v>0</v>
      </c>
      <c r="G3042" s="4">
        <v>2</v>
      </c>
      <c r="H3042" s="8">
        <v>2.94</v>
      </c>
      <c r="I3042" s="4">
        <v>0</v>
      </c>
    </row>
    <row r="3043" spans="1:9" x14ac:dyDescent="0.2">
      <c r="A3043" s="2">
        <v>16</v>
      </c>
      <c r="B3043" s="1" t="s">
        <v>461</v>
      </c>
      <c r="C3043" s="4">
        <v>2</v>
      </c>
      <c r="D3043" s="8">
        <v>1.29</v>
      </c>
      <c r="E3043" s="4">
        <v>2</v>
      </c>
      <c r="F3043" s="8">
        <v>2.44</v>
      </c>
      <c r="G3043" s="4">
        <v>0</v>
      </c>
      <c r="H3043" s="8">
        <v>0</v>
      </c>
      <c r="I3043" s="4">
        <v>0</v>
      </c>
    </row>
    <row r="3044" spans="1:9" x14ac:dyDescent="0.2">
      <c r="A3044" s="2">
        <v>16</v>
      </c>
      <c r="B3044" s="1" t="s">
        <v>374</v>
      </c>
      <c r="C3044" s="4">
        <v>2</v>
      </c>
      <c r="D3044" s="8">
        <v>1.29</v>
      </c>
      <c r="E3044" s="4">
        <v>1</v>
      </c>
      <c r="F3044" s="8">
        <v>1.22</v>
      </c>
      <c r="G3044" s="4">
        <v>1</v>
      </c>
      <c r="H3044" s="8">
        <v>1.47</v>
      </c>
      <c r="I3044" s="4">
        <v>0</v>
      </c>
    </row>
    <row r="3045" spans="1:9" x14ac:dyDescent="0.2">
      <c r="A3045" s="2">
        <v>16</v>
      </c>
      <c r="B3045" s="1" t="s">
        <v>414</v>
      </c>
      <c r="C3045" s="4">
        <v>2</v>
      </c>
      <c r="D3045" s="8">
        <v>1.29</v>
      </c>
      <c r="E3045" s="4">
        <v>2</v>
      </c>
      <c r="F3045" s="8">
        <v>2.44</v>
      </c>
      <c r="G3045" s="4">
        <v>0</v>
      </c>
      <c r="H3045" s="8">
        <v>0</v>
      </c>
      <c r="I3045" s="4">
        <v>0</v>
      </c>
    </row>
    <row r="3046" spans="1:9" x14ac:dyDescent="0.2">
      <c r="A3046" s="2">
        <v>16</v>
      </c>
      <c r="B3046" s="1" t="s">
        <v>309</v>
      </c>
      <c r="C3046" s="4">
        <v>2</v>
      </c>
      <c r="D3046" s="8">
        <v>1.29</v>
      </c>
      <c r="E3046" s="4">
        <v>0</v>
      </c>
      <c r="F3046" s="8">
        <v>0</v>
      </c>
      <c r="G3046" s="4">
        <v>2</v>
      </c>
      <c r="H3046" s="8">
        <v>2.94</v>
      </c>
      <c r="I3046" s="4">
        <v>0</v>
      </c>
    </row>
    <row r="3047" spans="1:9" x14ac:dyDescent="0.2">
      <c r="A3047" s="2">
        <v>16</v>
      </c>
      <c r="B3047" s="1" t="s">
        <v>292</v>
      </c>
      <c r="C3047" s="4">
        <v>2</v>
      </c>
      <c r="D3047" s="8">
        <v>1.29</v>
      </c>
      <c r="E3047" s="4">
        <v>2</v>
      </c>
      <c r="F3047" s="8">
        <v>2.44</v>
      </c>
      <c r="G3047" s="4">
        <v>0</v>
      </c>
      <c r="H3047" s="8">
        <v>0</v>
      </c>
      <c r="I3047" s="4">
        <v>0</v>
      </c>
    </row>
    <row r="3048" spans="1:9" x14ac:dyDescent="0.2">
      <c r="A3048" s="2">
        <v>16</v>
      </c>
      <c r="B3048" s="1" t="s">
        <v>293</v>
      </c>
      <c r="C3048" s="4">
        <v>2</v>
      </c>
      <c r="D3048" s="8">
        <v>1.29</v>
      </c>
      <c r="E3048" s="4">
        <v>0</v>
      </c>
      <c r="F3048" s="8">
        <v>0</v>
      </c>
      <c r="G3048" s="4">
        <v>2</v>
      </c>
      <c r="H3048" s="8">
        <v>2.94</v>
      </c>
      <c r="I3048" s="4">
        <v>0</v>
      </c>
    </row>
    <row r="3049" spans="1:9" x14ac:dyDescent="0.2">
      <c r="A3049" s="2">
        <v>16</v>
      </c>
      <c r="B3049" s="1" t="s">
        <v>297</v>
      </c>
      <c r="C3049" s="4">
        <v>2</v>
      </c>
      <c r="D3049" s="8">
        <v>1.29</v>
      </c>
      <c r="E3049" s="4">
        <v>0</v>
      </c>
      <c r="F3049" s="8">
        <v>0</v>
      </c>
      <c r="G3049" s="4">
        <v>2</v>
      </c>
      <c r="H3049" s="8">
        <v>2.94</v>
      </c>
      <c r="I3049" s="4">
        <v>0</v>
      </c>
    </row>
    <row r="3050" spans="1:9" x14ac:dyDescent="0.2">
      <c r="A3050" s="2">
        <v>16</v>
      </c>
      <c r="B3050" s="1" t="s">
        <v>409</v>
      </c>
      <c r="C3050" s="4">
        <v>2</v>
      </c>
      <c r="D3050" s="8">
        <v>1.29</v>
      </c>
      <c r="E3050" s="4">
        <v>1</v>
      </c>
      <c r="F3050" s="8">
        <v>1.22</v>
      </c>
      <c r="G3050" s="4">
        <v>1</v>
      </c>
      <c r="H3050" s="8">
        <v>1.47</v>
      </c>
      <c r="I3050" s="4">
        <v>0</v>
      </c>
    </row>
    <row r="3051" spans="1:9" x14ac:dyDescent="0.2">
      <c r="A3051" s="2">
        <v>16</v>
      </c>
      <c r="B3051" s="1" t="s">
        <v>325</v>
      </c>
      <c r="C3051" s="4">
        <v>2</v>
      </c>
      <c r="D3051" s="8">
        <v>1.29</v>
      </c>
      <c r="E3051" s="4">
        <v>0</v>
      </c>
      <c r="F3051" s="8">
        <v>0</v>
      </c>
      <c r="G3051" s="4">
        <v>2</v>
      </c>
      <c r="H3051" s="8">
        <v>2.94</v>
      </c>
      <c r="I3051" s="4">
        <v>0</v>
      </c>
    </row>
    <row r="3052" spans="1:9" x14ac:dyDescent="0.2">
      <c r="A3052" s="2">
        <v>16</v>
      </c>
      <c r="B3052" s="1" t="s">
        <v>306</v>
      </c>
      <c r="C3052" s="4">
        <v>2</v>
      </c>
      <c r="D3052" s="8">
        <v>1.29</v>
      </c>
      <c r="E3052" s="4">
        <v>2</v>
      </c>
      <c r="F3052" s="8">
        <v>2.44</v>
      </c>
      <c r="G3052" s="4">
        <v>0</v>
      </c>
      <c r="H3052" s="8">
        <v>0</v>
      </c>
      <c r="I3052" s="4">
        <v>0</v>
      </c>
    </row>
    <row r="3053" spans="1:9" x14ac:dyDescent="0.2">
      <c r="A3053" s="2">
        <v>16</v>
      </c>
      <c r="B3053" s="1" t="s">
        <v>307</v>
      </c>
      <c r="C3053" s="4">
        <v>2</v>
      </c>
      <c r="D3053" s="8">
        <v>1.29</v>
      </c>
      <c r="E3053" s="4">
        <v>1</v>
      </c>
      <c r="F3053" s="8">
        <v>1.22</v>
      </c>
      <c r="G3053" s="4">
        <v>1</v>
      </c>
      <c r="H3053" s="8">
        <v>1.47</v>
      </c>
      <c r="I3053" s="4">
        <v>0</v>
      </c>
    </row>
    <row r="3054" spans="1:9" x14ac:dyDescent="0.2">
      <c r="A3054" s="2">
        <v>16</v>
      </c>
      <c r="B3054" s="1" t="s">
        <v>345</v>
      </c>
      <c r="C3054" s="4">
        <v>2</v>
      </c>
      <c r="D3054" s="8">
        <v>1.29</v>
      </c>
      <c r="E3054" s="4">
        <v>0</v>
      </c>
      <c r="F3054" s="8">
        <v>0</v>
      </c>
      <c r="G3054" s="4">
        <v>0</v>
      </c>
      <c r="H3054" s="8">
        <v>0</v>
      </c>
      <c r="I3054" s="4">
        <v>0</v>
      </c>
    </row>
    <row r="3055" spans="1:9" x14ac:dyDescent="0.2">
      <c r="A3055" s="1"/>
      <c r="C3055" s="4"/>
      <c r="D3055" s="8"/>
      <c r="E3055" s="4"/>
      <c r="F3055" s="8"/>
      <c r="G3055" s="4"/>
      <c r="H3055" s="8"/>
      <c r="I3055" s="4"/>
    </row>
    <row r="3056" spans="1:9" x14ac:dyDescent="0.2">
      <c r="A3056" s="1" t="s">
        <v>104</v>
      </c>
      <c r="C3056" s="4"/>
      <c r="D3056" s="8"/>
      <c r="E3056" s="4"/>
      <c r="F3056" s="8"/>
      <c r="G3056" s="4"/>
      <c r="H3056" s="8"/>
      <c r="I3056" s="4"/>
    </row>
    <row r="3057" spans="1:9" x14ac:dyDescent="0.2">
      <c r="A3057" s="2">
        <v>1</v>
      </c>
      <c r="B3057" s="1" t="s">
        <v>339</v>
      </c>
      <c r="C3057" s="4">
        <v>27</v>
      </c>
      <c r="D3057" s="8">
        <v>10.71</v>
      </c>
      <c r="E3057" s="4">
        <v>23</v>
      </c>
      <c r="F3057" s="8">
        <v>14.29</v>
      </c>
      <c r="G3057" s="4">
        <v>4</v>
      </c>
      <c r="H3057" s="8">
        <v>4.76</v>
      </c>
      <c r="I3057" s="4">
        <v>0</v>
      </c>
    </row>
    <row r="3058" spans="1:9" x14ac:dyDescent="0.2">
      <c r="A3058" s="2">
        <v>2</v>
      </c>
      <c r="B3058" s="1" t="s">
        <v>304</v>
      </c>
      <c r="C3058" s="4">
        <v>11</v>
      </c>
      <c r="D3058" s="8">
        <v>4.37</v>
      </c>
      <c r="E3058" s="4">
        <v>10</v>
      </c>
      <c r="F3058" s="8">
        <v>6.21</v>
      </c>
      <c r="G3058" s="4">
        <v>1</v>
      </c>
      <c r="H3058" s="8">
        <v>1.19</v>
      </c>
      <c r="I3058" s="4">
        <v>0</v>
      </c>
    </row>
    <row r="3059" spans="1:9" x14ac:dyDescent="0.2">
      <c r="A3059" s="2">
        <v>3</v>
      </c>
      <c r="B3059" s="1" t="s">
        <v>299</v>
      </c>
      <c r="C3059" s="4">
        <v>9</v>
      </c>
      <c r="D3059" s="8">
        <v>3.57</v>
      </c>
      <c r="E3059" s="4">
        <v>8</v>
      </c>
      <c r="F3059" s="8">
        <v>4.97</v>
      </c>
      <c r="G3059" s="4">
        <v>1</v>
      </c>
      <c r="H3059" s="8">
        <v>1.19</v>
      </c>
      <c r="I3059" s="4">
        <v>0</v>
      </c>
    </row>
    <row r="3060" spans="1:9" x14ac:dyDescent="0.2">
      <c r="A3060" s="2">
        <v>3</v>
      </c>
      <c r="B3060" s="1" t="s">
        <v>302</v>
      </c>
      <c r="C3060" s="4">
        <v>9</v>
      </c>
      <c r="D3060" s="8">
        <v>3.57</v>
      </c>
      <c r="E3060" s="4">
        <v>8</v>
      </c>
      <c r="F3060" s="8">
        <v>4.97</v>
      </c>
      <c r="G3060" s="4">
        <v>1</v>
      </c>
      <c r="H3060" s="8">
        <v>1.19</v>
      </c>
      <c r="I3060" s="4">
        <v>0</v>
      </c>
    </row>
    <row r="3061" spans="1:9" x14ac:dyDescent="0.2">
      <c r="A3061" s="2">
        <v>5</v>
      </c>
      <c r="B3061" s="1" t="s">
        <v>329</v>
      </c>
      <c r="C3061" s="4">
        <v>8</v>
      </c>
      <c r="D3061" s="8">
        <v>3.17</v>
      </c>
      <c r="E3061" s="4">
        <v>7</v>
      </c>
      <c r="F3061" s="8">
        <v>4.3499999999999996</v>
      </c>
      <c r="G3061" s="4">
        <v>1</v>
      </c>
      <c r="H3061" s="8">
        <v>1.19</v>
      </c>
      <c r="I3061" s="4">
        <v>0</v>
      </c>
    </row>
    <row r="3062" spans="1:9" x14ac:dyDescent="0.2">
      <c r="A3062" s="2">
        <v>5</v>
      </c>
      <c r="B3062" s="1" t="s">
        <v>295</v>
      </c>
      <c r="C3062" s="4">
        <v>8</v>
      </c>
      <c r="D3062" s="8">
        <v>3.17</v>
      </c>
      <c r="E3062" s="4">
        <v>7</v>
      </c>
      <c r="F3062" s="8">
        <v>4.3499999999999996</v>
      </c>
      <c r="G3062" s="4">
        <v>1</v>
      </c>
      <c r="H3062" s="8">
        <v>1.19</v>
      </c>
      <c r="I3062" s="4">
        <v>0</v>
      </c>
    </row>
    <row r="3063" spans="1:9" x14ac:dyDescent="0.2">
      <c r="A3063" s="2">
        <v>5</v>
      </c>
      <c r="B3063" s="1" t="s">
        <v>300</v>
      </c>
      <c r="C3063" s="4">
        <v>8</v>
      </c>
      <c r="D3063" s="8">
        <v>3.17</v>
      </c>
      <c r="E3063" s="4">
        <v>7</v>
      </c>
      <c r="F3063" s="8">
        <v>4.3499999999999996</v>
      </c>
      <c r="G3063" s="4">
        <v>1</v>
      </c>
      <c r="H3063" s="8">
        <v>1.19</v>
      </c>
      <c r="I3063" s="4">
        <v>0</v>
      </c>
    </row>
    <row r="3064" spans="1:9" x14ac:dyDescent="0.2">
      <c r="A3064" s="2">
        <v>8</v>
      </c>
      <c r="B3064" s="1" t="s">
        <v>292</v>
      </c>
      <c r="C3064" s="4">
        <v>7</v>
      </c>
      <c r="D3064" s="8">
        <v>2.78</v>
      </c>
      <c r="E3064" s="4">
        <v>6</v>
      </c>
      <c r="F3064" s="8">
        <v>3.73</v>
      </c>
      <c r="G3064" s="4">
        <v>1</v>
      </c>
      <c r="H3064" s="8">
        <v>1.19</v>
      </c>
      <c r="I3064" s="4">
        <v>0</v>
      </c>
    </row>
    <row r="3065" spans="1:9" x14ac:dyDescent="0.2">
      <c r="A3065" s="2">
        <v>8</v>
      </c>
      <c r="B3065" s="1" t="s">
        <v>293</v>
      </c>
      <c r="C3065" s="4">
        <v>7</v>
      </c>
      <c r="D3065" s="8">
        <v>2.78</v>
      </c>
      <c r="E3065" s="4">
        <v>3</v>
      </c>
      <c r="F3065" s="8">
        <v>1.86</v>
      </c>
      <c r="G3065" s="4">
        <v>4</v>
      </c>
      <c r="H3065" s="8">
        <v>4.76</v>
      </c>
      <c r="I3065" s="4">
        <v>0</v>
      </c>
    </row>
    <row r="3066" spans="1:9" x14ac:dyDescent="0.2">
      <c r="A3066" s="2">
        <v>8</v>
      </c>
      <c r="B3066" s="1" t="s">
        <v>422</v>
      </c>
      <c r="C3066" s="4">
        <v>7</v>
      </c>
      <c r="D3066" s="8">
        <v>2.78</v>
      </c>
      <c r="E3066" s="4">
        <v>6</v>
      </c>
      <c r="F3066" s="8">
        <v>3.73</v>
      </c>
      <c r="G3066" s="4">
        <v>1</v>
      </c>
      <c r="H3066" s="8">
        <v>1.19</v>
      </c>
      <c r="I3066" s="4">
        <v>0</v>
      </c>
    </row>
    <row r="3067" spans="1:9" x14ac:dyDescent="0.2">
      <c r="A3067" s="2">
        <v>8</v>
      </c>
      <c r="B3067" s="1" t="s">
        <v>303</v>
      </c>
      <c r="C3067" s="4">
        <v>7</v>
      </c>
      <c r="D3067" s="8">
        <v>2.78</v>
      </c>
      <c r="E3067" s="4">
        <v>7</v>
      </c>
      <c r="F3067" s="8">
        <v>4.3499999999999996</v>
      </c>
      <c r="G3067" s="4">
        <v>0</v>
      </c>
      <c r="H3067" s="8">
        <v>0</v>
      </c>
      <c r="I3067" s="4">
        <v>0</v>
      </c>
    </row>
    <row r="3068" spans="1:9" x14ac:dyDescent="0.2">
      <c r="A3068" s="2">
        <v>12</v>
      </c>
      <c r="B3068" s="1" t="s">
        <v>290</v>
      </c>
      <c r="C3068" s="4">
        <v>6</v>
      </c>
      <c r="D3068" s="8">
        <v>2.38</v>
      </c>
      <c r="E3068" s="4">
        <v>1</v>
      </c>
      <c r="F3068" s="8">
        <v>0.62</v>
      </c>
      <c r="G3068" s="4">
        <v>5</v>
      </c>
      <c r="H3068" s="8">
        <v>5.95</v>
      </c>
      <c r="I3068" s="4">
        <v>0</v>
      </c>
    </row>
    <row r="3069" spans="1:9" x14ac:dyDescent="0.2">
      <c r="A3069" s="2">
        <v>13</v>
      </c>
      <c r="B3069" s="1" t="s">
        <v>288</v>
      </c>
      <c r="C3069" s="4">
        <v>5</v>
      </c>
      <c r="D3069" s="8">
        <v>1.98</v>
      </c>
      <c r="E3069" s="4">
        <v>0</v>
      </c>
      <c r="F3069" s="8">
        <v>0</v>
      </c>
      <c r="G3069" s="4">
        <v>5</v>
      </c>
      <c r="H3069" s="8">
        <v>5.95</v>
      </c>
      <c r="I3069" s="4">
        <v>0</v>
      </c>
    </row>
    <row r="3070" spans="1:9" x14ac:dyDescent="0.2">
      <c r="A3070" s="2">
        <v>13</v>
      </c>
      <c r="B3070" s="1" t="s">
        <v>321</v>
      </c>
      <c r="C3070" s="4">
        <v>5</v>
      </c>
      <c r="D3070" s="8">
        <v>1.98</v>
      </c>
      <c r="E3070" s="4">
        <v>0</v>
      </c>
      <c r="F3070" s="8">
        <v>0</v>
      </c>
      <c r="G3070" s="4">
        <v>5</v>
      </c>
      <c r="H3070" s="8">
        <v>5.95</v>
      </c>
      <c r="I3070" s="4">
        <v>0</v>
      </c>
    </row>
    <row r="3071" spans="1:9" x14ac:dyDescent="0.2">
      <c r="A3071" s="2">
        <v>13</v>
      </c>
      <c r="B3071" s="1" t="s">
        <v>297</v>
      </c>
      <c r="C3071" s="4">
        <v>5</v>
      </c>
      <c r="D3071" s="8">
        <v>1.98</v>
      </c>
      <c r="E3071" s="4">
        <v>4</v>
      </c>
      <c r="F3071" s="8">
        <v>2.48</v>
      </c>
      <c r="G3071" s="4">
        <v>1</v>
      </c>
      <c r="H3071" s="8">
        <v>1.19</v>
      </c>
      <c r="I3071" s="4">
        <v>0</v>
      </c>
    </row>
    <row r="3072" spans="1:9" x14ac:dyDescent="0.2">
      <c r="A3072" s="2">
        <v>16</v>
      </c>
      <c r="B3072" s="1" t="s">
        <v>334</v>
      </c>
      <c r="C3072" s="4">
        <v>4</v>
      </c>
      <c r="D3072" s="8">
        <v>1.59</v>
      </c>
      <c r="E3072" s="4">
        <v>3</v>
      </c>
      <c r="F3072" s="8">
        <v>1.86</v>
      </c>
      <c r="G3072" s="4">
        <v>1</v>
      </c>
      <c r="H3072" s="8">
        <v>1.19</v>
      </c>
      <c r="I3072" s="4">
        <v>0</v>
      </c>
    </row>
    <row r="3073" spans="1:9" x14ac:dyDescent="0.2">
      <c r="A3073" s="2">
        <v>16</v>
      </c>
      <c r="B3073" s="1" t="s">
        <v>301</v>
      </c>
      <c r="C3073" s="4">
        <v>4</v>
      </c>
      <c r="D3073" s="8">
        <v>1.59</v>
      </c>
      <c r="E3073" s="4">
        <v>4</v>
      </c>
      <c r="F3073" s="8">
        <v>2.48</v>
      </c>
      <c r="G3073" s="4">
        <v>0</v>
      </c>
      <c r="H3073" s="8">
        <v>0</v>
      </c>
      <c r="I3073" s="4">
        <v>0</v>
      </c>
    </row>
    <row r="3074" spans="1:9" x14ac:dyDescent="0.2">
      <c r="A3074" s="2">
        <v>16</v>
      </c>
      <c r="B3074" s="1" t="s">
        <v>340</v>
      </c>
      <c r="C3074" s="4">
        <v>4</v>
      </c>
      <c r="D3074" s="8">
        <v>1.59</v>
      </c>
      <c r="E3074" s="4">
        <v>1</v>
      </c>
      <c r="F3074" s="8">
        <v>0.62</v>
      </c>
      <c r="G3074" s="4">
        <v>0</v>
      </c>
      <c r="H3074" s="8">
        <v>0</v>
      </c>
      <c r="I3074" s="4">
        <v>0</v>
      </c>
    </row>
    <row r="3075" spans="1:9" x14ac:dyDescent="0.2">
      <c r="A3075" s="2">
        <v>16</v>
      </c>
      <c r="B3075" s="1" t="s">
        <v>341</v>
      </c>
      <c r="C3075" s="4">
        <v>4</v>
      </c>
      <c r="D3075" s="8">
        <v>1.59</v>
      </c>
      <c r="E3075" s="4">
        <v>0</v>
      </c>
      <c r="F3075" s="8">
        <v>0</v>
      </c>
      <c r="G3075" s="4">
        <v>4</v>
      </c>
      <c r="H3075" s="8">
        <v>4.76</v>
      </c>
      <c r="I3075" s="4">
        <v>0</v>
      </c>
    </row>
    <row r="3076" spans="1:9" x14ac:dyDescent="0.2">
      <c r="A3076" s="2">
        <v>16</v>
      </c>
      <c r="B3076" s="1" t="s">
        <v>307</v>
      </c>
      <c r="C3076" s="4">
        <v>4</v>
      </c>
      <c r="D3076" s="8">
        <v>1.59</v>
      </c>
      <c r="E3076" s="4">
        <v>1</v>
      </c>
      <c r="F3076" s="8">
        <v>0.62</v>
      </c>
      <c r="G3076" s="4">
        <v>3</v>
      </c>
      <c r="H3076" s="8">
        <v>3.57</v>
      </c>
      <c r="I3076" s="4">
        <v>0</v>
      </c>
    </row>
    <row r="3077" spans="1:9" x14ac:dyDescent="0.2">
      <c r="A3077" s="1"/>
      <c r="C3077" s="4"/>
      <c r="D3077" s="8"/>
      <c r="E3077" s="4"/>
      <c r="F3077" s="8"/>
      <c r="G3077" s="4"/>
      <c r="H3077" s="8"/>
      <c r="I3077" s="4"/>
    </row>
    <row r="3078" spans="1:9" x14ac:dyDescent="0.2">
      <c r="A3078" s="1" t="s">
        <v>105</v>
      </c>
      <c r="C3078" s="4"/>
      <c r="D3078" s="8"/>
      <c r="E3078" s="4"/>
      <c r="F3078" s="8"/>
      <c r="G3078" s="4"/>
      <c r="H3078" s="8"/>
      <c r="I3078" s="4"/>
    </row>
    <row r="3079" spans="1:9" x14ac:dyDescent="0.2">
      <c r="A3079" s="2">
        <v>1</v>
      </c>
      <c r="B3079" s="1" t="s">
        <v>297</v>
      </c>
      <c r="C3079" s="4">
        <v>38</v>
      </c>
      <c r="D3079" s="8">
        <v>13.52</v>
      </c>
      <c r="E3079" s="4">
        <v>36</v>
      </c>
      <c r="F3079" s="8">
        <v>18.46</v>
      </c>
      <c r="G3079" s="4">
        <v>2</v>
      </c>
      <c r="H3079" s="8">
        <v>2.4700000000000002</v>
      </c>
      <c r="I3079" s="4">
        <v>0</v>
      </c>
    </row>
    <row r="3080" spans="1:9" x14ac:dyDescent="0.2">
      <c r="A3080" s="2">
        <v>2</v>
      </c>
      <c r="B3080" s="1" t="s">
        <v>301</v>
      </c>
      <c r="C3080" s="4">
        <v>22</v>
      </c>
      <c r="D3080" s="8">
        <v>7.83</v>
      </c>
      <c r="E3080" s="4">
        <v>22</v>
      </c>
      <c r="F3080" s="8">
        <v>11.28</v>
      </c>
      <c r="G3080" s="4">
        <v>0</v>
      </c>
      <c r="H3080" s="8">
        <v>0</v>
      </c>
      <c r="I3080" s="4">
        <v>0</v>
      </c>
    </row>
    <row r="3081" spans="1:9" x14ac:dyDescent="0.2">
      <c r="A3081" s="2">
        <v>3</v>
      </c>
      <c r="B3081" s="1" t="s">
        <v>299</v>
      </c>
      <c r="C3081" s="4">
        <v>14</v>
      </c>
      <c r="D3081" s="8">
        <v>4.9800000000000004</v>
      </c>
      <c r="E3081" s="4">
        <v>12</v>
      </c>
      <c r="F3081" s="8">
        <v>6.15</v>
      </c>
      <c r="G3081" s="4">
        <v>2</v>
      </c>
      <c r="H3081" s="8">
        <v>2.4700000000000002</v>
      </c>
      <c r="I3081" s="4">
        <v>0</v>
      </c>
    </row>
    <row r="3082" spans="1:9" x14ac:dyDescent="0.2">
      <c r="A3082" s="2">
        <v>4</v>
      </c>
      <c r="B3082" s="1" t="s">
        <v>304</v>
      </c>
      <c r="C3082" s="4">
        <v>13</v>
      </c>
      <c r="D3082" s="8">
        <v>4.63</v>
      </c>
      <c r="E3082" s="4">
        <v>13</v>
      </c>
      <c r="F3082" s="8">
        <v>6.67</v>
      </c>
      <c r="G3082" s="4">
        <v>0</v>
      </c>
      <c r="H3082" s="8">
        <v>0</v>
      </c>
      <c r="I3082" s="4">
        <v>0</v>
      </c>
    </row>
    <row r="3083" spans="1:9" x14ac:dyDescent="0.2">
      <c r="A3083" s="2">
        <v>5</v>
      </c>
      <c r="B3083" s="1" t="s">
        <v>303</v>
      </c>
      <c r="C3083" s="4">
        <v>12</v>
      </c>
      <c r="D3083" s="8">
        <v>4.2699999999999996</v>
      </c>
      <c r="E3083" s="4">
        <v>12</v>
      </c>
      <c r="F3083" s="8">
        <v>6.15</v>
      </c>
      <c r="G3083" s="4">
        <v>0</v>
      </c>
      <c r="H3083" s="8">
        <v>0</v>
      </c>
      <c r="I3083" s="4">
        <v>0</v>
      </c>
    </row>
    <row r="3084" spans="1:9" x14ac:dyDescent="0.2">
      <c r="A3084" s="2">
        <v>6</v>
      </c>
      <c r="B3084" s="1" t="s">
        <v>339</v>
      </c>
      <c r="C3084" s="4">
        <v>10</v>
      </c>
      <c r="D3084" s="8">
        <v>3.56</v>
      </c>
      <c r="E3084" s="4">
        <v>8</v>
      </c>
      <c r="F3084" s="8">
        <v>4.0999999999999996</v>
      </c>
      <c r="G3084" s="4">
        <v>2</v>
      </c>
      <c r="H3084" s="8">
        <v>2.4700000000000002</v>
      </c>
      <c r="I3084" s="4">
        <v>0</v>
      </c>
    </row>
    <row r="3085" spans="1:9" x14ac:dyDescent="0.2">
      <c r="A3085" s="2">
        <v>7</v>
      </c>
      <c r="B3085" s="1" t="s">
        <v>328</v>
      </c>
      <c r="C3085" s="4">
        <v>6</v>
      </c>
      <c r="D3085" s="8">
        <v>2.14</v>
      </c>
      <c r="E3085" s="4">
        <v>0</v>
      </c>
      <c r="F3085" s="8">
        <v>0</v>
      </c>
      <c r="G3085" s="4">
        <v>6</v>
      </c>
      <c r="H3085" s="8">
        <v>7.41</v>
      </c>
      <c r="I3085" s="4">
        <v>0</v>
      </c>
    </row>
    <row r="3086" spans="1:9" x14ac:dyDescent="0.2">
      <c r="A3086" s="2">
        <v>7</v>
      </c>
      <c r="B3086" s="1" t="s">
        <v>314</v>
      </c>
      <c r="C3086" s="4">
        <v>6</v>
      </c>
      <c r="D3086" s="8">
        <v>2.14</v>
      </c>
      <c r="E3086" s="4">
        <v>3</v>
      </c>
      <c r="F3086" s="8">
        <v>1.54</v>
      </c>
      <c r="G3086" s="4">
        <v>3</v>
      </c>
      <c r="H3086" s="8">
        <v>3.7</v>
      </c>
      <c r="I3086" s="4">
        <v>0</v>
      </c>
    </row>
    <row r="3087" spans="1:9" x14ac:dyDescent="0.2">
      <c r="A3087" s="2">
        <v>7</v>
      </c>
      <c r="B3087" s="1" t="s">
        <v>295</v>
      </c>
      <c r="C3087" s="4">
        <v>6</v>
      </c>
      <c r="D3087" s="8">
        <v>2.14</v>
      </c>
      <c r="E3087" s="4">
        <v>3</v>
      </c>
      <c r="F3087" s="8">
        <v>1.54</v>
      </c>
      <c r="G3087" s="4">
        <v>3</v>
      </c>
      <c r="H3087" s="8">
        <v>3.7</v>
      </c>
      <c r="I3087" s="4">
        <v>0</v>
      </c>
    </row>
    <row r="3088" spans="1:9" x14ac:dyDescent="0.2">
      <c r="A3088" s="2">
        <v>7</v>
      </c>
      <c r="B3088" s="1" t="s">
        <v>300</v>
      </c>
      <c r="C3088" s="4">
        <v>6</v>
      </c>
      <c r="D3088" s="8">
        <v>2.14</v>
      </c>
      <c r="E3088" s="4">
        <v>5</v>
      </c>
      <c r="F3088" s="8">
        <v>2.56</v>
      </c>
      <c r="G3088" s="4">
        <v>1</v>
      </c>
      <c r="H3088" s="8">
        <v>1.23</v>
      </c>
      <c r="I3088" s="4">
        <v>0</v>
      </c>
    </row>
    <row r="3089" spans="1:9" x14ac:dyDescent="0.2">
      <c r="A3089" s="2">
        <v>7</v>
      </c>
      <c r="B3089" s="1" t="s">
        <v>302</v>
      </c>
      <c r="C3089" s="4">
        <v>6</v>
      </c>
      <c r="D3089" s="8">
        <v>2.14</v>
      </c>
      <c r="E3089" s="4">
        <v>5</v>
      </c>
      <c r="F3089" s="8">
        <v>2.56</v>
      </c>
      <c r="G3089" s="4">
        <v>1</v>
      </c>
      <c r="H3089" s="8">
        <v>1.23</v>
      </c>
      <c r="I3089" s="4">
        <v>0</v>
      </c>
    </row>
    <row r="3090" spans="1:9" x14ac:dyDescent="0.2">
      <c r="A3090" s="2">
        <v>7</v>
      </c>
      <c r="B3090" s="1" t="s">
        <v>306</v>
      </c>
      <c r="C3090" s="4">
        <v>6</v>
      </c>
      <c r="D3090" s="8">
        <v>2.14</v>
      </c>
      <c r="E3090" s="4">
        <v>6</v>
      </c>
      <c r="F3090" s="8">
        <v>3.08</v>
      </c>
      <c r="G3090" s="4">
        <v>0</v>
      </c>
      <c r="H3090" s="8">
        <v>0</v>
      </c>
      <c r="I3090" s="4">
        <v>0</v>
      </c>
    </row>
    <row r="3091" spans="1:9" x14ac:dyDescent="0.2">
      <c r="A3091" s="2">
        <v>13</v>
      </c>
      <c r="B3091" s="1" t="s">
        <v>335</v>
      </c>
      <c r="C3091" s="4">
        <v>5</v>
      </c>
      <c r="D3091" s="8">
        <v>1.78</v>
      </c>
      <c r="E3091" s="4">
        <v>2</v>
      </c>
      <c r="F3091" s="8">
        <v>1.03</v>
      </c>
      <c r="G3091" s="4">
        <v>3</v>
      </c>
      <c r="H3091" s="8">
        <v>3.7</v>
      </c>
      <c r="I3091" s="4">
        <v>0</v>
      </c>
    </row>
    <row r="3092" spans="1:9" x14ac:dyDescent="0.2">
      <c r="A3092" s="2">
        <v>13</v>
      </c>
      <c r="B3092" s="1" t="s">
        <v>344</v>
      </c>
      <c r="C3092" s="4">
        <v>5</v>
      </c>
      <c r="D3092" s="8">
        <v>1.78</v>
      </c>
      <c r="E3092" s="4">
        <v>4</v>
      </c>
      <c r="F3092" s="8">
        <v>2.0499999999999998</v>
      </c>
      <c r="G3092" s="4">
        <v>1</v>
      </c>
      <c r="H3092" s="8">
        <v>1.23</v>
      </c>
      <c r="I3092" s="4">
        <v>0</v>
      </c>
    </row>
    <row r="3093" spans="1:9" x14ac:dyDescent="0.2">
      <c r="A3093" s="2">
        <v>13</v>
      </c>
      <c r="B3093" s="1" t="s">
        <v>422</v>
      </c>
      <c r="C3093" s="4">
        <v>5</v>
      </c>
      <c r="D3093" s="8">
        <v>1.78</v>
      </c>
      <c r="E3093" s="4">
        <v>4</v>
      </c>
      <c r="F3093" s="8">
        <v>2.0499999999999998</v>
      </c>
      <c r="G3093" s="4">
        <v>1</v>
      </c>
      <c r="H3093" s="8">
        <v>1.23</v>
      </c>
      <c r="I3093" s="4">
        <v>0</v>
      </c>
    </row>
    <row r="3094" spans="1:9" x14ac:dyDescent="0.2">
      <c r="A3094" s="2">
        <v>16</v>
      </c>
      <c r="B3094" s="1" t="s">
        <v>332</v>
      </c>
      <c r="C3094" s="4">
        <v>4</v>
      </c>
      <c r="D3094" s="8">
        <v>1.42</v>
      </c>
      <c r="E3094" s="4">
        <v>2</v>
      </c>
      <c r="F3094" s="8">
        <v>1.03</v>
      </c>
      <c r="G3094" s="4">
        <v>2</v>
      </c>
      <c r="H3094" s="8">
        <v>2.4700000000000002</v>
      </c>
      <c r="I3094" s="4">
        <v>0</v>
      </c>
    </row>
    <row r="3095" spans="1:9" x14ac:dyDescent="0.2">
      <c r="A3095" s="2">
        <v>16</v>
      </c>
      <c r="B3095" s="1" t="s">
        <v>293</v>
      </c>
      <c r="C3095" s="4">
        <v>4</v>
      </c>
      <c r="D3095" s="8">
        <v>1.42</v>
      </c>
      <c r="E3095" s="4">
        <v>2</v>
      </c>
      <c r="F3095" s="8">
        <v>1.03</v>
      </c>
      <c r="G3095" s="4">
        <v>2</v>
      </c>
      <c r="H3095" s="8">
        <v>2.4700000000000002</v>
      </c>
      <c r="I3095" s="4">
        <v>0</v>
      </c>
    </row>
    <row r="3096" spans="1:9" x14ac:dyDescent="0.2">
      <c r="A3096" s="2">
        <v>16</v>
      </c>
      <c r="B3096" s="1" t="s">
        <v>294</v>
      </c>
      <c r="C3096" s="4">
        <v>4</v>
      </c>
      <c r="D3096" s="8">
        <v>1.42</v>
      </c>
      <c r="E3096" s="4">
        <v>2</v>
      </c>
      <c r="F3096" s="8">
        <v>1.03</v>
      </c>
      <c r="G3096" s="4">
        <v>2</v>
      </c>
      <c r="H3096" s="8">
        <v>2.4700000000000002</v>
      </c>
      <c r="I3096" s="4">
        <v>0</v>
      </c>
    </row>
    <row r="3097" spans="1:9" x14ac:dyDescent="0.2">
      <c r="A3097" s="2">
        <v>16</v>
      </c>
      <c r="B3097" s="1" t="s">
        <v>330</v>
      </c>
      <c r="C3097" s="4">
        <v>4</v>
      </c>
      <c r="D3097" s="8">
        <v>1.42</v>
      </c>
      <c r="E3097" s="4">
        <v>0</v>
      </c>
      <c r="F3097" s="8">
        <v>0</v>
      </c>
      <c r="G3097" s="4">
        <v>4</v>
      </c>
      <c r="H3097" s="8">
        <v>4.9400000000000004</v>
      </c>
      <c r="I3097" s="4">
        <v>0</v>
      </c>
    </row>
    <row r="3098" spans="1:9" x14ac:dyDescent="0.2">
      <c r="A3098" s="2">
        <v>16</v>
      </c>
      <c r="B3098" s="1" t="s">
        <v>334</v>
      </c>
      <c r="C3098" s="4">
        <v>4</v>
      </c>
      <c r="D3098" s="8">
        <v>1.42</v>
      </c>
      <c r="E3098" s="4">
        <v>4</v>
      </c>
      <c r="F3098" s="8">
        <v>2.0499999999999998</v>
      </c>
      <c r="G3098" s="4">
        <v>0</v>
      </c>
      <c r="H3098" s="8">
        <v>0</v>
      </c>
      <c r="I3098" s="4">
        <v>0</v>
      </c>
    </row>
    <row r="3099" spans="1:9" x14ac:dyDescent="0.2">
      <c r="A3099" s="1"/>
      <c r="C3099" s="4"/>
      <c r="D3099" s="8"/>
      <c r="E3099" s="4"/>
      <c r="F3099" s="8"/>
      <c r="G3099" s="4"/>
      <c r="H3099" s="8"/>
      <c r="I3099" s="4"/>
    </row>
    <row r="3100" spans="1:9" x14ac:dyDescent="0.2">
      <c r="A3100" s="1" t="s">
        <v>106</v>
      </c>
      <c r="C3100" s="4"/>
      <c r="D3100" s="8"/>
      <c r="E3100" s="4"/>
      <c r="F3100" s="8"/>
      <c r="G3100" s="4"/>
      <c r="H3100" s="8"/>
      <c r="I3100" s="4"/>
    </row>
    <row r="3101" spans="1:9" x14ac:dyDescent="0.2">
      <c r="A3101" s="2">
        <v>1</v>
      </c>
      <c r="B3101" s="1" t="s">
        <v>339</v>
      </c>
      <c r="C3101" s="4">
        <v>13</v>
      </c>
      <c r="D3101" s="8">
        <v>12.26</v>
      </c>
      <c r="E3101" s="4">
        <v>12</v>
      </c>
      <c r="F3101" s="8">
        <v>16.440000000000001</v>
      </c>
      <c r="G3101" s="4">
        <v>1</v>
      </c>
      <c r="H3101" s="8">
        <v>3.33</v>
      </c>
      <c r="I3101" s="4">
        <v>0</v>
      </c>
    </row>
    <row r="3102" spans="1:9" x14ac:dyDescent="0.2">
      <c r="A3102" s="2">
        <v>2</v>
      </c>
      <c r="B3102" s="1" t="s">
        <v>302</v>
      </c>
      <c r="C3102" s="4">
        <v>9</v>
      </c>
      <c r="D3102" s="8">
        <v>8.49</v>
      </c>
      <c r="E3102" s="4">
        <v>9</v>
      </c>
      <c r="F3102" s="8">
        <v>12.33</v>
      </c>
      <c r="G3102" s="4">
        <v>0</v>
      </c>
      <c r="H3102" s="8">
        <v>0</v>
      </c>
      <c r="I3102" s="4">
        <v>0</v>
      </c>
    </row>
    <row r="3103" spans="1:9" x14ac:dyDescent="0.2">
      <c r="A3103" s="2">
        <v>3</v>
      </c>
      <c r="B3103" s="1" t="s">
        <v>422</v>
      </c>
      <c r="C3103" s="4">
        <v>6</v>
      </c>
      <c r="D3103" s="8">
        <v>5.66</v>
      </c>
      <c r="E3103" s="4">
        <v>4</v>
      </c>
      <c r="F3103" s="8">
        <v>5.48</v>
      </c>
      <c r="G3103" s="4">
        <v>2</v>
      </c>
      <c r="H3103" s="8">
        <v>6.67</v>
      </c>
      <c r="I3103" s="4">
        <v>0</v>
      </c>
    </row>
    <row r="3104" spans="1:9" x14ac:dyDescent="0.2">
      <c r="A3104" s="2">
        <v>4</v>
      </c>
      <c r="B3104" s="1" t="s">
        <v>299</v>
      </c>
      <c r="C3104" s="4">
        <v>5</v>
      </c>
      <c r="D3104" s="8">
        <v>4.72</v>
      </c>
      <c r="E3104" s="4">
        <v>4</v>
      </c>
      <c r="F3104" s="8">
        <v>5.48</v>
      </c>
      <c r="G3104" s="4">
        <v>1</v>
      </c>
      <c r="H3104" s="8">
        <v>3.33</v>
      </c>
      <c r="I3104" s="4">
        <v>0</v>
      </c>
    </row>
    <row r="3105" spans="1:9" x14ac:dyDescent="0.2">
      <c r="A3105" s="2">
        <v>5</v>
      </c>
      <c r="B3105" s="1" t="s">
        <v>309</v>
      </c>
      <c r="C3105" s="4">
        <v>4</v>
      </c>
      <c r="D3105" s="8">
        <v>3.77</v>
      </c>
      <c r="E3105" s="4">
        <v>0</v>
      </c>
      <c r="F3105" s="8">
        <v>0</v>
      </c>
      <c r="G3105" s="4">
        <v>4</v>
      </c>
      <c r="H3105" s="8">
        <v>13.33</v>
      </c>
      <c r="I3105" s="4">
        <v>0</v>
      </c>
    </row>
    <row r="3106" spans="1:9" x14ac:dyDescent="0.2">
      <c r="A3106" s="2">
        <v>5</v>
      </c>
      <c r="B3106" s="1" t="s">
        <v>329</v>
      </c>
      <c r="C3106" s="4">
        <v>4</v>
      </c>
      <c r="D3106" s="8">
        <v>3.77</v>
      </c>
      <c r="E3106" s="4">
        <v>4</v>
      </c>
      <c r="F3106" s="8">
        <v>5.48</v>
      </c>
      <c r="G3106" s="4">
        <v>0</v>
      </c>
      <c r="H3106" s="8">
        <v>0</v>
      </c>
      <c r="I3106" s="4">
        <v>0</v>
      </c>
    </row>
    <row r="3107" spans="1:9" x14ac:dyDescent="0.2">
      <c r="A3107" s="2">
        <v>5</v>
      </c>
      <c r="B3107" s="1" t="s">
        <v>295</v>
      </c>
      <c r="C3107" s="4">
        <v>4</v>
      </c>
      <c r="D3107" s="8">
        <v>3.77</v>
      </c>
      <c r="E3107" s="4">
        <v>4</v>
      </c>
      <c r="F3107" s="8">
        <v>5.48</v>
      </c>
      <c r="G3107" s="4">
        <v>0</v>
      </c>
      <c r="H3107" s="8">
        <v>0</v>
      </c>
      <c r="I3107" s="4">
        <v>0</v>
      </c>
    </row>
    <row r="3108" spans="1:9" x14ac:dyDescent="0.2">
      <c r="A3108" s="2">
        <v>5</v>
      </c>
      <c r="B3108" s="1" t="s">
        <v>303</v>
      </c>
      <c r="C3108" s="4">
        <v>4</v>
      </c>
      <c r="D3108" s="8">
        <v>3.77</v>
      </c>
      <c r="E3108" s="4">
        <v>4</v>
      </c>
      <c r="F3108" s="8">
        <v>5.48</v>
      </c>
      <c r="G3108" s="4">
        <v>0</v>
      </c>
      <c r="H3108" s="8">
        <v>0</v>
      </c>
      <c r="I3108" s="4">
        <v>0</v>
      </c>
    </row>
    <row r="3109" spans="1:9" x14ac:dyDescent="0.2">
      <c r="A3109" s="2">
        <v>5</v>
      </c>
      <c r="B3109" s="1" t="s">
        <v>304</v>
      </c>
      <c r="C3109" s="4">
        <v>4</v>
      </c>
      <c r="D3109" s="8">
        <v>3.77</v>
      </c>
      <c r="E3109" s="4">
        <v>4</v>
      </c>
      <c r="F3109" s="8">
        <v>5.48</v>
      </c>
      <c r="G3109" s="4">
        <v>0</v>
      </c>
      <c r="H3109" s="8">
        <v>0</v>
      </c>
      <c r="I3109" s="4">
        <v>0</v>
      </c>
    </row>
    <row r="3110" spans="1:9" x14ac:dyDescent="0.2">
      <c r="A3110" s="2">
        <v>10</v>
      </c>
      <c r="B3110" s="1" t="s">
        <v>332</v>
      </c>
      <c r="C3110" s="4">
        <v>3</v>
      </c>
      <c r="D3110" s="8">
        <v>2.83</v>
      </c>
      <c r="E3110" s="4">
        <v>3</v>
      </c>
      <c r="F3110" s="8">
        <v>4.1100000000000003</v>
      </c>
      <c r="G3110" s="4">
        <v>0</v>
      </c>
      <c r="H3110" s="8">
        <v>0</v>
      </c>
      <c r="I3110" s="4">
        <v>0</v>
      </c>
    </row>
    <row r="3111" spans="1:9" x14ac:dyDescent="0.2">
      <c r="A3111" s="2">
        <v>10</v>
      </c>
      <c r="B3111" s="1" t="s">
        <v>307</v>
      </c>
      <c r="C3111" s="4">
        <v>3</v>
      </c>
      <c r="D3111" s="8">
        <v>2.83</v>
      </c>
      <c r="E3111" s="4">
        <v>2</v>
      </c>
      <c r="F3111" s="8">
        <v>2.74</v>
      </c>
      <c r="G3111" s="4">
        <v>1</v>
      </c>
      <c r="H3111" s="8">
        <v>3.33</v>
      </c>
      <c r="I3111" s="4">
        <v>0</v>
      </c>
    </row>
    <row r="3112" spans="1:9" x14ac:dyDescent="0.2">
      <c r="A3112" s="2">
        <v>12</v>
      </c>
      <c r="B3112" s="1" t="s">
        <v>288</v>
      </c>
      <c r="C3112" s="4">
        <v>2</v>
      </c>
      <c r="D3112" s="8">
        <v>1.89</v>
      </c>
      <c r="E3112" s="4">
        <v>0</v>
      </c>
      <c r="F3112" s="8">
        <v>0</v>
      </c>
      <c r="G3112" s="4">
        <v>2</v>
      </c>
      <c r="H3112" s="8">
        <v>6.67</v>
      </c>
      <c r="I3112" s="4">
        <v>0</v>
      </c>
    </row>
    <row r="3113" spans="1:9" x14ac:dyDescent="0.2">
      <c r="A3113" s="2">
        <v>12</v>
      </c>
      <c r="B3113" s="1" t="s">
        <v>333</v>
      </c>
      <c r="C3113" s="4">
        <v>2</v>
      </c>
      <c r="D3113" s="8">
        <v>1.89</v>
      </c>
      <c r="E3113" s="4">
        <v>1</v>
      </c>
      <c r="F3113" s="8">
        <v>1.37</v>
      </c>
      <c r="G3113" s="4">
        <v>1</v>
      </c>
      <c r="H3113" s="8">
        <v>3.33</v>
      </c>
      <c r="I3113" s="4">
        <v>0</v>
      </c>
    </row>
    <row r="3114" spans="1:9" x14ac:dyDescent="0.2">
      <c r="A3114" s="2">
        <v>12</v>
      </c>
      <c r="B3114" s="1" t="s">
        <v>291</v>
      </c>
      <c r="C3114" s="4">
        <v>2</v>
      </c>
      <c r="D3114" s="8">
        <v>1.89</v>
      </c>
      <c r="E3114" s="4">
        <v>0</v>
      </c>
      <c r="F3114" s="8">
        <v>0</v>
      </c>
      <c r="G3114" s="4">
        <v>2</v>
      </c>
      <c r="H3114" s="8">
        <v>6.67</v>
      </c>
      <c r="I3114" s="4">
        <v>0</v>
      </c>
    </row>
    <row r="3115" spans="1:9" x14ac:dyDescent="0.2">
      <c r="A3115" s="2">
        <v>12</v>
      </c>
      <c r="B3115" s="1" t="s">
        <v>389</v>
      </c>
      <c r="C3115" s="4">
        <v>2</v>
      </c>
      <c r="D3115" s="8">
        <v>1.89</v>
      </c>
      <c r="E3115" s="4">
        <v>2</v>
      </c>
      <c r="F3115" s="8">
        <v>2.74</v>
      </c>
      <c r="G3115" s="4">
        <v>0</v>
      </c>
      <c r="H3115" s="8">
        <v>0</v>
      </c>
      <c r="I3115" s="4">
        <v>0</v>
      </c>
    </row>
    <row r="3116" spans="1:9" x14ac:dyDescent="0.2">
      <c r="A3116" s="2">
        <v>12</v>
      </c>
      <c r="B3116" s="1" t="s">
        <v>310</v>
      </c>
      <c r="C3116" s="4">
        <v>2</v>
      </c>
      <c r="D3116" s="8">
        <v>1.89</v>
      </c>
      <c r="E3116" s="4">
        <v>0</v>
      </c>
      <c r="F3116" s="8">
        <v>0</v>
      </c>
      <c r="G3116" s="4">
        <v>2</v>
      </c>
      <c r="H3116" s="8">
        <v>6.67</v>
      </c>
      <c r="I3116" s="4">
        <v>0</v>
      </c>
    </row>
    <row r="3117" spans="1:9" x14ac:dyDescent="0.2">
      <c r="A3117" s="2">
        <v>12</v>
      </c>
      <c r="B3117" s="1" t="s">
        <v>297</v>
      </c>
      <c r="C3117" s="4">
        <v>2</v>
      </c>
      <c r="D3117" s="8">
        <v>1.89</v>
      </c>
      <c r="E3117" s="4">
        <v>2</v>
      </c>
      <c r="F3117" s="8">
        <v>2.74</v>
      </c>
      <c r="G3117" s="4">
        <v>0</v>
      </c>
      <c r="H3117" s="8">
        <v>0</v>
      </c>
      <c r="I3117" s="4">
        <v>0</v>
      </c>
    </row>
    <row r="3118" spans="1:9" x14ac:dyDescent="0.2">
      <c r="A3118" s="2">
        <v>12</v>
      </c>
      <c r="B3118" s="1" t="s">
        <v>334</v>
      </c>
      <c r="C3118" s="4">
        <v>2</v>
      </c>
      <c r="D3118" s="8">
        <v>1.89</v>
      </c>
      <c r="E3118" s="4">
        <v>2</v>
      </c>
      <c r="F3118" s="8">
        <v>2.74</v>
      </c>
      <c r="G3118" s="4">
        <v>0</v>
      </c>
      <c r="H3118" s="8">
        <v>0</v>
      </c>
      <c r="I3118" s="4">
        <v>0</v>
      </c>
    </row>
    <row r="3119" spans="1:9" x14ac:dyDescent="0.2">
      <c r="A3119" s="2">
        <v>12</v>
      </c>
      <c r="B3119" s="1" t="s">
        <v>300</v>
      </c>
      <c r="C3119" s="4">
        <v>2</v>
      </c>
      <c r="D3119" s="8">
        <v>1.89</v>
      </c>
      <c r="E3119" s="4">
        <v>1</v>
      </c>
      <c r="F3119" s="8">
        <v>1.37</v>
      </c>
      <c r="G3119" s="4">
        <v>1</v>
      </c>
      <c r="H3119" s="8">
        <v>3.33</v>
      </c>
      <c r="I3119" s="4">
        <v>0</v>
      </c>
    </row>
    <row r="3120" spans="1:9" x14ac:dyDescent="0.2">
      <c r="A3120" s="2">
        <v>12</v>
      </c>
      <c r="B3120" s="1" t="s">
        <v>423</v>
      </c>
      <c r="C3120" s="4">
        <v>2</v>
      </c>
      <c r="D3120" s="8">
        <v>1.89</v>
      </c>
      <c r="E3120" s="4">
        <v>0</v>
      </c>
      <c r="F3120" s="8">
        <v>0</v>
      </c>
      <c r="G3120" s="4">
        <v>2</v>
      </c>
      <c r="H3120" s="8">
        <v>6.67</v>
      </c>
      <c r="I3120" s="4">
        <v>0</v>
      </c>
    </row>
    <row r="3121" spans="1:9" x14ac:dyDescent="0.2">
      <c r="A3121" s="2">
        <v>12</v>
      </c>
      <c r="B3121" s="1" t="s">
        <v>340</v>
      </c>
      <c r="C3121" s="4">
        <v>2</v>
      </c>
      <c r="D3121" s="8">
        <v>1.89</v>
      </c>
      <c r="E3121" s="4">
        <v>1</v>
      </c>
      <c r="F3121" s="8">
        <v>1.37</v>
      </c>
      <c r="G3121" s="4">
        <v>0</v>
      </c>
      <c r="H3121" s="8">
        <v>0</v>
      </c>
      <c r="I3121" s="4">
        <v>0</v>
      </c>
    </row>
    <row r="3122" spans="1:9" x14ac:dyDescent="0.2">
      <c r="A3122" s="2">
        <v>12</v>
      </c>
      <c r="B3122" s="1" t="s">
        <v>305</v>
      </c>
      <c r="C3122" s="4">
        <v>2</v>
      </c>
      <c r="D3122" s="8">
        <v>1.89</v>
      </c>
      <c r="E3122" s="4">
        <v>1</v>
      </c>
      <c r="F3122" s="8">
        <v>1.37</v>
      </c>
      <c r="G3122" s="4">
        <v>1</v>
      </c>
      <c r="H3122" s="8">
        <v>3.33</v>
      </c>
      <c r="I3122" s="4">
        <v>0</v>
      </c>
    </row>
    <row r="3123" spans="1:9" x14ac:dyDescent="0.2">
      <c r="A3123" s="1"/>
      <c r="C3123" s="4"/>
      <c r="D3123" s="8"/>
      <c r="E3123" s="4"/>
      <c r="F3123" s="8"/>
      <c r="G3123" s="4"/>
      <c r="H3123" s="8"/>
      <c r="I3123" s="4"/>
    </row>
    <row r="3124" spans="1:9" x14ac:dyDescent="0.2">
      <c r="A3124" s="1" t="s">
        <v>107</v>
      </c>
      <c r="C3124" s="4"/>
      <c r="D3124" s="8"/>
      <c r="E3124" s="4"/>
      <c r="F3124" s="8"/>
      <c r="G3124" s="4"/>
      <c r="H3124" s="8"/>
      <c r="I3124" s="4"/>
    </row>
    <row r="3125" spans="1:9" x14ac:dyDescent="0.2">
      <c r="A3125" s="2">
        <v>1</v>
      </c>
      <c r="B3125" s="1" t="s">
        <v>302</v>
      </c>
      <c r="C3125" s="4">
        <v>4</v>
      </c>
      <c r="D3125" s="8">
        <v>5.48</v>
      </c>
      <c r="E3125" s="4">
        <v>2</v>
      </c>
      <c r="F3125" s="8">
        <v>5.41</v>
      </c>
      <c r="G3125" s="4">
        <v>1</v>
      </c>
      <c r="H3125" s="8">
        <v>3.33</v>
      </c>
      <c r="I3125" s="4">
        <v>1</v>
      </c>
    </row>
    <row r="3126" spans="1:9" x14ac:dyDescent="0.2">
      <c r="A3126" s="2">
        <v>2</v>
      </c>
      <c r="B3126" s="1" t="s">
        <v>334</v>
      </c>
      <c r="C3126" s="4">
        <v>3</v>
      </c>
      <c r="D3126" s="8">
        <v>4.1100000000000003</v>
      </c>
      <c r="E3126" s="4">
        <v>3</v>
      </c>
      <c r="F3126" s="8">
        <v>8.11</v>
      </c>
      <c r="G3126" s="4">
        <v>0</v>
      </c>
      <c r="H3126" s="8">
        <v>0</v>
      </c>
      <c r="I3126" s="4">
        <v>0</v>
      </c>
    </row>
    <row r="3127" spans="1:9" x14ac:dyDescent="0.2">
      <c r="A3127" s="2">
        <v>2</v>
      </c>
      <c r="B3127" s="1" t="s">
        <v>301</v>
      </c>
      <c r="C3127" s="4">
        <v>3</v>
      </c>
      <c r="D3127" s="8">
        <v>4.1100000000000003</v>
      </c>
      <c r="E3127" s="4">
        <v>3</v>
      </c>
      <c r="F3127" s="8">
        <v>8.11</v>
      </c>
      <c r="G3127" s="4">
        <v>0</v>
      </c>
      <c r="H3127" s="8">
        <v>0</v>
      </c>
      <c r="I3127" s="4">
        <v>0</v>
      </c>
    </row>
    <row r="3128" spans="1:9" x14ac:dyDescent="0.2">
      <c r="A3128" s="2">
        <v>4</v>
      </c>
      <c r="B3128" s="1" t="s">
        <v>407</v>
      </c>
      <c r="C3128" s="4">
        <v>2</v>
      </c>
      <c r="D3128" s="8">
        <v>2.74</v>
      </c>
      <c r="E3128" s="4">
        <v>0</v>
      </c>
      <c r="F3128" s="8">
        <v>0</v>
      </c>
      <c r="G3128" s="4">
        <v>1</v>
      </c>
      <c r="H3128" s="8">
        <v>3.33</v>
      </c>
      <c r="I3128" s="4">
        <v>0</v>
      </c>
    </row>
    <row r="3129" spans="1:9" x14ac:dyDescent="0.2">
      <c r="A3129" s="2">
        <v>4</v>
      </c>
      <c r="B3129" s="1" t="s">
        <v>364</v>
      </c>
      <c r="C3129" s="4">
        <v>2</v>
      </c>
      <c r="D3129" s="8">
        <v>2.74</v>
      </c>
      <c r="E3129" s="4">
        <v>0</v>
      </c>
      <c r="F3129" s="8">
        <v>0</v>
      </c>
      <c r="G3129" s="4">
        <v>2</v>
      </c>
      <c r="H3129" s="8">
        <v>6.67</v>
      </c>
      <c r="I3129" s="4">
        <v>0</v>
      </c>
    </row>
    <row r="3130" spans="1:9" x14ac:dyDescent="0.2">
      <c r="A3130" s="2">
        <v>4</v>
      </c>
      <c r="B3130" s="1" t="s">
        <v>292</v>
      </c>
      <c r="C3130" s="4">
        <v>2</v>
      </c>
      <c r="D3130" s="8">
        <v>2.74</v>
      </c>
      <c r="E3130" s="4">
        <v>1</v>
      </c>
      <c r="F3130" s="8">
        <v>2.7</v>
      </c>
      <c r="G3130" s="4">
        <v>1</v>
      </c>
      <c r="H3130" s="8">
        <v>3.33</v>
      </c>
      <c r="I3130" s="4">
        <v>0</v>
      </c>
    </row>
    <row r="3131" spans="1:9" x14ac:dyDescent="0.2">
      <c r="A3131" s="2">
        <v>4</v>
      </c>
      <c r="B3131" s="1" t="s">
        <v>337</v>
      </c>
      <c r="C3131" s="4">
        <v>2</v>
      </c>
      <c r="D3131" s="8">
        <v>2.74</v>
      </c>
      <c r="E3131" s="4">
        <v>1</v>
      </c>
      <c r="F3131" s="8">
        <v>2.7</v>
      </c>
      <c r="G3131" s="4">
        <v>1</v>
      </c>
      <c r="H3131" s="8">
        <v>3.33</v>
      </c>
      <c r="I3131" s="4">
        <v>0</v>
      </c>
    </row>
    <row r="3132" spans="1:9" x14ac:dyDescent="0.2">
      <c r="A3132" s="2">
        <v>4</v>
      </c>
      <c r="B3132" s="1" t="s">
        <v>299</v>
      </c>
      <c r="C3132" s="4">
        <v>2</v>
      </c>
      <c r="D3132" s="8">
        <v>2.74</v>
      </c>
      <c r="E3132" s="4">
        <v>2</v>
      </c>
      <c r="F3132" s="8">
        <v>5.41</v>
      </c>
      <c r="G3132" s="4">
        <v>0</v>
      </c>
      <c r="H3132" s="8">
        <v>0</v>
      </c>
      <c r="I3132" s="4">
        <v>0</v>
      </c>
    </row>
    <row r="3133" spans="1:9" x14ac:dyDescent="0.2">
      <c r="A3133" s="2">
        <v>4</v>
      </c>
      <c r="B3133" s="1" t="s">
        <v>419</v>
      </c>
      <c r="C3133" s="4">
        <v>2</v>
      </c>
      <c r="D3133" s="8">
        <v>2.74</v>
      </c>
      <c r="E3133" s="4">
        <v>2</v>
      </c>
      <c r="F3133" s="8">
        <v>5.41</v>
      </c>
      <c r="G3133" s="4">
        <v>0</v>
      </c>
      <c r="H3133" s="8">
        <v>0</v>
      </c>
      <c r="I3133" s="4">
        <v>0</v>
      </c>
    </row>
    <row r="3134" spans="1:9" x14ac:dyDescent="0.2">
      <c r="A3134" s="2">
        <v>4</v>
      </c>
      <c r="B3134" s="1" t="s">
        <v>300</v>
      </c>
      <c r="C3134" s="4">
        <v>2</v>
      </c>
      <c r="D3134" s="8">
        <v>2.74</v>
      </c>
      <c r="E3134" s="4">
        <v>2</v>
      </c>
      <c r="F3134" s="8">
        <v>5.41</v>
      </c>
      <c r="G3134" s="4">
        <v>0</v>
      </c>
      <c r="H3134" s="8">
        <v>0</v>
      </c>
      <c r="I3134" s="4">
        <v>0</v>
      </c>
    </row>
    <row r="3135" spans="1:9" x14ac:dyDescent="0.2">
      <c r="A3135" s="2">
        <v>4</v>
      </c>
      <c r="B3135" s="1" t="s">
        <v>390</v>
      </c>
      <c r="C3135" s="4">
        <v>2</v>
      </c>
      <c r="D3135" s="8">
        <v>2.74</v>
      </c>
      <c r="E3135" s="4">
        <v>2</v>
      </c>
      <c r="F3135" s="8">
        <v>5.41</v>
      </c>
      <c r="G3135" s="4">
        <v>0</v>
      </c>
      <c r="H3135" s="8">
        <v>0</v>
      </c>
      <c r="I3135" s="4">
        <v>0</v>
      </c>
    </row>
    <row r="3136" spans="1:9" x14ac:dyDescent="0.2">
      <c r="A3136" s="2">
        <v>4</v>
      </c>
      <c r="B3136" s="1" t="s">
        <v>304</v>
      </c>
      <c r="C3136" s="4">
        <v>2</v>
      </c>
      <c r="D3136" s="8">
        <v>2.74</v>
      </c>
      <c r="E3136" s="4">
        <v>2</v>
      </c>
      <c r="F3136" s="8">
        <v>5.41</v>
      </c>
      <c r="G3136" s="4">
        <v>0</v>
      </c>
      <c r="H3136" s="8">
        <v>0</v>
      </c>
      <c r="I3136" s="4">
        <v>0</v>
      </c>
    </row>
    <row r="3137" spans="1:9" x14ac:dyDescent="0.2">
      <c r="A3137" s="2">
        <v>4</v>
      </c>
      <c r="B3137" s="1" t="s">
        <v>352</v>
      </c>
      <c r="C3137" s="4">
        <v>2</v>
      </c>
      <c r="D3137" s="8">
        <v>2.74</v>
      </c>
      <c r="E3137" s="4">
        <v>0</v>
      </c>
      <c r="F3137" s="8">
        <v>0</v>
      </c>
      <c r="G3137" s="4">
        <v>0</v>
      </c>
      <c r="H3137" s="8">
        <v>0</v>
      </c>
      <c r="I3137" s="4">
        <v>0</v>
      </c>
    </row>
    <row r="3138" spans="1:9" x14ac:dyDescent="0.2">
      <c r="A3138" s="2">
        <v>4</v>
      </c>
      <c r="B3138" s="1" t="s">
        <v>411</v>
      </c>
      <c r="C3138" s="4">
        <v>2</v>
      </c>
      <c r="D3138" s="8">
        <v>2.74</v>
      </c>
      <c r="E3138" s="4">
        <v>1</v>
      </c>
      <c r="F3138" s="8">
        <v>2.7</v>
      </c>
      <c r="G3138" s="4">
        <v>1</v>
      </c>
      <c r="H3138" s="8">
        <v>3.33</v>
      </c>
      <c r="I3138" s="4">
        <v>0</v>
      </c>
    </row>
    <row r="3139" spans="1:9" x14ac:dyDescent="0.2">
      <c r="A3139" s="2">
        <v>15</v>
      </c>
      <c r="B3139" s="1" t="s">
        <v>484</v>
      </c>
      <c r="C3139" s="4">
        <v>1</v>
      </c>
      <c r="D3139" s="8">
        <v>1.37</v>
      </c>
      <c r="E3139" s="4">
        <v>0</v>
      </c>
      <c r="F3139" s="8">
        <v>0</v>
      </c>
      <c r="G3139" s="4">
        <v>1</v>
      </c>
      <c r="H3139" s="8">
        <v>3.33</v>
      </c>
      <c r="I3139" s="4">
        <v>0</v>
      </c>
    </row>
    <row r="3140" spans="1:9" x14ac:dyDescent="0.2">
      <c r="A3140" s="2">
        <v>15</v>
      </c>
      <c r="B3140" s="1" t="s">
        <v>288</v>
      </c>
      <c r="C3140" s="4">
        <v>1</v>
      </c>
      <c r="D3140" s="8">
        <v>1.37</v>
      </c>
      <c r="E3140" s="4">
        <v>0</v>
      </c>
      <c r="F3140" s="8">
        <v>0</v>
      </c>
      <c r="G3140" s="4">
        <v>1</v>
      </c>
      <c r="H3140" s="8">
        <v>3.33</v>
      </c>
      <c r="I3140" s="4">
        <v>0</v>
      </c>
    </row>
    <row r="3141" spans="1:9" x14ac:dyDescent="0.2">
      <c r="A3141" s="2">
        <v>15</v>
      </c>
      <c r="B3141" s="1" t="s">
        <v>289</v>
      </c>
      <c r="C3141" s="4">
        <v>1</v>
      </c>
      <c r="D3141" s="8">
        <v>1.37</v>
      </c>
      <c r="E3141" s="4">
        <v>0</v>
      </c>
      <c r="F3141" s="8">
        <v>0</v>
      </c>
      <c r="G3141" s="4">
        <v>1</v>
      </c>
      <c r="H3141" s="8">
        <v>3.33</v>
      </c>
      <c r="I3141" s="4">
        <v>0</v>
      </c>
    </row>
    <row r="3142" spans="1:9" x14ac:dyDescent="0.2">
      <c r="A3142" s="2">
        <v>15</v>
      </c>
      <c r="B3142" s="1" t="s">
        <v>328</v>
      </c>
      <c r="C3142" s="4">
        <v>1</v>
      </c>
      <c r="D3142" s="8">
        <v>1.37</v>
      </c>
      <c r="E3142" s="4">
        <v>0</v>
      </c>
      <c r="F3142" s="8">
        <v>0</v>
      </c>
      <c r="G3142" s="4">
        <v>1</v>
      </c>
      <c r="H3142" s="8">
        <v>3.33</v>
      </c>
      <c r="I3142" s="4">
        <v>0</v>
      </c>
    </row>
    <row r="3143" spans="1:9" x14ac:dyDescent="0.2">
      <c r="A3143" s="2">
        <v>15</v>
      </c>
      <c r="B3143" s="1" t="s">
        <v>319</v>
      </c>
      <c r="C3143" s="4">
        <v>1</v>
      </c>
      <c r="D3143" s="8">
        <v>1.37</v>
      </c>
      <c r="E3143" s="4">
        <v>0</v>
      </c>
      <c r="F3143" s="8">
        <v>0</v>
      </c>
      <c r="G3143" s="4">
        <v>1</v>
      </c>
      <c r="H3143" s="8">
        <v>3.33</v>
      </c>
      <c r="I3143" s="4">
        <v>0</v>
      </c>
    </row>
    <row r="3144" spans="1:9" x14ac:dyDescent="0.2">
      <c r="A3144" s="2">
        <v>15</v>
      </c>
      <c r="B3144" s="1" t="s">
        <v>353</v>
      </c>
      <c r="C3144" s="4">
        <v>1</v>
      </c>
      <c r="D3144" s="8">
        <v>1.37</v>
      </c>
      <c r="E3144" s="4">
        <v>0</v>
      </c>
      <c r="F3144" s="8">
        <v>0</v>
      </c>
      <c r="G3144" s="4">
        <v>1</v>
      </c>
      <c r="H3144" s="8">
        <v>3.33</v>
      </c>
      <c r="I3144" s="4">
        <v>0</v>
      </c>
    </row>
    <row r="3145" spans="1:9" x14ac:dyDescent="0.2">
      <c r="A3145" s="2">
        <v>15</v>
      </c>
      <c r="B3145" s="1" t="s">
        <v>343</v>
      </c>
      <c r="C3145" s="4">
        <v>1</v>
      </c>
      <c r="D3145" s="8">
        <v>1.37</v>
      </c>
      <c r="E3145" s="4">
        <v>1</v>
      </c>
      <c r="F3145" s="8">
        <v>2.7</v>
      </c>
      <c r="G3145" s="4">
        <v>0</v>
      </c>
      <c r="H3145" s="8">
        <v>0</v>
      </c>
      <c r="I3145" s="4">
        <v>0</v>
      </c>
    </row>
    <row r="3146" spans="1:9" x14ac:dyDescent="0.2">
      <c r="A3146" s="2">
        <v>15</v>
      </c>
      <c r="B3146" s="1" t="s">
        <v>333</v>
      </c>
      <c r="C3146" s="4">
        <v>1</v>
      </c>
      <c r="D3146" s="8">
        <v>1.37</v>
      </c>
      <c r="E3146" s="4">
        <v>1</v>
      </c>
      <c r="F3146" s="8">
        <v>2.7</v>
      </c>
      <c r="G3146" s="4">
        <v>0</v>
      </c>
      <c r="H3146" s="8">
        <v>0</v>
      </c>
      <c r="I3146" s="4">
        <v>0</v>
      </c>
    </row>
    <row r="3147" spans="1:9" x14ac:dyDescent="0.2">
      <c r="A3147" s="2">
        <v>15</v>
      </c>
      <c r="B3147" s="1" t="s">
        <v>290</v>
      </c>
      <c r="C3147" s="4">
        <v>1</v>
      </c>
      <c r="D3147" s="8">
        <v>1.37</v>
      </c>
      <c r="E3147" s="4">
        <v>0</v>
      </c>
      <c r="F3147" s="8">
        <v>0</v>
      </c>
      <c r="G3147" s="4">
        <v>1</v>
      </c>
      <c r="H3147" s="8">
        <v>3.33</v>
      </c>
      <c r="I3147" s="4">
        <v>0</v>
      </c>
    </row>
    <row r="3148" spans="1:9" x14ac:dyDescent="0.2">
      <c r="A3148" s="2">
        <v>15</v>
      </c>
      <c r="B3148" s="1" t="s">
        <v>291</v>
      </c>
      <c r="C3148" s="4">
        <v>1</v>
      </c>
      <c r="D3148" s="8">
        <v>1.37</v>
      </c>
      <c r="E3148" s="4">
        <v>0</v>
      </c>
      <c r="F3148" s="8">
        <v>0</v>
      </c>
      <c r="G3148" s="4">
        <v>1</v>
      </c>
      <c r="H3148" s="8">
        <v>3.33</v>
      </c>
      <c r="I3148" s="4">
        <v>0</v>
      </c>
    </row>
    <row r="3149" spans="1:9" x14ac:dyDescent="0.2">
      <c r="A3149" s="2">
        <v>15</v>
      </c>
      <c r="B3149" s="1" t="s">
        <v>413</v>
      </c>
      <c r="C3149" s="4">
        <v>1</v>
      </c>
      <c r="D3149" s="8">
        <v>1.37</v>
      </c>
      <c r="E3149" s="4">
        <v>0</v>
      </c>
      <c r="F3149" s="8">
        <v>0</v>
      </c>
      <c r="G3149" s="4">
        <v>1</v>
      </c>
      <c r="H3149" s="8">
        <v>3.33</v>
      </c>
      <c r="I3149" s="4">
        <v>0</v>
      </c>
    </row>
    <row r="3150" spans="1:9" x14ac:dyDescent="0.2">
      <c r="A3150" s="2">
        <v>15</v>
      </c>
      <c r="B3150" s="1" t="s">
        <v>377</v>
      </c>
      <c r="C3150" s="4">
        <v>1</v>
      </c>
      <c r="D3150" s="8">
        <v>1.37</v>
      </c>
      <c r="E3150" s="4">
        <v>1</v>
      </c>
      <c r="F3150" s="8">
        <v>2.7</v>
      </c>
      <c r="G3150" s="4">
        <v>0</v>
      </c>
      <c r="H3150" s="8">
        <v>0</v>
      </c>
      <c r="I3150" s="4">
        <v>0</v>
      </c>
    </row>
    <row r="3151" spans="1:9" x14ac:dyDescent="0.2">
      <c r="A3151" s="2">
        <v>15</v>
      </c>
      <c r="B3151" s="1" t="s">
        <v>394</v>
      </c>
      <c r="C3151" s="4">
        <v>1</v>
      </c>
      <c r="D3151" s="8">
        <v>1.37</v>
      </c>
      <c r="E3151" s="4">
        <v>0</v>
      </c>
      <c r="F3151" s="8">
        <v>0</v>
      </c>
      <c r="G3151" s="4">
        <v>1</v>
      </c>
      <c r="H3151" s="8">
        <v>3.33</v>
      </c>
      <c r="I3151" s="4">
        <v>0</v>
      </c>
    </row>
    <row r="3152" spans="1:9" x14ac:dyDescent="0.2">
      <c r="A3152" s="2">
        <v>15</v>
      </c>
      <c r="B3152" s="1" t="s">
        <v>485</v>
      </c>
      <c r="C3152" s="4">
        <v>1</v>
      </c>
      <c r="D3152" s="8">
        <v>1.37</v>
      </c>
      <c r="E3152" s="4">
        <v>1</v>
      </c>
      <c r="F3152" s="8">
        <v>2.7</v>
      </c>
      <c r="G3152" s="4">
        <v>0</v>
      </c>
      <c r="H3152" s="8">
        <v>0</v>
      </c>
      <c r="I3152" s="4">
        <v>0</v>
      </c>
    </row>
    <row r="3153" spans="1:9" x14ac:dyDescent="0.2">
      <c r="A3153" s="2">
        <v>15</v>
      </c>
      <c r="B3153" s="1" t="s">
        <v>486</v>
      </c>
      <c r="C3153" s="4">
        <v>1</v>
      </c>
      <c r="D3153" s="8">
        <v>1.37</v>
      </c>
      <c r="E3153" s="4">
        <v>0</v>
      </c>
      <c r="F3153" s="8">
        <v>0</v>
      </c>
      <c r="G3153" s="4">
        <v>1</v>
      </c>
      <c r="H3153" s="8">
        <v>3.33</v>
      </c>
      <c r="I3153" s="4">
        <v>0</v>
      </c>
    </row>
    <row r="3154" spans="1:9" x14ac:dyDescent="0.2">
      <c r="A3154" s="2">
        <v>15</v>
      </c>
      <c r="B3154" s="1" t="s">
        <v>414</v>
      </c>
      <c r="C3154" s="4">
        <v>1</v>
      </c>
      <c r="D3154" s="8">
        <v>1.37</v>
      </c>
      <c r="E3154" s="4">
        <v>1</v>
      </c>
      <c r="F3154" s="8">
        <v>2.7</v>
      </c>
      <c r="G3154" s="4">
        <v>0</v>
      </c>
      <c r="H3154" s="8">
        <v>0</v>
      </c>
      <c r="I3154" s="4">
        <v>0</v>
      </c>
    </row>
    <row r="3155" spans="1:9" x14ac:dyDescent="0.2">
      <c r="A3155" s="2">
        <v>15</v>
      </c>
      <c r="B3155" s="1" t="s">
        <v>362</v>
      </c>
      <c r="C3155" s="4">
        <v>1</v>
      </c>
      <c r="D3155" s="8">
        <v>1.37</v>
      </c>
      <c r="E3155" s="4">
        <v>0</v>
      </c>
      <c r="F3155" s="8">
        <v>0</v>
      </c>
      <c r="G3155" s="4">
        <v>0</v>
      </c>
      <c r="H3155" s="8">
        <v>0</v>
      </c>
      <c r="I3155" s="4">
        <v>0</v>
      </c>
    </row>
    <row r="3156" spans="1:9" x14ac:dyDescent="0.2">
      <c r="A3156" s="2">
        <v>15</v>
      </c>
      <c r="B3156" s="1" t="s">
        <v>350</v>
      </c>
      <c r="C3156" s="4">
        <v>1</v>
      </c>
      <c r="D3156" s="8">
        <v>1.37</v>
      </c>
      <c r="E3156" s="4">
        <v>1</v>
      </c>
      <c r="F3156" s="8">
        <v>2.7</v>
      </c>
      <c r="G3156" s="4">
        <v>0</v>
      </c>
      <c r="H3156" s="8">
        <v>0</v>
      </c>
      <c r="I3156" s="4">
        <v>0</v>
      </c>
    </row>
    <row r="3157" spans="1:9" x14ac:dyDescent="0.2">
      <c r="A3157" s="2">
        <v>15</v>
      </c>
      <c r="B3157" s="1" t="s">
        <v>487</v>
      </c>
      <c r="C3157" s="4">
        <v>1</v>
      </c>
      <c r="D3157" s="8">
        <v>1.37</v>
      </c>
      <c r="E3157" s="4">
        <v>1</v>
      </c>
      <c r="F3157" s="8">
        <v>2.7</v>
      </c>
      <c r="G3157" s="4">
        <v>0</v>
      </c>
      <c r="H3157" s="8">
        <v>0</v>
      </c>
      <c r="I3157" s="4">
        <v>0</v>
      </c>
    </row>
    <row r="3158" spans="1:9" x14ac:dyDescent="0.2">
      <c r="A3158" s="2">
        <v>15</v>
      </c>
      <c r="B3158" s="1" t="s">
        <v>309</v>
      </c>
      <c r="C3158" s="4">
        <v>1</v>
      </c>
      <c r="D3158" s="8">
        <v>1.37</v>
      </c>
      <c r="E3158" s="4">
        <v>0</v>
      </c>
      <c r="F3158" s="8">
        <v>0</v>
      </c>
      <c r="G3158" s="4">
        <v>1</v>
      </c>
      <c r="H3158" s="8">
        <v>3.33</v>
      </c>
      <c r="I3158" s="4">
        <v>0</v>
      </c>
    </row>
    <row r="3159" spans="1:9" x14ac:dyDescent="0.2">
      <c r="A3159" s="2">
        <v>15</v>
      </c>
      <c r="B3159" s="1" t="s">
        <v>354</v>
      </c>
      <c r="C3159" s="4">
        <v>1</v>
      </c>
      <c r="D3159" s="8">
        <v>1.37</v>
      </c>
      <c r="E3159" s="4">
        <v>0</v>
      </c>
      <c r="F3159" s="8">
        <v>0</v>
      </c>
      <c r="G3159" s="4">
        <v>1</v>
      </c>
      <c r="H3159" s="8">
        <v>3.33</v>
      </c>
      <c r="I3159" s="4">
        <v>0</v>
      </c>
    </row>
    <row r="3160" spans="1:9" x14ac:dyDescent="0.2">
      <c r="A3160" s="2">
        <v>15</v>
      </c>
      <c r="B3160" s="1" t="s">
        <v>329</v>
      </c>
      <c r="C3160" s="4">
        <v>1</v>
      </c>
      <c r="D3160" s="8">
        <v>1.37</v>
      </c>
      <c r="E3160" s="4">
        <v>1</v>
      </c>
      <c r="F3160" s="8">
        <v>2.7</v>
      </c>
      <c r="G3160" s="4">
        <v>0</v>
      </c>
      <c r="H3160" s="8">
        <v>0</v>
      </c>
      <c r="I3160" s="4">
        <v>0</v>
      </c>
    </row>
    <row r="3161" spans="1:9" x14ac:dyDescent="0.2">
      <c r="A3161" s="2">
        <v>15</v>
      </c>
      <c r="B3161" s="1" t="s">
        <v>402</v>
      </c>
      <c r="C3161" s="4">
        <v>1</v>
      </c>
      <c r="D3161" s="8">
        <v>1.37</v>
      </c>
      <c r="E3161" s="4">
        <v>1</v>
      </c>
      <c r="F3161" s="8">
        <v>2.7</v>
      </c>
      <c r="G3161" s="4">
        <v>0</v>
      </c>
      <c r="H3161" s="8">
        <v>0</v>
      </c>
      <c r="I3161" s="4">
        <v>0</v>
      </c>
    </row>
    <row r="3162" spans="1:9" x14ac:dyDescent="0.2">
      <c r="A3162" s="2">
        <v>15</v>
      </c>
      <c r="B3162" s="1" t="s">
        <v>372</v>
      </c>
      <c r="C3162" s="4">
        <v>1</v>
      </c>
      <c r="D3162" s="8">
        <v>1.37</v>
      </c>
      <c r="E3162" s="4">
        <v>0</v>
      </c>
      <c r="F3162" s="8">
        <v>0</v>
      </c>
      <c r="G3162" s="4">
        <v>1</v>
      </c>
      <c r="H3162" s="8">
        <v>3.33</v>
      </c>
      <c r="I3162" s="4">
        <v>0</v>
      </c>
    </row>
    <row r="3163" spans="1:9" x14ac:dyDescent="0.2">
      <c r="A3163" s="2">
        <v>15</v>
      </c>
      <c r="B3163" s="1" t="s">
        <v>330</v>
      </c>
      <c r="C3163" s="4">
        <v>1</v>
      </c>
      <c r="D3163" s="8">
        <v>1.37</v>
      </c>
      <c r="E3163" s="4">
        <v>0</v>
      </c>
      <c r="F3163" s="8">
        <v>0</v>
      </c>
      <c r="G3163" s="4">
        <v>1</v>
      </c>
      <c r="H3163" s="8">
        <v>3.33</v>
      </c>
      <c r="I3163" s="4">
        <v>0</v>
      </c>
    </row>
    <row r="3164" spans="1:9" x14ac:dyDescent="0.2">
      <c r="A3164" s="2">
        <v>15</v>
      </c>
      <c r="B3164" s="1" t="s">
        <v>295</v>
      </c>
      <c r="C3164" s="4">
        <v>1</v>
      </c>
      <c r="D3164" s="8">
        <v>1.37</v>
      </c>
      <c r="E3164" s="4">
        <v>1</v>
      </c>
      <c r="F3164" s="8">
        <v>2.7</v>
      </c>
      <c r="G3164" s="4">
        <v>0</v>
      </c>
      <c r="H3164" s="8">
        <v>0</v>
      </c>
      <c r="I3164" s="4">
        <v>0</v>
      </c>
    </row>
    <row r="3165" spans="1:9" x14ac:dyDescent="0.2">
      <c r="A3165" s="2">
        <v>15</v>
      </c>
      <c r="B3165" s="1" t="s">
        <v>426</v>
      </c>
      <c r="C3165" s="4">
        <v>1</v>
      </c>
      <c r="D3165" s="8">
        <v>1.37</v>
      </c>
      <c r="E3165" s="4">
        <v>0</v>
      </c>
      <c r="F3165" s="8">
        <v>0</v>
      </c>
      <c r="G3165" s="4">
        <v>1</v>
      </c>
      <c r="H3165" s="8">
        <v>3.33</v>
      </c>
      <c r="I3165" s="4">
        <v>0</v>
      </c>
    </row>
    <row r="3166" spans="1:9" x14ac:dyDescent="0.2">
      <c r="A3166" s="2">
        <v>15</v>
      </c>
      <c r="B3166" s="1" t="s">
        <v>310</v>
      </c>
      <c r="C3166" s="4">
        <v>1</v>
      </c>
      <c r="D3166" s="8">
        <v>1.37</v>
      </c>
      <c r="E3166" s="4">
        <v>0</v>
      </c>
      <c r="F3166" s="8">
        <v>0</v>
      </c>
      <c r="G3166" s="4">
        <v>1</v>
      </c>
      <c r="H3166" s="8">
        <v>3.33</v>
      </c>
      <c r="I3166" s="4">
        <v>0</v>
      </c>
    </row>
    <row r="3167" spans="1:9" x14ac:dyDescent="0.2">
      <c r="A3167" s="2">
        <v>15</v>
      </c>
      <c r="B3167" s="1" t="s">
        <v>409</v>
      </c>
      <c r="C3167" s="4">
        <v>1</v>
      </c>
      <c r="D3167" s="8">
        <v>1.37</v>
      </c>
      <c r="E3167" s="4">
        <v>1</v>
      </c>
      <c r="F3167" s="8">
        <v>2.7</v>
      </c>
      <c r="G3167" s="4">
        <v>0</v>
      </c>
      <c r="H3167" s="8">
        <v>0</v>
      </c>
      <c r="I3167" s="4">
        <v>0</v>
      </c>
    </row>
    <row r="3168" spans="1:9" x14ac:dyDescent="0.2">
      <c r="A3168" s="2">
        <v>15</v>
      </c>
      <c r="B3168" s="1" t="s">
        <v>423</v>
      </c>
      <c r="C3168" s="4">
        <v>1</v>
      </c>
      <c r="D3168" s="8">
        <v>1.37</v>
      </c>
      <c r="E3168" s="4">
        <v>0</v>
      </c>
      <c r="F3168" s="8">
        <v>0</v>
      </c>
      <c r="G3168" s="4">
        <v>1</v>
      </c>
      <c r="H3168" s="8">
        <v>3.33</v>
      </c>
      <c r="I3168" s="4">
        <v>0</v>
      </c>
    </row>
    <row r="3169" spans="1:9" x14ac:dyDescent="0.2">
      <c r="A3169" s="2">
        <v>15</v>
      </c>
      <c r="B3169" s="1" t="s">
        <v>325</v>
      </c>
      <c r="C3169" s="4">
        <v>1</v>
      </c>
      <c r="D3169" s="8">
        <v>1.37</v>
      </c>
      <c r="E3169" s="4">
        <v>0</v>
      </c>
      <c r="F3169" s="8">
        <v>0</v>
      </c>
      <c r="G3169" s="4">
        <v>1</v>
      </c>
      <c r="H3169" s="8">
        <v>3.33</v>
      </c>
      <c r="I3169" s="4">
        <v>0</v>
      </c>
    </row>
    <row r="3170" spans="1:9" x14ac:dyDescent="0.2">
      <c r="A3170" s="2">
        <v>15</v>
      </c>
      <c r="B3170" s="1" t="s">
        <v>323</v>
      </c>
      <c r="C3170" s="4">
        <v>1</v>
      </c>
      <c r="D3170" s="8">
        <v>1.37</v>
      </c>
      <c r="E3170" s="4">
        <v>1</v>
      </c>
      <c r="F3170" s="8">
        <v>2.7</v>
      </c>
      <c r="G3170" s="4">
        <v>0</v>
      </c>
      <c r="H3170" s="8">
        <v>0</v>
      </c>
      <c r="I3170" s="4">
        <v>0</v>
      </c>
    </row>
    <row r="3171" spans="1:9" x14ac:dyDescent="0.2">
      <c r="A3171" s="2">
        <v>15</v>
      </c>
      <c r="B3171" s="1" t="s">
        <v>303</v>
      </c>
      <c r="C3171" s="4">
        <v>1</v>
      </c>
      <c r="D3171" s="8">
        <v>1.37</v>
      </c>
      <c r="E3171" s="4">
        <v>1</v>
      </c>
      <c r="F3171" s="8">
        <v>2.7</v>
      </c>
      <c r="G3171" s="4">
        <v>0</v>
      </c>
      <c r="H3171" s="8">
        <v>0</v>
      </c>
      <c r="I3171" s="4">
        <v>0</v>
      </c>
    </row>
    <row r="3172" spans="1:9" x14ac:dyDescent="0.2">
      <c r="A3172" s="2">
        <v>15</v>
      </c>
      <c r="B3172" s="1" t="s">
        <v>317</v>
      </c>
      <c r="C3172" s="4">
        <v>1</v>
      </c>
      <c r="D3172" s="8">
        <v>1.37</v>
      </c>
      <c r="E3172" s="4">
        <v>1</v>
      </c>
      <c r="F3172" s="8">
        <v>2.7</v>
      </c>
      <c r="G3172" s="4">
        <v>0</v>
      </c>
      <c r="H3172" s="8">
        <v>0</v>
      </c>
      <c r="I3172" s="4">
        <v>0</v>
      </c>
    </row>
    <row r="3173" spans="1:9" x14ac:dyDescent="0.2">
      <c r="A3173" s="2">
        <v>15</v>
      </c>
      <c r="B3173" s="1" t="s">
        <v>312</v>
      </c>
      <c r="C3173" s="4">
        <v>1</v>
      </c>
      <c r="D3173" s="8">
        <v>1.37</v>
      </c>
      <c r="E3173" s="4">
        <v>1</v>
      </c>
      <c r="F3173" s="8">
        <v>2.7</v>
      </c>
      <c r="G3173" s="4">
        <v>0</v>
      </c>
      <c r="H3173" s="8">
        <v>0</v>
      </c>
      <c r="I3173" s="4">
        <v>0</v>
      </c>
    </row>
    <row r="3174" spans="1:9" x14ac:dyDescent="0.2">
      <c r="A3174" s="2">
        <v>15</v>
      </c>
      <c r="B3174" s="1" t="s">
        <v>306</v>
      </c>
      <c r="C3174" s="4">
        <v>1</v>
      </c>
      <c r="D3174" s="8">
        <v>1.37</v>
      </c>
      <c r="E3174" s="4">
        <v>1</v>
      </c>
      <c r="F3174" s="8">
        <v>2.7</v>
      </c>
      <c r="G3174" s="4">
        <v>0</v>
      </c>
      <c r="H3174" s="8">
        <v>0</v>
      </c>
      <c r="I3174" s="4">
        <v>0</v>
      </c>
    </row>
    <row r="3175" spans="1:9" x14ac:dyDescent="0.2">
      <c r="A3175" s="2">
        <v>15</v>
      </c>
      <c r="B3175" s="1" t="s">
        <v>347</v>
      </c>
      <c r="C3175" s="4">
        <v>1</v>
      </c>
      <c r="D3175" s="8">
        <v>1.37</v>
      </c>
      <c r="E3175" s="4">
        <v>0</v>
      </c>
      <c r="F3175" s="8">
        <v>0</v>
      </c>
      <c r="G3175" s="4">
        <v>1</v>
      </c>
      <c r="H3175" s="8">
        <v>3.33</v>
      </c>
      <c r="I3175" s="4">
        <v>0</v>
      </c>
    </row>
    <row r="3176" spans="1:9" x14ac:dyDescent="0.2">
      <c r="A3176" s="2">
        <v>15</v>
      </c>
      <c r="B3176" s="1" t="s">
        <v>371</v>
      </c>
      <c r="C3176" s="4">
        <v>1</v>
      </c>
      <c r="D3176" s="8">
        <v>1.37</v>
      </c>
      <c r="E3176" s="4">
        <v>0</v>
      </c>
      <c r="F3176" s="8">
        <v>0</v>
      </c>
      <c r="G3176" s="4">
        <v>1</v>
      </c>
      <c r="H3176" s="8">
        <v>3.33</v>
      </c>
      <c r="I3176" s="4">
        <v>0</v>
      </c>
    </row>
    <row r="3177" spans="1:9" x14ac:dyDescent="0.2">
      <c r="A3177" s="2">
        <v>15</v>
      </c>
      <c r="B3177" s="1" t="s">
        <v>460</v>
      </c>
      <c r="C3177" s="4">
        <v>1</v>
      </c>
      <c r="D3177" s="8">
        <v>1.37</v>
      </c>
      <c r="E3177" s="4">
        <v>0</v>
      </c>
      <c r="F3177" s="8">
        <v>0</v>
      </c>
      <c r="G3177" s="4">
        <v>0</v>
      </c>
      <c r="H3177" s="8">
        <v>0</v>
      </c>
      <c r="I3177" s="4">
        <v>1</v>
      </c>
    </row>
    <row r="3178" spans="1:9" x14ac:dyDescent="0.2">
      <c r="A3178" s="2">
        <v>15</v>
      </c>
      <c r="B3178" s="1" t="s">
        <v>348</v>
      </c>
      <c r="C3178" s="4">
        <v>1</v>
      </c>
      <c r="D3178" s="8">
        <v>1.37</v>
      </c>
      <c r="E3178" s="4">
        <v>0</v>
      </c>
      <c r="F3178" s="8">
        <v>0</v>
      </c>
      <c r="G3178" s="4">
        <v>1</v>
      </c>
      <c r="H3178" s="8">
        <v>3.33</v>
      </c>
      <c r="I3178" s="4">
        <v>0</v>
      </c>
    </row>
    <row r="3179" spans="1:9" x14ac:dyDescent="0.2">
      <c r="A3179" s="2">
        <v>15</v>
      </c>
      <c r="B3179" s="1" t="s">
        <v>318</v>
      </c>
      <c r="C3179" s="4">
        <v>1</v>
      </c>
      <c r="D3179" s="8">
        <v>1.37</v>
      </c>
      <c r="E3179" s="4">
        <v>0</v>
      </c>
      <c r="F3179" s="8">
        <v>0</v>
      </c>
      <c r="G3179" s="4">
        <v>1</v>
      </c>
      <c r="H3179" s="8">
        <v>3.33</v>
      </c>
      <c r="I3179" s="4">
        <v>0</v>
      </c>
    </row>
    <row r="3180" spans="1:9" x14ac:dyDescent="0.2">
      <c r="A3180" s="1"/>
      <c r="C3180" s="4"/>
      <c r="D3180" s="8"/>
      <c r="E3180" s="4"/>
      <c r="F3180" s="8"/>
      <c r="G3180" s="4"/>
      <c r="H3180" s="8"/>
      <c r="I3180" s="4"/>
    </row>
    <row r="3181" spans="1:9" x14ac:dyDescent="0.2">
      <c r="A3181" s="1" t="s">
        <v>108</v>
      </c>
      <c r="C3181" s="4"/>
      <c r="D3181" s="8"/>
      <c r="E3181" s="4"/>
      <c r="F3181" s="8"/>
      <c r="G3181" s="4"/>
      <c r="H3181" s="8"/>
      <c r="I3181" s="4"/>
    </row>
    <row r="3182" spans="1:9" x14ac:dyDescent="0.2">
      <c r="A3182" s="2">
        <v>1</v>
      </c>
      <c r="B3182" s="1" t="s">
        <v>339</v>
      </c>
      <c r="C3182" s="4">
        <v>4</v>
      </c>
      <c r="D3182" s="8">
        <v>7.27</v>
      </c>
      <c r="E3182" s="4">
        <v>1</v>
      </c>
      <c r="F3182" s="8">
        <v>4.3499999999999996</v>
      </c>
      <c r="G3182" s="4">
        <v>3</v>
      </c>
      <c r="H3182" s="8">
        <v>13.64</v>
      </c>
      <c r="I3182" s="4">
        <v>0</v>
      </c>
    </row>
    <row r="3183" spans="1:9" x14ac:dyDescent="0.2">
      <c r="A3183" s="2">
        <v>1</v>
      </c>
      <c r="B3183" s="1" t="s">
        <v>334</v>
      </c>
      <c r="C3183" s="4">
        <v>4</v>
      </c>
      <c r="D3183" s="8">
        <v>7.27</v>
      </c>
      <c r="E3183" s="4">
        <v>2</v>
      </c>
      <c r="F3183" s="8">
        <v>8.6999999999999993</v>
      </c>
      <c r="G3183" s="4">
        <v>2</v>
      </c>
      <c r="H3183" s="8">
        <v>9.09</v>
      </c>
      <c r="I3183" s="4">
        <v>0</v>
      </c>
    </row>
    <row r="3184" spans="1:9" x14ac:dyDescent="0.2">
      <c r="A3184" s="2">
        <v>3</v>
      </c>
      <c r="B3184" s="1" t="s">
        <v>303</v>
      </c>
      <c r="C3184" s="4">
        <v>3</v>
      </c>
      <c r="D3184" s="8">
        <v>5.45</v>
      </c>
      <c r="E3184" s="4">
        <v>3</v>
      </c>
      <c r="F3184" s="8">
        <v>13.04</v>
      </c>
      <c r="G3184" s="4">
        <v>0</v>
      </c>
      <c r="H3184" s="8">
        <v>0</v>
      </c>
      <c r="I3184" s="4">
        <v>0</v>
      </c>
    </row>
    <row r="3185" spans="1:9" x14ac:dyDescent="0.2">
      <c r="A3185" s="2">
        <v>3</v>
      </c>
      <c r="B3185" s="1" t="s">
        <v>341</v>
      </c>
      <c r="C3185" s="4">
        <v>3</v>
      </c>
      <c r="D3185" s="8">
        <v>5.45</v>
      </c>
      <c r="E3185" s="4">
        <v>0</v>
      </c>
      <c r="F3185" s="8">
        <v>0</v>
      </c>
      <c r="G3185" s="4">
        <v>0</v>
      </c>
      <c r="H3185" s="8">
        <v>0</v>
      </c>
      <c r="I3185" s="4">
        <v>0</v>
      </c>
    </row>
    <row r="3186" spans="1:9" x14ac:dyDescent="0.2">
      <c r="A3186" s="2">
        <v>3</v>
      </c>
      <c r="B3186" s="1" t="s">
        <v>307</v>
      </c>
      <c r="C3186" s="4">
        <v>3</v>
      </c>
      <c r="D3186" s="8">
        <v>5.45</v>
      </c>
      <c r="E3186" s="4">
        <v>2</v>
      </c>
      <c r="F3186" s="8">
        <v>8.6999999999999993</v>
      </c>
      <c r="G3186" s="4">
        <v>1</v>
      </c>
      <c r="H3186" s="8">
        <v>4.55</v>
      </c>
      <c r="I3186" s="4">
        <v>0</v>
      </c>
    </row>
    <row r="3187" spans="1:9" x14ac:dyDescent="0.2">
      <c r="A3187" s="2">
        <v>6</v>
      </c>
      <c r="B3187" s="1" t="s">
        <v>358</v>
      </c>
      <c r="C3187" s="4">
        <v>2</v>
      </c>
      <c r="D3187" s="8">
        <v>3.64</v>
      </c>
      <c r="E3187" s="4">
        <v>1</v>
      </c>
      <c r="F3187" s="8">
        <v>4.3499999999999996</v>
      </c>
      <c r="G3187" s="4">
        <v>1</v>
      </c>
      <c r="H3187" s="8">
        <v>4.55</v>
      </c>
      <c r="I3187" s="4">
        <v>0</v>
      </c>
    </row>
    <row r="3188" spans="1:9" x14ac:dyDescent="0.2">
      <c r="A3188" s="2">
        <v>6</v>
      </c>
      <c r="B3188" s="1" t="s">
        <v>330</v>
      </c>
      <c r="C3188" s="4">
        <v>2</v>
      </c>
      <c r="D3188" s="8">
        <v>3.64</v>
      </c>
      <c r="E3188" s="4">
        <v>0</v>
      </c>
      <c r="F3188" s="8">
        <v>0</v>
      </c>
      <c r="G3188" s="4">
        <v>2</v>
      </c>
      <c r="H3188" s="8">
        <v>9.09</v>
      </c>
      <c r="I3188" s="4">
        <v>0</v>
      </c>
    </row>
    <row r="3189" spans="1:9" x14ac:dyDescent="0.2">
      <c r="A3189" s="2">
        <v>6</v>
      </c>
      <c r="B3189" s="1" t="s">
        <v>299</v>
      </c>
      <c r="C3189" s="4">
        <v>2</v>
      </c>
      <c r="D3189" s="8">
        <v>3.64</v>
      </c>
      <c r="E3189" s="4">
        <v>0</v>
      </c>
      <c r="F3189" s="8">
        <v>0</v>
      </c>
      <c r="G3189" s="4">
        <v>2</v>
      </c>
      <c r="H3189" s="8">
        <v>9.09</v>
      </c>
      <c r="I3189" s="4">
        <v>0</v>
      </c>
    </row>
    <row r="3190" spans="1:9" x14ac:dyDescent="0.2">
      <c r="A3190" s="2">
        <v>6</v>
      </c>
      <c r="B3190" s="1" t="s">
        <v>340</v>
      </c>
      <c r="C3190" s="4">
        <v>2</v>
      </c>
      <c r="D3190" s="8">
        <v>3.64</v>
      </c>
      <c r="E3190" s="4">
        <v>0</v>
      </c>
      <c r="F3190" s="8">
        <v>0</v>
      </c>
      <c r="G3190" s="4">
        <v>0</v>
      </c>
      <c r="H3190" s="8">
        <v>0</v>
      </c>
      <c r="I3190" s="4">
        <v>0</v>
      </c>
    </row>
    <row r="3191" spans="1:9" x14ac:dyDescent="0.2">
      <c r="A3191" s="2">
        <v>6</v>
      </c>
      <c r="B3191" s="1" t="s">
        <v>312</v>
      </c>
      <c r="C3191" s="4">
        <v>2</v>
      </c>
      <c r="D3191" s="8">
        <v>3.64</v>
      </c>
      <c r="E3191" s="4">
        <v>1</v>
      </c>
      <c r="F3191" s="8">
        <v>4.3499999999999996</v>
      </c>
      <c r="G3191" s="4">
        <v>0</v>
      </c>
      <c r="H3191" s="8">
        <v>0</v>
      </c>
      <c r="I3191" s="4">
        <v>0</v>
      </c>
    </row>
    <row r="3192" spans="1:9" x14ac:dyDescent="0.2">
      <c r="A3192" s="2">
        <v>11</v>
      </c>
      <c r="B3192" s="1" t="s">
        <v>375</v>
      </c>
      <c r="C3192" s="4">
        <v>1</v>
      </c>
      <c r="D3192" s="8">
        <v>1.82</v>
      </c>
      <c r="E3192" s="4">
        <v>0</v>
      </c>
      <c r="F3192" s="8">
        <v>0</v>
      </c>
      <c r="G3192" s="4">
        <v>1</v>
      </c>
      <c r="H3192" s="8">
        <v>4.55</v>
      </c>
      <c r="I3192" s="4">
        <v>0</v>
      </c>
    </row>
    <row r="3193" spans="1:9" x14ac:dyDescent="0.2">
      <c r="A3193" s="2">
        <v>11</v>
      </c>
      <c r="B3193" s="1" t="s">
        <v>290</v>
      </c>
      <c r="C3193" s="4">
        <v>1</v>
      </c>
      <c r="D3193" s="8">
        <v>1.82</v>
      </c>
      <c r="E3193" s="4">
        <v>1</v>
      </c>
      <c r="F3193" s="8">
        <v>4.3499999999999996</v>
      </c>
      <c r="G3193" s="4">
        <v>0</v>
      </c>
      <c r="H3193" s="8">
        <v>0</v>
      </c>
      <c r="I3193" s="4">
        <v>0</v>
      </c>
    </row>
    <row r="3194" spans="1:9" x14ac:dyDescent="0.2">
      <c r="A3194" s="2">
        <v>11</v>
      </c>
      <c r="B3194" s="1" t="s">
        <v>413</v>
      </c>
      <c r="C3194" s="4">
        <v>1</v>
      </c>
      <c r="D3194" s="8">
        <v>1.82</v>
      </c>
      <c r="E3194" s="4">
        <v>0</v>
      </c>
      <c r="F3194" s="8">
        <v>0</v>
      </c>
      <c r="G3194" s="4">
        <v>1</v>
      </c>
      <c r="H3194" s="8">
        <v>4.55</v>
      </c>
      <c r="I3194" s="4">
        <v>0</v>
      </c>
    </row>
    <row r="3195" spans="1:9" x14ac:dyDescent="0.2">
      <c r="A3195" s="2">
        <v>11</v>
      </c>
      <c r="B3195" s="1" t="s">
        <v>461</v>
      </c>
      <c r="C3195" s="4">
        <v>1</v>
      </c>
      <c r="D3195" s="8">
        <v>1.82</v>
      </c>
      <c r="E3195" s="4">
        <v>0</v>
      </c>
      <c r="F3195" s="8">
        <v>0</v>
      </c>
      <c r="G3195" s="4">
        <v>1</v>
      </c>
      <c r="H3195" s="8">
        <v>4.55</v>
      </c>
      <c r="I3195" s="4">
        <v>0</v>
      </c>
    </row>
    <row r="3196" spans="1:9" x14ac:dyDescent="0.2">
      <c r="A3196" s="2">
        <v>11</v>
      </c>
      <c r="B3196" s="1" t="s">
        <v>399</v>
      </c>
      <c r="C3196" s="4">
        <v>1</v>
      </c>
      <c r="D3196" s="8">
        <v>1.82</v>
      </c>
      <c r="E3196" s="4">
        <v>0</v>
      </c>
      <c r="F3196" s="8">
        <v>0</v>
      </c>
      <c r="G3196" s="4">
        <v>1</v>
      </c>
      <c r="H3196" s="8">
        <v>4.55</v>
      </c>
      <c r="I3196" s="4">
        <v>0</v>
      </c>
    </row>
    <row r="3197" spans="1:9" x14ac:dyDescent="0.2">
      <c r="A3197" s="2">
        <v>11</v>
      </c>
      <c r="B3197" s="1" t="s">
        <v>414</v>
      </c>
      <c r="C3197" s="4">
        <v>1</v>
      </c>
      <c r="D3197" s="8">
        <v>1.82</v>
      </c>
      <c r="E3197" s="4">
        <v>1</v>
      </c>
      <c r="F3197" s="8">
        <v>4.3499999999999996</v>
      </c>
      <c r="G3197" s="4">
        <v>0</v>
      </c>
      <c r="H3197" s="8">
        <v>0</v>
      </c>
      <c r="I3197" s="4">
        <v>0</v>
      </c>
    </row>
    <row r="3198" spans="1:9" x14ac:dyDescent="0.2">
      <c r="A3198" s="2">
        <v>11</v>
      </c>
      <c r="B3198" s="1" t="s">
        <v>361</v>
      </c>
      <c r="C3198" s="4">
        <v>1</v>
      </c>
      <c r="D3198" s="8">
        <v>1.82</v>
      </c>
      <c r="E3198" s="4">
        <v>0</v>
      </c>
      <c r="F3198" s="8">
        <v>0</v>
      </c>
      <c r="G3198" s="4">
        <v>0</v>
      </c>
      <c r="H3198" s="8">
        <v>0</v>
      </c>
      <c r="I3198" s="4">
        <v>0</v>
      </c>
    </row>
    <row r="3199" spans="1:9" x14ac:dyDescent="0.2">
      <c r="A3199" s="2">
        <v>11</v>
      </c>
      <c r="B3199" s="1" t="s">
        <v>407</v>
      </c>
      <c r="C3199" s="4">
        <v>1</v>
      </c>
      <c r="D3199" s="8">
        <v>1.82</v>
      </c>
      <c r="E3199" s="4">
        <v>0</v>
      </c>
      <c r="F3199" s="8">
        <v>0</v>
      </c>
      <c r="G3199" s="4">
        <v>0</v>
      </c>
      <c r="H3199" s="8">
        <v>0</v>
      </c>
      <c r="I3199" s="4">
        <v>0</v>
      </c>
    </row>
    <row r="3200" spans="1:9" x14ac:dyDescent="0.2">
      <c r="A3200" s="2">
        <v>11</v>
      </c>
      <c r="B3200" s="1" t="s">
        <v>487</v>
      </c>
      <c r="C3200" s="4">
        <v>1</v>
      </c>
      <c r="D3200" s="8">
        <v>1.82</v>
      </c>
      <c r="E3200" s="4">
        <v>1</v>
      </c>
      <c r="F3200" s="8">
        <v>4.3499999999999996</v>
      </c>
      <c r="G3200" s="4">
        <v>0</v>
      </c>
      <c r="H3200" s="8">
        <v>0</v>
      </c>
      <c r="I3200" s="4">
        <v>0</v>
      </c>
    </row>
    <row r="3201" spans="1:9" x14ac:dyDescent="0.2">
      <c r="A3201" s="2">
        <v>11</v>
      </c>
      <c r="B3201" s="1" t="s">
        <v>336</v>
      </c>
      <c r="C3201" s="4">
        <v>1</v>
      </c>
      <c r="D3201" s="8">
        <v>1.82</v>
      </c>
      <c r="E3201" s="4">
        <v>0</v>
      </c>
      <c r="F3201" s="8">
        <v>0</v>
      </c>
      <c r="G3201" s="4">
        <v>1</v>
      </c>
      <c r="H3201" s="8">
        <v>4.55</v>
      </c>
      <c r="I3201" s="4">
        <v>0</v>
      </c>
    </row>
    <row r="3202" spans="1:9" x14ac:dyDescent="0.2">
      <c r="A3202" s="2">
        <v>11</v>
      </c>
      <c r="B3202" s="1" t="s">
        <v>329</v>
      </c>
      <c r="C3202" s="4">
        <v>1</v>
      </c>
      <c r="D3202" s="8">
        <v>1.82</v>
      </c>
      <c r="E3202" s="4">
        <v>1</v>
      </c>
      <c r="F3202" s="8">
        <v>4.3499999999999996</v>
      </c>
      <c r="G3202" s="4">
        <v>0</v>
      </c>
      <c r="H3202" s="8">
        <v>0</v>
      </c>
      <c r="I3202" s="4">
        <v>0</v>
      </c>
    </row>
    <row r="3203" spans="1:9" x14ac:dyDescent="0.2">
      <c r="A3203" s="2">
        <v>11</v>
      </c>
      <c r="B3203" s="1" t="s">
        <v>337</v>
      </c>
      <c r="C3203" s="4">
        <v>1</v>
      </c>
      <c r="D3203" s="8">
        <v>1.82</v>
      </c>
      <c r="E3203" s="4">
        <v>1</v>
      </c>
      <c r="F3203" s="8">
        <v>4.3499999999999996</v>
      </c>
      <c r="G3203" s="4">
        <v>0</v>
      </c>
      <c r="H3203" s="8">
        <v>0</v>
      </c>
      <c r="I3203" s="4">
        <v>0</v>
      </c>
    </row>
    <row r="3204" spans="1:9" x14ac:dyDescent="0.2">
      <c r="A3204" s="2">
        <v>11</v>
      </c>
      <c r="B3204" s="1" t="s">
        <v>295</v>
      </c>
      <c r="C3204" s="4">
        <v>1</v>
      </c>
      <c r="D3204" s="8">
        <v>1.82</v>
      </c>
      <c r="E3204" s="4">
        <v>1</v>
      </c>
      <c r="F3204" s="8">
        <v>4.3499999999999996</v>
      </c>
      <c r="G3204" s="4">
        <v>0</v>
      </c>
      <c r="H3204" s="8">
        <v>0</v>
      </c>
      <c r="I3204" s="4">
        <v>0</v>
      </c>
    </row>
    <row r="3205" spans="1:9" x14ac:dyDescent="0.2">
      <c r="A3205" s="2">
        <v>11</v>
      </c>
      <c r="B3205" s="1" t="s">
        <v>488</v>
      </c>
      <c r="C3205" s="4">
        <v>1</v>
      </c>
      <c r="D3205" s="8">
        <v>1.82</v>
      </c>
      <c r="E3205" s="4">
        <v>0</v>
      </c>
      <c r="F3205" s="8">
        <v>0</v>
      </c>
      <c r="G3205" s="4">
        <v>1</v>
      </c>
      <c r="H3205" s="8">
        <v>4.55</v>
      </c>
      <c r="I3205" s="4">
        <v>0</v>
      </c>
    </row>
    <row r="3206" spans="1:9" x14ac:dyDescent="0.2">
      <c r="A3206" s="2">
        <v>11</v>
      </c>
      <c r="B3206" s="1" t="s">
        <v>297</v>
      </c>
      <c r="C3206" s="4">
        <v>1</v>
      </c>
      <c r="D3206" s="8">
        <v>1.82</v>
      </c>
      <c r="E3206" s="4">
        <v>0</v>
      </c>
      <c r="F3206" s="8">
        <v>0</v>
      </c>
      <c r="G3206" s="4">
        <v>0</v>
      </c>
      <c r="H3206" s="8">
        <v>0</v>
      </c>
      <c r="I3206" s="4">
        <v>0</v>
      </c>
    </row>
    <row r="3207" spans="1:9" x14ac:dyDescent="0.2">
      <c r="A3207" s="2">
        <v>11</v>
      </c>
      <c r="B3207" s="1" t="s">
        <v>396</v>
      </c>
      <c r="C3207" s="4">
        <v>1</v>
      </c>
      <c r="D3207" s="8">
        <v>1.82</v>
      </c>
      <c r="E3207" s="4">
        <v>0</v>
      </c>
      <c r="F3207" s="8">
        <v>0</v>
      </c>
      <c r="G3207" s="4">
        <v>1</v>
      </c>
      <c r="H3207" s="8">
        <v>4.55</v>
      </c>
      <c r="I3207" s="4">
        <v>0</v>
      </c>
    </row>
    <row r="3208" spans="1:9" x14ac:dyDescent="0.2">
      <c r="A3208" s="2">
        <v>11</v>
      </c>
      <c r="B3208" s="1" t="s">
        <v>315</v>
      </c>
      <c r="C3208" s="4">
        <v>1</v>
      </c>
      <c r="D3208" s="8">
        <v>1.82</v>
      </c>
      <c r="E3208" s="4">
        <v>1</v>
      </c>
      <c r="F3208" s="8">
        <v>4.3499999999999996</v>
      </c>
      <c r="G3208" s="4">
        <v>0</v>
      </c>
      <c r="H3208" s="8">
        <v>0</v>
      </c>
      <c r="I3208" s="4">
        <v>0</v>
      </c>
    </row>
    <row r="3209" spans="1:9" x14ac:dyDescent="0.2">
      <c r="A3209" s="2">
        <v>11</v>
      </c>
      <c r="B3209" s="1" t="s">
        <v>429</v>
      </c>
      <c r="C3209" s="4">
        <v>1</v>
      </c>
      <c r="D3209" s="8">
        <v>1.82</v>
      </c>
      <c r="E3209" s="4">
        <v>0</v>
      </c>
      <c r="F3209" s="8">
        <v>0</v>
      </c>
      <c r="G3209" s="4">
        <v>1</v>
      </c>
      <c r="H3209" s="8">
        <v>4.55</v>
      </c>
      <c r="I3209" s="4">
        <v>0</v>
      </c>
    </row>
    <row r="3210" spans="1:9" x14ac:dyDescent="0.2">
      <c r="A3210" s="2">
        <v>11</v>
      </c>
      <c r="B3210" s="1" t="s">
        <v>422</v>
      </c>
      <c r="C3210" s="4">
        <v>1</v>
      </c>
      <c r="D3210" s="8">
        <v>1.82</v>
      </c>
      <c r="E3210" s="4">
        <v>0</v>
      </c>
      <c r="F3210" s="8">
        <v>0</v>
      </c>
      <c r="G3210" s="4">
        <v>1</v>
      </c>
      <c r="H3210" s="8">
        <v>4.55</v>
      </c>
      <c r="I3210" s="4">
        <v>0</v>
      </c>
    </row>
    <row r="3211" spans="1:9" x14ac:dyDescent="0.2">
      <c r="A3211" s="2">
        <v>11</v>
      </c>
      <c r="B3211" s="1" t="s">
        <v>419</v>
      </c>
      <c r="C3211" s="4">
        <v>1</v>
      </c>
      <c r="D3211" s="8">
        <v>1.82</v>
      </c>
      <c r="E3211" s="4">
        <v>1</v>
      </c>
      <c r="F3211" s="8">
        <v>4.3499999999999996</v>
      </c>
      <c r="G3211" s="4">
        <v>0</v>
      </c>
      <c r="H3211" s="8">
        <v>0</v>
      </c>
      <c r="I3211" s="4">
        <v>0</v>
      </c>
    </row>
    <row r="3212" spans="1:9" x14ac:dyDescent="0.2">
      <c r="A3212" s="2">
        <v>11</v>
      </c>
      <c r="B3212" s="1" t="s">
        <v>349</v>
      </c>
      <c r="C3212" s="4">
        <v>1</v>
      </c>
      <c r="D3212" s="8">
        <v>1.82</v>
      </c>
      <c r="E3212" s="4">
        <v>0</v>
      </c>
      <c r="F3212" s="8">
        <v>0</v>
      </c>
      <c r="G3212" s="4">
        <v>1</v>
      </c>
      <c r="H3212" s="8">
        <v>4.55</v>
      </c>
      <c r="I3212" s="4">
        <v>0</v>
      </c>
    </row>
    <row r="3213" spans="1:9" x14ac:dyDescent="0.2">
      <c r="A3213" s="2">
        <v>11</v>
      </c>
      <c r="B3213" s="1" t="s">
        <v>302</v>
      </c>
      <c r="C3213" s="4">
        <v>1</v>
      </c>
      <c r="D3213" s="8">
        <v>1.82</v>
      </c>
      <c r="E3213" s="4">
        <v>1</v>
      </c>
      <c r="F3213" s="8">
        <v>4.3499999999999996</v>
      </c>
      <c r="G3213" s="4">
        <v>0</v>
      </c>
      <c r="H3213" s="8">
        <v>0</v>
      </c>
      <c r="I3213" s="4">
        <v>0</v>
      </c>
    </row>
    <row r="3214" spans="1:9" x14ac:dyDescent="0.2">
      <c r="A3214" s="2">
        <v>11</v>
      </c>
      <c r="B3214" s="1" t="s">
        <v>390</v>
      </c>
      <c r="C3214" s="4">
        <v>1</v>
      </c>
      <c r="D3214" s="8">
        <v>1.82</v>
      </c>
      <c r="E3214" s="4">
        <v>1</v>
      </c>
      <c r="F3214" s="8">
        <v>4.3499999999999996</v>
      </c>
      <c r="G3214" s="4">
        <v>0</v>
      </c>
      <c r="H3214" s="8">
        <v>0</v>
      </c>
      <c r="I3214" s="4">
        <v>0</v>
      </c>
    </row>
    <row r="3215" spans="1:9" x14ac:dyDescent="0.2">
      <c r="A3215" s="2">
        <v>11</v>
      </c>
      <c r="B3215" s="1" t="s">
        <v>423</v>
      </c>
      <c r="C3215" s="4">
        <v>1</v>
      </c>
      <c r="D3215" s="8">
        <v>1.82</v>
      </c>
      <c r="E3215" s="4">
        <v>1</v>
      </c>
      <c r="F3215" s="8">
        <v>4.3499999999999996</v>
      </c>
      <c r="G3215" s="4">
        <v>0</v>
      </c>
      <c r="H3215" s="8">
        <v>0</v>
      </c>
      <c r="I3215" s="4">
        <v>0</v>
      </c>
    </row>
    <row r="3216" spans="1:9" x14ac:dyDescent="0.2">
      <c r="A3216" s="2">
        <v>11</v>
      </c>
      <c r="B3216" s="1" t="s">
        <v>317</v>
      </c>
      <c r="C3216" s="4">
        <v>1</v>
      </c>
      <c r="D3216" s="8">
        <v>1.82</v>
      </c>
      <c r="E3216" s="4">
        <v>1</v>
      </c>
      <c r="F3216" s="8">
        <v>4.3499999999999996</v>
      </c>
      <c r="G3216" s="4">
        <v>0</v>
      </c>
      <c r="H3216" s="8">
        <v>0</v>
      </c>
      <c r="I3216" s="4">
        <v>0</v>
      </c>
    </row>
    <row r="3217" spans="1:9" x14ac:dyDescent="0.2">
      <c r="A3217" s="2">
        <v>11</v>
      </c>
      <c r="B3217" s="1" t="s">
        <v>459</v>
      </c>
      <c r="C3217" s="4">
        <v>1</v>
      </c>
      <c r="D3217" s="8">
        <v>1.82</v>
      </c>
      <c r="E3217" s="4">
        <v>1</v>
      </c>
      <c r="F3217" s="8">
        <v>4.3499999999999996</v>
      </c>
      <c r="G3217" s="4">
        <v>0</v>
      </c>
      <c r="H3217" s="8">
        <v>0</v>
      </c>
      <c r="I3217" s="4">
        <v>0</v>
      </c>
    </row>
    <row r="3218" spans="1:9" x14ac:dyDescent="0.2">
      <c r="A3218" s="2">
        <v>11</v>
      </c>
      <c r="B3218" s="1" t="s">
        <v>331</v>
      </c>
      <c r="C3218" s="4">
        <v>1</v>
      </c>
      <c r="D3218" s="8">
        <v>1.82</v>
      </c>
      <c r="E3218" s="4">
        <v>0</v>
      </c>
      <c r="F3218" s="8">
        <v>0</v>
      </c>
      <c r="G3218" s="4">
        <v>0</v>
      </c>
      <c r="H3218" s="8">
        <v>0</v>
      </c>
      <c r="I3218" s="4">
        <v>0</v>
      </c>
    </row>
    <row r="3219" spans="1:9" x14ac:dyDescent="0.2">
      <c r="A3219" s="2">
        <v>11</v>
      </c>
      <c r="B3219" s="1" t="s">
        <v>370</v>
      </c>
      <c r="C3219" s="4">
        <v>1</v>
      </c>
      <c r="D3219" s="8">
        <v>1.82</v>
      </c>
      <c r="E3219" s="4">
        <v>0</v>
      </c>
      <c r="F3219" s="8">
        <v>0</v>
      </c>
      <c r="G3219" s="4">
        <v>1</v>
      </c>
      <c r="H3219" s="8">
        <v>4.55</v>
      </c>
      <c r="I3219" s="4">
        <v>0</v>
      </c>
    </row>
    <row r="3220" spans="1:9" x14ac:dyDescent="0.2">
      <c r="A3220" s="1"/>
      <c r="C3220" s="4"/>
      <c r="D3220" s="8"/>
      <c r="E3220" s="4"/>
      <c r="F3220" s="8"/>
      <c r="G3220" s="4"/>
      <c r="H3220" s="8"/>
      <c r="I3220" s="4"/>
    </row>
    <row r="3221" spans="1:9" x14ac:dyDescent="0.2">
      <c r="A3221" s="1" t="s">
        <v>109</v>
      </c>
      <c r="C3221" s="4"/>
      <c r="D3221" s="8"/>
      <c r="E3221" s="4"/>
      <c r="F3221" s="8"/>
      <c r="G3221" s="4"/>
      <c r="H3221" s="8"/>
      <c r="I3221" s="4"/>
    </row>
    <row r="3222" spans="1:9" x14ac:dyDescent="0.2">
      <c r="A3222" s="2">
        <v>1</v>
      </c>
      <c r="B3222" s="1" t="s">
        <v>304</v>
      </c>
      <c r="C3222" s="4">
        <v>6</v>
      </c>
      <c r="D3222" s="8">
        <v>6.19</v>
      </c>
      <c r="E3222" s="4">
        <v>6</v>
      </c>
      <c r="F3222" s="8">
        <v>10.34</v>
      </c>
      <c r="G3222" s="4">
        <v>0</v>
      </c>
      <c r="H3222" s="8">
        <v>0</v>
      </c>
      <c r="I3222" s="4">
        <v>0</v>
      </c>
    </row>
    <row r="3223" spans="1:9" x14ac:dyDescent="0.2">
      <c r="A3223" s="2">
        <v>2</v>
      </c>
      <c r="B3223" s="1" t="s">
        <v>303</v>
      </c>
      <c r="C3223" s="4">
        <v>4</v>
      </c>
      <c r="D3223" s="8">
        <v>4.12</v>
      </c>
      <c r="E3223" s="4">
        <v>4</v>
      </c>
      <c r="F3223" s="8">
        <v>6.9</v>
      </c>
      <c r="G3223" s="4">
        <v>0</v>
      </c>
      <c r="H3223" s="8">
        <v>0</v>
      </c>
      <c r="I3223" s="4">
        <v>0</v>
      </c>
    </row>
    <row r="3224" spans="1:9" x14ac:dyDescent="0.2">
      <c r="A3224" s="2">
        <v>2</v>
      </c>
      <c r="B3224" s="1" t="s">
        <v>306</v>
      </c>
      <c r="C3224" s="4">
        <v>4</v>
      </c>
      <c r="D3224" s="8">
        <v>4.12</v>
      </c>
      <c r="E3224" s="4">
        <v>4</v>
      </c>
      <c r="F3224" s="8">
        <v>6.9</v>
      </c>
      <c r="G3224" s="4">
        <v>0</v>
      </c>
      <c r="H3224" s="8">
        <v>0</v>
      </c>
      <c r="I3224" s="4">
        <v>0</v>
      </c>
    </row>
    <row r="3225" spans="1:9" x14ac:dyDescent="0.2">
      <c r="A3225" s="2">
        <v>4</v>
      </c>
      <c r="B3225" s="1" t="s">
        <v>336</v>
      </c>
      <c r="C3225" s="4">
        <v>3</v>
      </c>
      <c r="D3225" s="8">
        <v>3.09</v>
      </c>
      <c r="E3225" s="4">
        <v>3</v>
      </c>
      <c r="F3225" s="8">
        <v>5.17</v>
      </c>
      <c r="G3225" s="4">
        <v>0</v>
      </c>
      <c r="H3225" s="8">
        <v>0</v>
      </c>
      <c r="I3225" s="4">
        <v>0</v>
      </c>
    </row>
    <row r="3226" spans="1:9" x14ac:dyDescent="0.2">
      <c r="A3226" s="2">
        <v>4</v>
      </c>
      <c r="B3226" s="1" t="s">
        <v>335</v>
      </c>
      <c r="C3226" s="4">
        <v>3</v>
      </c>
      <c r="D3226" s="8">
        <v>3.09</v>
      </c>
      <c r="E3226" s="4">
        <v>2</v>
      </c>
      <c r="F3226" s="8">
        <v>3.45</v>
      </c>
      <c r="G3226" s="4">
        <v>1</v>
      </c>
      <c r="H3226" s="8">
        <v>3.03</v>
      </c>
      <c r="I3226" s="4">
        <v>0</v>
      </c>
    </row>
    <row r="3227" spans="1:9" x14ac:dyDescent="0.2">
      <c r="A3227" s="2">
        <v>4</v>
      </c>
      <c r="B3227" s="1" t="s">
        <v>295</v>
      </c>
      <c r="C3227" s="4">
        <v>3</v>
      </c>
      <c r="D3227" s="8">
        <v>3.09</v>
      </c>
      <c r="E3227" s="4">
        <v>3</v>
      </c>
      <c r="F3227" s="8">
        <v>5.17</v>
      </c>
      <c r="G3227" s="4">
        <v>0</v>
      </c>
      <c r="H3227" s="8">
        <v>0</v>
      </c>
      <c r="I3227" s="4">
        <v>0</v>
      </c>
    </row>
    <row r="3228" spans="1:9" x14ac:dyDescent="0.2">
      <c r="A3228" s="2">
        <v>4</v>
      </c>
      <c r="B3228" s="1" t="s">
        <v>334</v>
      </c>
      <c r="C3228" s="4">
        <v>3</v>
      </c>
      <c r="D3228" s="8">
        <v>3.09</v>
      </c>
      <c r="E3228" s="4">
        <v>3</v>
      </c>
      <c r="F3228" s="8">
        <v>5.17</v>
      </c>
      <c r="G3228" s="4">
        <v>0</v>
      </c>
      <c r="H3228" s="8">
        <v>0</v>
      </c>
      <c r="I3228" s="4">
        <v>0</v>
      </c>
    </row>
    <row r="3229" spans="1:9" x14ac:dyDescent="0.2">
      <c r="A3229" s="2">
        <v>4</v>
      </c>
      <c r="B3229" s="1" t="s">
        <v>299</v>
      </c>
      <c r="C3229" s="4">
        <v>3</v>
      </c>
      <c r="D3229" s="8">
        <v>3.09</v>
      </c>
      <c r="E3229" s="4">
        <v>2</v>
      </c>
      <c r="F3229" s="8">
        <v>3.45</v>
      </c>
      <c r="G3229" s="4">
        <v>1</v>
      </c>
      <c r="H3229" s="8">
        <v>3.03</v>
      </c>
      <c r="I3229" s="4">
        <v>0</v>
      </c>
    </row>
    <row r="3230" spans="1:9" x14ac:dyDescent="0.2">
      <c r="A3230" s="2">
        <v>4</v>
      </c>
      <c r="B3230" s="1" t="s">
        <v>301</v>
      </c>
      <c r="C3230" s="4">
        <v>3</v>
      </c>
      <c r="D3230" s="8">
        <v>3.09</v>
      </c>
      <c r="E3230" s="4">
        <v>3</v>
      </c>
      <c r="F3230" s="8">
        <v>5.17</v>
      </c>
      <c r="G3230" s="4">
        <v>0</v>
      </c>
      <c r="H3230" s="8">
        <v>0</v>
      </c>
      <c r="I3230" s="4">
        <v>0</v>
      </c>
    </row>
    <row r="3231" spans="1:9" x14ac:dyDescent="0.2">
      <c r="A3231" s="2">
        <v>4</v>
      </c>
      <c r="B3231" s="1" t="s">
        <v>318</v>
      </c>
      <c r="C3231" s="4">
        <v>3</v>
      </c>
      <c r="D3231" s="8">
        <v>3.09</v>
      </c>
      <c r="E3231" s="4">
        <v>1</v>
      </c>
      <c r="F3231" s="8">
        <v>1.72</v>
      </c>
      <c r="G3231" s="4">
        <v>2</v>
      </c>
      <c r="H3231" s="8">
        <v>6.06</v>
      </c>
      <c r="I3231" s="4">
        <v>0</v>
      </c>
    </row>
    <row r="3232" spans="1:9" x14ac:dyDescent="0.2">
      <c r="A3232" s="2">
        <v>11</v>
      </c>
      <c r="B3232" s="1" t="s">
        <v>384</v>
      </c>
      <c r="C3232" s="4">
        <v>2</v>
      </c>
      <c r="D3232" s="8">
        <v>2.06</v>
      </c>
      <c r="E3232" s="4">
        <v>0</v>
      </c>
      <c r="F3232" s="8">
        <v>0</v>
      </c>
      <c r="G3232" s="4">
        <v>2</v>
      </c>
      <c r="H3232" s="8">
        <v>6.06</v>
      </c>
      <c r="I3232" s="4">
        <v>0</v>
      </c>
    </row>
    <row r="3233" spans="1:9" x14ac:dyDescent="0.2">
      <c r="A3233" s="2">
        <v>11</v>
      </c>
      <c r="B3233" s="1" t="s">
        <v>332</v>
      </c>
      <c r="C3233" s="4">
        <v>2</v>
      </c>
      <c r="D3233" s="8">
        <v>2.06</v>
      </c>
      <c r="E3233" s="4">
        <v>0</v>
      </c>
      <c r="F3233" s="8">
        <v>0</v>
      </c>
      <c r="G3233" s="4">
        <v>2</v>
      </c>
      <c r="H3233" s="8">
        <v>6.06</v>
      </c>
      <c r="I3233" s="4">
        <v>0</v>
      </c>
    </row>
    <row r="3234" spans="1:9" x14ac:dyDescent="0.2">
      <c r="A3234" s="2">
        <v>11</v>
      </c>
      <c r="B3234" s="1" t="s">
        <v>329</v>
      </c>
      <c r="C3234" s="4">
        <v>2</v>
      </c>
      <c r="D3234" s="8">
        <v>2.06</v>
      </c>
      <c r="E3234" s="4">
        <v>0</v>
      </c>
      <c r="F3234" s="8">
        <v>0</v>
      </c>
      <c r="G3234" s="4">
        <v>2</v>
      </c>
      <c r="H3234" s="8">
        <v>6.06</v>
      </c>
      <c r="I3234" s="4">
        <v>0</v>
      </c>
    </row>
    <row r="3235" spans="1:9" x14ac:dyDescent="0.2">
      <c r="A3235" s="2">
        <v>11</v>
      </c>
      <c r="B3235" s="1" t="s">
        <v>292</v>
      </c>
      <c r="C3235" s="4">
        <v>2</v>
      </c>
      <c r="D3235" s="8">
        <v>2.06</v>
      </c>
      <c r="E3235" s="4">
        <v>2</v>
      </c>
      <c r="F3235" s="8">
        <v>3.45</v>
      </c>
      <c r="G3235" s="4">
        <v>0</v>
      </c>
      <c r="H3235" s="8">
        <v>0</v>
      </c>
      <c r="I3235" s="4">
        <v>0</v>
      </c>
    </row>
    <row r="3236" spans="1:9" x14ac:dyDescent="0.2">
      <c r="A3236" s="2">
        <v>11</v>
      </c>
      <c r="B3236" s="1" t="s">
        <v>293</v>
      </c>
      <c r="C3236" s="4">
        <v>2</v>
      </c>
      <c r="D3236" s="8">
        <v>2.06</v>
      </c>
      <c r="E3236" s="4">
        <v>2</v>
      </c>
      <c r="F3236" s="8">
        <v>3.45</v>
      </c>
      <c r="G3236" s="4">
        <v>0</v>
      </c>
      <c r="H3236" s="8">
        <v>0</v>
      </c>
      <c r="I3236" s="4">
        <v>0</v>
      </c>
    </row>
    <row r="3237" spans="1:9" x14ac:dyDescent="0.2">
      <c r="A3237" s="2">
        <v>11</v>
      </c>
      <c r="B3237" s="1" t="s">
        <v>372</v>
      </c>
      <c r="C3237" s="4">
        <v>2</v>
      </c>
      <c r="D3237" s="8">
        <v>2.06</v>
      </c>
      <c r="E3237" s="4">
        <v>1</v>
      </c>
      <c r="F3237" s="8">
        <v>1.72</v>
      </c>
      <c r="G3237" s="4">
        <v>1</v>
      </c>
      <c r="H3237" s="8">
        <v>3.03</v>
      </c>
      <c r="I3237" s="4">
        <v>0</v>
      </c>
    </row>
    <row r="3238" spans="1:9" x14ac:dyDescent="0.2">
      <c r="A3238" s="2">
        <v>11</v>
      </c>
      <c r="B3238" s="1" t="s">
        <v>330</v>
      </c>
      <c r="C3238" s="4">
        <v>2</v>
      </c>
      <c r="D3238" s="8">
        <v>2.06</v>
      </c>
      <c r="E3238" s="4">
        <v>0</v>
      </c>
      <c r="F3238" s="8">
        <v>0</v>
      </c>
      <c r="G3238" s="4">
        <v>2</v>
      </c>
      <c r="H3238" s="8">
        <v>6.06</v>
      </c>
      <c r="I3238" s="4">
        <v>0</v>
      </c>
    </row>
    <row r="3239" spans="1:9" x14ac:dyDescent="0.2">
      <c r="A3239" s="2">
        <v>11</v>
      </c>
      <c r="B3239" s="1" t="s">
        <v>403</v>
      </c>
      <c r="C3239" s="4">
        <v>2</v>
      </c>
      <c r="D3239" s="8">
        <v>2.06</v>
      </c>
      <c r="E3239" s="4">
        <v>0</v>
      </c>
      <c r="F3239" s="8">
        <v>0</v>
      </c>
      <c r="G3239" s="4">
        <v>1</v>
      </c>
      <c r="H3239" s="8">
        <v>3.03</v>
      </c>
      <c r="I3239" s="4">
        <v>0</v>
      </c>
    </row>
    <row r="3240" spans="1:9" x14ac:dyDescent="0.2">
      <c r="A3240" s="2">
        <v>11</v>
      </c>
      <c r="B3240" s="1" t="s">
        <v>409</v>
      </c>
      <c r="C3240" s="4">
        <v>2</v>
      </c>
      <c r="D3240" s="8">
        <v>2.06</v>
      </c>
      <c r="E3240" s="4">
        <v>2</v>
      </c>
      <c r="F3240" s="8">
        <v>3.45</v>
      </c>
      <c r="G3240" s="4">
        <v>0</v>
      </c>
      <c r="H3240" s="8">
        <v>0</v>
      </c>
      <c r="I3240" s="4">
        <v>0</v>
      </c>
    </row>
    <row r="3241" spans="1:9" x14ac:dyDescent="0.2">
      <c r="A3241" s="2">
        <v>11</v>
      </c>
      <c r="B3241" s="1" t="s">
        <v>300</v>
      </c>
      <c r="C3241" s="4">
        <v>2</v>
      </c>
      <c r="D3241" s="8">
        <v>2.06</v>
      </c>
      <c r="E3241" s="4">
        <v>1</v>
      </c>
      <c r="F3241" s="8">
        <v>1.72</v>
      </c>
      <c r="G3241" s="4">
        <v>1</v>
      </c>
      <c r="H3241" s="8">
        <v>3.03</v>
      </c>
      <c r="I3241" s="4">
        <v>0</v>
      </c>
    </row>
    <row r="3242" spans="1:9" x14ac:dyDescent="0.2">
      <c r="A3242" s="2">
        <v>11</v>
      </c>
      <c r="B3242" s="1" t="s">
        <v>302</v>
      </c>
      <c r="C3242" s="4">
        <v>2</v>
      </c>
      <c r="D3242" s="8">
        <v>2.06</v>
      </c>
      <c r="E3242" s="4">
        <v>1</v>
      </c>
      <c r="F3242" s="8">
        <v>1.72</v>
      </c>
      <c r="G3242" s="4">
        <v>1</v>
      </c>
      <c r="H3242" s="8">
        <v>3.03</v>
      </c>
      <c r="I3242" s="4">
        <v>0</v>
      </c>
    </row>
    <row r="3243" spans="1:9" x14ac:dyDescent="0.2">
      <c r="A3243" s="2">
        <v>11</v>
      </c>
      <c r="B3243" s="1" t="s">
        <v>340</v>
      </c>
      <c r="C3243" s="4">
        <v>2</v>
      </c>
      <c r="D3243" s="8">
        <v>2.06</v>
      </c>
      <c r="E3243" s="4">
        <v>0</v>
      </c>
      <c r="F3243" s="8">
        <v>0</v>
      </c>
      <c r="G3243" s="4">
        <v>0</v>
      </c>
      <c r="H3243" s="8">
        <v>0</v>
      </c>
      <c r="I3243" s="4">
        <v>0</v>
      </c>
    </row>
    <row r="3244" spans="1:9" x14ac:dyDescent="0.2">
      <c r="A3244" s="1"/>
      <c r="C3244" s="4"/>
      <c r="D3244" s="8"/>
      <c r="E3244" s="4"/>
      <c r="F3244" s="8"/>
      <c r="G3244" s="4"/>
      <c r="H3244" s="8"/>
      <c r="I3244" s="4"/>
    </row>
    <row r="3245" spans="1:9" x14ac:dyDescent="0.2">
      <c r="A3245" s="1" t="s">
        <v>110</v>
      </c>
      <c r="C3245" s="4"/>
      <c r="D3245" s="8"/>
      <c r="E3245" s="4"/>
      <c r="F3245" s="8"/>
      <c r="G3245" s="4"/>
      <c r="H3245" s="8"/>
      <c r="I3245" s="4"/>
    </row>
    <row r="3246" spans="1:9" x14ac:dyDescent="0.2">
      <c r="A3246" s="2">
        <v>1</v>
      </c>
      <c r="B3246" s="1" t="s">
        <v>330</v>
      </c>
      <c r="C3246" s="4">
        <v>4</v>
      </c>
      <c r="D3246" s="8">
        <v>5.0599999999999996</v>
      </c>
      <c r="E3246" s="4">
        <v>1</v>
      </c>
      <c r="F3246" s="8">
        <v>2.13</v>
      </c>
      <c r="G3246" s="4">
        <v>3</v>
      </c>
      <c r="H3246" s="8">
        <v>13.64</v>
      </c>
      <c r="I3246" s="4">
        <v>0</v>
      </c>
    </row>
    <row r="3247" spans="1:9" x14ac:dyDescent="0.2">
      <c r="A3247" s="2">
        <v>2</v>
      </c>
      <c r="B3247" s="1" t="s">
        <v>337</v>
      </c>
      <c r="C3247" s="4">
        <v>3</v>
      </c>
      <c r="D3247" s="8">
        <v>3.8</v>
      </c>
      <c r="E3247" s="4">
        <v>2</v>
      </c>
      <c r="F3247" s="8">
        <v>4.26</v>
      </c>
      <c r="G3247" s="4">
        <v>1</v>
      </c>
      <c r="H3247" s="8">
        <v>4.55</v>
      </c>
      <c r="I3247" s="4">
        <v>0</v>
      </c>
    </row>
    <row r="3248" spans="1:9" x14ac:dyDescent="0.2">
      <c r="A3248" s="2">
        <v>2</v>
      </c>
      <c r="B3248" s="1" t="s">
        <v>301</v>
      </c>
      <c r="C3248" s="4">
        <v>3</v>
      </c>
      <c r="D3248" s="8">
        <v>3.8</v>
      </c>
      <c r="E3248" s="4">
        <v>3</v>
      </c>
      <c r="F3248" s="8">
        <v>6.38</v>
      </c>
      <c r="G3248" s="4">
        <v>0</v>
      </c>
      <c r="H3248" s="8">
        <v>0</v>
      </c>
      <c r="I3248" s="4">
        <v>0</v>
      </c>
    </row>
    <row r="3249" spans="1:9" x14ac:dyDescent="0.2">
      <c r="A3249" s="2">
        <v>4</v>
      </c>
      <c r="B3249" s="1" t="s">
        <v>288</v>
      </c>
      <c r="C3249" s="4">
        <v>2</v>
      </c>
      <c r="D3249" s="8">
        <v>2.5299999999999998</v>
      </c>
      <c r="E3249" s="4">
        <v>1</v>
      </c>
      <c r="F3249" s="8">
        <v>2.13</v>
      </c>
      <c r="G3249" s="4">
        <v>1</v>
      </c>
      <c r="H3249" s="8">
        <v>4.55</v>
      </c>
      <c r="I3249" s="4">
        <v>0</v>
      </c>
    </row>
    <row r="3250" spans="1:9" x14ac:dyDescent="0.2">
      <c r="A3250" s="2">
        <v>4</v>
      </c>
      <c r="B3250" s="1" t="s">
        <v>289</v>
      </c>
      <c r="C3250" s="4">
        <v>2</v>
      </c>
      <c r="D3250" s="8">
        <v>2.5299999999999998</v>
      </c>
      <c r="E3250" s="4">
        <v>0</v>
      </c>
      <c r="F3250" s="8">
        <v>0</v>
      </c>
      <c r="G3250" s="4">
        <v>2</v>
      </c>
      <c r="H3250" s="8">
        <v>9.09</v>
      </c>
      <c r="I3250" s="4">
        <v>0</v>
      </c>
    </row>
    <row r="3251" spans="1:9" x14ac:dyDescent="0.2">
      <c r="A3251" s="2">
        <v>4</v>
      </c>
      <c r="B3251" s="1" t="s">
        <v>328</v>
      </c>
      <c r="C3251" s="4">
        <v>2</v>
      </c>
      <c r="D3251" s="8">
        <v>2.5299999999999998</v>
      </c>
      <c r="E3251" s="4">
        <v>2</v>
      </c>
      <c r="F3251" s="8">
        <v>4.26</v>
      </c>
      <c r="G3251" s="4">
        <v>0</v>
      </c>
      <c r="H3251" s="8">
        <v>0</v>
      </c>
      <c r="I3251" s="4">
        <v>0</v>
      </c>
    </row>
    <row r="3252" spans="1:9" x14ac:dyDescent="0.2">
      <c r="A3252" s="2">
        <v>4</v>
      </c>
      <c r="B3252" s="1" t="s">
        <v>407</v>
      </c>
      <c r="C3252" s="4">
        <v>2</v>
      </c>
      <c r="D3252" s="8">
        <v>2.5299999999999998</v>
      </c>
      <c r="E3252" s="4">
        <v>0</v>
      </c>
      <c r="F3252" s="8">
        <v>0</v>
      </c>
      <c r="G3252" s="4">
        <v>0</v>
      </c>
      <c r="H3252" s="8">
        <v>0</v>
      </c>
      <c r="I3252" s="4">
        <v>0</v>
      </c>
    </row>
    <row r="3253" spans="1:9" x14ac:dyDescent="0.2">
      <c r="A3253" s="2">
        <v>4</v>
      </c>
      <c r="B3253" s="1" t="s">
        <v>314</v>
      </c>
      <c r="C3253" s="4">
        <v>2</v>
      </c>
      <c r="D3253" s="8">
        <v>2.5299999999999998</v>
      </c>
      <c r="E3253" s="4">
        <v>1</v>
      </c>
      <c r="F3253" s="8">
        <v>2.13</v>
      </c>
      <c r="G3253" s="4">
        <v>1</v>
      </c>
      <c r="H3253" s="8">
        <v>4.55</v>
      </c>
      <c r="I3253" s="4">
        <v>0</v>
      </c>
    </row>
    <row r="3254" spans="1:9" x14ac:dyDescent="0.2">
      <c r="A3254" s="2">
        <v>4</v>
      </c>
      <c r="B3254" s="1" t="s">
        <v>354</v>
      </c>
      <c r="C3254" s="4">
        <v>2</v>
      </c>
      <c r="D3254" s="8">
        <v>2.5299999999999998</v>
      </c>
      <c r="E3254" s="4">
        <v>2</v>
      </c>
      <c r="F3254" s="8">
        <v>4.26</v>
      </c>
      <c r="G3254" s="4">
        <v>0</v>
      </c>
      <c r="H3254" s="8">
        <v>0</v>
      </c>
      <c r="I3254" s="4">
        <v>0</v>
      </c>
    </row>
    <row r="3255" spans="1:9" x14ac:dyDescent="0.2">
      <c r="A3255" s="2">
        <v>4</v>
      </c>
      <c r="B3255" s="1" t="s">
        <v>292</v>
      </c>
      <c r="C3255" s="4">
        <v>2</v>
      </c>
      <c r="D3255" s="8">
        <v>2.5299999999999998</v>
      </c>
      <c r="E3255" s="4">
        <v>2</v>
      </c>
      <c r="F3255" s="8">
        <v>4.26</v>
      </c>
      <c r="G3255" s="4">
        <v>0</v>
      </c>
      <c r="H3255" s="8">
        <v>0</v>
      </c>
      <c r="I3255" s="4">
        <v>0</v>
      </c>
    </row>
    <row r="3256" spans="1:9" x14ac:dyDescent="0.2">
      <c r="A3256" s="2">
        <v>4</v>
      </c>
      <c r="B3256" s="1" t="s">
        <v>293</v>
      </c>
      <c r="C3256" s="4">
        <v>2</v>
      </c>
      <c r="D3256" s="8">
        <v>2.5299999999999998</v>
      </c>
      <c r="E3256" s="4">
        <v>1</v>
      </c>
      <c r="F3256" s="8">
        <v>2.13</v>
      </c>
      <c r="G3256" s="4">
        <v>1</v>
      </c>
      <c r="H3256" s="8">
        <v>4.55</v>
      </c>
      <c r="I3256" s="4">
        <v>0</v>
      </c>
    </row>
    <row r="3257" spans="1:9" x14ac:dyDescent="0.2">
      <c r="A3257" s="2">
        <v>4</v>
      </c>
      <c r="B3257" s="1" t="s">
        <v>294</v>
      </c>
      <c r="C3257" s="4">
        <v>2</v>
      </c>
      <c r="D3257" s="8">
        <v>2.5299999999999998</v>
      </c>
      <c r="E3257" s="4">
        <v>1</v>
      </c>
      <c r="F3257" s="8">
        <v>2.13</v>
      </c>
      <c r="G3257" s="4">
        <v>1</v>
      </c>
      <c r="H3257" s="8">
        <v>4.55</v>
      </c>
      <c r="I3257" s="4">
        <v>0</v>
      </c>
    </row>
    <row r="3258" spans="1:9" x14ac:dyDescent="0.2">
      <c r="A3258" s="2">
        <v>4</v>
      </c>
      <c r="B3258" s="1" t="s">
        <v>334</v>
      </c>
      <c r="C3258" s="4">
        <v>2</v>
      </c>
      <c r="D3258" s="8">
        <v>2.5299999999999998</v>
      </c>
      <c r="E3258" s="4">
        <v>2</v>
      </c>
      <c r="F3258" s="8">
        <v>4.26</v>
      </c>
      <c r="G3258" s="4">
        <v>0</v>
      </c>
      <c r="H3258" s="8">
        <v>0</v>
      </c>
      <c r="I3258" s="4">
        <v>0</v>
      </c>
    </row>
    <row r="3259" spans="1:9" x14ac:dyDescent="0.2">
      <c r="A3259" s="2">
        <v>4</v>
      </c>
      <c r="B3259" s="1" t="s">
        <v>299</v>
      </c>
      <c r="C3259" s="4">
        <v>2</v>
      </c>
      <c r="D3259" s="8">
        <v>2.5299999999999998</v>
      </c>
      <c r="E3259" s="4">
        <v>2</v>
      </c>
      <c r="F3259" s="8">
        <v>4.26</v>
      </c>
      <c r="G3259" s="4">
        <v>0</v>
      </c>
      <c r="H3259" s="8">
        <v>0</v>
      </c>
      <c r="I3259" s="4">
        <v>0</v>
      </c>
    </row>
    <row r="3260" spans="1:9" x14ac:dyDescent="0.2">
      <c r="A3260" s="2">
        <v>4</v>
      </c>
      <c r="B3260" s="1" t="s">
        <v>300</v>
      </c>
      <c r="C3260" s="4">
        <v>2</v>
      </c>
      <c r="D3260" s="8">
        <v>2.5299999999999998</v>
      </c>
      <c r="E3260" s="4">
        <v>2</v>
      </c>
      <c r="F3260" s="8">
        <v>4.26</v>
      </c>
      <c r="G3260" s="4">
        <v>0</v>
      </c>
      <c r="H3260" s="8">
        <v>0</v>
      </c>
      <c r="I3260" s="4">
        <v>0</v>
      </c>
    </row>
    <row r="3261" spans="1:9" x14ac:dyDescent="0.2">
      <c r="A3261" s="2">
        <v>4</v>
      </c>
      <c r="B3261" s="1" t="s">
        <v>302</v>
      </c>
      <c r="C3261" s="4">
        <v>2</v>
      </c>
      <c r="D3261" s="8">
        <v>2.5299999999999998</v>
      </c>
      <c r="E3261" s="4">
        <v>1</v>
      </c>
      <c r="F3261" s="8">
        <v>2.13</v>
      </c>
      <c r="G3261" s="4">
        <v>1</v>
      </c>
      <c r="H3261" s="8">
        <v>4.55</v>
      </c>
      <c r="I3261" s="4">
        <v>0</v>
      </c>
    </row>
    <row r="3262" spans="1:9" x14ac:dyDescent="0.2">
      <c r="A3262" s="2">
        <v>4</v>
      </c>
      <c r="B3262" s="1" t="s">
        <v>304</v>
      </c>
      <c r="C3262" s="4">
        <v>2</v>
      </c>
      <c r="D3262" s="8">
        <v>2.5299999999999998</v>
      </c>
      <c r="E3262" s="4">
        <v>2</v>
      </c>
      <c r="F3262" s="8">
        <v>4.26</v>
      </c>
      <c r="G3262" s="4">
        <v>0</v>
      </c>
      <c r="H3262" s="8">
        <v>0</v>
      </c>
      <c r="I3262" s="4">
        <v>0</v>
      </c>
    </row>
    <row r="3263" spans="1:9" x14ac:dyDescent="0.2">
      <c r="A3263" s="2">
        <v>4</v>
      </c>
      <c r="B3263" s="1" t="s">
        <v>305</v>
      </c>
      <c r="C3263" s="4">
        <v>2</v>
      </c>
      <c r="D3263" s="8">
        <v>2.5299999999999998</v>
      </c>
      <c r="E3263" s="4">
        <v>2</v>
      </c>
      <c r="F3263" s="8">
        <v>4.26</v>
      </c>
      <c r="G3263" s="4">
        <v>0</v>
      </c>
      <c r="H3263" s="8">
        <v>0</v>
      </c>
      <c r="I3263" s="4">
        <v>0</v>
      </c>
    </row>
    <row r="3264" spans="1:9" x14ac:dyDescent="0.2">
      <c r="A3264" s="2">
        <v>4</v>
      </c>
      <c r="B3264" s="1" t="s">
        <v>312</v>
      </c>
      <c r="C3264" s="4">
        <v>2</v>
      </c>
      <c r="D3264" s="8">
        <v>2.5299999999999998</v>
      </c>
      <c r="E3264" s="4">
        <v>1</v>
      </c>
      <c r="F3264" s="8">
        <v>2.13</v>
      </c>
      <c r="G3264" s="4">
        <v>1</v>
      </c>
      <c r="H3264" s="8">
        <v>4.55</v>
      </c>
      <c r="I3264" s="4">
        <v>0</v>
      </c>
    </row>
    <row r="3265" spans="1:9" x14ac:dyDescent="0.2">
      <c r="A3265" s="2">
        <v>4</v>
      </c>
      <c r="B3265" s="1" t="s">
        <v>306</v>
      </c>
      <c r="C3265" s="4">
        <v>2</v>
      </c>
      <c r="D3265" s="8">
        <v>2.5299999999999998</v>
      </c>
      <c r="E3265" s="4">
        <v>2</v>
      </c>
      <c r="F3265" s="8">
        <v>4.26</v>
      </c>
      <c r="G3265" s="4">
        <v>0</v>
      </c>
      <c r="H3265" s="8">
        <v>0</v>
      </c>
      <c r="I3265" s="4">
        <v>0</v>
      </c>
    </row>
    <row r="3266" spans="1:9" x14ac:dyDescent="0.2">
      <c r="A3266" s="1"/>
      <c r="C3266" s="4"/>
      <c r="D3266" s="8"/>
      <c r="E3266" s="4"/>
      <c r="F3266" s="8"/>
      <c r="G3266" s="4"/>
      <c r="H3266" s="8"/>
      <c r="I3266" s="4"/>
    </row>
    <row r="3267" spans="1:9" x14ac:dyDescent="0.2">
      <c r="A3267" s="1" t="s">
        <v>111</v>
      </c>
      <c r="C3267" s="4"/>
      <c r="D3267" s="8"/>
      <c r="E3267" s="4"/>
      <c r="F3267" s="8"/>
      <c r="G3267" s="4"/>
      <c r="H3267" s="8"/>
      <c r="I3267" s="4"/>
    </row>
    <row r="3268" spans="1:9" x14ac:dyDescent="0.2">
      <c r="A3268" s="2">
        <v>1</v>
      </c>
      <c r="B3268" s="1" t="s">
        <v>304</v>
      </c>
      <c r="C3268" s="4">
        <v>7</v>
      </c>
      <c r="D3268" s="8">
        <v>5.43</v>
      </c>
      <c r="E3268" s="4">
        <v>6</v>
      </c>
      <c r="F3268" s="8">
        <v>9.23</v>
      </c>
      <c r="G3268" s="4">
        <v>1</v>
      </c>
      <c r="H3268" s="8">
        <v>1.75</v>
      </c>
      <c r="I3268" s="4">
        <v>0</v>
      </c>
    </row>
    <row r="3269" spans="1:9" x14ac:dyDescent="0.2">
      <c r="A3269" s="2">
        <v>2</v>
      </c>
      <c r="B3269" s="1" t="s">
        <v>288</v>
      </c>
      <c r="C3269" s="4">
        <v>6</v>
      </c>
      <c r="D3269" s="8">
        <v>4.6500000000000004</v>
      </c>
      <c r="E3269" s="4">
        <v>1</v>
      </c>
      <c r="F3269" s="8">
        <v>1.54</v>
      </c>
      <c r="G3269" s="4">
        <v>5</v>
      </c>
      <c r="H3269" s="8">
        <v>8.77</v>
      </c>
      <c r="I3269" s="4">
        <v>0</v>
      </c>
    </row>
    <row r="3270" spans="1:9" x14ac:dyDescent="0.2">
      <c r="A3270" s="2">
        <v>2</v>
      </c>
      <c r="B3270" s="1" t="s">
        <v>301</v>
      </c>
      <c r="C3270" s="4">
        <v>6</v>
      </c>
      <c r="D3270" s="8">
        <v>4.6500000000000004</v>
      </c>
      <c r="E3270" s="4">
        <v>6</v>
      </c>
      <c r="F3270" s="8">
        <v>9.23</v>
      </c>
      <c r="G3270" s="4">
        <v>0</v>
      </c>
      <c r="H3270" s="8">
        <v>0</v>
      </c>
      <c r="I3270" s="4">
        <v>0</v>
      </c>
    </row>
    <row r="3271" spans="1:9" x14ac:dyDescent="0.2">
      <c r="A3271" s="2">
        <v>4</v>
      </c>
      <c r="B3271" s="1" t="s">
        <v>328</v>
      </c>
      <c r="C3271" s="4">
        <v>5</v>
      </c>
      <c r="D3271" s="8">
        <v>3.88</v>
      </c>
      <c r="E3271" s="4">
        <v>0</v>
      </c>
      <c r="F3271" s="8">
        <v>0</v>
      </c>
      <c r="G3271" s="4">
        <v>5</v>
      </c>
      <c r="H3271" s="8">
        <v>8.77</v>
      </c>
      <c r="I3271" s="4">
        <v>0</v>
      </c>
    </row>
    <row r="3272" spans="1:9" x14ac:dyDescent="0.2">
      <c r="A3272" s="2">
        <v>4</v>
      </c>
      <c r="B3272" s="1" t="s">
        <v>351</v>
      </c>
      <c r="C3272" s="4">
        <v>5</v>
      </c>
      <c r="D3272" s="8">
        <v>3.88</v>
      </c>
      <c r="E3272" s="4">
        <v>4</v>
      </c>
      <c r="F3272" s="8">
        <v>6.15</v>
      </c>
      <c r="G3272" s="4">
        <v>1</v>
      </c>
      <c r="H3272" s="8">
        <v>1.75</v>
      </c>
      <c r="I3272" s="4">
        <v>0</v>
      </c>
    </row>
    <row r="3273" spans="1:9" x14ac:dyDescent="0.2">
      <c r="A3273" s="2">
        <v>4</v>
      </c>
      <c r="B3273" s="1" t="s">
        <v>292</v>
      </c>
      <c r="C3273" s="4">
        <v>5</v>
      </c>
      <c r="D3273" s="8">
        <v>3.88</v>
      </c>
      <c r="E3273" s="4">
        <v>5</v>
      </c>
      <c r="F3273" s="8">
        <v>7.69</v>
      </c>
      <c r="G3273" s="4">
        <v>0</v>
      </c>
      <c r="H3273" s="8">
        <v>0</v>
      </c>
      <c r="I3273" s="4">
        <v>0</v>
      </c>
    </row>
    <row r="3274" spans="1:9" x14ac:dyDescent="0.2">
      <c r="A3274" s="2">
        <v>7</v>
      </c>
      <c r="B3274" s="1" t="s">
        <v>384</v>
      </c>
      <c r="C3274" s="4">
        <v>3</v>
      </c>
      <c r="D3274" s="8">
        <v>2.33</v>
      </c>
      <c r="E3274" s="4">
        <v>0</v>
      </c>
      <c r="F3274" s="8">
        <v>0</v>
      </c>
      <c r="G3274" s="4">
        <v>3</v>
      </c>
      <c r="H3274" s="8">
        <v>5.26</v>
      </c>
      <c r="I3274" s="4">
        <v>0</v>
      </c>
    </row>
    <row r="3275" spans="1:9" x14ac:dyDescent="0.2">
      <c r="A3275" s="2">
        <v>7</v>
      </c>
      <c r="B3275" s="1" t="s">
        <v>358</v>
      </c>
      <c r="C3275" s="4">
        <v>3</v>
      </c>
      <c r="D3275" s="8">
        <v>2.33</v>
      </c>
      <c r="E3275" s="4">
        <v>0</v>
      </c>
      <c r="F3275" s="8">
        <v>0</v>
      </c>
      <c r="G3275" s="4">
        <v>3</v>
      </c>
      <c r="H3275" s="8">
        <v>5.26</v>
      </c>
      <c r="I3275" s="4">
        <v>0</v>
      </c>
    </row>
    <row r="3276" spans="1:9" x14ac:dyDescent="0.2">
      <c r="A3276" s="2">
        <v>7</v>
      </c>
      <c r="B3276" s="1" t="s">
        <v>372</v>
      </c>
      <c r="C3276" s="4">
        <v>3</v>
      </c>
      <c r="D3276" s="8">
        <v>2.33</v>
      </c>
      <c r="E3276" s="4">
        <v>2</v>
      </c>
      <c r="F3276" s="8">
        <v>3.08</v>
      </c>
      <c r="G3276" s="4">
        <v>1</v>
      </c>
      <c r="H3276" s="8">
        <v>1.75</v>
      </c>
      <c r="I3276" s="4">
        <v>0</v>
      </c>
    </row>
    <row r="3277" spans="1:9" x14ac:dyDescent="0.2">
      <c r="A3277" s="2">
        <v>7</v>
      </c>
      <c r="B3277" s="1" t="s">
        <v>297</v>
      </c>
      <c r="C3277" s="4">
        <v>3</v>
      </c>
      <c r="D3277" s="8">
        <v>2.33</v>
      </c>
      <c r="E3277" s="4">
        <v>1</v>
      </c>
      <c r="F3277" s="8">
        <v>1.54</v>
      </c>
      <c r="G3277" s="4">
        <v>2</v>
      </c>
      <c r="H3277" s="8">
        <v>3.51</v>
      </c>
      <c r="I3277" s="4">
        <v>0</v>
      </c>
    </row>
    <row r="3278" spans="1:9" x14ac:dyDescent="0.2">
      <c r="A3278" s="2">
        <v>7</v>
      </c>
      <c r="B3278" s="1" t="s">
        <v>299</v>
      </c>
      <c r="C3278" s="4">
        <v>3</v>
      </c>
      <c r="D3278" s="8">
        <v>2.33</v>
      </c>
      <c r="E3278" s="4">
        <v>3</v>
      </c>
      <c r="F3278" s="8">
        <v>4.62</v>
      </c>
      <c r="G3278" s="4">
        <v>0</v>
      </c>
      <c r="H3278" s="8">
        <v>0</v>
      </c>
      <c r="I3278" s="4">
        <v>0</v>
      </c>
    </row>
    <row r="3279" spans="1:9" x14ac:dyDescent="0.2">
      <c r="A3279" s="2">
        <v>7</v>
      </c>
      <c r="B3279" s="1" t="s">
        <v>300</v>
      </c>
      <c r="C3279" s="4">
        <v>3</v>
      </c>
      <c r="D3279" s="8">
        <v>2.33</v>
      </c>
      <c r="E3279" s="4">
        <v>3</v>
      </c>
      <c r="F3279" s="8">
        <v>4.62</v>
      </c>
      <c r="G3279" s="4">
        <v>0</v>
      </c>
      <c r="H3279" s="8">
        <v>0</v>
      </c>
      <c r="I3279" s="4">
        <v>0</v>
      </c>
    </row>
    <row r="3280" spans="1:9" x14ac:dyDescent="0.2">
      <c r="A3280" s="2">
        <v>7</v>
      </c>
      <c r="B3280" s="1" t="s">
        <v>303</v>
      </c>
      <c r="C3280" s="4">
        <v>3</v>
      </c>
      <c r="D3280" s="8">
        <v>2.33</v>
      </c>
      <c r="E3280" s="4">
        <v>3</v>
      </c>
      <c r="F3280" s="8">
        <v>4.62</v>
      </c>
      <c r="G3280" s="4">
        <v>0</v>
      </c>
      <c r="H3280" s="8">
        <v>0</v>
      </c>
      <c r="I3280" s="4">
        <v>0</v>
      </c>
    </row>
    <row r="3281" spans="1:9" x14ac:dyDescent="0.2">
      <c r="A3281" s="2">
        <v>7</v>
      </c>
      <c r="B3281" s="1" t="s">
        <v>368</v>
      </c>
      <c r="C3281" s="4">
        <v>3</v>
      </c>
      <c r="D3281" s="8">
        <v>2.33</v>
      </c>
      <c r="E3281" s="4">
        <v>0</v>
      </c>
      <c r="F3281" s="8">
        <v>0</v>
      </c>
      <c r="G3281" s="4">
        <v>3</v>
      </c>
      <c r="H3281" s="8">
        <v>5.26</v>
      </c>
      <c r="I3281" s="4">
        <v>0</v>
      </c>
    </row>
    <row r="3282" spans="1:9" x14ac:dyDescent="0.2">
      <c r="A3282" s="2">
        <v>15</v>
      </c>
      <c r="B3282" s="1" t="s">
        <v>378</v>
      </c>
      <c r="C3282" s="4">
        <v>2</v>
      </c>
      <c r="D3282" s="8">
        <v>1.55</v>
      </c>
      <c r="E3282" s="4">
        <v>0</v>
      </c>
      <c r="F3282" s="8">
        <v>0</v>
      </c>
      <c r="G3282" s="4">
        <v>2</v>
      </c>
      <c r="H3282" s="8">
        <v>3.51</v>
      </c>
      <c r="I3282" s="4">
        <v>0</v>
      </c>
    </row>
    <row r="3283" spans="1:9" x14ac:dyDescent="0.2">
      <c r="A3283" s="2">
        <v>15</v>
      </c>
      <c r="B3283" s="1" t="s">
        <v>489</v>
      </c>
      <c r="C3283" s="4">
        <v>2</v>
      </c>
      <c r="D3283" s="8">
        <v>1.55</v>
      </c>
      <c r="E3283" s="4">
        <v>0</v>
      </c>
      <c r="F3283" s="8">
        <v>0</v>
      </c>
      <c r="G3283" s="4">
        <v>2</v>
      </c>
      <c r="H3283" s="8">
        <v>3.51</v>
      </c>
      <c r="I3283" s="4">
        <v>0</v>
      </c>
    </row>
    <row r="3284" spans="1:9" x14ac:dyDescent="0.2">
      <c r="A3284" s="2">
        <v>15</v>
      </c>
      <c r="B3284" s="1" t="s">
        <v>477</v>
      </c>
      <c r="C3284" s="4">
        <v>2</v>
      </c>
      <c r="D3284" s="8">
        <v>1.55</v>
      </c>
      <c r="E3284" s="4">
        <v>1</v>
      </c>
      <c r="F3284" s="8">
        <v>1.54</v>
      </c>
      <c r="G3284" s="4">
        <v>1</v>
      </c>
      <c r="H3284" s="8">
        <v>1.75</v>
      </c>
      <c r="I3284" s="4">
        <v>0</v>
      </c>
    </row>
    <row r="3285" spans="1:9" x14ac:dyDescent="0.2">
      <c r="A3285" s="2">
        <v>15</v>
      </c>
      <c r="B3285" s="1" t="s">
        <v>335</v>
      </c>
      <c r="C3285" s="4">
        <v>2</v>
      </c>
      <c r="D3285" s="8">
        <v>1.55</v>
      </c>
      <c r="E3285" s="4">
        <v>1</v>
      </c>
      <c r="F3285" s="8">
        <v>1.54</v>
      </c>
      <c r="G3285" s="4">
        <v>1</v>
      </c>
      <c r="H3285" s="8">
        <v>1.75</v>
      </c>
      <c r="I3285" s="4">
        <v>0</v>
      </c>
    </row>
    <row r="3286" spans="1:9" x14ac:dyDescent="0.2">
      <c r="A3286" s="2">
        <v>15</v>
      </c>
      <c r="B3286" s="1" t="s">
        <v>402</v>
      </c>
      <c r="C3286" s="4">
        <v>2</v>
      </c>
      <c r="D3286" s="8">
        <v>1.55</v>
      </c>
      <c r="E3286" s="4">
        <v>1</v>
      </c>
      <c r="F3286" s="8">
        <v>1.54</v>
      </c>
      <c r="G3286" s="4">
        <v>1</v>
      </c>
      <c r="H3286" s="8">
        <v>1.75</v>
      </c>
      <c r="I3286" s="4">
        <v>0</v>
      </c>
    </row>
    <row r="3287" spans="1:9" x14ac:dyDescent="0.2">
      <c r="A3287" s="2">
        <v>15</v>
      </c>
      <c r="B3287" s="1" t="s">
        <v>337</v>
      </c>
      <c r="C3287" s="4">
        <v>2</v>
      </c>
      <c r="D3287" s="8">
        <v>1.55</v>
      </c>
      <c r="E3287" s="4">
        <v>1</v>
      </c>
      <c r="F3287" s="8">
        <v>1.54</v>
      </c>
      <c r="G3287" s="4">
        <v>1</v>
      </c>
      <c r="H3287" s="8">
        <v>1.75</v>
      </c>
      <c r="I3287" s="4">
        <v>0</v>
      </c>
    </row>
    <row r="3288" spans="1:9" x14ac:dyDescent="0.2">
      <c r="A3288" s="2">
        <v>15</v>
      </c>
      <c r="B3288" s="1" t="s">
        <v>403</v>
      </c>
      <c r="C3288" s="4">
        <v>2</v>
      </c>
      <c r="D3288" s="8">
        <v>1.55</v>
      </c>
      <c r="E3288" s="4">
        <v>0</v>
      </c>
      <c r="F3288" s="8">
        <v>0</v>
      </c>
      <c r="G3288" s="4">
        <v>1</v>
      </c>
      <c r="H3288" s="8">
        <v>1.75</v>
      </c>
      <c r="I3288" s="4">
        <v>0</v>
      </c>
    </row>
    <row r="3289" spans="1:9" x14ac:dyDescent="0.2">
      <c r="A3289" s="2">
        <v>15</v>
      </c>
      <c r="B3289" s="1" t="s">
        <v>419</v>
      </c>
      <c r="C3289" s="4">
        <v>2</v>
      </c>
      <c r="D3289" s="8">
        <v>1.55</v>
      </c>
      <c r="E3289" s="4">
        <v>2</v>
      </c>
      <c r="F3289" s="8">
        <v>3.08</v>
      </c>
      <c r="G3289" s="4">
        <v>0</v>
      </c>
      <c r="H3289" s="8">
        <v>0</v>
      </c>
      <c r="I3289" s="4">
        <v>0</v>
      </c>
    </row>
    <row r="3290" spans="1:9" x14ac:dyDescent="0.2">
      <c r="A3290" s="2">
        <v>15</v>
      </c>
      <c r="B3290" s="1" t="s">
        <v>340</v>
      </c>
      <c r="C3290" s="4">
        <v>2</v>
      </c>
      <c r="D3290" s="8">
        <v>1.55</v>
      </c>
      <c r="E3290" s="4">
        <v>0</v>
      </c>
      <c r="F3290" s="8">
        <v>0</v>
      </c>
      <c r="G3290" s="4">
        <v>0</v>
      </c>
      <c r="H3290" s="8">
        <v>0</v>
      </c>
      <c r="I3290" s="4">
        <v>0</v>
      </c>
    </row>
    <row r="3291" spans="1:9" x14ac:dyDescent="0.2">
      <c r="A3291" s="2">
        <v>15</v>
      </c>
      <c r="B3291" s="1" t="s">
        <v>306</v>
      </c>
      <c r="C3291" s="4">
        <v>2</v>
      </c>
      <c r="D3291" s="8">
        <v>1.55</v>
      </c>
      <c r="E3291" s="4">
        <v>2</v>
      </c>
      <c r="F3291" s="8">
        <v>3.08</v>
      </c>
      <c r="G3291" s="4">
        <v>0</v>
      </c>
      <c r="H3291" s="8">
        <v>0</v>
      </c>
      <c r="I3291" s="4">
        <v>0</v>
      </c>
    </row>
    <row r="3292" spans="1:9" x14ac:dyDescent="0.2">
      <c r="A3292" s="2">
        <v>15</v>
      </c>
      <c r="B3292" s="1" t="s">
        <v>331</v>
      </c>
      <c r="C3292" s="4">
        <v>2</v>
      </c>
      <c r="D3292" s="8">
        <v>1.55</v>
      </c>
      <c r="E3292" s="4">
        <v>0</v>
      </c>
      <c r="F3292" s="8">
        <v>0</v>
      </c>
      <c r="G3292" s="4">
        <v>0</v>
      </c>
      <c r="H3292" s="8">
        <v>0</v>
      </c>
      <c r="I3292" s="4">
        <v>0</v>
      </c>
    </row>
    <row r="3293" spans="1:9" x14ac:dyDescent="0.2">
      <c r="A3293" s="2">
        <v>15</v>
      </c>
      <c r="B3293" s="1" t="s">
        <v>371</v>
      </c>
      <c r="C3293" s="4">
        <v>2</v>
      </c>
      <c r="D3293" s="8">
        <v>1.55</v>
      </c>
      <c r="E3293" s="4">
        <v>2</v>
      </c>
      <c r="F3293" s="8">
        <v>3.08</v>
      </c>
      <c r="G3293" s="4">
        <v>0</v>
      </c>
      <c r="H3293" s="8">
        <v>0</v>
      </c>
      <c r="I3293" s="4">
        <v>0</v>
      </c>
    </row>
    <row r="3294" spans="1:9" x14ac:dyDescent="0.2">
      <c r="A3294" s="1"/>
      <c r="C3294" s="4"/>
      <c r="D3294" s="8"/>
      <c r="E3294" s="4"/>
      <c r="F3294" s="8"/>
      <c r="G3294" s="4"/>
      <c r="H3294" s="8"/>
      <c r="I3294" s="4"/>
    </row>
    <row r="3295" spans="1:9" x14ac:dyDescent="0.2">
      <c r="A3295" s="1" t="s">
        <v>112</v>
      </c>
      <c r="C3295" s="4"/>
      <c r="D3295" s="8"/>
      <c r="E3295" s="4"/>
      <c r="F3295" s="8"/>
      <c r="G3295" s="4"/>
      <c r="H3295" s="8"/>
      <c r="I3295" s="4"/>
    </row>
    <row r="3296" spans="1:9" x14ac:dyDescent="0.2">
      <c r="A3296" s="2">
        <v>1</v>
      </c>
      <c r="B3296" s="1" t="s">
        <v>303</v>
      </c>
      <c r="C3296" s="4">
        <v>9</v>
      </c>
      <c r="D3296" s="8">
        <v>6.38</v>
      </c>
      <c r="E3296" s="4">
        <v>9</v>
      </c>
      <c r="F3296" s="8">
        <v>11.39</v>
      </c>
      <c r="G3296" s="4">
        <v>0</v>
      </c>
      <c r="H3296" s="8">
        <v>0</v>
      </c>
      <c r="I3296" s="4">
        <v>0</v>
      </c>
    </row>
    <row r="3297" spans="1:9" x14ac:dyDescent="0.2">
      <c r="A3297" s="2">
        <v>2</v>
      </c>
      <c r="B3297" s="1" t="s">
        <v>288</v>
      </c>
      <c r="C3297" s="4">
        <v>8</v>
      </c>
      <c r="D3297" s="8">
        <v>5.67</v>
      </c>
      <c r="E3297" s="4">
        <v>0</v>
      </c>
      <c r="F3297" s="8">
        <v>0</v>
      </c>
      <c r="G3297" s="4">
        <v>8</v>
      </c>
      <c r="H3297" s="8">
        <v>14.04</v>
      </c>
      <c r="I3297" s="4">
        <v>0</v>
      </c>
    </row>
    <row r="3298" spans="1:9" x14ac:dyDescent="0.2">
      <c r="A3298" s="2">
        <v>3</v>
      </c>
      <c r="B3298" s="1" t="s">
        <v>330</v>
      </c>
      <c r="C3298" s="4">
        <v>5</v>
      </c>
      <c r="D3298" s="8">
        <v>3.55</v>
      </c>
      <c r="E3298" s="4">
        <v>1</v>
      </c>
      <c r="F3298" s="8">
        <v>1.27</v>
      </c>
      <c r="G3298" s="4">
        <v>4</v>
      </c>
      <c r="H3298" s="8">
        <v>7.02</v>
      </c>
      <c r="I3298" s="4">
        <v>0</v>
      </c>
    </row>
    <row r="3299" spans="1:9" x14ac:dyDescent="0.2">
      <c r="A3299" s="2">
        <v>3</v>
      </c>
      <c r="B3299" s="1" t="s">
        <v>301</v>
      </c>
      <c r="C3299" s="4">
        <v>5</v>
      </c>
      <c r="D3299" s="8">
        <v>3.55</v>
      </c>
      <c r="E3299" s="4">
        <v>5</v>
      </c>
      <c r="F3299" s="8">
        <v>6.33</v>
      </c>
      <c r="G3299" s="4">
        <v>0</v>
      </c>
      <c r="H3299" s="8">
        <v>0</v>
      </c>
      <c r="I3299" s="4">
        <v>0</v>
      </c>
    </row>
    <row r="3300" spans="1:9" x14ac:dyDescent="0.2">
      <c r="A3300" s="2">
        <v>5</v>
      </c>
      <c r="B3300" s="1" t="s">
        <v>328</v>
      </c>
      <c r="C3300" s="4">
        <v>4</v>
      </c>
      <c r="D3300" s="8">
        <v>2.84</v>
      </c>
      <c r="E3300" s="4">
        <v>1</v>
      </c>
      <c r="F3300" s="8">
        <v>1.27</v>
      </c>
      <c r="G3300" s="4">
        <v>3</v>
      </c>
      <c r="H3300" s="8">
        <v>5.26</v>
      </c>
      <c r="I3300" s="4">
        <v>0</v>
      </c>
    </row>
    <row r="3301" spans="1:9" x14ac:dyDescent="0.2">
      <c r="A3301" s="2">
        <v>5</v>
      </c>
      <c r="B3301" s="1" t="s">
        <v>339</v>
      </c>
      <c r="C3301" s="4">
        <v>4</v>
      </c>
      <c r="D3301" s="8">
        <v>2.84</v>
      </c>
      <c r="E3301" s="4">
        <v>2</v>
      </c>
      <c r="F3301" s="8">
        <v>2.5299999999999998</v>
      </c>
      <c r="G3301" s="4">
        <v>2</v>
      </c>
      <c r="H3301" s="8">
        <v>3.51</v>
      </c>
      <c r="I3301" s="4">
        <v>0</v>
      </c>
    </row>
    <row r="3302" spans="1:9" x14ac:dyDescent="0.2">
      <c r="A3302" s="2">
        <v>5</v>
      </c>
      <c r="B3302" s="1" t="s">
        <v>334</v>
      </c>
      <c r="C3302" s="4">
        <v>4</v>
      </c>
      <c r="D3302" s="8">
        <v>2.84</v>
      </c>
      <c r="E3302" s="4">
        <v>3</v>
      </c>
      <c r="F3302" s="8">
        <v>3.8</v>
      </c>
      <c r="G3302" s="4">
        <v>1</v>
      </c>
      <c r="H3302" s="8">
        <v>1.75</v>
      </c>
      <c r="I3302" s="4">
        <v>0</v>
      </c>
    </row>
    <row r="3303" spans="1:9" x14ac:dyDescent="0.2">
      <c r="A3303" s="2">
        <v>5</v>
      </c>
      <c r="B3303" s="1" t="s">
        <v>299</v>
      </c>
      <c r="C3303" s="4">
        <v>4</v>
      </c>
      <c r="D3303" s="8">
        <v>2.84</v>
      </c>
      <c r="E3303" s="4">
        <v>4</v>
      </c>
      <c r="F3303" s="8">
        <v>5.0599999999999996</v>
      </c>
      <c r="G3303" s="4">
        <v>0</v>
      </c>
      <c r="H3303" s="8">
        <v>0</v>
      </c>
      <c r="I3303" s="4">
        <v>0</v>
      </c>
    </row>
    <row r="3304" spans="1:9" x14ac:dyDescent="0.2">
      <c r="A3304" s="2">
        <v>9</v>
      </c>
      <c r="B3304" s="1" t="s">
        <v>290</v>
      </c>
      <c r="C3304" s="4">
        <v>3</v>
      </c>
      <c r="D3304" s="8">
        <v>2.13</v>
      </c>
      <c r="E3304" s="4">
        <v>1</v>
      </c>
      <c r="F3304" s="8">
        <v>1.27</v>
      </c>
      <c r="G3304" s="4">
        <v>2</v>
      </c>
      <c r="H3304" s="8">
        <v>3.51</v>
      </c>
      <c r="I3304" s="4">
        <v>0</v>
      </c>
    </row>
    <row r="3305" spans="1:9" x14ac:dyDescent="0.2">
      <c r="A3305" s="2">
        <v>9</v>
      </c>
      <c r="B3305" s="1" t="s">
        <v>413</v>
      </c>
      <c r="C3305" s="4">
        <v>3</v>
      </c>
      <c r="D3305" s="8">
        <v>2.13</v>
      </c>
      <c r="E3305" s="4">
        <v>0</v>
      </c>
      <c r="F3305" s="8">
        <v>0</v>
      </c>
      <c r="G3305" s="4">
        <v>3</v>
      </c>
      <c r="H3305" s="8">
        <v>5.26</v>
      </c>
      <c r="I3305" s="4">
        <v>0</v>
      </c>
    </row>
    <row r="3306" spans="1:9" x14ac:dyDescent="0.2">
      <c r="A3306" s="2">
        <v>9</v>
      </c>
      <c r="B3306" s="1" t="s">
        <v>335</v>
      </c>
      <c r="C3306" s="4">
        <v>3</v>
      </c>
      <c r="D3306" s="8">
        <v>2.13</v>
      </c>
      <c r="E3306" s="4">
        <v>2</v>
      </c>
      <c r="F3306" s="8">
        <v>2.5299999999999998</v>
      </c>
      <c r="G3306" s="4">
        <v>1</v>
      </c>
      <c r="H3306" s="8">
        <v>1.75</v>
      </c>
      <c r="I3306" s="4">
        <v>0</v>
      </c>
    </row>
    <row r="3307" spans="1:9" x14ac:dyDescent="0.2">
      <c r="A3307" s="2">
        <v>9</v>
      </c>
      <c r="B3307" s="1" t="s">
        <v>372</v>
      </c>
      <c r="C3307" s="4">
        <v>3</v>
      </c>
      <c r="D3307" s="8">
        <v>2.13</v>
      </c>
      <c r="E3307" s="4">
        <v>2</v>
      </c>
      <c r="F3307" s="8">
        <v>2.5299999999999998</v>
      </c>
      <c r="G3307" s="4">
        <v>1</v>
      </c>
      <c r="H3307" s="8">
        <v>1.75</v>
      </c>
      <c r="I3307" s="4">
        <v>0</v>
      </c>
    </row>
    <row r="3308" spans="1:9" x14ac:dyDescent="0.2">
      <c r="A3308" s="2">
        <v>9</v>
      </c>
      <c r="B3308" s="1" t="s">
        <v>295</v>
      </c>
      <c r="C3308" s="4">
        <v>3</v>
      </c>
      <c r="D3308" s="8">
        <v>2.13</v>
      </c>
      <c r="E3308" s="4">
        <v>1</v>
      </c>
      <c r="F3308" s="8">
        <v>1.27</v>
      </c>
      <c r="G3308" s="4">
        <v>2</v>
      </c>
      <c r="H3308" s="8">
        <v>3.51</v>
      </c>
      <c r="I3308" s="4">
        <v>0</v>
      </c>
    </row>
    <row r="3309" spans="1:9" x14ac:dyDescent="0.2">
      <c r="A3309" s="2">
        <v>9</v>
      </c>
      <c r="B3309" s="1" t="s">
        <v>304</v>
      </c>
      <c r="C3309" s="4">
        <v>3</v>
      </c>
      <c r="D3309" s="8">
        <v>2.13</v>
      </c>
      <c r="E3309" s="4">
        <v>2</v>
      </c>
      <c r="F3309" s="8">
        <v>2.5299999999999998</v>
      </c>
      <c r="G3309" s="4">
        <v>1</v>
      </c>
      <c r="H3309" s="8">
        <v>1.75</v>
      </c>
      <c r="I3309" s="4">
        <v>0</v>
      </c>
    </row>
    <row r="3310" spans="1:9" x14ac:dyDescent="0.2">
      <c r="A3310" s="2">
        <v>9</v>
      </c>
      <c r="B3310" s="1" t="s">
        <v>318</v>
      </c>
      <c r="C3310" s="4">
        <v>3</v>
      </c>
      <c r="D3310" s="8">
        <v>2.13</v>
      </c>
      <c r="E3310" s="4">
        <v>0</v>
      </c>
      <c r="F3310" s="8">
        <v>0</v>
      </c>
      <c r="G3310" s="4">
        <v>1</v>
      </c>
      <c r="H3310" s="8">
        <v>1.75</v>
      </c>
      <c r="I3310" s="4">
        <v>1</v>
      </c>
    </row>
    <row r="3311" spans="1:9" x14ac:dyDescent="0.2">
      <c r="A3311" s="2">
        <v>16</v>
      </c>
      <c r="B3311" s="1" t="s">
        <v>333</v>
      </c>
      <c r="C3311" s="4">
        <v>2</v>
      </c>
      <c r="D3311" s="8">
        <v>1.42</v>
      </c>
      <c r="E3311" s="4">
        <v>2</v>
      </c>
      <c r="F3311" s="8">
        <v>2.5299999999999998</v>
      </c>
      <c r="G3311" s="4">
        <v>0</v>
      </c>
      <c r="H3311" s="8">
        <v>0</v>
      </c>
      <c r="I3311" s="4">
        <v>0</v>
      </c>
    </row>
    <row r="3312" spans="1:9" x14ac:dyDescent="0.2">
      <c r="A3312" s="2">
        <v>16</v>
      </c>
      <c r="B3312" s="1" t="s">
        <v>291</v>
      </c>
      <c r="C3312" s="4">
        <v>2</v>
      </c>
      <c r="D3312" s="8">
        <v>1.42</v>
      </c>
      <c r="E3312" s="4">
        <v>0</v>
      </c>
      <c r="F3312" s="8">
        <v>0</v>
      </c>
      <c r="G3312" s="4">
        <v>2</v>
      </c>
      <c r="H3312" s="8">
        <v>3.51</v>
      </c>
      <c r="I3312" s="4">
        <v>0</v>
      </c>
    </row>
    <row r="3313" spans="1:9" x14ac:dyDescent="0.2">
      <c r="A3313" s="2">
        <v>16</v>
      </c>
      <c r="B3313" s="1" t="s">
        <v>384</v>
      </c>
      <c r="C3313" s="4">
        <v>2</v>
      </c>
      <c r="D3313" s="8">
        <v>1.42</v>
      </c>
      <c r="E3313" s="4">
        <v>1</v>
      </c>
      <c r="F3313" s="8">
        <v>1.27</v>
      </c>
      <c r="G3313" s="4">
        <v>1</v>
      </c>
      <c r="H3313" s="8">
        <v>1.75</v>
      </c>
      <c r="I3313" s="4">
        <v>0</v>
      </c>
    </row>
    <row r="3314" spans="1:9" x14ac:dyDescent="0.2">
      <c r="A3314" s="2">
        <v>16</v>
      </c>
      <c r="B3314" s="1" t="s">
        <v>399</v>
      </c>
      <c r="C3314" s="4">
        <v>2</v>
      </c>
      <c r="D3314" s="8">
        <v>1.42</v>
      </c>
      <c r="E3314" s="4">
        <v>1</v>
      </c>
      <c r="F3314" s="8">
        <v>1.27</v>
      </c>
      <c r="G3314" s="4">
        <v>1</v>
      </c>
      <c r="H3314" s="8">
        <v>1.75</v>
      </c>
      <c r="I3314" s="4">
        <v>0</v>
      </c>
    </row>
    <row r="3315" spans="1:9" x14ac:dyDescent="0.2">
      <c r="A3315" s="2">
        <v>16</v>
      </c>
      <c r="B3315" s="1" t="s">
        <v>432</v>
      </c>
      <c r="C3315" s="4">
        <v>2</v>
      </c>
      <c r="D3315" s="8">
        <v>1.42</v>
      </c>
      <c r="E3315" s="4">
        <v>0</v>
      </c>
      <c r="F3315" s="8">
        <v>0</v>
      </c>
      <c r="G3315" s="4">
        <v>2</v>
      </c>
      <c r="H3315" s="8">
        <v>3.51</v>
      </c>
      <c r="I3315" s="4">
        <v>0</v>
      </c>
    </row>
    <row r="3316" spans="1:9" x14ac:dyDescent="0.2">
      <c r="A3316" s="2">
        <v>16</v>
      </c>
      <c r="B3316" s="1" t="s">
        <v>314</v>
      </c>
      <c r="C3316" s="4">
        <v>2</v>
      </c>
      <c r="D3316" s="8">
        <v>1.42</v>
      </c>
      <c r="E3316" s="4">
        <v>2</v>
      </c>
      <c r="F3316" s="8">
        <v>2.5299999999999998</v>
      </c>
      <c r="G3316" s="4">
        <v>0</v>
      </c>
      <c r="H3316" s="8">
        <v>0</v>
      </c>
      <c r="I3316" s="4">
        <v>0</v>
      </c>
    </row>
    <row r="3317" spans="1:9" x14ac:dyDescent="0.2">
      <c r="A3317" s="2">
        <v>16</v>
      </c>
      <c r="B3317" s="1" t="s">
        <v>336</v>
      </c>
      <c r="C3317" s="4">
        <v>2</v>
      </c>
      <c r="D3317" s="8">
        <v>1.42</v>
      </c>
      <c r="E3317" s="4">
        <v>1</v>
      </c>
      <c r="F3317" s="8">
        <v>1.27</v>
      </c>
      <c r="G3317" s="4">
        <v>1</v>
      </c>
      <c r="H3317" s="8">
        <v>1.75</v>
      </c>
      <c r="I3317" s="4">
        <v>0</v>
      </c>
    </row>
    <row r="3318" spans="1:9" x14ac:dyDescent="0.2">
      <c r="A3318" s="2">
        <v>16</v>
      </c>
      <c r="B3318" s="1" t="s">
        <v>366</v>
      </c>
      <c r="C3318" s="4">
        <v>2</v>
      </c>
      <c r="D3318" s="8">
        <v>1.42</v>
      </c>
      <c r="E3318" s="4">
        <v>1</v>
      </c>
      <c r="F3318" s="8">
        <v>1.27</v>
      </c>
      <c r="G3318" s="4">
        <v>1</v>
      </c>
      <c r="H3318" s="8">
        <v>1.75</v>
      </c>
      <c r="I3318" s="4">
        <v>0</v>
      </c>
    </row>
    <row r="3319" spans="1:9" x14ac:dyDescent="0.2">
      <c r="A3319" s="2">
        <v>16</v>
      </c>
      <c r="B3319" s="1" t="s">
        <v>332</v>
      </c>
      <c r="C3319" s="4">
        <v>2</v>
      </c>
      <c r="D3319" s="8">
        <v>1.42</v>
      </c>
      <c r="E3319" s="4">
        <v>2</v>
      </c>
      <c r="F3319" s="8">
        <v>2.5299999999999998</v>
      </c>
      <c r="G3319" s="4">
        <v>0</v>
      </c>
      <c r="H3319" s="8">
        <v>0</v>
      </c>
      <c r="I3319" s="4">
        <v>0</v>
      </c>
    </row>
    <row r="3320" spans="1:9" x14ac:dyDescent="0.2">
      <c r="A3320" s="2">
        <v>16</v>
      </c>
      <c r="B3320" s="1" t="s">
        <v>329</v>
      </c>
      <c r="C3320" s="4">
        <v>2</v>
      </c>
      <c r="D3320" s="8">
        <v>1.42</v>
      </c>
      <c r="E3320" s="4">
        <v>2</v>
      </c>
      <c r="F3320" s="8">
        <v>2.5299999999999998</v>
      </c>
      <c r="G3320" s="4">
        <v>0</v>
      </c>
      <c r="H3320" s="8">
        <v>0</v>
      </c>
      <c r="I3320" s="4">
        <v>0</v>
      </c>
    </row>
    <row r="3321" spans="1:9" x14ac:dyDescent="0.2">
      <c r="A3321" s="2">
        <v>16</v>
      </c>
      <c r="B3321" s="1" t="s">
        <v>292</v>
      </c>
      <c r="C3321" s="4">
        <v>2</v>
      </c>
      <c r="D3321" s="8">
        <v>1.42</v>
      </c>
      <c r="E3321" s="4">
        <v>1</v>
      </c>
      <c r="F3321" s="8">
        <v>1.27</v>
      </c>
      <c r="G3321" s="4">
        <v>1</v>
      </c>
      <c r="H3321" s="8">
        <v>1.75</v>
      </c>
      <c r="I3321" s="4">
        <v>0</v>
      </c>
    </row>
    <row r="3322" spans="1:9" x14ac:dyDescent="0.2">
      <c r="A3322" s="2">
        <v>16</v>
      </c>
      <c r="B3322" s="1" t="s">
        <v>401</v>
      </c>
      <c r="C3322" s="4">
        <v>2</v>
      </c>
      <c r="D3322" s="8">
        <v>1.42</v>
      </c>
      <c r="E3322" s="4">
        <v>1</v>
      </c>
      <c r="F3322" s="8">
        <v>1.27</v>
      </c>
      <c r="G3322" s="4">
        <v>1</v>
      </c>
      <c r="H3322" s="8">
        <v>1.75</v>
      </c>
      <c r="I3322" s="4">
        <v>0</v>
      </c>
    </row>
    <row r="3323" spans="1:9" x14ac:dyDescent="0.2">
      <c r="A3323" s="2">
        <v>16</v>
      </c>
      <c r="B3323" s="1" t="s">
        <v>402</v>
      </c>
      <c r="C3323" s="4">
        <v>2</v>
      </c>
      <c r="D3323" s="8">
        <v>1.42</v>
      </c>
      <c r="E3323" s="4">
        <v>1</v>
      </c>
      <c r="F3323" s="8">
        <v>1.27</v>
      </c>
      <c r="G3323" s="4">
        <v>1</v>
      </c>
      <c r="H3323" s="8">
        <v>1.75</v>
      </c>
      <c r="I3323" s="4">
        <v>0</v>
      </c>
    </row>
    <row r="3324" spans="1:9" x14ac:dyDescent="0.2">
      <c r="A3324" s="2">
        <v>16</v>
      </c>
      <c r="B3324" s="1" t="s">
        <v>294</v>
      </c>
      <c r="C3324" s="4">
        <v>2</v>
      </c>
      <c r="D3324" s="8">
        <v>1.42</v>
      </c>
      <c r="E3324" s="4">
        <v>1</v>
      </c>
      <c r="F3324" s="8">
        <v>1.27</v>
      </c>
      <c r="G3324" s="4">
        <v>1</v>
      </c>
      <c r="H3324" s="8">
        <v>1.75</v>
      </c>
      <c r="I3324" s="4">
        <v>0</v>
      </c>
    </row>
    <row r="3325" spans="1:9" x14ac:dyDescent="0.2">
      <c r="A3325" s="2">
        <v>16</v>
      </c>
      <c r="B3325" s="1" t="s">
        <v>338</v>
      </c>
      <c r="C3325" s="4">
        <v>2</v>
      </c>
      <c r="D3325" s="8">
        <v>1.42</v>
      </c>
      <c r="E3325" s="4">
        <v>2</v>
      </c>
      <c r="F3325" s="8">
        <v>2.5299999999999998</v>
      </c>
      <c r="G3325" s="4">
        <v>0</v>
      </c>
      <c r="H3325" s="8">
        <v>0</v>
      </c>
      <c r="I3325" s="4">
        <v>0</v>
      </c>
    </row>
    <row r="3326" spans="1:9" x14ac:dyDescent="0.2">
      <c r="A3326" s="2">
        <v>16</v>
      </c>
      <c r="B3326" s="1" t="s">
        <v>297</v>
      </c>
      <c r="C3326" s="4">
        <v>2</v>
      </c>
      <c r="D3326" s="8">
        <v>1.42</v>
      </c>
      <c r="E3326" s="4">
        <v>2</v>
      </c>
      <c r="F3326" s="8">
        <v>2.5299999999999998</v>
      </c>
      <c r="G3326" s="4">
        <v>0</v>
      </c>
      <c r="H3326" s="8">
        <v>0</v>
      </c>
      <c r="I3326" s="4">
        <v>0</v>
      </c>
    </row>
    <row r="3327" spans="1:9" x14ac:dyDescent="0.2">
      <c r="A3327" s="2">
        <v>16</v>
      </c>
      <c r="B3327" s="1" t="s">
        <v>300</v>
      </c>
      <c r="C3327" s="4">
        <v>2</v>
      </c>
      <c r="D3327" s="8">
        <v>1.42</v>
      </c>
      <c r="E3327" s="4">
        <v>2</v>
      </c>
      <c r="F3327" s="8">
        <v>2.5299999999999998</v>
      </c>
      <c r="G3327" s="4">
        <v>0</v>
      </c>
      <c r="H3327" s="8">
        <v>0</v>
      </c>
      <c r="I3327" s="4">
        <v>0</v>
      </c>
    </row>
    <row r="3328" spans="1:9" x14ac:dyDescent="0.2">
      <c r="A3328" s="2">
        <v>16</v>
      </c>
      <c r="B3328" s="1" t="s">
        <v>302</v>
      </c>
      <c r="C3328" s="4">
        <v>2</v>
      </c>
      <c r="D3328" s="8">
        <v>1.42</v>
      </c>
      <c r="E3328" s="4">
        <v>2</v>
      </c>
      <c r="F3328" s="8">
        <v>2.5299999999999998</v>
      </c>
      <c r="G3328" s="4">
        <v>0</v>
      </c>
      <c r="H3328" s="8">
        <v>0</v>
      </c>
      <c r="I3328" s="4">
        <v>0</v>
      </c>
    </row>
    <row r="3329" spans="1:9" x14ac:dyDescent="0.2">
      <c r="A3329" s="2">
        <v>16</v>
      </c>
      <c r="B3329" s="1" t="s">
        <v>325</v>
      </c>
      <c r="C3329" s="4">
        <v>2</v>
      </c>
      <c r="D3329" s="8">
        <v>1.42</v>
      </c>
      <c r="E3329" s="4">
        <v>0</v>
      </c>
      <c r="F3329" s="8">
        <v>0</v>
      </c>
      <c r="G3329" s="4">
        <v>2</v>
      </c>
      <c r="H3329" s="8">
        <v>3.51</v>
      </c>
      <c r="I3329" s="4">
        <v>0</v>
      </c>
    </row>
    <row r="3330" spans="1:9" x14ac:dyDescent="0.2">
      <c r="A3330" s="2">
        <v>16</v>
      </c>
      <c r="B3330" s="1" t="s">
        <v>352</v>
      </c>
      <c r="C3330" s="4">
        <v>2</v>
      </c>
      <c r="D3330" s="8">
        <v>1.42</v>
      </c>
      <c r="E3330" s="4">
        <v>2</v>
      </c>
      <c r="F3330" s="8">
        <v>2.5299999999999998</v>
      </c>
      <c r="G3330" s="4">
        <v>0</v>
      </c>
      <c r="H3330" s="8">
        <v>0</v>
      </c>
      <c r="I3330" s="4">
        <v>0</v>
      </c>
    </row>
    <row r="3331" spans="1:9" x14ac:dyDescent="0.2">
      <c r="A3331" s="1"/>
      <c r="C3331" s="4"/>
      <c r="D3331" s="8"/>
      <c r="E3331" s="4"/>
      <c r="F3331" s="8"/>
      <c r="G3331" s="4"/>
      <c r="H3331" s="8"/>
      <c r="I3331" s="4"/>
    </row>
    <row r="3332" spans="1:9" x14ac:dyDescent="0.2">
      <c r="A3332" s="1" t="s">
        <v>113</v>
      </c>
      <c r="C3332" s="4"/>
      <c r="D3332" s="8"/>
      <c r="E3332" s="4"/>
      <c r="F3332" s="8"/>
      <c r="G3332" s="4"/>
      <c r="H3332" s="8"/>
      <c r="I3332" s="4"/>
    </row>
    <row r="3333" spans="1:9" x14ac:dyDescent="0.2">
      <c r="A3333" s="2">
        <v>1</v>
      </c>
      <c r="B3333" s="1" t="s">
        <v>351</v>
      </c>
      <c r="C3333" s="4">
        <v>2</v>
      </c>
      <c r="D3333" s="8">
        <v>6.45</v>
      </c>
      <c r="E3333" s="4">
        <v>1</v>
      </c>
      <c r="F3333" s="8">
        <v>11.11</v>
      </c>
      <c r="G3333" s="4">
        <v>1</v>
      </c>
      <c r="H3333" s="8">
        <v>5.56</v>
      </c>
      <c r="I3333" s="4">
        <v>0</v>
      </c>
    </row>
    <row r="3334" spans="1:9" x14ac:dyDescent="0.2">
      <c r="A3334" s="2">
        <v>1</v>
      </c>
      <c r="B3334" s="1" t="s">
        <v>466</v>
      </c>
      <c r="C3334" s="4">
        <v>2</v>
      </c>
      <c r="D3334" s="8">
        <v>6.45</v>
      </c>
      <c r="E3334" s="4">
        <v>0</v>
      </c>
      <c r="F3334" s="8">
        <v>0</v>
      </c>
      <c r="G3334" s="4">
        <v>2</v>
      </c>
      <c r="H3334" s="8">
        <v>11.11</v>
      </c>
      <c r="I3334" s="4">
        <v>0</v>
      </c>
    </row>
    <row r="3335" spans="1:9" x14ac:dyDescent="0.2">
      <c r="A3335" s="2">
        <v>1</v>
      </c>
      <c r="B3335" s="1" t="s">
        <v>292</v>
      </c>
      <c r="C3335" s="4">
        <v>2</v>
      </c>
      <c r="D3335" s="8">
        <v>6.45</v>
      </c>
      <c r="E3335" s="4">
        <v>1</v>
      </c>
      <c r="F3335" s="8">
        <v>11.11</v>
      </c>
      <c r="G3335" s="4">
        <v>1</v>
      </c>
      <c r="H3335" s="8">
        <v>5.56</v>
      </c>
      <c r="I3335" s="4">
        <v>0</v>
      </c>
    </row>
    <row r="3336" spans="1:9" x14ac:dyDescent="0.2">
      <c r="A3336" s="2">
        <v>1</v>
      </c>
      <c r="B3336" s="1" t="s">
        <v>330</v>
      </c>
      <c r="C3336" s="4">
        <v>2</v>
      </c>
      <c r="D3336" s="8">
        <v>6.45</v>
      </c>
      <c r="E3336" s="4">
        <v>0</v>
      </c>
      <c r="F3336" s="8">
        <v>0</v>
      </c>
      <c r="G3336" s="4">
        <v>2</v>
      </c>
      <c r="H3336" s="8">
        <v>11.11</v>
      </c>
      <c r="I3336" s="4">
        <v>0</v>
      </c>
    </row>
    <row r="3337" spans="1:9" x14ac:dyDescent="0.2">
      <c r="A3337" s="2">
        <v>5</v>
      </c>
      <c r="B3337" s="1" t="s">
        <v>288</v>
      </c>
      <c r="C3337" s="4">
        <v>1</v>
      </c>
      <c r="D3337" s="8">
        <v>3.23</v>
      </c>
      <c r="E3337" s="4">
        <v>0</v>
      </c>
      <c r="F3337" s="8">
        <v>0</v>
      </c>
      <c r="G3337" s="4">
        <v>1</v>
      </c>
      <c r="H3337" s="8">
        <v>5.56</v>
      </c>
      <c r="I3337" s="4">
        <v>0</v>
      </c>
    </row>
    <row r="3338" spans="1:9" x14ac:dyDescent="0.2">
      <c r="A3338" s="2">
        <v>5</v>
      </c>
      <c r="B3338" s="1" t="s">
        <v>398</v>
      </c>
      <c r="C3338" s="4">
        <v>1</v>
      </c>
      <c r="D3338" s="8">
        <v>3.23</v>
      </c>
      <c r="E3338" s="4">
        <v>0</v>
      </c>
      <c r="F3338" s="8">
        <v>0</v>
      </c>
      <c r="G3338" s="4">
        <v>1</v>
      </c>
      <c r="H3338" s="8">
        <v>5.56</v>
      </c>
      <c r="I3338" s="4">
        <v>0</v>
      </c>
    </row>
    <row r="3339" spans="1:9" x14ac:dyDescent="0.2">
      <c r="A3339" s="2">
        <v>5</v>
      </c>
      <c r="B3339" s="1" t="s">
        <v>289</v>
      </c>
      <c r="C3339" s="4">
        <v>1</v>
      </c>
      <c r="D3339" s="8">
        <v>3.23</v>
      </c>
      <c r="E3339" s="4">
        <v>0</v>
      </c>
      <c r="F3339" s="8">
        <v>0</v>
      </c>
      <c r="G3339" s="4">
        <v>1</v>
      </c>
      <c r="H3339" s="8">
        <v>5.56</v>
      </c>
      <c r="I3339" s="4">
        <v>0</v>
      </c>
    </row>
    <row r="3340" spans="1:9" x14ac:dyDescent="0.2">
      <c r="A3340" s="2">
        <v>5</v>
      </c>
      <c r="B3340" s="1" t="s">
        <v>291</v>
      </c>
      <c r="C3340" s="4">
        <v>1</v>
      </c>
      <c r="D3340" s="8">
        <v>3.23</v>
      </c>
      <c r="E3340" s="4">
        <v>0</v>
      </c>
      <c r="F3340" s="8">
        <v>0</v>
      </c>
      <c r="G3340" s="4">
        <v>1</v>
      </c>
      <c r="H3340" s="8">
        <v>5.56</v>
      </c>
      <c r="I3340" s="4">
        <v>0</v>
      </c>
    </row>
    <row r="3341" spans="1:9" x14ac:dyDescent="0.2">
      <c r="A3341" s="2">
        <v>5</v>
      </c>
      <c r="B3341" s="1" t="s">
        <v>384</v>
      </c>
      <c r="C3341" s="4">
        <v>1</v>
      </c>
      <c r="D3341" s="8">
        <v>3.23</v>
      </c>
      <c r="E3341" s="4">
        <v>0</v>
      </c>
      <c r="F3341" s="8">
        <v>0</v>
      </c>
      <c r="G3341" s="4">
        <v>1</v>
      </c>
      <c r="H3341" s="8">
        <v>5.56</v>
      </c>
      <c r="I3341" s="4">
        <v>0</v>
      </c>
    </row>
    <row r="3342" spans="1:9" x14ac:dyDescent="0.2">
      <c r="A3342" s="2">
        <v>5</v>
      </c>
      <c r="B3342" s="1" t="s">
        <v>362</v>
      </c>
      <c r="C3342" s="4">
        <v>1</v>
      </c>
      <c r="D3342" s="8">
        <v>3.23</v>
      </c>
      <c r="E3342" s="4">
        <v>0</v>
      </c>
      <c r="F3342" s="8">
        <v>0</v>
      </c>
      <c r="G3342" s="4">
        <v>0</v>
      </c>
      <c r="H3342" s="8">
        <v>0</v>
      </c>
      <c r="I3342" s="4">
        <v>0</v>
      </c>
    </row>
    <row r="3343" spans="1:9" x14ac:dyDescent="0.2">
      <c r="A3343" s="2">
        <v>5</v>
      </c>
      <c r="B3343" s="1" t="s">
        <v>407</v>
      </c>
      <c r="C3343" s="4">
        <v>1</v>
      </c>
      <c r="D3343" s="8">
        <v>3.23</v>
      </c>
      <c r="E3343" s="4">
        <v>0</v>
      </c>
      <c r="F3343" s="8">
        <v>0</v>
      </c>
      <c r="G3343" s="4">
        <v>1</v>
      </c>
      <c r="H3343" s="8">
        <v>5.56</v>
      </c>
      <c r="I3343" s="4">
        <v>0</v>
      </c>
    </row>
    <row r="3344" spans="1:9" x14ac:dyDescent="0.2">
      <c r="A3344" s="2">
        <v>5</v>
      </c>
      <c r="B3344" s="1" t="s">
        <v>490</v>
      </c>
      <c r="C3344" s="4">
        <v>1</v>
      </c>
      <c r="D3344" s="8">
        <v>3.23</v>
      </c>
      <c r="E3344" s="4">
        <v>0</v>
      </c>
      <c r="F3344" s="8">
        <v>0</v>
      </c>
      <c r="G3344" s="4">
        <v>1</v>
      </c>
      <c r="H3344" s="8">
        <v>5.56</v>
      </c>
      <c r="I3344" s="4">
        <v>0</v>
      </c>
    </row>
    <row r="3345" spans="1:9" x14ac:dyDescent="0.2">
      <c r="A3345" s="2">
        <v>5</v>
      </c>
      <c r="B3345" s="1" t="s">
        <v>382</v>
      </c>
      <c r="C3345" s="4">
        <v>1</v>
      </c>
      <c r="D3345" s="8">
        <v>3.23</v>
      </c>
      <c r="E3345" s="4">
        <v>1</v>
      </c>
      <c r="F3345" s="8">
        <v>11.11</v>
      </c>
      <c r="G3345" s="4">
        <v>0</v>
      </c>
      <c r="H3345" s="8">
        <v>0</v>
      </c>
      <c r="I3345" s="4">
        <v>0</v>
      </c>
    </row>
    <row r="3346" spans="1:9" x14ac:dyDescent="0.2">
      <c r="A3346" s="2">
        <v>5</v>
      </c>
      <c r="B3346" s="1" t="s">
        <v>354</v>
      </c>
      <c r="C3346" s="4">
        <v>1</v>
      </c>
      <c r="D3346" s="8">
        <v>3.23</v>
      </c>
      <c r="E3346" s="4">
        <v>0</v>
      </c>
      <c r="F3346" s="8">
        <v>0</v>
      </c>
      <c r="G3346" s="4">
        <v>1</v>
      </c>
      <c r="H3346" s="8">
        <v>5.56</v>
      </c>
      <c r="I3346" s="4">
        <v>0</v>
      </c>
    </row>
    <row r="3347" spans="1:9" x14ac:dyDescent="0.2">
      <c r="A3347" s="2">
        <v>5</v>
      </c>
      <c r="B3347" s="1" t="s">
        <v>329</v>
      </c>
      <c r="C3347" s="4">
        <v>1</v>
      </c>
      <c r="D3347" s="8">
        <v>3.23</v>
      </c>
      <c r="E3347" s="4">
        <v>1</v>
      </c>
      <c r="F3347" s="8">
        <v>11.11</v>
      </c>
      <c r="G3347" s="4">
        <v>0</v>
      </c>
      <c r="H3347" s="8">
        <v>0</v>
      </c>
      <c r="I3347" s="4">
        <v>0</v>
      </c>
    </row>
    <row r="3348" spans="1:9" x14ac:dyDescent="0.2">
      <c r="A3348" s="2">
        <v>5</v>
      </c>
      <c r="B3348" s="1" t="s">
        <v>294</v>
      </c>
      <c r="C3348" s="4">
        <v>1</v>
      </c>
      <c r="D3348" s="8">
        <v>3.23</v>
      </c>
      <c r="E3348" s="4">
        <v>0</v>
      </c>
      <c r="F3348" s="8">
        <v>0</v>
      </c>
      <c r="G3348" s="4">
        <v>1</v>
      </c>
      <c r="H3348" s="8">
        <v>5.56</v>
      </c>
      <c r="I3348" s="4">
        <v>0</v>
      </c>
    </row>
    <row r="3349" spans="1:9" x14ac:dyDescent="0.2">
      <c r="A3349" s="2">
        <v>5</v>
      </c>
      <c r="B3349" s="1" t="s">
        <v>339</v>
      </c>
      <c r="C3349" s="4">
        <v>1</v>
      </c>
      <c r="D3349" s="8">
        <v>3.23</v>
      </c>
      <c r="E3349" s="4">
        <v>0</v>
      </c>
      <c r="F3349" s="8">
        <v>0</v>
      </c>
      <c r="G3349" s="4">
        <v>1</v>
      </c>
      <c r="H3349" s="8">
        <v>5.56</v>
      </c>
      <c r="I3349" s="4">
        <v>0</v>
      </c>
    </row>
    <row r="3350" spans="1:9" x14ac:dyDescent="0.2">
      <c r="A3350" s="2">
        <v>5</v>
      </c>
      <c r="B3350" s="1" t="s">
        <v>422</v>
      </c>
      <c r="C3350" s="4">
        <v>1</v>
      </c>
      <c r="D3350" s="8">
        <v>3.23</v>
      </c>
      <c r="E3350" s="4">
        <v>0</v>
      </c>
      <c r="F3350" s="8">
        <v>0</v>
      </c>
      <c r="G3350" s="4">
        <v>1</v>
      </c>
      <c r="H3350" s="8">
        <v>5.56</v>
      </c>
      <c r="I3350" s="4">
        <v>0</v>
      </c>
    </row>
    <row r="3351" spans="1:9" x14ac:dyDescent="0.2">
      <c r="A3351" s="2">
        <v>5</v>
      </c>
      <c r="B3351" s="1" t="s">
        <v>334</v>
      </c>
      <c r="C3351" s="4">
        <v>1</v>
      </c>
      <c r="D3351" s="8">
        <v>3.23</v>
      </c>
      <c r="E3351" s="4">
        <v>1</v>
      </c>
      <c r="F3351" s="8">
        <v>11.11</v>
      </c>
      <c r="G3351" s="4">
        <v>0</v>
      </c>
      <c r="H3351" s="8">
        <v>0</v>
      </c>
      <c r="I3351" s="4">
        <v>0</v>
      </c>
    </row>
    <row r="3352" spans="1:9" x14ac:dyDescent="0.2">
      <c r="A3352" s="2">
        <v>5</v>
      </c>
      <c r="B3352" s="1" t="s">
        <v>299</v>
      </c>
      <c r="C3352" s="4">
        <v>1</v>
      </c>
      <c r="D3352" s="8">
        <v>3.23</v>
      </c>
      <c r="E3352" s="4">
        <v>1</v>
      </c>
      <c r="F3352" s="8">
        <v>11.11</v>
      </c>
      <c r="G3352" s="4">
        <v>0</v>
      </c>
      <c r="H3352" s="8">
        <v>0</v>
      </c>
      <c r="I3352" s="4">
        <v>0</v>
      </c>
    </row>
    <row r="3353" spans="1:9" x14ac:dyDescent="0.2">
      <c r="A3353" s="2">
        <v>5</v>
      </c>
      <c r="B3353" s="1" t="s">
        <v>300</v>
      </c>
      <c r="C3353" s="4">
        <v>1</v>
      </c>
      <c r="D3353" s="8">
        <v>3.23</v>
      </c>
      <c r="E3353" s="4">
        <v>1</v>
      </c>
      <c r="F3353" s="8">
        <v>11.11</v>
      </c>
      <c r="G3353" s="4">
        <v>0</v>
      </c>
      <c r="H3353" s="8">
        <v>0</v>
      </c>
      <c r="I3353" s="4">
        <v>0</v>
      </c>
    </row>
    <row r="3354" spans="1:9" x14ac:dyDescent="0.2">
      <c r="A3354" s="2">
        <v>5</v>
      </c>
      <c r="B3354" s="1" t="s">
        <v>302</v>
      </c>
      <c r="C3354" s="4">
        <v>1</v>
      </c>
      <c r="D3354" s="8">
        <v>3.23</v>
      </c>
      <c r="E3354" s="4">
        <v>1</v>
      </c>
      <c r="F3354" s="8">
        <v>11.11</v>
      </c>
      <c r="G3354" s="4">
        <v>0</v>
      </c>
      <c r="H3354" s="8">
        <v>0</v>
      </c>
      <c r="I3354" s="4">
        <v>0</v>
      </c>
    </row>
    <row r="3355" spans="1:9" x14ac:dyDescent="0.2">
      <c r="A3355" s="2">
        <v>5</v>
      </c>
      <c r="B3355" s="1" t="s">
        <v>304</v>
      </c>
      <c r="C3355" s="4">
        <v>1</v>
      </c>
      <c r="D3355" s="8">
        <v>3.23</v>
      </c>
      <c r="E3355" s="4">
        <v>1</v>
      </c>
      <c r="F3355" s="8">
        <v>11.11</v>
      </c>
      <c r="G3355" s="4">
        <v>0</v>
      </c>
      <c r="H3355" s="8">
        <v>0</v>
      </c>
      <c r="I3355" s="4">
        <v>0</v>
      </c>
    </row>
    <row r="3356" spans="1:9" x14ac:dyDescent="0.2">
      <c r="A3356" s="2">
        <v>5</v>
      </c>
      <c r="B3356" s="1" t="s">
        <v>411</v>
      </c>
      <c r="C3356" s="4">
        <v>1</v>
      </c>
      <c r="D3356" s="8">
        <v>3.23</v>
      </c>
      <c r="E3356" s="4">
        <v>0</v>
      </c>
      <c r="F3356" s="8">
        <v>0</v>
      </c>
      <c r="G3356" s="4">
        <v>0</v>
      </c>
      <c r="H3356" s="8">
        <v>0</v>
      </c>
      <c r="I3356" s="4">
        <v>0</v>
      </c>
    </row>
    <row r="3357" spans="1:9" x14ac:dyDescent="0.2">
      <c r="A3357" s="2">
        <v>5</v>
      </c>
      <c r="B3357" s="1" t="s">
        <v>340</v>
      </c>
      <c r="C3357" s="4">
        <v>1</v>
      </c>
      <c r="D3357" s="8">
        <v>3.23</v>
      </c>
      <c r="E3357" s="4">
        <v>0</v>
      </c>
      <c r="F3357" s="8">
        <v>0</v>
      </c>
      <c r="G3357" s="4">
        <v>0</v>
      </c>
      <c r="H3357" s="8">
        <v>0</v>
      </c>
      <c r="I3357" s="4">
        <v>0</v>
      </c>
    </row>
    <row r="3358" spans="1:9" x14ac:dyDescent="0.2">
      <c r="A3358" s="2">
        <v>5</v>
      </c>
      <c r="B3358" s="1" t="s">
        <v>341</v>
      </c>
      <c r="C3358" s="4">
        <v>1</v>
      </c>
      <c r="D3358" s="8">
        <v>3.23</v>
      </c>
      <c r="E3358" s="4">
        <v>0</v>
      </c>
      <c r="F3358" s="8">
        <v>0</v>
      </c>
      <c r="G3358" s="4">
        <v>0</v>
      </c>
      <c r="H3358" s="8">
        <v>0</v>
      </c>
      <c r="I3358" s="4">
        <v>0</v>
      </c>
    </row>
    <row r="3359" spans="1:9" x14ac:dyDescent="0.2">
      <c r="A3359" s="2">
        <v>5</v>
      </c>
      <c r="B3359" s="1" t="s">
        <v>307</v>
      </c>
      <c r="C3359" s="4">
        <v>1</v>
      </c>
      <c r="D3359" s="8">
        <v>3.23</v>
      </c>
      <c r="E3359" s="4">
        <v>0</v>
      </c>
      <c r="F3359" s="8">
        <v>0</v>
      </c>
      <c r="G3359" s="4">
        <v>1</v>
      </c>
      <c r="H3359" s="8">
        <v>5.56</v>
      </c>
      <c r="I3359" s="4">
        <v>0</v>
      </c>
    </row>
    <row r="3360" spans="1:9" x14ac:dyDescent="0.2">
      <c r="A3360" s="1"/>
      <c r="C3360" s="4"/>
      <c r="D3360" s="8"/>
      <c r="E3360" s="4"/>
      <c r="F3360" s="8"/>
      <c r="G3360" s="4"/>
      <c r="H3360" s="8"/>
      <c r="I3360" s="4"/>
    </row>
    <row r="3361" spans="1:9" x14ac:dyDescent="0.2">
      <c r="A3361" s="1" t="s">
        <v>114</v>
      </c>
      <c r="C3361" s="4"/>
      <c r="D3361" s="8"/>
      <c r="E3361" s="4"/>
      <c r="F3361" s="8"/>
      <c r="G3361" s="4"/>
      <c r="H3361" s="8"/>
      <c r="I3361" s="4"/>
    </row>
    <row r="3362" spans="1:9" x14ac:dyDescent="0.2">
      <c r="A3362" s="2">
        <v>1</v>
      </c>
      <c r="B3362" s="1" t="s">
        <v>330</v>
      </c>
      <c r="C3362" s="4">
        <v>4</v>
      </c>
      <c r="D3362" s="8">
        <v>5.97</v>
      </c>
      <c r="E3362" s="4">
        <v>0</v>
      </c>
      <c r="F3362" s="8">
        <v>0</v>
      </c>
      <c r="G3362" s="4">
        <v>4</v>
      </c>
      <c r="H3362" s="8">
        <v>12.5</v>
      </c>
      <c r="I3362" s="4">
        <v>0</v>
      </c>
    </row>
    <row r="3363" spans="1:9" x14ac:dyDescent="0.2">
      <c r="A3363" s="2">
        <v>2</v>
      </c>
      <c r="B3363" s="1" t="s">
        <v>491</v>
      </c>
      <c r="C3363" s="4">
        <v>3</v>
      </c>
      <c r="D3363" s="8">
        <v>4.4800000000000004</v>
      </c>
      <c r="E3363" s="4">
        <v>3</v>
      </c>
      <c r="F3363" s="8">
        <v>9.09</v>
      </c>
      <c r="G3363" s="4">
        <v>0</v>
      </c>
      <c r="H3363" s="8">
        <v>0</v>
      </c>
      <c r="I3363" s="4">
        <v>0</v>
      </c>
    </row>
    <row r="3364" spans="1:9" x14ac:dyDescent="0.2">
      <c r="A3364" s="2">
        <v>2</v>
      </c>
      <c r="B3364" s="1" t="s">
        <v>300</v>
      </c>
      <c r="C3364" s="4">
        <v>3</v>
      </c>
      <c r="D3364" s="8">
        <v>4.4800000000000004</v>
      </c>
      <c r="E3364" s="4">
        <v>3</v>
      </c>
      <c r="F3364" s="8">
        <v>9.09</v>
      </c>
      <c r="G3364" s="4">
        <v>0</v>
      </c>
      <c r="H3364" s="8">
        <v>0</v>
      </c>
      <c r="I3364" s="4">
        <v>0</v>
      </c>
    </row>
    <row r="3365" spans="1:9" x14ac:dyDescent="0.2">
      <c r="A3365" s="2">
        <v>2</v>
      </c>
      <c r="B3365" s="1" t="s">
        <v>304</v>
      </c>
      <c r="C3365" s="4">
        <v>3</v>
      </c>
      <c r="D3365" s="8">
        <v>4.4800000000000004</v>
      </c>
      <c r="E3365" s="4">
        <v>3</v>
      </c>
      <c r="F3365" s="8">
        <v>9.09</v>
      </c>
      <c r="G3365" s="4">
        <v>0</v>
      </c>
      <c r="H3365" s="8">
        <v>0</v>
      </c>
      <c r="I3365" s="4">
        <v>0</v>
      </c>
    </row>
    <row r="3366" spans="1:9" x14ac:dyDescent="0.2">
      <c r="A3366" s="2">
        <v>5</v>
      </c>
      <c r="B3366" s="1" t="s">
        <v>385</v>
      </c>
      <c r="C3366" s="4">
        <v>2</v>
      </c>
      <c r="D3366" s="8">
        <v>2.99</v>
      </c>
      <c r="E3366" s="4">
        <v>0</v>
      </c>
      <c r="F3366" s="8">
        <v>0</v>
      </c>
      <c r="G3366" s="4">
        <v>2</v>
      </c>
      <c r="H3366" s="8">
        <v>6.25</v>
      </c>
      <c r="I3366" s="4">
        <v>0</v>
      </c>
    </row>
    <row r="3367" spans="1:9" x14ac:dyDescent="0.2">
      <c r="A3367" s="2">
        <v>5</v>
      </c>
      <c r="B3367" s="1" t="s">
        <v>432</v>
      </c>
      <c r="C3367" s="4">
        <v>2</v>
      </c>
      <c r="D3367" s="8">
        <v>2.99</v>
      </c>
      <c r="E3367" s="4">
        <v>0</v>
      </c>
      <c r="F3367" s="8">
        <v>0</v>
      </c>
      <c r="G3367" s="4">
        <v>2</v>
      </c>
      <c r="H3367" s="8">
        <v>6.25</v>
      </c>
      <c r="I3367" s="4">
        <v>0</v>
      </c>
    </row>
    <row r="3368" spans="1:9" x14ac:dyDescent="0.2">
      <c r="A3368" s="2">
        <v>5</v>
      </c>
      <c r="B3368" s="1" t="s">
        <v>335</v>
      </c>
      <c r="C3368" s="4">
        <v>2</v>
      </c>
      <c r="D3368" s="8">
        <v>2.99</v>
      </c>
      <c r="E3368" s="4">
        <v>1</v>
      </c>
      <c r="F3368" s="8">
        <v>3.03</v>
      </c>
      <c r="G3368" s="4">
        <v>1</v>
      </c>
      <c r="H3368" s="8">
        <v>3.13</v>
      </c>
      <c r="I3368" s="4">
        <v>0</v>
      </c>
    </row>
    <row r="3369" spans="1:9" x14ac:dyDescent="0.2">
      <c r="A3369" s="2">
        <v>5</v>
      </c>
      <c r="B3369" s="1" t="s">
        <v>344</v>
      </c>
      <c r="C3369" s="4">
        <v>2</v>
      </c>
      <c r="D3369" s="8">
        <v>2.99</v>
      </c>
      <c r="E3369" s="4">
        <v>2</v>
      </c>
      <c r="F3369" s="8">
        <v>6.06</v>
      </c>
      <c r="G3369" s="4">
        <v>0</v>
      </c>
      <c r="H3369" s="8">
        <v>0</v>
      </c>
      <c r="I3369" s="4">
        <v>0</v>
      </c>
    </row>
    <row r="3370" spans="1:9" x14ac:dyDescent="0.2">
      <c r="A3370" s="2">
        <v>5</v>
      </c>
      <c r="B3370" s="1" t="s">
        <v>297</v>
      </c>
      <c r="C3370" s="4">
        <v>2</v>
      </c>
      <c r="D3370" s="8">
        <v>2.99</v>
      </c>
      <c r="E3370" s="4">
        <v>0</v>
      </c>
      <c r="F3370" s="8">
        <v>0</v>
      </c>
      <c r="G3370" s="4">
        <v>2</v>
      </c>
      <c r="H3370" s="8">
        <v>6.25</v>
      </c>
      <c r="I3370" s="4">
        <v>0</v>
      </c>
    </row>
    <row r="3371" spans="1:9" x14ac:dyDescent="0.2">
      <c r="A3371" s="2">
        <v>5</v>
      </c>
      <c r="B3371" s="1" t="s">
        <v>301</v>
      </c>
      <c r="C3371" s="4">
        <v>2</v>
      </c>
      <c r="D3371" s="8">
        <v>2.99</v>
      </c>
      <c r="E3371" s="4">
        <v>2</v>
      </c>
      <c r="F3371" s="8">
        <v>6.06</v>
      </c>
      <c r="G3371" s="4">
        <v>0</v>
      </c>
      <c r="H3371" s="8">
        <v>0</v>
      </c>
      <c r="I3371" s="4">
        <v>0</v>
      </c>
    </row>
    <row r="3372" spans="1:9" x14ac:dyDescent="0.2">
      <c r="A3372" s="2">
        <v>5</v>
      </c>
      <c r="B3372" s="1" t="s">
        <v>303</v>
      </c>
      <c r="C3372" s="4">
        <v>2</v>
      </c>
      <c r="D3372" s="8">
        <v>2.99</v>
      </c>
      <c r="E3372" s="4">
        <v>2</v>
      </c>
      <c r="F3372" s="8">
        <v>6.06</v>
      </c>
      <c r="G3372" s="4">
        <v>0</v>
      </c>
      <c r="H3372" s="8">
        <v>0</v>
      </c>
      <c r="I3372" s="4">
        <v>0</v>
      </c>
    </row>
    <row r="3373" spans="1:9" x14ac:dyDescent="0.2">
      <c r="A3373" s="2">
        <v>5</v>
      </c>
      <c r="B3373" s="1" t="s">
        <v>340</v>
      </c>
      <c r="C3373" s="4">
        <v>2</v>
      </c>
      <c r="D3373" s="8">
        <v>2.99</v>
      </c>
      <c r="E3373" s="4">
        <v>0</v>
      </c>
      <c r="F3373" s="8">
        <v>0</v>
      </c>
      <c r="G3373" s="4">
        <v>1</v>
      </c>
      <c r="H3373" s="8">
        <v>3.13</v>
      </c>
      <c r="I3373" s="4">
        <v>0</v>
      </c>
    </row>
    <row r="3374" spans="1:9" x14ac:dyDescent="0.2">
      <c r="A3374" s="2">
        <v>13</v>
      </c>
      <c r="B3374" s="1" t="s">
        <v>288</v>
      </c>
      <c r="C3374" s="4">
        <v>1</v>
      </c>
      <c r="D3374" s="8">
        <v>1.49</v>
      </c>
      <c r="E3374" s="4">
        <v>0</v>
      </c>
      <c r="F3374" s="8">
        <v>0</v>
      </c>
      <c r="G3374" s="4">
        <v>1</v>
      </c>
      <c r="H3374" s="8">
        <v>3.13</v>
      </c>
      <c r="I3374" s="4">
        <v>0</v>
      </c>
    </row>
    <row r="3375" spans="1:9" x14ac:dyDescent="0.2">
      <c r="A3375" s="2">
        <v>13</v>
      </c>
      <c r="B3375" s="1" t="s">
        <v>328</v>
      </c>
      <c r="C3375" s="4">
        <v>1</v>
      </c>
      <c r="D3375" s="8">
        <v>1.49</v>
      </c>
      <c r="E3375" s="4">
        <v>0</v>
      </c>
      <c r="F3375" s="8">
        <v>0</v>
      </c>
      <c r="G3375" s="4">
        <v>1</v>
      </c>
      <c r="H3375" s="8">
        <v>3.13</v>
      </c>
      <c r="I3375" s="4">
        <v>0</v>
      </c>
    </row>
    <row r="3376" spans="1:9" x14ac:dyDescent="0.2">
      <c r="A3376" s="2">
        <v>13</v>
      </c>
      <c r="B3376" s="1" t="s">
        <v>333</v>
      </c>
      <c r="C3376" s="4">
        <v>1</v>
      </c>
      <c r="D3376" s="8">
        <v>1.49</v>
      </c>
      <c r="E3376" s="4">
        <v>1</v>
      </c>
      <c r="F3376" s="8">
        <v>3.03</v>
      </c>
      <c r="G3376" s="4">
        <v>0</v>
      </c>
      <c r="H3376" s="8">
        <v>0</v>
      </c>
      <c r="I3376" s="4">
        <v>0</v>
      </c>
    </row>
    <row r="3377" spans="1:9" x14ac:dyDescent="0.2">
      <c r="A3377" s="2">
        <v>13</v>
      </c>
      <c r="B3377" s="1" t="s">
        <v>290</v>
      </c>
      <c r="C3377" s="4">
        <v>1</v>
      </c>
      <c r="D3377" s="8">
        <v>1.49</v>
      </c>
      <c r="E3377" s="4">
        <v>0</v>
      </c>
      <c r="F3377" s="8">
        <v>0</v>
      </c>
      <c r="G3377" s="4">
        <v>1</v>
      </c>
      <c r="H3377" s="8">
        <v>3.13</v>
      </c>
      <c r="I3377" s="4">
        <v>0</v>
      </c>
    </row>
    <row r="3378" spans="1:9" x14ac:dyDescent="0.2">
      <c r="A3378" s="2">
        <v>13</v>
      </c>
      <c r="B3378" s="1" t="s">
        <v>413</v>
      </c>
      <c r="C3378" s="4">
        <v>1</v>
      </c>
      <c r="D3378" s="8">
        <v>1.49</v>
      </c>
      <c r="E3378" s="4">
        <v>0</v>
      </c>
      <c r="F3378" s="8">
        <v>0</v>
      </c>
      <c r="G3378" s="4">
        <v>1</v>
      </c>
      <c r="H3378" s="8">
        <v>3.13</v>
      </c>
      <c r="I3378" s="4">
        <v>0</v>
      </c>
    </row>
    <row r="3379" spans="1:9" x14ac:dyDescent="0.2">
      <c r="A3379" s="2">
        <v>13</v>
      </c>
      <c r="B3379" s="1" t="s">
        <v>378</v>
      </c>
      <c r="C3379" s="4">
        <v>1</v>
      </c>
      <c r="D3379" s="8">
        <v>1.49</v>
      </c>
      <c r="E3379" s="4">
        <v>0</v>
      </c>
      <c r="F3379" s="8">
        <v>0</v>
      </c>
      <c r="G3379" s="4">
        <v>1</v>
      </c>
      <c r="H3379" s="8">
        <v>3.13</v>
      </c>
      <c r="I3379" s="4">
        <v>0</v>
      </c>
    </row>
    <row r="3380" spans="1:9" x14ac:dyDescent="0.2">
      <c r="A3380" s="2">
        <v>13</v>
      </c>
      <c r="B3380" s="1" t="s">
        <v>480</v>
      </c>
      <c r="C3380" s="4">
        <v>1</v>
      </c>
      <c r="D3380" s="8">
        <v>1.49</v>
      </c>
      <c r="E3380" s="4">
        <v>1</v>
      </c>
      <c r="F3380" s="8">
        <v>3.03</v>
      </c>
      <c r="G3380" s="4">
        <v>0</v>
      </c>
      <c r="H3380" s="8">
        <v>0</v>
      </c>
      <c r="I3380" s="4">
        <v>0</v>
      </c>
    </row>
    <row r="3381" spans="1:9" x14ac:dyDescent="0.2">
      <c r="A3381" s="2">
        <v>13</v>
      </c>
      <c r="B3381" s="1" t="s">
        <v>374</v>
      </c>
      <c r="C3381" s="4">
        <v>1</v>
      </c>
      <c r="D3381" s="8">
        <v>1.49</v>
      </c>
      <c r="E3381" s="4">
        <v>1</v>
      </c>
      <c r="F3381" s="8">
        <v>3.03</v>
      </c>
      <c r="G3381" s="4">
        <v>0</v>
      </c>
      <c r="H3381" s="8">
        <v>0</v>
      </c>
      <c r="I3381" s="4">
        <v>0</v>
      </c>
    </row>
    <row r="3382" spans="1:9" x14ac:dyDescent="0.2">
      <c r="A3382" s="2">
        <v>13</v>
      </c>
      <c r="B3382" s="1" t="s">
        <v>407</v>
      </c>
      <c r="C3382" s="4">
        <v>1</v>
      </c>
      <c r="D3382" s="8">
        <v>1.49</v>
      </c>
      <c r="E3382" s="4">
        <v>0</v>
      </c>
      <c r="F3382" s="8">
        <v>0</v>
      </c>
      <c r="G3382" s="4">
        <v>1</v>
      </c>
      <c r="H3382" s="8">
        <v>3.13</v>
      </c>
      <c r="I3382" s="4">
        <v>0</v>
      </c>
    </row>
    <row r="3383" spans="1:9" x14ac:dyDescent="0.2">
      <c r="A3383" s="2">
        <v>13</v>
      </c>
      <c r="B3383" s="1" t="s">
        <v>478</v>
      </c>
      <c r="C3383" s="4">
        <v>1</v>
      </c>
      <c r="D3383" s="8">
        <v>1.49</v>
      </c>
      <c r="E3383" s="4">
        <v>0</v>
      </c>
      <c r="F3383" s="8">
        <v>0</v>
      </c>
      <c r="G3383" s="4">
        <v>1</v>
      </c>
      <c r="H3383" s="8">
        <v>3.13</v>
      </c>
      <c r="I3383" s="4">
        <v>0</v>
      </c>
    </row>
    <row r="3384" spans="1:9" x14ac:dyDescent="0.2">
      <c r="A3384" s="2">
        <v>13</v>
      </c>
      <c r="B3384" s="1" t="s">
        <v>364</v>
      </c>
      <c r="C3384" s="4">
        <v>1</v>
      </c>
      <c r="D3384" s="8">
        <v>1.49</v>
      </c>
      <c r="E3384" s="4">
        <v>0</v>
      </c>
      <c r="F3384" s="8">
        <v>0</v>
      </c>
      <c r="G3384" s="4">
        <v>0</v>
      </c>
      <c r="H3384" s="8">
        <v>0</v>
      </c>
      <c r="I3384" s="4">
        <v>1</v>
      </c>
    </row>
    <row r="3385" spans="1:9" x14ac:dyDescent="0.2">
      <c r="A3385" s="2">
        <v>13</v>
      </c>
      <c r="B3385" s="1" t="s">
        <v>324</v>
      </c>
      <c r="C3385" s="4">
        <v>1</v>
      </c>
      <c r="D3385" s="8">
        <v>1.49</v>
      </c>
      <c r="E3385" s="4">
        <v>1</v>
      </c>
      <c r="F3385" s="8">
        <v>3.03</v>
      </c>
      <c r="G3385" s="4">
        <v>0</v>
      </c>
      <c r="H3385" s="8">
        <v>0</v>
      </c>
      <c r="I3385" s="4">
        <v>0</v>
      </c>
    </row>
    <row r="3386" spans="1:9" x14ac:dyDescent="0.2">
      <c r="A3386" s="2">
        <v>13</v>
      </c>
      <c r="B3386" s="1" t="s">
        <v>321</v>
      </c>
      <c r="C3386" s="4">
        <v>1</v>
      </c>
      <c r="D3386" s="8">
        <v>1.49</v>
      </c>
      <c r="E3386" s="4">
        <v>1</v>
      </c>
      <c r="F3386" s="8">
        <v>3.03</v>
      </c>
      <c r="G3386" s="4">
        <v>0</v>
      </c>
      <c r="H3386" s="8">
        <v>0</v>
      </c>
      <c r="I3386" s="4">
        <v>0</v>
      </c>
    </row>
    <row r="3387" spans="1:9" x14ac:dyDescent="0.2">
      <c r="A3387" s="2">
        <v>13</v>
      </c>
      <c r="B3387" s="1" t="s">
        <v>309</v>
      </c>
      <c r="C3387" s="4">
        <v>1</v>
      </c>
      <c r="D3387" s="8">
        <v>1.49</v>
      </c>
      <c r="E3387" s="4">
        <v>1</v>
      </c>
      <c r="F3387" s="8">
        <v>3.03</v>
      </c>
      <c r="G3387" s="4">
        <v>0</v>
      </c>
      <c r="H3387" s="8">
        <v>0</v>
      </c>
      <c r="I3387" s="4">
        <v>0</v>
      </c>
    </row>
    <row r="3388" spans="1:9" x14ac:dyDescent="0.2">
      <c r="A3388" s="2">
        <v>13</v>
      </c>
      <c r="B3388" s="1" t="s">
        <v>400</v>
      </c>
      <c r="C3388" s="4">
        <v>1</v>
      </c>
      <c r="D3388" s="8">
        <v>1.49</v>
      </c>
      <c r="E3388" s="4">
        <v>1</v>
      </c>
      <c r="F3388" s="8">
        <v>3.03</v>
      </c>
      <c r="G3388" s="4">
        <v>0</v>
      </c>
      <c r="H3388" s="8">
        <v>0</v>
      </c>
      <c r="I3388" s="4">
        <v>0</v>
      </c>
    </row>
    <row r="3389" spans="1:9" x14ac:dyDescent="0.2">
      <c r="A3389" s="2">
        <v>13</v>
      </c>
      <c r="B3389" s="1" t="s">
        <v>314</v>
      </c>
      <c r="C3389" s="4">
        <v>1</v>
      </c>
      <c r="D3389" s="8">
        <v>1.49</v>
      </c>
      <c r="E3389" s="4">
        <v>1</v>
      </c>
      <c r="F3389" s="8">
        <v>3.03</v>
      </c>
      <c r="G3389" s="4">
        <v>0</v>
      </c>
      <c r="H3389" s="8">
        <v>0</v>
      </c>
      <c r="I3389" s="4">
        <v>0</v>
      </c>
    </row>
    <row r="3390" spans="1:9" x14ac:dyDescent="0.2">
      <c r="A3390" s="2">
        <v>13</v>
      </c>
      <c r="B3390" s="1" t="s">
        <v>354</v>
      </c>
      <c r="C3390" s="4">
        <v>1</v>
      </c>
      <c r="D3390" s="8">
        <v>1.49</v>
      </c>
      <c r="E3390" s="4">
        <v>0</v>
      </c>
      <c r="F3390" s="8">
        <v>0</v>
      </c>
      <c r="G3390" s="4">
        <v>1</v>
      </c>
      <c r="H3390" s="8">
        <v>3.13</v>
      </c>
      <c r="I3390" s="4">
        <v>0</v>
      </c>
    </row>
    <row r="3391" spans="1:9" x14ac:dyDescent="0.2">
      <c r="A3391" s="2">
        <v>13</v>
      </c>
      <c r="B3391" s="1" t="s">
        <v>329</v>
      </c>
      <c r="C3391" s="4">
        <v>1</v>
      </c>
      <c r="D3391" s="8">
        <v>1.49</v>
      </c>
      <c r="E3391" s="4">
        <v>1</v>
      </c>
      <c r="F3391" s="8">
        <v>3.03</v>
      </c>
      <c r="G3391" s="4">
        <v>0</v>
      </c>
      <c r="H3391" s="8">
        <v>0</v>
      </c>
      <c r="I3391" s="4">
        <v>0</v>
      </c>
    </row>
    <row r="3392" spans="1:9" x14ac:dyDescent="0.2">
      <c r="A3392" s="2">
        <v>13</v>
      </c>
      <c r="B3392" s="1" t="s">
        <v>292</v>
      </c>
      <c r="C3392" s="4">
        <v>1</v>
      </c>
      <c r="D3392" s="8">
        <v>1.49</v>
      </c>
      <c r="E3392" s="4">
        <v>0</v>
      </c>
      <c r="F3392" s="8">
        <v>0</v>
      </c>
      <c r="G3392" s="4">
        <v>1</v>
      </c>
      <c r="H3392" s="8">
        <v>3.13</v>
      </c>
      <c r="I3392" s="4">
        <v>0</v>
      </c>
    </row>
    <row r="3393" spans="1:9" x14ac:dyDescent="0.2">
      <c r="A3393" s="2">
        <v>13</v>
      </c>
      <c r="B3393" s="1" t="s">
        <v>293</v>
      </c>
      <c r="C3393" s="4">
        <v>1</v>
      </c>
      <c r="D3393" s="8">
        <v>1.49</v>
      </c>
      <c r="E3393" s="4">
        <v>0</v>
      </c>
      <c r="F3393" s="8">
        <v>0</v>
      </c>
      <c r="G3393" s="4">
        <v>1</v>
      </c>
      <c r="H3393" s="8">
        <v>3.13</v>
      </c>
      <c r="I3393" s="4">
        <v>0</v>
      </c>
    </row>
    <row r="3394" spans="1:9" x14ac:dyDescent="0.2">
      <c r="A3394" s="2">
        <v>13</v>
      </c>
      <c r="B3394" s="1" t="s">
        <v>337</v>
      </c>
      <c r="C3394" s="4">
        <v>1</v>
      </c>
      <c r="D3394" s="8">
        <v>1.49</v>
      </c>
      <c r="E3394" s="4">
        <v>1</v>
      </c>
      <c r="F3394" s="8">
        <v>3.03</v>
      </c>
      <c r="G3394" s="4">
        <v>0</v>
      </c>
      <c r="H3394" s="8">
        <v>0</v>
      </c>
      <c r="I3394" s="4">
        <v>0</v>
      </c>
    </row>
    <row r="3395" spans="1:9" x14ac:dyDescent="0.2">
      <c r="A3395" s="2">
        <v>13</v>
      </c>
      <c r="B3395" s="1" t="s">
        <v>373</v>
      </c>
      <c r="C3395" s="4">
        <v>1</v>
      </c>
      <c r="D3395" s="8">
        <v>1.49</v>
      </c>
      <c r="E3395" s="4">
        <v>1</v>
      </c>
      <c r="F3395" s="8">
        <v>3.03</v>
      </c>
      <c r="G3395" s="4">
        <v>0</v>
      </c>
      <c r="H3395" s="8">
        <v>0</v>
      </c>
      <c r="I3395" s="4">
        <v>0</v>
      </c>
    </row>
    <row r="3396" spans="1:9" x14ac:dyDescent="0.2">
      <c r="A3396" s="2">
        <v>13</v>
      </c>
      <c r="B3396" s="1" t="s">
        <v>295</v>
      </c>
      <c r="C3396" s="4">
        <v>1</v>
      </c>
      <c r="D3396" s="8">
        <v>1.49</v>
      </c>
      <c r="E3396" s="4">
        <v>0</v>
      </c>
      <c r="F3396" s="8">
        <v>0</v>
      </c>
      <c r="G3396" s="4">
        <v>1</v>
      </c>
      <c r="H3396" s="8">
        <v>3.13</v>
      </c>
      <c r="I3396" s="4">
        <v>0</v>
      </c>
    </row>
    <row r="3397" spans="1:9" x14ac:dyDescent="0.2">
      <c r="A3397" s="2">
        <v>13</v>
      </c>
      <c r="B3397" s="1" t="s">
        <v>488</v>
      </c>
      <c r="C3397" s="4">
        <v>1</v>
      </c>
      <c r="D3397" s="8">
        <v>1.49</v>
      </c>
      <c r="E3397" s="4">
        <v>0</v>
      </c>
      <c r="F3397" s="8">
        <v>0</v>
      </c>
      <c r="G3397" s="4">
        <v>1</v>
      </c>
      <c r="H3397" s="8">
        <v>3.13</v>
      </c>
      <c r="I3397" s="4">
        <v>0</v>
      </c>
    </row>
    <row r="3398" spans="1:9" x14ac:dyDescent="0.2">
      <c r="A3398" s="2">
        <v>13</v>
      </c>
      <c r="B3398" s="1" t="s">
        <v>415</v>
      </c>
      <c r="C3398" s="4">
        <v>1</v>
      </c>
      <c r="D3398" s="8">
        <v>1.49</v>
      </c>
      <c r="E3398" s="4">
        <v>0</v>
      </c>
      <c r="F3398" s="8">
        <v>0</v>
      </c>
      <c r="G3398" s="4">
        <v>1</v>
      </c>
      <c r="H3398" s="8">
        <v>3.13</v>
      </c>
      <c r="I3398" s="4">
        <v>0</v>
      </c>
    </row>
    <row r="3399" spans="1:9" x14ac:dyDescent="0.2">
      <c r="A3399" s="2">
        <v>13</v>
      </c>
      <c r="B3399" s="1" t="s">
        <v>396</v>
      </c>
      <c r="C3399" s="4">
        <v>1</v>
      </c>
      <c r="D3399" s="8">
        <v>1.49</v>
      </c>
      <c r="E3399" s="4">
        <v>1</v>
      </c>
      <c r="F3399" s="8">
        <v>3.03</v>
      </c>
      <c r="G3399" s="4">
        <v>0</v>
      </c>
      <c r="H3399" s="8">
        <v>0</v>
      </c>
      <c r="I3399" s="4">
        <v>0</v>
      </c>
    </row>
    <row r="3400" spans="1:9" x14ac:dyDescent="0.2">
      <c r="A3400" s="2">
        <v>13</v>
      </c>
      <c r="B3400" s="1" t="s">
        <v>403</v>
      </c>
      <c r="C3400" s="4">
        <v>1</v>
      </c>
      <c r="D3400" s="8">
        <v>1.49</v>
      </c>
      <c r="E3400" s="4">
        <v>0</v>
      </c>
      <c r="F3400" s="8">
        <v>0</v>
      </c>
      <c r="G3400" s="4">
        <v>1</v>
      </c>
      <c r="H3400" s="8">
        <v>3.13</v>
      </c>
      <c r="I3400" s="4">
        <v>0</v>
      </c>
    </row>
    <row r="3401" spans="1:9" x14ac:dyDescent="0.2">
      <c r="A3401" s="2">
        <v>13</v>
      </c>
      <c r="B3401" s="1" t="s">
        <v>482</v>
      </c>
      <c r="C3401" s="4">
        <v>1</v>
      </c>
      <c r="D3401" s="8">
        <v>1.49</v>
      </c>
      <c r="E3401" s="4">
        <v>1</v>
      </c>
      <c r="F3401" s="8">
        <v>3.03</v>
      </c>
      <c r="G3401" s="4">
        <v>0</v>
      </c>
      <c r="H3401" s="8">
        <v>0</v>
      </c>
      <c r="I3401" s="4">
        <v>0</v>
      </c>
    </row>
    <row r="3402" spans="1:9" x14ac:dyDescent="0.2">
      <c r="A3402" s="2">
        <v>13</v>
      </c>
      <c r="B3402" s="1" t="s">
        <v>409</v>
      </c>
      <c r="C3402" s="4">
        <v>1</v>
      </c>
      <c r="D3402" s="8">
        <v>1.49</v>
      </c>
      <c r="E3402" s="4">
        <v>0</v>
      </c>
      <c r="F3402" s="8">
        <v>0</v>
      </c>
      <c r="G3402" s="4">
        <v>1</v>
      </c>
      <c r="H3402" s="8">
        <v>3.13</v>
      </c>
      <c r="I3402" s="4">
        <v>0</v>
      </c>
    </row>
    <row r="3403" spans="1:9" x14ac:dyDescent="0.2">
      <c r="A3403" s="2">
        <v>13</v>
      </c>
      <c r="B3403" s="1" t="s">
        <v>405</v>
      </c>
      <c r="C3403" s="4">
        <v>1</v>
      </c>
      <c r="D3403" s="8">
        <v>1.49</v>
      </c>
      <c r="E3403" s="4">
        <v>0</v>
      </c>
      <c r="F3403" s="8">
        <v>0</v>
      </c>
      <c r="G3403" s="4">
        <v>1</v>
      </c>
      <c r="H3403" s="8">
        <v>3.13</v>
      </c>
      <c r="I3403" s="4">
        <v>0</v>
      </c>
    </row>
    <row r="3404" spans="1:9" x14ac:dyDescent="0.2">
      <c r="A3404" s="2">
        <v>13</v>
      </c>
      <c r="B3404" s="1" t="s">
        <v>334</v>
      </c>
      <c r="C3404" s="4">
        <v>1</v>
      </c>
      <c r="D3404" s="8">
        <v>1.49</v>
      </c>
      <c r="E3404" s="4">
        <v>1</v>
      </c>
      <c r="F3404" s="8">
        <v>3.03</v>
      </c>
      <c r="G3404" s="4">
        <v>0</v>
      </c>
      <c r="H3404" s="8">
        <v>0</v>
      </c>
      <c r="I3404" s="4">
        <v>0</v>
      </c>
    </row>
    <row r="3405" spans="1:9" x14ac:dyDescent="0.2">
      <c r="A3405" s="2">
        <v>13</v>
      </c>
      <c r="B3405" s="1" t="s">
        <v>299</v>
      </c>
      <c r="C3405" s="4">
        <v>1</v>
      </c>
      <c r="D3405" s="8">
        <v>1.49</v>
      </c>
      <c r="E3405" s="4">
        <v>1</v>
      </c>
      <c r="F3405" s="8">
        <v>3.03</v>
      </c>
      <c r="G3405" s="4">
        <v>0</v>
      </c>
      <c r="H3405" s="8">
        <v>0</v>
      </c>
      <c r="I3405" s="4">
        <v>0</v>
      </c>
    </row>
    <row r="3406" spans="1:9" x14ac:dyDescent="0.2">
      <c r="A3406" s="2">
        <v>13</v>
      </c>
      <c r="B3406" s="1" t="s">
        <v>325</v>
      </c>
      <c r="C3406" s="4">
        <v>1</v>
      </c>
      <c r="D3406" s="8">
        <v>1.49</v>
      </c>
      <c r="E3406" s="4">
        <v>0</v>
      </c>
      <c r="F3406" s="8">
        <v>0</v>
      </c>
      <c r="G3406" s="4">
        <v>1</v>
      </c>
      <c r="H3406" s="8">
        <v>3.13</v>
      </c>
      <c r="I3406" s="4">
        <v>0</v>
      </c>
    </row>
    <row r="3407" spans="1:9" x14ac:dyDescent="0.2">
      <c r="A3407" s="2">
        <v>13</v>
      </c>
      <c r="B3407" s="1" t="s">
        <v>468</v>
      </c>
      <c r="C3407" s="4">
        <v>1</v>
      </c>
      <c r="D3407" s="8">
        <v>1.49</v>
      </c>
      <c r="E3407" s="4">
        <v>1</v>
      </c>
      <c r="F3407" s="8">
        <v>3.03</v>
      </c>
      <c r="G3407" s="4">
        <v>0</v>
      </c>
      <c r="H3407" s="8">
        <v>0</v>
      </c>
      <c r="I3407" s="4">
        <v>0</v>
      </c>
    </row>
    <row r="3408" spans="1:9" x14ac:dyDescent="0.2">
      <c r="A3408" s="2">
        <v>13</v>
      </c>
      <c r="B3408" s="1" t="s">
        <v>492</v>
      </c>
      <c r="C3408" s="4">
        <v>1</v>
      </c>
      <c r="D3408" s="8">
        <v>1.49</v>
      </c>
      <c r="E3408" s="4">
        <v>0</v>
      </c>
      <c r="F3408" s="8">
        <v>0</v>
      </c>
      <c r="G3408" s="4">
        <v>1</v>
      </c>
      <c r="H3408" s="8">
        <v>3.13</v>
      </c>
      <c r="I3408" s="4">
        <v>0</v>
      </c>
    </row>
    <row r="3409" spans="1:9" x14ac:dyDescent="0.2">
      <c r="A3409" s="2">
        <v>13</v>
      </c>
      <c r="B3409" s="1" t="s">
        <v>312</v>
      </c>
      <c r="C3409" s="4">
        <v>1</v>
      </c>
      <c r="D3409" s="8">
        <v>1.49</v>
      </c>
      <c r="E3409" s="4">
        <v>0</v>
      </c>
      <c r="F3409" s="8">
        <v>0</v>
      </c>
      <c r="G3409" s="4">
        <v>1</v>
      </c>
      <c r="H3409" s="8">
        <v>3.13</v>
      </c>
      <c r="I3409" s="4">
        <v>0</v>
      </c>
    </row>
    <row r="3410" spans="1:9" x14ac:dyDescent="0.2">
      <c r="A3410" s="2">
        <v>13</v>
      </c>
      <c r="B3410" s="1" t="s">
        <v>307</v>
      </c>
      <c r="C3410" s="4">
        <v>1</v>
      </c>
      <c r="D3410" s="8">
        <v>1.49</v>
      </c>
      <c r="E3410" s="4">
        <v>1</v>
      </c>
      <c r="F3410" s="8">
        <v>3.03</v>
      </c>
      <c r="G3410" s="4">
        <v>0</v>
      </c>
      <c r="H3410" s="8">
        <v>0</v>
      </c>
      <c r="I3410" s="4">
        <v>0</v>
      </c>
    </row>
    <row r="3411" spans="1:9" x14ac:dyDescent="0.2">
      <c r="A3411" s="2">
        <v>13</v>
      </c>
      <c r="B3411" s="1" t="s">
        <v>493</v>
      </c>
      <c r="C3411" s="4">
        <v>1</v>
      </c>
      <c r="D3411" s="8">
        <v>1.49</v>
      </c>
      <c r="E3411" s="4">
        <v>0</v>
      </c>
      <c r="F3411" s="8">
        <v>0</v>
      </c>
      <c r="G3411" s="4">
        <v>1</v>
      </c>
      <c r="H3411" s="8">
        <v>3.13</v>
      </c>
      <c r="I3411" s="4">
        <v>0</v>
      </c>
    </row>
    <row r="3412" spans="1:9" x14ac:dyDescent="0.2">
      <c r="A3412" s="1"/>
      <c r="C3412" s="4"/>
      <c r="D3412" s="8"/>
      <c r="E3412" s="4"/>
      <c r="F3412" s="8"/>
      <c r="G3412" s="4"/>
      <c r="H3412" s="8"/>
      <c r="I3412" s="4"/>
    </row>
    <row r="3413" spans="1:9" x14ac:dyDescent="0.2">
      <c r="A3413" s="1" t="s">
        <v>115</v>
      </c>
      <c r="C3413" s="4"/>
      <c r="D3413" s="8"/>
      <c r="E3413" s="4"/>
      <c r="F3413" s="8"/>
      <c r="G3413" s="4"/>
      <c r="H3413" s="8"/>
      <c r="I3413" s="4"/>
    </row>
    <row r="3414" spans="1:9" x14ac:dyDescent="0.2">
      <c r="A3414" s="2">
        <v>1</v>
      </c>
      <c r="B3414" s="1" t="s">
        <v>494</v>
      </c>
      <c r="C3414" s="4">
        <v>6</v>
      </c>
      <c r="D3414" s="8">
        <v>12.77</v>
      </c>
      <c r="E3414" s="4">
        <v>2</v>
      </c>
      <c r="F3414" s="8">
        <v>9.09</v>
      </c>
      <c r="G3414" s="4">
        <v>4</v>
      </c>
      <c r="H3414" s="8">
        <v>20</v>
      </c>
      <c r="I3414" s="4">
        <v>0</v>
      </c>
    </row>
    <row r="3415" spans="1:9" x14ac:dyDescent="0.2">
      <c r="A3415" s="2">
        <v>2</v>
      </c>
      <c r="B3415" s="1" t="s">
        <v>288</v>
      </c>
      <c r="C3415" s="4">
        <v>2</v>
      </c>
      <c r="D3415" s="8">
        <v>4.26</v>
      </c>
      <c r="E3415" s="4">
        <v>0</v>
      </c>
      <c r="F3415" s="8">
        <v>0</v>
      </c>
      <c r="G3415" s="4">
        <v>2</v>
      </c>
      <c r="H3415" s="8">
        <v>10</v>
      </c>
      <c r="I3415" s="4">
        <v>0</v>
      </c>
    </row>
    <row r="3416" spans="1:9" x14ac:dyDescent="0.2">
      <c r="A3416" s="2">
        <v>2</v>
      </c>
      <c r="B3416" s="1" t="s">
        <v>330</v>
      </c>
      <c r="C3416" s="4">
        <v>2</v>
      </c>
      <c r="D3416" s="8">
        <v>4.26</v>
      </c>
      <c r="E3416" s="4">
        <v>0</v>
      </c>
      <c r="F3416" s="8">
        <v>0</v>
      </c>
      <c r="G3416" s="4">
        <v>2</v>
      </c>
      <c r="H3416" s="8">
        <v>10</v>
      </c>
      <c r="I3416" s="4">
        <v>0</v>
      </c>
    </row>
    <row r="3417" spans="1:9" x14ac:dyDescent="0.2">
      <c r="A3417" s="2">
        <v>2</v>
      </c>
      <c r="B3417" s="1" t="s">
        <v>337</v>
      </c>
      <c r="C3417" s="4">
        <v>2</v>
      </c>
      <c r="D3417" s="8">
        <v>4.26</v>
      </c>
      <c r="E3417" s="4">
        <v>2</v>
      </c>
      <c r="F3417" s="8">
        <v>9.09</v>
      </c>
      <c r="G3417" s="4">
        <v>0</v>
      </c>
      <c r="H3417" s="8">
        <v>0</v>
      </c>
      <c r="I3417" s="4">
        <v>0</v>
      </c>
    </row>
    <row r="3418" spans="1:9" x14ac:dyDescent="0.2">
      <c r="A3418" s="2">
        <v>2</v>
      </c>
      <c r="B3418" s="1" t="s">
        <v>339</v>
      </c>
      <c r="C3418" s="4">
        <v>2</v>
      </c>
      <c r="D3418" s="8">
        <v>4.26</v>
      </c>
      <c r="E3418" s="4">
        <v>1</v>
      </c>
      <c r="F3418" s="8">
        <v>4.55</v>
      </c>
      <c r="G3418" s="4">
        <v>1</v>
      </c>
      <c r="H3418" s="8">
        <v>5</v>
      </c>
      <c r="I3418" s="4">
        <v>0</v>
      </c>
    </row>
    <row r="3419" spans="1:9" x14ac:dyDescent="0.2">
      <c r="A3419" s="2">
        <v>2</v>
      </c>
      <c r="B3419" s="1" t="s">
        <v>419</v>
      </c>
      <c r="C3419" s="4">
        <v>2</v>
      </c>
      <c r="D3419" s="8">
        <v>4.26</v>
      </c>
      <c r="E3419" s="4">
        <v>2</v>
      </c>
      <c r="F3419" s="8">
        <v>9.09</v>
      </c>
      <c r="G3419" s="4">
        <v>0</v>
      </c>
      <c r="H3419" s="8">
        <v>0</v>
      </c>
      <c r="I3419" s="4">
        <v>0</v>
      </c>
    </row>
    <row r="3420" spans="1:9" x14ac:dyDescent="0.2">
      <c r="A3420" s="2">
        <v>2</v>
      </c>
      <c r="B3420" s="1" t="s">
        <v>307</v>
      </c>
      <c r="C3420" s="4">
        <v>2</v>
      </c>
      <c r="D3420" s="8">
        <v>4.26</v>
      </c>
      <c r="E3420" s="4">
        <v>0</v>
      </c>
      <c r="F3420" s="8">
        <v>0</v>
      </c>
      <c r="G3420" s="4">
        <v>2</v>
      </c>
      <c r="H3420" s="8">
        <v>10</v>
      </c>
      <c r="I3420" s="4">
        <v>0</v>
      </c>
    </row>
    <row r="3421" spans="1:9" x14ac:dyDescent="0.2">
      <c r="A3421" s="2">
        <v>8</v>
      </c>
      <c r="B3421" s="1" t="s">
        <v>375</v>
      </c>
      <c r="C3421" s="4">
        <v>1</v>
      </c>
      <c r="D3421" s="8">
        <v>2.13</v>
      </c>
      <c r="E3421" s="4">
        <v>0</v>
      </c>
      <c r="F3421" s="8">
        <v>0</v>
      </c>
      <c r="G3421" s="4">
        <v>1</v>
      </c>
      <c r="H3421" s="8">
        <v>5</v>
      </c>
      <c r="I3421" s="4">
        <v>0</v>
      </c>
    </row>
    <row r="3422" spans="1:9" x14ac:dyDescent="0.2">
      <c r="A3422" s="2">
        <v>8</v>
      </c>
      <c r="B3422" s="1" t="s">
        <v>320</v>
      </c>
      <c r="C3422" s="4">
        <v>1</v>
      </c>
      <c r="D3422" s="8">
        <v>2.13</v>
      </c>
      <c r="E3422" s="4">
        <v>1</v>
      </c>
      <c r="F3422" s="8">
        <v>4.55</v>
      </c>
      <c r="G3422" s="4">
        <v>0</v>
      </c>
      <c r="H3422" s="8">
        <v>0</v>
      </c>
      <c r="I3422" s="4">
        <v>0</v>
      </c>
    </row>
    <row r="3423" spans="1:9" x14ac:dyDescent="0.2">
      <c r="A3423" s="2">
        <v>8</v>
      </c>
      <c r="B3423" s="1" t="s">
        <v>290</v>
      </c>
      <c r="C3423" s="4">
        <v>1</v>
      </c>
      <c r="D3423" s="8">
        <v>2.13</v>
      </c>
      <c r="E3423" s="4">
        <v>1</v>
      </c>
      <c r="F3423" s="8">
        <v>4.55</v>
      </c>
      <c r="G3423" s="4">
        <v>0</v>
      </c>
      <c r="H3423" s="8">
        <v>0</v>
      </c>
      <c r="I3423" s="4">
        <v>0</v>
      </c>
    </row>
    <row r="3424" spans="1:9" x14ac:dyDescent="0.2">
      <c r="A3424" s="2">
        <v>8</v>
      </c>
      <c r="B3424" s="1" t="s">
        <v>394</v>
      </c>
      <c r="C3424" s="4">
        <v>1</v>
      </c>
      <c r="D3424" s="8">
        <v>2.13</v>
      </c>
      <c r="E3424" s="4">
        <v>1</v>
      </c>
      <c r="F3424" s="8">
        <v>4.55</v>
      </c>
      <c r="G3424" s="4">
        <v>0</v>
      </c>
      <c r="H3424" s="8">
        <v>0</v>
      </c>
      <c r="I3424" s="4">
        <v>0</v>
      </c>
    </row>
    <row r="3425" spans="1:9" x14ac:dyDescent="0.2">
      <c r="A3425" s="2">
        <v>8</v>
      </c>
      <c r="B3425" s="1" t="s">
        <v>443</v>
      </c>
      <c r="C3425" s="4">
        <v>1</v>
      </c>
      <c r="D3425" s="8">
        <v>2.13</v>
      </c>
      <c r="E3425" s="4">
        <v>0</v>
      </c>
      <c r="F3425" s="8">
        <v>0</v>
      </c>
      <c r="G3425" s="4">
        <v>1</v>
      </c>
      <c r="H3425" s="8">
        <v>5</v>
      </c>
      <c r="I3425" s="4">
        <v>0</v>
      </c>
    </row>
    <row r="3426" spans="1:9" x14ac:dyDescent="0.2">
      <c r="A3426" s="2">
        <v>8</v>
      </c>
      <c r="B3426" s="1" t="s">
        <v>384</v>
      </c>
      <c r="C3426" s="4">
        <v>1</v>
      </c>
      <c r="D3426" s="8">
        <v>2.13</v>
      </c>
      <c r="E3426" s="4">
        <v>0</v>
      </c>
      <c r="F3426" s="8">
        <v>0</v>
      </c>
      <c r="G3426" s="4">
        <v>1</v>
      </c>
      <c r="H3426" s="8">
        <v>5</v>
      </c>
      <c r="I3426" s="4">
        <v>0</v>
      </c>
    </row>
    <row r="3427" spans="1:9" x14ac:dyDescent="0.2">
      <c r="A3427" s="2">
        <v>8</v>
      </c>
      <c r="B3427" s="1" t="s">
        <v>425</v>
      </c>
      <c r="C3427" s="4">
        <v>1</v>
      </c>
      <c r="D3427" s="8">
        <v>2.13</v>
      </c>
      <c r="E3427" s="4">
        <v>1</v>
      </c>
      <c r="F3427" s="8">
        <v>4.55</v>
      </c>
      <c r="G3427" s="4">
        <v>0</v>
      </c>
      <c r="H3427" s="8">
        <v>0</v>
      </c>
      <c r="I3427" s="4">
        <v>0</v>
      </c>
    </row>
    <row r="3428" spans="1:9" x14ac:dyDescent="0.2">
      <c r="A3428" s="2">
        <v>8</v>
      </c>
      <c r="B3428" s="1" t="s">
        <v>362</v>
      </c>
      <c r="C3428" s="4">
        <v>1</v>
      </c>
      <c r="D3428" s="8">
        <v>2.13</v>
      </c>
      <c r="E3428" s="4">
        <v>0</v>
      </c>
      <c r="F3428" s="8">
        <v>0</v>
      </c>
      <c r="G3428" s="4">
        <v>0</v>
      </c>
      <c r="H3428" s="8">
        <v>0</v>
      </c>
      <c r="I3428" s="4">
        <v>0</v>
      </c>
    </row>
    <row r="3429" spans="1:9" x14ac:dyDescent="0.2">
      <c r="A3429" s="2">
        <v>8</v>
      </c>
      <c r="B3429" s="1" t="s">
        <v>407</v>
      </c>
      <c r="C3429" s="4">
        <v>1</v>
      </c>
      <c r="D3429" s="8">
        <v>2.13</v>
      </c>
      <c r="E3429" s="4">
        <v>0</v>
      </c>
      <c r="F3429" s="8">
        <v>0</v>
      </c>
      <c r="G3429" s="4">
        <v>1</v>
      </c>
      <c r="H3429" s="8">
        <v>5</v>
      </c>
      <c r="I3429" s="4">
        <v>0</v>
      </c>
    </row>
    <row r="3430" spans="1:9" x14ac:dyDescent="0.2">
      <c r="A3430" s="2">
        <v>8</v>
      </c>
      <c r="B3430" s="1" t="s">
        <v>350</v>
      </c>
      <c r="C3430" s="4">
        <v>1</v>
      </c>
      <c r="D3430" s="8">
        <v>2.13</v>
      </c>
      <c r="E3430" s="4">
        <v>1</v>
      </c>
      <c r="F3430" s="8">
        <v>4.55</v>
      </c>
      <c r="G3430" s="4">
        <v>0</v>
      </c>
      <c r="H3430" s="8">
        <v>0</v>
      </c>
      <c r="I3430" s="4">
        <v>0</v>
      </c>
    </row>
    <row r="3431" spans="1:9" x14ac:dyDescent="0.2">
      <c r="A3431" s="2">
        <v>8</v>
      </c>
      <c r="B3431" s="1" t="s">
        <v>487</v>
      </c>
      <c r="C3431" s="4">
        <v>1</v>
      </c>
      <c r="D3431" s="8">
        <v>2.13</v>
      </c>
      <c r="E3431" s="4">
        <v>0</v>
      </c>
      <c r="F3431" s="8">
        <v>0</v>
      </c>
      <c r="G3431" s="4">
        <v>1</v>
      </c>
      <c r="H3431" s="8">
        <v>5</v>
      </c>
      <c r="I3431" s="4">
        <v>0</v>
      </c>
    </row>
    <row r="3432" spans="1:9" x14ac:dyDescent="0.2">
      <c r="A3432" s="2">
        <v>8</v>
      </c>
      <c r="B3432" s="1" t="s">
        <v>364</v>
      </c>
      <c r="C3432" s="4">
        <v>1</v>
      </c>
      <c r="D3432" s="8">
        <v>2.13</v>
      </c>
      <c r="E3432" s="4">
        <v>0</v>
      </c>
      <c r="F3432" s="8">
        <v>0</v>
      </c>
      <c r="G3432" s="4">
        <v>0</v>
      </c>
      <c r="H3432" s="8">
        <v>0</v>
      </c>
      <c r="I3432" s="4">
        <v>1</v>
      </c>
    </row>
    <row r="3433" spans="1:9" x14ac:dyDescent="0.2">
      <c r="A3433" s="2">
        <v>8</v>
      </c>
      <c r="B3433" s="1" t="s">
        <v>314</v>
      </c>
      <c r="C3433" s="4">
        <v>1</v>
      </c>
      <c r="D3433" s="8">
        <v>2.13</v>
      </c>
      <c r="E3433" s="4">
        <v>1</v>
      </c>
      <c r="F3433" s="8">
        <v>4.55</v>
      </c>
      <c r="G3433" s="4">
        <v>0</v>
      </c>
      <c r="H3433" s="8">
        <v>0</v>
      </c>
      <c r="I3433" s="4">
        <v>0</v>
      </c>
    </row>
    <row r="3434" spans="1:9" x14ac:dyDescent="0.2">
      <c r="A3434" s="2">
        <v>8</v>
      </c>
      <c r="B3434" s="1" t="s">
        <v>354</v>
      </c>
      <c r="C3434" s="4">
        <v>1</v>
      </c>
      <c r="D3434" s="8">
        <v>2.13</v>
      </c>
      <c r="E3434" s="4">
        <v>1</v>
      </c>
      <c r="F3434" s="8">
        <v>4.55</v>
      </c>
      <c r="G3434" s="4">
        <v>0</v>
      </c>
      <c r="H3434" s="8">
        <v>0</v>
      </c>
      <c r="I3434" s="4">
        <v>0</v>
      </c>
    </row>
    <row r="3435" spans="1:9" x14ac:dyDescent="0.2">
      <c r="A3435" s="2">
        <v>8</v>
      </c>
      <c r="B3435" s="1" t="s">
        <v>292</v>
      </c>
      <c r="C3435" s="4">
        <v>1</v>
      </c>
      <c r="D3435" s="8">
        <v>2.13</v>
      </c>
      <c r="E3435" s="4">
        <v>0</v>
      </c>
      <c r="F3435" s="8">
        <v>0</v>
      </c>
      <c r="G3435" s="4">
        <v>1</v>
      </c>
      <c r="H3435" s="8">
        <v>5</v>
      </c>
      <c r="I3435" s="4">
        <v>0</v>
      </c>
    </row>
    <row r="3436" spans="1:9" x14ac:dyDescent="0.2">
      <c r="A3436" s="2">
        <v>8</v>
      </c>
      <c r="B3436" s="1" t="s">
        <v>335</v>
      </c>
      <c r="C3436" s="4">
        <v>1</v>
      </c>
      <c r="D3436" s="8">
        <v>2.13</v>
      </c>
      <c r="E3436" s="4">
        <v>1</v>
      </c>
      <c r="F3436" s="8">
        <v>4.55</v>
      </c>
      <c r="G3436" s="4">
        <v>0</v>
      </c>
      <c r="H3436" s="8">
        <v>0</v>
      </c>
      <c r="I3436" s="4">
        <v>0</v>
      </c>
    </row>
    <row r="3437" spans="1:9" x14ac:dyDescent="0.2">
      <c r="A3437" s="2">
        <v>8</v>
      </c>
      <c r="B3437" s="1" t="s">
        <v>402</v>
      </c>
      <c r="C3437" s="4">
        <v>1</v>
      </c>
      <c r="D3437" s="8">
        <v>2.13</v>
      </c>
      <c r="E3437" s="4">
        <v>1</v>
      </c>
      <c r="F3437" s="8">
        <v>4.55</v>
      </c>
      <c r="G3437" s="4">
        <v>0</v>
      </c>
      <c r="H3437" s="8">
        <v>0</v>
      </c>
      <c r="I3437" s="4">
        <v>0</v>
      </c>
    </row>
    <row r="3438" spans="1:9" x14ac:dyDescent="0.2">
      <c r="A3438" s="2">
        <v>8</v>
      </c>
      <c r="B3438" s="1" t="s">
        <v>294</v>
      </c>
      <c r="C3438" s="4">
        <v>1</v>
      </c>
      <c r="D3438" s="8">
        <v>2.13</v>
      </c>
      <c r="E3438" s="4">
        <v>1</v>
      </c>
      <c r="F3438" s="8">
        <v>4.55</v>
      </c>
      <c r="G3438" s="4">
        <v>0</v>
      </c>
      <c r="H3438" s="8">
        <v>0</v>
      </c>
      <c r="I3438" s="4">
        <v>0</v>
      </c>
    </row>
    <row r="3439" spans="1:9" x14ac:dyDescent="0.2">
      <c r="A3439" s="2">
        <v>8</v>
      </c>
      <c r="B3439" s="1" t="s">
        <v>295</v>
      </c>
      <c r="C3439" s="4">
        <v>1</v>
      </c>
      <c r="D3439" s="8">
        <v>2.13</v>
      </c>
      <c r="E3439" s="4">
        <v>1</v>
      </c>
      <c r="F3439" s="8">
        <v>4.55</v>
      </c>
      <c r="G3439" s="4">
        <v>0</v>
      </c>
      <c r="H3439" s="8">
        <v>0</v>
      </c>
      <c r="I3439" s="4">
        <v>0</v>
      </c>
    </row>
    <row r="3440" spans="1:9" x14ac:dyDescent="0.2">
      <c r="A3440" s="2">
        <v>8</v>
      </c>
      <c r="B3440" s="1" t="s">
        <v>297</v>
      </c>
      <c r="C3440" s="4">
        <v>1</v>
      </c>
      <c r="D3440" s="8">
        <v>2.13</v>
      </c>
      <c r="E3440" s="4">
        <v>0</v>
      </c>
      <c r="F3440" s="8">
        <v>0</v>
      </c>
      <c r="G3440" s="4">
        <v>0</v>
      </c>
      <c r="H3440" s="8">
        <v>0</v>
      </c>
      <c r="I3440" s="4">
        <v>0</v>
      </c>
    </row>
    <row r="3441" spans="1:9" x14ac:dyDescent="0.2">
      <c r="A3441" s="2">
        <v>8</v>
      </c>
      <c r="B3441" s="1" t="s">
        <v>396</v>
      </c>
      <c r="C3441" s="4">
        <v>1</v>
      </c>
      <c r="D3441" s="8">
        <v>2.13</v>
      </c>
      <c r="E3441" s="4">
        <v>0</v>
      </c>
      <c r="F3441" s="8">
        <v>0</v>
      </c>
      <c r="G3441" s="4">
        <v>1</v>
      </c>
      <c r="H3441" s="8">
        <v>5</v>
      </c>
      <c r="I3441" s="4">
        <v>0</v>
      </c>
    </row>
    <row r="3442" spans="1:9" x14ac:dyDescent="0.2">
      <c r="A3442" s="2">
        <v>8</v>
      </c>
      <c r="B3442" s="1" t="s">
        <v>495</v>
      </c>
      <c r="C3442" s="4">
        <v>1</v>
      </c>
      <c r="D3442" s="8">
        <v>2.13</v>
      </c>
      <c r="E3442" s="4">
        <v>1</v>
      </c>
      <c r="F3442" s="8">
        <v>4.55</v>
      </c>
      <c r="G3442" s="4">
        <v>0</v>
      </c>
      <c r="H3442" s="8">
        <v>0</v>
      </c>
      <c r="I3442" s="4">
        <v>0</v>
      </c>
    </row>
    <row r="3443" spans="1:9" x14ac:dyDescent="0.2">
      <c r="A3443" s="2">
        <v>8</v>
      </c>
      <c r="B3443" s="1" t="s">
        <v>299</v>
      </c>
      <c r="C3443" s="4">
        <v>1</v>
      </c>
      <c r="D3443" s="8">
        <v>2.13</v>
      </c>
      <c r="E3443" s="4">
        <v>1</v>
      </c>
      <c r="F3443" s="8">
        <v>4.55</v>
      </c>
      <c r="G3443" s="4">
        <v>0</v>
      </c>
      <c r="H3443" s="8">
        <v>0</v>
      </c>
      <c r="I3443" s="4">
        <v>0</v>
      </c>
    </row>
    <row r="3444" spans="1:9" x14ac:dyDescent="0.2">
      <c r="A3444" s="2">
        <v>8</v>
      </c>
      <c r="B3444" s="1" t="s">
        <v>302</v>
      </c>
      <c r="C3444" s="4">
        <v>1</v>
      </c>
      <c r="D3444" s="8">
        <v>2.13</v>
      </c>
      <c r="E3444" s="4">
        <v>0</v>
      </c>
      <c r="F3444" s="8">
        <v>0</v>
      </c>
      <c r="G3444" s="4">
        <v>0</v>
      </c>
      <c r="H3444" s="8">
        <v>0</v>
      </c>
      <c r="I3444" s="4">
        <v>1</v>
      </c>
    </row>
    <row r="3445" spans="1:9" x14ac:dyDescent="0.2">
      <c r="A3445" s="2">
        <v>8</v>
      </c>
      <c r="B3445" s="1" t="s">
        <v>325</v>
      </c>
      <c r="C3445" s="4">
        <v>1</v>
      </c>
      <c r="D3445" s="8">
        <v>2.13</v>
      </c>
      <c r="E3445" s="4">
        <v>0</v>
      </c>
      <c r="F3445" s="8">
        <v>0</v>
      </c>
      <c r="G3445" s="4">
        <v>1</v>
      </c>
      <c r="H3445" s="8">
        <v>5</v>
      </c>
      <c r="I3445" s="4">
        <v>0</v>
      </c>
    </row>
    <row r="3446" spans="1:9" x14ac:dyDescent="0.2">
      <c r="A3446" s="2">
        <v>8</v>
      </c>
      <c r="B3446" s="1" t="s">
        <v>303</v>
      </c>
      <c r="C3446" s="4">
        <v>1</v>
      </c>
      <c r="D3446" s="8">
        <v>2.13</v>
      </c>
      <c r="E3446" s="4">
        <v>1</v>
      </c>
      <c r="F3446" s="8">
        <v>4.55</v>
      </c>
      <c r="G3446" s="4">
        <v>0</v>
      </c>
      <c r="H3446" s="8">
        <v>0</v>
      </c>
      <c r="I3446" s="4">
        <v>0</v>
      </c>
    </row>
    <row r="3447" spans="1:9" x14ac:dyDescent="0.2">
      <c r="A3447" s="2">
        <v>8</v>
      </c>
      <c r="B3447" s="1" t="s">
        <v>304</v>
      </c>
      <c r="C3447" s="4">
        <v>1</v>
      </c>
      <c r="D3447" s="8">
        <v>2.13</v>
      </c>
      <c r="E3447" s="4">
        <v>1</v>
      </c>
      <c r="F3447" s="8">
        <v>4.55</v>
      </c>
      <c r="G3447" s="4">
        <v>0</v>
      </c>
      <c r="H3447" s="8">
        <v>0</v>
      </c>
      <c r="I3447" s="4">
        <v>0</v>
      </c>
    </row>
    <row r="3448" spans="1:9" x14ac:dyDescent="0.2">
      <c r="A3448" s="2">
        <v>8</v>
      </c>
      <c r="B3448" s="1" t="s">
        <v>411</v>
      </c>
      <c r="C3448" s="4">
        <v>1</v>
      </c>
      <c r="D3448" s="8">
        <v>2.13</v>
      </c>
      <c r="E3448" s="4">
        <v>0</v>
      </c>
      <c r="F3448" s="8">
        <v>0</v>
      </c>
      <c r="G3448" s="4">
        <v>1</v>
      </c>
      <c r="H3448" s="8">
        <v>5</v>
      </c>
      <c r="I3448" s="4">
        <v>0</v>
      </c>
    </row>
    <row r="3449" spans="1:9" x14ac:dyDescent="0.2">
      <c r="A3449" s="2">
        <v>8</v>
      </c>
      <c r="B3449" s="1" t="s">
        <v>312</v>
      </c>
      <c r="C3449" s="4">
        <v>1</v>
      </c>
      <c r="D3449" s="8">
        <v>2.13</v>
      </c>
      <c r="E3449" s="4">
        <v>0</v>
      </c>
      <c r="F3449" s="8">
        <v>0</v>
      </c>
      <c r="G3449" s="4">
        <v>0</v>
      </c>
      <c r="H3449" s="8">
        <v>0</v>
      </c>
      <c r="I3449" s="4">
        <v>1</v>
      </c>
    </row>
    <row r="3450" spans="1:9" x14ac:dyDescent="0.2">
      <c r="A3450" s="1"/>
      <c r="C3450" s="4"/>
      <c r="D3450" s="8"/>
      <c r="E3450" s="4"/>
      <c r="F3450" s="8"/>
      <c r="G3450" s="4"/>
      <c r="H3450" s="8"/>
      <c r="I3450" s="4"/>
    </row>
    <row r="3451" spans="1:9" x14ac:dyDescent="0.2">
      <c r="A3451" s="1" t="s">
        <v>116</v>
      </c>
      <c r="C3451" s="4"/>
      <c r="D3451" s="8"/>
      <c r="E3451" s="4"/>
      <c r="F3451" s="8"/>
      <c r="G3451" s="4"/>
      <c r="H3451" s="8"/>
      <c r="I3451" s="4"/>
    </row>
    <row r="3452" spans="1:9" x14ac:dyDescent="0.2">
      <c r="A3452" s="2">
        <v>1</v>
      </c>
      <c r="B3452" s="1" t="s">
        <v>320</v>
      </c>
      <c r="C3452" s="4">
        <v>6</v>
      </c>
      <c r="D3452" s="8">
        <v>4.1399999999999997</v>
      </c>
      <c r="E3452" s="4">
        <v>2</v>
      </c>
      <c r="F3452" s="8">
        <v>2.5</v>
      </c>
      <c r="G3452" s="4">
        <v>4</v>
      </c>
      <c r="H3452" s="8">
        <v>7.27</v>
      </c>
      <c r="I3452" s="4">
        <v>0</v>
      </c>
    </row>
    <row r="3453" spans="1:9" x14ac:dyDescent="0.2">
      <c r="A3453" s="2">
        <v>1</v>
      </c>
      <c r="B3453" s="1" t="s">
        <v>339</v>
      </c>
      <c r="C3453" s="4">
        <v>6</v>
      </c>
      <c r="D3453" s="8">
        <v>4.1399999999999997</v>
      </c>
      <c r="E3453" s="4">
        <v>5</v>
      </c>
      <c r="F3453" s="8">
        <v>6.25</v>
      </c>
      <c r="G3453" s="4">
        <v>1</v>
      </c>
      <c r="H3453" s="8">
        <v>1.82</v>
      </c>
      <c r="I3453" s="4">
        <v>0</v>
      </c>
    </row>
    <row r="3454" spans="1:9" x14ac:dyDescent="0.2">
      <c r="A3454" s="2">
        <v>1</v>
      </c>
      <c r="B3454" s="1" t="s">
        <v>304</v>
      </c>
      <c r="C3454" s="4">
        <v>6</v>
      </c>
      <c r="D3454" s="8">
        <v>4.1399999999999997</v>
      </c>
      <c r="E3454" s="4">
        <v>6</v>
      </c>
      <c r="F3454" s="8">
        <v>7.5</v>
      </c>
      <c r="G3454" s="4">
        <v>0</v>
      </c>
      <c r="H3454" s="8">
        <v>0</v>
      </c>
      <c r="I3454" s="4">
        <v>0</v>
      </c>
    </row>
    <row r="3455" spans="1:9" x14ac:dyDescent="0.2">
      <c r="A3455" s="2">
        <v>4</v>
      </c>
      <c r="B3455" s="1" t="s">
        <v>328</v>
      </c>
      <c r="C3455" s="4">
        <v>5</v>
      </c>
      <c r="D3455" s="8">
        <v>3.45</v>
      </c>
      <c r="E3455" s="4">
        <v>2</v>
      </c>
      <c r="F3455" s="8">
        <v>2.5</v>
      </c>
      <c r="G3455" s="4">
        <v>3</v>
      </c>
      <c r="H3455" s="8">
        <v>5.45</v>
      </c>
      <c r="I3455" s="4">
        <v>0</v>
      </c>
    </row>
    <row r="3456" spans="1:9" x14ac:dyDescent="0.2">
      <c r="A3456" s="2">
        <v>4</v>
      </c>
      <c r="B3456" s="1" t="s">
        <v>330</v>
      </c>
      <c r="C3456" s="4">
        <v>5</v>
      </c>
      <c r="D3456" s="8">
        <v>3.45</v>
      </c>
      <c r="E3456" s="4">
        <v>0</v>
      </c>
      <c r="F3456" s="8">
        <v>0</v>
      </c>
      <c r="G3456" s="4">
        <v>5</v>
      </c>
      <c r="H3456" s="8">
        <v>9.09</v>
      </c>
      <c r="I3456" s="4">
        <v>0</v>
      </c>
    </row>
    <row r="3457" spans="1:9" x14ac:dyDescent="0.2">
      <c r="A3457" s="2">
        <v>4</v>
      </c>
      <c r="B3457" s="1" t="s">
        <v>301</v>
      </c>
      <c r="C3457" s="4">
        <v>5</v>
      </c>
      <c r="D3457" s="8">
        <v>3.45</v>
      </c>
      <c r="E3457" s="4">
        <v>5</v>
      </c>
      <c r="F3457" s="8">
        <v>6.25</v>
      </c>
      <c r="G3457" s="4">
        <v>0</v>
      </c>
      <c r="H3457" s="8">
        <v>0</v>
      </c>
      <c r="I3457" s="4">
        <v>0</v>
      </c>
    </row>
    <row r="3458" spans="1:9" x14ac:dyDescent="0.2">
      <c r="A3458" s="2">
        <v>4</v>
      </c>
      <c r="B3458" s="1" t="s">
        <v>303</v>
      </c>
      <c r="C3458" s="4">
        <v>5</v>
      </c>
      <c r="D3458" s="8">
        <v>3.45</v>
      </c>
      <c r="E3458" s="4">
        <v>5</v>
      </c>
      <c r="F3458" s="8">
        <v>6.25</v>
      </c>
      <c r="G3458" s="4">
        <v>0</v>
      </c>
      <c r="H3458" s="8">
        <v>0</v>
      </c>
      <c r="I3458" s="4">
        <v>0</v>
      </c>
    </row>
    <row r="3459" spans="1:9" x14ac:dyDescent="0.2">
      <c r="A3459" s="2">
        <v>8</v>
      </c>
      <c r="B3459" s="1" t="s">
        <v>342</v>
      </c>
      <c r="C3459" s="4">
        <v>4</v>
      </c>
      <c r="D3459" s="8">
        <v>2.76</v>
      </c>
      <c r="E3459" s="4">
        <v>1</v>
      </c>
      <c r="F3459" s="8">
        <v>1.25</v>
      </c>
      <c r="G3459" s="4">
        <v>3</v>
      </c>
      <c r="H3459" s="8">
        <v>5.45</v>
      </c>
      <c r="I3459" s="4">
        <v>0</v>
      </c>
    </row>
    <row r="3460" spans="1:9" x14ac:dyDescent="0.2">
      <c r="A3460" s="2">
        <v>8</v>
      </c>
      <c r="B3460" s="1" t="s">
        <v>329</v>
      </c>
      <c r="C3460" s="4">
        <v>4</v>
      </c>
      <c r="D3460" s="8">
        <v>2.76</v>
      </c>
      <c r="E3460" s="4">
        <v>4</v>
      </c>
      <c r="F3460" s="8">
        <v>5</v>
      </c>
      <c r="G3460" s="4">
        <v>0</v>
      </c>
      <c r="H3460" s="8">
        <v>0</v>
      </c>
      <c r="I3460" s="4">
        <v>0</v>
      </c>
    </row>
    <row r="3461" spans="1:9" x14ac:dyDescent="0.2">
      <c r="A3461" s="2">
        <v>8</v>
      </c>
      <c r="B3461" s="1" t="s">
        <v>292</v>
      </c>
      <c r="C3461" s="4">
        <v>4</v>
      </c>
      <c r="D3461" s="8">
        <v>2.76</v>
      </c>
      <c r="E3461" s="4">
        <v>2</v>
      </c>
      <c r="F3461" s="8">
        <v>2.5</v>
      </c>
      <c r="G3461" s="4">
        <v>2</v>
      </c>
      <c r="H3461" s="8">
        <v>3.64</v>
      </c>
      <c r="I3461" s="4">
        <v>0</v>
      </c>
    </row>
    <row r="3462" spans="1:9" x14ac:dyDescent="0.2">
      <c r="A3462" s="2">
        <v>8</v>
      </c>
      <c r="B3462" s="1" t="s">
        <v>299</v>
      </c>
      <c r="C3462" s="4">
        <v>4</v>
      </c>
      <c r="D3462" s="8">
        <v>2.76</v>
      </c>
      <c r="E3462" s="4">
        <v>4</v>
      </c>
      <c r="F3462" s="8">
        <v>5</v>
      </c>
      <c r="G3462" s="4">
        <v>0</v>
      </c>
      <c r="H3462" s="8">
        <v>0</v>
      </c>
      <c r="I3462" s="4">
        <v>0</v>
      </c>
    </row>
    <row r="3463" spans="1:9" x14ac:dyDescent="0.2">
      <c r="A3463" s="2">
        <v>8</v>
      </c>
      <c r="B3463" s="1" t="s">
        <v>300</v>
      </c>
      <c r="C3463" s="4">
        <v>4</v>
      </c>
      <c r="D3463" s="8">
        <v>2.76</v>
      </c>
      <c r="E3463" s="4">
        <v>4</v>
      </c>
      <c r="F3463" s="8">
        <v>5</v>
      </c>
      <c r="G3463" s="4">
        <v>0</v>
      </c>
      <c r="H3463" s="8">
        <v>0</v>
      </c>
      <c r="I3463" s="4">
        <v>0</v>
      </c>
    </row>
    <row r="3464" spans="1:9" x14ac:dyDescent="0.2">
      <c r="A3464" s="2">
        <v>8</v>
      </c>
      <c r="B3464" s="1" t="s">
        <v>331</v>
      </c>
      <c r="C3464" s="4">
        <v>4</v>
      </c>
      <c r="D3464" s="8">
        <v>2.76</v>
      </c>
      <c r="E3464" s="4">
        <v>0</v>
      </c>
      <c r="F3464" s="8">
        <v>0</v>
      </c>
      <c r="G3464" s="4">
        <v>2</v>
      </c>
      <c r="H3464" s="8">
        <v>3.64</v>
      </c>
      <c r="I3464" s="4">
        <v>0</v>
      </c>
    </row>
    <row r="3465" spans="1:9" x14ac:dyDescent="0.2">
      <c r="A3465" s="2">
        <v>14</v>
      </c>
      <c r="B3465" s="1" t="s">
        <v>333</v>
      </c>
      <c r="C3465" s="4">
        <v>3</v>
      </c>
      <c r="D3465" s="8">
        <v>2.0699999999999998</v>
      </c>
      <c r="E3465" s="4">
        <v>2</v>
      </c>
      <c r="F3465" s="8">
        <v>2.5</v>
      </c>
      <c r="G3465" s="4">
        <v>1</v>
      </c>
      <c r="H3465" s="8">
        <v>1.82</v>
      </c>
      <c r="I3465" s="4">
        <v>0</v>
      </c>
    </row>
    <row r="3466" spans="1:9" x14ac:dyDescent="0.2">
      <c r="A3466" s="2">
        <v>14</v>
      </c>
      <c r="B3466" s="1" t="s">
        <v>295</v>
      </c>
      <c r="C3466" s="4">
        <v>3</v>
      </c>
      <c r="D3466" s="8">
        <v>2.0699999999999998</v>
      </c>
      <c r="E3466" s="4">
        <v>2</v>
      </c>
      <c r="F3466" s="8">
        <v>2.5</v>
      </c>
      <c r="G3466" s="4">
        <v>1</v>
      </c>
      <c r="H3466" s="8">
        <v>1.82</v>
      </c>
      <c r="I3466" s="4">
        <v>0</v>
      </c>
    </row>
    <row r="3467" spans="1:9" x14ac:dyDescent="0.2">
      <c r="A3467" s="2">
        <v>14</v>
      </c>
      <c r="B3467" s="1" t="s">
        <v>297</v>
      </c>
      <c r="C3467" s="4">
        <v>3</v>
      </c>
      <c r="D3467" s="8">
        <v>2.0699999999999998</v>
      </c>
      <c r="E3467" s="4">
        <v>3</v>
      </c>
      <c r="F3467" s="8">
        <v>3.75</v>
      </c>
      <c r="G3467" s="4">
        <v>0</v>
      </c>
      <c r="H3467" s="8">
        <v>0</v>
      </c>
      <c r="I3467" s="4">
        <v>0</v>
      </c>
    </row>
    <row r="3468" spans="1:9" x14ac:dyDescent="0.2">
      <c r="A3468" s="2">
        <v>14</v>
      </c>
      <c r="B3468" s="1" t="s">
        <v>334</v>
      </c>
      <c r="C3468" s="4">
        <v>3</v>
      </c>
      <c r="D3468" s="8">
        <v>2.0699999999999998</v>
      </c>
      <c r="E3468" s="4">
        <v>2</v>
      </c>
      <c r="F3468" s="8">
        <v>2.5</v>
      </c>
      <c r="G3468" s="4">
        <v>1</v>
      </c>
      <c r="H3468" s="8">
        <v>1.82</v>
      </c>
      <c r="I3468" s="4">
        <v>0</v>
      </c>
    </row>
    <row r="3469" spans="1:9" x14ac:dyDescent="0.2">
      <c r="A3469" s="2">
        <v>14</v>
      </c>
      <c r="B3469" s="1" t="s">
        <v>368</v>
      </c>
      <c r="C3469" s="4">
        <v>3</v>
      </c>
      <c r="D3469" s="8">
        <v>2.0699999999999998</v>
      </c>
      <c r="E3469" s="4">
        <v>0</v>
      </c>
      <c r="F3469" s="8">
        <v>0</v>
      </c>
      <c r="G3469" s="4">
        <v>0</v>
      </c>
      <c r="H3469" s="8">
        <v>0</v>
      </c>
      <c r="I3469" s="4">
        <v>0</v>
      </c>
    </row>
    <row r="3470" spans="1:9" x14ac:dyDescent="0.2">
      <c r="A3470" s="2">
        <v>14</v>
      </c>
      <c r="B3470" s="1" t="s">
        <v>307</v>
      </c>
      <c r="C3470" s="4">
        <v>3</v>
      </c>
      <c r="D3470" s="8">
        <v>2.0699999999999998</v>
      </c>
      <c r="E3470" s="4">
        <v>2</v>
      </c>
      <c r="F3470" s="8">
        <v>2.5</v>
      </c>
      <c r="G3470" s="4">
        <v>1</v>
      </c>
      <c r="H3470" s="8">
        <v>1.82</v>
      </c>
      <c r="I3470" s="4">
        <v>0</v>
      </c>
    </row>
    <row r="3471" spans="1:9" x14ac:dyDescent="0.2">
      <c r="A3471" s="2">
        <v>20</v>
      </c>
      <c r="B3471" s="1" t="s">
        <v>427</v>
      </c>
      <c r="C3471" s="4">
        <v>2</v>
      </c>
      <c r="D3471" s="8">
        <v>1.38</v>
      </c>
      <c r="E3471" s="4">
        <v>0</v>
      </c>
      <c r="F3471" s="8">
        <v>0</v>
      </c>
      <c r="G3471" s="4">
        <v>1</v>
      </c>
      <c r="H3471" s="8">
        <v>1.82</v>
      </c>
      <c r="I3471" s="4">
        <v>0</v>
      </c>
    </row>
    <row r="3472" spans="1:9" x14ac:dyDescent="0.2">
      <c r="A3472" s="2">
        <v>20</v>
      </c>
      <c r="B3472" s="1" t="s">
        <v>353</v>
      </c>
      <c r="C3472" s="4">
        <v>2</v>
      </c>
      <c r="D3472" s="8">
        <v>1.38</v>
      </c>
      <c r="E3472" s="4">
        <v>2</v>
      </c>
      <c r="F3472" s="8">
        <v>2.5</v>
      </c>
      <c r="G3472" s="4">
        <v>0</v>
      </c>
      <c r="H3472" s="8">
        <v>0</v>
      </c>
      <c r="I3472" s="4">
        <v>0</v>
      </c>
    </row>
    <row r="3473" spans="1:9" x14ac:dyDescent="0.2">
      <c r="A3473" s="2">
        <v>20</v>
      </c>
      <c r="B3473" s="1" t="s">
        <v>399</v>
      </c>
      <c r="C3473" s="4">
        <v>2</v>
      </c>
      <c r="D3473" s="8">
        <v>1.38</v>
      </c>
      <c r="E3473" s="4">
        <v>1</v>
      </c>
      <c r="F3473" s="8">
        <v>1.25</v>
      </c>
      <c r="G3473" s="4">
        <v>1</v>
      </c>
      <c r="H3473" s="8">
        <v>1.82</v>
      </c>
      <c r="I3473" s="4">
        <v>0</v>
      </c>
    </row>
    <row r="3474" spans="1:9" x14ac:dyDescent="0.2">
      <c r="A3474" s="2">
        <v>20</v>
      </c>
      <c r="B3474" s="1" t="s">
        <v>357</v>
      </c>
      <c r="C3474" s="4">
        <v>2</v>
      </c>
      <c r="D3474" s="8">
        <v>1.38</v>
      </c>
      <c r="E3474" s="4">
        <v>0</v>
      </c>
      <c r="F3474" s="8">
        <v>0</v>
      </c>
      <c r="G3474" s="4">
        <v>2</v>
      </c>
      <c r="H3474" s="8">
        <v>3.64</v>
      </c>
      <c r="I3474" s="4">
        <v>0</v>
      </c>
    </row>
    <row r="3475" spans="1:9" x14ac:dyDescent="0.2">
      <c r="A3475" s="2">
        <v>20</v>
      </c>
      <c r="B3475" s="1" t="s">
        <v>324</v>
      </c>
      <c r="C3475" s="4">
        <v>2</v>
      </c>
      <c r="D3475" s="8">
        <v>1.38</v>
      </c>
      <c r="E3475" s="4">
        <v>0</v>
      </c>
      <c r="F3475" s="8">
        <v>0</v>
      </c>
      <c r="G3475" s="4">
        <v>2</v>
      </c>
      <c r="H3475" s="8">
        <v>3.64</v>
      </c>
      <c r="I3475" s="4">
        <v>0</v>
      </c>
    </row>
    <row r="3476" spans="1:9" x14ac:dyDescent="0.2">
      <c r="A3476" s="2">
        <v>20</v>
      </c>
      <c r="B3476" s="1" t="s">
        <v>336</v>
      </c>
      <c r="C3476" s="4">
        <v>2</v>
      </c>
      <c r="D3476" s="8">
        <v>1.38</v>
      </c>
      <c r="E3476" s="4">
        <v>2</v>
      </c>
      <c r="F3476" s="8">
        <v>2.5</v>
      </c>
      <c r="G3476" s="4">
        <v>0</v>
      </c>
      <c r="H3476" s="8">
        <v>0</v>
      </c>
      <c r="I3476" s="4">
        <v>0</v>
      </c>
    </row>
    <row r="3477" spans="1:9" x14ac:dyDescent="0.2">
      <c r="A3477" s="2">
        <v>20</v>
      </c>
      <c r="B3477" s="1" t="s">
        <v>380</v>
      </c>
      <c r="C3477" s="4">
        <v>2</v>
      </c>
      <c r="D3477" s="8">
        <v>1.38</v>
      </c>
      <c r="E3477" s="4">
        <v>1</v>
      </c>
      <c r="F3477" s="8">
        <v>1.25</v>
      </c>
      <c r="G3477" s="4">
        <v>1</v>
      </c>
      <c r="H3477" s="8">
        <v>1.82</v>
      </c>
      <c r="I3477" s="4">
        <v>0</v>
      </c>
    </row>
    <row r="3478" spans="1:9" x14ac:dyDescent="0.2">
      <c r="A3478" s="2">
        <v>20</v>
      </c>
      <c r="B3478" s="1" t="s">
        <v>332</v>
      </c>
      <c r="C3478" s="4">
        <v>2</v>
      </c>
      <c r="D3478" s="8">
        <v>1.38</v>
      </c>
      <c r="E3478" s="4">
        <v>0</v>
      </c>
      <c r="F3478" s="8">
        <v>0</v>
      </c>
      <c r="G3478" s="4">
        <v>2</v>
      </c>
      <c r="H3478" s="8">
        <v>3.64</v>
      </c>
      <c r="I3478" s="4">
        <v>0</v>
      </c>
    </row>
    <row r="3479" spans="1:9" x14ac:dyDescent="0.2">
      <c r="A3479" s="2">
        <v>20</v>
      </c>
      <c r="B3479" s="1" t="s">
        <v>335</v>
      </c>
      <c r="C3479" s="4">
        <v>2</v>
      </c>
      <c r="D3479" s="8">
        <v>1.38</v>
      </c>
      <c r="E3479" s="4">
        <v>1</v>
      </c>
      <c r="F3479" s="8">
        <v>1.25</v>
      </c>
      <c r="G3479" s="4">
        <v>1</v>
      </c>
      <c r="H3479" s="8">
        <v>1.82</v>
      </c>
      <c r="I3479" s="4">
        <v>0</v>
      </c>
    </row>
    <row r="3480" spans="1:9" x14ac:dyDescent="0.2">
      <c r="A3480" s="2">
        <v>20</v>
      </c>
      <c r="B3480" s="1" t="s">
        <v>401</v>
      </c>
      <c r="C3480" s="4">
        <v>2</v>
      </c>
      <c r="D3480" s="8">
        <v>1.38</v>
      </c>
      <c r="E3480" s="4">
        <v>1</v>
      </c>
      <c r="F3480" s="8">
        <v>1.25</v>
      </c>
      <c r="G3480" s="4">
        <v>1</v>
      </c>
      <c r="H3480" s="8">
        <v>1.82</v>
      </c>
      <c r="I3480" s="4">
        <v>0</v>
      </c>
    </row>
    <row r="3481" spans="1:9" x14ac:dyDescent="0.2">
      <c r="A3481" s="2">
        <v>20</v>
      </c>
      <c r="B3481" s="1" t="s">
        <v>422</v>
      </c>
      <c r="C3481" s="4">
        <v>2</v>
      </c>
      <c r="D3481" s="8">
        <v>1.38</v>
      </c>
      <c r="E3481" s="4">
        <v>1</v>
      </c>
      <c r="F3481" s="8">
        <v>1.25</v>
      </c>
      <c r="G3481" s="4">
        <v>1</v>
      </c>
      <c r="H3481" s="8">
        <v>1.82</v>
      </c>
      <c r="I3481" s="4">
        <v>0</v>
      </c>
    </row>
    <row r="3482" spans="1:9" x14ac:dyDescent="0.2">
      <c r="A3482" s="2">
        <v>20</v>
      </c>
      <c r="B3482" s="1" t="s">
        <v>349</v>
      </c>
      <c r="C3482" s="4">
        <v>2</v>
      </c>
      <c r="D3482" s="8">
        <v>1.38</v>
      </c>
      <c r="E3482" s="4">
        <v>1</v>
      </c>
      <c r="F3482" s="8">
        <v>1.25</v>
      </c>
      <c r="G3482" s="4">
        <v>1</v>
      </c>
      <c r="H3482" s="8">
        <v>1.82</v>
      </c>
      <c r="I3482" s="4">
        <v>0</v>
      </c>
    </row>
    <row r="3483" spans="1:9" x14ac:dyDescent="0.2">
      <c r="A3483" s="2">
        <v>20</v>
      </c>
      <c r="B3483" s="1" t="s">
        <v>340</v>
      </c>
      <c r="C3483" s="4">
        <v>2</v>
      </c>
      <c r="D3483" s="8">
        <v>1.38</v>
      </c>
      <c r="E3483" s="4">
        <v>0</v>
      </c>
      <c r="F3483" s="8">
        <v>0</v>
      </c>
      <c r="G3483" s="4">
        <v>0</v>
      </c>
      <c r="H3483" s="8">
        <v>0</v>
      </c>
      <c r="I3483" s="4">
        <v>0</v>
      </c>
    </row>
    <row r="3484" spans="1:9" x14ac:dyDescent="0.2">
      <c r="A3484" s="2">
        <v>20</v>
      </c>
      <c r="B3484" s="1" t="s">
        <v>305</v>
      </c>
      <c r="C3484" s="4">
        <v>2</v>
      </c>
      <c r="D3484" s="8">
        <v>1.38</v>
      </c>
      <c r="E3484" s="4">
        <v>2</v>
      </c>
      <c r="F3484" s="8">
        <v>2.5</v>
      </c>
      <c r="G3484" s="4">
        <v>0</v>
      </c>
      <c r="H3484" s="8">
        <v>0</v>
      </c>
      <c r="I3484" s="4">
        <v>0</v>
      </c>
    </row>
    <row r="3485" spans="1:9" x14ac:dyDescent="0.2">
      <c r="A3485" s="2">
        <v>20</v>
      </c>
      <c r="B3485" s="1" t="s">
        <v>306</v>
      </c>
      <c r="C3485" s="4">
        <v>2</v>
      </c>
      <c r="D3485" s="8">
        <v>1.38</v>
      </c>
      <c r="E3485" s="4">
        <v>2</v>
      </c>
      <c r="F3485" s="8">
        <v>2.5</v>
      </c>
      <c r="G3485" s="4">
        <v>0</v>
      </c>
      <c r="H3485" s="8">
        <v>0</v>
      </c>
      <c r="I3485" s="4">
        <v>0</v>
      </c>
    </row>
    <row r="3486" spans="1:9" x14ac:dyDescent="0.2">
      <c r="A3486" s="1"/>
      <c r="C3486" s="4"/>
      <c r="D3486" s="8"/>
      <c r="E3486" s="4"/>
      <c r="F3486" s="8"/>
      <c r="G3486" s="4"/>
      <c r="H3486" s="8"/>
      <c r="I3486" s="4"/>
    </row>
    <row r="3487" spans="1:9" x14ac:dyDescent="0.2">
      <c r="A3487" s="1" t="s">
        <v>117</v>
      </c>
      <c r="C3487" s="4"/>
      <c r="D3487" s="8"/>
      <c r="E3487" s="4"/>
      <c r="F3487" s="8"/>
      <c r="G3487" s="4"/>
      <c r="H3487" s="8"/>
      <c r="I3487" s="4"/>
    </row>
    <row r="3488" spans="1:9" x14ac:dyDescent="0.2">
      <c r="A3488" s="2">
        <v>1</v>
      </c>
      <c r="B3488" s="1" t="s">
        <v>305</v>
      </c>
      <c r="C3488" s="4">
        <v>5</v>
      </c>
      <c r="D3488" s="8">
        <v>6.76</v>
      </c>
      <c r="E3488" s="4">
        <v>5</v>
      </c>
      <c r="F3488" s="8">
        <v>13.16</v>
      </c>
      <c r="G3488" s="4">
        <v>0</v>
      </c>
      <c r="H3488" s="8">
        <v>0</v>
      </c>
      <c r="I3488" s="4">
        <v>0</v>
      </c>
    </row>
    <row r="3489" spans="1:9" x14ac:dyDescent="0.2">
      <c r="A3489" s="2">
        <v>2</v>
      </c>
      <c r="B3489" s="1" t="s">
        <v>301</v>
      </c>
      <c r="C3489" s="4">
        <v>4</v>
      </c>
      <c r="D3489" s="8">
        <v>5.41</v>
      </c>
      <c r="E3489" s="4">
        <v>4</v>
      </c>
      <c r="F3489" s="8">
        <v>10.53</v>
      </c>
      <c r="G3489" s="4">
        <v>0</v>
      </c>
      <c r="H3489" s="8">
        <v>0</v>
      </c>
      <c r="I3489" s="4">
        <v>0</v>
      </c>
    </row>
    <row r="3490" spans="1:9" x14ac:dyDescent="0.2">
      <c r="A3490" s="2">
        <v>2</v>
      </c>
      <c r="B3490" s="1" t="s">
        <v>303</v>
      </c>
      <c r="C3490" s="4">
        <v>4</v>
      </c>
      <c r="D3490" s="8">
        <v>5.41</v>
      </c>
      <c r="E3490" s="4">
        <v>4</v>
      </c>
      <c r="F3490" s="8">
        <v>10.53</v>
      </c>
      <c r="G3490" s="4">
        <v>0</v>
      </c>
      <c r="H3490" s="8">
        <v>0</v>
      </c>
      <c r="I3490" s="4">
        <v>0</v>
      </c>
    </row>
    <row r="3491" spans="1:9" x14ac:dyDescent="0.2">
      <c r="A3491" s="2">
        <v>4</v>
      </c>
      <c r="B3491" s="1" t="s">
        <v>333</v>
      </c>
      <c r="C3491" s="4">
        <v>3</v>
      </c>
      <c r="D3491" s="8">
        <v>4.05</v>
      </c>
      <c r="E3491" s="4">
        <v>1</v>
      </c>
      <c r="F3491" s="8">
        <v>2.63</v>
      </c>
      <c r="G3491" s="4">
        <v>2</v>
      </c>
      <c r="H3491" s="8">
        <v>7.41</v>
      </c>
      <c r="I3491" s="4">
        <v>0</v>
      </c>
    </row>
    <row r="3492" spans="1:9" x14ac:dyDescent="0.2">
      <c r="A3492" s="2">
        <v>4</v>
      </c>
      <c r="B3492" s="1" t="s">
        <v>320</v>
      </c>
      <c r="C3492" s="4">
        <v>3</v>
      </c>
      <c r="D3492" s="8">
        <v>4.05</v>
      </c>
      <c r="E3492" s="4">
        <v>0</v>
      </c>
      <c r="F3492" s="8">
        <v>0</v>
      </c>
      <c r="G3492" s="4">
        <v>3</v>
      </c>
      <c r="H3492" s="8">
        <v>11.11</v>
      </c>
      <c r="I3492" s="4">
        <v>0</v>
      </c>
    </row>
    <row r="3493" spans="1:9" x14ac:dyDescent="0.2">
      <c r="A3493" s="2">
        <v>4</v>
      </c>
      <c r="B3493" s="1" t="s">
        <v>290</v>
      </c>
      <c r="C3493" s="4">
        <v>3</v>
      </c>
      <c r="D3493" s="8">
        <v>4.05</v>
      </c>
      <c r="E3493" s="4">
        <v>1</v>
      </c>
      <c r="F3493" s="8">
        <v>2.63</v>
      </c>
      <c r="G3493" s="4">
        <v>2</v>
      </c>
      <c r="H3493" s="8">
        <v>7.41</v>
      </c>
      <c r="I3493" s="4">
        <v>0</v>
      </c>
    </row>
    <row r="3494" spans="1:9" x14ac:dyDescent="0.2">
      <c r="A3494" s="2">
        <v>4</v>
      </c>
      <c r="B3494" s="1" t="s">
        <v>292</v>
      </c>
      <c r="C3494" s="4">
        <v>3</v>
      </c>
      <c r="D3494" s="8">
        <v>4.05</v>
      </c>
      <c r="E3494" s="4">
        <v>2</v>
      </c>
      <c r="F3494" s="8">
        <v>5.26</v>
      </c>
      <c r="G3494" s="4">
        <v>1</v>
      </c>
      <c r="H3494" s="8">
        <v>3.7</v>
      </c>
      <c r="I3494" s="4">
        <v>0</v>
      </c>
    </row>
    <row r="3495" spans="1:9" x14ac:dyDescent="0.2">
      <c r="A3495" s="2">
        <v>4</v>
      </c>
      <c r="B3495" s="1" t="s">
        <v>330</v>
      </c>
      <c r="C3495" s="4">
        <v>3</v>
      </c>
      <c r="D3495" s="8">
        <v>4.05</v>
      </c>
      <c r="E3495" s="4">
        <v>1</v>
      </c>
      <c r="F3495" s="8">
        <v>2.63</v>
      </c>
      <c r="G3495" s="4">
        <v>2</v>
      </c>
      <c r="H3495" s="8">
        <v>7.41</v>
      </c>
      <c r="I3495" s="4">
        <v>0</v>
      </c>
    </row>
    <row r="3496" spans="1:9" x14ac:dyDescent="0.2">
      <c r="A3496" s="2">
        <v>4</v>
      </c>
      <c r="B3496" s="1" t="s">
        <v>339</v>
      </c>
      <c r="C3496" s="4">
        <v>3</v>
      </c>
      <c r="D3496" s="8">
        <v>4.05</v>
      </c>
      <c r="E3496" s="4">
        <v>3</v>
      </c>
      <c r="F3496" s="8">
        <v>7.89</v>
      </c>
      <c r="G3496" s="4">
        <v>0</v>
      </c>
      <c r="H3496" s="8">
        <v>0</v>
      </c>
      <c r="I3496" s="4">
        <v>0</v>
      </c>
    </row>
    <row r="3497" spans="1:9" x14ac:dyDescent="0.2">
      <c r="A3497" s="2">
        <v>4</v>
      </c>
      <c r="B3497" s="1" t="s">
        <v>331</v>
      </c>
      <c r="C3497" s="4">
        <v>3</v>
      </c>
      <c r="D3497" s="8">
        <v>4.05</v>
      </c>
      <c r="E3497" s="4">
        <v>0</v>
      </c>
      <c r="F3497" s="8">
        <v>0</v>
      </c>
      <c r="G3497" s="4">
        <v>0</v>
      </c>
      <c r="H3497" s="8">
        <v>0</v>
      </c>
      <c r="I3497" s="4">
        <v>0</v>
      </c>
    </row>
    <row r="3498" spans="1:9" x14ac:dyDescent="0.2">
      <c r="A3498" s="2">
        <v>11</v>
      </c>
      <c r="B3498" s="1" t="s">
        <v>342</v>
      </c>
      <c r="C3498" s="4">
        <v>2</v>
      </c>
      <c r="D3498" s="8">
        <v>2.7</v>
      </c>
      <c r="E3498" s="4">
        <v>0</v>
      </c>
      <c r="F3498" s="8">
        <v>0</v>
      </c>
      <c r="G3498" s="4">
        <v>2</v>
      </c>
      <c r="H3498" s="8">
        <v>7.41</v>
      </c>
      <c r="I3498" s="4">
        <v>0</v>
      </c>
    </row>
    <row r="3499" spans="1:9" x14ac:dyDescent="0.2">
      <c r="A3499" s="2">
        <v>11</v>
      </c>
      <c r="B3499" s="1" t="s">
        <v>326</v>
      </c>
      <c r="C3499" s="4">
        <v>2</v>
      </c>
      <c r="D3499" s="8">
        <v>2.7</v>
      </c>
      <c r="E3499" s="4">
        <v>0</v>
      </c>
      <c r="F3499" s="8">
        <v>0</v>
      </c>
      <c r="G3499" s="4">
        <v>2</v>
      </c>
      <c r="H3499" s="8">
        <v>7.41</v>
      </c>
      <c r="I3499" s="4">
        <v>0</v>
      </c>
    </row>
    <row r="3500" spans="1:9" x14ac:dyDescent="0.2">
      <c r="A3500" s="2">
        <v>11</v>
      </c>
      <c r="B3500" s="1" t="s">
        <v>350</v>
      </c>
      <c r="C3500" s="4">
        <v>2</v>
      </c>
      <c r="D3500" s="8">
        <v>2.7</v>
      </c>
      <c r="E3500" s="4">
        <v>1</v>
      </c>
      <c r="F3500" s="8">
        <v>2.63</v>
      </c>
      <c r="G3500" s="4">
        <v>1</v>
      </c>
      <c r="H3500" s="8">
        <v>3.7</v>
      </c>
      <c r="I3500" s="4">
        <v>0</v>
      </c>
    </row>
    <row r="3501" spans="1:9" x14ac:dyDescent="0.2">
      <c r="A3501" s="2">
        <v>11</v>
      </c>
      <c r="B3501" s="1" t="s">
        <v>364</v>
      </c>
      <c r="C3501" s="4">
        <v>2</v>
      </c>
      <c r="D3501" s="8">
        <v>2.7</v>
      </c>
      <c r="E3501" s="4">
        <v>0</v>
      </c>
      <c r="F3501" s="8">
        <v>0</v>
      </c>
      <c r="G3501" s="4">
        <v>1</v>
      </c>
      <c r="H3501" s="8">
        <v>3.7</v>
      </c>
      <c r="I3501" s="4">
        <v>1</v>
      </c>
    </row>
    <row r="3502" spans="1:9" x14ac:dyDescent="0.2">
      <c r="A3502" s="2">
        <v>11</v>
      </c>
      <c r="B3502" s="1" t="s">
        <v>336</v>
      </c>
      <c r="C3502" s="4">
        <v>2</v>
      </c>
      <c r="D3502" s="8">
        <v>2.7</v>
      </c>
      <c r="E3502" s="4">
        <v>0</v>
      </c>
      <c r="F3502" s="8">
        <v>0</v>
      </c>
      <c r="G3502" s="4">
        <v>2</v>
      </c>
      <c r="H3502" s="8">
        <v>7.41</v>
      </c>
      <c r="I3502" s="4">
        <v>0</v>
      </c>
    </row>
    <row r="3503" spans="1:9" x14ac:dyDescent="0.2">
      <c r="A3503" s="2">
        <v>11</v>
      </c>
      <c r="B3503" s="1" t="s">
        <v>332</v>
      </c>
      <c r="C3503" s="4">
        <v>2</v>
      </c>
      <c r="D3503" s="8">
        <v>2.7</v>
      </c>
      <c r="E3503" s="4">
        <v>0</v>
      </c>
      <c r="F3503" s="8">
        <v>0</v>
      </c>
      <c r="G3503" s="4">
        <v>2</v>
      </c>
      <c r="H3503" s="8">
        <v>7.41</v>
      </c>
      <c r="I3503" s="4">
        <v>0</v>
      </c>
    </row>
    <row r="3504" spans="1:9" x14ac:dyDescent="0.2">
      <c r="A3504" s="2">
        <v>11</v>
      </c>
      <c r="B3504" s="1" t="s">
        <v>300</v>
      </c>
      <c r="C3504" s="4">
        <v>2</v>
      </c>
      <c r="D3504" s="8">
        <v>2.7</v>
      </c>
      <c r="E3504" s="4">
        <v>2</v>
      </c>
      <c r="F3504" s="8">
        <v>5.26</v>
      </c>
      <c r="G3504" s="4">
        <v>0</v>
      </c>
      <c r="H3504" s="8">
        <v>0</v>
      </c>
      <c r="I3504" s="4">
        <v>0</v>
      </c>
    </row>
    <row r="3505" spans="1:9" x14ac:dyDescent="0.2">
      <c r="A3505" s="2">
        <v>11</v>
      </c>
      <c r="B3505" s="1" t="s">
        <v>312</v>
      </c>
      <c r="C3505" s="4">
        <v>2</v>
      </c>
      <c r="D3505" s="8">
        <v>2.7</v>
      </c>
      <c r="E3505" s="4">
        <v>0</v>
      </c>
      <c r="F3505" s="8">
        <v>0</v>
      </c>
      <c r="G3505" s="4">
        <v>0</v>
      </c>
      <c r="H3505" s="8">
        <v>0</v>
      </c>
      <c r="I3505" s="4">
        <v>0</v>
      </c>
    </row>
    <row r="3506" spans="1:9" x14ac:dyDescent="0.2">
      <c r="A3506" s="2">
        <v>19</v>
      </c>
      <c r="B3506" s="1" t="s">
        <v>398</v>
      </c>
      <c r="C3506" s="4">
        <v>1</v>
      </c>
      <c r="D3506" s="8">
        <v>1.35</v>
      </c>
      <c r="E3506" s="4">
        <v>0</v>
      </c>
      <c r="F3506" s="8">
        <v>0</v>
      </c>
      <c r="G3506" s="4">
        <v>1</v>
      </c>
      <c r="H3506" s="8">
        <v>3.7</v>
      </c>
      <c r="I3506" s="4">
        <v>0</v>
      </c>
    </row>
    <row r="3507" spans="1:9" x14ac:dyDescent="0.2">
      <c r="A3507" s="2">
        <v>19</v>
      </c>
      <c r="B3507" s="1" t="s">
        <v>289</v>
      </c>
      <c r="C3507" s="4">
        <v>1</v>
      </c>
      <c r="D3507" s="8">
        <v>1.35</v>
      </c>
      <c r="E3507" s="4">
        <v>0</v>
      </c>
      <c r="F3507" s="8">
        <v>0</v>
      </c>
      <c r="G3507" s="4">
        <v>1</v>
      </c>
      <c r="H3507" s="8">
        <v>3.7</v>
      </c>
      <c r="I3507" s="4">
        <v>0</v>
      </c>
    </row>
    <row r="3508" spans="1:9" x14ac:dyDescent="0.2">
      <c r="A3508" s="2">
        <v>19</v>
      </c>
      <c r="B3508" s="1" t="s">
        <v>319</v>
      </c>
      <c r="C3508" s="4">
        <v>1</v>
      </c>
      <c r="D3508" s="8">
        <v>1.35</v>
      </c>
      <c r="E3508" s="4">
        <v>1</v>
      </c>
      <c r="F3508" s="8">
        <v>2.63</v>
      </c>
      <c r="G3508" s="4">
        <v>0</v>
      </c>
      <c r="H3508" s="8">
        <v>0</v>
      </c>
      <c r="I3508" s="4">
        <v>0</v>
      </c>
    </row>
    <row r="3509" spans="1:9" x14ac:dyDescent="0.2">
      <c r="A3509" s="2">
        <v>19</v>
      </c>
      <c r="B3509" s="1" t="s">
        <v>393</v>
      </c>
      <c r="C3509" s="4">
        <v>1</v>
      </c>
      <c r="D3509" s="8">
        <v>1.35</v>
      </c>
      <c r="E3509" s="4">
        <v>1</v>
      </c>
      <c r="F3509" s="8">
        <v>2.63</v>
      </c>
      <c r="G3509" s="4">
        <v>0</v>
      </c>
      <c r="H3509" s="8">
        <v>0</v>
      </c>
      <c r="I3509" s="4">
        <v>0</v>
      </c>
    </row>
    <row r="3510" spans="1:9" x14ac:dyDescent="0.2">
      <c r="A3510" s="2">
        <v>19</v>
      </c>
      <c r="B3510" s="1" t="s">
        <v>343</v>
      </c>
      <c r="C3510" s="4">
        <v>1</v>
      </c>
      <c r="D3510" s="8">
        <v>1.35</v>
      </c>
      <c r="E3510" s="4">
        <v>1</v>
      </c>
      <c r="F3510" s="8">
        <v>2.63</v>
      </c>
      <c r="G3510" s="4">
        <v>0</v>
      </c>
      <c r="H3510" s="8">
        <v>0</v>
      </c>
      <c r="I3510" s="4">
        <v>0</v>
      </c>
    </row>
    <row r="3511" spans="1:9" x14ac:dyDescent="0.2">
      <c r="A3511" s="2">
        <v>19</v>
      </c>
      <c r="B3511" s="1" t="s">
        <v>308</v>
      </c>
      <c r="C3511" s="4">
        <v>1</v>
      </c>
      <c r="D3511" s="8">
        <v>1.35</v>
      </c>
      <c r="E3511" s="4">
        <v>1</v>
      </c>
      <c r="F3511" s="8">
        <v>2.63</v>
      </c>
      <c r="G3511" s="4">
        <v>0</v>
      </c>
      <c r="H3511" s="8">
        <v>0</v>
      </c>
      <c r="I3511" s="4">
        <v>0</v>
      </c>
    </row>
    <row r="3512" spans="1:9" x14ac:dyDescent="0.2">
      <c r="A3512" s="2">
        <v>19</v>
      </c>
      <c r="B3512" s="1" t="s">
        <v>291</v>
      </c>
      <c r="C3512" s="4">
        <v>1</v>
      </c>
      <c r="D3512" s="8">
        <v>1.35</v>
      </c>
      <c r="E3512" s="4">
        <v>1</v>
      </c>
      <c r="F3512" s="8">
        <v>2.63</v>
      </c>
      <c r="G3512" s="4">
        <v>0</v>
      </c>
      <c r="H3512" s="8">
        <v>0</v>
      </c>
      <c r="I3512" s="4">
        <v>0</v>
      </c>
    </row>
    <row r="3513" spans="1:9" x14ac:dyDescent="0.2">
      <c r="A3513" s="2">
        <v>19</v>
      </c>
      <c r="B3513" s="1" t="s">
        <v>362</v>
      </c>
      <c r="C3513" s="4">
        <v>1</v>
      </c>
      <c r="D3513" s="8">
        <v>1.35</v>
      </c>
      <c r="E3513" s="4">
        <v>0</v>
      </c>
      <c r="F3513" s="8">
        <v>0</v>
      </c>
      <c r="G3513" s="4">
        <v>0</v>
      </c>
      <c r="H3513" s="8">
        <v>0</v>
      </c>
      <c r="I3513" s="4">
        <v>0</v>
      </c>
    </row>
    <row r="3514" spans="1:9" x14ac:dyDescent="0.2">
      <c r="A3514" s="2">
        <v>19</v>
      </c>
      <c r="B3514" s="1" t="s">
        <v>407</v>
      </c>
      <c r="C3514" s="4">
        <v>1</v>
      </c>
      <c r="D3514" s="8">
        <v>1.35</v>
      </c>
      <c r="E3514" s="4">
        <v>0</v>
      </c>
      <c r="F3514" s="8">
        <v>0</v>
      </c>
      <c r="G3514" s="4">
        <v>0</v>
      </c>
      <c r="H3514" s="8">
        <v>0</v>
      </c>
      <c r="I3514" s="4">
        <v>0</v>
      </c>
    </row>
    <row r="3515" spans="1:9" x14ac:dyDescent="0.2">
      <c r="A3515" s="2">
        <v>19</v>
      </c>
      <c r="B3515" s="1" t="s">
        <v>478</v>
      </c>
      <c r="C3515" s="4">
        <v>1</v>
      </c>
      <c r="D3515" s="8">
        <v>1.35</v>
      </c>
      <c r="E3515" s="4">
        <v>1</v>
      </c>
      <c r="F3515" s="8">
        <v>2.63</v>
      </c>
      <c r="G3515" s="4">
        <v>0</v>
      </c>
      <c r="H3515" s="8">
        <v>0</v>
      </c>
      <c r="I3515" s="4">
        <v>0</v>
      </c>
    </row>
    <row r="3516" spans="1:9" x14ac:dyDescent="0.2">
      <c r="A3516" s="2">
        <v>19</v>
      </c>
      <c r="B3516" s="1" t="s">
        <v>354</v>
      </c>
      <c r="C3516" s="4">
        <v>1</v>
      </c>
      <c r="D3516" s="8">
        <v>1.35</v>
      </c>
      <c r="E3516" s="4">
        <v>1</v>
      </c>
      <c r="F3516" s="8">
        <v>2.63</v>
      </c>
      <c r="G3516" s="4">
        <v>0</v>
      </c>
      <c r="H3516" s="8">
        <v>0</v>
      </c>
      <c r="I3516" s="4">
        <v>0</v>
      </c>
    </row>
    <row r="3517" spans="1:9" x14ac:dyDescent="0.2">
      <c r="A3517" s="2">
        <v>19</v>
      </c>
      <c r="B3517" s="1" t="s">
        <v>293</v>
      </c>
      <c r="C3517" s="4">
        <v>1</v>
      </c>
      <c r="D3517" s="8">
        <v>1.35</v>
      </c>
      <c r="E3517" s="4">
        <v>1</v>
      </c>
      <c r="F3517" s="8">
        <v>2.63</v>
      </c>
      <c r="G3517" s="4">
        <v>0</v>
      </c>
      <c r="H3517" s="8">
        <v>0</v>
      </c>
      <c r="I3517" s="4">
        <v>0</v>
      </c>
    </row>
    <row r="3518" spans="1:9" x14ac:dyDescent="0.2">
      <c r="A3518" s="2">
        <v>19</v>
      </c>
      <c r="B3518" s="1" t="s">
        <v>401</v>
      </c>
      <c r="C3518" s="4">
        <v>1</v>
      </c>
      <c r="D3518" s="8">
        <v>1.35</v>
      </c>
      <c r="E3518" s="4">
        <v>1</v>
      </c>
      <c r="F3518" s="8">
        <v>2.63</v>
      </c>
      <c r="G3518" s="4">
        <v>0</v>
      </c>
      <c r="H3518" s="8">
        <v>0</v>
      </c>
      <c r="I3518" s="4">
        <v>0</v>
      </c>
    </row>
    <row r="3519" spans="1:9" x14ac:dyDescent="0.2">
      <c r="A3519" s="2">
        <v>19</v>
      </c>
      <c r="B3519" s="1" t="s">
        <v>402</v>
      </c>
      <c r="C3519" s="4">
        <v>1</v>
      </c>
      <c r="D3519" s="8">
        <v>1.35</v>
      </c>
      <c r="E3519" s="4">
        <v>1</v>
      </c>
      <c r="F3519" s="8">
        <v>2.63</v>
      </c>
      <c r="G3519" s="4">
        <v>0</v>
      </c>
      <c r="H3519" s="8">
        <v>0</v>
      </c>
      <c r="I3519" s="4">
        <v>0</v>
      </c>
    </row>
    <row r="3520" spans="1:9" x14ac:dyDescent="0.2">
      <c r="A3520" s="2">
        <v>19</v>
      </c>
      <c r="B3520" s="1" t="s">
        <v>294</v>
      </c>
      <c r="C3520" s="4">
        <v>1</v>
      </c>
      <c r="D3520" s="8">
        <v>1.35</v>
      </c>
      <c r="E3520" s="4">
        <v>1</v>
      </c>
      <c r="F3520" s="8">
        <v>2.63</v>
      </c>
      <c r="G3520" s="4">
        <v>0</v>
      </c>
      <c r="H3520" s="8">
        <v>0</v>
      </c>
      <c r="I3520" s="4">
        <v>0</v>
      </c>
    </row>
    <row r="3521" spans="1:9" x14ac:dyDescent="0.2">
      <c r="A3521" s="2">
        <v>19</v>
      </c>
      <c r="B3521" s="1" t="s">
        <v>372</v>
      </c>
      <c r="C3521" s="4">
        <v>1</v>
      </c>
      <c r="D3521" s="8">
        <v>1.35</v>
      </c>
      <c r="E3521" s="4">
        <v>0</v>
      </c>
      <c r="F3521" s="8">
        <v>0</v>
      </c>
      <c r="G3521" s="4">
        <v>1</v>
      </c>
      <c r="H3521" s="8">
        <v>3.7</v>
      </c>
      <c r="I3521" s="4">
        <v>0</v>
      </c>
    </row>
    <row r="3522" spans="1:9" x14ac:dyDescent="0.2">
      <c r="A3522" s="2">
        <v>19</v>
      </c>
      <c r="B3522" s="1" t="s">
        <v>373</v>
      </c>
      <c r="C3522" s="4">
        <v>1</v>
      </c>
      <c r="D3522" s="8">
        <v>1.35</v>
      </c>
      <c r="E3522" s="4">
        <v>1</v>
      </c>
      <c r="F3522" s="8">
        <v>2.63</v>
      </c>
      <c r="G3522" s="4">
        <v>0</v>
      </c>
      <c r="H3522" s="8">
        <v>0</v>
      </c>
      <c r="I3522" s="4">
        <v>0</v>
      </c>
    </row>
    <row r="3523" spans="1:9" x14ac:dyDescent="0.2">
      <c r="A3523" s="2">
        <v>19</v>
      </c>
      <c r="B3523" s="1" t="s">
        <v>295</v>
      </c>
      <c r="C3523" s="4">
        <v>1</v>
      </c>
      <c r="D3523" s="8">
        <v>1.35</v>
      </c>
      <c r="E3523" s="4">
        <v>0</v>
      </c>
      <c r="F3523" s="8">
        <v>0</v>
      </c>
      <c r="G3523" s="4">
        <v>1</v>
      </c>
      <c r="H3523" s="8">
        <v>3.7</v>
      </c>
      <c r="I3523" s="4">
        <v>0</v>
      </c>
    </row>
    <row r="3524" spans="1:9" x14ac:dyDescent="0.2">
      <c r="A3524" s="2">
        <v>19</v>
      </c>
      <c r="B3524" s="1" t="s">
        <v>296</v>
      </c>
      <c r="C3524" s="4">
        <v>1</v>
      </c>
      <c r="D3524" s="8">
        <v>1.35</v>
      </c>
      <c r="E3524" s="4">
        <v>0</v>
      </c>
      <c r="F3524" s="8">
        <v>0</v>
      </c>
      <c r="G3524" s="4">
        <v>1</v>
      </c>
      <c r="H3524" s="8">
        <v>3.7</v>
      </c>
      <c r="I3524" s="4">
        <v>0</v>
      </c>
    </row>
    <row r="3525" spans="1:9" x14ac:dyDescent="0.2">
      <c r="A3525" s="2">
        <v>19</v>
      </c>
      <c r="B3525" s="1" t="s">
        <v>297</v>
      </c>
      <c r="C3525" s="4">
        <v>1</v>
      </c>
      <c r="D3525" s="8">
        <v>1.35</v>
      </c>
      <c r="E3525" s="4">
        <v>0</v>
      </c>
      <c r="F3525" s="8">
        <v>0</v>
      </c>
      <c r="G3525" s="4">
        <v>1</v>
      </c>
      <c r="H3525" s="8">
        <v>3.7</v>
      </c>
      <c r="I3525" s="4">
        <v>0</v>
      </c>
    </row>
    <row r="3526" spans="1:9" x14ac:dyDescent="0.2">
      <c r="A3526" s="2">
        <v>19</v>
      </c>
      <c r="B3526" s="1" t="s">
        <v>334</v>
      </c>
      <c r="C3526" s="4">
        <v>1</v>
      </c>
      <c r="D3526" s="8">
        <v>1.35</v>
      </c>
      <c r="E3526" s="4">
        <v>1</v>
      </c>
      <c r="F3526" s="8">
        <v>2.63</v>
      </c>
      <c r="G3526" s="4">
        <v>0</v>
      </c>
      <c r="H3526" s="8">
        <v>0</v>
      </c>
      <c r="I3526" s="4">
        <v>0</v>
      </c>
    </row>
    <row r="3527" spans="1:9" x14ac:dyDescent="0.2">
      <c r="A3527" s="2">
        <v>19</v>
      </c>
      <c r="B3527" s="1" t="s">
        <v>325</v>
      </c>
      <c r="C3527" s="4">
        <v>1</v>
      </c>
      <c r="D3527" s="8">
        <v>1.35</v>
      </c>
      <c r="E3527" s="4">
        <v>0</v>
      </c>
      <c r="F3527" s="8">
        <v>0</v>
      </c>
      <c r="G3527" s="4">
        <v>1</v>
      </c>
      <c r="H3527" s="8">
        <v>3.7</v>
      </c>
      <c r="I3527" s="4">
        <v>0</v>
      </c>
    </row>
    <row r="3528" spans="1:9" x14ac:dyDescent="0.2">
      <c r="A3528" s="2">
        <v>19</v>
      </c>
      <c r="B3528" s="1" t="s">
        <v>304</v>
      </c>
      <c r="C3528" s="4">
        <v>1</v>
      </c>
      <c r="D3528" s="8">
        <v>1.35</v>
      </c>
      <c r="E3528" s="4">
        <v>1</v>
      </c>
      <c r="F3528" s="8">
        <v>2.63</v>
      </c>
      <c r="G3528" s="4">
        <v>0</v>
      </c>
      <c r="H3528" s="8">
        <v>0</v>
      </c>
      <c r="I3528" s="4">
        <v>0</v>
      </c>
    </row>
    <row r="3529" spans="1:9" x14ac:dyDescent="0.2">
      <c r="A3529" s="2">
        <v>19</v>
      </c>
      <c r="B3529" s="1" t="s">
        <v>368</v>
      </c>
      <c r="C3529" s="4">
        <v>1</v>
      </c>
      <c r="D3529" s="8">
        <v>1.35</v>
      </c>
      <c r="E3529" s="4">
        <v>0</v>
      </c>
      <c r="F3529" s="8">
        <v>0</v>
      </c>
      <c r="G3529" s="4">
        <v>0</v>
      </c>
      <c r="H3529" s="8">
        <v>0</v>
      </c>
      <c r="I3529" s="4">
        <v>0</v>
      </c>
    </row>
    <row r="3530" spans="1:9" x14ac:dyDescent="0.2">
      <c r="A3530" s="1"/>
      <c r="C3530" s="4"/>
      <c r="D3530" s="8"/>
      <c r="E3530" s="4"/>
      <c r="F3530" s="8"/>
      <c r="G3530" s="4"/>
      <c r="H3530" s="8"/>
      <c r="I3530" s="4"/>
    </row>
    <row r="3531" spans="1:9" x14ac:dyDescent="0.2">
      <c r="A3531" s="1" t="s">
        <v>118</v>
      </c>
      <c r="C3531" s="4"/>
      <c r="D3531" s="8"/>
      <c r="E3531" s="4"/>
      <c r="F3531" s="8"/>
      <c r="G3531" s="4"/>
      <c r="H3531" s="8"/>
      <c r="I3531" s="4"/>
    </row>
    <row r="3532" spans="1:9" x14ac:dyDescent="0.2">
      <c r="A3532" s="2">
        <v>1</v>
      </c>
      <c r="B3532" s="1" t="s">
        <v>301</v>
      </c>
      <c r="C3532" s="4">
        <v>6</v>
      </c>
      <c r="D3532" s="8">
        <v>6.25</v>
      </c>
      <c r="E3532" s="4">
        <v>5</v>
      </c>
      <c r="F3532" s="8">
        <v>10.199999999999999</v>
      </c>
      <c r="G3532" s="4">
        <v>1</v>
      </c>
      <c r="H3532" s="8">
        <v>2.27</v>
      </c>
      <c r="I3532" s="4">
        <v>0</v>
      </c>
    </row>
    <row r="3533" spans="1:9" x14ac:dyDescent="0.2">
      <c r="A3533" s="2">
        <v>2</v>
      </c>
      <c r="B3533" s="1" t="s">
        <v>304</v>
      </c>
      <c r="C3533" s="4">
        <v>5</v>
      </c>
      <c r="D3533" s="8">
        <v>5.21</v>
      </c>
      <c r="E3533" s="4">
        <v>5</v>
      </c>
      <c r="F3533" s="8">
        <v>10.199999999999999</v>
      </c>
      <c r="G3533" s="4">
        <v>0</v>
      </c>
      <c r="H3533" s="8">
        <v>0</v>
      </c>
      <c r="I3533" s="4">
        <v>0</v>
      </c>
    </row>
    <row r="3534" spans="1:9" x14ac:dyDescent="0.2">
      <c r="A3534" s="2">
        <v>3</v>
      </c>
      <c r="B3534" s="1" t="s">
        <v>288</v>
      </c>
      <c r="C3534" s="4">
        <v>4</v>
      </c>
      <c r="D3534" s="8">
        <v>4.17</v>
      </c>
      <c r="E3534" s="4">
        <v>0</v>
      </c>
      <c r="F3534" s="8">
        <v>0</v>
      </c>
      <c r="G3534" s="4">
        <v>4</v>
      </c>
      <c r="H3534" s="8">
        <v>9.09</v>
      </c>
      <c r="I3534" s="4">
        <v>0</v>
      </c>
    </row>
    <row r="3535" spans="1:9" x14ac:dyDescent="0.2">
      <c r="A3535" s="2">
        <v>3</v>
      </c>
      <c r="B3535" s="1" t="s">
        <v>289</v>
      </c>
      <c r="C3535" s="4">
        <v>4</v>
      </c>
      <c r="D3535" s="8">
        <v>4.17</v>
      </c>
      <c r="E3535" s="4">
        <v>1</v>
      </c>
      <c r="F3535" s="8">
        <v>2.04</v>
      </c>
      <c r="G3535" s="4">
        <v>3</v>
      </c>
      <c r="H3535" s="8">
        <v>6.82</v>
      </c>
      <c r="I3535" s="4">
        <v>0</v>
      </c>
    </row>
    <row r="3536" spans="1:9" x14ac:dyDescent="0.2">
      <c r="A3536" s="2">
        <v>3</v>
      </c>
      <c r="B3536" s="1" t="s">
        <v>330</v>
      </c>
      <c r="C3536" s="4">
        <v>4</v>
      </c>
      <c r="D3536" s="8">
        <v>4.17</v>
      </c>
      <c r="E3536" s="4">
        <v>1</v>
      </c>
      <c r="F3536" s="8">
        <v>2.04</v>
      </c>
      <c r="G3536" s="4">
        <v>3</v>
      </c>
      <c r="H3536" s="8">
        <v>6.82</v>
      </c>
      <c r="I3536" s="4">
        <v>0</v>
      </c>
    </row>
    <row r="3537" spans="1:9" x14ac:dyDescent="0.2">
      <c r="A3537" s="2">
        <v>3</v>
      </c>
      <c r="B3537" s="1" t="s">
        <v>299</v>
      </c>
      <c r="C3537" s="4">
        <v>4</v>
      </c>
      <c r="D3537" s="8">
        <v>4.17</v>
      </c>
      <c r="E3537" s="4">
        <v>4</v>
      </c>
      <c r="F3537" s="8">
        <v>8.16</v>
      </c>
      <c r="G3537" s="4">
        <v>0</v>
      </c>
      <c r="H3537" s="8">
        <v>0</v>
      </c>
      <c r="I3537" s="4">
        <v>0</v>
      </c>
    </row>
    <row r="3538" spans="1:9" x14ac:dyDescent="0.2">
      <c r="A3538" s="2">
        <v>7</v>
      </c>
      <c r="B3538" s="1" t="s">
        <v>339</v>
      </c>
      <c r="C3538" s="4">
        <v>3</v>
      </c>
      <c r="D3538" s="8">
        <v>3.13</v>
      </c>
      <c r="E3538" s="4">
        <v>3</v>
      </c>
      <c r="F3538" s="8">
        <v>6.12</v>
      </c>
      <c r="G3538" s="4">
        <v>0</v>
      </c>
      <c r="H3538" s="8">
        <v>0</v>
      </c>
      <c r="I3538" s="4">
        <v>0</v>
      </c>
    </row>
    <row r="3539" spans="1:9" x14ac:dyDescent="0.2">
      <c r="A3539" s="2">
        <v>7</v>
      </c>
      <c r="B3539" s="1" t="s">
        <v>334</v>
      </c>
      <c r="C3539" s="4">
        <v>3</v>
      </c>
      <c r="D3539" s="8">
        <v>3.13</v>
      </c>
      <c r="E3539" s="4">
        <v>3</v>
      </c>
      <c r="F3539" s="8">
        <v>6.12</v>
      </c>
      <c r="G3539" s="4">
        <v>0</v>
      </c>
      <c r="H3539" s="8">
        <v>0</v>
      </c>
      <c r="I3539" s="4">
        <v>0</v>
      </c>
    </row>
    <row r="3540" spans="1:9" x14ac:dyDescent="0.2">
      <c r="A3540" s="2">
        <v>7</v>
      </c>
      <c r="B3540" s="1" t="s">
        <v>303</v>
      </c>
      <c r="C3540" s="4">
        <v>3</v>
      </c>
      <c r="D3540" s="8">
        <v>3.13</v>
      </c>
      <c r="E3540" s="4">
        <v>3</v>
      </c>
      <c r="F3540" s="8">
        <v>6.12</v>
      </c>
      <c r="G3540" s="4">
        <v>0</v>
      </c>
      <c r="H3540" s="8">
        <v>0</v>
      </c>
      <c r="I3540" s="4">
        <v>0</v>
      </c>
    </row>
    <row r="3541" spans="1:9" x14ac:dyDescent="0.2">
      <c r="A3541" s="2">
        <v>10</v>
      </c>
      <c r="B3541" s="1" t="s">
        <v>328</v>
      </c>
      <c r="C3541" s="4">
        <v>2</v>
      </c>
      <c r="D3541" s="8">
        <v>2.08</v>
      </c>
      <c r="E3541" s="4">
        <v>1</v>
      </c>
      <c r="F3541" s="8">
        <v>2.04</v>
      </c>
      <c r="G3541" s="4">
        <v>1</v>
      </c>
      <c r="H3541" s="8">
        <v>2.27</v>
      </c>
      <c r="I3541" s="4">
        <v>0</v>
      </c>
    </row>
    <row r="3542" spans="1:9" x14ac:dyDescent="0.2">
      <c r="A3542" s="2">
        <v>10</v>
      </c>
      <c r="B3542" s="1" t="s">
        <v>343</v>
      </c>
      <c r="C3542" s="4">
        <v>2</v>
      </c>
      <c r="D3542" s="8">
        <v>2.08</v>
      </c>
      <c r="E3542" s="4">
        <v>1</v>
      </c>
      <c r="F3542" s="8">
        <v>2.04</v>
      </c>
      <c r="G3542" s="4">
        <v>1</v>
      </c>
      <c r="H3542" s="8">
        <v>2.27</v>
      </c>
      <c r="I3542" s="4">
        <v>0</v>
      </c>
    </row>
    <row r="3543" spans="1:9" x14ac:dyDescent="0.2">
      <c r="A3543" s="2">
        <v>10</v>
      </c>
      <c r="B3543" s="1" t="s">
        <v>384</v>
      </c>
      <c r="C3543" s="4">
        <v>2</v>
      </c>
      <c r="D3543" s="8">
        <v>2.08</v>
      </c>
      <c r="E3543" s="4">
        <v>0</v>
      </c>
      <c r="F3543" s="8">
        <v>0</v>
      </c>
      <c r="G3543" s="4">
        <v>2</v>
      </c>
      <c r="H3543" s="8">
        <v>4.55</v>
      </c>
      <c r="I3543" s="4">
        <v>0</v>
      </c>
    </row>
    <row r="3544" spans="1:9" x14ac:dyDescent="0.2">
      <c r="A3544" s="2">
        <v>10</v>
      </c>
      <c r="B3544" s="1" t="s">
        <v>364</v>
      </c>
      <c r="C3544" s="4">
        <v>2</v>
      </c>
      <c r="D3544" s="8">
        <v>2.08</v>
      </c>
      <c r="E3544" s="4">
        <v>0</v>
      </c>
      <c r="F3544" s="8">
        <v>0</v>
      </c>
      <c r="G3544" s="4">
        <v>2</v>
      </c>
      <c r="H3544" s="8">
        <v>4.55</v>
      </c>
      <c r="I3544" s="4">
        <v>0</v>
      </c>
    </row>
    <row r="3545" spans="1:9" x14ac:dyDescent="0.2">
      <c r="A3545" s="2">
        <v>10</v>
      </c>
      <c r="B3545" s="1" t="s">
        <v>324</v>
      </c>
      <c r="C3545" s="4">
        <v>2</v>
      </c>
      <c r="D3545" s="8">
        <v>2.08</v>
      </c>
      <c r="E3545" s="4">
        <v>0</v>
      </c>
      <c r="F3545" s="8">
        <v>0</v>
      </c>
      <c r="G3545" s="4">
        <v>2</v>
      </c>
      <c r="H3545" s="8">
        <v>4.55</v>
      </c>
      <c r="I3545" s="4">
        <v>0</v>
      </c>
    </row>
    <row r="3546" spans="1:9" x14ac:dyDescent="0.2">
      <c r="A3546" s="2">
        <v>10</v>
      </c>
      <c r="B3546" s="1" t="s">
        <v>314</v>
      </c>
      <c r="C3546" s="4">
        <v>2</v>
      </c>
      <c r="D3546" s="8">
        <v>2.08</v>
      </c>
      <c r="E3546" s="4">
        <v>2</v>
      </c>
      <c r="F3546" s="8">
        <v>4.08</v>
      </c>
      <c r="G3546" s="4">
        <v>0</v>
      </c>
      <c r="H3546" s="8">
        <v>0</v>
      </c>
      <c r="I3546" s="4">
        <v>0</v>
      </c>
    </row>
    <row r="3547" spans="1:9" x14ac:dyDescent="0.2">
      <c r="A3547" s="2">
        <v>10</v>
      </c>
      <c r="B3547" s="1" t="s">
        <v>332</v>
      </c>
      <c r="C3547" s="4">
        <v>2</v>
      </c>
      <c r="D3547" s="8">
        <v>2.08</v>
      </c>
      <c r="E3547" s="4">
        <v>0</v>
      </c>
      <c r="F3547" s="8">
        <v>0</v>
      </c>
      <c r="G3547" s="4">
        <v>2</v>
      </c>
      <c r="H3547" s="8">
        <v>4.55</v>
      </c>
      <c r="I3547" s="4">
        <v>0</v>
      </c>
    </row>
    <row r="3548" spans="1:9" x14ac:dyDescent="0.2">
      <c r="A3548" s="2">
        <v>10</v>
      </c>
      <c r="B3548" s="1" t="s">
        <v>335</v>
      </c>
      <c r="C3548" s="4">
        <v>2</v>
      </c>
      <c r="D3548" s="8">
        <v>2.08</v>
      </c>
      <c r="E3548" s="4">
        <v>2</v>
      </c>
      <c r="F3548" s="8">
        <v>4.08</v>
      </c>
      <c r="G3548" s="4">
        <v>0</v>
      </c>
      <c r="H3548" s="8">
        <v>0</v>
      </c>
      <c r="I3548" s="4">
        <v>0</v>
      </c>
    </row>
    <row r="3549" spans="1:9" x14ac:dyDescent="0.2">
      <c r="A3549" s="2">
        <v>10</v>
      </c>
      <c r="B3549" s="1" t="s">
        <v>295</v>
      </c>
      <c r="C3549" s="4">
        <v>2</v>
      </c>
      <c r="D3549" s="8">
        <v>2.08</v>
      </c>
      <c r="E3549" s="4">
        <v>1</v>
      </c>
      <c r="F3549" s="8">
        <v>2.04</v>
      </c>
      <c r="G3549" s="4">
        <v>1</v>
      </c>
      <c r="H3549" s="8">
        <v>2.27</v>
      </c>
      <c r="I3549" s="4">
        <v>0</v>
      </c>
    </row>
    <row r="3550" spans="1:9" x14ac:dyDescent="0.2">
      <c r="A3550" s="2">
        <v>10</v>
      </c>
      <c r="B3550" s="1" t="s">
        <v>297</v>
      </c>
      <c r="C3550" s="4">
        <v>2</v>
      </c>
      <c r="D3550" s="8">
        <v>2.08</v>
      </c>
      <c r="E3550" s="4">
        <v>2</v>
      </c>
      <c r="F3550" s="8">
        <v>4.08</v>
      </c>
      <c r="G3550" s="4">
        <v>0</v>
      </c>
      <c r="H3550" s="8">
        <v>0</v>
      </c>
      <c r="I3550" s="4">
        <v>0</v>
      </c>
    </row>
    <row r="3551" spans="1:9" x14ac:dyDescent="0.2">
      <c r="A3551" s="2">
        <v>10</v>
      </c>
      <c r="B3551" s="1" t="s">
        <v>307</v>
      </c>
      <c r="C3551" s="4">
        <v>2</v>
      </c>
      <c r="D3551" s="8">
        <v>2.08</v>
      </c>
      <c r="E3551" s="4">
        <v>0</v>
      </c>
      <c r="F3551" s="8">
        <v>0</v>
      </c>
      <c r="G3551" s="4">
        <v>2</v>
      </c>
      <c r="H3551" s="8">
        <v>4.55</v>
      </c>
      <c r="I3551" s="4">
        <v>0</v>
      </c>
    </row>
    <row r="3552" spans="1:9" x14ac:dyDescent="0.2">
      <c r="A3552" s="2">
        <v>10</v>
      </c>
      <c r="B3552" s="1" t="s">
        <v>318</v>
      </c>
      <c r="C3552" s="4">
        <v>2</v>
      </c>
      <c r="D3552" s="8">
        <v>2.08</v>
      </c>
      <c r="E3552" s="4">
        <v>1</v>
      </c>
      <c r="F3552" s="8">
        <v>2.04</v>
      </c>
      <c r="G3552" s="4">
        <v>1</v>
      </c>
      <c r="H3552" s="8">
        <v>2.27</v>
      </c>
      <c r="I3552" s="4">
        <v>0</v>
      </c>
    </row>
    <row r="3553" spans="1:9" x14ac:dyDescent="0.2">
      <c r="A3553" s="1"/>
      <c r="C3553" s="4"/>
      <c r="D3553" s="8"/>
      <c r="E3553" s="4"/>
      <c r="F3553" s="8"/>
      <c r="G3553" s="4"/>
      <c r="H3553" s="8"/>
      <c r="I3553" s="4"/>
    </row>
    <row r="3554" spans="1:9" x14ac:dyDescent="0.2">
      <c r="A3554" s="1" t="s">
        <v>119</v>
      </c>
      <c r="C3554" s="4"/>
      <c r="D3554" s="8"/>
      <c r="E3554" s="4"/>
      <c r="F3554" s="8"/>
      <c r="G3554" s="4"/>
      <c r="H3554" s="8"/>
      <c r="I3554" s="4"/>
    </row>
    <row r="3555" spans="1:9" x14ac:dyDescent="0.2">
      <c r="A3555" s="2">
        <v>1</v>
      </c>
      <c r="B3555" s="1" t="s">
        <v>301</v>
      </c>
      <c r="C3555" s="4">
        <v>18</v>
      </c>
      <c r="D3555" s="8">
        <v>6</v>
      </c>
      <c r="E3555" s="4">
        <v>18</v>
      </c>
      <c r="F3555" s="8">
        <v>9.68</v>
      </c>
      <c r="G3555" s="4">
        <v>0</v>
      </c>
      <c r="H3555" s="8">
        <v>0</v>
      </c>
      <c r="I3555" s="4">
        <v>0</v>
      </c>
    </row>
    <row r="3556" spans="1:9" x14ac:dyDescent="0.2">
      <c r="A3556" s="2">
        <v>2</v>
      </c>
      <c r="B3556" s="1" t="s">
        <v>297</v>
      </c>
      <c r="C3556" s="4">
        <v>14</v>
      </c>
      <c r="D3556" s="8">
        <v>4.67</v>
      </c>
      <c r="E3556" s="4">
        <v>12</v>
      </c>
      <c r="F3556" s="8">
        <v>6.45</v>
      </c>
      <c r="G3556" s="4">
        <v>1</v>
      </c>
      <c r="H3556" s="8">
        <v>1.01</v>
      </c>
      <c r="I3556" s="4">
        <v>0</v>
      </c>
    </row>
    <row r="3557" spans="1:9" x14ac:dyDescent="0.2">
      <c r="A3557" s="2">
        <v>2</v>
      </c>
      <c r="B3557" s="1" t="s">
        <v>339</v>
      </c>
      <c r="C3557" s="4">
        <v>14</v>
      </c>
      <c r="D3557" s="8">
        <v>4.67</v>
      </c>
      <c r="E3557" s="4">
        <v>13</v>
      </c>
      <c r="F3557" s="8">
        <v>6.99</v>
      </c>
      <c r="G3557" s="4">
        <v>1</v>
      </c>
      <c r="H3557" s="8">
        <v>1.01</v>
      </c>
      <c r="I3557" s="4">
        <v>0</v>
      </c>
    </row>
    <row r="3558" spans="1:9" x14ac:dyDescent="0.2">
      <c r="A3558" s="2">
        <v>4</v>
      </c>
      <c r="B3558" s="1" t="s">
        <v>303</v>
      </c>
      <c r="C3558" s="4">
        <v>12</v>
      </c>
      <c r="D3558" s="8">
        <v>4</v>
      </c>
      <c r="E3558" s="4">
        <v>12</v>
      </c>
      <c r="F3558" s="8">
        <v>6.45</v>
      </c>
      <c r="G3558" s="4">
        <v>0</v>
      </c>
      <c r="H3558" s="8">
        <v>0</v>
      </c>
      <c r="I3558" s="4">
        <v>0</v>
      </c>
    </row>
    <row r="3559" spans="1:9" x14ac:dyDescent="0.2">
      <c r="A3559" s="2">
        <v>4</v>
      </c>
      <c r="B3559" s="1" t="s">
        <v>304</v>
      </c>
      <c r="C3559" s="4">
        <v>12</v>
      </c>
      <c r="D3559" s="8">
        <v>4</v>
      </c>
      <c r="E3559" s="4">
        <v>12</v>
      </c>
      <c r="F3559" s="8">
        <v>6.45</v>
      </c>
      <c r="G3559" s="4">
        <v>0</v>
      </c>
      <c r="H3559" s="8">
        <v>0</v>
      </c>
      <c r="I3559" s="4">
        <v>0</v>
      </c>
    </row>
    <row r="3560" spans="1:9" x14ac:dyDescent="0.2">
      <c r="A3560" s="2">
        <v>6</v>
      </c>
      <c r="B3560" s="1" t="s">
        <v>299</v>
      </c>
      <c r="C3560" s="4">
        <v>10</v>
      </c>
      <c r="D3560" s="8">
        <v>3.33</v>
      </c>
      <c r="E3560" s="4">
        <v>10</v>
      </c>
      <c r="F3560" s="8">
        <v>5.38</v>
      </c>
      <c r="G3560" s="4">
        <v>0</v>
      </c>
      <c r="H3560" s="8">
        <v>0</v>
      </c>
      <c r="I3560" s="4">
        <v>0</v>
      </c>
    </row>
    <row r="3561" spans="1:9" x14ac:dyDescent="0.2">
      <c r="A3561" s="2">
        <v>7</v>
      </c>
      <c r="B3561" s="1" t="s">
        <v>295</v>
      </c>
      <c r="C3561" s="4">
        <v>7</v>
      </c>
      <c r="D3561" s="8">
        <v>2.33</v>
      </c>
      <c r="E3561" s="4">
        <v>4</v>
      </c>
      <c r="F3561" s="8">
        <v>2.15</v>
      </c>
      <c r="G3561" s="4">
        <v>3</v>
      </c>
      <c r="H3561" s="8">
        <v>3.03</v>
      </c>
      <c r="I3561" s="4">
        <v>0</v>
      </c>
    </row>
    <row r="3562" spans="1:9" x14ac:dyDescent="0.2">
      <c r="A3562" s="2">
        <v>7</v>
      </c>
      <c r="B3562" s="1" t="s">
        <v>300</v>
      </c>
      <c r="C3562" s="4">
        <v>7</v>
      </c>
      <c r="D3562" s="8">
        <v>2.33</v>
      </c>
      <c r="E3562" s="4">
        <v>5</v>
      </c>
      <c r="F3562" s="8">
        <v>2.69</v>
      </c>
      <c r="G3562" s="4">
        <v>2</v>
      </c>
      <c r="H3562" s="8">
        <v>2.02</v>
      </c>
      <c r="I3562" s="4">
        <v>0</v>
      </c>
    </row>
    <row r="3563" spans="1:9" x14ac:dyDescent="0.2">
      <c r="A3563" s="2">
        <v>9</v>
      </c>
      <c r="B3563" s="1" t="s">
        <v>289</v>
      </c>
      <c r="C3563" s="4">
        <v>6</v>
      </c>
      <c r="D3563" s="8">
        <v>2</v>
      </c>
      <c r="E3563" s="4">
        <v>1</v>
      </c>
      <c r="F3563" s="8">
        <v>0.54</v>
      </c>
      <c r="G3563" s="4">
        <v>5</v>
      </c>
      <c r="H3563" s="8">
        <v>5.05</v>
      </c>
      <c r="I3563" s="4">
        <v>0</v>
      </c>
    </row>
    <row r="3564" spans="1:9" x14ac:dyDescent="0.2">
      <c r="A3564" s="2">
        <v>9</v>
      </c>
      <c r="B3564" s="1" t="s">
        <v>343</v>
      </c>
      <c r="C3564" s="4">
        <v>6</v>
      </c>
      <c r="D3564" s="8">
        <v>2</v>
      </c>
      <c r="E3564" s="4">
        <v>5</v>
      </c>
      <c r="F3564" s="8">
        <v>2.69</v>
      </c>
      <c r="G3564" s="4">
        <v>1</v>
      </c>
      <c r="H3564" s="8">
        <v>1.01</v>
      </c>
      <c r="I3564" s="4">
        <v>0</v>
      </c>
    </row>
    <row r="3565" spans="1:9" x14ac:dyDescent="0.2">
      <c r="A3565" s="2">
        <v>9</v>
      </c>
      <c r="B3565" s="1" t="s">
        <v>291</v>
      </c>
      <c r="C3565" s="4">
        <v>6</v>
      </c>
      <c r="D3565" s="8">
        <v>2</v>
      </c>
      <c r="E3565" s="4">
        <v>4</v>
      </c>
      <c r="F3565" s="8">
        <v>2.15</v>
      </c>
      <c r="G3565" s="4">
        <v>2</v>
      </c>
      <c r="H3565" s="8">
        <v>2.02</v>
      </c>
      <c r="I3565" s="4">
        <v>0</v>
      </c>
    </row>
    <row r="3566" spans="1:9" x14ac:dyDescent="0.2">
      <c r="A3566" s="2">
        <v>9</v>
      </c>
      <c r="B3566" s="1" t="s">
        <v>342</v>
      </c>
      <c r="C3566" s="4">
        <v>6</v>
      </c>
      <c r="D3566" s="8">
        <v>2</v>
      </c>
      <c r="E3566" s="4">
        <v>0</v>
      </c>
      <c r="F3566" s="8">
        <v>0</v>
      </c>
      <c r="G3566" s="4">
        <v>6</v>
      </c>
      <c r="H3566" s="8">
        <v>6.06</v>
      </c>
      <c r="I3566" s="4">
        <v>0</v>
      </c>
    </row>
    <row r="3567" spans="1:9" x14ac:dyDescent="0.2">
      <c r="A3567" s="2">
        <v>9</v>
      </c>
      <c r="B3567" s="1" t="s">
        <v>334</v>
      </c>
      <c r="C3567" s="4">
        <v>6</v>
      </c>
      <c r="D3567" s="8">
        <v>2</v>
      </c>
      <c r="E3567" s="4">
        <v>6</v>
      </c>
      <c r="F3567" s="8">
        <v>3.23</v>
      </c>
      <c r="G3567" s="4">
        <v>0</v>
      </c>
      <c r="H3567" s="8">
        <v>0</v>
      </c>
      <c r="I3567" s="4">
        <v>0</v>
      </c>
    </row>
    <row r="3568" spans="1:9" x14ac:dyDescent="0.2">
      <c r="A3568" s="2">
        <v>14</v>
      </c>
      <c r="B3568" s="1" t="s">
        <v>346</v>
      </c>
      <c r="C3568" s="4">
        <v>5</v>
      </c>
      <c r="D3568" s="8">
        <v>1.67</v>
      </c>
      <c r="E3568" s="4">
        <v>1</v>
      </c>
      <c r="F3568" s="8">
        <v>0.54</v>
      </c>
      <c r="G3568" s="4">
        <v>4</v>
      </c>
      <c r="H3568" s="8">
        <v>4.04</v>
      </c>
      <c r="I3568" s="4">
        <v>0</v>
      </c>
    </row>
    <row r="3569" spans="1:9" x14ac:dyDescent="0.2">
      <c r="A3569" s="2">
        <v>14</v>
      </c>
      <c r="B3569" s="1" t="s">
        <v>332</v>
      </c>
      <c r="C3569" s="4">
        <v>5</v>
      </c>
      <c r="D3569" s="8">
        <v>1.67</v>
      </c>
      <c r="E3569" s="4">
        <v>2</v>
      </c>
      <c r="F3569" s="8">
        <v>1.08</v>
      </c>
      <c r="G3569" s="4">
        <v>3</v>
      </c>
      <c r="H3569" s="8">
        <v>3.03</v>
      </c>
      <c r="I3569" s="4">
        <v>0</v>
      </c>
    </row>
    <row r="3570" spans="1:9" x14ac:dyDescent="0.2">
      <c r="A3570" s="2">
        <v>14</v>
      </c>
      <c r="B3570" s="1" t="s">
        <v>329</v>
      </c>
      <c r="C3570" s="4">
        <v>5</v>
      </c>
      <c r="D3570" s="8">
        <v>1.67</v>
      </c>
      <c r="E3570" s="4">
        <v>3</v>
      </c>
      <c r="F3570" s="8">
        <v>1.61</v>
      </c>
      <c r="G3570" s="4">
        <v>2</v>
      </c>
      <c r="H3570" s="8">
        <v>2.02</v>
      </c>
      <c r="I3570" s="4">
        <v>0</v>
      </c>
    </row>
    <row r="3571" spans="1:9" x14ac:dyDescent="0.2">
      <c r="A3571" s="2">
        <v>14</v>
      </c>
      <c r="B3571" s="1" t="s">
        <v>306</v>
      </c>
      <c r="C3571" s="4">
        <v>5</v>
      </c>
      <c r="D3571" s="8">
        <v>1.67</v>
      </c>
      <c r="E3571" s="4">
        <v>5</v>
      </c>
      <c r="F3571" s="8">
        <v>2.69</v>
      </c>
      <c r="G3571" s="4">
        <v>0</v>
      </c>
      <c r="H3571" s="8">
        <v>0</v>
      </c>
      <c r="I3571" s="4">
        <v>0</v>
      </c>
    </row>
    <row r="3572" spans="1:9" x14ac:dyDescent="0.2">
      <c r="A3572" s="2">
        <v>18</v>
      </c>
      <c r="B3572" s="1" t="s">
        <v>328</v>
      </c>
      <c r="C3572" s="4">
        <v>4</v>
      </c>
      <c r="D3572" s="8">
        <v>1.33</v>
      </c>
      <c r="E3572" s="4">
        <v>2</v>
      </c>
      <c r="F3572" s="8">
        <v>1.08</v>
      </c>
      <c r="G3572" s="4">
        <v>2</v>
      </c>
      <c r="H3572" s="8">
        <v>2.02</v>
      </c>
      <c r="I3572" s="4">
        <v>0</v>
      </c>
    </row>
    <row r="3573" spans="1:9" x14ac:dyDescent="0.2">
      <c r="A3573" s="2">
        <v>18</v>
      </c>
      <c r="B3573" s="1" t="s">
        <v>333</v>
      </c>
      <c r="C3573" s="4">
        <v>4</v>
      </c>
      <c r="D3573" s="8">
        <v>1.33</v>
      </c>
      <c r="E3573" s="4">
        <v>2</v>
      </c>
      <c r="F3573" s="8">
        <v>1.08</v>
      </c>
      <c r="G3573" s="4">
        <v>2</v>
      </c>
      <c r="H3573" s="8">
        <v>2.02</v>
      </c>
      <c r="I3573" s="4">
        <v>0</v>
      </c>
    </row>
    <row r="3574" spans="1:9" x14ac:dyDescent="0.2">
      <c r="A3574" s="2">
        <v>18</v>
      </c>
      <c r="B3574" s="1" t="s">
        <v>292</v>
      </c>
      <c r="C3574" s="4">
        <v>4</v>
      </c>
      <c r="D3574" s="8">
        <v>1.33</v>
      </c>
      <c r="E3574" s="4">
        <v>3</v>
      </c>
      <c r="F3574" s="8">
        <v>1.61</v>
      </c>
      <c r="G3574" s="4">
        <v>1</v>
      </c>
      <c r="H3574" s="8">
        <v>1.01</v>
      </c>
      <c r="I3574" s="4">
        <v>0</v>
      </c>
    </row>
    <row r="3575" spans="1:9" x14ac:dyDescent="0.2">
      <c r="A3575" s="2">
        <v>18</v>
      </c>
      <c r="B3575" s="1" t="s">
        <v>330</v>
      </c>
      <c r="C3575" s="4">
        <v>4</v>
      </c>
      <c r="D3575" s="8">
        <v>1.33</v>
      </c>
      <c r="E3575" s="4">
        <v>2</v>
      </c>
      <c r="F3575" s="8">
        <v>1.08</v>
      </c>
      <c r="G3575" s="4">
        <v>2</v>
      </c>
      <c r="H3575" s="8">
        <v>2.02</v>
      </c>
      <c r="I3575" s="4">
        <v>0</v>
      </c>
    </row>
    <row r="3576" spans="1:9" x14ac:dyDescent="0.2">
      <c r="A3576" s="2">
        <v>18</v>
      </c>
      <c r="B3576" s="1" t="s">
        <v>302</v>
      </c>
      <c r="C3576" s="4">
        <v>4</v>
      </c>
      <c r="D3576" s="8">
        <v>1.33</v>
      </c>
      <c r="E3576" s="4">
        <v>4</v>
      </c>
      <c r="F3576" s="8">
        <v>2.15</v>
      </c>
      <c r="G3576" s="4">
        <v>0</v>
      </c>
      <c r="H3576" s="8">
        <v>0</v>
      </c>
      <c r="I3576" s="4">
        <v>0</v>
      </c>
    </row>
    <row r="3577" spans="1:9" x14ac:dyDescent="0.2">
      <c r="A3577" s="2">
        <v>18</v>
      </c>
      <c r="B3577" s="1" t="s">
        <v>305</v>
      </c>
      <c r="C3577" s="4">
        <v>4</v>
      </c>
      <c r="D3577" s="8">
        <v>1.33</v>
      </c>
      <c r="E3577" s="4">
        <v>3</v>
      </c>
      <c r="F3577" s="8">
        <v>1.61</v>
      </c>
      <c r="G3577" s="4">
        <v>1</v>
      </c>
      <c r="H3577" s="8">
        <v>1.01</v>
      </c>
      <c r="I3577" s="4">
        <v>0</v>
      </c>
    </row>
    <row r="3578" spans="1:9" x14ac:dyDescent="0.2">
      <c r="A3578" s="2">
        <v>18</v>
      </c>
      <c r="B3578" s="1" t="s">
        <v>331</v>
      </c>
      <c r="C3578" s="4">
        <v>4</v>
      </c>
      <c r="D3578" s="8">
        <v>1.33</v>
      </c>
      <c r="E3578" s="4">
        <v>0</v>
      </c>
      <c r="F3578" s="8">
        <v>0</v>
      </c>
      <c r="G3578" s="4">
        <v>1</v>
      </c>
      <c r="H3578" s="8">
        <v>1.01</v>
      </c>
      <c r="I3578" s="4">
        <v>0</v>
      </c>
    </row>
    <row r="3579" spans="1:9" x14ac:dyDescent="0.2">
      <c r="A3579" s="2">
        <v>18</v>
      </c>
      <c r="B3579" s="1" t="s">
        <v>307</v>
      </c>
      <c r="C3579" s="4">
        <v>4</v>
      </c>
      <c r="D3579" s="8">
        <v>1.33</v>
      </c>
      <c r="E3579" s="4">
        <v>0</v>
      </c>
      <c r="F3579" s="8">
        <v>0</v>
      </c>
      <c r="G3579" s="4">
        <v>4</v>
      </c>
      <c r="H3579" s="8">
        <v>4.04</v>
      </c>
      <c r="I3579" s="4">
        <v>0</v>
      </c>
    </row>
    <row r="3580" spans="1:9" x14ac:dyDescent="0.2">
      <c r="A3580" s="1"/>
      <c r="C3580" s="4"/>
      <c r="D3580" s="8"/>
      <c r="E3580" s="4"/>
      <c r="F3580" s="8"/>
      <c r="G3580" s="4"/>
      <c r="H3580" s="8"/>
      <c r="I3580" s="4"/>
    </row>
    <row r="3581" spans="1:9" x14ac:dyDescent="0.2">
      <c r="A3581" s="1" t="s">
        <v>120</v>
      </c>
      <c r="C3581" s="4"/>
      <c r="D3581" s="8"/>
      <c r="E3581" s="4"/>
      <c r="F3581" s="8"/>
      <c r="G3581" s="4"/>
      <c r="H3581" s="8"/>
      <c r="I3581" s="4"/>
    </row>
    <row r="3582" spans="1:9" x14ac:dyDescent="0.2">
      <c r="A3582" s="2">
        <v>1</v>
      </c>
      <c r="B3582" s="1" t="s">
        <v>328</v>
      </c>
      <c r="C3582" s="4">
        <v>3</v>
      </c>
      <c r="D3582" s="8">
        <v>10</v>
      </c>
      <c r="E3582" s="4">
        <v>2</v>
      </c>
      <c r="F3582" s="8">
        <v>13.33</v>
      </c>
      <c r="G3582" s="4">
        <v>1</v>
      </c>
      <c r="H3582" s="8">
        <v>9.09</v>
      </c>
      <c r="I3582" s="4">
        <v>0</v>
      </c>
    </row>
    <row r="3583" spans="1:9" x14ac:dyDescent="0.2">
      <c r="A3583" s="2">
        <v>2</v>
      </c>
      <c r="B3583" s="1" t="s">
        <v>288</v>
      </c>
      <c r="C3583" s="4">
        <v>2</v>
      </c>
      <c r="D3583" s="8">
        <v>6.67</v>
      </c>
      <c r="E3583" s="4">
        <v>0</v>
      </c>
      <c r="F3583" s="8">
        <v>0</v>
      </c>
      <c r="G3583" s="4">
        <v>2</v>
      </c>
      <c r="H3583" s="8">
        <v>18.18</v>
      </c>
      <c r="I3583" s="4">
        <v>0</v>
      </c>
    </row>
    <row r="3584" spans="1:9" x14ac:dyDescent="0.2">
      <c r="A3584" s="2">
        <v>2</v>
      </c>
      <c r="B3584" s="1" t="s">
        <v>289</v>
      </c>
      <c r="C3584" s="4">
        <v>2</v>
      </c>
      <c r="D3584" s="8">
        <v>6.67</v>
      </c>
      <c r="E3584" s="4">
        <v>1</v>
      </c>
      <c r="F3584" s="8">
        <v>6.67</v>
      </c>
      <c r="G3584" s="4">
        <v>1</v>
      </c>
      <c r="H3584" s="8">
        <v>9.09</v>
      </c>
      <c r="I3584" s="4">
        <v>0</v>
      </c>
    </row>
    <row r="3585" spans="1:9" x14ac:dyDescent="0.2">
      <c r="A3585" s="2">
        <v>2</v>
      </c>
      <c r="B3585" s="1" t="s">
        <v>330</v>
      </c>
      <c r="C3585" s="4">
        <v>2</v>
      </c>
      <c r="D3585" s="8">
        <v>6.67</v>
      </c>
      <c r="E3585" s="4">
        <v>0</v>
      </c>
      <c r="F3585" s="8">
        <v>0</v>
      </c>
      <c r="G3585" s="4">
        <v>2</v>
      </c>
      <c r="H3585" s="8">
        <v>18.18</v>
      </c>
      <c r="I3585" s="4">
        <v>0</v>
      </c>
    </row>
    <row r="3586" spans="1:9" x14ac:dyDescent="0.2">
      <c r="A3586" s="2">
        <v>2</v>
      </c>
      <c r="B3586" s="1" t="s">
        <v>403</v>
      </c>
      <c r="C3586" s="4">
        <v>2</v>
      </c>
      <c r="D3586" s="8">
        <v>6.67</v>
      </c>
      <c r="E3586" s="4">
        <v>0</v>
      </c>
      <c r="F3586" s="8">
        <v>0</v>
      </c>
      <c r="G3586" s="4">
        <v>0</v>
      </c>
      <c r="H3586" s="8">
        <v>0</v>
      </c>
      <c r="I3586" s="4">
        <v>0</v>
      </c>
    </row>
    <row r="3587" spans="1:9" x14ac:dyDescent="0.2">
      <c r="A3587" s="2">
        <v>2</v>
      </c>
      <c r="B3587" s="1" t="s">
        <v>334</v>
      </c>
      <c r="C3587" s="4">
        <v>2</v>
      </c>
      <c r="D3587" s="8">
        <v>6.67</v>
      </c>
      <c r="E3587" s="4">
        <v>2</v>
      </c>
      <c r="F3587" s="8">
        <v>13.33</v>
      </c>
      <c r="G3587" s="4">
        <v>0</v>
      </c>
      <c r="H3587" s="8">
        <v>0</v>
      </c>
      <c r="I3587" s="4">
        <v>0</v>
      </c>
    </row>
    <row r="3588" spans="1:9" x14ac:dyDescent="0.2">
      <c r="A3588" s="2">
        <v>2</v>
      </c>
      <c r="B3588" s="1" t="s">
        <v>301</v>
      </c>
      <c r="C3588" s="4">
        <v>2</v>
      </c>
      <c r="D3588" s="8">
        <v>6.67</v>
      </c>
      <c r="E3588" s="4">
        <v>2</v>
      </c>
      <c r="F3588" s="8">
        <v>13.33</v>
      </c>
      <c r="G3588" s="4">
        <v>0</v>
      </c>
      <c r="H3588" s="8">
        <v>0</v>
      </c>
      <c r="I3588" s="4">
        <v>0</v>
      </c>
    </row>
    <row r="3589" spans="1:9" x14ac:dyDescent="0.2">
      <c r="A3589" s="2">
        <v>8</v>
      </c>
      <c r="B3589" s="1" t="s">
        <v>291</v>
      </c>
      <c r="C3589" s="4">
        <v>1</v>
      </c>
      <c r="D3589" s="8">
        <v>3.33</v>
      </c>
      <c r="E3589" s="4">
        <v>1</v>
      </c>
      <c r="F3589" s="8">
        <v>6.67</v>
      </c>
      <c r="G3589" s="4">
        <v>0</v>
      </c>
      <c r="H3589" s="8">
        <v>0</v>
      </c>
      <c r="I3589" s="4">
        <v>0</v>
      </c>
    </row>
    <row r="3590" spans="1:9" x14ac:dyDescent="0.2">
      <c r="A3590" s="2">
        <v>8</v>
      </c>
      <c r="B3590" s="1" t="s">
        <v>394</v>
      </c>
      <c r="C3590" s="4">
        <v>1</v>
      </c>
      <c r="D3590" s="8">
        <v>3.33</v>
      </c>
      <c r="E3590" s="4">
        <v>1</v>
      </c>
      <c r="F3590" s="8">
        <v>6.67</v>
      </c>
      <c r="G3590" s="4">
        <v>0</v>
      </c>
      <c r="H3590" s="8">
        <v>0</v>
      </c>
      <c r="I3590" s="4">
        <v>0</v>
      </c>
    </row>
    <row r="3591" spans="1:9" x14ac:dyDescent="0.2">
      <c r="A3591" s="2">
        <v>8</v>
      </c>
      <c r="B3591" s="1" t="s">
        <v>399</v>
      </c>
      <c r="C3591" s="4">
        <v>1</v>
      </c>
      <c r="D3591" s="8">
        <v>3.33</v>
      </c>
      <c r="E3591" s="4">
        <v>1</v>
      </c>
      <c r="F3591" s="8">
        <v>6.67</v>
      </c>
      <c r="G3591" s="4">
        <v>0</v>
      </c>
      <c r="H3591" s="8">
        <v>0</v>
      </c>
      <c r="I3591" s="4">
        <v>0</v>
      </c>
    </row>
    <row r="3592" spans="1:9" x14ac:dyDescent="0.2">
      <c r="A3592" s="2">
        <v>8</v>
      </c>
      <c r="B3592" s="1" t="s">
        <v>362</v>
      </c>
      <c r="C3592" s="4">
        <v>1</v>
      </c>
      <c r="D3592" s="8">
        <v>3.33</v>
      </c>
      <c r="E3592" s="4">
        <v>0</v>
      </c>
      <c r="F3592" s="8">
        <v>0</v>
      </c>
      <c r="G3592" s="4">
        <v>0</v>
      </c>
      <c r="H3592" s="8">
        <v>0</v>
      </c>
      <c r="I3592" s="4">
        <v>0</v>
      </c>
    </row>
    <row r="3593" spans="1:9" x14ac:dyDescent="0.2">
      <c r="A3593" s="2">
        <v>8</v>
      </c>
      <c r="B3593" s="1" t="s">
        <v>496</v>
      </c>
      <c r="C3593" s="4">
        <v>1</v>
      </c>
      <c r="D3593" s="8">
        <v>3.33</v>
      </c>
      <c r="E3593" s="4">
        <v>0</v>
      </c>
      <c r="F3593" s="8">
        <v>0</v>
      </c>
      <c r="G3593" s="4">
        <v>1</v>
      </c>
      <c r="H3593" s="8">
        <v>9.09</v>
      </c>
      <c r="I3593" s="4">
        <v>0</v>
      </c>
    </row>
    <row r="3594" spans="1:9" x14ac:dyDescent="0.2">
      <c r="A3594" s="2">
        <v>8</v>
      </c>
      <c r="B3594" s="1" t="s">
        <v>350</v>
      </c>
      <c r="C3594" s="4">
        <v>1</v>
      </c>
      <c r="D3594" s="8">
        <v>3.33</v>
      </c>
      <c r="E3594" s="4">
        <v>0</v>
      </c>
      <c r="F3594" s="8">
        <v>0</v>
      </c>
      <c r="G3594" s="4">
        <v>1</v>
      </c>
      <c r="H3594" s="8">
        <v>9.09</v>
      </c>
      <c r="I3594" s="4">
        <v>0</v>
      </c>
    </row>
    <row r="3595" spans="1:9" x14ac:dyDescent="0.2">
      <c r="A3595" s="2">
        <v>8</v>
      </c>
      <c r="B3595" s="1" t="s">
        <v>332</v>
      </c>
      <c r="C3595" s="4">
        <v>1</v>
      </c>
      <c r="D3595" s="8">
        <v>3.33</v>
      </c>
      <c r="E3595" s="4">
        <v>0</v>
      </c>
      <c r="F3595" s="8">
        <v>0</v>
      </c>
      <c r="G3595" s="4">
        <v>1</v>
      </c>
      <c r="H3595" s="8">
        <v>9.09</v>
      </c>
      <c r="I3595" s="4">
        <v>0</v>
      </c>
    </row>
    <row r="3596" spans="1:9" x14ac:dyDescent="0.2">
      <c r="A3596" s="2">
        <v>8</v>
      </c>
      <c r="B3596" s="1" t="s">
        <v>337</v>
      </c>
      <c r="C3596" s="4">
        <v>1</v>
      </c>
      <c r="D3596" s="8">
        <v>3.33</v>
      </c>
      <c r="E3596" s="4">
        <v>1</v>
      </c>
      <c r="F3596" s="8">
        <v>6.67</v>
      </c>
      <c r="G3596" s="4">
        <v>0</v>
      </c>
      <c r="H3596" s="8">
        <v>0</v>
      </c>
      <c r="I3596" s="4">
        <v>0</v>
      </c>
    </row>
    <row r="3597" spans="1:9" x14ac:dyDescent="0.2">
      <c r="A3597" s="2">
        <v>8</v>
      </c>
      <c r="B3597" s="1" t="s">
        <v>325</v>
      </c>
      <c r="C3597" s="4">
        <v>1</v>
      </c>
      <c r="D3597" s="8">
        <v>3.33</v>
      </c>
      <c r="E3597" s="4">
        <v>1</v>
      </c>
      <c r="F3597" s="8">
        <v>6.67</v>
      </c>
      <c r="G3597" s="4">
        <v>0</v>
      </c>
      <c r="H3597" s="8">
        <v>0</v>
      </c>
      <c r="I3597" s="4">
        <v>0</v>
      </c>
    </row>
    <row r="3598" spans="1:9" x14ac:dyDescent="0.2">
      <c r="A3598" s="2">
        <v>8</v>
      </c>
      <c r="B3598" s="1" t="s">
        <v>303</v>
      </c>
      <c r="C3598" s="4">
        <v>1</v>
      </c>
      <c r="D3598" s="8">
        <v>3.33</v>
      </c>
      <c r="E3598" s="4">
        <v>1</v>
      </c>
      <c r="F3598" s="8">
        <v>6.67</v>
      </c>
      <c r="G3598" s="4">
        <v>0</v>
      </c>
      <c r="H3598" s="8">
        <v>0</v>
      </c>
      <c r="I3598" s="4">
        <v>0</v>
      </c>
    </row>
    <row r="3599" spans="1:9" x14ac:dyDescent="0.2">
      <c r="A3599" s="2">
        <v>8</v>
      </c>
      <c r="B3599" s="1" t="s">
        <v>304</v>
      </c>
      <c r="C3599" s="4">
        <v>1</v>
      </c>
      <c r="D3599" s="8">
        <v>3.33</v>
      </c>
      <c r="E3599" s="4">
        <v>1</v>
      </c>
      <c r="F3599" s="8">
        <v>6.67</v>
      </c>
      <c r="G3599" s="4">
        <v>0</v>
      </c>
      <c r="H3599" s="8">
        <v>0</v>
      </c>
      <c r="I3599" s="4">
        <v>0</v>
      </c>
    </row>
    <row r="3600" spans="1:9" x14ac:dyDescent="0.2">
      <c r="A3600" s="2">
        <v>8</v>
      </c>
      <c r="B3600" s="1" t="s">
        <v>312</v>
      </c>
      <c r="C3600" s="4">
        <v>1</v>
      </c>
      <c r="D3600" s="8">
        <v>3.33</v>
      </c>
      <c r="E3600" s="4">
        <v>0</v>
      </c>
      <c r="F3600" s="8">
        <v>0</v>
      </c>
      <c r="G3600" s="4">
        <v>0</v>
      </c>
      <c r="H3600" s="8">
        <v>0</v>
      </c>
      <c r="I3600" s="4">
        <v>0</v>
      </c>
    </row>
    <row r="3601" spans="1:9" x14ac:dyDescent="0.2">
      <c r="A3601" s="2">
        <v>8</v>
      </c>
      <c r="B3601" s="1" t="s">
        <v>306</v>
      </c>
      <c r="C3601" s="4">
        <v>1</v>
      </c>
      <c r="D3601" s="8">
        <v>3.33</v>
      </c>
      <c r="E3601" s="4">
        <v>1</v>
      </c>
      <c r="F3601" s="8">
        <v>6.67</v>
      </c>
      <c r="G3601" s="4">
        <v>0</v>
      </c>
      <c r="H3601" s="8">
        <v>0</v>
      </c>
      <c r="I3601" s="4">
        <v>0</v>
      </c>
    </row>
    <row r="3602" spans="1:9" x14ac:dyDescent="0.2">
      <c r="A3602" s="2">
        <v>8</v>
      </c>
      <c r="B3602" s="1" t="s">
        <v>347</v>
      </c>
      <c r="C3602" s="4">
        <v>1</v>
      </c>
      <c r="D3602" s="8">
        <v>3.33</v>
      </c>
      <c r="E3602" s="4">
        <v>0</v>
      </c>
      <c r="F3602" s="8">
        <v>0</v>
      </c>
      <c r="G3602" s="4">
        <v>1</v>
      </c>
      <c r="H3602" s="8">
        <v>9.09</v>
      </c>
      <c r="I3602" s="4">
        <v>0</v>
      </c>
    </row>
    <row r="3603" spans="1:9" x14ac:dyDescent="0.2">
      <c r="A3603" s="2">
        <v>8</v>
      </c>
      <c r="B3603" s="1" t="s">
        <v>307</v>
      </c>
      <c r="C3603" s="4">
        <v>1</v>
      </c>
      <c r="D3603" s="8">
        <v>3.33</v>
      </c>
      <c r="E3603" s="4">
        <v>0</v>
      </c>
      <c r="F3603" s="8">
        <v>0</v>
      </c>
      <c r="G3603" s="4">
        <v>1</v>
      </c>
      <c r="H3603" s="8">
        <v>9.09</v>
      </c>
      <c r="I3603" s="4">
        <v>0</v>
      </c>
    </row>
    <row r="3604" spans="1:9" x14ac:dyDescent="0.2">
      <c r="A3604" s="1"/>
      <c r="C3604" s="4"/>
      <c r="D3604" s="8"/>
      <c r="E3604" s="4"/>
      <c r="F3604" s="8"/>
      <c r="G3604" s="4"/>
      <c r="H3604" s="8"/>
      <c r="I3604" s="4"/>
    </row>
    <row r="3605" spans="1:9" x14ac:dyDescent="0.2">
      <c r="A3605" s="1" t="s">
        <v>121</v>
      </c>
      <c r="C3605" s="4"/>
      <c r="D3605" s="8"/>
      <c r="E3605" s="4"/>
      <c r="F3605" s="8"/>
      <c r="G3605" s="4"/>
      <c r="H3605" s="8"/>
      <c r="I3605" s="4"/>
    </row>
    <row r="3606" spans="1:9" x14ac:dyDescent="0.2">
      <c r="A3606" s="2">
        <v>1</v>
      </c>
      <c r="B3606" s="1" t="s">
        <v>301</v>
      </c>
      <c r="C3606" s="4">
        <v>5</v>
      </c>
      <c r="D3606" s="8">
        <v>5.43</v>
      </c>
      <c r="E3606" s="4">
        <v>5</v>
      </c>
      <c r="F3606" s="8">
        <v>8.4700000000000006</v>
      </c>
      <c r="G3606" s="4">
        <v>0</v>
      </c>
      <c r="H3606" s="8">
        <v>0</v>
      </c>
      <c r="I3606" s="4">
        <v>0</v>
      </c>
    </row>
    <row r="3607" spans="1:9" x14ac:dyDescent="0.2">
      <c r="A3607" s="2">
        <v>1</v>
      </c>
      <c r="B3607" s="1" t="s">
        <v>303</v>
      </c>
      <c r="C3607" s="4">
        <v>5</v>
      </c>
      <c r="D3607" s="8">
        <v>5.43</v>
      </c>
      <c r="E3607" s="4">
        <v>5</v>
      </c>
      <c r="F3607" s="8">
        <v>8.4700000000000006</v>
      </c>
      <c r="G3607" s="4">
        <v>0</v>
      </c>
      <c r="H3607" s="8">
        <v>0</v>
      </c>
      <c r="I3607" s="4">
        <v>0</v>
      </c>
    </row>
    <row r="3608" spans="1:9" x14ac:dyDescent="0.2">
      <c r="A3608" s="2">
        <v>3</v>
      </c>
      <c r="B3608" s="1" t="s">
        <v>335</v>
      </c>
      <c r="C3608" s="4">
        <v>4</v>
      </c>
      <c r="D3608" s="8">
        <v>4.3499999999999996</v>
      </c>
      <c r="E3608" s="4">
        <v>3</v>
      </c>
      <c r="F3608" s="8">
        <v>5.08</v>
      </c>
      <c r="G3608" s="4">
        <v>1</v>
      </c>
      <c r="H3608" s="8">
        <v>3.23</v>
      </c>
      <c r="I3608" s="4">
        <v>0</v>
      </c>
    </row>
    <row r="3609" spans="1:9" x14ac:dyDescent="0.2">
      <c r="A3609" s="2">
        <v>4</v>
      </c>
      <c r="B3609" s="1" t="s">
        <v>288</v>
      </c>
      <c r="C3609" s="4">
        <v>3</v>
      </c>
      <c r="D3609" s="8">
        <v>3.26</v>
      </c>
      <c r="E3609" s="4">
        <v>1</v>
      </c>
      <c r="F3609" s="8">
        <v>1.69</v>
      </c>
      <c r="G3609" s="4">
        <v>2</v>
      </c>
      <c r="H3609" s="8">
        <v>6.45</v>
      </c>
      <c r="I3609" s="4">
        <v>0</v>
      </c>
    </row>
    <row r="3610" spans="1:9" x14ac:dyDescent="0.2">
      <c r="A3610" s="2">
        <v>4</v>
      </c>
      <c r="B3610" s="1" t="s">
        <v>330</v>
      </c>
      <c r="C3610" s="4">
        <v>3</v>
      </c>
      <c r="D3610" s="8">
        <v>3.26</v>
      </c>
      <c r="E3610" s="4">
        <v>1</v>
      </c>
      <c r="F3610" s="8">
        <v>1.69</v>
      </c>
      <c r="G3610" s="4">
        <v>2</v>
      </c>
      <c r="H3610" s="8">
        <v>6.45</v>
      </c>
      <c r="I3610" s="4">
        <v>0</v>
      </c>
    </row>
    <row r="3611" spans="1:9" x14ac:dyDescent="0.2">
      <c r="A3611" s="2">
        <v>4</v>
      </c>
      <c r="B3611" s="1" t="s">
        <v>334</v>
      </c>
      <c r="C3611" s="4">
        <v>3</v>
      </c>
      <c r="D3611" s="8">
        <v>3.26</v>
      </c>
      <c r="E3611" s="4">
        <v>2</v>
      </c>
      <c r="F3611" s="8">
        <v>3.39</v>
      </c>
      <c r="G3611" s="4">
        <v>1</v>
      </c>
      <c r="H3611" s="8">
        <v>3.23</v>
      </c>
      <c r="I3611" s="4">
        <v>0</v>
      </c>
    </row>
    <row r="3612" spans="1:9" x14ac:dyDescent="0.2">
      <c r="A3612" s="2">
        <v>4</v>
      </c>
      <c r="B3612" s="1" t="s">
        <v>304</v>
      </c>
      <c r="C3612" s="4">
        <v>3</v>
      </c>
      <c r="D3612" s="8">
        <v>3.26</v>
      </c>
      <c r="E3612" s="4">
        <v>3</v>
      </c>
      <c r="F3612" s="8">
        <v>5.08</v>
      </c>
      <c r="G3612" s="4">
        <v>0</v>
      </c>
      <c r="H3612" s="8">
        <v>0</v>
      </c>
      <c r="I3612" s="4">
        <v>0</v>
      </c>
    </row>
    <row r="3613" spans="1:9" x14ac:dyDescent="0.2">
      <c r="A3613" s="2">
        <v>8</v>
      </c>
      <c r="B3613" s="1" t="s">
        <v>289</v>
      </c>
      <c r="C3613" s="4">
        <v>2</v>
      </c>
      <c r="D3613" s="8">
        <v>2.17</v>
      </c>
      <c r="E3613" s="4">
        <v>0</v>
      </c>
      <c r="F3613" s="8">
        <v>0</v>
      </c>
      <c r="G3613" s="4">
        <v>2</v>
      </c>
      <c r="H3613" s="8">
        <v>6.45</v>
      </c>
      <c r="I3613" s="4">
        <v>0</v>
      </c>
    </row>
    <row r="3614" spans="1:9" x14ac:dyDescent="0.2">
      <c r="A3614" s="2">
        <v>8</v>
      </c>
      <c r="B3614" s="1" t="s">
        <v>353</v>
      </c>
      <c r="C3614" s="4">
        <v>2</v>
      </c>
      <c r="D3614" s="8">
        <v>2.17</v>
      </c>
      <c r="E3614" s="4">
        <v>1</v>
      </c>
      <c r="F3614" s="8">
        <v>1.69</v>
      </c>
      <c r="G3614" s="4">
        <v>1</v>
      </c>
      <c r="H3614" s="8">
        <v>3.23</v>
      </c>
      <c r="I3614" s="4">
        <v>0</v>
      </c>
    </row>
    <row r="3615" spans="1:9" x14ac:dyDescent="0.2">
      <c r="A3615" s="2">
        <v>8</v>
      </c>
      <c r="B3615" s="1" t="s">
        <v>343</v>
      </c>
      <c r="C3615" s="4">
        <v>2</v>
      </c>
      <c r="D3615" s="8">
        <v>2.17</v>
      </c>
      <c r="E3615" s="4">
        <v>1</v>
      </c>
      <c r="F3615" s="8">
        <v>1.69</v>
      </c>
      <c r="G3615" s="4">
        <v>1</v>
      </c>
      <c r="H3615" s="8">
        <v>3.23</v>
      </c>
      <c r="I3615" s="4">
        <v>0</v>
      </c>
    </row>
    <row r="3616" spans="1:9" x14ac:dyDescent="0.2">
      <c r="A3616" s="2">
        <v>8</v>
      </c>
      <c r="B3616" s="1" t="s">
        <v>333</v>
      </c>
      <c r="C3616" s="4">
        <v>2</v>
      </c>
      <c r="D3616" s="8">
        <v>2.17</v>
      </c>
      <c r="E3616" s="4">
        <v>2</v>
      </c>
      <c r="F3616" s="8">
        <v>3.39</v>
      </c>
      <c r="G3616" s="4">
        <v>0</v>
      </c>
      <c r="H3616" s="8">
        <v>0</v>
      </c>
      <c r="I3616" s="4">
        <v>0</v>
      </c>
    </row>
    <row r="3617" spans="1:9" x14ac:dyDescent="0.2">
      <c r="A3617" s="2">
        <v>8</v>
      </c>
      <c r="B3617" s="1" t="s">
        <v>385</v>
      </c>
      <c r="C3617" s="4">
        <v>2</v>
      </c>
      <c r="D3617" s="8">
        <v>2.17</v>
      </c>
      <c r="E3617" s="4">
        <v>0</v>
      </c>
      <c r="F3617" s="8">
        <v>0</v>
      </c>
      <c r="G3617" s="4">
        <v>2</v>
      </c>
      <c r="H3617" s="8">
        <v>6.45</v>
      </c>
      <c r="I3617" s="4">
        <v>0</v>
      </c>
    </row>
    <row r="3618" spans="1:9" x14ac:dyDescent="0.2">
      <c r="A3618" s="2">
        <v>8</v>
      </c>
      <c r="B3618" s="1" t="s">
        <v>350</v>
      </c>
      <c r="C3618" s="4">
        <v>2</v>
      </c>
      <c r="D3618" s="8">
        <v>2.17</v>
      </c>
      <c r="E3618" s="4">
        <v>2</v>
      </c>
      <c r="F3618" s="8">
        <v>3.39</v>
      </c>
      <c r="G3618" s="4">
        <v>0</v>
      </c>
      <c r="H3618" s="8">
        <v>0</v>
      </c>
      <c r="I3618" s="4">
        <v>0</v>
      </c>
    </row>
    <row r="3619" spans="1:9" x14ac:dyDescent="0.2">
      <c r="A3619" s="2">
        <v>8</v>
      </c>
      <c r="B3619" s="1" t="s">
        <v>329</v>
      </c>
      <c r="C3619" s="4">
        <v>2</v>
      </c>
      <c r="D3619" s="8">
        <v>2.17</v>
      </c>
      <c r="E3619" s="4">
        <v>2</v>
      </c>
      <c r="F3619" s="8">
        <v>3.39</v>
      </c>
      <c r="G3619" s="4">
        <v>0</v>
      </c>
      <c r="H3619" s="8">
        <v>0</v>
      </c>
      <c r="I3619" s="4">
        <v>0</v>
      </c>
    </row>
    <row r="3620" spans="1:9" x14ac:dyDescent="0.2">
      <c r="A3620" s="2">
        <v>8</v>
      </c>
      <c r="B3620" s="1" t="s">
        <v>401</v>
      </c>
      <c r="C3620" s="4">
        <v>2</v>
      </c>
      <c r="D3620" s="8">
        <v>2.17</v>
      </c>
      <c r="E3620" s="4">
        <v>2</v>
      </c>
      <c r="F3620" s="8">
        <v>3.39</v>
      </c>
      <c r="G3620" s="4">
        <v>0</v>
      </c>
      <c r="H3620" s="8">
        <v>0</v>
      </c>
      <c r="I3620" s="4">
        <v>0</v>
      </c>
    </row>
    <row r="3621" spans="1:9" x14ac:dyDescent="0.2">
      <c r="A3621" s="2">
        <v>8</v>
      </c>
      <c r="B3621" s="1" t="s">
        <v>430</v>
      </c>
      <c r="C3621" s="4">
        <v>2</v>
      </c>
      <c r="D3621" s="8">
        <v>2.17</v>
      </c>
      <c r="E3621" s="4">
        <v>1</v>
      </c>
      <c r="F3621" s="8">
        <v>1.69</v>
      </c>
      <c r="G3621" s="4">
        <v>1</v>
      </c>
      <c r="H3621" s="8">
        <v>3.23</v>
      </c>
      <c r="I3621" s="4">
        <v>0</v>
      </c>
    </row>
    <row r="3622" spans="1:9" x14ac:dyDescent="0.2">
      <c r="A3622" s="2">
        <v>8</v>
      </c>
      <c r="B3622" s="1" t="s">
        <v>300</v>
      </c>
      <c r="C3622" s="4">
        <v>2</v>
      </c>
      <c r="D3622" s="8">
        <v>2.17</v>
      </c>
      <c r="E3622" s="4">
        <v>2</v>
      </c>
      <c r="F3622" s="8">
        <v>3.39</v>
      </c>
      <c r="G3622" s="4">
        <v>0</v>
      </c>
      <c r="H3622" s="8">
        <v>0</v>
      </c>
      <c r="I3622" s="4">
        <v>0</v>
      </c>
    </row>
    <row r="3623" spans="1:9" x14ac:dyDescent="0.2">
      <c r="A3623" s="2">
        <v>8</v>
      </c>
      <c r="B3623" s="1" t="s">
        <v>352</v>
      </c>
      <c r="C3623" s="4">
        <v>2</v>
      </c>
      <c r="D3623" s="8">
        <v>2.17</v>
      </c>
      <c r="E3623" s="4">
        <v>2</v>
      </c>
      <c r="F3623" s="8">
        <v>3.39</v>
      </c>
      <c r="G3623" s="4">
        <v>0</v>
      </c>
      <c r="H3623" s="8">
        <v>0</v>
      </c>
      <c r="I3623" s="4">
        <v>0</v>
      </c>
    </row>
    <row r="3624" spans="1:9" x14ac:dyDescent="0.2">
      <c r="A3624" s="2">
        <v>8</v>
      </c>
      <c r="B3624" s="1" t="s">
        <v>305</v>
      </c>
      <c r="C3624" s="4">
        <v>2</v>
      </c>
      <c r="D3624" s="8">
        <v>2.17</v>
      </c>
      <c r="E3624" s="4">
        <v>2</v>
      </c>
      <c r="F3624" s="8">
        <v>3.39</v>
      </c>
      <c r="G3624" s="4">
        <v>0</v>
      </c>
      <c r="H3624" s="8">
        <v>0</v>
      </c>
      <c r="I3624" s="4">
        <v>0</v>
      </c>
    </row>
    <row r="3625" spans="1:9" x14ac:dyDescent="0.2">
      <c r="A3625" s="2">
        <v>8</v>
      </c>
      <c r="B3625" s="1" t="s">
        <v>307</v>
      </c>
      <c r="C3625" s="4">
        <v>2</v>
      </c>
      <c r="D3625" s="8">
        <v>2.17</v>
      </c>
      <c r="E3625" s="4">
        <v>2</v>
      </c>
      <c r="F3625" s="8">
        <v>3.39</v>
      </c>
      <c r="G3625" s="4">
        <v>0</v>
      </c>
      <c r="H3625" s="8">
        <v>0</v>
      </c>
      <c r="I3625" s="4">
        <v>0</v>
      </c>
    </row>
    <row r="3626" spans="1:9" x14ac:dyDescent="0.2">
      <c r="A3626" s="1"/>
      <c r="C3626" s="4"/>
      <c r="D3626" s="8"/>
      <c r="E3626" s="4"/>
      <c r="F3626" s="8"/>
      <c r="G3626" s="4"/>
      <c r="H3626" s="8"/>
      <c r="I3626" s="4"/>
    </row>
    <row r="3627" spans="1:9" x14ac:dyDescent="0.2">
      <c r="A3627" s="1" t="s">
        <v>122</v>
      </c>
      <c r="C3627" s="4"/>
      <c r="D3627" s="8"/>
      <c r="E3627" s="4"/>
      <c r="F3627" s="8"/>
      <c r="G3627" s="4"/>
      <c r="H3627" s="8"/>
      <c r="I3627" s="4"/>
    </row>
    <row r="3628" spans="1:9" x14ac:dyDescent="0.2">
      <c r="A3628" s="2">
        <v>1</v>
      </c>
      <c r="B3628" s="1" t="s">
        <v>301</v>
      </c>
      <c r="C3628" s="4">
        <v>7</v>
      </c>
      <c r="D3628" s="8">
        <v>6.42</v>
      </c>
      <c r="E3628" s="4">
        <v>7</v>
      </c>
      <c r="F3628" s="8">
        <v>12.07</v>
      </c>
      <c r="G3628" s="4">
        <v>0</v>
      </c>
      <c r="H3628" s="8">
        <v>0</v>
      </c>
      <c r="I3628" s="4">
        <v>0</v>
      </c>
    </row>
    <row r="3629" spans="1:9" x14ac:dyDescent="0.2">
      <c r="A3629" s="2">
        <v>1</v>
      </c>
      <c r="B3629" s="1" t="s">
        <v>303</v>
      </c>
      <c r="C3629" s="4">
        <v>7</v>
      </c>
      <c r="D3629" s="8">
        <v>6.42</v>
      </c>
      <c r="E3629" s="4">
        <v>7</v>
      </c>
      <c r="F3629" s="8">
        <v>12.07</v>
      </c>
      <c r="G3629" s="4">
        <v>0</v>
      </c>
      <c r="H3629" s="8">
        <v>0</v>
      </c>
      <c r="I3629" s="4">
        <v>0</v>
      </c>
    </row>
    <row r="3630" spans="1:9" x14ac:dyDescent="0.2">
      <c r="A3630" s="2">
        <v>3</v>
      </c>
      <c r="B3630" s="1" t="s">
        <v>339</v>
      </c>
      <c r="C3630" s="4">
        <v>5</v>
      </c>
      <c r="D3630" s="8">
        <v>4.59</v>
      </c>
      <c r="E3630" s="4">
        <v>4</v>
      </c>
      <c r="F3630" s="8">
        <v>6.9</v>
      </c>
      <c r="G3630" s="4">
        <v>1</v>
      </c>
      <c r="H3630" s="8">
        <v>2.38</v>
      </c>
      <c r="I3630" s="4">
        <v>0</v>
      </c>
    </row>
    <row r="3631" spans="1:9" x14ac:dyDescent="0.2">
      <c r="A3631" s="2">
        <v>3</v>
      </c>
      <c r="B3631" s="1" t="s">
        <v>300</v>
      </c>
      <c r="C3631" s="4">
        <v>5</v>
      </c>
      <c r="D3631" s="8">
        <v>4.59</v>
      </c>
      <c r="E3631" s="4">
        <v>5</v>
      </c>
      <c r="F3631" s="8">
        <v>8.6199999999999992</v>
      </c>
      <c r="G3631" s="4">
        <v>0</v>
      </c>
      <c r="H3631" s="8">
        <v>0</v>
      </c>
      <c r="I3631" s="4">
        <v>0</v>
      </c>
    </row>
    <row r="3632" spans="1:9" x14ac:dyDescent="0.2">
      <c r="A3632" s="2">
        <v>3</v>
      </c>
      <c r="B3632" s="1" t="s">
        <v>304</v>
      </c>
      <c r="C3632" s="4">
        <v>5</v>
      </c>
      <c r="D3632" s="8">
        <v>4.59</v>
      </c>
      <c r="E3632" s="4">
        <v>5</v>
      </c>
      <c r="F3632" s="8">
        <v>8.6199999999999992</v>
      </c>
      <c r="G3632" s="4">
        <v>0</v>
      </c>
      <c r="H3632" s="8">
        <v>0</v>
      </c>
      <c r="I3632" s="4">
        <v>0</v>
      </c>
    </row>
    <row r="3633" spans="1:9" x14ac:dyDescent="0.2">
      <c r="A3633" s="2">
        <v>6</v>
      </c>
      <c r="B3633" s="1" t="s">
        <v>293</v>
      </c>
      <c r="C3633" s="4">
        <v>4</v>
      </c>
      <c r="D3633" s="8">
        <v>3.67</v>
      </c>
      <c r="E3633" s="4">
        <v>0</v>
      </c>
      <c r="F3633" s="8">
        <v>0</v>
      </c>
      <c r="G3633" s="4">
        <v>4</v>
      </c>
      <c r="H3633" s="8">
        <v>9.52</v>
      </c>
      <c r="I3633" s="4">
        <v>0</v>
      </c>
    </row>
    <row r="3634" spans="1:9" x14ac:dyDescent="0.2">
      <c r="A3634" s="2">
        <v>6</v>
      </c>
      <c r="B3634" s="1" t="s">
        <v>337</v>
      </c>
      <c r="C3634" s="4">
        <v>4</v>
      </c>
      <c r="D3634" s="8">
        <v>3.67</v>
      </c>
      <c r="E3634" s="4">
        <v>2</v>
      </c>
      <c r="F3634" s="8">
        <v>3.45</v>
      </c>
      <c r="G3634" s="4">
        <v>2</v>
      </c>
      <c r="H3634" s="8">
        <v>4.76</v>
      </c>
      <c r="I3634" s="4">
        <v>0</v>
      </c>
    </row>
    <row r="3635" spans="1:9" x14ac:dyDescent="0.2">
      <c r="A3635" s="2">
        <v>8</v>
      </c>
      <c r="B3635" s="1" t="s">
        <v>288</v>
      </c>
      <c r="C3635" s="4">
        <v>3</v>
      </c>
      <c r="D3635" s="8">
        <v>2.75</v>
      </c>
      <c r="E3635" s="4">
        <v>0</v>
      </c>
      <c r="F3635" s="8">
        <v>0</v>
      </c>
      <c r="G3635" s="4">
        <v>3</v>
      </c>
      <c r="H3635" s="8">
        <v>7.14</v>
      </c>
      <c r="I3635" s="4">
        <v>0</v>
      </c>
    </row>
    <row r="3636" spans="1:9" x14ac:dyDescent="0.2">
      <c r="A3636" s="2">
        <v>8</v>
      </c>
      <c r="B3636" s="1" t="s">
        <v>333</v>
      </c>
      <c r="C3636" s="4">
        <v>3</v>
      </c>
      <c r="D3636" s="8">
        <v>2.75</v>
      </c>
      <c r="E3636" s="4">
        <v>1</v>
      </c>
      <c r="F3636" s="8">
        <v>1.72</v>
      </c>
      <c r="G3636" s="4">
        <v>2</v>
      </c>
      <c r="H3636" s="8">
        <v>4.76</v>
      </c>
      <c r="I3636" s="4">
        <v>0</v>
      </c>
    </row>
    <row r="3637" spans="1:9" x14ac:dyDescent="0.2">
      <c r="A3637" s="2">
        <v>8</v>
      </c>
      <c r="B3637" s="1" t="s">
        <v>311</v>
      </c>
      <c r="C3637" s="4">
        <v>3</v>
      </c>
      <c r="D3637" s="8">
        <v>2.75</v>
      </c>
      <c r="E3637" s="4">
        <v>3</v>
      </c>
      <c r="F3637" s="8">
        <v>5.17</v>
      </c>
      <c r="G3637" s="4">
        <v>0</v>
      </c>
      <c r="H3637" s="8">
        <v>0</v>
      </c>
      <c r="I3637" s="4">
        <v>0</v>
      </c>
    </row>
    <row r="3638" spans="1:9" x14ac:dyDescent="0.2">
      <c r="A3638" s="2">
        <v>8</v>
      </c>
      <c r="B3638" s="1" t="s">
        <v>334</v>
      </c>
      <c r="C3638" s="4">
        <v>3</v>
      </c>
      <c r="D3638" s="8">
        <v>2.75</v>
      </c>
      <c r="E3638" s="4">
        <v>3</v>
      </c>
      <c r="F3638" s="8">
        <v>5.17</v>
      </c>
      <c r="G3638" s="4">
        <v>0</v>
      </c>
      <c r="H3638" s="8">
        <v>0</v>
      </c>
      <c r="I3638" s="4">
        <v>0</v>
      </c>
    </row>
    <row r="3639" spans="1:9" x14ac:dyDescent="0.2">
      <c r="A3639" s="2">
        <v>12</v>
      </c>
      <c r="B3639" s="1" t="s">
        <v>343</v>
      </c>
      <c r="C3639" s="4">
        <v>2</v>
      </c>
      <c r="D3639" s="8">
        <v>1.83</v>
      </c>
      <c r="E3639" s="4">
        <v>2</v>
      </c>
      <c r="F3639" s="8">
        <v>3.45</v>
      </c>
      <c r="G3639" s="4">
        <v>0</v>
      </c>
      <c r="H3639" s="8">
        <v>0</v>
      </c>
      <c r="I3639" s="4">
        <v>0</v>
      </c>
    </row>
    <row r="3640" spans="1:9" x14ac:dyDescent="0.2">
      <c r="A3640" s="2">
        <v>12</v>
      </c>
      <c r="B3640" s="1" t="s">
        <v>354</v>
      </c>
      <c r="C3640" s="4">
        <v>2</v>
      </c>
      <c r="D3640" s="8">
        <v>1.83</v>
      </c>
      <c r="E3640" s="4">
        <v>0</v>
      </c>
      <c r="F3640" s="8">
        <v>0</v>
      </c>
      <c r="G3640" s="4">
        <v>2</v>
      </c>
      <c r="H3640" s="8">
        <v>4.76</v>
      </c>
      <c r="I3640" s="4">
        <v>0</v>
      </c>
    </row>
    <row r="3641" spans="1:9" x14ac:dyDescent="0.2">
      <c r="A3641" s="2">
        <v>12</v>
      </c>
      <c r="B3641" s="1" t="s">
        <v>336</v>
      </c>
      <c r="C3641" s="4">
        <v>2</v>
      </c>
      <c r="D3641" s="8">
        <v>1.83</v>
      </c>
      <c r="E3641" s="4">
        <v>1</v>
      </c>
      <c r="F3641" s="8">
        <v>1.72</v>
      </c>
      <c r="G3641" s="4">
        <v>1</v>
      </c>
      <c r="H3641" s="8">
        <v>2.38</v>
      </c>
      <c r="I3641" s="4">
        <v>0</v>
      </c>
    </row>
    <row r="3642" spans="1:9" x14ac:dyDescent="0.2">
      <c r="A3642" s="2">
        <v>12</v>
      </c>
      <c r="B3642" s="1" t="s">
        <v>380</v>
      </c>
      <c r="C3642" s="4">
        <v>2</v>
      </c>
      <c r="D3642" s="8">
        <v>1.83</v>
      </c>
      <c r="E3642" s="4">
        <v>1</v>
      </c>
      <c r="F3642" s="8">
        <v>1.72</v>
      </c>
      <c r="G3642" s="4">
        <v>1</v>
      </c>
      <c r="H3642" s="8">
        <v>2.38</v>
      </c>
      <c r="I3642" s="4">
        <v>0</v>
      </c>
    </row>
    <row r="3643" spans="1:9" x14ac:dyDescent="0.2">
      <c r="A3643" s="2">
        <v>12</v>
      </c>
      <c r="B3643" s="1" t="s">
        <v>292</v>
      </c>
      <c r="C3643" s="4">
        <v>2</v>
      </c>
      <c r="D3643" s="8">
        <v>1.83</v>
      </c>
      <c r="E3643" s="4">
        <v>2</v>
      </c>
      <c r="F3643" s="8">
        <v>3.45</v>
      </c>
      <c r="G3643" s="4">
        <v>0</v>
      </c>
      <c r="H3643" s="8">
        <v>0</v>
      </c>
      <c r="I3643" s="4">
        <v>0</v>
      </c>
    </row>
    <row r="3644" spans="1:9" x14ac:dyDescent="0.2">
      <c r="A3644" s="2">
        <v>12</v>
      </c>
      <c r="B3644" s="1" t="s">
        <v>335</v>
      </c>
      <c r="C3644" s="4">
        <v>2</v>
      </c>
      <c r="D3644" s="8">
        <v>1.83</v>
      </c>
      <c r="E3644" s="4">
        <v>1</v>
      </c>
      <c r="F3644" s="8">
        <v>1.72</v>
      </c>
      <c r="G3644" s="4">
        <v>1</v>
      </c>
      <c r="H3644" s="8">
        <v>2.38</v>
      </c>
      <c r="I3644" s="4">
        <v>0</v>
      </c>
    </row>
    <row r="3645" spans="1:9" x14ac:dyDescent="0.2">
      <c r="A3645" s="2">
        <v>12</v>
      </c>
      <c r="B3645" s="1" t="s">
        <v>372</v>
      </c>
      <c r="C3645" s="4">
        <v>2</v>
      </c>
      <c r="D3645" s="8">
        <v>1.83</v>
      </c>
      <c r="E3645" s="4">
        <v>0</v>
      </c>
      <c r="F3645" s="8">
        <v>0</v>
      </c>
      <c r="G3645" s="4">
        <v>2</v>
      </c>
      <c r="H3645" s="8">
        <v>4.76</v>
      </c>
      <c r="I3645" s="4">
        <v>0</v>
      </c>
    </row>
    <row r="3646" spans="1:9" x14ac:dyDescent="0.2">
      <c r="A3646" s="2">
        <v>12</v>
      </c>
      <c r="B3646" s="1" t="s">
        <v>330</v>
      </c>
      <c r="C3646" s="4">
        <v>2</v>
      </c>
      <c r="D3646" s="8">
        <v>1.83</v>
      </c>
      <c r="E3646" s="4">
        <v>0</v>
      </c>
      <c r="F3646" s="8">
        <v>0</v>
      </c>
      <c r="G3646" s="4">
        <v>2</v>
      </c>
      <c r="H3646" s="8">
        <v>4.76</v>
      </c>
      <c r="I3646" s="4">
        <v>0</v>
      </c>
    </row>
    <row r="3647" spans="1:9" x14ac:dyDescent="0.2">
      <c r="A3647" s="2">
        <v>12</v>
      </c>
      <c r="B3647" s="1" t="s">
        <v>344</v>
      </c>
      <c r="C3647" s="4">
        <v>2</v>
      </c>
      <c r="D3647" s="8">
        <v>1.83</v>
      </c>
      <c r="E3647" s="4">
        <v>0</v>
      </c>
      <c r="F3647" s="8">
        <v>0</v>
      </c>
      <c r="G3647" s="4">
        <v>2</v>
      </c>
      <c r="H3647" s="8">
        <v>4.76</v>
      </c>
      <c r="I3647" s="4">
        <v>0</v>
      </c>
    </row>
    <row r="3648" spans="1:9" x14ac:dyDescent="0.2">
      <c r="A3648" s="2">
        <v>12</v>
      </c>
      <c r="B3648" s="1" t="s">
        <v>299</v>
      </c>
      <c r="C3648" s="4">
        <v>2</v>
      </c>
      <c r="D3648" s="8">
        <v>1.83</v>
      </c>
      <c r="E3648" s="4">
        <v>2</v>
      </c>
      <c r="F3648" s="8">
        <v>3.45</v>
      </c>
      <c r="G3648" s="4">
        <v>0</v>
      </c>
      <c r="H3648" s="8">
        <v>0</v>
      </c>
      <c r="I3648" s="4">
        <v>0</v>
      </c>
    </row>
    <row r="3649" spans="1:9" x14ac:dyDescent="0.2">
      <c r="A3649" s="2">
        <v>12</v>
      </c>
      <c r="B3649" s="1" t="s">
        <v>368</v>
      </c>
      <c r="C3649" s="4">
        <v>2</v>
      </c>
      <c r="D3649" s="8">
        <v>1.83</v>
      </c>
      <c r="E3649" s="4">
        <v>0</v>
      </c>
      <c r="F3649" s="8">
        <v>0</v>
      </c>
      <c r="G3649" s="4">
        <v>0</v>
      </c>
      <c r="H3649" s="8">
        <v>0</v>
      </c>
      <c r="I3649" s="4">
        <v>0</v>
      </c>
    </row>
    <row r="3650" spans="1:9" x14ac:dyDescent="0.2">
      <c r="A3650" s="2">
        <v>12</v>
      </c>
      <c r="B3650" s="1" t="s">
        <v>341</v>
      </c>
      <c r="C3650" s="4">
        <v>2</v>
      </c>
      <c r="D3650" s="8">
        <v>1.83</v>
      </c>
      <c r="E3650" s="4">
        <v>0</v>
      </c>
      <c r="F3650" s="8">
        <v>0</v>
      </c>
      <c r="G3650" s="4">
        <v>0</v>
      </c>
      <c r="H3650" s="8">
        <v>0</v>
      </c>
      <c r="I3650" s="4">
        <v>0</v>
      </c>
    </row>
    <row r="3651" spans="1:9" x14ac:dyDescent="0.2">
      <c r="A3651" s="1"/>
      <c r="C3651" s="4"/>
      <c r="D3651" s="8"/>
      <c r="E3651" s="4"/>
      <c r="F3651" s="8"/>
      <c r="G3651" s="4"/>
      <c r="H3651" s="8"/>
      <c r="I3651" s="4"/>
    </row>
    <row r="3652" spans="1:9" x14ac:dyDescent="0.2">
      <c r="A3652" s="1" t="s">
        <v>123</v>
      </c>
      <c r="C3652" s="4"/>
      <c r="D3652" s="8"/>
      <c r="E3652" s="4"/>
      <c r="F3652" s="8"/>
      <c r="G3652" s="4"/>
      <c r="H3652" s="8"/>
      <c r="I3652" s="4"/>
    </row>
    <row r="3653" spans="1:9" x14ac:dyDescent="0.2">
      <c r="A3653" s="2">
        <v>1</v>
      </c>
      <c r="B3653" s="1" t="s">
        <v>378</v>
      </c>
      <c r="C3653" s="4">
        <v>3</v>
      </c>
      <c r="D3653" s="8">
        <v>7.69</v>
      </c>
      <c r="E3653" s="4">
        <v>0</v>
      </c>
      <c r="F3653" s="8">
        <v>0</v>
      </c>
      <c r="G3653" s="4">
        <v>3</v>
      </c>
      <c r="H3653" s="8">
        <v>11.54</v>
      </c>
      <c r="I3653" s="4">
        <v>0</v>
      </c>
    </row>
    <row r="3654" spans="1:9" x14ac:dyDescent="0.2">
      <c r="A3654" s="2">
        <v>1</v>
      </c>
      <c r="B3654" s="1" t="s">
        <v>292</v>
      </c>
      <c r="C3654" s="4">
        <v>3</v>
      </c>
      <c r="D3654" s="8">
        <v>7.69</v>
      </c>
      <c r="E3654" s="4">
        <v>1</v>
      </c>
      <c r="F3654" s="8">
        <v>9.09</v>
      </c>
      <c r="G3654" s="4">
        <v>2</v>
      </c>
      <c r="H3654" s="8">
        <v>7.69</v>
      </c>
      <c r="I3654" s="4">
        <v>0</v>
      </c>
    </row>
    <row r="3655" spans="1:9" x14ac:dyDescent="0.2">
      <c r="A3655" s="2">
        <v>3</v>
      </c>
      <c r="B3655" s="1" t="s">
        <v>289</v>
      </c>
      <c r="C3655" s="4">
        <v>2</v>
      </c>
      <c r="D3655" s="8">
        <v>5.13</v>
      </c>
      <c r="E3655" s="4">
        <v>0</v>
      </c>
      <c r="F3655" s="8">
        <v>0</v>
      </c>
      <c r="G3655" s="4">
        <v>2</v>
      </c>
      <c r="H3655" s="8">
        <v>7.69</v>
      </c>
      <c r="I3655" s="4">
        <v>0</v>
      </c>
    </row>
    <row r="3656" spans="1:9" x14ac:dyDescent="0.2">
      <c r="A3656" s="2">
        <v>3</v>
      </c>
      <c r="B3656" s="1" t="s">
        <v>330</v>
      </c>
      <c r="C3656" s="4">
        <v>2</v>
      </c>
      <c r="D3656" s="8">
        <v>5.13</v>
      </c>
      <c r="E3656" s="4">
        <v>0</v>
      </c>
      <c r="F3656" s="8">
        <v>0</v>
      </c>
      <c r="G3656" s="4">
        <v>2</v>
      </c>
      <c r="H3656" s="8">
        <v>7.69</v>
      </c>
      <c r="I3656" s="4">
        <v>0</v>
      </c>
    </row>
    <row r="3657" spans="1:9" x14ac:dyDescent="0.2">
      <c r="A3657" s="2">
        <v>3</v>
      </c>
      <c r="B3657" s="1" t="s">
        <v>339</v>
      </c>
      <c r="C3657" s="4">
        <v>2</v>
      </c>
      <c r="D3657" s="8">
        <v>5.13</v>
      </c>
      <c r="E3657" s="4">
        <v>1</v>
      </c>
      <c r="F3657" s="8">
        <v>9.09</v>
      </c>
      <c r="G3657" s="4">
        <v>1</v>
      </c>
      <c r="H3657" s="8">
        <v>3.85</v>
      </c>
      <c r="I3657" s="4">
        <v>0</v>
      </c>
    </row>
    <row r="3658" spans="1:9" x14ac:dyDescent="0.2">
      <c r="A3658" s="2">
        <v>3</v>
      </c>
      <c r="B3658" s="1" t="s">
        <v>304</v>
      </c>
      <c r="C3658" s="4">
        <v>2</v>
      </c>
      <c r="D3658" s="8">
        <v>5.13</v>
      </c>
      <c r="E3658" s="4">
        <v>1</v>
      </c>
      <c r="F3658" s="8">
        <v>9.09</v>
      </c>
      <c r="G3658" s="4">
        <v>1</v>
      </c>
      <c r="H3658" s="8">
        <v>3.85</v>
      </c>
      <c r="I3658" s="4">
        <v>0</v>
      </c>
    </row>
    <row r="3659" spans="1:9" x14ac:dyDescent="0.2">
      <c r="A3659" s="2">
        <v>7</v>
      </c>
      <c r="B3659" s="1" t="s">
        <v>288</v>
      </c>
      <c r="C3659" s="4">
        <v>1</v>
      </c>
      <c r="D3659" s="8">
        <v>2.56</v>
      </c>
      <c r="E3659" s="4">
        <v>0</v>
      </c>
      <c r="F3659" s="8">
        <v>0</v>
      </c>
      <c r="G3659" s="4">
        <v>1</v>
      </c>
      <c r="H3659" s="8">
        <v>3.85</v>
      </c>
      <c r="I3659" s="4">
        <v>0</v>
      </c>
    </row>
    <row r="3660" spans="1:9" x14ac:dyDescent="0.2">
      <c r="A3660" s="2">
        <v>7</v>
      </c>
      <c r="B3660" s="1" t="s">
        <v>328</v>
      </c>
      <c r="C3660" s="4">
        <v>1</v>
      </c>
      <c r="D3660" s="8">
        <v>2.56</v>
      </c>
      <c r="E3660" s="4">
        <v>1</v>
      </c>
      <c r="F3660" s="8">
        <v>9.09</v>
      </c>
      <c r="G3660" s="4">
        <v>0</v>
      </c>
      <c r="H3660" s="8">
        <v>0</v>
      </c>
      <c r="I3660" s="4">
        <v>0</v>
      </c>
    </row>
    <row r="3661" spans="1:9" x14ac:dyDescent="0.2">
      <c r="A3661" s="2">
        <v>7</v>
      </c>
      <c r="B3661" s="1" t="s">
        <v>413</v>
      </c>
      <c r="C3661" s="4">
        <v>1</v>
      </c>
      <c r="D3661" s="8">
        <v>2.56</v>
      </c>
      <c r="E3661" s="4">
        <v>0</v>
      </c>
      <c r="F3661" s="8">
        <v>0</v>
      </c>
      <c r="G3661" s="4">
        <v>1</v>
      </c>
      <c r="H3661" s="8">
        <v>3.85</v>
      </c>
      <c r="I3661" s="4">
        <v>0</v>
      </c>
    </row>
    <row r="3662" spans="1:9" x14ac:dyDescent="0.2">
      <c r="A3662" s="2">
        <v>7</v>
      </c>
      <c r="B3662" s="1" t="s">
        <v>342</v>
      </c>
      <c r="C3662" s="4">
        <v>1</v>
      </c>
      <c r="D3662" s="8">
        <v>2.56</v>
      </c>
      <c r="E3662" s="4">
        <v>1</v>
      </c>
      <c r="F3662" s="8">
        <v>9.09</v>
      </c>
      <c r="G3662" s="4">
        <v>0</v>
      </c>
      <c r="H3662" s="8">
        <v>0</v>
      </c>
      <c r="I3662" s="4">
        <v>0</v>
      </c>
    </row>
    <row r="3663" spans="1:9" x14ac:dyDescent="0.2">
      <c r="A3663" s="2">
        <v>7</v>
      </c>
      <c r="B3663" s="1" t="s">
        <v>362</v>
      </c>
      <c r="C3663" s="4">
        <v>1</v>
      </c>
      <c r="D3663" s="8">
        <v>2.56</v>
      </c>
      <c r="E3663" s="4">
        <v>0</v>
      </c>
      <c r="F3663" s="8">
        <v>0</v>
      </c>
      <c r="G3663" s="4">
        <v>0</v>
      </c>
      <c r="H3663" s="8">
        <v>0</v>
      </c>
      <c r="I3663" s="4">
        <v>0</v>
      </c>
    </row>
    <row r="3664" spans="1:9" x14ac:dyDescent="0.2">
      <c r="A3664" s="2">
        <v>7</v>
      </c>
      <c r="B3664" s="1" t="s">
        <v>466</v>
      </c>
      <c r="C3664" s="4">
        <v>1</v>
      </c>
      <c r="D3664" s="8">
        <v>2.56</v>
      </c>
      <c r="E3664" s="4">
        <v>0</v>
      </c>
      <c r="F3664" s="8">
        <v>0</v>
      </c>
      <c r="G3664" s="4">
        <v>1</v>
      </c>
      <c r="H3664" s="8">
        <v>3.85</v>
      </c>
      <c r="I3664" s="4">
        <v>0</v>
      </c>
    </row>
    <row r="3665" spans="1:9" x14ac:dyDescent="0.2">
      <c r="A3665" s="2">
        <v>7</v>
      </c>
      <c r="B3665" s="1" t="s">
        <v>400</v>
      </c>
      <c r="C3665" s="4">
        <v>1</v>
      </c>
      <c r="D3665" s="8">
        <v>2.56</v>
      </c>
      <c r="E3665" s="4">
        <v>0</v>
      </c>
      <c r="F3665" s="8">
        <v>0</v>
      </c>
      <c r="G3665" s="4">
        <v>1</v>
      </c>
      <c r="H3665" s="8">
        <v>3.85</v>
      </c>
      <c r="I3665" s="4">
        <v>0</v>
      </c>
    </row>
    <row r="3666" spans="1:9" x14ac:dyDescent="0.2">
      <c r="A3666" s="2">
        <v>7</v>
      </c>
      <c r="B3666" s="1" t="s">
        <v>314</v>
      </c>
      <c r="C3666" s="4">
        <v>1</v>
      </c>
      <c r="D3666" s="8">
        <v>2.56</v>
      </c>
      <c r="E3666" s="4">
        <v>1</v>
      </c>
      <c r="F3666" s="8">
        <v>9.09</v>
      </c>
      <c r="G3666" s="4">
        <v>0</v>
      </c>
      <c r="H3666" s="8">
        <v>0</v>
      </c>
      <c r="I3666" s="4">
        <v>0</v>
      </c>
    </row>
    <row r="3667" spans="1:9" x14ac:dyDescent="0.2">
      <c r="A3667" s="2">
        <v>7</v>
      </c>
      <c r="B3667" s="1" t="s">
        <v>380</v>
      </c>
      <c r="C3667" s="4">
        <v>1</v>
      </c>
      <c r="D3667" s="8">
        <v>2.56</v>
      </c>
      <c r="E3667" s="4">
        <v>0</v>
      </c>
      <c r="F3667" s="8">
        <v>0</v>
      </c>
      <c r="G3667" s="4">
        <v>1</v>
      </c>
      <c r="H3667" s="8">
        <v>3.85</v>
      </c>
      <c r="I3667" s="4">
        <v>0</v>
      </c>
    </row>
    <row r="3668" spans="1:9" x14ac:dyDescent="0.2">
      <c r="A3668" s="2">
        <v>7</v>
      </c>
      <c r="B3668" s="1" t="s">
        <v>329</v>
      </c>
      <c r="C3668" s="4">
        <v>1</v>
      </c>
      <c r="D3668" s="8">
        <v>2.56</v>
      </c>
      <c r="E3668" s="4">
        <v>0</v>
      </c>
      <c r="F3668" s="8">
        <v>0</v>
      </c>
      <c r="G3668" s="4">
        <v>1</v>
      </c>
      <c r="H3668" s="8">
        <v>3.85</v>
      </c>
      <c r="I3668" s="4">
        <v>0</v>
      </c>
    </row>
    <row r="3669" spans="1:9" x14ac:dyDescent="0.2">
      <c r="A3669" s="2">
        <v>7</v>
      </c>
      <c r="B3669" s="1" t="s">
        <v>372</v>
      </c>
      <c r="C3669" s="4">
        <v>1</v>
      </c>
      <c r="D3669" s="8">
        <v>2.56</v>
      </c>
      <c r="E3669" s="4">
        <v>0</v>
      </c>
      <c r="F3669" s="8">
        <v>0</v>
      </c>
      <c r="G3669" s="4">
        <v>1</v>
      </c>
      <c r="H3669" s="8">
        <v>3.85</v>
      </c>
      <c r="I3669" s="4">
        <v>0</v>
      </c>
    </row>
    <row r="3670" spans="1:9" x14ac:dyDescent="0.2">
      <c r="A3670" s="2">
        <v>7</v>
      </c>
      <c r="B3670" s="1" t="s">
        <v>295</v>
      </c>
      <c r="C3670" s="4">
        <v>1</v>
      </c>
      <c r="D3670" s="8">
        <v>2.56</v>
      </c>
      <c r="E3670" s="4">
        <v>0</v>
      </c>
      <c r="F3670" s="8">
        <v>0</v>
      </c>
      <c r="G3670" s="4">
        <v>1</v>
      </c>
      <c r="H3670" s="8">
        <v>3.85</v>
      </c>
      <c r="I3670" s="4">
        <v>0</v>
      </c>
    </row>
    <row r="3671" spans="1:9" x14ac:dyDescent="0.2">
      <c r="A3671" s="2">
        <v>7</v>
      </c>
      <c r="B3671" s="1" t="s">
        <v>482</v>
      </c>
      <c r="C3671" s="4">
        <v>1</v>
      </c>
      <c r="D3671" s="8">
        <v>2.56</v>
      </c>
      <c r="E3671" s="4">
        <v>0</v>
      </c>
      <c r="F3671" s="8">
        <v>0</v>
      </c>
      <c r="G3671" s="4">
        <v>1</v>
      </c>
      <c r="H3671" s="8">
        <v>3.85</v>
      </c>
      <c r="I3671" s="4">
        <v>0</v>
      </c>
    </row>
    <row r="3672" spans="1:9" x14ac:dyDescent="0.2">
      <c r="A3672" s="2">
        <v>7</v>
      </c>
      <c r="B3672" s="1" t="s">
        <v>334</v>
      </c>
      <c r="C3672" s="4">
        <v>1</v>
      </c>
      <c r="D3672" s="8">
        <v>2.56</v>
      </c>
      <c r="E3672" s="4">
        <v>1</v>
      </c>
      <c r="F3672" s="8">
        <v>9.09</v>
      </c>
      <c r="G3672" s="4">
        <v>0</v>
      </c>
      <c r="H3672" s="8">
        <v>0</v>
      </c>
      <c r="I3672" s="4">
        <v>0</v>
      </c>
    </row>
    <row r="3673" spans="1:9" x14ac:dyDescent="0.2">
      <c r="A3673" s="2">
        <v>7</v>
      </c>
      <c r="B3673" s="1" t="s">
        <v>419</v>
      </c>
      <c r="C3673" s="4">
        <v>1</v>
      </c>
      <c r="D3673" s="8">
        <v>2.56</v>
      </c>
      <c r="E3673" s="4">
        <v>1</v>
      </c>
      <c r="F3673" s="8">
        <v>9.09</v>
      </c>
      <c r="G3673" s="4">
        <v>0</v>
      </c>
      <c r="H3673" s="8">
        <v>0</v>
      </c>
      <c r="I3673" s="4">
        <v>0</v>
      </c>
    </row>
    <row r="3674" spans="1:9" x14ac:dyDescent="0.2">
      <c r="A3674" s="2">
        <v>7</v>
      </c>
      <c r="B3674" s="1" t="s">
        <v>300</v>
      </c>
      <c r="C3674" s="4">
        <v>1</v>
      </c>
      <c r="D3674" s="8">
        <v>2.56</v>
      </c>
      <c r="E3674" s="4">
        <v>1</v>
      </c>
      <c r="F3674" s="8">
        <v>9.09</v>
      </c>
      <c r="G3674" s="4">
        <v>0</v>
      </c>
      <c r="H3674" s="8">
        <v>0</v>
      </c>
      <c r="I3674" s="4">
        <v>0</v>
      </c>
    </row>
    <row r="3675" spans="1:9" x14ac:dyDescent="0.2">
      <c r="A3675" s="2">
        <v>7</v>
      </c>
      <c r="B3675" s="1" t="s">
        <v>301</v>
      </c>
      <c r="C3675" s="4">
        <v>1</v>
      </c>
      <c r="D3675" s="8">
        <v>2.56</v>
      </c>
      <c r="E3675" s="4">
        <v>1</v>
      </c>
      <c r="F3675" s="8">
        <v>9.09</v>
      </c>
      <c r="G3675" s="4">
        <v>0</v>
      </c>
      <c r="H3675" s="8">
        <v>0</v>
      </c>
      <c r="I3675" s="4">
        <v>0</v>
      </c>
    </row>
    <row r="3676" spans="1:9" x14ac:dyDescent="0.2">
      <c r="A3676" s="2">
        <v>7</v>
      </c>
      <c r="B3676" s="1" t="s">
        <v>325</v>
      </c>
      <c r="C3676" s="4">
        <v>1</v>
      </c>
      <c r="D3676" s="8">
        <v>2.56</v>
      </c>
      <c r="E3676" s="4">
        <v>0</v>
      </c>
      <c r="F3676" s="8">
        <v>0</v>
      </c>
      <c r="G3676" s="4">
        <v>0</v>
      </c>
      <c r="H3676" s="8">
        <v>0</v>
      </c>
      <c r="I3676" s="4">
        <v>0</v>
      </c>
    </row>
    <row r="3677" spans="1:9" x14ac:dyDescent="0.2">
      <c r="A3677" s="2">
        <v>7</v>
      </c>
      <c r="B3677" s="1" t="s">
        <v>323</v>
      </c>
      <c r="C3677" s="4">
        <v>1</v>
      </c>
      <c r="D3677" s="8">
        <v>2.56</v>
      </c>
      <c r="E3677" s="4">
        <v>1</v>
      </c>
      <c r="F3677" s="8">
        <v>9.09</v>
      </c>
      <c r="G3677" s="4">
        <v>0</v>
      </c>
      <c r="H3677" s="8">
        <v>0</v>
      </c>
      <c r="I3677" s="4">
        <v>0</v>
      </c>
    </row>
    <row r="3678" spans="1:9" x14ac:dyDescent="0.2">
      <c r="A3678" s="2">
        <v>7</v>
      </c>
      <c r="B3678" s="1" t="s">
        <v>369</v>
      </c>
      <c r="C3678" s="4">
        <v>1</v>
      </c>
      <c r="D3678" s="8">
        <v>2.56</v>
      </c>
      <c r="E3678" s="4">
        <v>0</v>
      </c>
      <c r="F3678" s="8">
        <v>0</v>
      </c>
      <c r="G3678" s="4">
        <v>1</v>
      </c>
      <c r="H3678" s="8">
        <v>3.85</v>
      </c>
      <c r="I3678" s="4">
        <v>0</v>
      </c>
    </row>
    <row r="3679" spans="1:9" x14ac:dyDescent="0.2">
      <c r="A3679" s="2">
        <v>7</v>
      </c>
      <c r="B3679" s="1" t="s">
        <v>370</v>
      </c>
      <c r="C3679" s="4">
        <v>1</v>
      </c>
      <c r="D3679" s="8">
        <v>2.56</v>
      </c>
      <c r="E3679" s="4">
        <v>0</v>
      </c>
      <c r="F3679" s="8">
        <v>0</v>
      </c>
      <c r="G3679" s="4">
        <v>1</v>
      </c>
      <c r="H3679" s="8">
        <v>3.85</v>
      </c>
      <c r="I3679" s="4">
        <v>0</v>
      </c>
    </row>
    <row r="3680" spans="1:9" x14ac:dyDescent="0.2">
      <c r="A3680" s="2">
        <v>7</v>
      </c>
      <c r="B3680" s="1" t="s">
        <v>397</v>
      </c>
      <c r="C3680" s="4">
        <v>1</v>
      </c>
      <c r="D3680" s="8">
        <v>2.56</v>
      </c>
      <c r="E3680" s="4">
        <v>0</v>
      </c>
      <c r="F3680" s="8">
        <v>0</v>
      </c>
      <c r="G3680" s="4">
        <v>1</v>
      </c>
      <c r="H3680" s="8">
        <v>3.85</v>
      </c>
      <c r="I3680" s="4">
        <v>0</v>
      </c>
    </row>
    <row r="3681" spans="1:9" x14ac:dyDescent="0.2">
      <c r="A3681" s="2">
        <v>7</v>
      </c>
      <c r="B3681" s="1" t="s">
        <v>307</v>
      </c>
      <c r="C3681" s="4">
        <v>1</v>
      </c>
      <c r="D3681" s="8">
        <v>2.56</v>
      </c>
      <c r="E3681" s="4">
        <v>0</v>
      </c>
      <c r="F3681" s="8">
        <v>0</v>
      </c>
      <c r="G3681" s="4">
        <v>1</v>
      </c>
      <c r="H3681" s="8">
        <v>3.85</v>
      </c>
      <c r="I3681" s="4">
        <v>0</v>
      </c>
    </row>
    <row r="3682" spans="1:9" x14ac:dyDescent="0.2">
      <c r="A3682" s="2">
        <v>7</v>
      </c>
      <c r="B3682" s="1" t="s">
        <v>460</v>
      </c>
      <c r="C3682" s="4">
        <v>1</v>
      </c>
      <c r="D3682" s="8">
        <v>2.56</v>
      </c>
      <c r="E3682" s="4">
        <v>0</v>
      </c>
      <c r="F3682" s="8">
        <v>0</v>
      </c>
      <c r="G3682" s="4">
        <v>1</v>
      </c>
      <c r="H3682" s="8">
        <v>3.85</v>
      </c>
      <c r="I3682" s="4">
        <v>0</v>
      </c>
    </row>
    <row r="3683" spans="1:9" x14ac:dyDescent="0.2">
      <c r="A3683" s="2">
        <v>7</v>
      </c>
      <c r="B3683" s="1" t="s">
        <v>348</v>
      </c>
      <c r="C3683" s="4">
        <v>1</v>
      </c>
      <c r="D3683" s="8">
        <v>2.56</v>
      </c>
      <c r="E3683" s="4">
        <v>0</v>
      </c>
      <c r="F3683" s="8">
        <v>0</v>
      </c>
      <c r="G3683" s="4">
        <v>1</v>
      </c>
      <c r="H3683" s="8">
        <v>3.85</v>
      </c>
      <c r="I3683" s="4">
        <v>0</v>
      </c>
    </row>
    <row r="3684" spans="1:9" x14ac:dyDescent="0.2">
      <c r="A3684" s="1"/>
      <c r="C3684" s="4"/>
      <c r="D3684" s="8"/>
      <c r="E3684" s="4"/>
      <c r="F3684" s="8"/>
      <c r="G3684" s="4"/>
      <c r="H3684" s="8"/>
      <c r="I3684" s="4"/>
    </row>
    <row r="3685" spans="1:9" x14ac:dyDescent="0.2">
      <c r="A3685" s="1" t="s">
        <v>124</v>
      </c>
      <c r="C3685" s="4"/>
      <c r="D3685" s="8"/>
      <c r="E3685" s="4"/>
      <c r="F3685" s="8"/>
      <c r="G3685" s="4"/>
      <c r="H3685" s="8"/>
      <c r="I3685" s="4"/>
    </row>
    <row r="3686" spans="1:9" x14ac:dyDescent="0.2">
      <c r="A3686" s="2">
        <v>1</v>
      </c>
      <c r="B3686" s="1" t="s">
        <v>297</v>
      </c>
      <c r="C3686" s="4">
        <v>10</v>
      </c>
      <c r="D3686" s="8">
        <v>10</v>
      </c>
      <c r="E3686" s="4">
        <v>9</v>
      </c>
      <c r="F3686" s="8">
        <v>19.57</v>
      </c>
      <c r="G3686" s="4">
        <v>1</v>
      </c>
      <c r="H3686" s="8">
        <v>2.13</v>
      </c>
      <c r="I3686" s="4">
        <v>0</v>
      </c>
    </row>
    <row r="3687" spans="1:9" x14ac:dyDescent="0.2">
      <c r="A3687" s="2">
        <v>2</v>
      </c>
      <c r="B3687" s="1" t="s">
        <v>301</v>
      </c>
      <c r="C3687" s="4">
        <v>5</v>
      </c>
      <c r="D3687" s="8">
        <v>5</v>
      </c>
      <c r="E3687" s="4">
        <v>4</v>
      </c>
      <c r="F3687" s="8">
        <v>8.6999999999999993</v>
      </c>
      <c r="G3687" s="4">
        <v>1</v>
      </c>
      <c r="H3687" s="8">
        <v>2.13</v>
      </c>
      <c r="I3687" s="4">
        <v>0</v>
      </c>
    </row>
    <row r="3688" spans="1:9" x14ac:dyDescent="0.2">
      <c r="A3688" s="2">
        <v>3</v>
      </c>
      <c r="B3688" s="1" t="s">
        <v>303</v>
      </c>
      <c r="C3688" s="4">
        <v>4</v>
      </c>
      <c r="D3688" s="8">
        <v>4</v>
      </c>
      <c r="E3688" s="4">
        <v>4</v>
      </c>
      <c r="F3688" s="8">
        <v>8.6999999999999993</v>
      </c>
      <c r="G3688" s="4">
        <v>0</v>
      </c>
      <c r="H3688" s="8">
        <v>0</v>
      </c>
      <c r="I3688" s="4">
        <v>0</v>
      </c>
    </row>
    <row r="3689" spans="1:9" x14ac:dyDescent="0.2">
      <c r="A3689" s="2">
        <v>3</v>
      </c>
      <c r="B3689" s="1" t="s">
        <v>304</v>
      </c>
      <c r="C3689" s="4">
        <v>4</v>
      </c>
      <c r="D3689" s="8">
        <v>4</v>
      </c>
      <c r="E3689" s="4">
        <v>4</v>
      </c>
      <c r="F3689" s="8">
        <v>8.6999999999999993</v>
      </c>
      <c r="G3689" s="4">
        <v>0</v>
      </c>
      <c r="H3689" s="8">
        <v>0</v>
      </c>
      <c r="I3689" s="4">
        <v>0</v>
      </c>
    </row>
    <row r="3690" spans="1:9" x14ac:dyDescent="0.2">
      <c r="A3690" s="2">
        <v>5</v>
      </c>
      <c r="B3690" s="1" t="s">
        <v>290</v>
      </c>
      <c r="C3690" s="4">
        <v>3</v>
      </c>
      <c r="D3690" s="8">
        <v>3</v>
      </c>
      <c r="E3690" s="4">
        <v>1</v>
      </c>
      <c r="F3690" s="8">
        <v>2.17</v>
      </c>
      <c r="G3690" s="4">
        <v>2</v>
      </c>
      <c r="H3690" s="8">
        <v>4.26</v>
      </c>
      <c r="I3690" s="4">
        <v>0</v>
      </c>
    </row>
    <row r="3691" spans="1:9" x14ac:dyDescent="0.2">
      <c r="A3691" s="2">
        <v>5</v>
      </c>
      <c r="B3691" s="1" t="s">
        <v>330</v>
      </c>
      <c r="C3691" s="4">
        <v>3</v>
      </c>
      <c r="D3691" s="8">
        <v>3</v>
      </c>
      <c r="E3691" s="4">
        <v>0</v>
      </c>
      <c r="F3691" s="8">
        <v>0</v>
      </c>
      <c r="G3691" s="4">
        <v>3</v>
      </c>
      <c r="H3691" s="8">
        <v>6.38</v>
      </c>
      <c r="I3691" s="4">
        <v>0</v>
      </c>
    </row>
    <row r="3692" spans="1:9" x14ac:dyDescent="0.2">
      <c r="A3692" s="2">
        <v>5</v>
      </c>
      <c r="B3692" s="1" t="s">
        <v>373</v>
      </c>
      <c r="C3692" s="4">
        <v>3</v>
      </c>
      <c r="D3692" s="8">
        <v>3</v>
      </c>
      <c r="E3692" s="4">
        <v>2</v>
      </c>
      <c r="F3692" s="8">
        <v>4.3499999999999996</v>
      </c>
      <c r="G3692" s="4">
        <v>1</v>
      </c>
      <c r="H3692" s="8">
        <v>2.13</v>
      </c>
      <c r="I3692" s="4">
        <v>0</v>
      </c>
    </row>
    <row r="3693" spans="1:9" x14ac:dyDescent="0.2">
      <c r="A3693" s="2">
        <v>5</v>
      </c>
      <c r="B3693" s="1" t="s">
        <v>300</v>
      </c>
      <c r="C3693" s="4">
        <v>3</v>
      </c>
      <c r="D3693" s="8">
        <v>3</v>
      </c>
      <c r="E3693" s="4">
        <v>3</v>
      </c>
      <c r="F3693" s="8">
        <v>6.52</v>
      </c>
      <c r="G3693" s="4">
        <v>0</v>
      </c>
      <c r="H3693" s="8">
        <v>0</v>
      </c>
      <c r="I3693" s="4">
        <v>0</v>
      </c>
    </row>
    <row r="3694" spans="1:9" x14ac:dyDescent="0.2">
      <c r="A3694" s="2">
        <v>5</v>
      </c>
      <c r="B3694" s="1" t="s">
        <v>340</v>
      </c>
      <c r="C3694" s="4">
        <v>3</v>
      </c>
      <c r="D3694" s="8">
        <v>3</v>
      </c>
      <c r="E3694" s="4">
        <v>0</v>
      </c>
      <c r="F3694" s="8">
        <v>0</v>
      </c>
      <c r="G3694" s="4">
        <v>0</v>
      </c>
      <c r="H3694" s="8">
        <v>0</v>
      </c>
      <c r="I3694" s="4">
        <v>0</v>
      </c>
    </row>
    <row r="3695" spans="1:9" x14ac:dyDescent="0.2">
      <c r="A3695" s="2">
        <v>10</v>
      </c>
      <c r="B3695" s="1" t="s">
        <v>288</v>
      </c>
      <c r="C3695" s="4">
        <v>2</v>
      </c>
      <c r="D3695" s="8">
        <v>2</v>
      </c>
      <c r="E3695" s="4">
        <v>0</v>
      </c>
      <c r="F3695" s="8">
        <v>0</v>
      </c>
      <c r="G3695" s="4">
        <v>2</v>
      </c>
      <c r="H3695" s="8">
        <v>4.26</v>
      </c>
      <c r="I3695" s="4">
        <v>0</v>
      </c>
    </row>
    <row r="3696" spans="1:9" x14ac:dyDescent="0.2">
      <c r="A3696" s="2">
        <v>10</v>
      </c>
      <c r="B3696" s="1" t="s">
        <v>328</v>
      </c>
      <c r="C3696" s="4">
        <v>2</v>
      </c>
      <c r="D3696" s="8">
        <v>2</v>
      </c>
      <c r="E3696" s="4">
        <v>1</v>
      </c>
      <c r="F3696" s="8">
        <v>2.17</v>
      </c>
      <c r="G3696" s="4">
        <v>1</v>
      </c>
      <c r="H3696" s="8">
        <v>2.13</v>
      </c>
      <c r="I3696" s="4">
        <v>0</v>
      </c>
    </row>
    <row r="3697" spans="1:9" x14ac:dyDescent="0.2">
      <c r="A3697" s="2">
        <v>10</v>
      </c>
      <c r="B3697" s="1" t="s">
        <v>333</v>
      </c>
      <c r="C3697" s="4">
        <v>2</v>
      </c>
      <c r="D3697" s="8">
        <v>2</v>
      </c>
      <c r="E3697" s="4">
        <v>1</v>
      </c>
      <c r="F3697" s="8">
        <v>2.17</v>
      </c>
      <c r="G3697" s="4">
        <v>1</v>
      </c>
      <c r="H3697" s="8">
        <v>2.13</v>
      </c>
      <c r="I3697" s="4">
        <v>0</v>
      </c>
    </row>
    <row r="3698" spans="1:9" x14ac:dyDescent="0.2">
      <c r="A3698" s="2">
        <v>10</v>
      </c>
      <c r="B3698" s="1" t="s">
        <v>436</v>
      </c>
      <c r="C3698" s="4">
        <v>2</v>
      </c>
      <c r="D3698" s="8">
        <v>2</v>
      </c>
      <c r="E3698" s="4">
        <v>0</v>
      </c>
      <c r="F3698" s="8">
        <v>0</v>
      </c>
      <c r="G3698" s="4">
        <v>2</v>
      </c>
      <c r="H3698" s="8">
        <v>4.26</v>
      </c>
      <c r="I3698" s="4">
        <v>0</v>
      </c>
    </row>
    <row r="3699" spans="1:9" x14ac:dyDescent="0.2">
      <c r="A3699" s="2">
        <v>10</v>
      </c>
      <c r="B3699" s="1" t="s">
        <v>342</v>
      </c>
      <c r="C3699" s="4">
        <v>2</v>
      </c>
      <c r="D3699" s="8">
        <v>2</v>
      </c>
      <c r="E3699" s="4">
        <v>0</v>
      </c>
      <c r="F3699" s="8">
        <v>0</v>
      </c>
      <c r="G3699" s="4">
        <v>2</v>
      </c>
      <c r="H3699" s="8">
        <v>4.26</v>
      </c>
      <c r="I3699" s="4">
        <v>0</v>
      </c>
    </row>
    <row r="3700" spans="1:9" x14ac:dyDescent="0.2">
      <c r="A3700" s="2">
        <v>10</v>
      </c>
      <c r="B3700" s="1" t="s">
        <v>321</v>
      </c>
      <c r="C3700" s="4">
        <v>2</v>
      </c>
      <c r="D3700" s="8">
        <v>2</v>
      </c>
      <c r="E3700" s="4">
        <v>0</v>
      </c>
      <c r="F3700" s="8">
        <v>0</v>
      </c>
      <c r="G3700" s="4">
        <v>2</v>
      </c>
      <c r="H3700" s="8">
        <v>4.26</v>
      </c>
      <c r="I3700" s="4">
        <v>0</v>
      </c>
    </row>
    <row r="3701" spans="1:9" x14ac:dyDescent="0.2">
      <c r="A3701" s="2">
        <v>10</v>
      </c>
      <c r="B3701" s="1" t="s">
        <v>292</v>
      </c>
      <c r="C3701" s="4">
        <v>2</v>
      </c>
      <c r="D3701" s="8">
        <v>2</v>
      </c>
      <c r="E3701" s="4">
        <v>2</v>
      </c>
      <c r="F3701" s="8">
        <v>4.3499999999999996</v>
      </c>
      <c r="G3701" s="4">
        <v>0</v>
      </c>
      <c r="H3701" s="8">
        <v>0</v>
      </c>
      <c r="I3701" s="4">
        <v>0</v>
      </c>
    </row>
    <row r="3702" spans="1:9" x14ac:dyDescent="0.2">
      <c r="A3702" s="2">
        <v>10</v>
      </c>
      <c r="B3702" s="1" t="s">
        <v>372</v>
      </c>
      <c r="C3702" s="4">
        <v>2</v>
      </c>
      <c r="D3702" s="8">
        <v>2</v>
      </c>
      <c r="E3702" s="4">
        <v>0</v>
      </c>
      <c r="F3702" s="8">
        <v>0</v>
      </c>
      <c r="G3702" s="4">
        <v>2</v>
      </c>
      <c r="H3702" s="8">
        <v>4.26</v>
      </c>
      <c r="I3702" s="4">
        <v>0</v>
      </c>
    </row>
    <row r="3703" spans="1:9" x14ac:dyDescent="0.2">
      <c r="A3703" s="2">
        <v>10</v>
      </c>
      <c r="B3703" s="1" t="s">
        <v>295</v>
      </c>
      <c r="C3703" s="4">
        <v>2</v>
      </c>
      <c r="D3703" s="8">
        <v>2</v>
      </c>
      <c r="E3703" s="4">
        <v>1</v>
      </c>
      <c r="F3703" s="8">
        <v>2.17</v>
      </c>
      <c r="G3703" s="4">
        <v>1</v>
      </c>
      <c r="H3703" s="8">
        <v>2.13</v>
      </c>
      <c r="I3703" s="4">
        <v>0</v>
      </c>
    </row>
    <row r="3704" spans="1:9" x14ac:dyDescent="0.2">
      <c r="A3704" s="2">
        <v>10</v>
      </c>
      <c r="B3704" s="1" t="s">
        <v>344</v>
      </c>
      <c r="C3704" s="4">
        <v>2</v>
      </c>
      <c r="D3704" s="8">
        <v>2</v>
      </c>
      <c r="E3704" s="4">
        <v>0</v>
      </c>
      <c r="F3704" s="8">
        <v>0</v>
      </c>
      <c r="G3704" s="4">
        <v>2</v>
      </c>
      <c r="H3704" s="8">
        <v>4.26</v>
      </c>
      <c r="I3704" s="4">
        <v>0</v>
      </c>
    </row>
    <row r="3705" spans="1:9" x14ac:dyDescent="0.2">
      <c r="A3705" s="2">
        <v>10</v>
      </c>
      <c r="B3705" s="1" t="s">
        <v>299</v>
      </c>
      <c r="C3705" s="4">
        <v>2</v>
      </c>
      <c r="D3705" s="8">
        <v>2</v>
      </c>
      <c r="E3705" s="4">
        <v>0</v>
      </c>
      <c r="F3705" s="8">
        <v>0</v>
      </c>
      <c r="G3705" s="4">
        <v>2</v>
      </c>
      <c r="H3705" s="8">
        <v>4.26</v>
      </c>
      <c r="I3705" s="4">
        <v>0</v>
      </c>
    </row>
    <row r="3706" spans="1:9" x14ac:dyDescent="0.2">
      <c r="A3706" s="2">
        <v>10</v>
      </c>
      <c r="B3706" s="1" t="s">
        <v>352</v>
      </c>
      <c r="C3706" s="4">
        <v>2</v>
      </c>
      <c r="D3706" s="8">
        <v>2</v>
      </c>
      <c r="E3706" s="4">
        <v>2</v>
      </c>
      <c r="F3706" s="8">
        <v>4.3499999999999996</v>
      </c>
      <c r="G3706" s="4">
        <v>0</v>
      </c>
      <c r="H3706" s="8">
        <v>0</v>
      </c>
      <c r="I3706" s="4">
        <v>0</v>
      </c>
    </row>
    <row r="3707" spans="1:9" x14ac:dyDescent="0.2">
      <c r="A3707" s="2">
        <v>10</v>
      </c>
      <c r="B3707" s="1" t="s">
        <v>397</v>
      </c>
      <c r="C3707" s="4">
        <v>2</v>
      </c>
      <c r="D3707" s="8">
        <v>2</v>
      </c>
      <c r="E3707" s="4">
        <v>0</v>
      </c>
      <c r="F3707" s="8">
        <v>0</v>
      </c>
      <c r="G3707" s="4">
        <v>2</v>
      </c>
      <c r="H3707" s="8">
        <v>4.26</v>
      </c>
      <c r="I3707" s="4">
        <v>0</v>
      </c>
    </row>
    <row r="3708" spans="1:9" x14ac:dyDescent="0.2">
      <c r="A3708" s="1"/>
      <c r="C3708" s="4"/>
      <c r="D3708" s="8"/>
      <c r="E3708" s="4"/>
      <c r="F3708" s="8"/>
      <c r="G3708" s="4"/>
      <c r="H3708" s="8"/>
      <c r="I3708" s="4"/>
    </row>
    <row r="3709" spans="1:9" x14ac:dyDescent="0.2">
      <c r="A3709" s="1" t="s">
        <v>125</v>
      </c>
      <c r="C3709" s="4"/>
      <c r="D3709" s="8"/>
      <c r="E3709" s="4"/>
      <c r="F3709" s="8"/>
      <c r="G3709" s="4"/>
      <c r="H3709" s="8"/>
      <c r="I3709" s="4"/>
    </row>
    <row r="3710" spans="1:9" x14ac:dyDescent="0.2">
      <c r="A3710" s="2">
        <v>1</v>
      </c>
      <c r="B3710" s="1" t="s">
        <v>337</v>
      </c>
      <c r="C3710" s="4">
        <v>3</v>
      </c>
      <c r="D3710" s="8">
        <v>4.84</v>
      </c>
      <c r="E3710" s="4">
        <v>3</v>
      </c>
      <c r="F3710" s="8">
        <v>8.57</v>
      </c>
      <c r="G3710" s="4">
        <v>0</v>
      </c>
      <c r="H3710" s="8">
        <v>0</v>
      </c>
      <c r="I3710" s="4">
        <v>0</v>
      </c>
    </row>
    <row r="3711" spans="1:9" x14ac:dyDescent="0.2">
      <c r="A3711" s="2">
        <v>1</v>
      </c>
      <c r="B3711" s="1" t="s">
        <v>334</v>
      </c>
      <c r="C3711" s="4">
        <v>3</v>
      </c>
      <c r="D3711" s="8">
        <v>4.84</v>
      </c>
      <c r="E3711" s="4">
        <v>3</v>
      </c>
      <c r="F3711" s="8">
        <v>8.57</v>
      </c>
      <c r="G3711" s="4">
        <v>0</v>
      </c>
      <c r="H3711" s="8">
        <v>0</v>
      </c>
      <c r="I3711" s="4">
        <v>0</v>
      </c>
    </row>
    <row r="3712" spans="1:9" x14ac:dyDescent="0.2">
      <c r="A3712" s="2">
        <v>1</v>
      </c>
      <c r="B3712" s="1" t="s">
        <v>299</v>
      </c>
      <c r="C3712" s="4">
        <v>3</v>
      </c>
      <c r="D3712" s="8">
        <v>4.84</v>
      </c>
      <c r="E3712" s="4">
        <v>3</v>
      </c>
      <c r="F3712" s="8">
        <v>8.57</v>
      </c>
      <c r="G3712" s="4">
        <v>0</v>
      </c>
      <c r="H3712" s="8">
        <v>0</v>
      </c>
      <c r="I3712" s="4">
        <v>0</v>
      </c>
    </row>
    <row r="3713" spans="1:9" x14ac:dyDescent="0.2">
      <c r="A3713" s="2">
        <v>4</v>
      </c>
      <c r="B3713" s="1" t="s">
        <v>288</v>
      </c>
      <c r="C3713" s="4">
        <v>2</v>
      </c>
      <c r="D3713" s="8">
        <v>3.23</v>
      </c>
      <c r="E3713" s="4">
        <v>0</v>
      </c>
      <c r="F3713" s="8">
        <v>0</v>
      </c>
      <c r="G3713" s="4">
        <v>2</v>
      </c>
      <c r="H3713" s="8">
        <v>8.33</v>
      </c>
      <c r="I3713" s="4">
        <v>0</v>
      </c>
    </row>
    <row r="3714" spans="1:9" x14ac:dyDescent="0.2">
      <c r="A3714" s="2">
        <v>4</v>
      </c>
      <c r="B3714" s="1" t="s">
        <v>413</v>
      </c>
      <c r="C3714" s="4">
        <v>2</v>
      </c>
      <c r="D3714" s="8">
        <v>3.23</v>
      </c>
      <c r="E3714" s="4">
        <v>2</v>
      </c>
      <c r="F3714" s="8">
        <v>5.71</v>
      </c>
      <c r="G3714" s="4">
        <v>0</v>
      </c>
      <c r="H3714" s="8">
        <v>0</v>
      </c>
      <c r="I3714" s="4">
        <v>0</v>
      </c>
    </row>
    <row r="3715" spans="1:9" x14ac:dyDescent="0.2">
      <c r="A3715" s="2">
        <v>4</v>
      </c>
      <c r="B3715" s="1" t="s">
        <v>378</v>
      </c>
      <c r="C3715" s="4">
        <v>2</v>
      </c>
      <c r="D3715" s="8">
        <v>3.23</v>
      </c>
      <c r="E3715" s="4">
        <v>0</v>
      </c>
      <c r="F3715" s="8">
        <v>0</v>
      </c>
      <c r="G3715" s="4">
        <v>1</v>
      </c>
      <c r="H3715" s="8">
        <v>4.17</v>
      </c>
      <c r="I3715" s="4">
        <v>1</v>
      </c>
    </row>
    <row r="3716" spans="1:9" x14ac:dyDescent="0.2">
      <c r="A3716" s="2">
        <v>4</v>
      </c>
      <c r="B3716" s="1" t="s">
        <v>326</v>
      </c>
      <c r="C3716" s="4">
        <v>2</v>
      </c>
      <c r="D3716" s="8">
        <v>3.23</v>
      </c>
      <c r="E3716" s="4">
        <v>1</v>
      </c>
      <c r="F3716" s="8">
        <v>2.86</v>
      </c>
      <c r="G3716" s="4">
        <v>1</v>
      </c>
      <c r="H3716" s="8">
        <v>4.17</v>
      </c>
      <c r="I3716" s="4">
        <v>0</v>
      </c>
    </row>
    <row r="3717" spans="1:9" x14ac:dyDescent="0.2">
      <c r="A3717" s="2">
        <v>4</v>
      </c>
      <c r="B3717" s="1" t="s">
        <v>292</v>
      </c>
      <c r="C3717" s="4">
        <v>2</v>
      </c>
      <c r="D3717" s="8">
        <v>3.23</v>
      </c>
      <c r="E3717" s="4">
        <v>1</v>
      </c>
      <c r="F3717" s="8">
        <v>2.86</v>
      </c>
      <c r="G3717" s="4">
        <v>1</v>
      </c>
      <c r="H3717" s="8">
        <v>4.17</v>
      </c>
      <c r="I3717" s="4">
        <v>0</v>
      </c>
    </row>
    <row r="3718" spans="1:9" x14ac:dyDescent="0.2">
      <c r="A3718" s="2">
        <v>4</v>
      </c>
      <c r="B3718" s="1" t="s">
        <v>335</v>
      </c>
      <c r="C3718" s="4">
        <v>2</v>
      </c>
      <c r="D3718" s="8">
        <v>3.23</v>
      </c>
      <c r="E3718" s="4">
        <v>1</v>
      </c>
      <c r="F3718" s="8">
        <v>2.86</v>
      </c>
      <c r="G3718" s="4">
        <v>1</v>
      </c>
      <c r="H3718" s="8">
        <v>4.17</v>
      </c>
      <c r="I3718" s="4">
        <v>0</v>
      </c>
    </row>
    <row r="3719" spans="1:9" x14ac:dyDescent="0.2">
      <c r="A3719" s="2">
        <v>4</v>
      </c>
      <c r="B3719" s="1" t="s">
        <v>300</v>
      </c>
      <c r="C3719" s="4">
        <v>2</v>
      </c>
      <c r="D3719" s="8">
        <v>3.23</v>
      </c>
      <c r="E3719" s="4">
        <v>2</v>
      </c>
      <c r="F3719" s="8">
        <v>5.71</v>
      </c>
      <c r="G3719" s="4">
        <v>0</v>
      </c>
      <c r="H3719" s="8">
        <v>0</v>
      </c>
      <c r="I3719" s="4">
        <v>0</v>
      </c>
    </row>
    <row r="3720" spans="1:9" x14ac:dyDescent="0.2">
      <c r="A3720" s="2">
        <v>4</v>
      </c>
      <c r="B3720" s="1" t="s">
        <v>301</v>
      </c>
      <c r="C3720" s="4">
        <v>2</v>
      </c>
      <c r="D3720" s="8">
        <v>3.23</v>
      </c>
      <c r="E3720" s="4">
        <v>2</v>
      </c>
      <c r="F3720" s="8">
        <v>5.71</v>
      </c>
      <c r="G3720" s="4">
        <v>0</v>
      </c>
      <c r="H3720" s="8">
        <v>0</v>
      </c>
      <c r="I3720" s="4">
        <v>0</v>
      </c>
    </row>
    <row r="3721" spans="1:9" x14ac:dyDescent="0.2">
      <c r="A3721" s="2">
        <v>4</v>
      </c>
      <c r="B3721" s="1" t="s">
        <v>303</v>
      </c>
      <c r="C3721" s="4">
        <v>2</v>
      </c>
      <c r="D3721" s="8">
        <v>3.23</v>
      </c>
      <c r="E3721" s="4">
        <v>2</v>
      </c>
      <c r="F3721" s="8">
        <v>5.71</v>
      </c>
      <c r="G3721" s="4">
        <v>0</v>
      </c>
      <c r="H3721" s="8">
        <v>0</v>
      </c>
      <c r="I3721" s="4">
        <v>0</v>
      </c>
    </row>
    <row r="3722" spans="1:9" x14ac:dyDescent="0.2">
      <c r="A3722" s="2">
        <v>4</v>
      </c>
      <c r="B3722" s="1" t="s">
        <v>370</v>
      </c>
      <c r="C3722" s="4">
        <v>2</v>
      </c>
      <c r="D3722" s="8">
        <v>3.23</v>
      </c>
      <c r="E3722" s="4">
        <v>2</v>
      </c>
      <c r="F3722" s="8">
        <v>5.71</v>
      </c>
      <c r="G3722" s="4">
        <v>0</v>
      </c>
      <c r="H3722" s="8">
        <v>0</v>
      </c>
      <c r="I3722" s="4">
        <v>0</v>
      </c>
    </row>
    <row r="3723" spans="1:9" x14ac:dyDescent="0.2">
      <c r="A3723" s="2">
        <v>14</v>
      </c>
      <c r="B3723" s="1" t="s">
        <v>289</v>
      </c>
      <c r="C3723" s="4">
        <v>1</v>
      </c>
      <c r="D3723" s="8">
        <v>1.61</v>
      </c>
      <c r="E3723" s="4">
        <v>0</v>
      </c>
      <c r="F3723" s="8">
        <v>0</v>
      </c>
      <c r="G3723" s="4">
        <v>1</v>
      </c>
      <c r="H3723" s="8">
        <v>4.17</v>
      </c>
      <c r="I3723" s="4">
        <v>0</v>
      </c>
    </row>
    <row r="3724" spans="1:9" x14ac:dyDescent="0.2">
      <c r="A3724" s="2">
        <v>14</v>
      </c>
      <c r="B3724" s="1" t="s">
        <v>343</v>
      </c>
      <c r="C3724" s="4">
        <v>1</v>
      </c>
      <c r="D3724" s="8">
        <v>1.61</v>
      </c>
      <c r="E3724" s="4">
        <v>1</v>
      </c>
      <c r="F3724" s="8">
        <v>2.86</v>
      </c>
      <c r="G3724" s="4">
        <v>0</v>
      </c>
      <c r="H3724" s="8">
        <v>0</v>
      </c>
      <c r="I3724" s="4">
        <v>0</v>
      </c>
    </row>
    <row r="3725" spans="1:9" x14ac:dyDescent="0.2">
      <c r="A3725" s="2">
        <v>14</v>
      </c>
      <c r="B3725" s="1" t="s">
        <v>290</v>
      </c>
      <c r="C3725" s="4">
        <v>1</v>
      </c>
      <c r="D3725" s="8">
        <v>1.61</v>
      </c>
      <c r="E3725" s="4">
        <v>0</v>
      </c>
      <c r="F3725" s="8">
        <v>0</v>
      </c>
      <c r="G3725" s="4">
        <v>1</v>
      </c>
      <c r="H3725" s="8">
        <v>4.17</v>
      </c>
      <c r="I3725" s="4">
        <v>0</v>
      </c>
    </row>
    <row r="3726" spans="1:9" x14ac:dyDescent="0.2">
      <c r="A3726" s="2">
        <v>14</v>
      </c>
      <c r="B3726" s="1" t="s">
        <v>384</v>
      </c>
      <c r="C3726" s="4">
        <v>1</v>
      </c>
      <c r="D3726" s="8">
        <v>1.61</v>
      </c>
      <c r="E3726" s="4">
        <v>0</v>
      </c>
      <c r="F3726" s="8">
        <v>0</v>
      </c>
      <c r="G3726" s="4">
        <v>1</v>
      </c>
      <c r="H3726" s="8">
        <v>4.17</v>
      </c>
      <c r="I3726" s="4">
        <v>0</v>
      </c>
    </row>
    <row r="3727" spans="1:9" x14ac:dyDescent="0.2">
      <c r="A3727" s="2">
        <v>14</v>
      </c>
      <c r="B3727" s="1" t="s">
        <v>399</v>
      </c>
      <c r="C3727" s="4">
        <v>1</v>
      </c>
      <c r="D3727" s="8">
        <v>1.61</v>
      </c>
      <c r="E3727" s="4">
        <v>0</v>
      </c>
      <c r="F3727" s="8">
        <v>0</v>
      </c>
      <c r="G3727" s="4">
        <v>1</v>
      </c>
      <c r="H3727" s="8">
        <v>4.17</v>
      </c>
      <c r="I3727" s="4">
        <v>0</v>
      </c>
    </row>
    <row r="3728" spans="1:9" x14ac:dyDescent="0.2">
      <c r="A3728" s="2">
        <v>14</v>
      </c>
      <c r="B3728" s="1" t="s">
        <v>374</v>
      </c>
      <c r="C3728" s="4">
        <v>1</v>
      </c>
      <c r="D3728" s="8">
        <v>1.61</v>
      </c>
      <c r="E3728" s="4">
        <v>1</v>
      </c>
      <c r="F3728" s="8">
        <v>2.86</v>
      </c>
      <c r="G3728" s="4">
        <v>0</v>
      </c>
      <c r="H3728" s="8">
        <v>0</v>
      </c>
      <c r="I3728" s="4">
        <v>0</v>
      </c>
    </row>
    <row r="3729" spans="1:9" x14ac:dyDescent="0.2">
      <c r="A3729" s="2">
        <v>14</v>
      </c>
      <c r="B3729" s="1" t="s">
        <v>362</v>
      </c>
      <c r="C3729" s="4">
        <v>1</v>
      </c>
      <c r="D3729" s="8">
        <v>1.61</v>
      </c>
      <c r="E3729" s="4">
        <v>0</v>
      </c>
      <c r="F3729" s="8">
        <v>0</v>
      </c>
      <c r="G3729" s="4">
        <v>0</v>
      </c>
      <c r="H3729" s="8">
        <v>0</v>
      </c>
      <c r="I3729" s="4">
        <v>0</v>
      </c>
    </row>
    <row r="3730" spans="1:9" x14ac:dyDescent="0.2">
      <c r="A3730" s="2">
        <v>14</v>
      </c>
      <c r="B3730" s="1" t="s">
        <v>407</v>
      </c>
      <c r="C3730" s="4">
        <v>1</v>
      </c>
      <c r="D3730" s="8">
        <v>1.61</v>
      </c>
      <c r="E3730" s="4">
        <v>0</v>
      </c>
      <c r="F3730" s="8">
        <v>0</v>
      </c>
      <c r="G3730" s="4">
        <v>1</v>
      </c>
      <c r="H3730" s="8">
        <v>4.17</v>
      </c>
      <c r="I3730" s="4">
        <v>0</v>
      </c>
    </row>
    <row r="3731" spans="1:9" x14ac:dyDescent="0.2">
      <c r="A3731" s="2">
        <v>14</v>
      </c>
      <c r="B3731" s="1" t="s">
        <v>466</v>
      </c>
      <c r="C3731" s="4">
        <v>1</v>
      </c>
      <c r="D3731" s="8">
        <v>1.61</v>
      </c>
      <c r="E3731" s="4">
        <v>0</v>
      </c>
      <c r="F3731" s="8">
        <v>0</v>
      </c>
      <c r="G3731" s="4">
        <v>1</v>
      </c>
      <c r="H3731" s="8">
        <v>4.17</v>
      </c>
      <c r="I3731" s="4">
        <v>0</v>
      </c>
    </row>
    <row r="3732" spans="1:9" x14ac:dyDescent="0.2">
      <c r="A3732" s="2">
        <v>14</v>
      </c>
      <c r="B3732" s="1" t="s">
        <v>350</v>
      </c>
      <c r="C3732" s="4">
        <v>1</v>
      </c>
      <c r="D3732" s="8">
        <v>1.61</v>
      </c>
      <c r="E3732" s="4">
        <v>0</v>
      </c>
      <c r="F3732" s="8">
        <v>0</v>
      </c>
      <c r="G3732" s="4">
        <v>1</v>
      </c>
      <c r="H3732" s="8">
        <v>4.17</v>
      </c>
      <c r="I3732" s="4">
        <v>0</v>
      </c>
    </row>
    <row r="3733" spans="1:9" x14ac:dyDescent="0.2">
      <c r="A3733" s="2">
        <v>14</v>
      </c>
      <c r="B3733" s="1" t="s">
        <v>446</v>
      </c>
      <c r="C3733" s="4">
        <v>1</v>
      </c>
      <c r="D3733" s="8">
        <v>1.61</v>
      </c>
      <c r="E3733" s="4">
        <v>1</v>
      </c>
      <c r="F3733" s="8">
        <v>2.86</v>
      </c>
      <c r="G3733" s="4">
        <v>0</v>
      </c>
      <c r="H3733" s="8">
        <v>0</v>
      </c>
      <c r="I3733" s="4">
        <v>0</v>
      </c>
    </row>
    <row r="3734" spans="1:9" x14ac:dyDescent="0.2">
      <c r="A3734" s="2">
        <v>14</v>
      </c>
      <c r="B3734" s="1" t="s">
        <v>382</v>
      </c>
      <c r="C3734" s="4">
        <v>1</v>
      </c>
      <c r="D3734" s="8">
        <v>1.61</v>
      </c>
      <c r="E3734" s="4">
        <v>0</v>
      </c>
      <c r="F3734" s="8">
        <v>0</v>
      </c>
      <c r="G3734" s="4">
        <v>1</v>
      </c>
      <c r="H3734" s="8">
        <v>4.17</v>
      </c>
      <c r="I3734" s="4">
        <v>0</v>
      </c>
    </row>
    <row r="3735" spans="1:9" x14ac:dyDescent="0.2">
      <c r="A3735" s="2">
        <v>14</v>
      </c>
      <c r="B3735" s="1" t="s">
        <v>366</v>
      </c>
      <c r="C3735" s="4">
        <v>1</v>
      </c>
      <c r="D3735" s="8">
        <v>1.61</v>
      </c>
      <c r="E3735" s="4">
        <v>1</v>
      </c>
      <c r="F3735" s="8">
        <v>2.86</v>
      </c>
      <c r="G3735" s="4">
        <v>0</v>
      </c>
      <c r="H3735" s="8">
        <v>0</v>
      </c>
      <c r="I3735" s="4">
        <v>0</v>
      </c>
    </row>
    <row r="3736" spans="1:9" x14ac:dyDescent="0.2">
      <c r="A3736" s="2">
        <v>14</v>
      </c>
      <c r="B3736" s="1" t="s">
        <v>329</v>
      </c>
      <c r="C3736" s="4">
        <v>1</v>
      </c>
      <c r="D3736" s="8">
        <v>1.61</v>
      </c>
      <c r="E3736" s="4">
        <v>1</v>
      </c>
      <c r="F3736" s="8">
        <v>2.86</v>
      </c>
      <c r="G3736" s="4">
        <v>0</v>
      </c>
      <c r="H3736" s="8">
        <v>0</v>
      </c>
      <c r="I3736" s="4">
        <v>0</v>
      </c>
    </row>
    <row r="3737" spans="1:9" x14ac:dyDescent="0.2">
      <c r="A3737" s="2">
        <v>14</v>
      </c>
      <c r="B3737" s="1" t="s">
        <v>401</v>
      </c>
      <c r="C3737" s="4">
        <v>1</v>
      </c>
      <c r="D3737" s="8">
        <v>1.61</v>
      </c>
      <c r="E3737" s="4">
        <v>0</v>
      </c>
      <c r="F3737" s="8">
        <v>0</v>
      </c>
      <c r="G3737" s="4">
        <v>1</v>
      </c>
      <c r="H3737" s="8">
        <v>4.17</v>
      </c>
      <c r="I3737" s="4">
        <v>0</v>
      </c>
    </row>
    <row r="3738" spans="1:9" x14ac:dyDescent="0.2">
      <c r="A3738" s="2">
        <v>14</v>
      </c>
      <c r="B3738" s="1" t="s">
        <v>372</v>
      </c>
      <c r="C3738" s="4">
        <v>1</v>
      </c>
      <c r="D3738" s="8">
        <v>1.61</v>
      </c>
      <c r="E3738" s="4">
        <v>0</v>
      </c>
      <c r="F3738" s="8">
        <v>0</v>
      </c>
      <c r="G3738" s="4">
        <v>1</v>
      </c>
      <c r="H3738" s="8">
        <v>4.17</v>
      </c>
      <c r="I3738" s="4">
        <v>0</v>
      </c>
    </row>
    <row r="3739" spans="1:9" x14ac:dyDescent="0.2">
      <c r="A3739" s="2">
        <v>14</v>
      </c>
      <c r="B3739" s="1" t="s">
        <v>330</v>
      </c>
      <c r="C3739" s="4">
        <v>1</v>
      </c>
      <c r="D3739" s="8">
        <v>1.61</v>
      </c>
      <c r="E3739" s="4">
        <v>0</v>
      </c>
      <c r="F3739" s="8">
        <v>0</v>
      </c>
      <c r="G3739" s="4">
        <v>1</v>
      </c>
      <c r="H3739" s="8">
        <v>4.17</v>
      </c>
      <c r="I3739" s="4">
        <v>0</v>
      </c>
    </row>
    <row r="3740" spans="1:9" x14ac:dyDescent="0.2">
      <c r="A3740" s="2">
        <v>14</v>
      </c>
      <c r="B3740" s="1" t="s">
        <v>344</v>
      </c>
      <c r="C3740" s="4">
        <v>1</v>
      </c>
      <c r="D3740" s="8">
        <v>1.61</v>
      </c>
      <c r="E3740" s="4">
        <v>0</v>
      </c>
      <c r="F3740" s="8">
        <v>0</v>
      </c>
      <c r="G3740" s="4">
        <v>1</v>
      </c>
      <c r="H3740" s="8">
        <v>4.17</v>
      </c>
      <c r="I3740" s="4">
        <v>0</v>
      </c>
    </row>
    <row r="3741" spans="1:9" x14ac:dyDescent="0.2">
      <c r="A3741" s="2">
        <v>14</v>
      </c>
      <c r="B3741" s="1" t="s">
        <v>296</v>
      </c>
      <c r="C3741" s="4">
        <v>1</v>
      </c>
      <c r="D3741" s="8">
        <v>1.61</v>
      </c>
      <c r="E3741" s="4">
        <v>0</v>
      </c>
      <c r="F3741" s="8">
        <v>0</v>
      </c>
      <c r="G3741" s="4">
        <v>1</v>
      </c>
      <c r="H3741" s="8">
        <v>4.17</v>
      </c>
      <c r="I3741" s="4">
        <v>0</v>
      </c>
    </row>
    <row r="3742" spans="1:9" x14ac:dyDescent="0.2">
      <c r="A3742" s="2">
        <v>14</v>
      </c>
      <c r="B3742" s="1" t="s">
        <v>339</v>
      </c>
      <c r="C3742" s="4">
        <v>1</v>
      </c>
      <c r="D3742" s="8">
        <v>1.61</v>
      </c>
      <c r="E3742" s="4">
        <v>1</v>
      </c>
      <c r="F3742" s="8">
        <v>2.86</v>
      </c>
      <c r="G3742" s="4">
        <v>0</v>
      </c>
      <c r="H3742" s="8">
        <v>0</v>
      </c>
      <c r="I3742" s="4">
        <v>0</v>
      </c>
    </row>
    <row r="3743" spans="1:9" x14ac:dyDescent="0.2">
      <c r="A3743" s="2">
        <v>14</v>
      </c>
      <c r="B3743" s="1" t="s">
        <v>302</v>
      </c>
      <c r="C3743" s="4">
        <v>1</v>
      </c>
      <c r="D3743" s="8">
        <v>1.61</v>
      </c>
      <c r="E3743" s="4">
        <v>1</v>
      </c>
      <c r="F3743" s="8">
        <v>2.86</v>
      </c>
      <c r="G3743" s="4">
        <v>0</v>
      </c>
      <c r="H3743" s="8">
        <v>0</v>
      </c>
      <c r="I3743" s="4">
        <v>0</v>
      </c>
    </row>
    <row r="3744" spans="1:9" x14ac:dyDescent="0.2">
      <c r="A3744" s="2">
        <v>14</v>
      </c>
      <c r="B3744" s="1" t="s">
        <v>323</v>
      </c>
      <c r="C3744" s="4">
        <v>1</v>
      </c>
      <c r="D3744" s="8">
        <v>1.61</v>
      </c>
      <c r="E3744" s="4">
        <v>1</v>
      </c>
      <c r="F3744" s="8">
        <v>2.86</v>
      </c>
      <c r="G3744" s="4">
        <v>0</v>
      </c>
      <c r="H3744" s="8">
        <v>0</v>
      </c>
      <c r="I3744" s="4">
        <v>0</v>
      </c>
    </row>
    <row r="3745" spans="1:9" x14ac:dyDescent="0.2">
      <c r="A3745" s="2">
        <v>14</v>
      </c>
      <c r="B3745" s="1" t="s">
        <v>304</v>
      </c>
      <c r="C3745" s="4">
        <v>1</v>
      </c>
      <c r="D3745" s="8">
        <v>1.61</v>
      </c>
      <c r="E3745" s="4">
        <v>1</v>
      </c>
      <c r="F3745" s="8">
        <v>2.86</v>
      </c>
      <c r="G3745" s="4">
        <v>0</v>
      </c>
      <c r="H3745" s="8">
        <v>0</v>
      </c>
      <c r="I3745" s="4">
        <v>0</v>
      </c>
    </row>
    <row r="3746" spans="1:9" x14ac:dyDescent="0.2">
      <c r="A3746" s="2">
        <v>14</v>
      </c>
      <c r="B3746" s="1" t="s">
        <v>356</v>
      </c>
      <c r="C3746" s="4">
        <v>1</v>
      </c>
      <c r="D3746" s="8">
        <v>1.61</v>
      </c>
      <c r="E3746" s="4">
        <v>0</v>
      </c>
      <c r="F3746" s="8">
        <v>0</v>
      </c>
      <c r="G3746" s="4">
        <v>1</v>
      </c>
      <c r="H3746" s="8">
        <v>4.17</v>
      </c>
      <c r="I3746" s="4">
        <v>0</v>
      </c>
    </row>
    <row r="3747" spans="1:9" x14ac:dyDescent="0.2">
      <c r="A3747" s="2">
        <v>14</v>
      </c>
      <c r="B3747" s="1" t="s">
        <v>340</v>
      </c>
      <c r="C3747" s="4">
        <v>1</v>
      </c>
      <c r="D3747" s="8">
        <v>1.61</v>
      </c>
      <c r="E3747" s="4">
        <v>0</v>
      </c>
      <c r="F3747" s="8">
        <v>0</v>
      </c>
      <c r="G3747" s="4">
        <v>0</v>
      </c>
      <c r="H3747" s="8">
        <v>0</v>
      </c>
      <c r="I3747" s="4">
        <v>0</v>
      </c>
    </row>
    <row r="3748" spans="1:9" x14ac:dyDescent="0.2">
      <c r="A3748" s="2">
        <v>14</v>
      </c>
      <c r="B3748" s="1" t="s">
        <v>305</v>
      </c>
      <c r="C3748" s="4">
        <v>1</v>
      </c>
      <c r="D3748" s="8">
        <v>1.61</v>
      </c>
      <c r="E3748" s="4">
        <v>1</v>
      </c>
      <c r="F3748" s="8">
        <v>2.86</v>
      </c>
      <c r="G3748" s="4">
        <v>0</v>
      </c>
      <c r="H3748" s="8">
        <v>0</v>
      </c>
      <c r="I3748" s="4">
        <v>0</v>
      </c>
    </row>
    <row r="3749" spans="1:9" x14ac:dyDescent="0.2">
      <c r="A3749" s="2">
        <v>14</v>
      </c>
      <c r="B3749" s="1" t="s">
        <v>312</v>
      </c>
      <c r="C3749" s="4">
        <v>1</v>
      </c>
      <c r="D3749" s="8">
        <v>1.61</v>
      </c>
      <c r="E3749" s="4">
        <v>1</v>
      </c>
      <c r="F3749" s="8">
        <v>2.86</v>
      </c>
      <c r="G3749" s="4">
        <v>0</v>
      </c>
      <c r="H3749" s="8">
        <v>0</v>
      </c>
      <c r="I3749" s="4">
        <v>0</v>
      </c>
    </row>
    <row r="3750" spans="1:9" x14ac:dyDescent="0.2">
      <c r="A3750" s="2">
        <v>14</v>
      </c>
      <c r="B3750" s="1" t="s">
        <v>306</v>
      </c>
      <c r="C3750" s="4">
        <v>1</v>
      </c>
      <c r="D3750" s="8">
        <v>1.61</v>
      </c>
      <c r="E3750" s="4">
        <v>1</v>
      </c>
      <c r="F3750" s="8">
        <v>2.86</v>
      </c>
      <c r="G3750" s="4">
        <v>0</v>
      </c>
      <c r="H3750" s="8">
        <v>0</v>
      </c>
      <c r="I3750" s="4">
        <v>0</v>
      </c>
    </row>
    <row r="3751" spans="1:9" x14ac:dyDescent="0.2">
      <c r="A3751" s="2">
        <v>14</v>
      </c>
      <c r="B3751" s="1" t="s">
        <v>331</v>
      </c>
      <c r="C3751" s="4">
        <v>1</v>
      </c>
      <c r="D3751" s="8">
        <v>1.61</v>
      </c>
      <c r="E3751" s="4">
        <v>0</v>
      </c>
      <c r="F3751" s="8">
        <v>0</v>
      </c>
      <c r="G3751" s="4">
        <v>1</v>
      </c>
      <c r="H3751" s="8">
        <v>4.17</v>
      </c>
      <c r="I3751" s="4">
        <v>0</v>
      </c>
    </row>
    <row r="3752" spans="1:9" x14ac:dyDescent="0.2">
      <c r="A3752" s="2">
        <v>14</v>
      </c>
      <c r="B3752" s="1" t="s">
        <v>347</v>
      </c>
      <c r="C3752" s="4">
        <v>1</v>
      </c>
      <c r="D3752" s="8">
        <v>1.61</v>
      </c>
      <c r="E3752" s="4">
        <v>0</v>
      </c>
      <c r="F3752" s="8">
        <v>0</v>
      </c>
      <c r="G3752" s="4">
        <v>1</v>
      </c>
      <c r="H3752" s="8">
        <v>4.17</v>
      </c>
      <c r="I3752" s="4">
        <v>0</v>
      </c>
    </row>
    <row r="3753" spans="1:9" x14ac:dyDescent="0.2">
      <c r="A3753" s="2">
        <v>14</v>
      </c>
      <c r="B3753" s="1" t="s">
        <v>369</v>
      </c>
      <c r="C3753" s="4">
        <v>1</v>
      </c>
      <c r="D3753" s="8">
        <v>1.61</v>
      </c>
      <c r="E3753" s="4">
        <v>0</v>
      </c>
      <c r="F3753" s="8">
        <v>0</v>
      </c>
      <c r="G3753" s="4">
        <v>1</v>
      </c>
      <c r="H3753" s="8">
        <v>4.17</v>
      </c>
      <c r="I3753" s="4">
        <v>0</v>
      </c>
    </row>
    <row r="3754" spans="1:9" x14ac:dyDescent="0.2">
      <c r="A3754" s="2">
        <v>14</v>
      </c>
      <c r="B3754" s="1" t="s">
        <v>497</v>
      </c>
      <c r="C3754" s="4">
        <v>1</v>
      </c>
      <c r="D3754" s="8">
        <v>1.61</v>
      </c>
      <c r="E3754" s="4">
        <v>0</v>
      </c>
      <c r="F3754" s="8">
        <v>0</v>
      </c>
      <c r="G3754" s="4">
        <v>1</v>
      </c>
      <c r="H3754" s="8">
        <v>4.17</v>
      </c>
      <c r="I3754" s="4">
        <v>0</v>
      </c>
    </row>
    <row r="3755" spans="1:9" x14ac:dyDescent="0.2">
      <c r="A3755" s="2">
        <v>14</v>
      </c>
      <c r="B3755" s="1" t="s">
        <v>307</v>
      </c>
      <c r="C3755" s="4">
        <v>1</v>
      </c>
      <c r="D3755" s="8">
        <v>1.61</v>
      </c>
      <c r="E3755" s="4">
        <v>1</v>
      </c>
      <c r="F3755" s="8">
        <v>2.86</v>
      </c>
      <c r="G3755" s="4">
        <v>0</v>
      </c>
      <c r="H3755" s="8">
        <v>0</v>
      </c>
      <c r="I3755" s="4">
        <v>0</v>
      </c>
    </row>
    <row r="3756" spans="1:9" x14ac:dyDescent="0.2">
      <c r="A3756" s="1"/>
      <c r="C3756" s="4"/>
      <c r="D3756" s="8"/>
      <c r="E3756" s="4"/>
      <c r="F3756" s="8"/>
      <c r="G3756" s="4"/>
      <c r="H3756" s="8"/>
      <c r="I3756" s="4"/>
    </row>
    <row r="3757" spans="1:9" x14ac:dyDescent="0.2">
      <c r="A3757" s="1" t="s">
        <v>126</v>
      </c>
      <c r="C3757" s="4"/>
      <c r="D3757" s="8"/>
      <c r="E3757" s="4"/>
      <c r="F3757" s="8"/>
      <c r="G3757" s="4"/>
      <c r="H3757" s="8"/>
      <c r="I3757" s="4"/>
    </row>
    <row r="3758" spans="1:9" x14ac:dyDescent="0.2">
      <c r="A3758" s="2">
        <v>1</v>
      </c>
      <c r="B3758" s="1" t="s">
        <v>304</v>
      </c>
      <c r="C3758" s="4">
        <v>18</v>
      </c>
      <c r="D3758" s="8">
        <v>7.83</v>
      </c>
      <c r="E3758" s="4">
        <v>17</v>
      </c>
      <c r="F3758" s="8">
        <v>11.81</v>
      </c>
      <c r="G3758" s="4">
        <v>1</v>
      </c>
      <c r="H3758" s="8">
        <v>1.28</v>
      </c>
      <c r="I3758" s="4">
        <v>0</v>
      </c>
    </row>
    <row r="3759" spans="1:9" x14ac:dyDescent="0.2">
      <c r="A3759" s="2">
        <v>2</v>
      </c>
      <c r="B3759" s="1" t="s">
        <v>297</v>
      </c>
      <c r="C3759" s="4">
        <v>16</v>
      </c>
      <c r="D3759" s="8">
        <v>6.96</v>
      </c>
      <c r="E3759" s="4">
        <v>12</v>
      </c>
      <c r="F3759" s="8">
        <v>8.33</v>
      </c>
      <c r="G3759" s="4">
        <v>4</v>
      </c>
      <c r="H3759" s="8">
        <v>5.13</v>
      </c>
      <c r="I3759" s="4">
        <v>0</v>
      </c>
    </row>
    <row r="3760" spans="1:9" x14ac:dyDescent="0.2">
      <c r="A3760" s="2">
        <v>3</v>
      </c>
      <c r="B3760" s="1" t="s">
        <v>301</v>
      </c>
      <c r="C3760" s="4">
        <v>13</v>
      </c>
      <c r="D3760" s="8">
        <v>5.65</v>
      </c>
      <c r="E3760" s="4">
        <v>13</v>
      </c>
      <c r="F3760" s="8">
        <v>9.0299999999999994</v>
      </c>
      <c r="G3760" s="4">
        <v>0</v>
      </c>
      <c r="H3760" s="8">
        <v>0</v>
      </c>
      <c r="I3760" s="4">
        <v>0</v>
      </c>
    </row>
    <row r="3761" spans="1:9" x14ac:dyDescent="0.2">
      <c r="A3761" s="2">
        <v>4</v>
      </c>
      <c r="B3761" s="1" t="s">
        <v>303</v>
      </c>
      <c r="C3761" s="4">
        <v>11</v>
      </c>
      <c r="D3761" s="8">
        <v>4.78</v>
      </c>
      <c r="E3761" s="4">
        <v>11</v>
      </c>
      <c r="F3761" s="8">
        <v>7.64</v>
      </c>
      <c r="G3761" s="4">
        <v>0</v>
      </c>
      <c r="H3761" s="8">
        <v>0</v>
      </c>
      <c r="I3761" s="4">
        <v>0</v>
      </c>
    </row>
    <row r="3762" spans="1:9" x14ac:dyDescent="0.2">
      <c r="A3762" s="2">
        <v>5</v>
      </c>
      <c r="B3762" s="1" t="s">
        <v>300</v>
      </c>
      <c r="C3762" s="4">
        <v>10</v>
      </c>
      <c r="D3762" s="8">
        <v>4.3499999999999996</v>
      </c>
      <c r="E3762" s="4">
        <v>9</v>
      </c>
      <c r="F3762" s="8">
        <v>6.25</v>
      </c>
      <c r="G3762" s="4">
        <v>1</v>
      </c>
      <c r="H3762" s="8">
        <v>1.28</v>
      </c>
      <c r="I3762" s="4">
        <v>0</v>
      </c>
    </row>
    <row r="3763" spans="1:9" x14ac:dyDescent="0.2">
      <c r="A3763" s="2">
        <v>6</v>
      </c>
      <c r="B3763" s="1" t="s">
        <v>306</v>
      </c>
      <c r="C3763" s="4">
        <v>7</v>
      </c>
      <c r="D3763" s="8">
        <v>3.04</v>
      </c>
      <c r="E3763" s="4">
        <v>7</v>
      </c>
      <c r="F3763" s="8">
        <v>4.8600000000000003</v>
      </c>
      <c r="G3763" s="4">
        <v>0</v>
      </c>
      <c r="H3763" s="8">
        <v>0</v>
      </c>
      <c r="I3763" s="4">
        <v>0</v>
      </c>
    </row>
    <row r="3764" spans="1:9" x14ac:dyDescent="0.2">
      <c r="A3764" s="2">
        <v>7</v>
      </c>
      <c r="B3764" s="1" t="s">
        <v>342</v>
      </c>
      <c r="C3764" s="4">
        <v>6</v>
      </c>
      <c r="D3764" s="8">
        <v>2.61</v>
      </c>
      <c r="E3764" s="4">
        <v>1</v>
      </c>
      <c r="F3764" s="8">
        <v>0.69</v>
      </c>
      <c r="G3764" s="4">
        <v>5</v>
      </c>
      <c r="H3764" s="8">
        <v>6.41</v>
      </c>
      <c r="I3764" s="4">
        <v>0</v>
      </c>
    </row>
    <row r="3765" spans="1:9" x14ac:dyDescent="0.2">
      <c r="A3765" s="2">
        <v>7</v>
      </c>
      <c r="B3765" s="1" t="s">
        <v>299</v>
      </c>
      <c r="C3765" s="4">
        <v>6</v>
      </c>
      <c r="D3765" s="8">
        <v>2.61</v>
      </c>
      <c r="E3765" s="4">
        <v>5</v>
      </c>
      <c r="F3765" s="8">
        <v>3.47</v>
      </c>
      <c r="G3765" s="4">
        <v>1</v>
      </c>
      <c r="H3765" s="8">
        <v>1.28</v>
      </c>
      <c r="I3765" s="4">
        <v>0</v>
      </c>
    </row>
    <row r="3766" spans="1:9" x14ac:dyDescent="0.2">
      <c r="A3766" s="2">
        <v>7</v>
      </c>
      <c r="B3766" s="1" t="s">
        <v>341</v>
      </c>
      <c r="C3766" s="4">
        <v>6</v>
      </c>
      <c r="D3766" s="8">
        <v>2.61</v>
      </c>
      <c r="E3766" s="4">
        <v>0</v>
      </c>
      <c r="F3766" s="8">
        <v>0</v>
      </c>
      <c r="G3766" s="4">
        <v>0</v>
      </c>
      <c r="H3766" s="8">
        <v>0</v>
      </c>
      <c r="I3766" s="4">
        <v>0</v>
      </c>
    </row>
    <row r="3767" spans="1:9" x14ac:dyDescent="0.2">
      <c r="A3767" s="2">
        <v>10</v>
      </c>
      <c r="B3767" s="1" t="s">
        <v>289</v>
      </c>
      <c r="C3767" s="4">
        <v>5</v>
      </c>
      <c r="D3767" s="8">
        <v>2.17</v>
      </c>
      <c r="E3767" s="4">
        <v>1</v>
      </c>
      <c r="F3767" s="8">
        <v>0.69</v>
      </c>
      <c r="G3767" s="4">
        <v>4</v>
      </c>
      <c r="H3767" s="8">
        <v>5.13</v>
      </c>
      <c r="I3767" s="4">
        <v>0</v>
      </c>
    </row>
    <row r="3768" spans="1:9" x14ac:dyDescent="0.2">
      <c r="A3768" s="2">
        <v>10</v>
      </c>
      <c r="B3768" s="1" t="s">
        <v>333</v>
      </c>
      <c r="C3768" s="4">
        <v>5</v>
      </c>
      <c r="D3768" s="8">
        <v>2.17</v>
      </c>
      <c r="E3768" s="4">
        <v>4</v>
      </c>
      <c r="F3768" s="8">
        <v>2.78</v>
      </c>
      <c r="G3768" s="4">
        <v>1</v>
      </c>
      <c r="H3768" s="8">
        <v>1.28</v>
      </c>
      <c r="I3768" s="4">
        <v>0</v>
      </c>
    </row>
    <row r="3769" spans="1:9" x14ac:dyDescent="0.2">
      <c r="A3769" s="2">
        <v>10</v>
      </c>
      <c r="B3769" s="1" t="s">
        <v>371</v>
      </c>
      <c r="C3769" s="4">
        <v>5</v>
      </c>
      <c r="D3769" s="8">
        <v>2.17</v>
      </c>
      <c r="E3769" s="4">
        <v>4</v>
      </c>
      <c r="F3769" s="8">
        <v>2.78</v>
      </c>
      <c r="G3769" s="4">
        <v>1</v>
      </c>
      <c r="H3769" s="8">
        <v>1.28</v>
      </c>
      <c r="I3769" s="4">
        <v>0</v>
      </c>
    </row>
    <row r="3770" spans="1:9" x14ac:dyDescent="0.2">
      <c r="A3770" s="2">
        <v>13</v>
      </c>
      <c r="B3770" s="1" t="s">
        <v>393</v>
      </c>
      <c r="C3770" s="4">
        <v>4</v>
      </c>
      <c r="D3770" s="8">
        <v>1.74</v>
      </c>
      <c r="E3770" s="4">
        <v>4</v>
      </c>
      <c r="F3770" s="8">
        <v>2.78</v>
      </c>
      <c r="G3770" s="4">
        <v>0</v>
      </c>
      <c r="H3770" s="8">
        <v>0</v>
      </c>
      <c r="I3770" s="4">
        <v>0</v>
      </c>
    </row>
    <row r="3771" spans="1:9" x14ac:dyDescent="0.2">
      <c r="A3771" s="2">
        <v>13</v>
      </c>
      <c r="B3771" s="1" t="s">
        <v>343</v>
      </c>
      <c r="C3771" s="4">
        <v>4</v>
      </c>
      <c r="D3771" s="8">
        <v>1.74</v>
      </c>
      <c r="E3771" s="4">
        <v>2</v>
      </c>
      <c r="F3771" s="8">
        <v>1.39</v>
      </c>
      <c r="G3771" s="4">
        <v>2</v>
      </c>
      <c r="H3771" s="8">
        <v>2.56</v>
      </c>
      <c r="I3771" s="4">
        <v>0</v>
      </c>
    </row>
    <row r="3772" spans="1:9" x14ac:dyDescent="0.2">
      <c r="A3772" s="2">
        <v>13</v>
      </c>
      <c r="B3772" s="1" t="s">
        <v>309</v>
      </c>
      <c r="C3772" s="4">
        <v>4</v>
      </c>
      <c r="D3772" s="8">
        <v>1.74</v>
      </c>
      <c r="E3772" s="4">
        <v>1</v>
      </c>
      <c r="F3772" s="8">
        <v>0.69</v>
      </c>
      <c r="G3772" s="4">
        <v>3</v>
      </c>
      <c r="H3772" s="8">
        <v>3.85</v>
      </c>
      <c r="I3772" s="4">
        <v>0</v>
      </c>
    </row>
    <row r="3773" spans="1:9" x14ac:dyDescent="0.2">
      <c r="A3773" s="2">
        <v>13</v>
      </c>
      <c r="B3773" s="1" t="s">
        <v>330</v>
      </c>
      <c r="C3773" s="4">
        <v>4</v>
      </c>
      <c r="D3773" s="8">
        <v>1.74</v>
      </c>
      <c r="E3773" s="4">
        <v>0</v>
      </c>
      <c r="F3773" s="8">
        <v>0</v>
      </c>
      <c r="G3773" s="4">
        <v>4</v>
      </c>
      <c r="H3773" s="8">
        <v>5.13</v>
      </c>
      <c r="I3773" s="4">
        <v>0</v>
      </c>
    </row>
    <row r="3774" spans="1:9" x14ac:dyDescent="0.2">
      <c r="A3774" s="2">
        <v>13</v>
      </c>
      <c r="B3774" s="1" t="s">
        <v>295</v>
      </c>
      <c r="C3774" s="4">
        <v>4</v>
      </c>
      <c r="D3774" s="8">
        <v>1.74</v>
      </c>
      <c r="E3774" s="4">
        <v>2</v>
      </c>
      <c r="F3774" s="8">
        <v>1.39</v>
      </c>
      <c r="G3774" s="4">
        <v>2</v>
      </c>
      <c r="H3774" s="8">
        <v>2.56</v>
      </c>
      <c r="I3774" s="4">
        <v>0</v>
      </c>
    </row>
    <row r="3775" spans="1:9" x14ac:dyDescent="0.2">
      <c r="A3775" s="2">
        <v>13</v>
      </c>
      <c r="B3775" s="1" t="s">
        <v>415</v>
      </c>
      <c r="C3775" s="4">
        <v>4</v>
      </c>
      <c r="D3775" s="8">
        <v>1.74</v>
      </c>
      <c r="E3775" s="4">
        <v>0</v>
      </c>
      <c r="F3775" s="8">
        <v>0</v>
      </c>
      <c r="G3775" s="4">
        <v>4</v>
      </c>
      <c r="H3775" s="8">
        <v>5.13</v>
      </c>
      <c r="I3775" s="4">
        <v>0</v>
      </c>
    </row>
    <row r="3776" spans="1:9" x14ac:dyDescent="0.2">
      <c r="A3776" s="2">
        <v>13</v>
      </c>
      <c r="B3776" s="1" t="s">
        <v>305</v>
      </c>
      <c r="C3776" s="4">
        <v>4</v>
      </c>
      <c r="D3776" s="8">
        <v>1.74</v>
      </c>
      <c r="E3776" s="4">
        <v>4</v>
      </c>
      <c r="F3776" s="8">
        <v>2.78</v>
      </c>
      <c r="G3776" s="4">
        <v>0</v>
      </c>
      <c r="H3776" s="8">
        <v>0</v>
      </c>
      <c r="I3776" s="4">
        <v>0</v>
      </c>
    </row>
    <row r="3777" spans="1:9" x14ac:dyDescent="0.2">
      <c r="A3777" s="2">
        <v>13</v>
      </c>
      <c r="B3777" s="1" t="s">
        <v>307</v>
      </c>
      <c r="C3777" s="4">
        <v>4</v>
      </c>
      <c r="D3777" s="8">
        <v>1.74</v>
      </c>
      <c r="E3777" s="4">
        <v>4</v>
      </c>
      <c r="F3777" s="8">
        <v>2.78</v>
      </c>
      <c r="G3777" s="4">
        <v>0</v>
      </c>
      <c r="H3777" s="8">
        <v>0</v>
      </c>
      <c r="I3777" s="4">
        <v>0</v>
      </c>
    </row>
    <row r="3778" spans="1:9" x14ac:dyDescent="0.2">
      <c r="A3778" s="1"/>
      <c r="C3778" s="4"/>
      <c r="D3778" s="8"/>
      <c r="E3778" s="4"/>
      <c r="F3778" s="8"/>
      <c r="G3778" s="4"/>
      <c r="H3778" s="8"/>
      <c r="I3778" s="4"/>
    </row>
    <row r="3779" spans="1:9" x14ac:dyDescent="0.2">
      <c r="A3779" s="1" t="s">
        <v>127</v>
      </c>
      <c r="C3779" s="4"/>
      <c r="D3779" s="8"/>
      <c r="E3779" s="4"/>
      <c r="F3779" s="8"/>
      <c r="G3779" s="4"/>
      <c r="H3779" s="8"/>
      <c r="I3779" s="4"/>
    </row>
    <row r="3780" spans="1:9" x14ac:dyDescent="0.2">
      <c r="A3780" s="2">
        <v>1</v>
      </c>
      <c r="B3780" s="1" t="s">
        <v>339</v>
      </c>
      <c r="C3780" s="4">
        <v>7</v>
      </c>
      <c r="D3780" s="8">
        <v>4.8600000000000003</v>
      </c>
      <c r="E3780" s="4">
        <v>2</v>
      </c>
      <c r="F3780" s="8">
        <v>3.28</v>
      </c>
      <c r="G3780" s="4">
        <v>5</v>
      </c>
      <c r="H3780" s="8">
        <v>6.49</v>
      </c>
      <c r="I3780" s="4">
        <v>0</v>
      </c>
    </row>
    <row r="3781" spans="1:9" x14ac:dyDescent="0.2">
      <c r="A3781" s="2">
        <v>1</v>
      </c>
      <c r="B3781" s="1" t="s">
        <v>304</v>
      </c>
      <c r="C3781" s="4">
        <v>7</v>
      </c>
      <c r="D3781" s="8">
        <v>4.8600000000000003</v>
      </c>
      <c r="E3781" s="4">
        <v>7</v>
      </c>
      <c r="F3781" s="8">
        <v>11.48</v>
      </c>
      <c r="G3781" s="4">
        <v>0</v>
      </c>
      <c r="H3781" s="8">
        <v>0</v>
      </c>
      <c r="I3781" s="4">
        <v>0</v>
      </c>
    </row>
    <row r="3782" spans="1:9" x14ac:dyDescent="0.2">
      <c r="A3782" s="2">
        <v>3</v>
      </c>
      <c r="B3782" s="1" t="s">
        <v>288</v>
      </c>
      <c r="C3782" s="4">
        <v>6</v>
      </c>
      <c r="D3782" s="8">
        <v>4.17</v>
      </c>
      <c r="E3782" s="4">
        <v>0</v>
      </c>
      <c r="F3782" s="8">
        <v>0</v>
      </c>
      <c r="G3782" s="4">
        <v>6</v>
      </c>
      <c r="H3782" s="8">
        <v>7.79</v>
      </c>
      <c r="I3782" s="4">
        <v>0</v>
      </c>
    </row>
    <row r="3783" spans="1:9" x14ac:dyDescent="0.2">
      <c r="A3783" s="2">
        <v>3</v>
      </c>
      <c r="B3783" s="1" t="s">
        <v>297</v>
      </c>
      <c r="C3783" s="4">
        <v>6</v>
      </c>
      <c r="D3783" s="8">
        <v>4.17</v>
      </c>
      <c r="E3783" s="4">
        <v>5</v>
      </c>
      <c r="F3783" s="8">
        <v>8.1999999999999993</v>
      </c>
      <c r="G3783" s="4">
        <v>1</v>
      </c>
      <c r="H3783" s="8">
        <v>1.3</v>
      </c>
      <c r="I3783" s="4">
        <v>0</v>
      </c>
    </row>
    <row r="3784" spans="1:9" x14ac:dyDescent="0.2">
      <c r="A3784" s="2">
        <v>5</v>
      </c>
      <c r="B3784" s="1" t="s">
        <v>300</v>
      </c>
      <c r="C3784" s="4">
        <v>5</v>
      </c>
      <c r="D3784" s="8">
        <v>3.47</v>
      </c>
      <c r="E3784" s="4">
        <v>4</v>
      </c>
      <c r="F3784" s="8">
        <v>6.56</v>
      </c>
      <c r="G3784" s="4">
        <v>1</v>
      </c>
      <c r="H3784" s="8">
        <v>1.3</v>
      </c>
      <c r="I3784" s="4">
        <v>0</v>
      </c>
    </row>
    <row r="3785" spans="1:9" x14ac:dyDescent="0.2">
      <c r="A3785" s="2">
        <v>6</v>
      </c>
      <c r="B3785" s="1" t="s">
        <v>321</v>
      </c>
      <c r="C3785" s="4">
        <v>4</v>
      </c>
      <c r="D3785" s="8">
        <v>2.78</v>
      </c>
      <c r="E3785" s="4">
        <v>0</v>
      </c>
      <c r="F3785" s="8">
        <v>0</v>
      </c>
      <c r="G3785" s="4">
        <v>4</v>
      </c>
      <c r="H3785" s="8">
        <v>5.19</v>
      </c>
      <c r="I3785" s="4">
        <v>0</v>
      </c>
    </row>
    <row r="3786" spans="1:9" x14ac:dyDescent="0.2">
      <c r="A3786" s="2">
        <v>6</v>
      </c>
      <c r="B3786" s="1" t="s">
        <v>482</v>
      </c>
      <c r="C3786" s="4">
        <v>4</v>
      </c>
      <c r="D3786" s="8">
        <v>2.78</v>
      </c>
      <c r="E3786" s="4">
        <v>1</v>
      </c>
      <c r="F3786" s="8">
        <v>1.64</v>
      </c>
      <c r="G3786" s="4">
        <v>3</v>
      </c>
      <c r="H3786" s="8">
        <v>3.9</v>
      </c>
      <c r="I3786" s="4">
        <v>0</v>
      </c>
    </row>
    <row r="3787" spans="1:9" x14ac:dyDescent="0.2">
      <c r="A3787" s="2">
        <v>6</v>
      </c>
      <c r="B3787" s="1" t="s">
        <v>301</v>
      </c>
      <c r="C3787" s="4">
        <v>4</v>
      </c>
      <c r="D3787" s="8">
        <v>2.78</v>
      </c>
      <c r="E3787" s="4">
        <v>4</v>
      </c>
      <c r="F3787" s="8">
        <v>6.56</v>
      </c>
      <c r="G3787" s="4">
        <v>0</v>
      </c>
      <c r="H3787" s="8">
        <v>0</v>
      </c>
      <c r="I3787" s="4">
        <v>0</v>
      </c>
    </row>
    <row r="3788" spans="1:9" x14ac:dyDescent="0.2">
      <c r="A3788" s="2">
        <v>6</v>
      </c>
      <c r="B3788" s="1" t="s">
        <v>303</v>
      </c>
      <c r="C3788" s="4">
        <v>4</v>
      </c>
      <c r="D3788" s="8">
        <v>2.78</v>
      </c>
      <c r="E3788" s="4">
        <v>4</v>
      </c>
      <c r="F3788" s="8">
        <v>6.56</v>
      </c>
      <c r="G3788" s="4">
        <v>0</v>
      </c>
      <c r="H3788" s="8">
        <v>0</v>
      </c>
      <c r="I3788" s="4">
        <v>0</v>
      </c>
    </row>
    <row r="3789" spans="1:9" x14ac:dyDescent="0.2">
      <c r="A3789" s="2">
        <v>6</v>
      </c>
      <c r="B3789" s="1" t="s">
        <v>306</v>
      </c>
      <c r="C3789" s="4">
        <v>4</v>
      </c>
      <c r="D3789" s="8">
        <v>2.78</v>
      </c>
      <c r="E3789" s="4">
        <v>4</v>
      </c>
      <c r="F3789" s="8">
        <v>6.56</v>
      </c>
      <c r="G3789" s="4">
        <v>0</v>
      </c>
      <c r="H3789" s="8">
        <v>0</v>
      </c>
      <c r="I3789" s="4">
        <v>0</v>
      </c>
    </row>
    <row r="3790" spans="1:9" x14ac:dyDescent="0.2">
      <c r="A3790" s="2">
        <v>11</v>
      </c>
      <c r="B3790" s="1" t="s">
        <v>290</v>
      </c>
      <c r="C3790" s="4">
        <v>3</v>
      </c>
      <c r="D3790" s="8">
        <v>2.08</v>
      </c>
      <c r="E3790" s="4">
        <v>0</v>
      </c>
      <c r="F3790" s="8">
        <v>0</v>
      </c>
      <c r="G3790" s="4">
        <v>3</v>
      </c>
      <c r="H3790" s="8">
        <v>3.9</v>
      </c>
      <c r="I3790" s="4">
        <v>0</v>
      </c>
    </row>
    <row r="3791" spans="1:9" x14ac:dyDescent="0.2">
      <c r="A3791" s="2">
        <v>11</v>
      </c>
      <c r="B3791" s="1" t="s">
        <v>291</v>
      </c>
      <c r="C3791" s="4">
        <v>3</v>
      </c>
      <c r="D3791" s="8">
        <v>2.08</v>
      </c>
      <c r="E3791" s="4">
        <v>0</v>
      </c>
      <c r="F3791" s="8">
        <v>0</v>
      </c>
      <c r="G3791" s="4">
        <v>3</v>
      </c>
      <c r="H3791" s="8">
        <v>3.9</v>
      </c>
      <c r="I3791" s="4">
        <v>0</v>
      </c>
    </row>
    <row r="3792" spans="1:9" x14ac:dyDescent="0.2">
      <c r="A3792" s="2">
        <v>11</v>
      </c>
      <c r="B3792" s="1" t="s">
        <v>413</v>
      </c>
      <c r="C3792" s="4">
        <v>3</v>
      </c>
      <c r="D3792" s="8">
        <v>2.08</v>
      </c>
      <c r="E3792" s="4">
        <v>0</v>
      </c>
      <c r="F3792" s="8">
        <v>0</v>
      </c>
      <c r="G3792" s="4">
        <v>3</v>
      </c>
      <c r="H3792" s="8">
        <v>3.9</v>
      </c>
      <c r="I3792" s="4">
        <v>0</v>
      </c>
    </row>
    <row r="3793" spans="1:9" x14ac:dyDescent="0.2">
      <c r="A3793" s="2">
        <v>11</v>
      </c>
      <c r="B3793" s="1" t="s">
        <v>332</v>
      </c>
      <c r="C3793" s="4">
        <v>3</v>
      </c>
      <c r="D3793" s="8">
        <v>2.08</v>
      </c>
      <c r="E3793" s="4">
        <v>0</v>
      </c>
      <c r="F3793" s="8">
        <v>0</v>
      </c>
      <c r="G3793" s="4">
        <v>3</v>
      </c>
      <c r="H3793" s="8">
        <v>3.9</v>
      </c>
      <c r="I3793" s="4">
        <v>0</v>
      </c>
    </row>
    <row r="3794" spans="1:9" x14ac:dyDescent="0.2">
      <c r="A3794" s="2">
        <v>11</v>
      </c>
      <c r="B3794" s="1" t="s">
        <v>344</v>
      </c>
      <c r="C3794" s="4">
        <v>3</v>
      </c>
      <c r="D3794" s="8">
        <v>2.08</v>
      </c>
      <c r="E3794" s="4">
        <v>0</v>
      </c>
      <c r="F3794" s="8">
        <v>0</v>
      </c>
      <c r="G3794" s="4">
        <v>3</v>
      </c>
      <c r="H3794" s="8">
        <v>3.9</v>
      </c>
      <c r="I3794" s="4">
        <v>0</v>
      </c>
    </row>
    <row r="3795" spans="1:9" x14ac:dyDescent="0.2">
      <c r="A3795" s="2">
        <v>11</v>
      </c>
      <c r="B3795" s="1" t="s">
        <v>307</v>
      </c>
      <c r="C3795" s="4">
        <v>3</v>
      </c>
      <c r="D3795" s="8">
        <v>2.08</v>
      </c>
      <c r="E3795" s="4">
        <v>1</v>
      </c>
      <c r="F3795" s="8">
        <v>1.64</v>
      </c>
      <c r="G3795" s="4">
        <v>2</v>
      </c>
      <c r="H3795" s="8">
        <v>2.6</v>
      </c>
      <c r="I3795" s="4">
        <v>0</v>
      </c>
    </row>
    <row r="3796" spans="1:9" x14ac:dyDescent="0.2">
      <c r="A3796" s="2">
        <v>17</v>
      </c>
      <c r="B3796" s="1" t="s">
        <v>289</v>
      </c>
      <c r="C3796" s="4">
        <v>2</v>
      </c>
      <c r="D3796" s="8">
        <v>1.39</v>
      </c>
      <c r="E3796" s="4">
        <v>0</v>
      </c>
      <c r="F3796" s="8">
        <v>0</v>
      </c>
      <c r="G3796" s="4">
        <v>2</v>
      </c>
      <c r="H3796" s="8">
        <v>2.6</v>
      </c>
      <c r="I3796" s="4">
        <v>0</v>
      </c>
    </row>
    <row r="3797" spans="1:9" x14ac:dyDescent="0.2">
      <c r="A3797" s="2">
        <v>17</v>
      </c>
      <c r="B3797" s="1" t="s">
        <v>328</v>
      </c>
      <c r="C3797" s="4">
        <v>2</v>
      </c>
      <c r="D3797" s="8">
        <v>1.39</v>
      </c>
      <c r="E3797" s="4">
        <v>0</v>
      </c>
      <c r="F3797" s="8">
        <v>0</v>
      </c>
      <c r="G3797" s="4">
        <v>2</v>
      </c>
      <c r="H3797" s="8">
        <v>2.6</v>
      </c>
      <c r="I3797" s="4">
        <v>0</v>
      </c>
    </row>
    <row r="3798" spans="1:9" x14ac:dyDescent="0.2">
      <c r="A3798" s="2">
        <v>17</v>
      </c>
      <c r="B3798" s="1" t="s">
        <v>343</v>
      </c>
      <c r="C3798" s="4">
        <v>2</v>
      </c>
      <c r="D3798" s="8">
        <v>1.39</v>
      </c>
      <c r="E3798" s="4">
        <v>1</v>
      </c>
      <c r="F3798" s="8">
        <v>1.64</v>
      </c>
      <c r="G3798" s="4">
        <v>1</v>
      </c>
      <c r="H3798" s="8">
        <v>1.3</v>
      </c>
      <c r="I3798" s="4">
        <v>0</v>
      </c>
    </row>
    <row r="3799" spans="1:9" x14ac:dyDescent="0.2">
      <c r="A3799" s="2">
        <v>17</v>
      </c>
      <c r="B3799" s="1" t="s">
        <v>333</v>
      </c>
      <c r="C3799" s="4">
        <v>2</v>
      </c>
      <c r="D3799" s="8">
        <v>1.39</v>
      </c>
      <c r="E3799" s="4">
        <v>1</v>
      </c>
      <c r="F3799" s="8">
        <v>1.64</v>
      </c>
      <c r="G3799" s="4">
        <v>1</v>
      </c>
      <c r="H3799" s="8">
        <v>1.3</v>
      </c>
      <c r="I3799" s="4">
        <v>0</v>
      </c>
    </row>
    <row r="3800" spans="1:9" x14ac:dyDescent="0.2">
      <c r="A3800" s="2">
        <v>17</v>
      </c>
      <c r="B3800" s="1" t="s">
        <v>374</v>
      </c>
      <c r="C3800" s="4">
        <v>2</v>
      </c>
      <c r="D3800" s="8">
        <v>1.39</v>
      </c>
      <c r="E3800" s="4">
        <v>1</v>
      </c>
      <c r="F3800" s="8">
        <v>1.64</v>
      </c>
      <c r="G3800" s="4">
        <v>1</v>
      </c>
      <c r="H3800" s="8">
        <v>1.3</v>
      </c>
      <c r="I3800" s="4">
        <v>0</v>
      </c>
    </row>
    <row r="3801" spans="1:9" x14ac:dyDescent="0.2">
      <c r="A3801" s="2">
        <v>17</v>
      </c>
      <c r="B3801" s="1" t="s">
        <v>364</v>
      </c>
      <c r="C3801" s="4">
        <v>2</v>
      </c>
      <c r="D3801" s="8">
        <v>1.39</v>
      </c>
      <c r="E3801" s="4">
        <v>0</v>
      </c>
      <c r="F3801" s="8">
        <v>0</v>
      </c>
      <c r="G3801" s="4">
        <v>1</v>
      </c>
      <c r="H3801" s="8">
        <v>1.3</v>
      </c>
      <c r="I3801" s="4">
        <v>1</v>
      </c>
    </row>
    <row r="3802" spans="1:9" x14ac:dyDescent="0.2">
      <c r="A3802" s="2">
        <v>17</v>
      </c>
      <c r="B3802" s="1" t="s">
        <v>346</v>
      </c>
      <c r="C3802" s="4">
        <v>2</v>
      </c>
      <c r="D3802" s="8">
        <v>1.39</v>
      </c>
      <c r="E3802" s="4">
        <v>0</v>
      </c>
      <c r="F3802" s="8">
        <v>0</v>
      </c>
      <c r="G3802" s="4">
        <v>2</v>
      </c>
      <c r="H3802" s="8">
        <v>2.6</v>
      </c>
      <c r="I3802" s="4">
        <v>0</v>
      </c>
    </row>
    <row r="3803" spans="1:9" x14ac:dyDescent="0.2">
      <c r="A3803" s="2">
        <v>17</v>
      </c>
      <c r="B3803" s="1" t="s">
        <v>421</v>
      </c>
      <c r="C3803" s="4">
        <v>2</v>
      </c>
      <c r="D3803" s="8">
        <v>1.39</v>
      </c>
      <c r="E3803" s="4">
        <v>0</v>
      </c>
      <c r="F3803" s="8">
        <v>0</v>
      </c>
      <c r="G3803" s="4">
        <v>2</v>
      </c>
      <c r="H3803" s="8">
        <v>2.6</v>
      </c>
      <c r="I3803" s="4">
        <v>0</v>
      </c>
    </row>
    <row r="3804" spans="1:9" x14ac:dyDescent="0.2">
      <c r="A3804" s="2">
        <v>17</v>
      </c>
      <c r="B3804" s="1" t="s">
        <v>309</v>
      </c>
      <c r="C3804" s="4">
        <v>2</v>
      </c>
      <c r="D3804" s="8">
        <v>1.39</v>
      </c>
      <c r="E3804" s="4">
        <v>0</v>
      </c>
      <c r="F3804" s="8">
        <v>0</v>
      </c>
      <c r="G3804" s="4">
        <v>2</v>
      </c>
      <c r="H3804" s="8">
        <v>2.6</v>
      </c>
      <c r="I3804" s="4">
        <v>0</v>
      </c>
    </row>
    <row r="3805" spans="1:9" x14ac:dyDescent="0.2">
      <c r="A3805" s="2">
        <v>17</v>
      </c>
      <c r="B3805" s="1" t="s">
        <v>335</v>
      </c>
      <c r="C3805" s="4">
        <v>2</v>
      </c>
      <c r="D3805" s="8">
        <v>1.39</v>
      </c>
      <c r="E3805" s="4">
        <v>0</v>
      </c>
      <c r="F3805" s="8">
        <v>0</v>
      </c>
      <c r="G3805" s="4">
        <v>2</v>
      </c>
      <c r="H3805" s="8">
        <v>2.6</v>
      </c>
      <c r="I3805" s="4">
        <v>0</v>
      </c>
    </row>
    <row r="3806" spans="1:9" x14ac:dyDescent="0.2">
      <c r="A3806" s="2">
        <v>17</v>
      </c>
      <c r="B3806" s="1" t="s">
        <v>402</v>
      </c>
      <c r="C3806" s="4">
        <v>2</v>
      </c>
      <c r="D3806" s="8">
        <v>1.39</v>
      </c>
      <c r="E3806" s="4">
        <v>1</v>
      </c>
      <c r="F3806" s="8">
        <v>1.64</v>
      </c>
      <c r="G3806" s="4">
        <v>1</v>
      </c>
      <c r="H3806" s="8">
        <v>1.3</v>
      </c>
      <c r="I3806" s="4">
        <v>0</v>
      </c>
    </row>
    <row r="3807" spans="1:9" x14ac:dyDescent="0.2">
      <c r="A3807" s="2">
        <v>17</v>
      </c>
      <c r="B3807" s="1" t="s">
        <v>294</v>
      </c>
      <c r="C3807" s="4">
        <v>2</v>
      </c>
      <c r="D3807" s="8">
        <v>1.39</v>
      </c>
      <c r="E3807" s="4">
        <v>0</v>
      </c>
      <c r="F3807" s="8">
        <v>0</v>
      </c>
      <c r="G3807" s="4">
        <v>2</v>
      </c>
      <c r="H3807" s="8">
        <v>2.6</v>
      </c>
      <c r="I3807" s="4">
        <v>0</v>
      </c>
    </row>
    <row r="3808" spans="1:9" x14ac:dyDescent="0.2">
      <c r="A3808" s="2">
        <v>17</v>
      </c>
      <c r="B3808" s="1" t="s">
        <v>422</v>
      </c>
      <c r="C3808" s="4">
        <v>2</v>
      </c>
      <c r="D3808" s="8">
        <v>1.39</v>
      </c>
      <c r="E3808" s="4">
        <v>1</v>
      </c>
      <c r="F3808" s="8">
        <v>1.64</v>
      </c>
      <c r="G3808" s="4">
        <v>0</v>
      </c>
      <c r="H3808" s="8">
        <v>0</v>
      </c>
      <c r="I3808" s="4">
        <v>1</v>
      </c>
    </row>
    <row r="3809" spans="1:9" x14ac:dyDescent="0.2">
      <c r="A3809" s="2">
        <v>17</v>
      </c>
      <c r="B3809" s="1" t="s">
        <v>334</v>
      </c>
      <c r="C3809" s="4">
        <v>2</v>
      </c>
      <c r="D3809" s="8">
        <v>1.39</v>
      </c>
      <c r="E3809" s="4">
        <v>1</v>
      </c>
      <c r="F3809" s="8">
        <v>1.64</v>
      </c>
      <c r="G3809" s="4">
        <v>1</v>
      </c>
      <c r="H3809" s="8">
        <v>1.3</v>
      </c>
      <c r="I3809" s="4">
        <v>0</v>
      </c>
    </row>
    <row r="3810" spans="1:9" x14ac:dyDescent="0.2">
      <c r="A3810" s="2">
        <v>17</v>
      </c>
      <c r="B3810" s="1" t="s">
        <v>302</v>
      </c>
      <c r="C3810" s="4">
        <v>2</v>
      </c>
      <c r="D3810" s="8">
        <v>1.39</v>
      </c>
      <c r="E3810" s="4">
        <v>2</v>
      </c>
      <c r="F3810" s="8">
        <v>3.28</v>
      </c>
      <c r="G3810" s="4">
        <v>0</v>
      </c>
      <c r="H3810" s="8">
        <v>0</v>
      </c>
      <c r="I3810" s="4">
        <v>0</v>
      </c>
    </row>
    <row r="3811" spans="1:9" x14ac:dyDescent="0.2">
      <c r="A3811" s="2">
        <v>17</v>
      </c>
      <c r="B3811" s="1" t="s">
        <v>305</v>
      </c>
      <c r="C3811" s="4">
        <v>2</v>
      </c>
      <c r="D3811" s="8">
        <v>1.39</v>
      </c>
      <c r="E3811" s="4">
        <v>2</v>
      </c>
      <c r="F3811" s="8">
        <v>3.28</v>
      </c>
      <c r="G3811" s="4">
        <v>0</v>
      </c>
      <c r="H3811" s="8">
        <v>0</v>
      </c>
      <c r="I3811" s="4">
        <v>0</v>
      </c>
    </row>
    <row r="3812" spans="1:9" x14ac:dyDescent="0.2">
      <c r="A3812" s="2">
        <v>17</v>
      </c>
      <c r="B3812" s="1" t="s">
        <v>347</v>
      </c>
      <c r="C3812" s="4">
        <v>2</v>
      </c>
      <c r="D3812" s="8">
        <v>1.39</v>
      </c>
      <c r="E3812" s="4">
        <v>0</v>
      </c>
      <c r="F3812" s="8">
        <v>0</v>
      </c>
      <c r="G3812" s="4">
        <v>2</v>
      </c>
      <c r="H3812" s="8">
        <v>2.6</v>
      </c>
      <c r="I3812" s="4">
        <v>0</v>
      </c>
    </row>
    <row r="3813" spans="1:9" x14ac:dyDescent="0.2">
      <c r="A3813" s="2">
        <v>17</v>
      </c>
      <c r="B3813" s="1" t="s">
        <v>371</v>
      </c>
      <c r="C3813" s="4">
        <v>2</v>
      </c>
      <c r="D3813" s="8">
        <v>1.39</v>
      </c>
      <c r="E3813" s="4">
        <v>2</v>
      </c>
      <c r="F3813" s="8">
        <v>3.28</v>
      </c>
      <c r="G3813" s="4">
        <v>0</v>
      </c>
      <c r="H3813" s="8">
        <v>0</v>
      </c>
      <c r="I3813" s="4">
        <v>0</v>
      </c>
    </row>
    <row r="3814" spans="1:9" x14ac:dyDescent="0.2">
      <c r="A3814" s="1"/>
      <c r="C3814" s="4"/>
      <c r="D3814" s="8"/>
      <c r="E3814" s="4"/>
      <c r="F3814" s="8"/>
      <c r="G3814" s="4"/>
      <c r="H3814" s="8"/>
      <c r="I3814" s="4"/>
    </row>
    <row r="3815" spans="1:9" x14ac:dyDescent="0.2">
      <c r="A3815" s="1" t="s">
        <v>128</v>
      </c>
      <c r="C3815" s="4"/>
      <c r="D3815" s="8"/>
      <c r="E3815" s="4"/>
      <c r="F3815" s="8"/>
      <c r="G3815" s="4"/>
      <c r="H3815" s="8"/>
      <c r="I3815" s="4"/>
    </row>
    <row r="3816" spans="1:9" x14ac:dyDescent="0.2">
      <c r="A3816" s="2">
        <v>1</v>
      </c>
      <c r="B3816" s="1" t="s">
        <v>339</v>
      </c>
      <c r="C3816" s="4">
        <v>10</v>
      </c>
      <c r="D3816" s="8">
        <v>9.7100000000000009</v>
      </c>
      <c r="E3816" s="4">
        <v>10</v>
      </c>
      <c r="F3816" s="8">
        <v>14.08</v>
      </c>
      <c r="G3816" s="4">
        <v>0</v>
      </c>
      <c r="H3816" s="8">
        <v>0</v>
      </c>
      <c r="I3816" s="4">
        <v>0</v>
      </c>
    </row>
    <row r="3817" spans="1:9" x14ac:dyDescent="0.2">
      <c r="A3817" s="2">
        <v>2</v>
      </c>
      <c r="B3817" s="1" t="s">
        <v>342</v>
      </c>
      <c r="C3817" s="4">
        <v>7</v>
      </c>
      <c r="D3817" s="8">
        <v>6.8</v>
      </c>
      <c r="E3817" s="4">
        <v>4</v>
      </c>
      <c r="F3817" s="8">
        <v>5.63</v>
      </c>
      <c r="G3817" s="4">
        <v>3</v>
      </c>
      <c r="H3817" s="8">
        <v>11.54</v>
      </c>
      <c r="I3817" s="4">
        <v>0</v>
      </c>
    </row>
    <row r="3818" spans="1:9" x14ac:dyDescent="0.2">
      <c r="A3818" s="2">
        <v>3</v>
      </c>
      <c r="B3818" s="1" t="s">
        <v>295</v>
      </c>
      <c r="C3818" s="4">
        <v>6</v>
      </c>
      <c r="D3818" s="8">
        <v>5.83</v>
      </c>
      <c r="E3818" s="4">
        <v>4</v>
      </c>
      <c r="F3818" s="8">
        <v>5.63</v>
      </c>
      <c r="G3818" s="4">
        <v>2</v>
      </c>
      <c r="H3818" s="8">
        <v>7.69</v>
      </c>
      <c r="I3818" s="4">
        <v>0</v>
      </c>
    </row>
    <row r="3819" spans="1:9" x14ac:dyDescent="0.2">
      <c r="A3819" s="2">
        <v>4</v>
      </c>
      <c r="B3819" s="1" t="s">
        <v>301</v>
      </c>
      <c r="C3819" s="4">
        <v>5</v>
      </c>
      <c r="D3819" s="8">
        <v>4.8499999999999996</v>
      </c>
      <c r="E3819" s="4">
        <v>5</v>
      </c>
      <c r="F3819" s="8">
        <v>7.04</v>
      </c>
      <c r="G3819" s="4">
        <v>0</v>
      </c>
      <c r="H3819" s="8">
        <v>0</v>
      </c>
      <c r="I3819" s="4">
        <v>0</v>
      </c>
    </row>
    <row r="3820" spans="1:9" x14ac:dyDescent="0.2">
      <c r="A3820" s="2">
        <v>5</v>
      </c>
      <c r="B3820" s="1" t="s">
        <v>292</v>
      </c>
      <c r="C3820" s="4">
        <v>4</v>
      </c>
      <c r="D3820" s="8">
        <v>3.88</v>
      </c>
      <c r="E3820" s="4">
        <v>4</v>
      </c>
      <c r="F3820" s="8">
        <v>5.63</v>
      </c>
      <c r="G3820" s="4">
        <v>0</v>
      </c>
      <c r="H3820" s="8">
        <v>0</v>
      </c>
      <c r="I3820" s="4">
        <v>0</v>
      </c>
    </row>
    <row r="3821" spans="1:9" x14ac:dyDescent="0.2">
      <c r="A3821" s="2">
        <v>5</v>
      </c>
      <c r="B3821" s="1" t="s">
        <v>337</v>
      </c>
      <c r="C3821" s="4">
        <v>4</v>
      </c>
      <c r="D3821" s="8">
        <v>3.88</v>
      </c>
      <c r="E3821" s="4">
        <v>3</v>
      </c>
      <c r="F3821" s="8">
        <v>4.2300000000000004</v>
      </c>
      <c r="G3821" s="4">
        <v>1</v>
      </c>
      <c r="H3821" s="8">
        <v>3.85</v>
      </c>
      <c r="I3821" s="4">
        <v>0</v>
      </c>
    </row>
    <row r="3822" spans="1:9" x14ac:dyDescent="0.2">
      <c r="A3822" s="2">
        <v>5</v>
      </c>
      <c r="B3822" s="1" t="s">
        <v>334</v>
      </c>
      <c r="C3822" s="4">
        <v>4</v>
      </c>
      <c r="D3822" s="8">
        <v>3.88</v>
      </c>
      <c r="E3822" s="4">
        <v>4</v>
      </c>
      <c r="F3822" s="8">
        <v>5.63</v>
      </c>
      <c r="G3822" s="4">
        <v>0</v>
      </c>
      <c r="H3822" s="8">
        <v>0</v>
      </c>
      <c r="I3822" s="4">
        <v>0</v>
      </c>
    </row>
    <row r="3823" spans="1:9" x14ac:dyDescent="0.2">
      <c r="A3823" s="2">
        <v>5</v>
      </c>
      <c r="B3823" s="1" t="s">
        <v>300</v>
      </c>
      <c r="C3823" s="4">
        <v>4</v>
      </c>
      <c r="D3823" s="8">
        <v>3.88</v>
      </c>
      <c r="E3823" s="4">
        <v>3</v>
      </c>
      <c r="F3823" s="8">
        <v>4.2300000000000004</v>
      </c>
      <c r="G3823" s="4">
        <v>1</v>
      </c>
      <c r="H3823" s="8">
        <v>3.85</v>
      </c>
      <c r="I3823" s="4">
        <v>0</v>
      </c>
    </row>
    <row r="3824" spans="1:9" x14ac:dyDescent="0.2">
      <c r="A3824" s="2">
        <v>5</v>
      </c>
      <c r="B3824" s="1" t="s">
        <v>302</v>
      </c>
      <c r="C3824" s="4">
        <v>4</v>
      </c>
      <c r="D3824" s="8">
        <v>3.88</v>
      </c>
      <c r="E3824" s="4">
        <v>2</v>
      </c>
      <c r="F3824" s="8">
        <v>2.82</v>
      </c>
      <c r="G3824" s="4">
        <v>2</v>
      </c>
      <c r="H3824" s="8">
        <v>7.69</v>
      </c>
      <c r="I3824" s="4">
        <v>0</v>
      </c>
    </row>
    <row r="3825" spans="1:9" x14ac:dyDescent="0.2">
      <c r="A3825" s="2">
        <v>5</v>
      </c>
      <c r="B3825" s="1" t="s">
        <v>304</v>
      </c>
      <c r="C3825" s="4">
        <v>4</v>
      </c>
      <c r="D3825" s="8">
        <v>3.88</v>
      </c>
      <c r="E3825" s="4">
        <v>4</v>
      </c>
      <c r="F3825" s="8">
        <v>5.63</v>
      </c>
      <c r="G3825" s="4">
        <v>0</v>
      </c>
      <c r="H3825" s="8">
        <v>0</v>
      </c>
      <c r="I3825" s="4">
        <v>0</v>
      </c>
    </row>
    <row r="3826" spans="1:9" x14ac:dyDescent="0.2">
      <c r="A3826" s="2">
        <v>11</v>
      </c>
      <c r="B3826" s="1" t="s">
        <v>288</v>
      </c>
      <c r="C3826" s="4">
        <v>3</v>
      </c>
      <c r="D3826" s="8">
        <v>2.91</v>
      </c>
      <c r="E3826" s="4">
        <v>0</v>
      </c>
      <c r="F3826" s="8">
        <v>0</v>
      </c>
      <c r="G3826" s="4">
        <v>3</v>
      </c>
      <c r="H3826" s="8">
        <v>11.54</v>
      </c>
      <c r="I3826" s="4">
        <v>0</v>
      </c>
    </row>
    <row r="3827" spans="1:9" x14ac:dyDescent="0.2">
      <c r="A3827" s="2">
        <v>11</v>
      </c>
      <c r="B3827" s="1" t="s">
        <v>354</v>
      </c>
      <c r="C3827" s="4">
        <v>3</v>
      </c>
      <c r="D3827" s="8">
        <v>2.91</v>
      </c>
      <c r="E3827" s="4">
        <v>1</v>
      </c>
      <c r="F3827" s="8">
        <v>1.41</v>
      </c>
      <c r="G3827" s="4">
        <v>2</v>
      </c>
      <c r="H3827" s="8">
        <v>7.69</v>
      </c>
      <c r="I3827" s="4">
        <v>0</v>
      </c>
    </row>
    <row r="3828" spans="1:9" x14ac:dyDescent="0.2">
      <c r="A3828" s="2">
        <v>11</v>
      </c>
      <c r="B3828" s="1" t="s">
        <v>329</v>
      </c>
      <c r="C3828" s="4">
        <v>3</v>
      </c>
      <c r="D3828" s="8">
        <v>2.91</v>
      </c>
      <c r="E3828" s="4">
        <v>2</v>
      </c>
      <c r="F3828" s="8">
        <v>2.82</v>
      </c>
      <c r="G3828" s="4">
        <v>1</v>
      </c>
      <c r="H3828" s="8">
        <v>3.85</v>
      </c>
      <c r="I3828" s="4">
        <v>0</v>
      </c>
    </row>
    <row r="3829" spans="1:9" x14ac:dyDescent="0.2">
      <c r="A3829" s="2">
        <v>11</v>
      </c>
      <c r="B3829" s="1" t="s">
        <v>330</v>
      </c>
      <c r="C3829" s="4">
        <v>3</v>
      </c>
      <c r="D3829" s="8">
        <v>2.91</v>
      </c>
      <c r="E3829" s="4">
        <v>1</v>
      </c>
      <c r="F3829" s="8">
        <v>1.41</v>
      </c>
      <c r="G3829" s="4">
        <v>2</v>
      </c>
      <c r="H3829" s="8">
        <v>7.69</v>
      </c>
      <c r="I3829" s="4">
        <v>0</v>
      </c>
    </row>
    <row r="3830" spans="1:9" x14ac:dyDescent="0.2">
      <c r="A3830" s="2">
        <v>11</v>
      </c>
      <c r="B3830" s="1" t="s">
        <v>303</v>
      </c>
      <c r="C3830" s="4">
        <v>3</v>
      </c>
      <c r="D3830" s="8">
        <v>2.91</v>
      </c>
      <c r="E3830" s="4">
        <v>3</v>
      </c>
      <c r="F3830" s="8">
        <v>4.2300000000000004</v>
      </c>
      <c r="G3830" s="4">
        <v>0</v>
      </c>
      <c r="H3830" s="8">
        <v>0</v>
      </c>
      <c r="I3830" s="4">
        <v>0</v>
      </c>
    </row>
    <row r="3831" spans="1:9" x14ac:dyDescent="0.2">
      <c r="A3831" s="2">
        <v>11</v>
      </c>
      <c r="B3831" s="1" t="s">
        <v>370</v>
      </c>
      <c r="C3831" s="4">
        <v>3</v>
      </c>
      <c r="D3831" s="8">
        <v>2.91</v>
      </c>
      <c r="E3831" s="4">
        <v>0</v>
      </c>
      <c r="F3831" s="8">
        <v>0</v>
      </c>
      <c r="G3831" s="4">
        <v>1</v>
      </c>
      <c r="H3831" s="8">
        <v>3.85</v>
      </c>
      <c r="I3831" s="4">
        <v>0</v>
      </c>
    </row>
    <row r="3832" spans="1:9" x14ac:dyDescent="0.2">
      <c r="A3832" s="2">
        <v>17</v>
      </c>
      <c r="B3832" s="1" t="s">
        <v>289</v>
      </c>
      <c r="C3832" s="4">
        <v>2</v>
      </c>
      <c r="D3832" s="8">
        <v>1.94</v>
      </c>
      <c r="E3832" s="4">
        <v>1</v>
      </c>
      <c r="F3832" s="8">
        <v>1.41</v>
      </c>
      <c r="G3832" s="4">
        <v>1</v>
      </c>
      <c r="H3832" s="8">
        <v>3.85</v>
      </c>
      <c r="I3832" s="4">
        <v>0</v>
      </c>
    </row>
    <row r="3833" spans="1:9" x14ac:dyDescent="0.2">
      <c r="A3833" s="2">
        <v>17</v>
      </c>
      <c r="B3833" s="1" t="s">
        <v>291</v>
      </c>
      <c r="C3833" s="4">
        <v>2</v>
      </c>
      <c r="D3833" s="8">
        <v>1.94</v>
      </c>
      <c r="E3833" s="4">
        <v>1</v>
      </c>
      <c r="F3833" s="8">
        <v>1.41</v>
      </c>
      <c r="G3833" s="4">
        <v>1</v>
      </c>
      <c r="H3833" s="8">
        <v>3.85</v>
      </c>
      <c r="I3833" s="4">
        <v>0</v>
      </c>
    </row>
    <row r="3834" spans="1:9" x14ac:dyDescent="0.2">
      <c r="A3834" s="2">
        <v>17</v>
      </c>
      <c r="B3834" s="1" t="s">
        <v>309</v>
      </c>
      <c r="C3834" s="4">
        <v>2</v>
      </c>
      <c r="D3834" s="8">
        <v>1.94</v>
      </c>
      <c r="E3834" s="4">
        <v>1</v>
      </c>
      <c r="F3834" s="8">
        <v>1.41</v>
      </c>
      <c r="G3834" s="4">
        <v>1</v>
      </c>
      <c r="H3834" s="8">
        <v>3.85</v>
      </c>
      <c r="I3834" s="4">
        <v>0</v>
      </c>
    </row>
    <row r="3835" spans="1:9" x14ac:dyDescent="0.2">
      <c r="A3835" s="2">
        <v>17</v>
      </c>
      <c r="B3835" s="1" t="s">
        <v>396</v>
      </c>
      <c r="C3835" s="4">
        <v>2</v>
      </c>
      <c r="D3835" s="8">
        <v>1.94</v>
      </c>
      <c r="E3835" s="4">
        <v>1</v>
      </c>
      <c r="F3835" s="8">
        <v>1.41</v>
      </c>
      <c r="G3835" s="4">
        <v>1</v>
      </c>
      <c r="H3835" s="8">
        <v>3.85</v>
      </c>
      <c r="I3835" s="4">
        <v>0</v>
      </c>
    </row>
    <row r="3836" spans="1:9" x14ac:dyDescent="0.2">
      <c r="A3836" s="2">
        <v>17</v>
      </c>
      <c r="B3836" s="1" t="s">
        <v>307</v>
      </c>
      <c r="C3836" s="4">
        <v>2</v>
      </c>
      <c r="D3836" s="8">
        <v>1.94</v>
      </c>
      <c r="E3836" s="4">
        <v>2</v>
      </c>
      <c r="F3836" s="8">
        <v>2.82</v>
      </c>
      <c r="G3836" s="4">
        <v>0</v>
      </c>
      <c r="H3836" s="8">
        <v>0</v>
      </c>
      <c r="I3836" s="4">
        <v>0</v>
      </c>
    </row>
    <row r="3837" spans="1:9" x14ac:dyDescent="0.2">
      <c r="A3837" s="1"/>
      <c r="C3837" s="4"/>
      <c r="D3837" s="8"/>
      <c r="E3837" s="4"/>
      <c r="F3837" s="8"/>
      <c r="G3837" s="4"/>
      <c r="H3837" s="8"/>
      <c r="I3837" s="4"/>
    </row>
    <row r="3838" spans="1:9" x14ac:dyDescent="0.2">
      <c r="A3838" s="1" t="s">
        <v>129</v>
      </c>
      <c r="C3838" s="4"/>
      <c r="D3838" s="8"/>
      <c r="E3838" s="4"/>
      <c r="F3838" s="8"/>
      <c r="G3838" s="4"/>
      <c r="H3838" s="8"/>
      <c r="I3838" s="4"/>
    </row>
    <row r="3839" spans="1:9" x14ac:dyDescent="0.2">
      <c r="A3839" s="2">
        <v>1</v>
      </c>
      <c r="B3839" s="1" t="s">
        <v>295</v>
      </c>
      <c r="C3839" s="4">
        <v>8</v>
      </c>
      <c r="D3839" s="8">
        <v>8.08</v>
      </c>
      <c r="E3839" s="4">
        <v>5</v>
      </c>
      <c r="F3839" s="8">
        <v>8.6199999999999992</v>
      </c>
      <c r="G3839" s="4">
        <v>3</v>
      </c>
      <c r="H3839" s="8">
        <v>8.82</v>
      </c>
      <c r="I3839" s="4">
        <v>0</v>
      </c>
    </row>
    <row r="3840" spans="1:9" x14ac:dyDescent="0.2">
      <c r="A3840" s="2">
        <v>2</v>
      </c>
      <c r="B3840" s="1" t="s">
        <v>292</v>
      </c>
      <c r="C3840" s="4">
        <v>6</v>
      </c>
      <c r="D3840" s="8">
        <v>6.06</v>
      </c>
      <c r="E3840" s="4">
        <v>4</v>
      </c>
      <c r="F3840" s="8">
        <v>6.9</v>
      </c>
      <c r="G3840" s="4">
        <v>2</v>
      </c>
      <c r="H3840" s="8">
        <v>5.88</v>
      </c>
      <c r="I3840" s="4">
        <v>0</v>
      </c>
    </row>
    <row r="3841" spans="1:9" x14ac:dyDescent="0.2">
      <c r="A3841" s="2">
        <v>2</v>
      </c>
      <c r="B3841" s="1" t="s">
        <v>301</v>
      </c>
      <c r="C3841" s="4">
        <v>6</v>
      </c>
      <c r="D3841" s="8">
        <v>6.06</v>
      </c>
      <c r="E3841" s="4">
        <v>5</v>
      </c>
      <c r="F3841" s="8">
        <v>8.6199999999999992</v>
      </c>
      <c r="G3841" s="4">
        <v>1</v>
      </c>
      <c r="H3841" s="8">
        <v>2.94</v>
      </c>
      <c r="I3841" s="4">
        <v>0</v>
      </c>
    </row>
    <row r="3842" spans="1:9" x14ac:dyDescent="0.2">
      <c r="A3842" s="2">
        <v>4</v>
      </c>
      <c r="B3842" s="1" t="s">
        <v>342</v>
      </c>
      <c r="C3842" s="4">
        <v>5</v>
      </c>
      <c r="D3842" s="8">
        <v>5.05</v>
      </c>
      <c r="E3842" s="4">
        <v>0</v>
      </c>
      <c r="F3842" s="8">
        <v>0</v>
      </c>
      <c r="G3842" s="4">
        <v>5</v>
      </c>
      <c r="H3842" s="8">
        <v>14.71</v>
      </c>
      <c r="I3842" s="4">
        <v>0</v>
      </c>
    </row>
    <row r="3843" spans="1:9" x14ac:dyDescent="0.2">
      <c r="A3843" s="2">
        <v>4</v>
      </c>
      <c r="B3843" s="1" t="s">
        <v>329</v>
      </c>
      <c r="C3843" s="4">
        <v>5</v>
      </c>
      <c r="D3843" s="8">
        <v>5.05</v>
      </c>
      <c r="E3843" s="4">
        <v>5</v>
      </c>
      <c r="F3843" s="8">
        <v>8.6199999999999992</v>
      </c>
      <c r="G3843" s="4">
        <v>0</v>
      </c>
      <c r="H3843" s="8">
        <v>0</v>
      </c>
      <c r="I3843" s="4">
        <v>0</v>
      </c>
    </row>
    <row r="3844" spans="1:9" x14ac:dyDescent="0.2">
      <c r="A3844" s="2">
        <v>4</v>
      </c>
      <c r="B3844" s="1" t="s">
        <v>339</v>
      </c>
      <c r="C3844" s="4">
        <v>5</v>
      </c>
      <c r="D3844" s="8">
        <v>5.05</v>
      </c>
      <c r="E3844" s="4">
        <v>4</v>
      </c>
      <c r="F3844" s="8">
        <v>6.9</v>
      </c>
      <c r="G3844" s="4">
        <v>1</v>
      </c>
      <c r="H3844" s="8">
        <v>2.94</v>
      </c>
      <c r="I3844" s="4">
        <v>0</v>
      </c>
    </row>
    <row r="3845" spans="1:9" x14ac:dyDescent="0.2">
      <c r="A3845" s="2">
        <v>7</v>
      </c>
      <c r="B3845" s="1" t="s">
        <v>299</v>
      </c>
      <c r="C3845" s="4">
        <v>4</v>
      </c>
      <c r="D3845" s="8">
        <v>4.04</v>
      </c>
      <c r="E3845" s="4">
        <v>4</v>
      </c>
      <c r="F3845" s="8">
        <v>6.9</v>
      </c>
      <c r="G3845" s="4">
        <v>0</v>
      </c>
      <c r="H3845" s="8">
        <v>0</v>
      </c>
      <c r="I3845" s="4">
        <v>0</v>
      </c>
    </row>
    <row r="3846" spans="1:9" x14ac:dyDescent="0.2">
      <c r="A3846" s="2">
        <v>7</v>
      </c>
      <c r="B3846" s="1" t="s">
        <v>331</v>
      </c>
      <c r="C3846" s="4">
        <v>4</v>
      </c>
      <c r="D3846" s="8">
        <v>4.04</v>
      </c>
      <c r="E3846" s="4">
        <v>0</v>
      </c>
      <c r="F3846" s="8">
        <v>0</v>
      </c>
      <c r="G3846" s="4">
        <v>1</v>
      </c>
      <c r="H3846" s="8">
        <v>2.94</v>
      </c>
      <c r="I3846" s="4">
        <v>0</v>
      </c>
    </row>
    <row r="3847" spans="1:9" x14ac:dyDescent="0.2">
      <c r="A3847" s="2">
        <v>9</v>
      </c>
      <c r="B3847" s="1" t="s">
        <v>300</v>
      </c>
      <c r="C3847" s="4">
        <v>3</v>
      </c>
      <c r="D3847" s="8">
        <v>3.03</v>
      </c>
      <c r="E3847" s="4">
        <v>3</v>
      </c>
      <c r="F3847" s="8">
        <v>5.17</v>
      </c>
      <c r="G3847" s="4">
        <v>0</v>
      </c>
      <c r="H3847" s="8">
        <v>0</v>
      </c>
      <c r="I3847" s="4">
        <v>0</v>
      </c>
    </row>
    <row r="3848" spans="1:9" x14ac:dyDescent="0.2">
      <c r="A3848" s="2">
        <v>9</v>
      </c>
      <c r="B3848" s="1" t="s">
        <v>304</v>
      </c>
      <c r="C3848" s="4">
        <v>3</v>
      </c>
      <c r="D3848" s="8">
        <v>3.03</v>
      </c>
      <c r="E3848" s="4">
        <v>3</v>
      </c>
      <c r="F3848" s="8">
        <v>5.17</v>
      </c>
      <c r="G3848" s="4">
        <v>0</v>
      </c>
      <c r="H3848" s="8">
        <v>0</v>
      </c>
      <c r="I3848" s="4">
        <v>0</v>
      </c>
    </row>
    <row r="3849" spans="1:9" x14ac:dyDescent="0.2">
      <c r="A3849" s="2">
        <v>11</v>
      </c>
      <c r="B3849" s="1" t="s">
        <v>328</v>
      </c>
      <c r="C3849" s="4">
        <v>2</v>
      </c>
      <c r="D3849" s="8">
        <v>2.02</v>
      </c>
      <c r="E3849" s="4">
        <v>2</v>
      </c>
      <c r="F3849" s="8">
        <v>3.45</v>
      </c>
      <c r="G3849" s="4">
        <v>0</v>
      </c>
      <c r="H3849" s="8">
        <v>0</v>
      </c>
      <c r="I3849" s="4">
        <v>0</v>
      </c>
    </row>
    <row r="3850" spans="1:9" x14ac:dyDescent="0.2">
      <c r="A3850" s="2">
        <v>11</v>
      </c>
      <c r="B3850" s="1" t="s">
        <v>333</v>
      </c>
      <c r="C3850" s="4">
        <v>2</v>
      </c>
      <c r="D3850" s="8">
        <v>2.02</v>
      </c>
      <c r="E3850" s="4">
        <v>2</v>
      </c>
      <c r="F3850" s="8">
        <v>3.45</v>
      </c>
      <c r="G3850" s="4">
        <v>0</v>
      </c>
      <c r="H3850" s="8">
        <v>0</v>
      </c>
      <c r="I3850" s="4">
        <v>0</v>
      </c>
    </row>
    <row r="3851" spans="1:9" x14ac:dyDescent="0.2">
      <c r="A3851" s="2">
        <v>11</v>
      </c>
      <c r="B3851" s="1" t="s">
        <v>324</v>
      </c>
      <c r="C3851" s="4">
        <v>2</v>
      </c>
      <c r="D3851" s="8">
        <v>2.02</v>
      </c>
      <c r="E3851" s="4">
        <v>1</v>
      </c>
      <c r="F3851" s="8">
        <v>1.72</v>
      </c>
      <c r="G3851" s="4">
        <v>1</v>
      </c>
      <c r="H3851" s="8">
        <v>2.94</v>
      </c>
      <c r="I3851" s="4">
        <v>0</v>
      </c>
    </row>
    <row r="3852" spans="1:9" x14ac:dyDescent="0.2">
      <c r="A3852" s="2">
        <v>11</v>
      </c>
      <c r="B3852" s="1" t="s">
        <v>314</v>
      </c>
      <c r="C3852" s="4">
        <v>2</v>
      </c>
      <c r="D3852" s="8">
        <v>2.02</v>
      </c>
      <c r="E3852" s="4">
        <v>2</v>
      </c>
      <c r="F3852" s="8">
        <v>3.45</v>
      </c>
      <c r="G3852" s="4">
        <v>0</v>
      </c>
      <c r="H3852" s="8">
        <v>0</v>
      </c>
      <c r="I3852" s="4">
        <v>0</v>
      </c>
    </row>
    <row r="3853" spans="1:9" x14ac:dyDescent="0.2">
      <c r="A3853" s="2">
        <v>11</v>
      </c>
      <c r="B3853" s="1" t="s">
        <v>332</v>
      </c>
      <c r="C3853" s="4">
        <v>2</v>
      </c>
      <c r="D3853" s="8">
        <v>2.02</v>
      </c>
      <c r="E3853" s="4">
        <v>2</v>
      </c>
      <c r="F3853" s="8">
        <v>3.45</v>
      </c>
      <c r="G3853" s="4">
        <v>0</v>
      </c>
      <c r="H3853" s="8">
        <v>0</v>
      </c>
      <c r="I3853" s="4">
        <v>0</v>
      </c>
    </row>
    <row r="3854" spans="1:9" x14ac:dyDescent="0.2">
      <c r="A3854" s="2">
        <v>11</v>
      </c>
      <c r="B3854" s="1" t="s">
        <v>337</v>
      </c>
      <c r="C3854" s="4">
        <v>2</v>
      </c>
      <c r="D3854" s="8">
        <v>2.02</v>
      </c>
      <c r="E3854" s="4">
        <v>2</v>
      </c>
      <c r="F3854" s="8">
        <v>3.45</v>
      </c>
      <c r="G3854" s="4">
        <v>0</v>
      </c>
      <c r="H3854" s="8">
        <v>0</v>
      </c>
      <c r="I3854" s="4">
        <v>0</v>
      </c>
    </row>
    <row r="3855" spans="1:9" x14ac:dyDescent="0.2">
      <c r="A3855" s="2">
        <v>11</v>
      </c>
      <c r="B3855" s="1" t="s">
        <v>419</v>
      </c>
      <c r="C3855" s="4">
        <v>2</v>
      </c>
      <c r="D3855" s="8">
        <v>2.02</v>
      </c>
      <c r="E3855" s="4">
        <v>2</v>
      </c>
      <c r="F3855" s="8">
        <v>3.45</v>
      </c>
      <c r="G3855" s="4">
        <v>0</v>
      </c>
      <c r="H3855" s="8">
        <v>0</v>
      </c>
      <c r="I3855" s="4">
        <v>0</v>
      </c>
    </row>
    <row r="3856" spans="1:9" x14ac:dyDescent="0.2">
      <c r="A3856" s="2">
        <v>11</v>
      </c>
      <c r="B3856" s="1" t="s">
        <v>303</v>
      </c>
      <c r="C3856" s="4">
        <v>2</v>
      </c>
      <c r="D3856" s="8">
        <v>2.02</v>
      </c>
      <c r="E3856" s="4">
        <v>2</v>
      </c>
      <c r="F3856" s="8">
        <v>3.45</v>
      </c>
      <c r="G3856" s="4">
        <v>0</v>
      </c>
      <c r="H3856" s="8">
        <v>0</v>
      </c>
      <c r="I3856" s="4">
        <v>0</v>
      </c>
    </row>
    <row r="3857" spans="1:9" x14ac:dyDescent="0.2">
      <c r="A3857" s="2">
        <v>19</v>
      </c>
      <c r="B3857" s="1" t="s">
        <v>442</v>
      </c>
      <c r="C3857" s="4">
        <v>1</v>
      </c>
      <c r="D3857" s="8">
        <v>1.01</v>
      </c>
      <c r="E3857" s="4">
        <v>0</v>
      </c>
      <c r="F3857" s="8">
        <v>0</v>
      </c>
      <c r="G3857" s="4">
        <v>1</v>
      </c>
      <c r="H3857" s="8">
        <v>2.94</v>
      </c>
      <c r="I3857" s="4">
        <v>0</v>
      </c>
    </row>
    <row r="3858" spans="1:9" x14ac:dyDescent="0.2">
      <c r="A3858" s="2">
        <v>19</v>
      </c>
      <c r="B3858" s="1" t="s">
        <v>288</v>
      </c>
      <c r="C3858" s="4">
        <v>1</v>
      </c>
      <c r="D3858" s="8">
        <v>1.01</v>
      </c>
      <c r="E3858" s="4">
        <v>0</v>
      </c>
      <c r="F3858" s="8">
        <v>0</v>
      </c>
      <c r="G3858" s="4">
        <v>1</v>
      </c>
      <c r="H3858" s="8">
        <v>2.94</v>
      </c>
      <c r="I3858" s="4">
        <v>0</v>
      </c>
    </row>
    <row r="3859" spans="1:9" x14ac:dyDescent="0.2">
      <c r="A3859" s="2">
        <v>19</v>
      </c>
      <c r="B3859" s="1" t="s">
        <v>289</v>
      </c>
      <c r="C3859" s="4">
        <v>1</v>
      </c>
      <c r="D3859" s="8">
        <v>1.01</v>
      </c>
      <c r="E3859" s="4">
        <v>1</v>
      </c>
      <c r="F3859" s="8">
        <v>1.72</v>
      </c>
      <c r="G3859" s="4">
        <v>0</v>
      </c>
      <c r="H3859" s="8">
        <v>0</v>
      </c>
      <c r="I3859" s="4">
        <v>0</v>
      </c>
    </row>
    <row r="3860" spans="1:9" x14ac:dyDescent="0.2">
      <c r="A3860" s="2">
        <v>19</v>
      </c>
      <c r="B3860" s="1" t="s">
        <v>393</v>
      </c>
      <c r="C3860" s="4">
        <v>1</v>
      </c>
      <c r="D3860" s="8">
        <v>1.01</v>
      </c>
      <c r="E3860" s="4">
        <v>1</v>
      </c>
      <c r="F3860" s="8">
        <v>1.72</v>
      </c>
      <c r="G3860" s="4">
        <v>0</v>
      </c>
      <c r="H3860" s="8">
        <v>0</v>
      </c>
      <c r="I3860" s="4">
        <v>0</v>
      </c>
    </row>
    <row r="3861" spans="1:9" x14ac:dyDescent="0.2">
      <c r="A3861" s="2">
        <v>19</v>
      </c>
      <c r="B3861" s="1" t="s">
        <v>343</v>
      </c>
      <c r="C3861" s="4">
        <v>1</v>
      </c>
      <c r="D3861" s="8">
        <v>1.01</v>
      </c>
      <c r="E3861" s="4">
        <v>1</v>
      </c>
      <c r="F3861" s="8">
        <v>1.72</v>
      </c>
      <c r="G3861" s="4">
        <v>0</v>
      </c>
      <c r="H3861" s="8">
        <v>0</v>
      </c>
      <c r="I3861" s="4">
        <v>0</v>
      </c>
    </row>
    <row r="3862" spans="1:9" x14ac:dyDescent="0.2">
      <c r="A3862" s="2">
        <v>19</v>
      </c>
      <c r="B3862" s="1" t="s">
        <v>437</v>
      </c>
      <c r="C3862" s="4">
        <v>1</v>
      </c>
      <c r="D3862" s="8">
        <v>1.01</v>
      </c>
      <c r="E3862" s="4">
        <v>0</v>
      </c>
      <c r="F3862" s="8">
        <v>0</v>
      </c>
      <c r="G3862" s="4">
        <v>1</v>
      </c>
      <c r="H3862" s="8">
        <v>2.94</v>
      </c>
      <c r="I3862" s="4">
        <v>0</v>
      </c>
    </row>
    <row r="3863" spans="1:9" x14ac:dyDescent="0.2">
      <c r="A3863" s="2">
        <v>19</v>
      </c>
      <c r="B3863" s="1" t="s">
        <v>378</v>
      </c>
      <c r="C3863" s="4">
        <v>1</v>
      </c>
      <c r="D3863" s="8">
        <v>1.01</v>
      </c>
      <c r="E3863" s="4">
        <v>0</v>
      </c>
      <c r="F3863" s="8">
        <v>0</v>
      </c>
      <c r="G3863" s="4">
        <v>1</v>
      </c>
      <c r="H3863" s="8">
        <v>2.94</v>
      </c>
      <c r="I3863" s="4">
        <v>0</v>
      </c>
    </row>
    <row r="3864" spans="1:9" x14ac:dyDescent="0.2">
      <c r="A3864" s="2">
        <v>19</v>
      </c>
      <c r="B3864" s="1" t="s">
        <v>434</v>
      </c>
      <c r="C3864" s="4">
        <v>1</v>
      </c>
      <c r="D3864" s="8">
        <v>1.01</v>
      </c>
      <c r="E3864" s="4">
        <v>0</v>
      </c>
      <c r="F3864" s="8">
        <v>0</v>
      </c>
      <c r="G3864" s="4">
        <v>1</v>
      </c>
      <c r="H3864" s="8">
        <v>2.94</v>
      </c>
      <c r="I3864" s="4">
        <v>0</v>
      </c>
    </row>
    <row r="3865" spans="1:9" x14ac:dyDescent="0.2">
      <c r="A3865" s="2">
        <v>19</v>
      </c>
      <c r="B3865" s="1" t="s">
        <v>361</v>
      </c>
      <c r="C3865" s="4">
        <v>1</v>
      </c>
      <c r="D3865" s="8">
        <v>1.01</v>
      </c>
      <c r="E3865" s="4">
        <v>0</v>
      </c>
      <c r="F3865" s="8">
        <v>0</v>
      </c>
      <c r="G3865" s="4">
        <v>0</v>
      </c>
      <c r="H3865" s="8">
        <v>0</v>
      </c>
      <c r="I3865" s="4">
        <v>0</v>
      </c>
    </row>
    <row r="3866" spans="1:9" x14ac:dyDescent="0.2">
      <c r="A3866" s="2">
        <v>19</v>
      </c>
      <c r="B3866" s="1" t="s">
        <v>407</v>
      </c>
      <c r="C3866" s="4">
        <v>1</v>
      </c>
      <c r="D3866" s="8">
        <v>1.01</v>
      </c>
      <c r="E3866" s="4">
        <v>0</v>
      </c>
      <c r="F3866" s="8">
        <v>0</v>
      </c>
      <c r="G3866" s="4">
        <v>1</v>
      </c>
      <c r="H3866" s="8">
        <v>2.94</v>
      </c>
      <c r="I3866" s="4">
        <v>0</v>
      </c>
    </row>
    <row r="3867" spans="1:9" x14ac:dyDescent="0.2">
      <c r="A3867" s="2">
        <v>19</v>
      </c>
      <c r="B3867" s="1" t="s">
        <v>498</v>
      </c>
      <c r="C3867" s="4">
        <v>1</v>
      </c>
      <c r="D3867" s="8">
        <v>1.01</v>
      </c>
      <c r="E3867" s="4">
        <v>0</v>
      </c>
      <c r="F3867" s="8">
        <v>0</v>
      </c>
      <c r="G3867" s="4">
        <v>1</v>
      </c>
      <c r="H3867" s="8">
        <v>2.94</v>
      </c>
      <c r="I3867" s="4">
        <v>0</v>
      </c>
    </row>
    <row r="3868" spans="1:9" x14ac:dyDescent="0.2">
      <c r="A3868" s="2">
        <v>19</v>
      </c>
      <c r="B3868" s="1" t="s">
        <v>326</v>
      </c>
      <c r="C3868" s="4">
        <v>1</v>
      </c>
      <c r="D3868" s="8">
        <v>1.01</v>
      </c>
      <c r="E3868" s="4">
        <v>0</v>
      </c>
      <c r="F3868" s="8">
        <v>0</v>
      </c>
      <c r="G3868" s="4">
        <v>1</v>
      </c>
      <c r="H3868" s="8">
        <v>2.94</v>
      </c>
      <c r="I3868" s="4">
        <v>0</v>
      </c>
    </row>
    <row r="3869" spans="1:9" x14ac:dyDescent="0.2">
      <c r="A3869" s="2">
        <v>19</v>
      </c>
      <c r="B3869" s="1" t="s">
        <v>358</v>
      </c>
      <c r="C3869" s="4">
        <v>1</v>
      </c>
      <c r="D3869" s="8">
        <v>1.01</v>
      </c>
      <c r="E3869" s="4">
        <v>0</v>
      </c>
      <c r="F3869" s="8">
        <v>0</v>
      </c>
      <c r="G3869" s="4">
        <v>1</v>
      </c>
      <c r="H3869" s="8">
        <v>2.94</v>
      </c>
      <c r="I3869" s="4">
        <v>0</v>
      </c>
    </row>
    <row r="3870" spans="1:9" x14ac:dyDescent="0.2">
      <c r="A3870" s="2">
        <v>19</v>
      </c>
      <c r="B3870" s="1" t="s">
        <v>499</v>
      </c>
      <c r="C3870" s="4">
        <v>1</v>
      </c>
      <c r="D3870" s="8">
        <v>1.01</v>
      </c>
      <c r="E3870" s="4">
        <v>0</v>
      </c>
      <c r="F3870" s="8">
        <v>0</v>
      </c>
      <c r="G3870" s="4">
        <v>1</v>
      </c>
      <c r="H3870" s="8">
        <v>2.94</v>
      </c>
      <c r="I3870" s="4">
        <v>0</v>
      </c>
    </row>
    <row r="3871" spans="1:9" x14ac:dyDescent="0.2">
      <c r="A3871" s="2">
        <v>19</v>
      </c>
      <c r="B3871" s="1" t="s">
        <v>446</v>
      </c>
      <c r="C3871" s="4">
        <v>1</v>
      </c>
      <c r="D3871" s="8">
        <v>1.01</v>
      </c>
      <c r="E3871" s="4">
        <v>0</v>
      </c>
      <c r="F3871" s="8">
        <v>0</v>
      </c>
      <c r="G3871" s="4">
        <v>1</v>
      </c>
      <c r="H3871" s="8">
        <v>2.94</v>
      </c>
      <c r="I3871" s="4">
        <v>0</v>
      </c>
    </row>
    <row r="3872" spans="1:9" x14ac:dyDescent="0.2">
      <c r="A3872" s="2">
        <v>19</v>
      </c>
      <c r="B3872" s="1" t="s">
        <v>321</v>
      </c>
      <c r="C3872" s="4">
        <v>1</v>
      </c>
      <c r="D3872" s="8">
        <v>1.01</v>
      </c>
      <c r="E3872" s="4">
        <v>0</v>
      </c>
      <c r="F3872" s="8">
        <v>0</v>
      </c>
      <c r="G3872" s="4">
        <v>1</v>
      </c>
      <c r="H3872" s="8">
        <v>2.94</v>
      </c>
      <c r="I3872" s="4">
        <v>0</v>
      </c>
    </row>
    <row r="3873" spans="1:9" x14ac:dyDescent="0.2">
      <c r="A3873" s="2">
        <v>19</v>
      </c>
      <c r="B3873" s="1" t="s">
        <v>309</v>
      </c>
      <c r="C3873" s="4">
        <v>1</v>
      </c>
      <c r="D3873" s="8">
        <v>1.01</v>
      </c>
      <c r="E3873" s="4">
        <v>0</v>
      </c>
      <c r="F3873" s="8">
        <v>0</v>
      </c>
      <c r="G3873" s="4">
        <v>1</v>
      </c>
      <c r="H3873" s="8">
        <v>2.94</v>
      </c>
      <c r="I3873" s="4">
        <v>0</v>
      </c>
    </row>
    <row r="3874" spans="1:9" x14ac:dyDescent="0.2">
      <c r="A3874" s="2">
        <v>19</v>
      </c>
      <c r="B3874" s="1" t="s">
        <v>400</v>
      </c>
      <c r="C3874" s="4">
        <v>1</v>
      </c>
      <c r="D3874" s="8">
        <v>1.01</v>
      </c>
      <c r="E3874" s="4">
        <v>1</v>
      </c>
      <c r="F3874" s="8">
        <v>1.72</v>
      </c>
      <c r="G3874" s="4">
        <v>0</v>
      </c>
      <c r="H3874" s="8">
        <v>0</v>
      </c>
      <c r="I3874" s="4">
        <v>0</v>
      </c>
    </row>
    <row r="3875" spans="1:9" x14ac:dyDescent="0.2">
      <c r="A3875" s="2">
        <v>19</v>
      </c>
      <c r="B3875" s="1" t="s">
        <v>354</v>
      </c>
      <c r="C3875" s="4">
        <v>1</v>
      </c>
      <c r="D3875" s="8">
        <v>1.01</v>
      </c>
      <c r="E3875" s="4">
        <v>0</v>
      </c>
      <c r="F3875" s="8">
        <v>0</v>
      </c>
      <c r="G3875" s="4">
        <v>1</v>
      </c>
      <c r="H3875" s="8">
        <v>2.94</v>
      </c>
      <c r="I3875" s="4">
        <v>0</v>
      </c>
    </row>
    <row r="3876" spans="1:9" x14ac:dyDescent="0.2">
      <c r="A3876" s="2">
        <v>19</v>
      </c>
      <c r="B3876" s="1" t="s">
        <v>336</v>
      </c>
      <c r="C3876" s="4">
        <v>1</v>
      </c>
      <c r="D3876" s="8">
        <v>1.01</v>
      </c>
      <c r="E3876" s="4">
        <v>1</v>
      </c>
      <c r="F3876" s="8">
        <v>1.72</v>
      </c>
      <c r="G3876" s="4">
        <v>0</v>
      </c>
      <c r="H3876" s="8">
        <v>0</v>
      </c>
      <c r="I3876" s="4">
        <v>0</v>
      </c>
    </row>
    <row r="3877" spans="1:9" x14ac:dyDescent="0.2">
      <c r="A3877" s="2">
        <v>19</v>
      </c>
      <c r="B3877" s="1" t="s">
        <v>380</v>
      </c>
      <c r="C3877" s="4">
        <v>1</v>
      </c>
      <c r="D3877" s="8">
        <v>1.01</v>
      </c>
      <c r="E3877" s="4">
        <v>0</v>
      </c>
      <c r="F3877" s="8">
        <v>0</v>
      </c>
      <c r="G3877" s="4">
        <v>1</v>
      </c>
      <c r="H3877" s="8">
        <v>2.94</v>
      </c>
      <c r="I3877" s="4">
        <v>0</v>
      </c>
    </row>
    <row r="3878" spans="1:9" x14ac:dyDescent="0.2">
      <c r="A3878" s="2">
        <v>19</v>
      </c>
      <c r="B3878" s="1" t="s">
        <v>330</v>
      </c>
      <c r="C3878" s="4">
        <v>1</v>
      </c>
      <c r="D3878" s="8">
        <v>1.01</v>
      </c>
      <c r="E3878" s="4">
        <v>0</v>
      </c>
      <c r="F3878" s="8">
        <v>0</v>
      </c>
      <c r="G3878" s="4">
        <v>1</v>
      </c>
      <c r="H3878" s="8">
        <v>2.94</v>
      </c>
      <c r="I3878" s="4">
        <v>0</v>
      </c>
    </row>
    <row r="3879" spans="1:9" x14ac:dyDescent="0.2">
      <c r="A3879" s="2">
        <v>19</v>
      </c>
      <c r="B3879" s="1" t="s">
        <v>500</v>
      </c>
      <c r="C3879" s="4">
        <v>1</v>
      </c>
      <c r="D3879" s="8">
        <v>1.01</v>
      </c>
      <c r="E3879" s="4">
        <v>0</v>
      </c>
      <c r="F3879" s="8">
        <v>0</v>
      </c>
      <c r="G3879" s="4">
        <v>1</v>
      </c>
      <c r="H3879" s="8">
        <v>2.94</v>
      </c>
      <c r="I3879" s="4">
        <v>0</v>
      </c>
    </row>
    <row r="3880" spans="1:9" x14ac:dyDescent="0.2">
      <c r="A3880" s="2">
        <v>19</v>
      </c>
      <c r="B3880" s="1" t="s">
        <v>430</v>
      </c>
      <c r="C3880" s="4">
        <v>1</v>
      </c>
      <c r="D3880" s="8">
        <v>1.01</v>
      </c>
      <c r="E3880" s="4">
        <v>0</v>
      </c>
      <c r="F3880" s="8">
        <v>0</v>
      </c>
      <c r="G3880" s="4">
        <v>1</v>
      </c>
      <c r="H3880" s="8">
        <v>2.94</v>
      </c>
      <c r="I3880" s="4">
        <v>0</v>
      </c>
    </row>
    <row r="3881" spans="1:9" x14ac:dyDescent="0.2">
      <c r="A3881" s="2">
        <v>19</v>
      </c>
      <c r="B3881" s="1" t="s">
        <v>349</v>
      </c>
      <c r="C3881" s="4">
        <v>1</v>
      </c>
      <c r="D3881" s="8">
        <v>1.01</v>
      </c>
      <c r="E3881" s="4">
        <v>1</v>
      </c>
      <c r="F3881" s="8">
        <v>1.72</v>
      </c>
      <c r="G3881" s="4">
        <v>0</v>
      </c>
      <c r="H3881" s="8">
        <v>0</v>
      </c>
      <c r="I3881" s="4">
        <v>0</v>
      </c>
    </row>
    <row r="3882" spans="1:9" x14ac:dyDescent="0.2">
      <c r="A3882" s="2">
        <v>19</v>
      </c>
      <c r="B3882" s="1" t="s">
        <v>302</v>
      </c>
      <c r="C3882" s="4">
        <v>1</v>
      </c>
      <c r="D3882" s="8">
        <v>1.01</v>
      </c>
      <c r="E3882" s="4">
        <v>1</v>
      </c>
      <c r="F3882" s="8">
        <v>1.72</v>
      </c>
      <c r="G3882" s="4">
        <v>0</v>
      </c>
      <c r="H3882" s="8">
        <v>0</v>
      </c>
      <c r="I3882" s="4">
        <v>0</v>
      </c>
    </row>
    <row r="3883" spans="1:9" x14ac:dyDescent="0.2">
      <c r="A3883" s="2">
        <v>19</v>
      </c>
      <c r="B3883" s="1" t="s">
        <v>323</v>
      </c>
      <c r="C3883" s="4">
        <v>1</v>
      </c>
      <c r="D3883" s="8">
        <v>1.01</v>
      </c>
      <c r="E3883" s="4">
        <v>0</v>
      </c>
      <c r="F3883" s="8">
        <v>0</v>
      </c>
      <c r="G3883" s="4">
        <v>1</v>
      </c>
      <c r="H3883" s="8">
        <v>2.94</v>
      </c>
      <c r="I3883" s="4">
        <v>0</v>
      </c>
    </row>
    <row r="3884" spans="1:9" x14ac:dyDescent="0.2">
      <c r="A3884" s="2">
        <v>19</v>
      </c>
      <c r="B3884" s="1" t="s">
        <v>391</v>
      </c>
      <c r="C3884" s="4">
        <v>1</v>
      </c>
      <c r="D3884" s="8">
        <v>1.01</v>
      </c>
      <c r="E3884" s="4">
        <v>1</v>
      </c>
      <c r="F3884" s="8">
        <v>1.72</v>
      </c>
      <c r="G3884" s="4">
        <v>0</v>
      </c>
      <c r="H3884" s="8">
        <v>0</v>
      </c>
      <c r="I3884" s="4">
        <v>0</v>
      </c>
    </row>
    <row r="3885" spans="1:9" x14ac:dyDescent="0.2">
      <c r="A3885" s="2">
        <v>19</v>
      </c>
      <c r="B3885" s="1" t="s">
        <v>368</v>
      </c>
      <c r="C3885" s="4">
        <v>1</v>
      </c>
      <c r="D3885" s="8">
        <v>1.01</v>
      </c>
      <c r="E3885" s="4">
        <v>0</v>
      </c>
      <c r="F3885" s="8">
        <v>0</v>
      </c>
      <c r="G3885" s="4">
        <v>0</v>
      </c>
      <c r="H3885" s="8">
        <v>0</v>
      </c>
      <c r="I3885" s="4">
        <v>0</v>
      </c>
    </row>
    <row r="3886" spans="1:9" x14ac:dyDescent="0.2">
      <c r="A3886" s="2">
        <v>19</v>
      </c>
      <c r="B3886" s="1" t="s">
        <v>492</v>
      </c>
      <c r="C3886" s="4">
        <v>1</v>
      </c>
      <c r="D3886" s="8">
        <v>1.01</v>
      </c>
      <c r="E3886" s="4">
        <v>1</v>
      </c>
      <c r="F3886" s="8">
        <v>1.72</v>
      </c>
      <c r="G3886" s="4">
        <v>0</v>
      </c>
      <c r="H3886" s="8">
        <v>0</v>
      </c>
      <c r="I3886" s="4">
        <v>0</v>
      </c>
    </row>
    <row r="3887" spans="1:9" x14ac:dyDescent="0.2">
      <c r="A3887" s="2">
        <v>19</v>
      </c>
      <c r="B3887" s="1" t="s">
        <v>340</v>
      </c>
      <c r="C3887" s="4">
        <v>1</v>
      </c>
      <c r="D3887" s="8">
        <v>1.01</v>
      </c>
      <c r="E3887" s="4">
        <v>0</v>
      </c>
      <c r="F3887" s="8">
        <v>0</v>
      </c>
      <c r="G3887" s="4">
        <v>0</v>
      </c>
      <c r="H3887" s="8">
        <v>0</v>
      </c>
      <c r="I3887" s="4">
        <v>0</v>
      </c>
    </row>
    <row r="3888" spans="1:9" x14ac:dyDescent="0.2">
      <c r="A3888" s="2">
        <v>19</v>
      </c>
      <c r="B3888" s="1" t="s">
        <v>312</v>
      </c>
      <c r="C3888" s="4">
        <v>1</v>
      </c>
      <c r="D3888" s="8">
        <v>1.01</v>
      </c>
      <c r="E3888" s="4">
        <v>1</v>
      </c>
      <c r="F3888" s="8">
        <v>1.72</v>
      </c>
      <c r="G3888" s="4">
        <v>0</v>
      </c>
      <c r="H3888" s="8">
        <v>0</v>
      </c>
      <c r="I3888" s="4">
        <v>0</v>
      </c>
    </row>
    <row r="3889" spans="1:9" x14ac:dyDescent="0.2">
      <c r="A3889" s="2">
        <v>19</v>
      </c>
      <c r="B3889" s="1" t="s">
        <v>397</v>
      </c>
      <c r="C3889" s="4">
        <v>1</v>
      </c>
      <c r="D3889" s="8">
        <v>1.01</v>
      </c>
      <c r="E3889" s="4">
        <v>0</v>
      </c>
      <c r="F3889" s="8">
        <v>0</v>
      </c>
      <c r="G3889" s="4">
        <v>1</v>
      </c>
      <c r="H3889" s="8">
        <v>2.94</v>
      </c>
      <c r="I3889" s="4">
        <v>0</v>
      </c>
    </row>
    <row r="3890" spans="1:9" x14ac:dyDescent="0.2">
      <c r="A3890" s="2">
        <v>19</v>
      </c>
      <c r="B3890" s="1" t="s">
        <v>345</v>
      </c>
      <c r="C3890" s="4">
        <v>1</v>
      </c>
      <c r="D3890" s="8">
        <v>1.01</v>
      </c>
      <c r="E3890" s="4">
        <v>0</v>
      </c>
      <c r="F3890" s="8">
        <v>0</v>
      </c>
      <c r="G3890" s="4">
        <v>0</v>
      </c>
      <c r="H3890" s="8">
        <v>0</v>
      </c>
      <c r="I3890" s="4">
        <v>0</v>
      </c>
    </row>
    <row r="3891" spans="1:9" x14ac:dyDescent="0.2">
      <c r="A3891" s="1"/>
      <c r="C3891" s="4"/>
      <c r="D3891" s="8"/>
      <c r="E3891" s="4"/>
      <c r="F3891" s="8"/>
      <c r="G3891" s="4"/>
      <c r="H3891" s="8"/>
      <c r="I3891" s="4"/>
    </row>
    <row r="3892" spans="1:9" x14ac:dyDescent="0.2">
      <c r="A3892" s="1" t="s">
        <v>130</v>
      </c>
      <c r="C3892" s="4"/>
      <c r="D3892" s="8"/>
      <c r="E3892" s="4"/>
      <c r="F3892" s="8"/>
      <c r="G3892" s="4"/>
      <c r="H3892" s="8"/>
      <c r="I3892" s="4"/>
    </row>
    <row r="3893" spans="1:9" x14ac:dyDescent="0.2">
      <c r="A3893" s="2">
        <v>1</v>
      </c>
      <c r="B3893" s="1" t="s">
        <v>339</v>
      </c>
      <c r="C3893" s="4">
        <v>12</v>
      </c>
      <c r="D3893" s="8">
        <v>10</v>
      </c>
      <c r="E3893" s="4">
        <v>10</v>
      </c>
      <c r="F3893" s="8">
        <v>16.670000000000002</v>
      </c>
      <c r="G3893" s="4">
        <v>2</v>
      </c>
      <c r="H3893" s="8">
        <v>4.08</v>
      </c>
      <c r="I3893" s="4">
        <v>0</v>
      </c>
    </row>
    <row r="3894" spans="1:9" x14ac:dyDescent="0.2">
      <c r="A3894" s="2">
        <v>2</v>
      </c>
      <c r="B3894" s="1" t="s">
        <v>342</v>
      </c>
      <c r="C3894" s="4">
        <v>6</v>
      </c>
      <c r="D3894" s="8">
        <v>5</v>
      </c>
      <c r="E3894" s="4">
        <v>1</v>
      </c>
      <c r="F3894" s="8">
        <v>1.67</v>
      </c>
      <c r="G3894" s="4">
        <v>5</v>
      </c>
      <c r="H3894" s="8">
        <v>10.199999999999999</v>
      </c>
      <c r="I3894" s="4">
        <v>0</v>
      </c>
    </row>
    <row r="3895" spans="1:9" x14ac:dyDescent="0.2">
      <c r="A3895" s="2">
        <v>2</v>
      </c>
      <c r="B3895" s="1" t="s">
        <v>304</v>
      </c>
      <c r="C3895" s="4">
        <v>6</v>
      </c>
      <c r="D3895" s="8">
        <v>5</v>
      </c>
      <c r="E3895" s="4">
        <v>6</v>
      </c>
      <c r="F3895" s="8">
        <v>10</v>
      </c>
      <c r="G3895" s="4">
        <v>0</v>
      </c>
      <c r="H3895" s="8">
        <v>0</v>
      </c>
      <c r="I3895" s="4">
        <v>0</v>
      </c>
    </row>
    <row r="3896" spans="1:9" x14ac:dyDescent="0.2">
      <c r="A3896" s="2">
        <v>4</v>
      </c>
      <c r="B3896" s="1" t="s">
        <v>330</v>
      </c>
      <c r="C3896" s="4">
        <v>5</v>
      </c>
      <c r="D3896" s="8">
        <v>4.17</v>
      </c>
      <c r="E3896" s="4">
        <v>1</v>
      </c>
      <c r="F3896" s="8">
        <v>1.67</v>
      </c>
      <c r="G3896" s="4">
        <v>4</v>
      </c>
      <c r="H3896" s="8">
        <v>8.16</v>
      </c>
      <c r="I3896" s="4">
        <v>0</v>
      </c>
    </row>
    <row r="3897" spans="1:9" x14ac:dyDescent="0.2">
      <c r="A3897" s="2">
        <v>4</v>
      </c>
      <c r="B3897" s="1" t="s">
        <v>301</v>
      </c>
      <c r="C3897" s="4">
        <v>5</v>
      </c>
      <c r="D3897" s="8">
        <v>4.17</v>
      </c>
      <c r="E3897" s="4">
        <v>5</v>
      </c>
      <c r="F3897" s="8">
        <v>8.33</v>
      </c>
      <c r="G3897" s="4">
        <v>0</v>
      </c>
      <c r="H3897" s="8">
        <v>0</v>
      </c>
      <c r="I3897" s="4">
        <v>0</v>
      </c>
    </row>
    <row r="3898" spans="1:9" x14ac:dyDescent="0.2">
      <c r="A3898" s="2">
        <v>4</v>
      </c>
      <c r="B3898" s="1" t="s">
        <v>302</v>
      </c>
      <c r="C3898" s="4">
        <v>5</v>
      </c>
      <c r="D3898" s="8">
        <v>4.17</v>
      </c>
      <c r="E3898" s="4">
        <v>5</v>
      </c>
      <c r="F3898" s="8">
        <v>8.33</v>
      </c>
      <c r="G3898" s="4">
        <v>0</v>
      </c>
      <c r="H3898" s="8">
        <v>0</v>
      </c>
      <c r="I3898" s="4">
        <v>0</v>
      </c>
    </row>
    <row r="3899" spans="1:9" x14ac:dyDescent="0.2">
      <c r="A3899" s="2">
        <v>7</v>
      </c>
      <c r="B3899" s="1" t="s">
        <v>292</v>
      </c>
      <c r="C3899" s="4">
        <v>4</v>
      </c>
      <c r="D3899" s="8">
        <v>3.33</v>
      </c>
      <c r="E3899" s="4">
        <v>2</v>
      </c>
      <c r="F3899" s="8">
        <v>3.33</v>
      </c>
      <c r="G3899" s="4">
        <v>2</v>
      </c>
      <c r="H3899" s="8">
        <v>4.08</v>
      </c>
      <c r="I3899" s="4">
        <v>0</v>
      </c>
    </row>
    <row r="3900" spans="1:9" x14ac:dyDescent="0.2">
      <c r="A3900" s="2">
        <v>7</v>
      </c>
      <c r="B3900" s="1" t="s">
        <v>335</v>
      </c>
      <c r="C3900" s="4">
        <v>4</v>
      </c>
      <c r="D3900" s="8">
        <v>3.33</v>
      </c>
      <c r="E3900" s="4">
        <v>3</v>
      </c>
      <c r="F3900" s="8">
        <v>5</v>
      </c>
      <c r="G3900" s="4">
        <v>1</v>
      </c>
      <c r="H3900" s="8">
        <v>2.04</v>
      </c>
      <c r="I3900" s="4">
        <v>0</v>
      </c>
    </row>
    <row r="3901" spans="1:9" x14ac:dyDescent="0.2">
      <c r="A3901" s="2">
        <v>7</v>
      </c>
      <c r="B3901" s="1" t="s">
        <v>299</v>
      </c>
      <c r="C3901" s="4">
        <v>4</v>
      </c>
      <c r="D3901" s="8">
        <v>3.33</v>
      </c>
      <c r="E3901" s="4">
        <v>4</v>
      </c>
      <c r="F3901" s="8">
        <v>6.67</v>
      </c>
      <c r="G3901" s="4">
        <v>0</v>
      </c>
      <c r="H3901" s="8">
        <v>0</v>
      </c>
      <c r="I3901" s="4">
        <v>0</v>
      </c>
    </row>
    <row r="3902" spans="1:9" x14ac:dyDescent="0.2">
      <c r="A3902" s="2">
        <v>10</v>
      </c>
      <c r="B3902" s="1" t="s">
        <v>295</v>
      </c>
      <c r="C3902" s="4">
        <v>3</v>
      </c>
      <c r="D3902" s="8">
        <v>2.5</v>
      </c>
      <c r="E3902" s="4">
        <v>0</v>
      </c>
      <c r="F3902" s="8">
        <v>0</v>
      </c>
      <c r="G3902" s="4">
        <v>3</v>
      </c>
      <c r="H3902" s="8">
        <v>6.12</v>
      </c>
      <c r="I3902" s="4">
        <v>0</v>
      </c>
    </row>
    <row r="3903" spans="1:9" x14ac:dyDescent="0.2">
      <c r="A3903" s="2">
        <v>10</v>
      </c>
      <c r="B3903" s="1" t="s">
        <v>303</v>
      </c>
      <c r="C3903" s="4">
        <v>3</v>
      </c>
      <c r="D3903" s="8">
        <v>2.5</v>
      </c>
      <c r="E3903" s="4">
        <v>3</v>
      </c>
      <c r="F3903" s="8">
        <v>5</v>
      </c>
      <c r="G3903" s="4">
        <v>0</v>
      </c>
      <c r="H3903" s="8">
        <v>0</v>
      </c>
      <c r="I3903" s="4">
        <v>0</v>
      </c>
    </row>
    <row r="3904" spans="1:9" x14ac:dyDescent="0.2">
      <c r="A3904" s="2">
        <v>12</v>
      </c>
      <c r="B3904" s="1" t="s">
        <v>328</v>
      </c>
      <c r="C3904" s="4">
        <v>2</v>
      </c>
      <c r="D3904" s="8">
        <v>1.67</v>
      </c>
      <c r="E3904" s="4">
        <v>1</v>
      </c>
      <c r="F3904" s="8">
        <v>1.67</v>
      </c>
      <c r="G3904" s="4">
        <v>1</v>
      </c>
      <c r="H3904" s="8">
        <v>2.04</v>
      </c>
      <c r="I3904" s="4">
        <v>0</v>
      </c>
    </row>
    <row r="3905" spans="1:9" x14ac:dyDescent="0.2">
      <c r="A3905" s="2">
        <v>12</v>
      </c>
      <c r="B3905" s="1" t="s">
        <v>343</v>
      </c>
      <c r="C3905" s="4">
        <v>2</v>
      </c>
      <c r="D3905" s="8">
        <v>1.67</v>
      </c>
      <c r="E3905" s="4">
        <v>2</v>
      </c>
      <c r="F3905" s="8">
        <v>3.33</v>
      </c>
      <c r="G3905" s="4">
        <v>0</v>
      </c>
      <c r="H3905" s="8">
        <v>0</v>
      </c>
      <c r="I3905" s="4">
        <v>0</v>
      </c>
    </row>
    <row r="3906" spans="1:9" x14ac:dyDescent="0.2">
      <c r="A3906" s="2">
        <v>12</v>
      </c>
      <c r="B3906" s="1" t="s">
        <v>291</v>
      </c>
      <c r="C3906" s="4">
        <v>2</v>
      </c>
      <c r="D3906" s="8">
        <v>1.67</v>
      </c>
      <c r="E3906" s="4">
        <v>1</v>
      </c>
      <c r="F3906" s="8">
        <v>1.67</v>
      </c>
      <c r="G3906" s="4">
        <v>1</v>
      </c>
      <c r="H3906" s="8">
        <v>2.04</v>
      </c>
      <c r="I3906" s="4">
        <v>0</v>
      </c>
    </row>
    <row r="3907" spans="1:9" x14ac:dyDescent="0.2">
      <c r="A3907" s="2">
        <v>12</v>
      </c>
      <c r="B3907" s="1" t="s">
        <v>350</v>
      </c>
      <c r="C3907" s="4">
        <v>2</v>
      </c>
      <c r="D3907" s="8">
        <v>1.67</v>
      </c>
      <c r="E3907" s="4">
        <v>0</v>
      </c>
      <c r="F3907" s="8">
        <v>0</v>
      </c>
      <c r="G3907" s="4">
        <v>2</v>
      </c>
      <c r="H3907" s="8">
        <v>4.08</v>
      </c>
      <c r="I3907" s="4">
        <v>0</v>
      </c>
    </row>
    <row r="3908" spans="1:9" x14ac:dyDescent="0.2">
      <c r="A3908" s="2">
        <v>12</v>
      </c>
      <c r="B3908" s="1" t="s">
        <v>354</v>
      </c>
      <c r="C3908" s="4">
        <v>2</v>
      </c>
      <c r="D3908" s="8">
        <v>1.67</v>
      </c>
      <c r="E3908" s="4">
        <v>0</v>
      </c>
      <c r="F3908" s="8">
        <v>0</v>
      </c>
      <c r="G3908" s="4">
        <v>2</v>
      </c>
      <c r="H3908" s="8">
        <v>4.08</v>
      </c>
      <c r="I3908" s="4">
        <v>0</v>
      </c>
    </row>
    <row r="3909" spans="1:9" x14ac:dyDescent="0.2">
      <c r="A3909" s="2">
        <v>12</v>
      </c>
      <c r="B3909" s="1" t="s">
        <v>402</v>
      </c>
      <c r="C3909" s="4">
        <v>2</v>
      </c>
      <c r="D3909" s="8">
        <v>1.67</v>
      </c>
      <c r="E3909" s="4">
        <v>1</v>
      </c>
      <c r="F3909" s="8">
        <v>1.67</v>
      </c>
      <c r="G3909" s="4">
        <v>1</v>
      </c>
      <c r="H3909" s="8">
        <v>2.04</v>
      </c>
      <c r="I3909" s="4">
        <v>0</v>
      </c>
    </row>
    <row r="3910" spans="1:9" x14ac:dyDescent="0.2">
      <c r="A3910" s="2">
        <v>12</v>
      </c>
      <c r="B3910" s="1" t="s">
        <v>355</v>
      </c>
      <c r="C3910" s="4">
        <v>2</v>
      </c>
      <c r="D3910" s="8">
        <v>1.67</v>
      </c>
      <c r="E3910" s="4">
        <v>0</v>
      </c>
      <c r="F3910" s="8">
        <v>0</v>
      </c>
      <c r="G3910" s="4">
        <v>2</v>
      </c>
      <c r="H3910" s="8">
        <v>4.08</v>
      </c>
      <c r="I3910" s="4">
        <v>0</v>
      </c>
    </row>
    <row r="3911" spans="1:9" x14ac:dyDescent="0.2">
      <c r="A3911" s="2">
        <v>12</v>
      </c>
      <c r="B3911" s="1" t="s">
        <v>396</v>
      </c>
      <c r="C3911" s="4">
        <v>2</v>
      </c>
      <c r="D3911" s="8">
        <v>1.67</v>
      </c>
      <c r="E3911" s="4">
        <v>0</v>
      </c>
      <c r="F3911" s="8">
        <v>0</v>
      </c>
      <c r="G3911" s="4">
        <v>2</v>
      </c>
      <c r="H3911" s="8">
        <v>4.08</v>
      </c>
      <c r="I3911" s="4">
        <v>0</v>
      </c>
    </row>
    <row r="3912" spans="1:9" x14ac:dyDescent="0.2">
      <c r="A3912" s="2">
        <v>12</v>
      </c>
      <c r="B3912" s="1" t="s">
        <v>334</v>
      </c>
      <c r="C3912" s="4">
        <v>2</v>
      </c>
      <c r="D3912" s="8">
        <v>1.67</v>
      </c>
      <c r="E3912" s="4">
        <v>1</v>
      </c>
      <c r="F3912" s="8">
        <v>1.67</v>
      </c>
      <c r="G3912" s="4">
        <v>1</v>
      </c>
      <c r="H3912" s="8">
        <v>2.04</v>
      </c>
      <c r="I3912" s="4">
        <v>0</v>
      </c>
    </row>
    <row r="3913" spans="1:9" x14ac:dyDescent="0.2">
      <c r="A3913" s="2">
        <v>12</v>
      </c>
      <c r="B3913" s="1" t="s">
        <v>300</v>
      </c>
      <c r="C3913" s="4">
        <v>2</v>
      </c>
      <c r="D3913" s="8">
        <v>1.67</v>
      </c>
      <c r="E3913" s="4">
        <v>2</v>
      </c>
      <c r="F3913" s="8">
        <v>3.33</v>
      </c>
      <c r="G3913" s="4">
        <v>0</v>
      </c>
      <c r="H3913" s="8">
        <v>0</v>
      </c>
      <c r="I3913" s="4">
        <v>0</v>
      </c>
    </row>
    <row r="3914" spans="1:9" x14ac:dyDescent="0.2">
      <c r="A3914" s="2">
        <v>12</v>
      </c>
      <c r="B3914" s="1" t="s">
        <v>340</v>
      </c>
      <c r="C3914" s="4">
        <v>2</v>
      </c>
      <c r="D3914" s="8">
        <v>1.67</v>
      </c>
      <c r="E3914" s="4">
        <v>0</v>
      </c>
      <c r="F3914" s="8">
        <v>0</v>
      </c>
      <c r="G3914" s="4">
        <v>0</v>
      </c>
      <c r="H3914" s="8">
        <v>0</v>
      </c>
      <c r="I3914" s="4">
        <v>0</v>
      </c>
    </row>
    <row r="3915" spans="1:9" x14ac:dyDescent="0.2">
      <c r="A3915" s="2">
        <v>12</v>
      </c>
      <c r="B3915" s="1" t="s">
        <v>312</v>
      </c>
      <c r="C3915" s="4">
        <v>2</v>
      </c>
      <c r="D3915" s="8">
        <v>1.67</v>
      </c>
      <c r="E3915" s="4">
        <v>1</v>
      </c>
      <c r="F3915" s="8">
        <v>1.67</v>
      </c>
      <c r="G3915" s="4">
        <v>0</v>
      </c>
      <c r="H3915" s="8">
        <v>0</v>
      </c>
      <c r="I3915" s="4">
        <v>0</v>
      </c>
    </row>
    <row r="3916" spans="1:9" x14ac:dyDescent="0.2">
      <c r="A3916" s="2">
        <v>12</v>
      </c>
      <c r="B3916" s="1" t="s">
        <v>331</v>
      </c>
      <c r="C3916" s="4">
        <v>2</v>
      </c>
      <c r="D3916" s="8">
        <v>1.67</v>
      </c>
      <c r="E3916" s="4">
        <v>0</v>
      </c>
      <c r="F3916" s="8">
        <v>0</v>
      </c>
      <c r="G3916" s="4">
        <v>0</v>
      </c>
      <c r="H3916" s="8">
        <v>0</v>
      </c>
      <c r="I3916" s="4">
        <v>0</v>
      </c>
    </row>
    <row r="3917" spans="1:9" x14ac:dyDescent="0.2">
      <c r="A3917" s="2">
        <v>12</v>
      </c>
      <c r="B3917" s="1" t="s">
        <v>370</v>
      </c>
      <c r="C3917" s="4">
        <v>2</v>
      </c>
      <c r="D3917" s="8">
        <v>1.67</v>
      </c>
      <c r="E3917" s="4">
        <v>1</v>
      </c>
      <c r="F3917" s="8">
        <v>1.67</v>
      </c>
      <c r="G3917" s="4">
        <v>0</v>
      </c>
      <c r="H3917" s="8">
        <v>0</v>
      </c>
      <c r="I3917" s="4">
        <v>0</v>
      </c>
    </row>
    <row r="3918" spans="1:9" x14ac:dyDescent="0.2">
      <c r="A3918" s="1"/>
      <c r="C3918" s="4"/>
      <c r="D3918" s="8"/>
      <c r="E3918" s="4"/>
      <c r="F3918" s="8"/>
      <c r="G3918" s="4"/>
      <c r="H3918" s="8"/>
      <c r="I3918" s="4"/>
    </row>
    <row r="3919" spans="1:9" x14ac:dyDescent="0.2">
      <c r="A3919" s="1" t="s">
        <v>131</v>
      </c>
      <c r="C3919" s="4"/>
      <c r="D3919" s="8"/>
      <c r="E3919" s="4"/>
      <c r="F3919" s="8"/>
      <c r="G3919" s="4"/>
      <c r="H3919" s="8"/>
      <c r="I3919" s="4"/>
    </row>
    <row r="3920" spans="1:9" x14ac:dyDescent="0.2">
      <c r="A3920" s="2">
        <v>1</v>
      </c>
      <c r="B3920" s="1" t="s">
        <v>297</v>
      </c>
      <c r="C3920" s="4">
        <v>7</v>
      </c>
      <c r="D3920" s="8">
        <v>8.43</v>
      </c>
      <c r="E3920" s="4">
        <v>4</v>
      </c>
      <c r="F3920" s="8">
        <v>12.5</v>
      </c>
      <c r="G3920" s="4">
        <v>3</v>
      </c>
      <c r="H3920" s="8">
        <v>6.67</v>
      </c>
      <c r="I3920" s="4">
        <v>0</v>
      </c>
    </row>
    <row r="3921" spans="1:9" x14ac:dyDescent="0.2">
      <c r="A3921" s="2">
        <v>2</v>
      </c>
      <c r="B3921" s="1" t="s">
        <v>330</v>
      </c>
      <c r="C3921" s="4">
        <v>4</v>
      </c>
      <c r="D3921" s="8">
        <v>4.82</v>
      </c>
      <c r="E3921" s="4">
        <v>0</v>
      </c>
      <c r="F3921" s="8">
        <v>0</v>
      </c>
      <c r="G3921" s="4">
        <v>4</v>
      </c>
      <c r="H3921" s="8">
        <v>8.89</v>
      </c>
      <c r="I3921" s="4">
        <v>0</v>
      </c>
    </row>
    <row r="3922" spans="1:9" x14ac:dyDescent="0.2">
      <c r="A3922" s="2">
        <v>2</v>
      </c>
      <c r="B3922" s="1" t="s">
        <v>334</v>
      </c>
      <c r="C3922" s="4">
        <v>4</v>
      </c>
      <c r="D3922" s="8">
        <v>4.82</v>
      </c>
      <c r="E3922" s="4">
        <v>1</v>
      </c>
      <c r="F3922" s="8">
        <v>3.13</v>
      </c>
      <c r="G3922" s="4">
        <v>3</v>
      </c>
      <c r="H3922" s="8">
        <v>6.67</v>
      </c>
      <c r="I3922" s="4">
        <v>0</v>
      </c>
    </row>
    <row r="3923" spans="1:9" x14ac:dyDescent="0.2">
      <c r="A3923" s="2">
        <v>2</v>
      </c>
      <c r="B3923" s="1" t="s">
        <v>300</v>
      </c>
      <c r="C3923" s="4">
        <v>4</v>
      </c>
      <c r="D3923" s="8">
        <v>4.82</v>
      </c>
      <c r="E3923" s="4">
        <v>4</v>
      </c>
      <c r="F3923" s="8">
        <v>12.5</v>
      </c>
      <c r="G3923" s="4">
        <v>0</v>
      </c>
      <c r="H3923" s="8">
        <v>0</v>
      </c>
      <c r="I3923" s="4">
        <v>0</v>
      </c>
    </row>
    <row r="3924" spans="1:9" x14ac:dyDescent="0.2">
      <c r="A3924" s="2">
        <v>5</v>
      </c>
      <c r="B3924" s="1" t="s">
        <v>301</v>
      </c>
      <c r="C3924" s="4">
        <v>3</v>
      </c>
      <c r="D3924" s="8">
        <v>3.61</v>
      </c>
      <c r="E3924" s="4">
        <v>2</v>
      </c>
      <c r="F3924" s="8">
        <v>6.25</v>
      </c>
      <c r="G3924" s="4">
        <v>1</v>
      </c>
      <c r="H3924" s="8">
        <v>2.2200000000000002</v>
      </c>
      <c r="I3924" s="4">
        <v>0</v>
      </c>
    </row>
    <row r="3925" spans="1:9" x14ac:dyDescent="0.2">
      <c r="A3925" s="2">
        <v>5</v>
      </c>
      <c r="B3925" s="1" t="s">
        <v>340</v>
      </c>
      <c r="C3925" s="4">
        <v>3</v>
      </c>
      <c r="D3925" s="8">
        <v>3.61</v>
      </c>
      <c r="E3925" s="4">
        <v>0</v>
      </c>
      <c r="F3925" s="8">
        <v>0</v>
      </c>
      <c r="G3925" s="4">
        <v>1</v>
      </c>
      <c r="H3925" s="8">
        <v>2.2200000000000002</v>
      </c>
      <c r="I3925" s="4">
        <v>0</v>
      </c>
    </row>
    <row r="3926" spans="1:9" x14ac:dyDescent="0.2">
      <c r="A3926" s="2">
        <v>5</v>
      </c>
      <c r="B3926" s="1" t="s">
        <v>331</v>
      </c>
      <c r="C3926" s="4">
        <v>3</v>
      </c>
      <c r="D3926" s="8">
        <v>3.61</v>
      </c>
      <c r="E3926" s="4">
        <v>0</v>
      </c>
      <c r="F3926" s="8">
        <v>0</v>
      </c>
      <c r="G3926" s="4">
        <v>1</v>
      </c>
      <c r="H3926" s="8">
        <v>2.2200000000000002</v>
      </c>
      <c r="I3926" s="4">
        <v>0</v>
      </c>
    </row>
    <row r="3927" spans="1:9" x14ac:dyDescent="0.2">
      <c r="A3927" s="2">
        <v>5</v>
      </c>
      <c r="B3927" s="1" t="s">
        <v>318</v>
      </c>
      <c r="C3927" s="4">
        <v>3</v>
      </c>
      <c r="D3927" s="8">
        <v>3.61</v>
      </c>
      <c r="E3927" s="4">
        <v>0</v>
      </c>
      <c r="F3927" s="8">
        <v>0</v>
      </c>
      <c r="G3927" s="4">
        <v>3</v>
      </c>
      <c r="H3927" s="8">
        <v>6.67</v>
      </c>
      <c r="I3927" s="4">
        <v>0</v>
      </c>
    </row>
    <row r="3928" spans="1:9" x14ac:dyDescent="0.2">
      <c r="A3928" s="2">
        <v>9</v>
      </c>
      <c r="B3928" s="1" t="s">
        <v>288</v>
      </c>
      <c r="C3928" s="4">
        <v>2</v>
      </c>
      <c r="D3928" s="8">
        <v>2.41</v>
      </c>
      <c r="E3928" s="4">
        <v>0</v>
      </c>
      <c r="F3928" s="8">
        <v>0</v>
      </c>
      <c r="G3928" s="4">
        <v>2</v>
      </c>
      <c r="H3928" s="8">
        <v>4.4400000000000004</v>
      </c>
      <c r="I3928" s="4">
        <v>0</v>
      </c>
    </row>
    <row r="3929" spans="1:9" x14ac:dyDescent="0.2">
      <c r="A3929" s="2">
        <v>9</v>
      </c>
      <c r="B3929" s="1" t="s">
        <v>319</v>
      </c>
      <c r="C3929" s="4">
        <v>2</v>
      </c>
      <c r="D3929" s="8">
        <v>2.41</v>
      </c>
      <c r="E3929" s="4">
        <v>1</v>
      </c>
      <c r="F3929" s="8">
        <v>3.13</v>
      </c>
      <c r="G3929" s="4">
        <v>1</v>
      </c>
      <c r="H3929" s="8">
        <v>2.2200000000000002</v>
      </c>
      <c r="I3929" s="4">
        <v>0</v>
      </c>
    </row>
    <row r="3930" spans="1:9" x14ac:dyDescent="0.2">
      <c r="A3930" s="2">
        <v>9</v>
      </c>
      <c r="B3930" s="1" t="s">
        <v>321</v>
      </c>
      <c r="C3930" s="4">
        <v>2</v>
      </c>
      <c r="D3930" s="8">
        <v>2.41</v>
      </c>
      <c r="E3930" s="4">
        <v>0</v>
      </c>
      <c r="F3930" s="8">
        <v>0</v>
      </c>
      <c r="G3930" s="4">
        <v>2</v>
      </c>
      <c r="H3930" s="8">
        <v>4.4400000000000004</v>
      </c>
      <c r="I3930" s="4">
        <v>0</v>
      </c>
    </row>
    <row r="3931" spans="1:9" x14ac:dyDescent="0.2">
      <c r="A3931" s="2">
        <v>9</v>
      </c>
      <c r="B3931" s="1" t="s">
        <v>332</v>
      </c>
      <c r="C3931" s="4">
        <v>2</v>
      </c>
      <c r="D3931" s="8">
        <v>2.41</v>
      </c>
      <c r="E3931" s="4">
        <v>1</v>
      </c>
      <c r="F3931" s="8">
        <v>3.13</v>
      </c>
      <c r="G3931" s="4">
        <v>1</v>
      </c>
      <c r="H3931" s="8">
        <v>2.2200000000000002</v>
      </c>
      <c r="I3931" s="4">
        <v>0</v>
      </c>
    </row>
    <row r="3932" spans="1:9" x14ac:dyDescent="0.2">
      <c r="A3932" s="2">
        <v>9</v>
      </c>
      <c r="B3932" s="1" t="s">
        <v>292</v>
      </c>
      <c r="C3932" s="4">
        <v>2</v>
      </c>
      <c r="D3932" s="8">
        <v>2.41</v>
      </c>
      <c r="E3932" s="4">
        <v>0</v>
      </c>
      <c r="F3932" s="8">
        <v>0</v>
      </c>
      <c r="G3932" s="4">
        <v>2</v>
      </c>
      <c r="H3932" s="8">
        <v>4.4400000000000004</v>
      </c>
      <c r="I3932" s="4">
        <v>0</v>
      </c>
    </row>
    <row r="3933" spans="1:9" x14ac:dyDescent="0.2">
      <c r="A3933" s="2">
        <v>9</v>
      </c>
      <c r="B3933" s="1" t="s">
        <v>415</v>
      </c>
      <c r="C3933" s="4">
        <v>2</v>
      </c>
      <c r="D3933" s="8">
        <v>2.41</v>
      </c>
      <c r="E3933" s="4">
        <v>0</v>
      </c>
      <c r="F3933" s="8">
        <v>0</v>
      </c>
      <c r="G3933" s="4">
        <v>2</v>
      </c>
      <c r="H3933" s="8">
        <v>4.4400000000000004</v>
      </c>
      <c r="I3933" s="4">
        <v>0</v>
      </c>
    </row>
    <row r="3934" spans="1:9" x14ac:dyDescent="0.2">
      <c r="A3934" s="2">
        <v>9</v>
      </c>
      <c r="B3934" s="1" t="s">
        <v>405</v>
      </c>
      <c r="C3934" s="4">
        <v>2</v>
      </c>
      <c r="D3934" s="8">
        <v>2.41</v>
      </c>
      <c r="E3934" s="4">
        <v>1</v>
      </c>
      <c r="F3934" s="8">
        <v>3.13</v>
      </c>
      <c r="G3934" s="4">
        <v>1</v>
      </c>
      <c r="H3934" s="8">
        <v>2.2200000000000002</v>
      </c>
      <c r="I3934" s="4">
        <v>0</v>
      </c>
    </row>
    <row r="3935" spans="1:9" x14ac:dyDescent="0.2">
      <c r="A3935" s="2">
        <v>9</v>
      </c>
      <c r="B3935" s="1" t="s">
        <v>303</v>
      </c>
      <c r="C3935" s="4">
        <v>2</v>
      </c>
      <c r="D3935" s="8">
        <v>2.41</v>
      </c>
      <c r="E3935" s="4">
        <v>2</v>
      </c>
      <c r="F3935" s="8">
        <v>6.25</v>
      </c>
      <c r="G3935" s="4">
        <v>0</v>
      </c>
      <c r="H3935" s="8">
        <v>0</v>
      </c>
      <c r="I3935" s="4">
        <v>0</v>
      </c>
    </row>
    <row r="3936" spans="1:9" x14ac:dyDescent="0.2">
      <c r="A3936" s="2">
        <v>9</v>
      </c>
      <c r="B3936" s="1" t="s">
        <v>305</v>
      </c>
      <c r="C3936" s="4">
        <v>2</v>
      </c>
      <c r="D3936" s="8">
        <v>2.41</v>
      </c>
      <c r="E3936" s="4">
        <v>2</v>
      </c>
      <c r="F3936" s="8">
        <v>6.25</v>
      </c>
      <c r="G3936" s="4">
        <v>0</v>
      </c>
      <c r="H3936" s="8">
        <v>0</v>
      </c>
      <c r="I3936" s="4">
        <v>0</v>
      </c>
    </row>
    <row r="3937" spans="1:9" x14ac:dyDescent="0.2">
      <c r="A3937" s="2">
        <v>18</v>
      </c>
      <c r="B3937" s="1" t="s">
        <v>501</v>
      </c>
      <c r="C3937" s="4">
        <v>1</v>
      </c>
      <c r="D3937" s="8">
        <v>1.2</v>
      </c>
      <c r="E3937" s="4">
        <v>0</v>
      </c>
      <c r="F3937" s="8">
        <v>0</v>
      </c>
      <c r="G3937" s="4">
        <v>1</v>
      </c>
      <c r="H3937" s="8">
        <v>2.2200000000000002</v>
      </c>
      <c r="I3937" s="4">
        <v>0</v>
      </c>
    </row>
    <row r="3938" spans="1:9" x14ac:dyDescent="0.2">
      <c r="A3938" s="2">
        <v>18</v>
      </c>
      <c r="B3938" s="1" t="s">
        <v>450</v>
      </c>
      <c r="C3938" s="4">
        <v>1</v>
      </c>
      <c r="D3938" s="8">
        <v>1.2</v>
      </c>
      <c r="E3938" s="4">
        <v>1</v>
      </c>
      <c r="F3938" s="8">
        <v>3.13</v>
      </c>
      <c r="G3938" s="4">
        <v>0</v>
      </c>
      <c r="H3938" s="8">
        <v>0</v>
      </c>
      <c r="I3938" s="4">
        <v>0</v>
      </c>
    </row>
    <row r="3939" spans="1:9" x14ac:dyDescent="0.2">
      <c r="A3939" s="2">
        <v>18</v>
      </c>
      <c r="B3939" s="1" t="s">
        <v>333</v>
      </c>
      <c r="C3939" s="4">
        <v>1</v>
      </c>
      <c r="D3939" s="8">
        <v>1.2</v>
      </c>
      <c r="E3939" s="4">
        <v>0</v>
      </c>
      <c r="F3939" s="8">
        <v>0</v>
      </c>
      <c r="G3939" s="4">
        <v>1</v>
      </c>
      <c r="H3939" s="8">
        <v>2.2200000000000002</v>
      </c>
      <c r="I3939" s="4">
        <v>0</v>
      </c>
    </row>
    <row r="3940" spans="1:9" x14ac:dyDescent="0.2">
      <c r="A3940" s="2">
        <v>18</v>
      </c>
      <c r="B3940" s="1" t="s">
        <v>308</v>
      </c>
      <c r="C3940" s="4">
        <v>1</v>
      </c>
      <c r="D3940" s="8">
        <v>1.2</v>
      </c>
      <c r="E3940" s="4">
        <v>1</v>
      </c>
      <c r="F3940" s="8">
        <v>3.13</v>
      </c>
      <c r="G3940" s="4">
        <v>0</v>
      </c>
      <c r="H3940" s="8">
        <v>0</v>
      </c>
      <c r="I3940" s="4">
        <v>0</v>
      </c>
    </row>
    <row r="3941" spans="1:9" x14ac:dyDescent="0.2">
      <c r="A3941" s="2">
        <v>18</v>
      </c>
      <c r="B3941" s="1" t="s">
        <v>437</v>
      </c>
      <c r="C3941" s="4">
        <v>1</v>
      </c>
      <c r="D3941" s="8">
        <v>1.2</v>
      </c>
      <c r="E3941" s="4">
        <v>0</v>
      </c>
      <c r="F3941" s="8">
        <v>0</v>
      </c>
      <c r="G3941" s="4">
        <v>1</v>
      </c>
      <c r="H3941" s="8">
        <v>2.2200000000000002</v>
      </c>
      <c r="I3941" s="4">
        <v>0</v>
      </c>
    </row>
    <row r="3942" spans="1:9" x14ac:dyDescent="0.2">
      <c r="A3942" s="2">
        <v>18</v>
      </c>
      <c r="B3942" s="1" t="s">
        <v>502</v>
      </c>
      <c r="C3942" s="4">
        <v>1</v>
      </c>
      <c r="D3942" s="8">
        <v>1.2</v>
      </c>
      <c r="E3942" s="4">
        <v>0</v>
      </c>
      <c r="F3942" s="8">
        <v>0</v>
      </c>
      <c r="G3942" s="4">
        <v>1</v>
      </c>
      <c r="H3942" s="8">
        <v>2.2200000000000002</v>
      </c>
      <c r="I3942" s="4">
        <v>0</v>
      </c>
    </row>
    <row r="3943" spans="1:9" x14ac:dyDescent="0.2">
      <c r="A3943" s="2">
        <v>18</v>
      </c>
      <c r="B3943" s="1" t="s">
        <v>432</v>
      </c>
      <c r="C3943" s="4">
        <v>1</v>
      </c>
      <c r="D3943" s="8">
        <v>1.2</v>
      </c>
      <c r="E3943" s="4">
        <v>0</v>
      </c>
      <c r="F3943" s="8">
        <v>0</v>
      </c>
      <c r="G3943" s="4">
        <v>1</v>
      </c>
      <c r="H3943" s="8">
        <v>2.2200000000000002</v>
      </c>
      <c r="I3943" s="4">
        <v>0</v>
      </c>
    </row>
    <row r="3944" spans="1:9" x14ac:dyDescent="0.2">
      <c r="A3944" s="2">
        <v>18</v>
      </c>
      <c r="B3944" s="1" t="s">
        <v>486</v>
      </c>
      <c r="C3944" s="4">
        <v>1</v>
      </c>
      <c r="D3944" s="8">
        <v>1.2</v>
      </c>
      <c r="E3944" s="4">
        <v>0</v>
      </c>
      <c r="F3944" s="8">
        <v>0</v>
      </c>
      <c r="G3944" s="4">
        <v>1</v>
      </c>
      <c r="H3944" s="8">
        <v>2.2200000000000002</v>
      </c>
      <c r="I3944" s="4">
        <v>0</v>
      </c>
    </row>
    <row r="3945" spans="1:9" x14ac:dyDescent="0.2">
      <c r="A3945" s="2">
        <v>18</v>
      </c>
      <c r="B3945" s="1" t="s">
        <v>451</v>
      </c>
      <c r="C3945" s="4">
        <v>1</v>
      </c>
      <c r="D3945" s="8">
        <v>1.2</v>
      </c>
      <c r="E3945" s="4">
        <v>1</v>
      </c>
      <c r="F3945" s="8">
        <v>3.13</v>
      </c>
      <c r="G3945" s="4">
        <v>0</v>
      </c>
      <c r="H3945" s="8">
        <v>0</v>
      </c>
      <c r="I3945" s="4">
        <v>0</v>
      </c>
    </row>
    <row r="3946" spans="1:9" x14ac:dyDescent="0.2">
      <c r="A3946" s="2">
        <v>18</v>
      </c>
      <c r="B3946" s="1" t="s">
        <v>387</v>
      </c>
      <c r="C3946" s="4">
        <v>1</v>
      </c>
      <c r="D3946" s="8">
        <v>1.2</v>
      </c>
      <c r="E3946" s="4">
        <v>0</v>
      </c>
      <c r="F3946" s="8">
        <v>0</v>
      </c>
      <c r="G3946" s="4">
        <v>1</v>
      </c>
      <c r="H3946" s="8">
        <v>2.2200000000000002</v>
      </c>
      <c r="I3946" s="4">
        <v>0</v>
      </c>
    </row>
    <row r="3947" spans="1:9" x14ac:dyDescent="0.2">
      <c r="A3947" s="2">
        <v>18</v>
      </c>
      <c r="B3947" s="1" t="s">
        <v>362</v>
      </c>
      <c r="C3947" s="4">
        <v>1</v>
      </c>
      <c r="D3947" s="8">
        <v>1.2</v>
      </c>
      <c r="E3947" s="4">
        <v>0</v>
      </c>
      <c r="F3947" s="8">
        <v>0</v>
      </c>
      <c r="G3947" s="4">
        <v>0</v>
      </c>
      <c r="H3947" s="8">
        <v>0</v>
      </c>
      <c r="I3947" s="4">
        <v>0</v>
      </c>
    </row>
    <row r="3948" spans="1:9" x14ac:dyDescent="0.2">
      <c r="A3948" s="2">
        <v>18</v>
      </c>
      <c r="B3948" s="1" t="s">
        <v>407</v>
      </c>
      <c r="C3948" s="4">
        <v>1</v>
      </c>
      <c r="D3948" s="8">
        <v>1.2</v>
      </c>
      <c r="E3948" s="4">
        <v>0</v>
      </c>
      <c r="F3948" s="8">
        <v>0</v>
      </c>
      <c r="G3948" s="4">
        <v>1</v>
      </c>
      <c r="H3948" s="8">
        <v>2.2200000000000002</v>
      </c>
      <c r="I3948" s="4">
        <v>0</v>
      </c>
    </row>
    <row r="3949" spans="1:9" x14ac:dyDescent="0.2">
      <c r="A3949" s="2">
        <v>18</v>
      </c>
      <c r="B3949" s="1" t="s">
        <v>503</v>
      </c>
      <c r="C3949" s="4">
        <v>1</v>
      </c>
      <c r="D3949" s="8">
        <v>1.2</v>
      </c>
      <c r="E3949" s="4">
        <v>1</v>
      </c>
      <c r="F3949" s="8">
        <v>3.13</v>
      </c>
      <c r="G3949" s="4">
        <v>0</v>
      </c>
      <c r="H3949" s="8">
        <v>0</v>
      </c>
      <c r="I3949" s="4">
        <v>0</v>
      </c>
    </row>
    <row r="3950" spans="1:9" x14ac:dyDescent="0.2">
      <c r="A3950" s="2">
        <v>18</v>
      </c>
      <c r="B3950" s="1" t="s">
        <v>490</v>
      </c>
      <c r="C3950" s="4">
        <v>1</v>
      </c>
      <c r="D3950" s="8">
        <v>1.2</v>
      </c>
      <c r="E3950" s="4">
        <v>0</v>
      </c>
      <c r="F3950" s="8">
        <v>0</v>
      </c>
      <c r="G3950" s="4">
        <v>1</v>
      </c>
      <c r="H3950" s="8">
        <v>2.2200000000000002</v>
      </c>
      <c r="I3950" s="4">
        <v>0</v>
      </c>
    </row>
    <row r="3951" spans="1:9" x14ac:dyDescent="0.2">
      <c r="A3951" s="2">
        <v>18</v>
      </c>
      <c r="B3951" s="1" t="s">
        <v>309</v>
      </c>
      <c r="C3951" s="4">
        <v>1</v>
      </c>
      <c r="D3951" s="8">
        <v>1.2</v>
      </c>
      <c r="E3951" s="4">
        <v>0</v>
      </c>
      <c r="F3951" s="8">
        <v>0</v>
      </c>
      <c r="G3951" s="4">
        <v>1</v>
      </c>
      <c r="H3951" s="8">
        <v>2.2200000000000002</v>
      </c>
      <c r="I3951" s="4">
        <v>0</v>
      </c>
    </row>
    <row r="3952" spans="1:9" x14ac:dyDescent="0.2">
      <c r="A3952" s="2">
        <v>18</v>
      </c>
      <c r="B3952" s="1" t="s">
        <v>366</v>
      </c>
      <c r="C3952" s="4">
        <v>1</v>
      </c>
      <c r="D3952" s="8">
        <v>1.2</v>
      </c>
      <c r="E3952" s="4">
        <v>1</v>
      </c>
      <c r="F3952" s="8">
        <v>3.13</v>
      </c>
      <c r="G3952" s="4">
        <v>0</v>
      </c>
      <c r="H3952" s="8">
        <v>0</v>
      </c>
      <c r="I3952" s="4">
        <v>0</v>
      </c>
    </row>
    <row r="3953" spans="1:9" x14ac:dyDescent="0.2">
      <c r="A3953" s="2">
        <v>18</v>
      </c>
      <c r="B3953" s="1" t="s">
        <v>329</v>
      </c>
      <c r="C3953" s="4">
        <v>1</v>
      </c>
      <c r="D3953" s="8">
        <v>1.2</v>
      </c>
      <c r="E3953" s="4">
        <v>1</v>
      </c>
      <c r="F3953" s="8">
        <v>3.13</v>
      </c>
      <c r="G3953" s="4">
        <v>0</v>
      </c>
      <c r="H3953" s="8">
        <v>0</v>
      </c>
      <c r="I3953" s="4">
        <v>0</v>
      </c>
    </row>
    <row r="3954" spans="1:9" x14ac:dyDescent="0.2">
      <c r="A3954" s="2">
        <v>18</v>
      </c>
      <c r="B3954" s="1" t="s">
        <v>389</v>
      </c>
      <c r="C3954" s="4">
        <v>1</v>
      </c>
      <c r="D3954" s="8">
        <v>1.2</v>
      </c>
      <c r="E3954" s="4">
        <v>1</v>
      </c>
      <c r="F3954" s="8">
        <v>3.13</v>
      </c>
      <c r="G3954" s="4">
        <v>0</v>
      </c>
      <c r="H3954" s="8">
        <v>0</v>
      </c>
      <c r="I3954" s="4">
        <v>0</v>
      </c>
    </row>
    <row r="3955" spans="1:9" x14ac:dyDescent="0.2">
      <c r="A3955" s="2">
        <v>18</v>
      </c>
      <c r="B3955" s="1" t="s">
        <v>294</v>
      </c>
      <c r="C3955" s="4">
        <v>1</v>
      </c>
      <c r="D3955" s="8">
        <v>1.2</v>
      </c>
      <c r="E3955" s="4">
        <v>0</v>
      </c>
      <c r="F3955" s="8">
        <v>0</v>
      </c>
      <c r="G3955" s="4">
        <v>1</v>
      </c>
      <c r="H3955" s="8">
        <v>2.2200000000000002</v>
      </c>
      <c r="I3955" s="4">
        <v>0</v>
      </c>
    </row>
    <row r="3956" spans="1:9" x14ac:dyDescent="0.2">
      <c r="A3956" s="2">
        <v>18</v>
      </c>
      <c r="B3956" s="1" t="s">
        <v>295</v>
      </c>
      <c r="C3956" s="4">
        <v>1</v>
      </c>
      <c r="D3956" s="8">
        <v>1.2</v>
      </c>
      <c r="E3956" s="4">
        <v>0</v>
      </c>
      <c r="F3956" s="8">
        <v>0</v>
      </c>
      <c r="G3956" s="4">
        <v>1</v>
      </c>
      <c r="H3956" s="8">
        <v>2.2200000000000002</v>
      </c>
      <c r="I3956" s="4">
        <v>0</v>
      </c>
    </row>
    <row r="3957" spans="1:9" x14ac:dyDescent="0.2">
      <c r="A3957" s="2">
        <v>18</v>
      </c>
      <c r="B3957" s="1" t="s">
        <v>344</v>
      </c>
      <c r="C3957" s="4">
        <v>1</v>
      </c>
      <c r="D3957" s="8">
        <v>1.2</v>
      </c>
      <c r="E3957" s="4">
        <v>1</v>
      </c>
      <c r="F3957" s="8">
        <v>3.13</v>
      </c>
      <c r="G3957" s="4">
        <v>0</v>
      </c>
      <c r="H3957" s="8">
        <v>0</v>
      </c>
      <c r="I3957" s="4">
        <v>0</v>
      </c>
    </row>
    <row r="3958" spans="1:9" x14ac:dyDescent="0.2">
      <c r="A3958" s="2">
        <v>18</v>
      </c>
      <c r="B3958" s="1" t="s">
        <v>296</v>
      </c>
      <c r="C3958" s="4">
        <v>1</v>
      </c>
      <c r="D3958" s="8">
        <v>1.2</v>
      </c>
      <c r="E3958" s="4">
        <v>1</v>
      </c>
      <c r="F3958" s="8">
        <v>3.13</v>
      </c>
      <c r="G3958" s="4">
        <v>0</v>
      </c>
      <c r="H3958" s="8">
        <v>0</v>
      </c>
      <c r="I3958" s="4">
        <v>0</v>
      </c>
    </row>
    <row r="3959" spans="1:9" x14ac:dyDescent="0.2">
      <c r="A3959" s="2">
        <v>18</v>
      </c>
      <c r="B3959" s="1" t="s">
        <v>396</v>
      </c>
      <c r="C3959" s="4">
        <v>1</v>
      </c>
      <c r="D3959" s="8">
        <v>1.2</v>
      </c>
      <c r="E3959" s="4">
        <v>0</v>
      </c>
      <c r="F3959" s="8">
        <v>0</v>
      </c>
      <c r="G3959" s="4">
        <v>1</v>
      </c>
      <c r="H3959" s="8">
        <v>2.2200000000000002</v>
      </c>
      <c r="I3959" s="4">
        <v>0</v>
      </c>
    </row>
    <row r="3960" spans="1:9" x14ac:dyDescent="0.2">
      <c r="A3960" s="2">
        <v>18</v>
      </c>
      <c r="B3960" s="1" t="s">
        <v>298</v>
      </c>
      <c r="C3960" s="4">
        <v>1</v>
      </c>
      <c r="D3960" s="8">
        <v>1.2</v>
      </c>
      <c r="E3960" s="4">
        <v>0</v>
      </c>
      <c r="F3960" s="8">
        <v>0</v>
      </c>
      <c r="G3960" s="4">
        <v>1</v>
      </c>
      <c r="H3960" s="8">
        <v>2.2200000000000002</v>
      </c>
      <c r="I3960" s="4">
        <v>0</v>
      </c>
    </row>
    <row r="3961" spans="1:9" x14ac:dyDescent="0.2">
      <c r="A3961" s="2">
        <v>18</v>
      </c>
      <c r="B3961" s="1" t="s">
        <v>339</v>
      </c>
      <c r="C3961" s="4">
        <v>1</v>
      </c>
      <c r="D3961" s="8">
        <v>1.2</v>
      </c>
      <c r="E3961" s="4">
        <v>0</v>
      </c>
      <c r="F3961" s="8">
        <v>0</v>
      </c>
      <c r="G3961" s="4">
        <v>1</v>
      </c>
      <c r="H3961" s="8">
        <v>2.2200000000000002</v>
      </c>
      <c r="I3961" s="4">
        <v>0</v>
      </c>
    </row>
    <row r="3962" spans="1:9" x14ac:dyDescent="0.2">
      <c r="A3962" s="2">
        <v>18</v>
      </c>
      <c r="B3962" s="1" t="s">
        <v>422</v>
      </c>
      <c r="C3962" s="4">
        <v>1</v>
      </c>
      <c r="D3962" s="8">
        <v>1.2</v>
      </c>
      <c r="E3962" s="4">
        <v>1</v>
      </c>
      <c r="F3962" s="8">
        <v>3.13</v>
      </c>
      <c r="G3962" s="4">
        <v>0</v>
      </c>
      <c r="H3962" s="8">
        <v>0</v>
      </c>
      <c r="I3962" s="4">
        <v>0</v>
      </c>
    </row>
    <row r="3963" spans="1:9" x14ac:dyDescent="0.2">
      <c r="A3963" s="2">
        <v>18</v>
      </c>
      <c r="B3963" s="1" t="s">
        <v>299</v>
      </c>
      <c r="C3963" s="4">
        <v>1</v>
      </c>
      <c r="D3963" s="8">
        <v>1.2</v>
      </c>
      <c r="E3963" s="4">
        <v>1</v>
      </c>
      <c r="F3963" s="8">
        <v>3.13</v>
      </c>
      <c r="G3963" s="4">
        <v>0</v>
      </c>
      <c r="H3963" s="8">
        <v>0</v>
      </c>
      <c r="I3963" s="4">
        <v>0</v>
      </c>
    </row>
    <row r="3964" spans="1:9" x14ac:dyDescent="0.2">
      <c r="A3964" s="2">
        <v>18</v>
      </c>
      <c r="B3964" s="1" t="s">
        <v>304</v>
      </c>
      <c r="C3964" s="4">
        <v>1</v>
      </c>
      <c r="D3964" s="8">
        <v>1.2</v>
      </c>
      <c r="E3964" s="4">
        <v>1</v>
      </c>
      <c r="F3964" s="8">
        <v>3.13</v>
      </c>
      <c r="G3964" s="4">
        <v>0</v>
      </c>
      <c r="H3964" s="8">
        <v>0</v>
      </c>
      <c r="I3964" s="4">
        <v>0</v>
      </c>
    </row>
    <row r="3965" spans="1:9" x14ac:dyDescent="0.2">
      <c r="A3965" s="2">
        <v>18</v>
      </c>
      <c r="B3965" s="1" t="s">
        <v>306</v>
      </c>
      <c r="C3965" s="4">
        <v>1</v>
      </c>
      <c r="D3965" s="8">
        <v>1.2</v>
      </c>
      <c r="E3965" s="4">
        <v>1</v>
      </c>
      <c r="F3965" s="8">
        <v>3.13</v>
      </c>
      <c r="G3965" s="4">
        <v>0</v>
      </c>
      <c r="H3965" s="8">
        <v>0</v>
      </c>
      <c r="I3965" s="4">
        <v>0</v>
      </c>
    </row>
    <row r="3966" spans="1:9" x14ac:dyDescent="0.2">
      <c r="A3966" s="2">
        <v>18</v>
      </c>
      <c r="B3966" s="1" t="s">
        <v>341</v>
      </c>
      <c r="C3966" s="4">
        <v>1</v>
      </c>
      <c r="D3966" s="8">
        <v>1.2</v>
      </c>
      <c r="E3966" s="4">
        <v>0</v>
      </c>
      <c r="F3966" s="8">
        <v>0</v>
      </c>
      <c r="G3966" s="4">
        <v>0</v>
      </c>
      <c r="H3966" s="8">
        <v>0</v>
      </c>
      <c r="I3966" s="4">
        <v>0</v>
      </c>
    </row>
    <row r="3967" spans="1:9" x14ac:dyDescent="0.2">
      <c r="A3967" s="2">
        <v>18</v>
      </c>
      <c r="B3967" s="1" t="s">
        <v>347</v>
      </c>
      <c r="C3967" s="4">
        <v>1</v>
      </c>
      <c r="D3967" s="8">
        <v>1.2</v>
      </c>
      <c r="E3967" s="4">
        <v>0</v>
      </c>
      <c r="F3967" s="8">
        <v>0</v>
      </c>
      <c r="G3967" s="4">
        <v>1</v>
      </c>
      <c r="H3967" s="8">
        <v>2.2200000000000002</v>
      </c>
      <c r="I3967" s="4">
        <v>0</v>
      </c>
    </row>
    <row r="3968" spans="1:9" x14ac:dyDescent="0.2">
      <c r="A3968" s="2">
        <v>18</v>
      </c>
      <c r="B3968" s="1" t="s">
        <v>307</v>
      </c>
      <c r="C3968" s="4">
        <v>1</v>
      </c>
      <c r="D3968" s="8">
        <v>1.2</v>
      </c>
      <c r="E3968" s="4">
        <v>0</v>
      </c>
      <c r="F3968" s="8">
        <v>0</v>
      </c>
      <c r="G3968" s="4">
        <v>1</v>
      </c>
      <c r="H3968" s="8">
        <v>2.2200000000000002</v>
      </c>
      <c r="I3968" s="4">
        <v>0</v>
      </c>
    </row>
    <row r="3969" spans="1:9" x14ac:dyDescent="0.2">
      <c r="A3969" s="2">
        <v>18</v>
      </c>
      <c r="B3969" s="1" t="s">
        <v>371</v>
      </c>
      <c r="C3969" s="4">
        <v>1</v>
      </c>
      <c r="D3969" s="8">
        <v>1.2</v>
      </c>
      <c r="E3969" s="4">
        <v>1</v>
      </c>
      <c r="F3969" s="8">
        <v>3.13</v>
      </c>
      <c r="G3969" s="4">
        <v>0</v>
      </c>
      <c r="H3969" s="8">
        <v>0</v>
      </c>
      <c r="I3969" s="4">
        <v>0</v>
      </c>
    </row>
    <row r="3970" spans="1:9" x14ac:dyDescent="0.2">
      <c r="A3970" s="2">
        <v>18</v>
      </c>
      <c r="B3970" s="1" t="s">
        <v>348</v>
      </c>
      <c r="C3970" s="4">
        <v>1</v>
      </c>
      <c r="D3970" s="8">
        <v>1.2</v>
      </c>
      <c r="E3970" s="4">
        <v>0</v>
      </c>
      <c r="F3970" s="8">
        <v>0</v>
      </c>
      <c r="G3970" s="4">
        <v>1</v>
      </c>
      <c r="H3970" s="8">
        <v>2.2200000000000002</v>
      </c>
      <c r="I3970" s="4">
        <v>0</v>
      </c>
    </row>
    <row r="3971" spans="1:9" x14ac:dyDescent="0.2">
      <c r="A3971" s="1"/>
      <c r="C3971" s="4"/>
      <c r="D3971" s="8"/>
      <c r="E3971" s="4"/>
      <c r="F3971" s="8"/>
      <c r="G3971" s="4"/>
      <c r="H3971" s="8"/>
      <c r="I3971" s="4"/>
    </row>
    <row r="3972" spans="1:9" x14ac:dyDescent="0.2">
      <c r="A3972" s="1" t="s">
        <v>132</v>
      </c>
      <c r="C3972" s="4"/>
      <c r="D3972" s="8"/>
      <c r="E3972" s="4"/>
      <c r="F3972" s="8"/>
      <c r="G3972" s="4"/>
      <c r="H3972" s="8"/>
      <c r="I3972" s="4"/>
    </row>
    <row r="3973" spans="1:9" x14ac:dyDescent="0.2">
      <c r="A3973" s="2">
        <v>1</v>
      </c>
      <c r="B3973" s="1" t="s">
        <v>304</v>
      </c>
      <c r="C3973" s="4">
        <v>35</v>
      </c>
      <c r="D3973" s="8">
        <v>7.9</v>
      </c>
      <c r="E3973" s="4">
        <v>34</v>
      </c>
      <c r="F3973" s="8">
        <v>12.73</v>
      </c>
      <c r="G3973" s="4">
        <v>1</v>
      </c>
      <c r="H3973" s="8">
        <v>0.59</v>
      </c>
      <c r="I3973" s="4">
        <v>0</v>
      </c>
    </row>
    <row r="3974" spans="1:9" x14ac:dyDescent="0.2">
      <c r="A3974" s="2">
        <v>2</v>
      </c>
      <c r="B3974" s="1" t="s">
        <v>301</v>
      </c>
      <c r="C3974" s="4">
        <v>28</v>
      </c>
      <c r="D3974" s="8">
        <v>6.32</v>
      </c>
      <c r="E3974" s="4">
        <v>28</v>
      </c>
      <c r="F3974" s="8">
        <v>10.49</v>
      </c>
      <c r="G3974" s="4">
        <v>0</v>
      </c>
      <c r="H3974" s="8">
        <v>0</v>
      </c>
      <c r="I3974" s="4">
        <v>0</v>
      </c>
    </row>
    <row r="3975" spans="1:9" x14ac:dyDescent="0.2">
      <c r="A3975" s="2">
        <v>3</v>
      </c>
      <c r="B3975" s="1" t="s">
        <v>303</v>
      </c>
      <c r="C3975" s="4">
        <v>24</v>
      </c>
      <c r="D3975" s="8">
        <v>5.42</v>
      </c>
      <c r="E3975" s="4">
        <v>24</v>
      </c>
      <c r="F3975" s="8">
        <v>8.99</v>
      </c>
      <c r="G3975" s="4">
        <v>0</v>
      </c>
      <c r="H3975" s="8">
        <v>0</v>
      </c>
      <c r="I3975" s="4">
        <v>0</v>
      </c>
    </row>
    <row r="3976" spans="1:9" x14ac:dyDescent="0.2">
      <c r="A3976" s="2">
        <v>4</v>
      </c>
      <c r="B3976" s="1" t="s">
        <v>297</v>
      </c>
      <c r="C3976" s="4">
        <v>19</v>
      </c>
      <c r="D3976" s="8">
        <v>4.29</v>
      </c>
      <c r="E3976" s="4">
        <v>14</v>
      </c>
      <c r="F3976" s="8">
        <v>5.24</v>
      </c>
      <c r="G3976" s="4">
        <v>4</v>
      </c>
      <c r="H3976" s="8">
        <v>2.37</v>
      </c>
      <c r="I3976" s="4">
        <v>0</v>
      </c>
    </row>
    <row r="3977" spans="1:9" x14ac:dyDescent="0.2">
      <c r="A3977" s="2">
        <v>5</v>
      </c>
      <c r="B3977" s="1" t="s">
        <v>299</v>
      </c>
      <c r="C3977" s="4">
        <v>15</v>
      </c>
      <c r="D3977" s="8">
        <v>3.39</v>
      </c>
      <c r="E3977" s="4">
        <v>14</v>
      </c>
      <c r="F3977" s="8">
        <v>5.24</v>
      </c>
      <c r="G3977" s="4">
        <v>1</v>
      </c>
      <c r="H3977" s="8">
        <v>0.59</v>
      </c>
      <c r="I3977" s="4">
        <v>0</v>
      </c>
    </row>
    <row r="3978" spans="1:9" x14ac:dyDescent="0.2">
      <c r="A3978" s="2">
        <v>6</v>
      </c>
      <c r="B3978" s="1" t="s">
        <v>329</v>
      </c>
      <c r="C3978" s="4">
        <v>12</v>
      </c>
      <c r="D3978" s="8">
        <v>2.71</v>
      </c>
      <c r="E3978" s="4">
        <v>9</v>
      </c>
      <c r="F3978" s="8">
        <v>3.37</v>
      </c>
      <c r="G3978" s="4">
        <v>3</v>
      </c>
      <c r="H3978" s="8">
        <v>1.78</v>
      </c>
      <c r="I3978" s="4">
        <v>0</v>
      </c>
    </row>
    <row r="3979" spans="1:9" x14ac:dyDescent="0.2">
      <c r="A3979" s="2">
        <v>6</v>
      </c>
      <c r="B3979" s="1" t="s">
        <v>295</v>
      </c>
      <c r="C3979" s="4">
        <v>12</v>
      </c>
      <c r="D3979" s="8">
        <v>2.71</v>
      </c>
      <c r="E3979" s="4">
        <v>4</v>
      </c>
      <c r="F3979" s="8">
        <v>1.5</v>
      </c>
      <c r="G3979" s="4">
        <v>8</v>
      </c>
      <c r="H3979" s="8">
        <v>4.7300000000000004</v>
      </c>
      <c r="I3979" s="4">
        <v>0</v>
      </c>
    </row>
    <row r="3980" spans="1:9" x14ac:dyDescent="0.2">
      <c r="A3980" s="2">
        <v>6</v>
      </c>
      <c r="B3980" s="1" t="s">
        <v>300</v>
      </c>
      <c r="C3980" s="4">
        <v>12</v>
      </c>
      <c r="D3980" s="8">
        <v>2.71</v>
      </c>
      <c r="E3980" s="4">
        <v>10</v>
      </c>
      <c r="F3980" s="8">
        <v>3.75</v>
      </c>
      <c r="G3980" s="4">
        <v>2</v>
      </c>
      <c r="H3980" s="8">
        <v>1.18</v>
      </c>
      <c r="I3980" s="4">
        <v>0</v>
      </c>
    </row>
    <row r="3981" spans="1:9" x14ac:dyDescent="0.2">
      <c r="A3981" s="2">
        <v>9</v>
      </c>
      <c r="B3981" s="1" t="s">
        <v>330</v>
      </c>
      <c r="C3981" s="4">
        <v>10</v>
      </c>
      <c r="D3981" s="8">
        <v>2.2599999999999998</v>
      </c>
      <c r="E3981" s="4">
        <v>0</v>
      </c>
      <c r="F3981" s="8">
        <v>0</v>
      </c>
      <c r="G3981" s="4">
        <v>10</v>
      </c>
      <c r="H3981" s="8">
        <v>5.92</v>
      </c>
      <c r="I3981" s="4">
        <v>0</v>
      </c>
    </row>
    <row r="3982" spans="1:9" x14ac:dyDescent="0.2">
      <c r="A3982" s="2">
        <v>9</v>
      </c>
      <c r="B3982" s="1" t="s">
        <v>306</v>
      </c>
      <c r="C3982" s="4">
        <v>10</v>
      </c>
      <c r="D3982" s="8">
        <v>2.2599999999999998</v>
      </c>
      <c r="E3982" s="4">
        <v>10</v>
      </c>
      <c r="F3982" s="8">
        <v>3.75</v>
      </c>
      <c r="G3982" s="4">
        <v>0</v>
      </c>
      <c r="H3982" s="8">
        <v>0</v>
      </c>
      <c r="I3982" s="4">
        <v>0</v>
      </c>
    </row>
    <row r="3983" spans="1:9" x14ac:dyDescent="0.2">
      <c r="A3983" s="2">
        <v>11</v>
      </c>
      <c r="B3983" s="1" t="s">
        <v>328</v>
      </c>
      <c r="C3983" s="4">
        <v>9</v>
      </c>
      <c r="D3983" s="8">
        <v>2.0299999999999998</v>
      </c>
      <c r="E3983" s="4">
        <v>3</v>
      </c>
      <c r="F3983" s="8">
        <v>1.1200000000000001</v>
      </c>
      <c r="G3983" s="4">
        <v>6</v>
      </c>
      <c r="H3983" s="8">
        <v>3.55</v>
      </c>
      <c r="I3983" s="4">
        <v>0</v>
      </c>
    </row>
    <row r="3984" spans="1:9" x14ac:dyDescent="0.2">
      <c r="A3984" s="2">
        <v>11</v>
      </c>
      <c r="B3984" s="1" t="s">
        <v>335</v>
      </c>
      <c r="C3984" s="4">
        <v>9</v>
      </c>
      <c r="D3984" s="8">
        <v>2.0299999999999998</v>
      </c>
      <c r="E3984" s="4">
        <v>3</v>
      </c>
      <c r="F3984" s="8">
        <v>1.1200000000000001</v>
      </c>
      <c r="G3984" s="4">
        <v>6</v>
      </c>
      <c r="H3984" s="8">
        <v>3.55</v>
      </c>
      <c r="I3984" s="4">
        <v>0</v>
      </c>
    </row>
    <row r="3985" spans="1:9" x14ac:dyDescent="0.2">
      <c r="A3985" s="2">
        <v>11</v>
      </c>
      <c r="B3985" s="1" t="s">
        <v>307</v>
      </c>
      <c r="C3985" s="4">
        <v>9</v>
      </c>
      <c r="D3985" s="8">
        <v>2.0299999999999998</v>
      </c>
      <c r="E3985" s="4">
        <v>9</v>
      </c>
      <c r="F3985" s="8">
        <v>3.37</v>
      </c>
      <c r="G3985" s="4">
        <v>0</v>
      </c>
      <c r="H3985" s="8">
        <v>0</v>
      </c>
      <c r="I3985" s="4">
        <v>0</v>
      </c>
    </row>
    <row r="3986" spans="1:9" x14ac:dyDescent="0.2">
      <c r="A3986" s="2">
        <v>14</v>
      </c>
      <c r="B3986" s="1" t="s">
        <v>292</v>
      </c>
      <c r="C3986" s="4">
        <v>8</v>
      </c>
      <c r="D3986" s="8">
        <v>1.81</v>
      </c>
      <c r="E3986" s="4">
        <v>5</v>
      </c>
      <c r="F3986" s="8">
        <v>1.87</v>
      </c>
      <c r="G3986" s="4">
        <v>2</v>
      </c>
      <c r="H3986" s="8">
        <v>1.18</v>
      </c>
      <c r="I3986" s="4">
        <v>1</v>
      </c>
    </row>
    <row r="3987" spans="1:9" x14ac:dyDescent="0.2">
      <c r="A3987" s="2">
        <v>14</v>
      </c>
      <c r="B3987" s="1" t="s">
        <v>294</v>
      </c>
      <c r="C3987" s="4">
        <v>8</v>
      </c>
      <c r="D3987" s="8">
        <v>1.81</v>
      </c>
      <c r="E3987" s="4">
        <v>3</v>
      </c>
      <c r="F3987" s="8">
        <v>1.1200000000000001</v>
      </c>
      <c r="G3987" s="4">
        <v>5</v>
      </c>
      <c r="H3987" s="8">
        <v>2.96</v>
      </c>
      <c r="I3987" s="4">
        <v>0</v>
      </c>
    </row>
    <row r="3988" spans="1:9" x14ac:dyDescent="0.2">
      <c r="A3988" s="2">
        <v>16</v>
      </c>
      <c r="B3988" s="1" t="s">
        <v>314</v>
      </c>
      <c r="C3988" s="4">
        <v>7</v>
      </c>
      <c r="D3988" s="8">
        <v>1.58</v>
      </c>
      <c r="E3988" s="4">
        <v>4</v>
      </c>
      <c r="F3988" s="8">
        <v>1.5</v>
      </c>
      <c r="G3988" s="4">
        <v>3</v>
      </c>
      <c r="H3988" s="8">
        <v>1.78</v>
      </c>
      <c r="I3988" s="4">
        <v>0</v>
      </c>
    </row>
    <row r="3989" spans="1:9" x14ac:dyDescent="0.2">
      <c r="A3989" s="2">
        <v>16</v>
      </c>
      <c r="B3989" s="1" t="s">
        <v>344</v>
      </c>
      <c r="C3989" s="4">
        <v>7</v>
      </c>
      <c r="D3989" s="8">
        <v>1.58</v>
      </c>
      <c r="E3989" s="4">
        <v>3</v>
      </c>
      <c r="F3989" s="8">
        <v>1.1200000000000001</v>
      </c>
      <c r="G3989" s="4">
        <v>4</v>
      </c>
      <c r="H3989" s="8">
        <v>2.37</v>
      </c>
      <c r="I3989" s="4">
        <v>0</v>
      </c>
    </row>
    <row r="3990" spans="1:9" x14ac:dyDescent="0.2">
      <c r="A3990" s="2">
        <v>16</v>
      </c>
      <c r="B3990" s="1" t="s">
        <v>334</v>
      </c>
      <c r="C3990" s="4">
        <v>7</v>
      </c>
      <c r="D3990" s="8">
        <v>1.58</v>
      </c>
      <c r="E3990" s="4">
        <v>6</v>
      </c>
      <c r="F3990" s="8">
        <v>2.25</v>
      </c>
      <c r="G3990" s="4">
        <v>1</v>
      </c>
      <c r="H3990" s="8">
        <v>0.59</v>
      </c>
      <c r="I3990" s="4">
        <v>0</v>
      </c>
    </row>
    <row r="3991" spans="1:9" x14ac:dyDescent="0.2">
      <c r="A3991" s="2">
        <v>16</v>
      </c>
      <c r="B3991" s="1" t="s">
        <v>302</v>
      </c>
      <c r="C3991" s="4">
        <v>7</v>
      </c>
      <c r="D3991" s="8">
        <v>1.58</v>
      </c>
      <c r="E3991" s="4">
        <v>7</v>
      </c>
      <c r="F3991" s="8">
        <v>2.62</v>
      </c>
      <c r="G3991" s="4">
        <v>0</v>
      </c>
      <c r="H3991" s="8">
        <v>0</v>
      </c>
      <c r="I3991" s="4">
        <v>0</v>
      </c>
    </row>
    <row r="3992" spans="1:9" x14ac:dyDescent="0.2">
      <c r="A3992" s="2">
        <v>16</v>
      </c>
      <c r="B3992" s="1" t="s">
        <v>305</v>
      </c>
      <c r="C3992" s="4">
        <v>7</v>
      </c>
      <c r="D3992" s="8">
        <v>1.58</v>
      </c>
      <c r="E3992" s="4">
        <v>6</v>
      </c>
      <c r="F3992" s="8">
        <v>2.25</v>
      </c>
      <c r="G3992" s="4">
        <v>1</v>
      </c>
      <c r="H3992" s="8">
        <v>0.59</v>
      </c>
      <c r="I3992" s="4">
        <v>0</v>
      </c>
    </row>
    <row r="3993" spans="1:9" x14ac:dyDescent="0.2">
      <c r="A3993" s="1"/>
      <c r="C3993" s="4"/>
      <c r="D3993" s="8"/>
      <c r="E3993" s="4"/>
      <c r="F3993" s="8"/>
      <c r="G3993" s="4"/>
      <c r="H3993" s="8"/>
      <c r="I3993" s="4"/>
    </row>
    <row r="3994" spans="1:9" x14ac:dyDescent="0.2">
      <c r="A3994" s="1" t="s">
        <v>133</v>
      </c>
      <c r="C3994" s="4"/>
      <c r="D3994" s="8"/>
      <c r="E3994" s="4"/>
      <c r="F3994" s="8"/>
      <c r="G3994" s="4"/>
      <c r="H3994" s="8"/>
      <c r="I3994" s="4"/>
    </row>
    <row r="3995" spans="1:9" x14ac:dyDescent="0.2">
      <c r="A3995" s="2">
        <v>1</v>
      </c>
      <c r="B3995" s="1" t="s">
        <v>304</v>
      </c>
      <c r="C3995" s="4">
        <v>7</v>
      </c>
      <c r="D3995" s="8">
        <v>6.14</v>
      </c>
      <c r="E3995" s="4">
        <v>7</v>
      </c>
      <c r="F3995" s="8">
        <v>12.73</v>
      </c>
      <c r="G3995" s="4">
        <v>0</v>
      </c>
      <c r="H3995" s="8">
        <v>0</v>
      </c>
      <c r="I3995" s="4">
        <v>0</v>
      </c>
    </row>
    <row r="3996" spans="1:9" x14ac:dyDescent="0.2">
      <c r="A3996" s="2">
        <v>2</v>
      </c>
      <c r="B3996" s="1" t="s">
        <v>343</v>
      </c>
      <c r="C3996" s="4">
        <v>4</v>
      </c>
      <c r="D3996" s="8">
        <v>3.51</v>
      </c>
      <c r="E3996" s="4">
        <v>2</v>
      </c>
      <c r="F3996" s="8">
        <v>3.64</v>
      </c>
      <c r="G3996" s="4">
        <v>2</v>
      </c>
      <c r="H3996" s="8">
        <v>3.64</v>
      </c>
      <c r="I3996" s="4">
        <v>0</v>
      </c>
    </row>
    <row r="3997" spans="1:9" x14ac:dyDescent="0.2">
      <c r="A3997" s="2">
        <v>2</v>
      </c>
      <c r="B3997" s="1" t="s">
        <v>290</v>
      </c>
      <c r="C3997" s="4">
        <v>4</v>
      </c>
      <c r="D3997" s="8">
        <v>3.51</v>
      </c>
      <c r="E3997" s="4">
        <v>1</v>
      </c>
      <c r="F3997" s="8">
        <v>1.82</v>
      </c>
      <c r="G3997" s="4">
        <v>3</v>
      </c>
      <c r="H3997" s="8">
        <v>5.45</v>
      </c>
      <c r="I3997" s="4">
        <v>0</v>
      </c>
    </row>
    <row r="3998" spans="1:9" x14ac:dyDescent="0.2">
      <c r="A3998" s="2">
        <v>2</v>
      </c>
      <c r="B3998" s="1" t="s">
        <v>297</v>
      </c>
      <c r="C3998" s="4">
        <v>4</v>
      </c>
      <c r="D3998" s="8">
        <v>3.51</v>
      </c>
      <c r="E3998" s="4">
        <v>1</v>
      </c>
      <c r="F3998" s="8">
        <v>1.82</v>
      </c>
      <c r="G3998" s="4">
        <v>3</v>
      </c>
      <c r="H3998" s="8">
        <v>5.45</v>
      </c>
      <c r="I3998" s="4">
        <v>0</v>
      </c>
    </row>
    <row r="3999" spans="1:9" x14ac:dyDescent="0.2">
      <c r="A3999" s="2">
        <v>2</v>
      </c>
      <c r="B3999" s="1" t="s">
        <v>301</v>
      </c>
      <c r="C3999" s="4">
        <v>4</v>
      </c>
      <c r="D3999" s="8">
        <v>3.51</v>
      </c>
      <c r="E3999" s="4">
        <v>4</v>
      </c>
      <c r="F3999" s="8">
        <v>7.27</v>
      </c>
      <c r="G3999" s="4">
        <v>0</v>
      </c>
      <c r="H3999" s="8">
        <v>0</v>
      </c>
      <c r="I3999" s="4">
        <v>0</v>
      </c>
    </row>
    <row r="4000" spans="1:9" x14ac:dyDescent="0.2">
      <c r="A4000" s="2">
        <v>6</v>
      </c>
      <c r="B4000" s="1" t="s">
        <v>384</v>
      </c>
      <c r="C4000" s="4">
        <v>3</v>
      </c>
      <c r="D4000" s="8">
        <v>2.63</v>
      </c>
      <c r="E4000" s="4">
        <v>0</v>
      </c>
      <c r="F4000" s="8">
        <v>0</v>
      </c>
      <c r="G4000" s="4">
        <v>3</v>
      </c>
      <c r="H4000" s="8">
        <v>5.45</v>
      </c>
      <c r="I4000" s="4">
        <v>0</v>
      </c>
    </row>
    <row r="4001" spans="1:9" x14ac:dyDescent="0.2">
      <c r="A4001" s="2">
        <v>6</v>
      </c>
      <c r="B4001" s="1" t="s">
        <v>329</v>
      </c>
      <c r="C4001" s="4">
        <v>3</v>
      </c>
      <c r="D4001" s="8">
        <v>2.63</v>
      </c>
      <c r="E4001" s="4">
        <v>3</v>
      </c>
      <c r="F4001" s="8">
        <v>5.45</v>
      </c>
      <c r="G4001" s="4">
        <v>0</v>
      </c>
      <c r="H4001" s="8">
        <v>0</v>
      </c>
      <c r="I4001" s="4">
        <v>0</v>
      </c>
    </row>
    <row r="4002" spans="1:9" x14ac:dyDescent="0.2">
      <c r="A4002" s="2">
        <v>6</v>
      </c>
      <c r="B4002" s="1" t="s">
        <v>292</v>
      </c>
      <c r="C4002" s="4">
        <v>3</v>
      </c>
      <c r="D4002" s="8">
        <v>2.63</v>
      </c>
      <c r="E4002" s="4">
        <v>2</v>
      </c>
      <c r="F4002" s="8">
        <v>3.64</v>
      </c>
      <c r="G4002" s="4">
        <v>1</v>
      </c>
      <c r="H4002" s="8">
        <v>1.82</v>
      </c>
      <c r="I4002" s="4">
        <v>0</v>
      </c>
    </row>
    <row r="4003" spans="1:9" x14ac:dyDescent="0.2">
      <c r="A4003" s="2">
        <v>6</v>
      </c>
      <c r="B4003" s="1" t="s">
        <v>335</v>
      </c>
      <c r="C4003" s="4">
        <v>3</v>
      </c>
      <c r="D4003" s="8">
        <v>2.63</v>
      </c>
      <c r="E4003" s="4">
        <v>2</v>
      </c>
      <c r="F4003" s="8">
        <v>3.64</v>
      </c>
      <c r="G4003" s="4">
        <v>1</v>
      </c>
      <c r="H4003" s="8">
        <v>1.82</v>
      </c>
      <c r="I4003" s="4">
        <v>0</v>
      </c>
    </row>
    <row r="4004" spans="1:9" x14ac:dyDescent="0.2">
      <c r="A4004" s="2">
        <v>6</v>
      </c>
      <c r="B4004" s="1" t="s">
        <v>418</v>
      </c>
      <c r="C4004" s="4">
        <v>3</v>
      </c>
      <c r="D4004" s="8">
        <v>2.63</v>
      </c>
      <c r="E4004" s="4">
        <v>0</v>
      </c>
      <c r="F4004" s="8">
        <v>0</v>
      </c>
      <c r="G4004" s="4">
        <v>2</v>
      </c>
      <c r="H4004" s="8">
        <v>3.64</v>
      </c>
      <c r="I4004" s="4">
        <v>1</v>
      </c>
    </row>
    <row r="4005" spans="1:9" x14ac:dyDescent="0.2">
      <c r="A4005" s="2">
        <v>6</v>
      </c>
      <c r="B4005" s="1" t="s">
        <v>302</v>
      </c>
      <c r="C4005" s="4">
        <v>3</v>
      </c>
      <c r="D4005" s="8">
        <v>2.63</v>
      </c>
      <c r="E4005" s="4">
        <v>3</v>
      </c>
      <c r="F4005" s="8">
        <v>5.45</v>
      </c>
      <c r="G4005" s="4">
        <v>0</v>
      </c>
      <c r="H4005" s="8">
        <v>0</v>
      </c>
      <c r="I4005" s="4">
        <v>0</v>
      </c>
    </row>
    <row r="4006" spans="1:9" x14ac:dyDescent="0.2">
      <c r="A4006" s="2">
        <v>6</v>
      </c>
      <c r="B4006" s="1" t="s">
        <v>303</v>
      </c>
      <c r="C4006" s="4">
        <v>3</v>
      </c>
      <c r="D4006" s="8">
        <v>2.63</v>
      </c>
      <c r="E4006" s="4">
        <v>3</v>
      </c>
      <c r="F4006" s="8">
        <v>5.45</v>
      </c>
      <c r="G4006" s="4">
        <v>0</v>
      </c>
      <c r="H4006" s="8">
        <v>0</v>
      </c>
      <c r="I4006" s="4">
        <v>0</v>
      </c>
    </row>
    <row r="4007" spans="1:9" x14ac:dyDescent="0.2">
      <c r="A4007" s="2">
        <v>6</v>
      </c>
      <c r="B4007" s="1" t="s">
        <v>305</v>
      </c>
      <c r="C4007" s="4">
        <v>3</v>
      </c>
      <c r="D4007" s="8">
        <v>2.63</v>
      </c>
      <c r="E4007" s="4">
        <v>3</v>
      </c>
      <c r="F4007" s="8">
        <v>5.45</v>
      </c>
      <c r="G4007" s="4">
        <v>0</v>
      </c>
      <c r="H4007" s="8">
        <v>0</v>
      </c>
      <c r="I4007" s="4">
        <v>0</v>
      </c>
    </row>
    <row r="4008" spans="1:9" x14ac:dyDescent="0.2">
      <c r="A4008" s="2">
        <v>6</v>
      </c>
      <c r="B4008" s="1" t="s">
        <v>331</v>
      </c>
      <c r="C4008" s="4">
        <v>3</v>
      </c>
      <c r="D4008" s="8">
        <v>2.63</v>
      </c>
      <c r="E4008" s="4">
        <v>0</v>
      </c>
      <c r="F4008" s="8">
        <v>0</v>
      </c>
      <c r="G4008" s="4">
        <v>3</v>
      </c>
      <c r="H4008" s="8">
        <v>5.45</v>
      </c>
      <c r="I4008" s="4">
        <v>0</v>
      </c>
    </row>
    <row r="4009" spans="1:9" x14ac:dyDescent="0.2">
      <c r="A4009" s="2">
        <v>15</v>
      </c>
      <c r="B4009" s="1" t="s">
        <v>333</v>
      </c>
      <c r="C4009" s="4">
        <v>2</v>
      </c>
      <c r="D4009" s="8">
        <v>1.75</v>
      </c>
      <c r="E4009" s="4">
        <v>2</v>
      </c>
      <c r="F4009" s="8">
        <v>3.64</v>
      </c>
      <c r="G4009" s="4">
        <v>0</v>
      </c>
      <c r="H4009" s="8">
        <v>0</v>
      </c>
      <c r="I4009" s="4">
        <v>0</v>
      </c>
    </row>
    <row r="4010" spans="1:9" x14ac:dyDescent="0.2">
      <c r="A4010" s="2">
        <v>15</v>
      </c>
      <c r="B4010" s="1" t="s">
        <v>324</v>
      </c>
      <c r="C4010" s="4">
        <v>2</v>
      </c>
      <c r="D4010" s="8">
        <v>1.75</v>
      </c>
      <c r="E4010" s="4">
        <v>0</v>
      </c>
      <c r="F4010" s="8">
        <v>0</v>
      </c>
      <c r="G4010" s="4">
        <v>2</v>
      </c>
      <c r="H4010" s="8">
        <v>3.64</v>
      </c>
      <c r="I4010" s="4">
        <v>0</v>
      </c>
    </row>
    <row r="4011" spans="1:9" x14ac:dyDescent="0.2">
      <c r="A4011" s="2">
        <v>15</v>
      </c>
      <c r="B4011" s="1" t="s">
        <v>293</v>
      </c>
      <c r="C4011" s="4">
        <v>2</v>
      </c>
      <c r="D4011" s="8">
        <v>1.75</v>
      </c>
      <c r="E4011" s="4">
        <v>1</v>
      </c>
      <c r="F4011" s="8">
        <v>1.82</v>
      </c>
      <c r="G4011" s="4">
        <v>1</v>
      </c>
      <c r="H4011" s="8">
        <v>1.82</v>
      </c>
      <c r="I4011" s="4">
        <v>0</v>
      </c>
    </row>
    <row r="4012" spans="1:9" x14ac:dyDescent="0.2">
      <c r="A4012" s="2">
        <v>15</v>
      </c>
      <c r="B4012" s="1" t="s">
        <v>294</v>
      </c>
      <c r="C4012" s="4">
        <v>2</v>
      </c>
      <c r="D4012" s="8">
        <v>1.75</v>
      </c>
      <c r="E4012" s="4">
        <v>1</v>
      </c>
      <c r="F4012" s="8">
        <v>1.82</v>
      </c>
      <c r="G4012" s="4">
        <v>1</v>
      </c>
      <c r="H4012" s="8">
        <v>1.82</v>
      </c>
      <c r="I4012" s="4">
        <v>0</v>
      </c>
    </row>
    <row r="4013" spans="1:9" x14ac:dyDescent="0.2">
      <c r="A4013" s="2">
        <v>15</v>
      </c>
      <c r="B4013" s="1" t="s">
        <v>295</v>
      </c>
      <c r="C4013" s="4">
        <v>2</v>
      </c>
      <c r="D4013" s="8">
        <v>1.75</v>
      </c>
      <c r="E4013" s="4">
        <v>1</v>
      </c>
      <c r="F4013" s="8">
        <v>1.82</v>
      </c>
      <c r="G4013" s="4">
        <v>1</v>
      </c>
      <c r="H4013" s="8">
        <v>1.82</v>
      </c>
      <c r="I4013" s="4">
        <v>0</v>
      </c>
    </row>
    <row r="4014" spans="1:9" x14ac:dyDescent="0.2">
      <c r="A4014" s="2">
        <v>15</v>
      </c>
      <c r="B4014" s="1" t="s">
        <v>325</v>
      </c>
      <c r="C4014" s="4">
        <v>2</v>
      </c>
      <c r="D4014" s="8">
        <v>1.75</v>
      </c>
      <c r="E4014" s="4">
        <v>0</v>
      </c>
      <c r="F4014" s="8">
        <v>0</v>
      </c>
      <c r="G4014" s="4">
        <v>2</v>
      </c>
      <c r="H4014" s="8">
        <v>3.64</v>
      </c>
      <c r="I4014" s="4">
        <v>0</v>
      </c>
    </row>
    <row r="4015" spans="1:9" x14ac:dyDescent="0.2">
      <c r="A4015" s="2">
        <v>15</v>
      </c>
      <c r="B4015" s="1" t="s">
        <v>340</v>
      </c>
      <c r="C4015" s="4">
        <v>2</v>
      </c>
      <c r="D4015" s="8">
        <v>1.75</v>
      </c>
      <c r="E4015" s="4">
        <v>0</v>
      </c>
      <c r="F4015" s="8">
        <v>0</v>
      </c>
      <c r="G4015" s="4">
        <v>1</v>
      </c>
      <c r="H4015" s="8">
        <v>1.82</v>
      </c>
      <c r="I4015" s="4">
        <v>0</v>
      </c>
    </row>
    <row r="4016" spans="1:9" x14ac:dyDescent="0.2">
      <c r="A4016" s="2">
        <v>15</v>
      </c>
      <c r="B4016" s="1" t="s">
        <v>327</v>
      </c>
      <c r="C4016" s="4">
        <v>2</v>
      </c>
      <c r="D4016" s="8">
        <v>1.75</v>
      </c>
      <c r="E4016" s="4">
        <v>2</v>
      </c>
      <c r="F4016" s="8">
        <v>3.64</v>
      </c>
      <c r="G4016" s="4">
        <v>0</v>
      </c>
      <c r="H4016" s="8">
        <v>0</v>
      </c>
      <c r="I4016" s="4">
        <v>0</v>
      </c>
    </row>
    <row r="4017" spans="1:9" x14ac:dyDescent="0.2">
      <c r="A4017" s="2">
        <v>15</v>
      </c>
      <c r="B4017" s="1" t="s">
        <v>306</v>
      </c>
      <c r="C4017" s="4">
        <v>2</v>
      </c>
      <c r="D4017" s="8">
        <v>1.75</v>
      </c>
      <c r="E4017" s="4">
        <v>2</v>
      </c>
      <c r="F4017" s="8">
        <v>3.64</v>
      </c>
      <c r="G4017" s="4">
        <v>0</v>
      </c>
      <c r="H4017" s="8">
        <v>0</v>
      </c>
      <c r="I4017" s="4">
        <v>0</v>
      </c>
    </row>
    <row r="4018" spans="1:9" x14ac:dyDescent="0.2">
      <c r="A4018" s="2">
        <v>15</v>
      </c>
      <c r="B4018" s="1" t="s">
        <v>371</v>
      </c>
      <c r="C4018" s="4">
        <v>2</v>
      </c>
      <c r="D4018" s="8">
        <v>1.75</v>
      </c>
      <c r="E4018" s="4">
        <v>2</v>
      </c>
      <c r="F4018" s="8">
        <v>3.64</v>
      </c>
      <c r="G4018" s="4">
        <v>0</v>
      </c>
      <c r="H4018" s="8">
        <v>0</v>
      </c>
      <c r="I4018" s="4">
        <v>0</v>
      </c>
    </row>
    <row r="4019" spans="1:9" x14ac:dyDescent="0.2">
      <c r="A4019" s="1"/>
      <c r="C4019" s="4"/>
      <c r="D4019" s="8"/>
      <c r="E4019" s="4"/>
      <c r="F4019" s="8"/>
      <c r="G4019" s="4"/>
      <c r="H4019" s="8"/>
      <c r="I4019" s="4"/>
    </row>
    <row r="4020" spans="1:9" x14ac:dyDescent="0.2">
      <c r="A4020" s="1" t="s">
        <v>134</v>
      </c>
      <c r="C4020" s="4"/>
      <c r="D4020" s="8"/>
      <c r="E4020" s="4"/>
      <c r="F4020" s="8"/>
      <c r="G4020" s="4"/>
      <c r="H4020" s="8"/>
      <c r="I4020" s="4"/>
    </row>
    <row r="4021" spans="1:9" x14ac:dyDescent="0.2">
      <c r="A4021" s="2">
        <v>1</v>
      </c>
      <c r="B4021" s="1" t="s">
        <v>297</v>
      </c>
      <c r="C4021" s="4">
        <v>41</v>
      </c>
      <c r="D4021" s="8">
        <v>10.68</v>
      </c>
      <c r="E4021" s="4">
        <v>39</v>
      </c>
      <c r="F4021" s="8">
        <v>17.97</v>
      </c>
      <c r="G4021" s="4">
        <v>2</v>
      </c>
      <c r="H4021" s="8">
        <v>1.29</v>
      </c>
      <c r="I4021" s="4">
        <v>0</v>
      </c>
    </row>
    <row r="4022" spans="1:9" x14ac:dyDescent="0.2">
      <c r="A4022" s="2">
        <v>2</v>
      </c>
      <c r="B4022" s="1" t="s">
        <v>303</v>
      </c>
      <c r="C4022" s="4">
        <v>17</v>
      </c>
      <c r="D4022" s="8">
        <v>4.43</v>
      </c>
      <c r="E4022" s="4">
        <v>17</v>
      </c>
      <c r="F4022" s="8">
        <v>7.83</v>
      </c>
      <c r="G4022" s="4">
        <v>0</v>
      </c>
      <c r="H4022" s="8">
        <v>0</v>
      </c>
      <c r="I4022" s="4">
        <v>0</v>
      </c>
    </row>
    <row r="4023" spans="1:9" x14ac:dyDescent="0.2">
      <c r="A4023" s="2">
        <v>2</v>
      </c>
      <c r="B4023" s="1" t="s">
        <v>304</v>
      </c>
      <c r="C4023" s="4">
        <v>17</v>
      </c>
      <c r="D4023" s="8">
        <v>4.43</v>
      </c>
      <c r="E4023" s="4">
        <v>16</v>
      </c>
      <c r="F4023" s="8">
        <v>7.37</v>
      </c>
      <c r="G4023" s="4">
        <v>1</v>
      </c>
      <c r="H4023" s="8">
        <v>0.65</v>
      </c>
      <c r="I4023" s="4">
        <v>0</v>
      </c>
    </row>
    <row r="4024" spans="1:9" x14ac:dyDescent="0.2">
      <c r="A4024" s="2">
        <v>4</v>
      </c>
      <c r="B4024" s="1" t="s">
        <v>301</v>
      </c>
      <c r="C4024" s="4">
        <v>15</v>
      </c>
      <c r="D4024" s="8">
        <v>3.91</v>
      </c>
      <c r="E4024" s="4">
        <v>14</v>
      </c>
      <c r="F4024" s="8">
        <v>6.45</v>
      </c>
      <c r="G4024" s="4">
        <v>1</v>
      </c>
      <c r="H4024" s="8">
        <v>0.65</v>
      </c>
      <c r="I4024" s="4">
        <v>0</v>
      </c>
    </row>
    <row r="4025" spans="1:9" x14ac:dyDescent="0.2">
      <c r="A4025" s="2">
        <v>5</v>
      </c>
      <c r="B4025" s="1" t="s">
        <v>300</v>
      </c>
      <c r="C4025" s="4">
        <v>12</v>
      </c>
      <c r="D4025" s="8">
        <v>3.13</v>
      </c>
      <c r="E4025" s="4">
        <v>11</v>
      </c>
      <c r="F4025" s="8">
        <v>5.07</v>
      </c>
      <c r="G4025" s="4">
        <v>1</v>
      </c>
      <c r="H4025" s="8">
        <v>0.65</v>
      </c>
      <c r="I4025" s="4">
        <v>0</v>
      </c>
    </row>
    <row r="4026" spans="1:9" x14ac:dyDescent="0.2">
      <c r="A4026" s="2">
        <v>6</v>
      </c>
      <c r="B4026" s="1" t="s">
        <v>339</v>
      </c>
      <c r="C4026" s="4">
        <v>11</v>
      </c>
      <c r="D4026" s="8">
        <v>2.86</v>
      </c>
      <c r="E4026" s="4">
        <v>3</v>
      </c>
      <c r="F4026" s="8">
        <v>1.38</v>
      </c>
      <c r="G4026" s="4">
        <v>8</v>
      </c>
      <c r="H4026" s="8">
        <v>5.16</v>
      </c>
      <c r="I4026" s="4">
        <v>0</v>
      </c>
    </row>
    <row r="4027" spans="1:9" x14ac:dyDescent="0.2">
      <c r="A4027" s="2">
        <v>7</v>
      </c>
      <c r="B4027" s="1" t="s">
        <v>299</v>
      </c>
      <c r="C4027" s="4">
        <v>10</v>
      </c>
      <c r="D4027" s="8">
        <v>2.6</v>
      </c>
      <c r="E4027" s="4">
        <v>7</v>
      </c>
      <c r="F4027" s="8">
        <v>3.23</v>
      </c>
      <c r="G4027" s="4">
        <v>2</v>
      </c>
      <c r="H4027" s="8">
        <v>1.29</v>
      </c>
      <c r="I4027" s="4">
        <v>1</v>
      </c>
    </row>
    <row r="4028" spans="1:9" x14ac:dyDescent="0.2">
      <c r="A4028" s="2">
        <v>8</v>
      </c>
      <c r="B4028" s="1" t="s">
        <v>334</v>
      </c>
      <c r="C4028" s="4">
        <v>9</v>
      </c>
      <c r="D4028" s="8">
        <v>2.34</v>
      </c>
      <c r="E4028" s="4">
        <v>8</v>
      </c>
      <c r="F4028" s="8">
        <v>3.69</v>
      </c>
      <c r="G4028" s="4">
        <v>1</v>
      </c>
      <c r="H4028" s="8">
        <v>0.65</v>
      </c>
      <c r="I4028" s="4">
        <v>0</v>
      </c>
    </row>
    <row r="4029" spans="1:9" x14ac:dyDescent="0.2">
      <c r="A4029" s="2">
        <v>9</v>
      </c>
      <c r="B4029" s="1" t="s">
        <v>295</v>
      </c>
      <c r="C4029" s="4">
        <v>8</v>
      </c>
      <c r="D4029" s="8">
        <v>2.08</v>
      </c>
      <c r="E4029" s="4">
        <v>4</v>
      </c>
      <c r="F4029" s="8">
        <v>1.84</v>
      </c>
      <c r="G4029" s="4">
        <v>4</v>
      </c>
      <c r="H4029" s="8">
        <v>2.58</v>
      </c>
      <c r="I4029" s="4">
        <v>0</v>
      </c>
    </row>
    <row r="4030" spans="1:9" x14ac:dyDescent="0.2">
      <c r="A4030" s="2">
        <v>10</v>
      </c>
      <c r="B4030" s="1" t="s">
        <v>342</v>
      </c>
      <c r="C4030" s="4">
        <v>7</v>
      </c>
      <c r="D4030" s="8">
        <v>1.82</v>
      </c>
      <c r="E4030" s="4">
        <v>1</v>
      </c>
      <c r="F4030" s="8">
        <v>0.46</v>
      </c>
      <c r="G4030" s="4">
        <v>6</v>
      </c>
      <c r="H4030" s="8">
        <v>3.87</v>
      </c>
      <c r="I4030" s="4">
        <v>0</v>
      </c>
    </row>
    <row r="4031" spans="1:9" x14ac:dyDescent="0.2">
      <c r="A4031" s="2">
        <v>10</v>
      </c>
      <c r="B4031" s="1" t="s">
        <v>411</v>
      </c>
      <c r="C4031" s="4">
        <v>7</v>
      </c>
      <c r="D4031" s="8">
        <v>1.82</v>
      </c>
      <c r="E4031" s="4">
        <v>6</v>
      </c>
      <c r="F4031" s="8">
        <v>2.76</v>
      </c>
      <c r="G4031" s="4">
        <v>1</v>
      </c>
      <c r="H4031" s="8">
        <v>0.65</v>
      </c>
      <c r="I4031" s="4">
        <v>0</v>
      </c>
    </row>
    <row r="4032" spans="1:9" x14ac:dyDescent="0.2">
      <c r="A4032" s="2">
        <v>12</v>
      </c>
      <c r="B4032" s="1" t="s">
        <v>302</v>
      </c>
      <c r="C4032" s="4">
        <v>6</v>
      </c>
      <c r="D4032" s="8">
        <v>1.56</v>
      </c>
      <c r="E4032" s="4">
        <v>5</v>
      </c>
      <c r="F4032" s="8">
        <v>2.2999999999999998</v>
      </c>
      <c r="G4032" s="4">
        <v>1</v>
      </c>
      <c r="H4032" s="8">
        <v>0.65</v>
      </c>
      <c r="I4032" s="4">
        <v>0</v>
      </c>
    </row>
    <row r="4033" spans="1:9" x14ac:dyDescent="0.2">
      <c r="A4033" s="2">
        <v>13</v>
      </c>
      <c r="B4033" s="1" t="s">
        <v>328</v>
      </c>
      <c r="C4033" s="4">
        <v>5</v>
      </c>
      <c r="D4033" s="8">
        <v>1.3</v>
      </c>
      <c r="E4033" s="4">
        <v>3</v>
      </c>
      <c r="F4033" s="8">
        <v>1.38</v>
      </c>
      <c r="G4033" s="4">
        <v>2</v>
      </c>
      <c r="H4033" s="8">
        <v>1.29</v>
      </c>
      <c r="I4033" s="4">
        <v>0</v>
      </c>
    </row>
    <row r="4034" spans="1:9" x14ac:dyDescent="0.2">
      <c r="A4034" s="2">
        <v>13</v>
      </c>
      <c r="B4034" s="1" t="s">
        <v>290</v>
      </c>
      <c r="C4034" s="4">
        <v>5</v>
      </c>
      <c r="D4034" s="8">
        <v>1.3</v>
      </c>
      <c r="E4034" s="4">
        <v>1</v>
      </c>
      <c r="F4034" s="8">
        <v>0.46</v>
      </c>
      <c r="G4034" s="4">
        <v>4</v>
      </c>
      <c r="H4034" s="8">
        <v>2.58</v>
      </c>
      <c r="I4034" s="4">
        <v>0</v>
      </c>
    </row>
    <row r="4035" spans="1:9" x14ac:dyDescent="0.2">
      <c r="A4035" s="2">
        <v>13</v>
      </c>
      <c r="B4035" s="1" t="s">
        <v>324</v>
      </c>
      <c r="C4035" s="4">
        <v>5</v>
      </c>
      <c r="D4035" s="8">
        <v>1.3</v>
      </c>
      <c r="E4035" s="4">
        <v>0</v>
      </c>
      <c r="F4035" s="8">
        <v>0</v>
      </c>
      <c r="G4035" s="4">
        <v>5</v>
      </c>
      <c r="H4035" s="8">
        <v>3.23</v>
      </c>
      <c r="I4035" s="4">
        <v>0</v>
      </c>
    </row>
    <row r="4036" spans="1:9" x14ac:dyDescent="0.2">
      <c r="A4036" s="2">
        <v>13</v>
      </c>
      <c r="B4036" s="1" t="s">
        <v>296</v>
      </c>
      <c r="C4036" s="4">
        <v>5</v>
      </c>
      <c r="D4036" s="8">
        <v>1.3</v>
      </c>
      <c r="E4036" s="4">
        <v>1</v>
      </c>
      <c r="F4036" s="8">
        <v>0.46</v>
      </c>
      <c r="G4036" s="4">
        <v>4</v>
      </c>
      <c r="H4036" s="8">
        <v>2.58</v>
      </c>
      <c r="I4036" s="4">
        <v>0</v>
      </c>
    </row>
    <row r="4037" spans="1:9" x14ac:dyDescent="0.2">
      <c r="A4037" s="2">
        <v>13</v>
      </c>
      <c r="B4037" s="1" t="s">
        <v>352</v>
      </c>
      <c r="C4037" s="4">
        <v>5</v>
      </c>
      <c r="D4037" s="8">
        <v>1.3</v>
      </c>
      <c r="E4037" s="4">
        <v>5</v>
      </c>
      <c r="F4037" s="8">
        <v>2.2999999999999998</v>
      </c>
      <c r="G4037" s="4">
        <v>0</v>
      </c>
      <c r="H4037" s="8">
        <v>0</v>
      </c>
      <c r="I4037" s="4">
        <v>0</v>
      </c>
    </row>
    <row r="4038" spans="1:9" x14ac:dyDescent="0.2">
      <c r="A4038" s="2">
        <v>13</v>
      </c>
      <c r="B4038" s="1" t="s">
        <v>306</v>
      </c>
      <c r="C4038" s="4">
        <v>5</v>
      </c>
      <c r="D4038" s="8">
        <v>1.3</v>
      </c>
      <c r="E4038" s="4">
        <v>5</v>
      </c>
      <c r="F4038" s="8">
        <v>2.2999999999999998</v>
      </c>
      <c r="G4038" s="4">
        <v>0</v>
      </c>
      <c r="H4038" s="8">
        <v>0</v>
      </c>
      <c r="I4038" s="4">
        <v>0</v>
      </c>
    </row>
    <row r="4039" spans="1:9" x14ac:dyDescent="0.2">
      <c r="A4039" s="2">
        <v>19</v>
      </c>
      <c r="B4039" s="1" t="s">
        <v>288</v>
      </c>
      <c r="C4039" s="4">
        <v>4</v>
      </c>
      <c r="D4039" s="8">
        <v>1.04</v>
      </c>
      <c r="E4039" s="4">
        <v>0</v>
      </c>
      <c r="F4039" s="8">
        <v>0</v>
      </c>
      <c r="G4039" s="4">
        <v>4</v>
      </c>
      <c r="H4039" s="8">
        <v>2.58</v>
      </c>
      <c r="I4039" s="4">
        <v>0</v>
      </c>
    </row>
    <row r="4040" spans="1:9" x14ac:dyDescent="0.2">
      <c r="A4040" s="2">
        <v>19</v>
      </c>
      <c r="B4040" s="1" t="s">
        <v>343</v>
      </c>
      <c r="C4040" s="4">
        <v>4</v>
      </c>
      <c r="D4040" s="8">
        <v>1.04</v>
      </c>
      <c r="E4040" s="4">
        <v>2</v>
      </c>
      <c r="F4040" s="8">
        <v>0.92</v>
      </c>
      <c r="G4040" s="4">
        <v>2</v>
      </c>
      <c r="H4040" s="8">
        <v>1.29</v>
      </c>
      <c r="I4040" s="4">
        <v>0</v>
      </c>
    </row>
    <row r="4041" spans="1:9" x14ac:dyDescent="0.2">
      <c r="A4041" s="2">
        <v>19</v>
      </c>
      <c r="B4041" s="1" t="s">
        <v>380</v>
      </c>
      <c r="C4041" s="4">
        <v>4</v>
      </c>
      <c r="D4041" s="8">
        <v>1.04</v>
      </c>
      <c r="E4041" s="4">
        <v>1</v>
      </c>
      <c r="F4041" s="8">
        <v>0.46</v>
      </c>
      <c r="G4041" s="4">
        <v>3</v>
      </c>
      <c r="H4041" s="8">
        <v>1.94</v>
      </c>
      <c r="I4041" s="4">
        <v>0</v>
      </c>
    </row>
    <row r="4042" spans="1:9" x14ac:dyDescent="0.2">
      <c r="A4042" s="2">
        <v>19</v>
      </c>
      <c r="B4042" s="1" t="s">
        <v>329</v>
      </c>
      <c r="C4042" s="4">
        <v>4</v>
      </c>
      <c r="D4042" s="8">
        <v>1.04</v>
      </c>
      <c r="E4042" s="4">
        <v>4</v>
      </c>
      <c r="F4042" s="8">
        <v>1.84</v>
      </c>
      <c r="G4042" s="4">
        <v>0</v>
      </c>
      <c r="H4042" s="8">
        <v>0</v>
      </c>
      <c r="I4042" s="4">
        <v>0</v>
      </c>
    </row>
    <row r="4043" spans="1:9" x14ac:dyDescent="0.2">
      <c r="A4043" s="2">
        <v>19</v>
      </c>
      <c r="B4043" s="1" t="s">
        <v>293</v>
      </c>
      <c r="C4043" s="4">
        <v>4</v>
      </c>
      <c r="D4043" s="8">
        <v>1.04</v>
      </c>
      <c r="E4043" s="4">
        <v>2</v>
      </c>
      <c r="F4043" s="8">
        <v>0.92</v>
      </c>
      <c r="G4043" s="4">
        <v>2</v>
      </c>
      <c r="H4043" s="8">
        <v>1.29</v>
      </c>
      <c r="I4043" s="4">
        <v>0</v>
      </c>
    </row>
    <row r="4044" spans="1:9" x14ac:dyDescent="0.2">
      <c r="A4044" s="2">
        <v>19</v>
      </c>
      <c r="B4044" s="1" t="s">
        <v>335</v>
      </c>
      <c r="C4044" s="4">
        <v>4</v>
      </c>
      <c r="D4044" s="8">
        <v>1.04</v>
      </c>
      <c r="E4044" s="4">
        <v>2</v>
      </c>
      <c r="F4044" s="8">
        <v>0.92</v>
      </c>
      <c r="G4044" s="4">
        <v>2</v>
      </c>
      <c r="H4044" s="8">
        <v>1.29</v>
      </c>
      <c r="I4044" s="4">
        <v>0</v>
      </c>
    </row>
    <row r="4045" spans="1:9" x14ac:dyDescent="0.2">
      <c r="A4045" s="2">
        <v>19</v>
      </c>
      <c r="B4045" s="1" t="s">
        <v>416</v>
      </c>
      <c r="C4045" s="4">
        <v>4</v>
      </c>
      <c r="D4045" s="8">
        <v>1.04</v>
      </c>
      <c r="E4045" s="4">
        <v>4</v>
      </c>
      <c r="F4045" s="8">
        <v>1.84</v>
      </c>
      <c r="G4045" s="4">
        <v>0</v>
      </c>
      <c r="H4045" s="8">
        <v>0</v>
      </c>
      <c r="I4045" s="4">
        <v>0</v>
      </c>
    </row>
    <row r="4046" spans="1:9" x14ac:dyDescent="0.2">
      <c r="A4046" s="2">
        <v>19</v>
      </c>
      <c r="B4046" s="1" t="s">
        <v>327</v>
      </c>
      <c r="C4046" s="4">
        <v>4</v>
      </c>
      <c r="D4046" s="8">
        <v>1.04</v>
      </c>
      <c r="E4046" s="4">
        <v>4</v>
      </c>
      <c r="F4046" s="8">
        <v>1.84</v>
      </c>
      <c r="G4046" s="4">
        <v>0</v>
      </c>
      <c r="H4046" s="8">
        <v>0</v>
      </c>
      <c r="I4046" s="4">
        <v>0</v>
      </c>
    </row>
    <row r="4047" spans="1:9" x14ac:dyDescent="0.2">
      <c r="A4047" s="2">
        <v>19</v>
      </c>
      <c r="B4047" s="1" t="s">
        <v>305</v>
      </c>
      <c r="C4047" s="4">
        <v>4</v>
      </c>
      <c r="D4047" s="8">
        <v>1.04</v>
      </c>
      <c r="E4047" s="4">
        <v>4</v>
      </c>
      <c r="F4047" s="8">
        <v>1.84</v>
      </c>
      <c r="G4047" s="4">
        <v>0</v>
      </c>
      <c r="H4047" s="8">
        <v>0</v>
      </c>
      <c r="I4047" s="4">
        <v>0</v>
      </c>
    </row>
    <row r="4048" spans="1:9" x14ac:dyDescent="0.2">
      <c r="A4048" s="2">
        <v>19</v>
      </c>
      <c r="B4048" s="1" t="s">
        <v>307</v>
      </c>
      <c r="C4048" s="4">
        <v>4</v>
      </c>
      <c r="D4048" s="8">
        <v>1.04</v>
      </c>
      <c r="E4048" s="4">
        <v>4</v>
      </c>
      <c r="F4048" s="8">
        <v>1.84</v>
      </c>
      <c r="G4048" s="4">
        <v>0</v>
      </c>
      <c r="H4048" s="8">
        <v>0</v>
      </c>
      <c r="I4048" s="4">
        <v>0</v>
      </c>
    </row>
    <row r="4049" spans="1:9" x14ac:dyDescent="0.2">
      <c r="A4049" s="2">
        <v>19</v>
      </c>
      <c r="B4049" s="1" t="s">
        <v>318</v>
      </c>
      <c r="C4049" s="4">
        <v>4</v>
      </c>
      <c r="D4049" s="8">
        <v>1.04</v>
      </c>
      <c r="E4049" s="4">
        <v>0</v>
      </c>
      <c r="F4049" s="8">
        <v>0</v>
      </c>
      <c r="G4049" s="4">
        <v>3</v>
      </c>
      <c r="H4049" s="8">
        <v>1.94</v>
      </c>
      <c r="I4049" s="4">
        <v>1</v>
      </c>
    </row>
    <row r="4050" spans="1:9" x14ac:dyDescent="0.2">
      <c r="A4050" s="1"/>
      <c r="C4050" s="4"/>
      <c r="D4050" s="8"/>
      <c r="E4050" s="4"/>
      <c r="F4050" s="8"/>
      <c r="G4050" s="4"/>
      <c r="H4050" s="8"/>
      <c r="I4050" s="4"/>
    </row>
    <row r="4051" spans="1:9" x14ac:dyDescent="0.2">
      <c r="A4051" s="1" t="s">
        <v>135</v>
      </c>
      <c r="C4051" s="4"/>
      <c r="D4051" s="8"/>
      <c r="E4051" s="4"/>
      <c r="F4051" s="8"/>
      <c r="G4051" s="4"/>
      <c r="H4051" s="8"/>
      <c r="I4051" s="4"/>
    </row>
    <row r="4052" spans="1:9" x14ac:dyDescent="0.2">
      <c r="A4052" s="2">
        <v>1</v>
      </c>
      <c r="B4052" s="1" t="s">
        <v>288</v>
      </c>
      <c r="C4052" s="4">
        <v>4</v>
      </c>
      <c r="D4052" s="8">
        <v>5</v>
      </c>
      <c r="E4052" s="4">
        <v>0</v>
      </c>
      <c r="F4052" s="8">
        <v>0</v>
      </c>
      <c r="G4052" s="4">
        <v>4</v>
      </c>
      <c r="H4052" s="8">
        <v>10.53</v>
      </c>
      <c r="I4052" s="4">
        <v>0</v>
      </c>
    </row>
    <row r="4053" spans="1:9" x14ac:dyDescent="0.2">
      <c r="A4053" s="2">
        <v>1</v>
      </c>
      <c r="B4053" s="1" t="s">
        <v>303</v>
      </c>
      <c r="C4053" s="4">
        <v>4</v>
      </c>
      <c r="D4053" s="8">
        <v>5</v>
      </c>
      <c r="E4053" s="4">
        <v>4</v>
      </c>
      <c r="F4053" s="8">
        <v>9.76</v>
      </c>
      <c r="G4053" s="4">
        <v>0</v>
      </c>
      <c r="H4053" s="8">
        <v>0</v>
      </c>
      <c r="I4053" s="4">
        <v>0</v>
      </c>
    </row>
    <row r="4054" spans="1:9" x14ac:dyDescent="0.2">
      <c r="A4054" s="2">
        <v>3</v>
      </c>
      <c r="B4054" s="1" t="s">
        <v>332</v>
      </c>
      <c r="C4054" s="4">
        <v>3</v>
      </c>
      <c r="D4054" s="8">
        <v>3.75</v>
      </c>
      <c r="E4054" s="4">
        <v>2</v>
      </c>
      <c r="F4054" s="8">
        <v>4.88</v>
      </c>
      <c r="G4054" s="4">
        <v>1</v>
      </c>
      <c r="H4054" s="8">
        <v>2.63</v>
      </c>
      <c r="I4054" s="4">
        <v>0</v>
      </c>
    </row>
    <row r="4055" spans="1:9" x14ac:dyDescent="0.2">
      <c r="A4055" s="2">
        <v>3</v>
      </c>
      <c r="B4055" s="1" t="s">
        <v>297</v>
      </c>
      <c r="C4055" s="4">
        <v>3</v>
      </c>
      <c r="D4055" s="8">
        <v>3.75</v>
      </c>
      <c r="E4055" s="4">
        <v>0</v>
      </c>
      <c r="F4055" s="8">
        <v>0</v>
      </c>
      <c r="G4055" s="4">
        <v>3</v>
      </c>
      <c r="H4055" s="8">
        <v>7.89</v>
      </c>
      <c r="I4055" s="4">
        <v>0</v>
      </c>
    </row>
    <row r="4056" spans="1:9" x14ac:dyDescent="0.2">
      <c r="A4056" s="2">
        <v>3</v>
      </c>
      <c r="B4056" s="1" t="s">
        <v>339</v>
      </c>
      <c r="C4056" s="4">
        <v>3</v>
      </c>
      <c r="D4056" s="8">
        <v>3.75</v>
      </c>
      <c r="E4056" s="4">
        <v>1</v>
      </c>
      <c r="F4056" s="8">
        <v>2.44</v>
      </c>
      <c r="G4056" s="4">
        <v>2</v>
      </c>
      <c r="H4056" s="8">
        <v>5.26</v>
      </c>
      <c r="I4056" s="4">
        <v>0</v>
      </c>
    </row>
    <row r="4057" spans="1:9" x14ac:dyDescent="0.2">
      <c r="A4057" s="2">
        <v>3</v>
      </c>
      <c r="B4057" s="1" t="s">
        <v>304</v>
      </c>
      <c r="C4057" s="4">
        <v>3</v>
      </c>
      <c r="D4057" s="8">
        <v>3.75</v>
      </c>
      <c r="E4057" s="4">
        <v>3</v>
      </c>
      <c r="F4057" s="8">
        <v>7.32</v>
      </c>
      <c r="G4057" s="4">
        <v>0</v>
      </c>
      <c r="H4057" s="8">
        <v>0</v>
      </c>
      <c r="I4057" s="4">
        <v>0</v>
      </c>
    </row>
    <row r="4058" spans="1:9" x14ac:dyDescent="0.2">
      <c r="A4058" s="2">
        <v>3</v>
      </c>
      <c r="B4058" s="1" t="s">
        <v>307</v>
      </c>
      <c r="C4058" s="4">
        <v>3</v>
      </c>
      <c r="D4058" s="8">
        <v>3.75</v>
      </c>
      <c r="E4058" s="4">
        <v>2</v>
      </c>
      <c r="F4058" s="8">
        <v>4.88</v>
      </c>
      <c r="G4058" s="4">
        <v>1</v>
      </c>
      <c r="H4058" s="8">
        <v>2.63</v>
      </c>
      <c r="I4058" s="4">
        <v>0</v>
      </c>
    </row>
    <row r="4059" spans="1:9" x14ac:dyDescent="0.2">
      <c r="A4059" s="2">
        <v>8</v>
      </c>
      <c r="B4059" s="1" t="s">
        <v>314</v>
      </c>
      <c r="C4059" s="4">
        <v>2</v>
      </c>
      <c r="D4059" s="8">
        <v>2.5</v>
      </c>
      <c r="E4059" s="4">
        <v>1</v>
      </c>
      <c r="F4059" s="8">
        <v>2.44</v>
      </c>
      <c r="G4059" s="4">
        <v>1</v>
      </c>
      <c r="H4059" s="8">
        <v>2.63</v>
      </c>
      <c r="I4059" s="4">
        <v>0</v>
      </c>
    </row>
    <row r="4060" spans="1:9" x14ac:dyDescent="0.2">
      <c r="A4060" s="2">
        <v>8</v>
      </c>
      <c r="B4060" s="1" t="s">
        <v>329</v>
      </c>
      <c r="C4060" s="4">
        <v>2</v>
      </c>
      <c r="D4060" s="8">
        <v>2.5</v>
      </c>
      <c r="E4060" s="4">
        <v>1</v>
      </c>
      <c r="F4060" s="8">
        <v>2.44</v>
      </c>
      <c r="G4060" s="4">
        <v>1</v>
      </c>
      <c r="H4060" s="8">
        <v>2.63</v>
      </c>
      <c r="I4060" s="4">
        <v>0</v>
      </c>
    </row>
    <row r="4061" spans="1:9" x14ac:dyDescent="0.2">
      <c r="A4061" s="2">
        <v>8</v>
      </c>
      <c r="B4061" s="1" t="s">
        <v>292</v>
      </c>
      <c r="C4061" s="4">
        <v>2</v>
      </c>
      <c r="D4061" s="8">
        <v>2.5</v>
      </c>
      <c r="E4061" s="4">
        <v>2</v>
      </c>
      <c r="F4061" s="8">
        <v>4.88</v>
      </c>
      <c r="G4061" s="4">
        <v>0</v>
      </c>
      <c r="H4061" s="8">
        <v>0</v>
      </c>
      <c r="I4061" s="4">
        <v>0</v>
      </c>
    </row>
    <row r="4062" spans="1:9" x14ac:dyDescent="0.2">
      <c r="A4062" s="2">
        <v>8</v>
      </c>
      <c r="B4062" s="1" t="s">
        <v>335</v>
      </c>
      <c r="C4062" s="4">
        <v>2</v>
      </c>
      <c r="D4062" s="8">
        <v>2.5</v>
      </c>
      <c r="E4062" s="4">
        <v>1</v>
      </c>
      <c r="F4062" s="8">
        <v>2.44</v>
      </c>
      <c r="G4062" s="4">
        <v>1</v>
      </c>
      <c r="H4062" s="8">
        <v>2.63</v>
      </c>
      <c r="I4062" s="4">
        <v>0</v>
      </c>
    </row>
    <row r="4063" spans="1:9" x14ac:dyDescent="0.2">
      <c r="A4063" s="2">
        <v>8</v>
      </c>
      <c r="B4063" s="1" t="s">
        <v>372</v>
      </c>
      <c r="C4063" s="4">
        <v>2</v>
      </c>
      <c r="D4063" s="8">
        <v>2.5</v>
      </c>
      <c r="E4063" s="4">
        <v>0</v>
      </c>
      <c r="F4063" s="8">
        <v>0</v>
      </c>
      <c r="G4063" s="4">
        <v>2</v>
      </c>
      <c r="H4063" s="8">
        <v>5.26</v>
      </c>
      <c r="I4063" s="4">
        <v>0</v>
      </c>
    </row>
    <row r="4064" spans="1:9" x14ac:dyDescent="0.2">
      <c r="A4064" s="2">
        <v>8</v>
      </c>
      <c r="B4064" s="1" t="s">
        <v>330</v>
      </c>
      <c r="C4064" s="4">
        <v>2</v>
      </c>
      <c r="D4064" s="8">
        <v>2.5</v>
      </c>
      <c r="E4064" s="4">
        <v>0</v>
      </c>
      <c r="F4064" s="8">
        <v>0</v>
      </c>
      <c r="G4064" s="4">
        <v>2</v>
      </c>
      <c r="H4064" s="8">
        <v>5.26</v>
      </c>
      <c r="I4064" s="4">
        <v>0</v>
      </c>
    </row>
    <row r="4065" spans="1:9" x14ac:dyDescent="0.2">
      <c r="A4065" s="2">
        <v>8</v>
      </c>
      <c r="B4065" s="1" t="s">
        <v>300</v>
      </c>
      <c r="C4065" s="4">
        <v>2</v>
      </c>
      <c r="D4065" s="8">
        <v>2.5</v>
      </c>
      <c r="E4065" s="4">
        <v>2</v>
      </c>
      <c r="F4065" s="8">
        <v>4.88</v>
      </c>
      <c r="G4065" s="4">
        <v>0</v>
      </c>
      <c r="H4065" s="8">
        <v>0</v>
      </c>
      <c r="I4065" s="4">
        <v>0</v>
      </c>
    </row>
    <row r="4066" spans="1:9" x14ac:dyDescent="0.2">
      <c r="A4066" s="2">
        <v>8</v>
      </c>
      <c r="B4066" s="1" t="s">
        <v>301</v>
      </c>
      <c r="C4066" s="4">
        <v>2</v>
      </c>
      <c r="D4066" s="8">
        <v>2.5</v>
      </c>
      <c r="E4066" s="4">
        <v>2</v>
      </c>
      <c r="F4066" s="8">
        <v>4.88</v>
      </c>
      <c r="G4066" s="4">
        <v>0</v>
      </c>
      <c r="H4066" s="8">
        <v>0</v>
      </c>
      <c r="I4066" s="4">
        <v>0</v>
      </c>
    </row>
    <row r="4067" spans="1:9" x14ac:dyDescent="0.2">
      <c r="A4067" s="2">
        <v>8</v>
      </c>
      <c r="B4067" s="1" t="s">
        <v>325</v>
      </c>
      <c r="C4067" s="4">
        <v>2</v>
      </c>
      <c r="D4067" s="8">
        <v>2.5</v>
      </c>
      <c r="E4067" s="4">
        <v>0</v>
      </c>
      <c r="F4067" s="8">
        <v>0</v>
      </c>
      <c r="G4067" s="4">
        <v>2</v>
      </c>
      <c r="H4067" s="8">
        <v>5.26</v>
      </c>
      <c r="I4067" s="4">
        <v>0</v>
      </c>
    </row>
    <row r="4068" spans="1:9" x14ac:dyDescent="0.2">
      <c r="A4068" s="2">
        <v>8</v>
      </c>
      <c r="B4068" s="1" t="s">
        <v>305</v>
      </c>
      <c r="C4068" s="4">
        <v>2</v>
      </c>
      <c r="D4068" s="8">
        <v>2.5</v>
      </c>
      <c r="E4068" s="4">
        <v>2</v>
      </c>
      <c r="F4068" s="8">
        <v>4.88</v>
      </c>
      <c r="G4068" s="4">
        <v>0</v>
      </c>
      <c r="H4068" s="8">
        <v>0</v>
      </c>
      <c r="I4068" s="4">
        <v>0</v>
      </c>
    </row>
    <row r="4069" spans="1:9" x14ac:dyDescent="0.2">
      <c r="A4069" s="2">
        <v>18</v>
      </c>
      <c r="B4069" s="1" t="s">
        <v>289</v>
      </c>
      <c r="C4069" s="4">
        <v>1</v>
      </c>
      <c r="D4069" s="8">
        <v>1.25</v>
      </c>
      <c r="E4069" s="4">
        <v>1</v>
      </c>
      <c r="F4069" s="8">
        <v>2.44</v>
      </c>
      <c r="G4069" s="4">
        <v>0</v>
      </c>
      <c r="H4069" s="8">
        <v>0</v>
      </c>
      <c r="I4069" s="4">
        <v>0</v>
      </c>
    </row>
    <row r="4070" spans="1:9" x14ac:dyDescent="0.2">
      <c r="A4070" s="2">
        <v>18</v>
      </c>
      <c r="B4070" s="1" t="s">
        <v>353</v>
      </c>
      <c r="C4070" s="4">
        <v>1</v>
      </c>
      <c r="D4070" s="8">
        <v>1.25</v>
      </c>
      <c r="E4070" s="4">
        <v>1</v>
      </c>
      <c r="F4070" s="8">
        <v>2.44</v>
      </c>
      <c r="G4070" s="4">
        <v>0</v>
      </c>
      <c r="H4070" s="8">
        <v>0</v>
      </c>
      <c r="I4070" s="4">
        <v>0</v>
      </c>
    </row>
    <row r="4071" spans="1:9" x14ac:dyDescent="0.2">
      <c r="A4071" s="2">
        <v>18</v>
      </c>
      <c r="B4071" s="1" t="s">
        <v>343</v>
      </c>
      <c r="C4071" s="4">
        <v>1</v>
      </c>
      <c r="D4071" s="8">
        <v>1.25</v>
      </c>
      <c r="E4071" s="4">
        <v>1</v>
      </c>
      <c r="F4071" s="8">
        <v>2.44</v>
      </c>
      <c r="G4071" s="4">
        <v>0</v>
      </c>
      <c r="H4071" s="8">
        <v>0</v>
      </c>
      <c r="I4071" s="4">
        <v>0</v>
      </c>
    </row>
    <row r="4072" spans="1:9" x14ac:dyDescent="0.2">
      <c r="A4072" s="2">
        <v>18</v>
      </c>
      <c r="B4072" s="1" t="s">
        <v>320</v>
      </c>
      <c r="C4072" s="4">
        <v>1</v>
      </c>
      <c r="D4072" s="8">
        <v>1.25</v>
      </c>
      <c r="E4072" s="4">
        <v>1</v>
      </c>
      <c r="F4072" s="8">
        <v>2.44</v>
      </c>
      <c r="G4072" s="4">
        <v>0</v>
      </c>
      <c r="H4072" s="8">
        <v>0</v>
      </c>
      <c r="I4072" s="4">
        <v>0</v>
      </c>
    </row>
    <row r="4073" spans="1:9" x14ac:dyDescent="0.2">
      <c r="A4073" s="2">
        <v>18</v>
      </c>
      <c r="B4073" s="1" t="s">
        <v>290</v>
      </c>
      <c r="C4073" s="4">
        <v>1</v>
      </c>
      <c r="D4073" s="8">
        <v>1.25</v>
      </c>
      <c r="E4073" s="4">
        <v>0</v>
      </c>
      <c r="F4073" s="8">
        <v>0</v>
      </c>
      <c r="G4073" s="4">
        <v>1</v>
      </c>
      <c r="H4073" s="8">
        <v>2.63</v>
      </c>
      <c r="I4073" s="4">
        <v>0</v>
      </c>
    </row>
    <row r="4074" spans="1:9" x14ac:dyDescent="0.2">
      <c r="A4074" s="2">
        <v>18</v>
      </c>
      <c r="B4074" s="1" t="s">
        <v>291</v>
      </c>
      <c r="C4074" s="4">
        <v>1</v>
      </c>
      <c r="D4074" s="8">
        <v>1.25</v>
      </c>
      <c r="E4074" s="4">
        <v>0</v>
      </c>
      <c r="F4074" s="8">
        <v>0</v>
      </c>
      <c r="G4074" s="4">
        <v>1</v>
      </c>
      <c r="H4074" s="8">
        <v>2.63</v>
      </c>
      <c r="I4074" s="4">
        <v>0</v>
      </c>
    </row>
    <row r="4075" spans="1:9" x14ac:dyDescent="0.2">
      <c r="A4075" s="2">
        <v>18</v>
      </c>
      <c r="B4075" s="1" t="s">
        <v>480</v>
      </c>
      <c r="C4075" s="4">
        <v>1</v>
      </c>
      <c r="D4075" s="8">
        <v>1.25</v>
      </c>
      <c r="E4075" s="4">
        <v>0</v>
      </c>
      <c r="F4075" s="8">
        <v>0</v>
      </c>
      <c r="G4075" s="4">
        <v>1</v>
      </c>
      <c r="H4075" s="8">
        <v>2.63</v>
      </c>
      <c r="I4075" s="4">
        <v>0</v>
      </c>
    </row>
    <row r="4076" spans="1:9" x14ac:dyDescent="0.2">
      <c r="A4076" s="2">
        <v>18</v>
      </c>
      <c r="B4076" s="1" t="s">
        <v>381</v>
      </c>
      <c r="C4076" s="4">
        <v>1</v>
      </c>
      <c r="D4076" s="8">
        <v>1.25</v>
      </c>
      <c r="E4076" s="4">
        <v>1</v>
      </c>
      <c r="F4076" s="8">
        <v>2.44</v>
      </c>
      <c r="G4076" s="4">
        <v>0</v>
      </c>
      <c r="H4076" s="8">
        <v>0</v>
      </c>
      <c r="I4076" s="4">
        <v>0</v>
      </c>
    </row>
    <row r="4077" spans="1:9" x14ac:dyDescent="0.2">
      <c r="A4077" s="2">
        <v>18</v>
      </c>
      <c r="B4077" s="1" t="s">
        <v>399</v>
      </c>
      <c r="C4077" s="4">
        <v>1</v>
      </c>
      <c r="D4077" s="8">
        <v>1.25</v>
      </c>
      <c r="E4077" s="4">
        <v>0</v>
      </c>
      <c r="F4077" s="8">
        <v>0</v>
      </c>
      <c r="G4077" s="4">
        <v>1</v>
      </c>
      <c r="H4077" s="8">
        <v>2.63</v>
      </c>
      <c r="I4077" s="4">
        <v>0</v>
      </c>
    </row>
    <row r="4078" spans="1:9" x14ac:dyDescent="0.2">
      <c r="A4078" s="2">
        <v>18</v>
      </c>
      <c r="B4078" s="1" t="s">
        <v>425</v>
      </c>
      <c r="C4078" s="4">
        <v>1</v>
      </c>
      <c r="D4078" s="8">
        <v>1.25</v>
      </c>
      <c r="E4078" s="4">
        <v>1</v>
      </c>
      <c r="F4078" s="8">
        <v>2.44</v>
      </c>
      <c r="G4078" s="4">
        <v>0</v>
      </c>
      <c r="H4078" s="8">
        <v>0</v>
      </c>
      <c r="I4078" s="4">
        <v>0</v>
      </c>
    </row>
    <row r="4079" spans="1:9" x14ac:dyDescent="0.2">
      <c r="A4079" s="2">
        <v>18</v>
      </c>
      <c r="B4079" s="1" t="s">
        <v>451</v>
      </c>
      <c r="C4079" s="4">
        <v>1</v>
      </c>
      <c r="D4079" s="8">
        <v>1.25</v>
      </c>
      <c r="E4079" s="4">
        <v>1</v>
      </c>
      <c r="F4079" s="8">
        <v>2.44</v>
      </c>
      <c r="G4079" s="4">
        <v>0</v>
      </c>
      <c r="H4079" s="8">
        <v>0</v>
      </c>
      <c r="I4079" s="4">
        <v>0</v>
      </c>
    </row>
    <row r="4080" spans="1:9" x14ac:dyDescent="0.2">
      <c r="A4080" s="2">
        <v>18</v>
      </c>
      <c r="B4080" s="1" t="s">
        <v>361</v>
      </c>
      <c r="C4080" s="4">
        <v>1</v>
      </c>
      <c r="D4080" s="8">
        <v>1.25</v>
      </c>
      <c r="E4080" s="4">
        <v>0</v>
      </c>
      <c r="F4080" s="8">
        <v>0</v>
      </c>
      <c r="G4080" s="4">
        <v>0</v>
      </c>
      <c r="H4080" s="8">
        <v>0</v>
      </c>
      <c r="I4080" s="4">
        <v>0</v>
      </c>
    </row>
    <row r="4081" spans="1:9" x14ac:dyDescent="0.2">
      <c r="A4081" s="2">
        <v>18</v>
      </c>
      <c r="B4081" s="1" t="s">
        <v>350</v>
      </c>
      <c r="C4081" s="4">
        <v>1</v>
      </c>
      <c r="D4081" s="8">
        <v>1.25</v>
      </c>
      <c r="E4081" s="4">
        <v>0</v>
      </c>
      <c r="F4081" s="8">
        <v>0</v>
      </c>
      <c r="G4081" s="4">
        <v>1</v>
      </c>
      <c r="H4081" s="8">
        <v>2.63</v>
      </c>
      <c r="I4081" s="4">
        <v>0</v>
      </c>
    </row>
    <row r="4082" spans="1:9" x14ac:dyDescent="0.2">
      <c r="A4082" s="2">
        <v>18</v>
      </c>
      <c r="B4082" s="1" t="s">
        <v>504</v>
      </c>
      <c r="C4082" s="4">
        <v>1</v>
      </c>
      <c r="D4082" s="8">
        <v>1.25</v>
      </c>
      <c r="E4082" s="4">
        <v>0</v>
      </c>
      <c r="F4082" s="8">
        <v>0</v>
      </c>
      <c r="G4082" s="4">
        <v>1</v>
      </c>
      <c r="H4082" s="8">
        <v>2.63</v>
      </c>
      <c r="I4082" s="4">
        <v>0</v>
      </c>
    </row>
    <row r="4083" spans="1:9" x14ac:dyDescent="0.2">
      <c r="A4083" s="2">
        <v>18</v>
      </c>
      <c r="B4083" s="1" t="s">
        <v>446</v>
      </c>
      <c r="C4083" s="4">
        <v>1</v>
      </c>
      <c r="D4083" s="8">
        <v>1.25</v>
      </c>
      <c r="E4083" s="4">
        <v>1</v>
      </c>
      <c r="F4083" s="8">
        <v>2.44</v>
      </c>
      <c r="G4083" s="4">
        <v>0</v>
      </c>
      <c r="H4083" s="8">
        <v>0</v>
      </c>
      <c r="I4083" s="4">
        <v>0</v>
      </c>
    </row>
    <row r="4084" spans="1:9" x14ac:dyDescent="0.2">
      <c r="A4084" s="2">
        <v>18</v>
      </c>
      <c r="B4084" s="1" t="s">
        <v>388</v>
      </c>
      <c r="C4084" s="4">
        <v>1</v>
      </c>
      <c r="D4084" s="8">
        <v>1.25</v>
      </c>
      <c r="E4084" s="4">
        <v>1</v>
      </c>
      <c r="F4084" s="8">
        <v>2.44</v>
      </c>
      <c r="G4084" s="4">
        <v>0</v>
      </c>
      <c r="H4084" s="8">
        <v>0</v>
      </c>
      <c r="I4084" s="4">
        <v>0</v>
      </c>
    </row>
    <row r="4085" spans="1:9" x14ac:dyDescent="0.2">
      <c r="A4085" s="2">
        <v>18</v>
      </c>
      <c r="B4085" s="1" t="s">
        <v>309</v>
      </c>
      <c r="C4085" s="4">
        <v>1</v>
      </c>
      <c r="D4085" s="8">
        <v>1.25</v>
      </c>
      <c r="E4085" s="4">
        <v>0</v>
      </c>
      <c r="F4085" s="8">
        <v>0</v>
      </c>
      <c r="G4085" s="4">
        <v>1</v>
      </c>
      <c r="H4085" s="8">
        <v>2.63</v>
      </c>
      <c r="I4085" s="4">
        <v>0</v>
      </c>
    </row>
    <row r="4086" spans="1:9" x14ac:dyDescent="0.2">
      <c r="A4086" s="2">
        <v>18</v>
      </c>
      <c r="B4086" s="1" t="s">
        <v>400</v>
      </c>
      <c r="C4086" s="4">
        <v>1</v>
      </c>
      <c r="D4086" s="8">
        <v>1.25</v>
      </c>
      <c r="E4086" s="4">
        <v>1</v>
      </c>
      <c r="F4086" s="8">
        <v>2.44</v>
      </c>
      <c r="G4086" s="4">
        <v>0</v>
      </c>
      <c r="H4086" s="8">
        <v>0</v>
      </c>
      <c r="I4086" s="4">
        <v>0</v>
      </c>
    </row>
    <row r="4087" spans="1:9" x14ac:dyDescent="0.2">
      <c r="A4087" s="2">
        <v>18</v>
      </c>
      <c r="B4087" s="1" t="s">
        <v>389</v>
      </c>
      <c r="C4087" s="4">
        <v>1</v>
      </c>
      <c r="D4087" s="8">
        <v>1.25</v>
      </c>
      <c r="E4087" s="4">
        <v>1</v>
      </c>
      <c r="F4087" s="8">
        <v>2.44</v>
      </c>
      <c r="G4087" s="4">
        <v>0</v>
      </c>
      <c r="H4087" s="8">
        <v>0</v>
      </c>
      <c r="I4087" s="4">
        <v>0</v>
      </c>
    </row>
    <row r="4088" spans="1:9" x14ac:dyDescent="0.2">
      <c r="A4088" s="2">
        <v>18</v>
      </c>
      <c r="B4088" s="1" t="s">
        <v>294</v>
      </c>
      <c r="C4088" s="4">
        <v>1</v>
      </c>
      <c r="D4088" s="8">
        <v>1.25</v>
      </c>
      <c r="E4088" s="4">
        <v>0</v>
      </c>
      <c r="F4088" s="8">
        <v>0</v>
      </c>
      <c r="G4088" s="4">
        <v>1</v>
      </c>
      <c r="H4088" s="8">
        <v>2.63</v>
      </c>
      <c r="I4088" s="4">
        <v>0</v>
      </c>
    </row>
    <row r="4089" spans="1:9" x14ac:dyDescent="0.2">
      <c r="A4089" s="2">
        <v>18</v>
      </c>
      <c r="B4089" s="1" t="s">
        <v>373</v>
      </c>
      <c r="C4089" s="4">
        <v>1</v>
      </c>
      <c r="D4089" s="8">
        <v>1.25</v>
      </c>
      <c r="E4089" s="4">
        <v>1</v>
      </c>
      <c r="F4089" s="8">
        <v>2.44</v>
      </c>
      <c r="G4089" s="4">
        <v>0</v>
      </c>
      <c r="H4089" s="8">
        <v>0</v>
      </c>
      <c r="I4089" s="4">
        <v>0</v>
      </c>
    </row>
    <row r="4090" spans="1:9" x14ac:dyDescent="0.2">
      <c r="A4090" s="2">
        <v>18</v>
      </c>
      <c r="B4090" s="1" t="s">
        <v>344</v>
      </c>
      <c r="C4090" s="4">
        <v>1</v>
      </c>
      <c r="D4090" s="8">
        <v>1.25</v>
      </c>
      <c r="E4090" s="4">
        <v>0</v>
      </c>
      <c r="F4090" s="8">
        <v>0</v>
      </c>
      <c r="G4090" s="4">
        <v>1</v>
      </c>
      <c r="H4090" s="8">
        <v>2.63</v>
      </c>
      <c r="I4090" s="4">
        <v>0</v>
      </c>
    </row>
    <row r="4091" spans="1:9" x14ac:dyDescent="0.2">
      <c r="A4091" s="2">
        <v>18</v>
      </c>
      <c r="B4091" s="1" t="s">
        <v>355</v>
      </c>
      <c r="C4091" s="4">
        <v>1</v>
      </c>
      <c r="D4091" s="8">
        <v>1.25</v>
      </c>
      <c r="E4091" s="4">
        <v>0</v>
      </c>
      <c r="F4091" s="8">
        <v>0</v>
      </c>
      <c r="G4091" s="4">
        <v>1</v>
      </c>
      <c r="H4091" s="8">
        <v>2.63</v>
      </c>
      <c r="I4091" s="4">
        <v>0</v>
      </c>
    </row>
    <row r="4092" spans="1:9" x14ac:dyDescent="0.2">
      <c r="A4092" s="2">
        <v>18</v>
      </c>
      <c r="B4092" s="1" t="s">
        <v>403</v>
      </c>
      <c r="C4092" s="4">
        <v>1</v>
      </c>
      <c r="D4092" s="8">
        <v>1.25</v>
      </c>
      <c r="E4092" s="4">
        <v>0</v>
      </c>
      <c r="F4092" s="8">
        <v>0</v>
      </c>
      <c r="G4092" s="4">
        <v>1</v>
      </c>
      <c r="H4092" s="8">
        <v>2.63</v>
      </c>
      <c r="I4092" s="4">
        <v>0</v>
      </c>
    </row>
    <row r="4093" spans="1:9" x14ac:dyDescent="0.2">
      <c r="A4093" s="2">
        <v>18</v>
      </c>
      <c r="B4093" s="1" t="s">
        <v>409</v>
      </c>
      <c r="C4093" s="4">
        <v>1</v>
      </c>
      <c r="D4093" s="8">
        <v>1.25</v>
      </c>
      <c r="E4093" s="4">
        <v>0</v>
      </c>
      <c r="F4093" s="8">
        <v>0</v>
      </c>
      <c r="G4093" s="4">
        <v>1</v>
      </c>
      <c r="H4093" s="8">
        <v>2.63</v>
      </c>
      <c r="I4093" s="4">
        <v>0</v>
      </c>
    </row>
    <row r="4094" spans="1:9" x14ac:dyDescent="0.2">
      <c r="A4094" s="2">
        <v>18</v>
      </c>
      <c r="B4094" s="1" t="s">
        <v>422</v>
      </c>
      <c r="C4094" s="4">
        <v>1</v>
      </c>
      <c r="D4094" s="8">
        <v>1.25</v>
      </c>
      <c r="E4094" s="4">
        <v>0</v>
      </c>
      <c r="F4094" s="8">
        <v>0</v>
      </c>
      <c r="G4094" s="4">
        <v>1</v>
      </c>
      <c r="H4094" s="8">
        <v>2.63</v>
      </c>
      <c r="I4094" s="4">
        <v>0</v>
      </c>
    </row>
    <row r="4095" spans="1:9" x14ac:dyDescent="0.2">
      <c r="A4095" s="2">
        <v>18</v>
      </c>
      <c r="B4095" s="1" t="s">
        <v>405</v>
      </c>
      <c r="C4095" s="4">
        <v>1</v>
      </c>
      <c r="D4095" s="8">
        <v>1.25</v>
      </c>
      <c r="E4095" s="4">
        <v>1</v>
      </c>
      <c r="F4095" s="8">
        <v>2.44</v>
      </c>
      <c r="G4095" s="4">
        <v>0</v>
      </c>
      <c r="H4095" s="8">
        <v>0</v>
      </c>
      <c r="I4095" s="4">
        <v>0</v>
      </c>
    </row>
    <row r="4096" spans="1:9" x14ac:dyDescent="0.2">
      <c r="A4096" s="2">
        <v>18</v>
      </c>
      <c r="B4096" s="1" t="s">
        <v>299</v>
      </c>
      <c r="C4096" s="4">
        <v>1</v>
      </c>
      <c r="D4096" s="8">
        <v>1.25</v>
      </c>
      <c r="E4096" s="4">
        <v>1</v>
      </c>
      <c r="F4096" s="8">
        <v>2.44</v>
      </c>
      <c r="G4096" s="4">
        <v>0</v>
      </c>
      <c r="H4096" s="8">
        <v>0</v>
      </c>
      <c r="I4096" s="4">
        <v>0</v>
      </c>
    </row>
    <row r="4097" spans="1:9" x14ac:dyDescent="0.2">
      <c r="A4097" s="2">
        <v>18</v>
      </c>
      <c r="B4097" s="1" t="s">
        <v>302</v>
      </c>
      <c r="C4097" s="4">
        <v>1</v>
      </c>
      <c r="D4097" s="8">
        <v>1.25</v>
      </c>
      <c r="E4097" s="4">
        <v>1</v>
      </c>
      <c r="F4097" s="8">
        <v>2.44</v>
      </c>
      <c r="G4097" s="4">
        <v>0</v>
      </c>
      <c r="H4097" s="8">
        <v>0</v>
      </c>
      <c r="I4097" s="4">
        <v>0</v>
      </c>
    </row>
    <row r="4098" spans="1:9" x14ac:dyDescent="0.2">
      <c r="A4098" s="2">
        <v>18</v>
      </c>
      <c r="B4098" s="1" t="s">
        <v>323</v>
      </c>
      <c r="C4098" s="4">
        <v>1</v>
      </c>
      <c r="D4098" s="8">
        <v>1.25</v>
      </c>
      <c r="E4098" s="4">
        <v>1</v>
      </c>
      <c r="F4098" s="8">
        <v>2.44</v>
      </c>
      <c r="G4098" s="4">
        <v>0</v>
      </c>
      <c r="H4098" s="8">
        <v>0</v>
      </c>
      <c r="I4098" s="4">
        <v>0</v>
      </c>
    </row>
    <row r="4099" spans="1:9" x14ac:dyDescent="0.2">
      <c r="A4099" s="2">
        <v>18</v>
      </c>
      <c r="B4099" s="1" t="s">
        <v>505</v>
      </c>
      <c r="C4099" s="4">
        <v>1</v>
      </c>
      <c r="D4099" s="8">
        <v>1.25</v>
      </c>
      <c r="E4099" s="4">
        <v>0</v>
      </c>
      <c r="F4099" s="8">
        <v>0</v>
      </c>
      <c r="G4099" s="4">
        <v>1</v>
      </c>
      <c r="H4099" s="8">
        <v>2.63</v>
      </c>
      <c r="I4099" s="4">
        <v>0</v>
      </c>
    </row>
    <row r="4100" spans="1:9" x14ac:dyDescent="0.2">
      <c r="A4100" s="2">
        <v>18</v>
      </c>
      <c r="B4100" s="1" t="s">
        <v>492</v>
      </c>
      <c r="C4100" s="4">
        <v>1</v>
      </c>
      <c r="D4100" s="8">
        <v>1.25</v>
      </c>
      <c r="E4100" s="4">
        <v>0</v>
      </c>
      <c r="F4100" s="8">
        <v>0</v>
      </c>
      <c r="G4100" s="4">
        <v>1</v>
      </c>
      <c r="H4100" s="8">
        <v>2.63</v>
      </c>
      <c r="I4100" s="4">
        <v>0</v>
      </c>
    </row>
    <row r="4101" spans="1:9" x14ac:dyDescent="0.2">
      <c r="A4101" s="2">
        <v>18</v>
      </c>
      <c r="B4101" s="1" t="s">
        <v>411</v>
      </c>
      <c r="C4101" s="4">
        <v>1</v>
      </c>
      <c r="D4101" s="8">
        <v>1.25</v>
      </c>
      <c r="E4101" s="4">
        <v>0</v>
      </c>
      <c r="F4101" s="8">
        <v>0</v>
      </c>
      <c r="G4101" s="4">
        <v>1</v>
      </c>
      <c r="H4101" s="8">
        <v>2.63</v>
      </c>
      <c r="I4101" s="4">
        <v>0</v>
      </c>
    </row>
    <row r="4102" spans="1:9" x14ac:dyDescent="0.2">
      <c r="A4102" s="2">
        <v>18</v>
      </c>
      <c r="B4102" s="1" t="s">
        <v>312</v>
      </c>
      <c r="C4102" s="4">
        <v>1</v>
      </c>
      <c r="D4102" s="8">
        <v>1.25</v>
      </c>
      <c r="E4102" s="4">
        <v>1</v>
      </c>
      <c r="F4102" s="8">
        <v>2.44</v>
      </c>
      <c r="G4102" s="4">
        <v>0</v>
      </c>
      <c r="H4102" s="8">
        <v>0</v>
      </c>
      <c r="I4102" s="4">
        <v>0</v>
      </c>
    </row>
    <row r="4103" spans="1:9" x14ac:dyDescent="0.2">
      <c r="A4103" s="2">
        <v>18</v>
      </c>
      <c r="B4103" s="1" t="s">
        <v>397</v>
      </c>
      <c r="C4103" s="4">
        <v>1</v>
      </c>
      <c r="D4103" s="8">
        <v>1.25</v>
      </c>
      <c r="E4103" s="4">
        <v>0</v>
      </c>
      <c r="F4103" s="8">
        <v>0</v>
      </c>
      <c r="G4103" s="4">
        <v>1</v>
      </c>
      <c r="H4103" s="8">
        <v>2.63</v>
      </c>
      <c r="I4103" s="4">
        <v>0</v>
      </c>
    </row>
    <row r="4104" spans="1:9" x14ac:dyDescent="0.2">
      <c r="A4104" s="2">
        <v>18</v>
      </c>
      <c r="B4104" s="1" t="s">
        <v>371</v>
      </c>
      <c r="C4104" s="4">
        <v>1</v>
      </c>
      <c r="D4104" s="8">
        <v>1.25</v>
      </c>
      <c r="E4104" s="4">
        <v>1</v>
      </c>
      <c r="F4104" s="8">
        <v>2.44</v>
      </c>
      <c r="G4104" s="4">
        <v>0</v>
      </c>
      <c r="H4104" s="8">
        <v>0</v>
      </c>
      <c r="I4104" s="4">
        <v>0</v>
      </c>
    </row>
    <row r="4105" spans="1:9" x14ac:dyDescent="0.2">
      <c r="A4105" s="2">
        <v>18</v>
      </c>
      <c r="B4105" s="1" t="s">
        <v>318</v>
      </c>
      <c r="C4105" s="4">
        <v>1</v>
      </c>
      <c r="D4105" s="8">
        <v>1.25</v>
      </c>
      <c r="E4105" s="4">
        <v>0</v>
      </c>
      <c r="F4105" s="8">
        <v>0</v>
      </c>
      <c r="G4105" s="4">
        <v>1</v>
      </c>
      <c r="H4105" s="8">
        <v>2.63</v>
      </c>
      <c r="I4105" s="4">
        <v>0</v>
      </c>
    </row>
    <row r="4106" spans="1:9" x14ac:dyDescent="0.2">
      <c r="A4106" s="1"/>
      <c r="C4106" s="4"/>
      <c r="D4106" s="8"/>
      <c r="E4106" s="4"/>
      <c r="F4106" s="8"/>
      <c r="G4106" s="4"/>
      <c r="H4106" s="8"/>
      <c r="I4106" s="4"/>
    </row>
    <row r="4107" spans="1:9" x14ac:dyDescent="0.2">
      <c r="A4107" s="1" t="s">
        <v>136</v>
      </c>
      <c r="C4107" s="4"/>
      <c r="D4107" s="8"/>
      <c r="E4107" s="4"/>
      <c r="F4107" s="8"/>
      <c r="G4107" s="4"/>
      <c r="H4107" s="8"/>
      <c r="I4107" s="4"/>
    </row>
    <row r="4108" spans="1:9" x14ac:dyDescent="0.2">
      <c r="A4108" s="2">
        <v>1</v>
      </c>
      <c r="B4108" s="1" t="s">
        <v>304</v>
      </c>
      <c r="C4108" s="4">
        <v>13</v>
      </c>
      <c r="D4108" s="8">
        <v>9.35</v>
      </c>
      <c r="E4108" s="4">
        <v>12</v>
      </c>
      <c r="F4108" s="8">
        <v>12.77</v>
      </c>
      <c r="G4108" s="4">
        <v>1</v>
      </c>
      <c r="H4108" s="8">
        <v>2.5</v>
      </c>
      <c r="I4108" s="4">
        <v>0</v>
      </c>
    </row>
    <row r="4109" spans="1:9" x14ac:dyDescent="0.2">
      <c r="A4109" s="2">
        <v>2</v>
      </c>
      <c r="B4109" s="1" t="s">
        <v>288</v>
      </c>
      <c r="C4109" s="4">
        <v>6</v>
      </c>
      <c r="D4109" s="8">
        <v>4.32</v>
      </c>
      <c r="E4109" s="4">
        <v>3</v>
      </c>
      <c r="F4109" s="8">
        <v>3.19</v>
      </c>
      <c r="G4109" s="4">
        <v>3</v>
      </c>
      <c r="H4109" s="8">
        <v>7.5</v>
      </c>
      <c r="I4109" s="4">
        <v>0</v>
      </c>
    </row>
    <row r="4110" spans="1:9" x14ac:dyDescent="0.2">
      <c r="A4110" s="2">
        <v>3</v>
      </c>
      <c r="B4110" s="1" t="s">
        <v>299</v>
      </c>
      <c r="C4110" s="4">
        <v>5</v>
      </c>
      <c r="D4110" s="8">
        <v>3.6</v>
      </c>
      <c r="E4110" s="4">
        <v>5</v>
      </c>
      <c r="F4110" s="8">
        <v>5.32</v>
      </c>
      <c r="G4110" s="4">
        <v>0</v>
      </c>
      <c r="H4110" s="8">
        <v>0</v>
      </c>
      <c r="I4110" s="4">
        <v>0</v>
      </c>
    </row>
    <row r="4111" spans="1:9" x14ac:dyDescent="0.2">
      <c r="A4111" s="2">
        <v>3</v>
      </c>
      <c r="B4111" s="1" t="s">
        <v>300</v>
      </c>
      <c r="C4111" s="4">
        <v>5</v>
      </c>
      <c r="D4111" s="8">
        <v>3.6</v>
      </c>
      <c r="E4111" s="4">
        <v>5</v>
      </c>
      <c r="F4111" s="8">
        <v>5.32</v>
      </c>
      <c r="G4111" s="4">
        <v>0</v>
      </c>
      <c r="H4111" s="8">
        <v>0</v>
      </c>
      <c r="I4111" s="4">
        <v>0</v>
      </c>
    </row>
    <row r="4112" spans="1:9" x14ac:dyDescent="0.2">
      <c r="A4112" s="2">
        <v>5</v>
      </c>
      <c r="B4112" s="1" t="s">
        <v>292</v>
      </c>
      <c r="C4112" s="4">
        <v>4</v>
      </c>
      <c r="D4112" s="8">
        <v>2.88</v>
      </c>
      <c r="E4112" s="4">
        <v>4</v>
      </c>
      <c r="F4112" s="8">
        <v>4.26</v>
      </c>
      <c r="G4112" s="4">
        <v>0</v>
      </c>
      <c r="H4112" s="8">
        <v>0</v>
      </c>
      <c r="I4112" s="4">
        <v>0</v>
      </c>
    </row>
    <row r="4113" spans="1:9" x14ac:dyDescent="0.2">
      <c r="A4113" s="2">
        <v>5</v>
      </c>
      <c r="B4113" s="1" t="s">
        <v>305</v>
      </c>
      <c r="C4113" s="4">
        <v>4</v>
      </c>
      <c r="D4113" s="8">
        <v>2.88</v>
      </c>
      <c r="E4113" s="4">
        <v>4</v>
      </c>
      <c r="F4113" s="8">
        <v>4.26</v>
      </c>
      <c r="G4113" s="4">
        <v>0</v>
      </c>
      <c r="H4113" s="8">
        <v>0</v>
      </c>
      <c r="I4113" s="4">
        <v>0</v>
      </c>
    </row>
    <row r="4114" spans="1:9" x14ac:dyDescent="0.2">
      <c r="A4114" s="2">
        <v>5</v>
      </c>
      <c r="B4114" s="1" t="s">
        <v>306</v>
      </c>
      <c r="C4114" s="4">
        <v>4</v>
      </c>
      <c r="D4114" s="8">
        <v>2.88</v>
      </c>
      <c r="E4114" s="4">
        <v>4</v>
      </c>
      <c r="F4114" s="8">
        <v>4.26</v>
      </c>
      <c r="G4114" s="4">
        <v>0</v>
      </c>
      <c r="H4114" s="8">
        <v>0</v>
      </c>
      <c r="I4114" s="4">
        <v>0</v>
      </c>
    </row>
    <row r="4115" spans="1:9" x14ac:dyDescent="0.2">
      <c r="A4115" s="2">
        <v>8</v>
      </c>
      <c r="B4115" s="1" t="s">
        <v>378</v>
      </c>
      <c r="C4115" s="4">
        <v>3</v>
      </c>
      <c r="D4115" s="8">
        <v>2.16</v>
      </c>
      <c r="E4115" s="4">
        <v>0</v>
      </c>
      <c r="F4115" s="8">
        <v>0</v>
      </c>
      <c r="G4115" s="4">
        <v>3</v>
      </c>
      <c r="H4115" s="8">
        <v>7.5</v>
      </c>
      <c r="I4115" s="4">
        <v>0</v>
      </c>
    </row>
    <row r="4116" spans="1:9" x14ac:dyDescent="0.2">
      <c r="A4116" s="2">
        <v>8</v>
      </c>
      <c r="B4116" s="1" t="s">
        <v>324</v>
      </c>
      <c r="C4116" s="4">
        <v>3</v>
      </c>
      <c r="D4116" s="8">
        <v>2.16</v>
      </c>
      <c r="E4116" s="4">
        <v>0</v>
      </c>
      <c r="F4116" s="8">
        <v>0</v>
      </c>
      <c r="G4116" s="4">
        <v>3</v>
      </c>
      <c r="H4116" s="8">
        <v>7.5</v>
      </c>
      <c r="I4116" s="4">
        <v>0</v>
      </c>
    </row>
    <row r="4117" spans="1:9" x14ac:dyDescent="0.2">
      <c r="A4117" s="2">
        <v>8</v>
      </c>
      <c r="B4117" s="1" t="s">
        <v>314</v>
      </c>
      <c r="C4117" s="4">
        <v>3</v>
      </c>
      <c r="D4117" s="8">
        <v>2.16</v>
      </c>
      <c r="E4117" s="4">
        <v>2</v>
      </c>
      <c r="F4117" s="8">
        <v>2.13</v>
      </c>
      <c r="G4117" s="4">
        <v>1</v>
      </c>
      <c r="H4117" s="8">
        <v>2.5</v>
      </c>
      <c r="I4117" s="4">
        <v>0</v>
      </c>
    </row>
    <row r="4118" spans="1:9" x14ac:dyDescent="0.2">
      <c r="A4118" s="2">
        <v>8</v>
      </c>
      <c r="B4118" s="1" t="s">
        <v>401</v>
      </c>
      <c r="C4118" s="4">
        <v>3</v>
      </c>
      <c r="D4118" s="8">
        <v>2.16</v>
      </c>
      <c r="E4118" s="4">
        <v>2</v>
      </c>
      <c r="F4118" s="8">
        <v>2.13</v>
      </c>
      <c r="G4118" s="4">
        <v>1</v>
      </c>
      <c r="H4118" s="8">
        <v>2.5</v>
      </c>
      <c r="I4118" s="4">
        <v>0</v>
      </c>
    </row>
    <row r="4119" spans="1:9" x14ac:dyDescent="0.2">
      <c r="A4119" s="2">
        <v>8</v>
      </c>
      <c r="B4119" s="1" t="s">
        <v>372</v>
      </c>
      <c r="C4119" s="4">
        <v>3</v>
      </c>
      <c r="D4119" s="8">
        <v>2.16</v>
      </c>
      <c r="E4119" s="4">
        <v>1</v>
      </c>
      <c r="F4119" s="8">
        <v>1.06</v>
      </c>
      <c r="G4119" s="4">
        <v>2</v>
      </c>
      <c r="H4119" s="8">
        <v>5</v>
      </c>
      <c r="I4119" s="4">
        <v>0</v>
      </c>
    </row>
    <row r="4120" spans="1:9" x14ac:dyDescent="0.2">
      <c r="A4120" s="2">
        <v>8</v>
      </c>
      <c r="B4120" s="1" t="s">
        <v>337</v>
      </c>
      <c r="C4120" s="4">
        <v>3</v>
      </c>
      <c r="D4120" s="8">
        <v>2.16</v>
      </c>
      <c r="E4120" s="4">
        <v>3</v>
      </c>
      <c r="F4120" s="8">
        <v>3.19</v>
      </c>
      <c r="G4120" s="4">
        <v>0</v>
      </c>
      <c r="H4120" s="8">
        <v>0</v>
      </c>
      <c r="I4120" s="4">
        <v>0</v>
      </c>
    </row>
    <row r="4121" spans="1:9" x14ac:dyDescent="0.2">
      <c r="A4121" s="2">
        <v>8</v>
      </c>
      <c r="B4121" s="1" t="s">
        <v>297</v>
      </c>
      <c r="C4121" s="4">
        <v>3</v>
      </c>
      <c r="D4121" s="8">
        <v>2.16</v>
      </c>
      <c r="E4121" s="4">
        <v>3</v>
      </c>
      <c r="F4121" s="8">
        <v>3.19</v>
      </c>
      <c r="G4121" s="4">
        <v>0</v>
      </c>
      <c r="H4121" s="8">
        <v>0</v>
      </c>
      <c r="I4121" s="4">
        <v>0</v>
      </c>
    </row>
    <row r="4122" spans="1:9" x14ac:dyDescent="0.2">
      <c r="A4122" s="2">
        <v>8</v>
      </c>
      <c r="B4122" s="1" t="s">
        <v>301</v>
      </c>
      <c r="C4122" s="4">
        <v>3</v>
      </c>
      <c r="D4122" s="8">
        <v>2.16</v>
      </c>
      <c r="E4122" s="4">
        <v>3</v>
      </c>
      <c r="F4122" s="8">
        <v>3.19</v>
      </c>
      <c r="G4122" s="4">
        <v>0</v>
      </c>
      <c r="H4122" s="8">
        <v>0</v>
      </c>
      <c r="I4122" s="4">
        <v>0</v>
      </c>
    </row>
    <row r="4123" spans="1:9" x14ac:dyDescent="0.2">
      <c r="A4123" s="2">
        <v>8</v>
      </c>
      <c r="B4123" s="1" t="s">
        <v>302</v>
      </c>
      <c r="C4123" s="4">
        <v>3</v>
      </c>
      <c r="D4123" s="8">
        <v>2.16</v>
      </c>
      <c r="E4123" s="4">
        <v>1</v>
      </c>
      <c r="F4123" s="8">
        <v>1.06</v>
      </c>
      <c r="G4123" s="4">
        <v>2</v>
      </c>
      <c r="H4123" s="8">
        <v>5</v>
      </c>
      <c r="I4123" s="4">
        <v>0</v>
      </c>
    </row>
    <row r="4124" spans="1:9" x14ac:dyDescent="0.2">
      <c r="A4124" s="2">
        <v>8</v>
      </c>
      <c r="B4124" s="1" t="s">
        <v>303</v>
      </c>
      <c r="C4124" s="4">
        <v>3</v>
      </c>
      <c r="D4124" s="8">
        <v>2.16</v>
      </c>
      <c r="E4124" s="4">
        <v>3</v>
      </c>
      <c r="F4124" s="8">
        <v>3.19</v>
      </c>
      <c r="G4124" s="4">
        <v>0</v>
      </c>
      <c r="H4124" s="8">
        <v>0</v>
      </c>
      <c r="I4124" s="4">
        <v>0</v>
      </c>
    </row>
    <row r="4125" spans="1:9" x14ac:dyDescent="0.2">
      <c r="A4125" s="2">
        <v>8</v>
      </c>
      <c r="B4125" s="1" t="s">
        <v>317</v>
      </c>
      <c r="C4125" s="4">
        <v>3</v>
      </c>
      <c r="D4125" s="8">
        <v>2.16</v>
      </c>
      <c r="E4125" s="4">
        <v>3</v>
      </c>
      <c r="F4125" s="8">
        <v>3.19</v>
      </c>
      <c r="G4125" s="4">
        <v>0</v>
      </c>
      <c r="H4125" s="8">
        <v>0</v>
      </c>
      <c r="I4125" s="4">
        <v>0</v>
      </c>
    </row>
    <row r="4126" spans="1:9" x14ac:dyDescent="0.2">
      <c r="A4126" s="2">
        <v>19</v>
      </c>
      <c r="B4126" s="1" t="s">
        <v>290</v>
      </c>
      <c r="C4126" s="4">
        <v>2</v>
      </c>
      <c r="D4126" s="8">
        <v>1.44</v>
      </c>
      <c r="E4126" s="4">
        <v>1</v>
      </c>
      <c r="F4126" s="8">
        <v>1.06</v>
      </c>
      <c r="G4126" s="4">
        <v>1</v>
      </c>
      <c r="H4126" s="8">
        <v>2.5</v>
      </c>
      <c r="I4126" s="4">
        <v>0</v>
      </c>
    </row>
    <row r="4127" spans="1:9" x14ac:dyDescent="0.2">
      <c r="A4127" s="2">
        <v>19</v>
      </c>
      <c r="B4127" s="1" t="s">
        <v>351</v>
      </c>
      <c r="C4127" s="4">
        <v>2</v>
      </c>
      <c r="D4127" s="8">
        <v>1.44</v>
      </c>
      <c r="E4127" s="4">
        <v>1</v>
      </c>
      <c r="F4127" s="8">
        <v>1.06</v>
      </c>
      <c r="G4127" s="4">
        <v>1</v>
      </c>
      <c r="H4127" s="8">
        <v>2.5</v>
      </c>
      <c r="I4127" s="4">
        <v>0</v>
      </c>
    </row>
    <row r="4128" spans="1:9" x14ac:dyDescent="0.2">
      <c r="A4128" s="2">
        <v>19</v>
      </c>
      <c r="B4128" s="1" t="s">
        <v>399</v>
      </c>
      <c r="C4128" s="4">
        <v>2</v>
      </c>
      <c r="D4128" s="8">
        <v>1.44</v>
      </c>
      <c r="E4128" s="4">
        <v>1</v>
      </c>
      <c r="F4128" s="8">
        <v>1.06</v>
      </c>
      <c r="G4128" s="4">
        <v>1</v>
      </c>
      <c r="H4128" s="8">
        <v>2.5</v>
      </c>
      <c r="I4128" s="4">
        <v>0</v>
      </c>
    </row>
    <row r="4129" spans="1:9" x14ac:dyDescent="0.2">
      <c r="A4129" s="2">
        <v>19</v>
      </c>
      <c r="B4129" s="1" t="s">
        <v>332</v>
      </c>
      <c r="C4129" s="4">
        <v>2</v>
      </c>
      <c r="D4129" s="8">
        <v>1.44</v>
      </c>
      <c r="E4129" s="4">
        <v>2</v>
      </c>
      <c r="F4129" s="8">
        <v>2.13</v>
      </c>
      <c r="G4129" s="4">
        <v>0</v>
      </c>
      <c r="H4129" s="8">
        <v>0</v>
      </c>
      <c r="I4129" s="4">
        <v>0</v>
      </c>
    </row>
    <row r="4130" spans="1:9" x14ac:dyDescent="0.2">
      <c r="A4130" s="2">
        <v>19</v>
      </c>
      <c r="B4130" s="1" t="s">
        <v>293</v>
      </c>
      <c r="C4130" s="4">
        <v>2</v>
      </c>
      <c r="D4130" s="8">
        <v>1.44</v>
      </c>
      <c r="E4130" s="4">
        <v>2</v>
      </c>
      <c r="F4130" s="8">
        <v>2.13</v>
      </c>
      <c r="G4130" s="4">
        <v>0</v>
      </c>
      <c r="H4130" s="8">
        <v>0</v>
      </c>
      <c r="I4130" s="4">
        <v>0</v>
      </c>
    </row>
    <row r="4131" spans="1:9" x14ac:dyDescent="0.2">
      <c r="A4131" s="2">
        <v>19</v>
      </c>
      <c r="B4131" s="1" t="s">
        <v>335</v>
      </c>
      <c r="C4131" s="4">
        <v>2</v>
      </c>
      <c r="D4131" s="8">
        <v>1.44</v>
      </c>
      <c r="E4131" s="4">
        <v>0</v>
      </c>
      <c r="F4131" s="8">
        <v>0</v>
      </c>
      <c r="G4131" s="4">
        <v>2</v>
      </c>
      <c r="H4131" s="8">
        <v>5</v>
      </c>
      <c r="I4131" s="4">
        <v>0</v>
      </c>
    </row>
    <row r="4132" spans="1:9" x14ac:dyDescent="0.2">
      <c r="A4132" s="2">
        <v>19</v>
      </c>
      <c r="B4132" s="1" t="s">
        <v>294</v>
      </c>
      <c r="C4132" s="4">
        <v>2</v>
      </c>
      <c r="D4132" s="8">
        <v>1.44</v>
      </c>
      <c r="E4132" s="4">
        <v>2</v>
      </c>
      <c r="F4132" s="8">
        <v>2.13</v>
      </c>
      <c r="G4132" s="4">
        <v>0</v>
      </c>
      <c r="H4132" s="8">
        <v>0</v>
      </c>
      <c r="I4132" s="4">
        <v>0</v>
      </c>
    </row>
    <row r="4133" spans="1:9" x14ac:dyDescent="0.2">
      <c r="A4133" s="2">
        <v>19</v>
      </c>
      <c r="B4133" s="1" t="s">
        <v>295</v>
      </c>
      <c r="C4133" s="4">
        <v>2</v>
      </c>
      <c r="D4133" s="8">
        <v>1.44</v>
      </c>
      <c r="E4133" s="4">
        <v>2</v>
      </c>
      <c r="F4133" s="8">
        <v>2.13</v>
      </c>
      <c r="G4133" s="4">
        <v>0</v>
      </c>
      <c r="H4133" s="8">
        <v>0</v>
      </c>
      <c r="I4133" s="4">
        <v>0</v>
      </c>
    </row>
    <row r="4134" spans="1:9" x14ac:dyDescent="0.2">
      <c r="A4134" s="2">
        <v>19</v>
      </c>
      <c r="B4134" s="1" t="s">
        <v>506</v>
      </c>
      <c r="C4134" s="4">
        <v>2</v>
      </c>
      <c r="D4134" s="8">
        <v>1.44</v>
      </c>
      <c r="E4134" s="4">
        <v>2</v>
      </c>
      <c r="F4134" s="8">
        <v>2.13</v>
      </c>
      <c r="G4134" s="4">
        <v>0</v>
      </c>
      <c r="H4134" s="8">
        <v>0</v>
      </c>
      <c r="I4134" s="4">
        <v>0</v>
      </c>
    </row>
    <row r="4135" spans="1:9" x14ac:dyDescent="0.2">
      <c r="A4135" s="2">
        <v>19</v>
      </c>
      <c r="B4135" s="1" t="s">
        <v>339</v>
      </c>
      <c r="C4135" s="4">
        <v>2</v>
      </c>
      <c r="D4135" s="8">
        <v>1.44</v>
      </c>
      <c r="E4135" s="4">
        <v>1</v>
      </c>
      <c r="F4135" s="8">
        <v>1.06</v>
      </c>
      <c r="G4135" s="4">
        <v>1</v>
      </c>
      <c r="H4135" s="8">
        <v>2.5</v>
      </c>
      <c r="I4135" s="4">
        <v>0</v>
      </c>
    </row>
    <row r="4136" spans="1:9" x14ac:dyDescent="0.2">
      <c r="A4136" s="2">
        <v>19</v>
      </c>
      <c r="B4136" s="1" t="s">
        <v>341</v>
      </c>
      <c r="C4136" s="4">
        <v>2</v>
      </c>
      <c r="D4136" s="8">
        <v>1.44</v>
      </c>
      <c r="E4136" s="4">
        <v>0</v>
      </c>
      <c r="F4136" s="8">
        <v>0</v>
      </c>
      <c r="G4136" s="4">
        <v>0</v>
      </c>
      <c r="H4136" s="8">
        <v>0</v>
      </c>
      <c r="I4136" s="4">
        <v>0</v>
      </c>
    </row>
    <row r="4137" spans="1:9" x14ac:dyDescent="0.2">
      <c r="A4137" s="2">
        <v>19</v>
      </c>
      <c r="B4137" s="1" t="s">
        <v>371</v>
      </c>
      <c r="C4137" s="4">
        <v>2</v>
      </c>
      <c r="D4137" s="8">
        <v>1.44</v>
      </c>
      <c r="E4137" s="4">
        <v>2</v>
      </c>
      <c r="F4137" s="8">
        <v>2.13</v>
      </c>
      <c r="G4137" s="4">
        <v>0</v>
      </c>
      <c r="H4137" s="8">
        <v>0</v>
      </c>
      <c r="I4137" s="4">
        <v>0</v>
      </c>
    </row>
    <row r="4138" spans="1:9" x14ac:dyDescent="0.2">
      <c r="A4138" s="2">
        <v>19</v>
      </c>
      <c r="B4138" s="1" t="s">
        <v>392</v>
      </c>
      <c r="C4138" s="4">
        <v>2</v>
      </c>
      <c r="D4138" s="8">
        <v>1.44</v>
      </c>
      <c r="E4138" s="4">
        <v>2</v>
      </c>
      <c r="F4138" s="8">
        <v>2.13</v>
      </c>
      <c r="G4138" s="4">
        <v>0</v>
      </c>
      <c r="H4138" s="8">
        <v>0</v>
      </c>
      <c r="I4138" s="4">
        <v>0</v>
      </c>
    </row>
    <row r="4139" spans="1:9" x14ac:dyDescent="0.2">
      <c r="A4139" s="2">
        <v>19</v>
      </c>
      <c r="B4139" s="1" t="s">
        <v>318</v>
      </c>
      <c r="C4139" s="4">
        <v>2</v>
      </c>
      <c r="D4139" s="8">
        <v>1.44</v>
      </c>
      <c r="E4139" s="4">
        <v>0</v>
      </c>
      <c r="F4139" s="8">
        <v>0</v>
      </c>
      <c r="G4139" s="4">
        <v>1</v>
      </c>
      <c r="H4139" s="8">
        <v>2.5</v>
      </c>
      <c r="I4139" s="4">
        <v>0</v>
      </c>
    </row>
    <row r="4140" spans="1:9" x14ac:dyDescent="0.2">
      <c r="A4140" s="1"/>
      <c r="C4140" s="4"/>
      <c r="D4140" s="8"/>
      <c r="E4140" s="4"/>
      <c r="F4140" s="8"/>
      <c r="G4140" s="4"/>
      <c r="H4140" s="8"/>
      <c r="I4140" s="4"/>
    </row>
    <row r="4141" spans="1:9" x14ac:dyDescent="0.2">
      <c r="A4141" s="1" t="s">
        <v>137</v>
      </c>
      <c r="C4141" s="4"/>
      <c r="D4141" s="8"/>
      <c r="E4141" s="4"/>
      <c r="F4141" s="8"/>
      <c r="G4141" s="4"/>
      <c r="H4141" s="8"/>
      <c r="I4141" s="4"/>
    </row>
    <row r="4142" spans="1:9" x14ac:dyDescent="0.2">
      <c r="A4142" s="2">
        <v>1</v>
      </c>
      <c r="B4142" s="1" t="s">
        <v>303</v>
      </c>
      <c r="C4142" s="4">
        <v>6</v>
      </c>
      <c r="D4142" s="8">
        <v>6.59</v>
      </c>
      <c r="E4142" s="4">
        <v>6</v>
      </c>
      <c r="F4142" s="8">
        <v>12.24</v>
      </c>
      <c r="G4142" s="4">
        <v>0</v>
      </c>
      <c r="H4142" s="8">
        <v>0</v>
      </c>
      <c r="I4142" s="4">
        <v>0</v>
      </c>
    </row>
    <row r="4143" spans="1:9" x14ac:dyDescent="0.2">
      <c r="A4143" s="2">
        <v>1</v>
      </c>
      <c r="B4143" s="1" t="s">
        <v>304</v>
      </c>
      <c r="C4143" s="4">
        <v>6</v>
      </c>
      <c r="D4143" s="8">
        <v>6.59</v>
      </c>
      <c r="E4143" s="4">
        <v>6</v>
      </c>
      <c r="F4143" s="8">
        <v>12.24</v>
      </c>
      <c r="G4143" s="4">
        <v>0</v>
      </c>
      <c r="H4143" s="8">
        <v>0</v>
      </c>
      <c r="I4143" s="4">
        <v>0</v>
      </c>
    </row>
    <row r="4144" spans="1:9" x14ac:dyDescent="0.2">
      <c r="A4144" s="2">
        <v>3</v>
      </c>
      <c r="B4144" s="1" t="s">
        <v>291</v>
      </c>
      <c r="C4144" s="4">
        <v>3</v>
      </c>
      <c r="D4144" s="8">
        <v>3.3</v>
      </c>
      <c r="E4144" s="4">
        <v>1</v>
      </c>
      <c r="F4144" s="8">
        <v>2.04</v>
      </c>
      <c r="G4144" s="4">
        <v>2</v>
      </c>
      <c r="H4144" s="8">
        <v>5.41</v>
      </c>
      <c r="I4144" s="4">
        <v>0</v>
      </c>
    </row>
    <row r="4145" spans="1:9" x14ac:dyDescent="0.2">
      <c r="A4145" s="2">
        <v>3</v>
      </c>
      <c r="B4145" s="1" t="s">
        <v>330</v>
      </c>
      <c r="C4145" s="4">
        <v>3</v>
      </c>
      <c r="D4145" s="8">
        <v>3.3</v>
      </c>
      <c r="E4145" s="4">
        <v>0</v>
      </c>
      <c r="F4145" s="8">
        <v>0</v>
      </c>
      <c r="G4145" s="4">
        <v>3</v>
      </c>
      <c r="H4145" s="8">
        <v>8.11</v>
      </c>
      <c r="I4145" s="4">
        <v>0</v>
      </c>
    </row>
    <row r="4146" spans="1:9" x14ac:dyDescent="0.2">
      <c r="A4146" s="2">
        <v>3</v>
      </c>
      <c r="B4146" s="1" t="s">
        <v>295</v>
      </c>
      <c r="C4146" s="4">
        <v>3</v>
      </c>
      <c r="D4146" s="8">
        <v>3.3</v>
      </c>
      <c r="E4146" s="4">
        <v>2</v>
      </c>
      <c r="F4146" s="8">
        <v>4.08</v>
      </c>
      <c r="G4146" s="4">
        <v>1</v>
      </c>
      <c r="H4146" s="8">
        <v>2.7</v>
      </c>
      <c r="I4146" s="4">
        <v>0</v>
      </c>
    </row>
    <row r="4147" spans="1:9" x14ac:dyDescent="0.2">
      <c r="A4147" s="2">
        <v>3</v>
      </c>
      <c r="B4147" s="1" t="s">
        <v>299</v>
      </c>
      <c r="C4147" s="4">
        <v>3</v>
      </c>
      <c r="D4147" s="8">
        <v>3.3</v>
      </c>
      <c r="E4147" s="4">
        <v>3</v>
      </c>
      <c r="F4147" s="8">
        <v>6.12</v>
      </c>
      <c r="G4147" s="4">
        <v>0</v>
      </c>
      <c r="H4147" s="8">
        <v>0</v>
      </c>
      <c r="I4147" s="4">
        <v>0</v>
      </c>
    </row>
    <row r="4148" spans="1:9" x14ac:dyDescent="0.2">
      <c r="A4148" s="2">
        <v>3</v>
      </c>
      <c r="B4148" s="1" t="s">
        <v>301</v>
      </c>
      <c r="C4148" s="4">
        <v>3</v>
      </c>
      <c r="D4148" s="8">
        <v>3.3</v>
      </c>
      <c r="E4148" s="4">
        <v>3</v>
      </c>
      <c r="F4148" s="8">
        <v>6.12</v>
      </c>
      <c r="G4148" s="4">
        <v>0</v>
      </c>
      <c r="H4148" s="8">
        <v>0</v>
      </c>
      <c r="I4148" s="4">
        <v>0</v>
      </c>
    </row>
    <row r="4149" spans="1:9" x14ac:dyDescent="0.2">
      <c r="A4149" s="2">
        <v>8</v>
      </c>
      <c r="B4149" s="1" t="s">
        <v>289</v>
      </c>
      <c r="C4149" s="4">
        <v>2</v>
      </c>
      <c r="D4149" s="8">
        <v>2.2000000000000002</v>
      </c>
      <c r="E4149" s="4">
        <v>0</v>
      </c>
      <c r="F4149" s="8">
        <v>0</v>
      </c>
      <c r="G4149" s="4">
        <v>2</v>
      </c>
      <c r="H4149" s="8">
        <v>5.41</v>
      </c>
      <c r="I4149" s="4">
        <v>0</v>
      </c>
    </row>
    <row r="4150" spans="1:9" x14ac:dyDescent="0.2">
      <c r="A4150" s="2">
        <v>8</v>
      </c>
      <c r="B4150" s="1" t="s">
        <v>393</v>
      </c>
      <c r="C4150" s="4">
        <v>2</v>
      </c>
      <c r="D4150" s="8">
        <v>2.2000000000000002</v>
      </c>
      <c r="E4150" s="4">
        <v>1</v>
      </c>
      <c r="F4150" s="8">
        <v>2.04</v>
      </c>
      <c r="G4150" s="4">
        <v>1</v>
      </c>
      <c r="H4150" s="8">
        <v>2.7</v>
      </c>
      <c r="I4150" s="4">
        <v>0</v>
      </c>
    </row>
    <row r="4151" spans="1:9" x14ac:dyDescent="0.2">
      <c r="A4151" s="2">
        <v>8</v>
      </c>
      <c r="B4151" s="1" t="s">
        <v>333</v>
      </c>
      <c r="C4151" s="4">
        <v>2</v>
      </c>
      <c r="D4151" s="8">
        <v>2.2000000000000002</v>
      </c>
      <c r="E4151" s="4">
        <v>1</v>
      </c>
      <c r="F4151" s="8">
        <v>2.04</v>
      </c>
      <c r="G4151" s="4">
        <v>1</v>
      </c>
      <c r="H4151" s="8">
        <v>2.7</v>
      </c>
      <c r="I4151" s="4">
        <v>0</v>
      </c>
    </row>
    <row r="4152" spans="1:9" x14ac:dyDescent="0.2">
      <c r="A4152" s="2">
        <v>8</v>
      </c>
      <c r="B4152" s="1" t="s">
        <v>290</v>
      </c>
      <c r="C4152" s="4">
        <v>2</v>
      </c>
      <c r="D4152" s="8">
        <v>2.2000000000000002</v>
      </c>
      <c r="E4152" s="4">
        <v>1</v>
      </c>
      <c r="F4152" s="8">
        <v>2.04</v>
      </c>
      <c r="G4152" s="4">
        <v>1</v>
      </c>
      <c r="H4152" s="8">
        <v>2.7</v>
      </c>
      <c r="I4152" s="4">
        <v>0</v>
      </c>
    </row>
    <row r="4153" spans="1:9" x14ac:dyDescent="0.2">
      <c r="A4153" s="2">
        <v>8</v>
      </c>
      <c r="B4153" s="1" t="s">
        <v>292</v>
      </c>
      <c r="C4153" s="4">
        <v>2</v>
      </c>
      <c r="D4153" s="8">
        <v>2.2000000000000002</v>
      </c>
      <c r="E4153" s="4">
        <v>1</v>
      </c>
      <c r="F4153" s="8">
        <v>2.04</v>
      </c>
      <c r="G4153" s="4">
        <v>1</v>
      </c>
      <c r="H4153" s="8">
        <v>2.7</v>
      </c>
      <c r="I4153" s="4">
        <v>0</v>
      </c>
    </row>
    <row r="4154" spans="1:9" x14ac:dyDescent="0.2">
      <c r="A4154" s="2">
        <v>8</v>
      </c>
      <c r="B4154" s="1" t="s">
        <v>293</v>
      </c>
      <c r="C4154" s="4">
        <v>2</v>
      </c>
      <c r="D4154" s="8">
        <v>2.2000000000000002</v>
      </c>
      <c r="E4154" s="4">
        <v>1</v>
      </c>
      <c r="F4154" s="8">
        <v>2.04</v>
      </c>
      <c r="G4154" s="4">
        <v>1</v>
      </c>
      <c r="H4154" s="8">
        <v>2.7</v>
      </c>
      <c r="I4154" s="4">
        <v>0</v>
      </c>
    </row>
    <row r="4155" spans="1:9" x14ac:dyDescent="0.2">
      <c r="A4155" s="2">
        <v>8</v>
      </c>
      <c r="B4155" s="1" t="s">
        <v>337</v>
      </c>
      <c r="C4155" s="4">
        <v>2</v>
      </c>
      <c r="D4155" s="8">
        <v>2.2000000000000002</v>
      </c>
      <c r="E4155" s="4">
        <v>0</v>
      </c>
      <c r="F4155" s="8">
        <v>0</v>
      </c>
      <c r="G4155" s="4">
        <v>2</v>
      </c>
      <c r="H4155" s="8">
        <v>5.41</v>
      </c>
      <c r="I4155" s="4">
        <v>0</v>
      </c>
    </row>
    <row r="4156" spans="1:9" x14ac:dyDescent="0.2">
      <c r="A4156" s="2">
        <v>8</v>
      </c>
      <c r="B4156" s="1" t="s">
        <v>297</v>
      </c>
      <c r="C4156" s="4">
        <v>2</v>
      </c>
      <c r="D4156" s="8">
        <v>2.2000000000000002</v>
      </c>
      <c r="E4156" s="4">
        <v>1</v>
      </c>
      <c r="F4156" s="8">
        <v>2.04</v>
      </c>
      <c r="G4156" s="4">
        <v>1</v>
      </c>
      <c r="H4156" s="8">
        <v>2.7</v>
      </c>
      <c r="I4156" s="4">
        <v>0</v>
      </c>
    </row>
    <row r="4157" spans="1:9" x14ac:dyDescent="0.2">
      <c r="A4157" s="2">
        <v>8</v>
      </c>
      <c r="B4157" s="1" t="s">
        <v>482</v>
      </c>
      <c r="C4157" s="4">
        <v>2</v>
      </c>
      <c r="D4157" s="8">
        <v>2.2000000000000002</v>
      </c>
      <c r="E4157" s="4">
        <v>2</v>
      </c>
      <c r="F4157" s="8">
        <v>4.08</v>
      </c>
      <c r="G4157" s="4">
        <v>0</v>
      </c>
      <c r="H4157" s="8">
        <v>0</v>
      </c>
      <c r="I4157" s="4">
        <v>0</v>
      </c>
    </row>
    <row r="4158" spans="1:9" x14ac:dyDescent="0.2">
      <c r="A4158" s="2">
        <v>8</v>
      </c>
      <c r="B4158" s="1" t="s">
        <v>339</v>
      </c>
      <c r="C4158" s="4">
        <v>2</v>
      </c>
      <c r="D4158" s="8">
        <v>2.2000000000000002</v>
      </c>
      <c r="E4158" s="4">
        <v>2</v>
      </c>
      <c r="F4158" s="8">
        <v>4.08</v>
      </c>
      <c r="G4158" s="4">
        <v>0</v>
      </c>
      <c r="H4158" s="8">
        <v>0</v>
      </c>
      <c r="I4158" s="4">
        <v>0</v>
      </c>
    </row>
    <row r="4159" spans="1:9" x14ac:dyDescent="0.2">
      <c r="A4159" s="2">
        <v>8</v>
      </c>
      <c r="B4159" s="1" t="s">
        <v>302</v>
      </c>
      <c r="C4159" s="4">
        <v>2</v>
      </c>
      <c r="D4159" s="8">
        <v>2.2000000000000002</v>
      </c>
      <c r="E4159" s="4">
        <v>2</v>
      </c>
      <c r="F4159" s="8">
        <v>4.08</v>
      </c>
      <c r="G4159" s="4">
        <v>0</v>
      </c>
      <c r="H4159" s="8">
        <v>0</v>
      </c>
      <c r="I4159" s="4">
        <v>0</v>
      </c>
    </row>
    <row r="4160" spans="1:9" x14ac:dyDescent="0.2">
      <c r="A4160" s="2">
        <v>8</v>
      </c>
      <c r="B4160" s="1" t="s">
        <v>347</v>
      </c>
      <c r="C4160" s="4">
        <v>2</v>
      </c>
      <c r="D4160" s="8">
        <v>2.2000000000000002</v>
      </c>
      <c r="E4160" s="4">
        <v>0</v>
      </c>
      <c r="F4160" s="8">
        <v>0</v>
      </c>
      <c r="G4160" s="4">
        <v>2</v>
      </c>
      <c r="H4160" s="8">
        <v>5.41</v>
      </c>
      <c r="I4160" s="4">
        <v>0</v>
      </c>
    </row>
    <row r="4161" spans="1:9" x14ac:dyDescent="0.2">
      <c r="A4161" s="2">
        <v>8</v>
      </c>
      <c r="B4161" s="1" t="s">
        <v>307</v>
      </c>
      <c r="C4161" s="4">
        <v>2</v>
      </c>
      <c r="D4161" s="8">
        <v>2.2000000000000002</v>
      </c>
      <c r="E4161" s="4">
        <v>0</v>
      </c>
      <c r="F4161" s="8">
        <v>0</v>
      </c>
      <c r="G4161" s="4">
        <v>2</v>
      </c>
      <c r="H4161" s="8">
        <v>5.41</v>
      </c>
      <c r="I4161" s="4">
        <v>0</v>
      </c>
    </row>
    <row r="4162" spans="1:9" x14ac:dyDescent="0.2">
      <c r="A4162" s="1"/>
      <c r="C4162" s="4"/>
      <c r="D4162" s="8"/>
      <c r="E4162" s="4"/>
      <c r="F4162" s="8"/>
      <c r="G4162" s="4"/>
      <c r="H4162" s="8"/>
      <c r="I4162" s="4"/>
    </row>
    <row r="4163" spans="1:9" x14ac:dyDescent="0.2">
      <c r="A4163" s="1" t="s">
        <v>138</v>
      </c>
      <c r="C4163" s="4"/>
      <c r="D4163" s="8"/>
      <c r="E4163" s="4"/>
      <c r="F4163" s="8"/>
      <c r="G4163" s="4"/>
      <c r="H4163" s="8"/>
      <c r="I4163" s="4"/>
    </row>
    <row r="4164" spans="1:9" x14ac:dyDescent="0.2">
      <c r="A4164" s="2">
        <v>1</v>
      </c>
      <c r="B4164" s="1" t="s">
        <v>461</v>
      </c>
      <c r="C4164" s="4">
        <v>21</v>
      </c>
      <c r="D4164" s="8">
        <v>19.440000000000001</v>
      </c>
      <c r="E4164" s="4">
        <v>21</v>
      </c>
      <c r="F4164" s="8">
        <v>29.17</v>
      </c>
      <c r="G4164" s="4">
        <v>0</v>
      </c>
      <c r="H4164" s="8">
        <v>0</v>
      </c>
      <c r="I4164" s="4">
        <v>0</v>
      </c>
    </row>
    <row r="4165" spans="1:9" x14ac:dyDescent="0.2">
      <c r="A4165" s="2">
        <v>2</v>
      </c>
      <c r="B4165" s="1" t="s">
        <v>304</v>
      </c>
      <c r="C4165" s="4">
        <v>5</v>
      </c>
      <c r="D4165" s="8">
        <v>4.63</v>
      </c>
      <c r="E4165" s="4">
        <v>5</v>
      </c>
      <c r="F4165" s="8">
        <v>6.94</v>
      </c>
      <c r="G4165" s="4">
        <v>0</v>
      </c>
      <c r="H4165" s="8">
        <v>0</v>
      </c>
      <c r="I4165" s="4">
        <v>0</v>
      </c>
    </row>
    <row r="4166" spans="1:9" x14ac:dyDescent="0.2">
      <c r="A4166" s="2">
        <v>2</v>
      </c>
      <c r="B4166" s="1" t="s">
        <v>318</v>
      </c>
      <c r="C4166" s="4">
        <v>5</v>
      </c>
      <c r="D4166" s="8">
        <v>4.63</v>
      </c>
      <c r="E4166" s="4">
        <v>4</v>
      </c>
      <c r="F4166" s="8">
        <v>5.56</v>
      </c>
      <c r="G4166" s="4">
        <v>1</v>
      </c>
      <c r="H4166" s="8">
        <v>3.7</v>
      </c>
      <c r="I4166" s="4">
        <v>0</v>
      </c>
    </row>
    <row r="4167" spans="1:9" x14ac:dyDescent="0.2">
      <c r="A4167" s="2">
        <v>4</v>
      </c>
      <c r="B4167" s="1" t="s">
        <v>402</v>
      </c>
      <c r="C4167" s="4">
        <v>4</v>
      </c>
      <c r="D4167" s="8">
        <v>3.7</v>
      </c>
      <c r="E4167" s="4">
        <v>2</v>
      </c>
      <c r="F4167" s="8">
        <v>2.78</v>
      </c>
      <c r="G4167" s="4">
        <v>2</v>
      </c>
      <c r="H4167" s="8">
        <v>7.41</v>
      </c>
      <c r="I4167" s="4">
        <v>0</v>
      </c>
    </row>
    <row r="4168" spans="1:9" x14ac:dyDescent="0.2">
      <c r="A4168" s="2">
        <v>4</v>
      </c>
      <c r="B4168" s="1" t="s">
        <v>295</v>
      </c>
      <c r="C4168" s="4">
        <v>4</v>
      </c>
      <c r="D4168" s="8">
        <v>3.7</v>
      </c>
      <c r="E4168" s="4">
        <v>4</v>
      </c>
      <c r="F4168" s="8">
        <v>5.56</v>
      </c>
      <c r="G4168" s="4">
        <v>0</v>
      </c>
      <c r="H4168" s="8">
        <v>0</v>
      </c>
      <c r="I4168" s="4">
        <v>0</v>
      </c>
    </row>
    <row r="4169" spans="1:9" x14ac:dyDescent="0.2">
      <c r="A4169" s="2">
        <v>4</v>
      </c>
      <c r="B4169" s="1" t="s">
        <v>303</v>
      </c>
      <c r="C4169" s="4">
        <v>4</v>
      </c>
      <c r="D4169" s="8">
        <v>3.7</v>
      </c>
      <c r="E4169" s="4">
        <v>4</v>
      </c>
      <c r="F4169" s="8">
        <v>5.56</v>
      </c>
      <c r="G4169" s="4">
        <v>0</v>
      </c>
      <c r="H4169" s="8">
        <v>0</v>
      </c>
      <c r="I4169" s="4">
        <v>0</v>
      </c>
    </row>
    <row r="4170" spans="1:9" x14ac:dyDescent="0.2">
      <c r="A4170" s="2">
        <v>4</v>
      </c>
      <c r="B4170" s="1" t="s">
        <v>340</v>
      </c>
      <c r="C4170" s="4">
        <v>4</v>
      </c>
      <c r="D4170" s="8">
        <v>3.7</v>
      </c>
      <c r="E4170" s="4">
        <v>0</v>
      </c>
      <c r="F4170" s="8">
        <v>0</v>
      </c>
      <c r="G4170" s="4">
        <v>0</v>
      </c>
      <c r="H4170" s="8">
        <v>0</v>
      </c>
      <c r="I4170" s="4">
        <v>0</v>
      </c>
    </row>
    <row r="4171" spans="1:9" x14ac:dyDescent="0.2">
      <c r="A4171" s="2">
        <v>4</v>
      </c>
      <c r="B4171" s="1" t="s">
        <v>306</v>
      </c>
      <c r="C4171" s="4">
        <v>4</v>
      </c>
      <c r="D4171" s="8">
        <v>3.7</v>
      </c>
      <c r="E4171" s="4">
        <v>4</v>
      </c>
      <c r="F4171" s="8">
        <v>5.56</v>
      </c>
      <c r="G4171" s="4">
        <v>0</v>
      </c>
      <c r="H4171" s="8">
        <v>0</v>
      </c>
      <c r="I4171" s="4">
        <v>0</v>
      </c>
    </row>
    <row r="4172" spans="1:9" x14ac:dyDescent="0.2">
      <c r="A4172" s="2">
        <v>9</v>
      </c>
      <c r="B4172" s="1" t="s">
        <v>314</v>
      </c>
      <c r="C4172" s="4">
        <v>3</v>
      </c>
      <c r="D4172" s="8">
        <v>2.78</v>
      </c>
      <c r="E4172" s="4">
        <v>2</v>
      </c>
      <c r="F4172" s="8">
        <v>2.78</v>
      </c>
      <c r="G4172" s="4">
        <v>1</v>
      </c>
      <c r="H4172" s="8">
        <v>3.7</v>
      </c>
      <c r="I4172" s="4">
        <v>0</v>
      </c>
    </row>
    <row r="4173" spans="1:9" x14ac:dyDescent="0.2">
      <c r="A4173" s="2">
        <v>9</v>
      </c>
      <c r="B4173" s="1" t="s">
        <v>330</v>
      </c>
      <c r="C4173" s="4">
        <v>3</v>
      </c>
      <c r="D4173" s="8">
        <v>2.78</v>
      </c>
      <c r="E4173" s="4">
        <v>1</v>
      </c>
      <c r="F4173" s="8">
        <v>1.39</v>
      </c>
      <c r="G4173" s="4">
        <v>2</v>
      </c>
      <c r="H4173" s="8">
        <v>7.41</v>
      </c>
      <c r="I4173" s="4">
        <v>0</v>
      </c>
    </row>
    <row r="4174" spans="1:9" x14ac:dyDescent="0.2">
      <c r="A4174" s="2">
        <v>11</v>
      </c>
      <c r="B4174" s="1" t="s">
        <v>384</v>
      </c>
      <c r="C4174" s="4">
        <v>2</v>
      </c>
      <c r="D4174" s="8">
        <v>1.85</v>
      </c>
      <c r="E4174" s="4">
        <v>0</v>
      </c>
      <c r="F4174" s="8">
        <v>0</v>
      </c>
      <c r="G4174" s="4">
        <v>2</v>
      </c>
      <c r="H4174" s="8">
        <v>7.41</v>
      </c>
      <c r="I4174" s="4">
        <v>0</v>
      </c>
    </row>
    <row r="4175" spans="1:9" x14ac:dyDescent="0.2">
      <c r="A4175" s="2">
        <v>11</v>
      </c>
      <c r="B4175" s="1" t="s">
        <v>361</v>
      </c>
      <c r="C4175" s="4">
        <v>2</v>
      </c>
      <c r="D4175" s="8">
        <v>1.85</v>
      </c>
      <c r="E4175" s="4">
        <v>0</v>
      </c>
      <c r="F4175" s="8">
        <v>0</v>
      </c>
      <c r="G4175" s="4">
        <v>0</v>
      </c>
      <c r="H4175" s="8">
        <v>0</v>
      </c>
      <c r="I4175" s="4">
        <v>0</v>
      </c>
    </row>
    <row r="4176" spans="1:9" x14ac:dyDescent="0.2">
      <c r="A4176" s="2">
        <v>11</v>
      </c>
      <c r="B4176" s="1" t="s">
        <v>309</v>
      </c>
      <c r="C4176" s="4">
        <v>2</v>
      </c>
      <c r="D4176" s="8">
        <v>1.85</v>
      </c>
      <c r="E4176" s="4">
        <v>0</v>
      </c>
      <c r="F4176" s="8">
        <v>0</v>
      </c>
      <c r="G4176" s="4">
        <v>2</v>
      </c>
      <c r="H4176" s="8">
        <v>7.41</v>
      </c>
      <c r="I4176" s="4">
        <v>0</v>
      </c>
    </row>
    <row r="4177" spans="1:9" x14ac:dyDescent="0.2">
      <c r="A4177" s="2">
        <v>11</v>
      </c>
      <c r="B4177" s="1" t="s">
        <v>354</v>
      </c>
      <c r="C4177" s="4">
        <v>2</v>
      </c>
      <c r="D4177" s="8">
        <v>1.85</v>
      </c>
      <c r="E4177" s="4">
        <v>2</v>
      </c>
      <c r="F4177" s="8">
        <v>2.78</v>
      </c>
      <c r="G4177" s="4">
        <v>0</v>
      </c>
      <c r="H4177" s="8">
        <v>0</v>
      </c>
      <c r="I4177" s="4">
        <v>0</v>
      </c>
    </row>
    <row r="4178" spans="1:9" x14ac:dyDescent="0.2">
      <c r="A4178" s="2">
        <v>11</v>
      </c>
      <c r="B4178" s="1" t="s">
        <v>335</v>
      </c>
      <c r="C4178" s="4">
        <v>2</v>
      </c>
      <c r="D4178" s="8">
        <v>1.85</v>
      </c>
      <c r="E4178" s="4">
        <v>0</v>
      </c>
      <c r="F4178" s="8">
        <v>0</v>
      </c>
      <c r="G4178" s="4">
        <v>2</v>
      </c>
      <c r="H4178" s="8">
        <v>7.41</v>
      </c>
      <c r="I4178" s="4">
        <v>0</v>
      </c>
    </row>
    <row r="4179" spans="1:9" x14ac:dyDescent="0.2">
      <c r="A4179" s="2">
        <v>11</v>
      </c>
      <c r="B4179" s="1" t="s">
        <v>297</v>
      </c>
      <c r="C4179" s="4">
        <v>2</v>
      </c>
      <c r="D4179" s="8">
        <v>1.85</v>
      </c>
      <c r="E4179" s="4">
        <v>2</v>
      </c>
      <c r="F4179" s="8">
        <v>2.78</v>
      </c>
      <c r="G4179" s="4">
        <v>0</v>
      </c>
      <c r="H4179" s="8">
        <v>0</v>
      </c>
      <c r="I4179" s="4">
        <v>0</v>
      </c>
    </row>
    <row r="4180" spans="1:9" x14ac:dyDescent="0.2">
      <c r="A4180" s="2">
        <v>11</v>
      </c>
      <c r="B4180" s="1" t="s">
        <v>331</v>
      </c>
      <c r="C4180" s="4">
        <v>2</v>
      </c>
      <c r="D4180" s="8">
        <v>1.85</v>
      </c>
      <c r="E4180" s="4">
        <v>0</v>
      </c>
      <c r="F4180" s="8">
        <v>0</v>
      </c>
      <c r="G4180" s="4">
        <v>1</v>
      </c>
      <c r="H4180" s="8">
        <v>3.7</v>
      </c>
      <c r="I4180" s="4">
        <v>0</v>
      </c>
    </row>
    <row r="4181" spans="1:9" x14ac:dyDescent="0.2">
      <c r="A4181" s="2">
        <v>11</v>
      </c>
      <c r="B4181" s="1" t="s">
        <v>307</v>
      </c>
      <c r="C4181" s="4">
        <v>2</v>
      </c>
      <c r="D4181" s="8">
        <v>1.85</v>
      </c>
      <c r="E4181" s="4">
        <v>1</v>
      </c>
      <c r="F4181" s="8">
        <v>1.39</v>
      </c>
      <c r="G4181" s="4">
        <v>1</v>
      </c>
      <c r="H4181" s="8">
        <v>3.7</v>
      </c>
      <c r="I4181" s="4">
        <v>0</v>
      </c>
    </row>
    <row r="4182" spans="1:9" x14ac:dyDescent="0.2">
      <c r="A4182" s="2">
        <v>19</v>
      </c>
      <c r="B4182" s="1" t="s">
        <v>442</v>
      </c>
      <c r="C4182" s="4">
        <v>1</v>
      </c>
      <c r="D4182" s="8">
        <v>0.93</v>
      </c>
      <c r="E4182" s="4">
        <v>0</v>
      </c>
      <c r="F4182" s="8">
        <v>0</v>
      </c>
      <c r="G4182" s="4">
        <v>1</v>
      </c>
      <c r="H4182" s="8">
        <v>3.7</v>
      </c>
      <c r="I4182" s="4">
        <v>0</v>
      </c>
    </row>
    <row r="4183" spans="1:9" x14ac:dyDescent="0.2">
      <c r="A4183" s="2">
        <v>19</v>
      </c>
      <c r="B4183" s="1" t="s">
        <v>375</v>
      </c>
      <c r="C4183" s="4">
        <v>1</v>
      </c>
      <c r="D4183" s="8">
        <v>0.93</v>
      </c>
      <c r="E4183" s="4">
        <v>1</v>
      </c>
      <c r="F4183" s="8">
        <v>1.39</v>
      </c>
      <c r="G4183" s="4">
        <v>0</v>
      </c>
      <c r="H4183" s="8">
        <v>0</v>
      </c>
      <c r="I4183" s="4">
        <v>0</v>
      </c>
    </row>
    <row r="4184" spans="1:9" x14ac:dyDescent="0.2">
      <c r="A4184" s="2">
        <v>19</v>
      </c>
      <c r="B4184" s="1" t="s">
        <v>393</v>
      </c>
      <c r="C4184" s="4">
        <v>1</v>
      </c>
      <c r="D4184" s="8">
        <v>0.93</v>
      </c>
      <c r="E4184" s="4">
        <v>1</v>
      </c>
      <c r="F4184" s="8">
        <v>1.39</v>
      </c>
      <c r="G4184" s="4">
        <v>0</v>
      </c>
      <c r="H4184" s="8">
        <v>0</v>
      </c>
      <c r="I4184" s="4">
        <v>0</v>
      </c>
    </row>
    <row r="4185" spans="1:9" x14ac:dyDescent="0.2">
      <c r="A4185" s="2">
        <v>19</v>
      </c>
      <c r="B4185" s="1" t="s">
        <v>343</v>
      </c>
      <c r="C4185" s="4">
        <v>1</v>
      </c>
      <c r="D4185" s="8">
        <v>0.93</v>
      </c>
      <c r="E4185" s="4">
        <v>1</v>
      </c>
      <c r="F4185" s="8">
        <v>1.39</v>
      </c>
      <c r="G4185" s="4">
        <v>0</v>
      </c>
      <c r="H4185" s="8">
        <v>0</v>
      </c>
      <c r="I4185" s="4">
        <v>0</v>
      </c>
    </row>
    <row r="4186" spans="1:9" x14ac:dyDescent="0.2">
      <c r="A4186" s="2">
        <v>19</v>
      </c>
      <c r="B4186" s="1" t="s">
        <v>333</v>
      </c>
      <c r="C4186" s="4">
        <v>1</v>
      </c>
      <c r="D4186" s="8">
        <v>0.93</v>
      </c>
      <c r="E4186" s="4">
        <v>1</v>
      </c>
      <c r="F4186" s="8">
        <v>1.39</v>
      </c>
      <c r="G4186" s="4">
        <v>0</v>
      </c>
      <c r="H4186" s="8">
        <v>0</v>
      </c>
      <c r="I4186" s="4">
        <v>0</v>
      </c>
    </row>
    <row r="4187" spans="1:9" x14ac:dyDescent="0.2">
      <c r="A4187" s="2">
        <v>19</v>
      </c>
      <c r="B4187" s="1" t="s">
        <v>290</v>
      </c>
      <c r="C4187" s="4">
        <v>1</v>
      </c>
      <c r="D4187" s="8">
        <v>0.93</v>
      </c>
      <c r="E4187" s="4">
        <v>0</v>
      </c>
      <c r="F4187" s="8">
        <v>0</v>
      </c>
      <c r="G4187" s="4">
        <v>1</v>
      </c>
      <c r="H4187" s="8">
        <v>3.7</v>
      </c>
      <c r="I4187" s="4">
        <v>0</v>
      </c>
    </row>
    <row r="4188" spans="1:9" x14ac:dyDescent="0.2">
      <c r="A4188" s="2">
        <v>19</v>
      </c>
      <c r="B4188" s="1" t="s">
        <v>291</v>
      </c>
      <c r="C4188" s="4">
        <v>1</v>
      </c>
      <c r="D4188" s="8">
        <v>0.93</v>
      </c>
      <c r="E4188" s="4">
        <v>0</v>
      </c>
      <c r="F4188" s="8">
        <v>0</v>
      </c>
      <c r="G4188" s="4">
        <v>1</v>
      </c>
      <c r="H4188" s="8">
        <v>3.7</v>
      </c>
      <c r="I4188" s="4">
        <v>0</v>
      </c>
    </row>
    <row r="4189" spans="1:9" x14ac:dyDescent="0.2">
      <c r="A4189" s="2">
        <v>19</v>
      </c>
      <c r="B4189" s="1" t="s">
        <v>342</v>
      </c>
      <c r="C4189" s="4">
        <v>1</v>
      </c>
      <c r="D4189" s="8">
        <v>0.93</v>
      </c>
      <c r="E4189" s="4">
        <v>1</v>
      </c>
      <c r="F4189" s="8">
        <v>1.39</v>
      </c>
      <c r="G4189" s="4">
        <v>0</v>
      </c>
      <c r="H4189" s="8">
        <v>0</v>
      </c>
      <c r="I4189" s="4">
        <v>0</v>
      </c>
    </row>
    <row r="4190" spans="1:9" x14ac:dyDescent="0.2">
      <c r="A4190" s="2">
        <v>19</v>
      </c>
      <c r="B4190" s="1" t="s">
        <v>378</v>
      </c>
      <c r="C4190" s="4">
        <v>1</v>
      </c>
      <c r="D4190" s="8">
        <v>0.93</v>
      </c>
      <c r="E4190" s="4">
        <v>0</v>
      </c>
      <c r="F4190" s="8">
        <v>0</v>
      </c>
      <c r="G4190" s="4">
        <v>1</v>
      </c>
      <c r="H4190" s="8">
        <v>3.7</v>
      </c>
      <c r="I4190" s="4">
        <v>0</v>
      </c>
    </row>
    <row r="4191" spans="1:9" x14ac:dyDescent="0.2">
      <c r="A4191" s="2">
        <v>19</v>
      </c>
      <c r="B4191" s="1" t="s">
        <v>359</v>
      </c>
      <c r="C4191" s="4">
        <v>1</v>
      </c>
      <c r="D4191" s="8">
        <v>0.93</v>
      </c>
      <c r="E4191" s="4">
        <v>1</v>
      </c>
      <c r="F4191" s="8">
        <v>1.39</v>
      </c>
      <c r="G4191" s="4">
        <v>0</v>
      </c>
      <c r="H4191" s="8">
        <v>0</v>
      </c>
      <c r="I4191" s="4">
        <v>0</v>
      </c>
    </row>
    <row r="4192" spans="1:9" x14ac:dyDescent="0.2">
      <c r="A4192" s="2">
        <v>19</v>
      </c>
      <c r="B4192" s="1" t="s">
        <v>399</v>
      </c>
      <c r="C4192" s="4">
        <v>1</v>
      </c>
      <c r="D4192" s="8">
        <v>0.93</v>
      </c>
      <c r="E4192" s="4">
        <v>0</v>
      </c>
      <c r="F4192" s="8">
        <v>0</v>
      </c>
      <c r="G4192" s="4">
        <v>1</v>
      </c>
      <c r="H4192" s="8">
        <v>3.7</v>
      </c>
      <c r="I4192" s="4">
        <v>0</v>
      </c>
    </row>
    <row r="4193" spans="1:9" x14ac:dyDescent="0.2">
      <c r="A4193" s="2">
        <v>19</v>
      </c>
      <c r="B4193" s="1" t="s">
        <v>507</v>
      </c>
      <c r="C4193" s="4">
        <v>1</v>
      </c>
      <c r="D4193" s="8">
        <v>0.93</v>
      </c>
      <c r="E4193" s="4">
        <v>0</v>
      </c>
      <c r="F4193" s="8">
        <v>0</v>
      </c>
      <c r="G4193" s="4">
        <v>1</v>
      </c>
      <c r="H4193" s="8">
        <v>3.7</v>
      </c>
      <c r="I4193" s="4">
        <v>0</v>
      </c>
    </row>
    <row r="4194" spans="1:9" x14ac:dyDescent="0.2">
      <c r="A4194" s="2">
        <v>19</v>
      </c>
      <c r="B4194" s="1" t="s">
        <v>374</v>
      </c>
      <c r="C4194" s="4">
        <v>1</v>
      </c>
      <c r="D4194" s="8">
        <v>0.93</v>
      </c>
      <c r="E4194" s="4">
        <v>0</v>
      </c>
      <c r="F4194" s="8">
        <v>0</v>
      </c>
      <c r="G4194" s="4">
        <v>1</v>
      </c>
      <c r="H4194" s="8">
        <v>3.7</v>
      </c>
      <c r="I4194" s="4">
        <v>0</v>
      </c>
    </row>
    <row r="4195" spans="1:9" x14ac:dyDescent="0.2">
      <c r="A4195" s="2">
        <v>19</v>
      </c>
      <c r="B4195" s="1" t="s">
        <v>414</v>
      </c>
      <c r="C4195" s="4">
        <v>1</v>
      </c>
      <c r="D4195" s="8">
        <v>0.93</v>
      </c>
      <c r="E4195" s="4">
        <v>1</v>
      </c>
      <c r="F4195" s="8">
        <v>1.39</v>
      </c>
      <c r="G4195" s="4">
        <v>0</v>
      </c>
      <c r="H4195" s="8">
        <v>0</v>
      </c>
      <c r="I4195" s="4">
        <v>0</v>
      </c>
    </row>
    <row r="4196" spans="1:9" x14ac:dyDescent="0.2">
      <c r="A4196" s="2">
        <v>19</v>
      </c>
      <c r="B4196" s="1" t="s">
        <v>508</v>
      </c>
      <c r="C4196" s="4">
        <v>1</v>
      </c>
      <c r="D4196" s="8">
        <v>0.93</v>
      </c>
      <c r="E4196" s="4">
        <v>0</v>
      </c>
      <c r="F4196" s="8">
        <v>0</v>
      </c>
      <c r="G4196" s="4">
        <v>1</v>
      </c>
      <c r="H4196" s="8">
        <v>3.7</v>
      </c>
      <c r="I4196" s="4">
        <v>0</v>
      </c>
    </row>
    <row r="4197" spans="1:9" x14ac:dyDescent="0.2">
      <c r="A4197" s="2">
        <v>19</v>
      </c>
      <c r="B4197" s="1" t="s">
        <v>466</v>
      </c>
      <c r="C4197" s="4">
        <v>1</v>
      </c>
      <c r="D4197" s="8">
        <v>0.93</v>
      </c>
      <c r="E4197" s="4">
        <v>0</v>
      </c>
      <c r="F4197" s="8">
        <v>0</v>
      </c>
      <c r="G4197" s="4">
        <v>1</v>
      </c>
      <c r="H4197" s="8">
        <v>3.7</v>
      </c>
      <c r="I4197" s="4">
        <v>0</v>
      </c>
    </row>
    <row r="4198" spans="1:9" x14ac:dyDescent="0.2">
      <c r="A4198" s="2">
        <v>19</v>
      </c>
      <c r="B4198" s="1" t="s">
        <v>446</v>
      </c>
      <c r="C4198" s="4">
        <v>1</v>
      </c>
      <c r="D4198" s="8">
        <v>0.93</v>
      </c>
      <c r="E4198" s="4">
        <v>1</v>
      </c>
      <c r="F4198" s="8">
        <v>1.39</v>
      </c>
      <c r="G4198" s="4">
        <v>0</v>
      </c>
      <c r="H4198" s="8">
        <v>0</v>
      </c>
      <c r="I4198" s="4">
        <v>0</v>
      </c>
    </row>
    <row r="4199" spans="1:9" x14ac:dyDescent="0.2">
      <c r="A4199" s="2">
        <v>19</v>
      </c>
      <c r="B4199" s="1" t="s">
        <v>400</v>
      </c>
      <c r="C4199" s="4">
        <v>1</v>
      </c>
      <c r="D4199" s="8">
        <v>0.93</v>
      </c>
      <c r="E4199" s="4">
        <v>1</v>
      </c>
      <c r="F4199" s="8">
        <v>1.39</v>
      </c>
      <c r="G4199" s="4">
        <v>0</v>
      </c>
      <c r="H4199" s="8">
        <v>0</v>
      </c>
      <c r="I4199" s="4">
        <v>0</v>
      </c>
    </row>
    <row r="4200" spans="1:9" x14ac:dyDescent="0.2">
      <c r="A4200" s="2">
        <v>19</v>
      </c>
      <c r="B4200" s="1" t="s">
        <v>382</v>
      </c>
      <c r="C4200" s="4">
        <v>1</v>
      </c>
      <c r="D4200" s="8">
        <v>0.93</v>
      </c>
      <c r="E4200" s="4">
        <v>0</v>
      </c>
      <c r="F4200" s="8">
        <v>0</v>
      </c>
      <c r="G4200" s="4">
        <v>1</v>
      </c>
      <c r="H4200" s="8">
        <v>3.7</v>
      </c>
      <c r="I4200" s="4">
        <v>0</v>
      </c>
    </row>
    <row r="4201" spans="1:9" x14ac:dyDescent="0.2">
      <c r="A4201" s="2">
        <v>19</v>
      </c>
      <c r="B4201" s="1" t="s">
        <v>329</v>
      </c>
      <c r="C4201" s="4">
        <v>1</v>
      </c>
      <c r="D4201" s="8">
        <v>0.93</v>
      </c>
      <c r="E4201" s="4">
        <v>1</v>
      </c>
      <c r="F4201" s="8">
        <v>1.39</v>
      </c>
      <c r="G4201" s="4">
        <v>0</v>
      </c>
      <c r="H4201" s="8">
        <v>0</v>
      </c>
      <c r="I4201" s="4">
        <v>0</v>
      </c>
    </row>
    <row r="4202" spans="1:9" x14ac:dyDescent="0.2">
      <c r="A4202" s="2">
        <v>19</v>
      </c>
      <c r="B4202" s="1" t="s">
        <v>294</v>
      </c>
      <c r="C4202" s="4">
        <v>1</v>
      </c>
      <c r="D4202" s="8">
        <v>0.93</v>
      </c>
      <c r="E4202" s="4">
        <v>0</v>
      </c>
      <c r="F4202" s="8">
        <v>0</v>
      </c>
      <c r="G4202" s="4">
        <v>1</v>
      </c>
      <c r="H4202" s="8">
        <v>3.7</v>
      </c>
      <c r="I4202" s="4">
        <v>0</v>
      </c>
    </row>
    <row r="4203" spans="1:9" x14ac:dyDescent="0.2">
      <c r="A4203" s="2">
        <v>19</v>
      </c>
      <c r="B4203" s="1" t="s">
        <v>337</v>
      </c>
      <c r="C4203" s="4">
        <v>1</v>
      </c>
      <c r="D4203" s="8">
        <v>0.93</v>
      </c>
      <c r="E4203" s="4">
        <v>1</v>
      </c>
      <c r="F4203" s="8">
        <v>1.39</v>
      </c>
      <c r="G4203" s="4">
        <v>0</v>
      </c>
      <c r="H4203" s="8">
        <v>0</v>
      </c>
      <c r="I4203" s="4">
        <v>0</v>
      </c>
    </row>
    <row r="4204" spans="1:9" x14ac:dyDescent="0.2">
      <c r="A4204" s="2">
        <v>19</v>
      </c>
      <c r="B4204" s="1" t="s">
        <v>449</v>
      </c>
      <c r="C4204" s="4">
        <v>1</v>
      </c>
      <c r="D4204" s="8">
        <v>0.93</v>
      </c>
      <c r="E4204" s="4">
        <v>1</v>
      </c>
      <c r="F4204" s="8">
        <v>1.39</v>
      </c>
      <c r="G4204" s="4">
        <v>0</v>
      </c>
      <c r="H4204" s="8">
        <v>0</v>
      </c>
      <c r="I4204" s="4">
        <v>0</v>
      </c>
    </row>
    <row r="4205" spans="1:9" x14ac:dyDescent="0.2">
      <c r="A4205" s="2">
        <v>19</v>
      </c>
      <c r="B4205" s="1" t="s">
        <v>415</v>
      </c>
      <c r="C4205" s="4">
        <v>1</v>
      </c>
      <c r="D4205" s="8">
        <v>0.93</v>
      </c>
      <c r="E4205" s="4">
        <v>1</v>
      </c>
      <c r="F4205" s="8">
        <v>1.39</v>
      </c>
      <c r="G4205" s="4">
        <v>0</v>
      </c>
      <c r="H4205" s="8">
        <v>0</v>
      </c>
      <c r="I4205" s="4">
        <v>0</v>
      </c>
    </row>
    <row r="4206" spans="1:9" x14ac:dyDescent="0.2">
      <c r="A4206" s="2">
        <v>19</v>
      </c>
      <c r="B4206" s="1" t="s">
        <v>409</v>
      </c>
      <c r="C4206" s="4">
        <v>1</v>
      </c>
      <c r="D4206" s="8">
        <v>0.93</v>
      </c>
      <c r="E4206" s="4">
        <v>1</v>
      </c>
      <c r="F4206" s="8">
        <v>1.39</v>
      </c>
      <c r="G4206" s="4">
        <v>0</v>
      </c>
      <c r="H4206" s="8">
        <v>0</v>
      </c>
      <c r="I4206" s="4">
        <v>0</v>
      </c>
    </row>
    <row r="4207" spans="1:9" x14ac:dyDescent="0.2">
      <c r="A4207" s="2">
        <v>19</v>
      </c>
      <c r="B4207" s="1" t="s">
        <v>334</v>
      </c>
      <c r="C4207" s="4">
        <v>1</v>
      </c>
      <c r="D4207" s="8">
        <v>0.93</v>
      </c>
      <c r="E4207" s="4">
        <v>1</v>
      </c>
      <c r="F4207" s="8">
        <v>1.39</v>
      </c>
      <c r="G4207" s="4">
        <v>0</v>
      </c>
      <c r="H4207" s="8">
        <v>0</v>
      </c>
      <c r="I4207" s="4">
        <v>0</v>
      </c>
    </row>
    <row r="4208" spans="1:9" x14ac:dyDescent="0.2">
      <c r="A4208" s="2">
        <v>19</v>
      </c>
      <c r="B4208" s="1" t="s">
        <v>299</v>
      </c>
      <c r="C4208" s="4">
        <v>1</v>
      </c>
      <c r="D4208" s="8">
        <v>0.93</v>
      </c>
      <c r="E4208" s="4">
        <v>1</v>
      </c>
      <c r="F4208" s="8">
        <v>1.39</v>
      </c>
      <c r="G4208" s="4">
        <v>0</v>
      </c>
      <c r="H4208" s="8">
        <v>0</v>
      </c>
      <c r="I4208" s="4">
        <v>0</v>
      </c>
    </row>
    <row r="4209" spans="1:9" x14ac:dyDescent="0.2">
      <c r="A4209" s="2">
        <v>19</v>
      </c>
      <c r="B4209" s="1" t="s">
        <v>300</v>
      </c>
      <c r="C4209" s="4">
        <v>1</v>
      </c>
      <c r="D4209" s="8">
        <v>0.93</v>
      </c>
      <c r="E4209" s="4">
        <v>1</v>
      </c>
      <c r="F4209" s="8">
        <v>1.39</v>
      </c>
      <c r="G4209" s="4">
        <v>0</v>
      </c>
      <c r="H4209" s="8">
        <v>0</v>
      </c>
      <c r="I4209" s="4">
        <v>0</v>
      </c>
    </row>
    <row r="4210" spans="1:9" x14ac:dyDescent="0.2">
      <c r="A4210" s="2">
        <v>19</v>
      </c>
      <c r="B4210" s="1" t="s">
        <v>301</v>
      </c>
      <c r="C4210" s="4">
        <v>1</v>
      </c>
      <c r="D4210" s="8">
        <v>0.93</v>
      </c>
      <c r="E4210" s="4">
        <v>1</v>
      </c>
      <c r="F4210" s="8">
        <v>1.39</v>
      </c>
      <c r="G4210" s="4">
        <v>0</v>
      </c>
      <c r="H4210" s="8">
        <v>0</v>
      </c>
      <c r="I4210" s="4">
        <v>0</v>
      </c>
    </row>
    <row r="4211" spans="1:9" x14ac:dyDescent="0.2">
      <c r="A4211" s="2">
        <v>19</v>
      </c>
      <c r="B4211" s="1" t="s">
        <v>368</v>
      </c>
      <c r="C4211" s="4">
        <v>1</v>
      </c>
      <c r="D4211" s="8">
        <v>0.93</v>
      </c>
      <c r="E4211" s="4">
        <v>0</v>
      </c>
      <c r="F4211" s="8">
        <v>0</v>
      </c>
      <c r="G4211" s="4">
        <v>0</v>
      </c>
      <c r="H4211" s="8">
        <v>0</v>
      </c>
      <c r="I4211" s="4">
        <v>0</v>
      </c>
    </row>
    <row r="4212" spans="1:9" x14ac:dyDescent="0.2">
      <c r="A4212" s="2">
        <v>19</v>
      </c>
      <c r="B4212" s="1" t="s">
        <v>411</v>
      </c>
      <c r="C4212" s="4">
        <v>1</v>
      </c>
      <c r="D4212" s="8">
        <v>0.93</v>
      </c>
      <c r="E4212" s="4">
        <v>0</v>
      </c>
      <c r="F4212" s="8">
        <v>0</v>
      </c>
      <c r="G4212" s="4">
        <v>0</v>
      </c>
      <c r="H4212" s="8">
        <v>0</v>
      </c>
      <c r="I4212" s="4">
        <v>0</v>
      </c>
    </row>
    <row r="4213" spans="1:9" x14ac:dyDescent="0.2">
      <c r="A4213" s="2">
        <v>19</v>
      </c>
      <c r="B4213" s="1" t="s">
        <v>312</v>
      </c>
      <c r="C4213" s="4">
        <v>1</v>
      </c>
      <c r="D4213" s="8">
        <v>0.93</v>
      </c>
      <c r="E4213" s="4">
        <v>1</v>
      </c>
      <c r="F4213" s="8">
        <v>1.39</v>
      </c>
      <c r="G4213" s="4">
        <v>0</v>
      </c>
      <c r="H4213" s="8">
        <v>0</v>
      </c>
      <c r="I4213" s="4">
        <v>0</v>
      </c>
    </row>
    <row r="4214" spans="1:9" x14ac:dyDescent="0.2">
      <c r="A4214" s="2">
        <v>19</v>
      </c>
      <c r="B4214" s="1" t="s">
        <v>347</v>
      </c>
      <c r="C4214" s="4">
        <v>1</v>
      </c>
      <c r="D4214" s="8">
        <v>0.93</v>
      </c>
      <c r="E4214" s="4">
        <v>0</v>
      </c>
      <c r="F4214" s="8">
        <v>0</v>
      </c>
      <c r="G4214" s="4">
        <v>1</v>
      </c>
      <c r="H4214" s="8">
        <v>3.7</v>
      </c>
      <c r="I4214" s="4">
        <v>0</v>
      </c>
    </row>
    <row r="4215" spans="1:9" x14ac:dyDescent="0.2">
      <c r="A4215" s="2">
        <v>19</v>
      </c>
      <c r="B4215" s="1" t="s">
        <v>369</v>
      </c>
      <c r="C4215" s="4">
        <v>1</v>
      </c>
      <c r="D4215" s="8">
        <v>0.93</v>
      </c>
      <c r="E4215" s="4">
        <v>0</v>
      </c>
      <c r="F4215" s="8">
        <v>0</v>
      </c>
      <c r="G4215" s="4">
        <v>1</v>
      </c>
      <c r="H4215" s="8">
        <v>3.7</v>
      </c>
      <c r="I4215" s="4">
        <v>0</v>
      </c>
    </row>
    <row r="4216" spans="1:9" x14ac:dyDescent="0.2">
      <c r="A4216" s="2">
        <v>19</v>
      </c>
      <c r="B4216" s="1" t="s">
        <v>371</v>
      </c>
      <c r="C4216" s="4">
        <v>1</v>
      </c>
      <c r="D4216" s="8">
        <v>0.93</v>
      </c>
      <c r="E4216" s="4">
        <v>1</v>
      </c>
      <c r="F4216" s="8">
        <v>1.39</v>
      </c>
      <c r="G4216" s="4">
        <v>0</v>
      </c>
      <c r="H4216" s="8">
        <v>0</v>
      </c>
      <c r="I4216" s="4">
        <v>0</v>
      </c>
    </row>
    <row r="4217" spans="1:9" x14ac:dyDescent="0.2">
      <c r="A4217" s="1"/>
      <c r="C4217" s="4"/>
      <c r="D4217" s="8"/>
      <c r="E4217" s="4"/>
      <c r="F4217" s="8"/>
      <c r="G4217" s="4"/>
      <c r="H4217" s="8"/>
      <c r="I4217" s="4"/>
    </row>
    <row r="4218" spans="1:9" x14ac:dyDescent="0.2">
      <c r="A4218" s="1" t="s">
        <v>139</v>
      </c>
      <c r="C4218" s="4"/>
      <c r="D4218" s="8"/>
      <c r="E4218" s="4"/>
      <c r="F4218" s="8"/>
      <c r="G4218" s="4"/>
      <c r="H4218" s="8"/>
      <c r="I4218" s="4"/>
    </row>
    <row r="4219" spans="1:9" x14ac:dyDescent="0.2">
      <c r="A4219" s="2">
        <v>1</v>
      </c>
      <c r="B4219" s="1" t="s">
        <v>304</v>
      </c>
      <c r="C4219" s="4">
        <v>7</v>
      </c>
      <c r="D4219" s="8">
        <v>4.7</v>
      </c>
      <c r="E4219" s="4">
        <v>7</v>
      </c>
      <c r="F4219" s="8">
        <v>8.5399999999999991</v>
      </c>
      <c r="G4219" s="4">
        <v>0</v>
      </c>
      <c r="H4219" s="8">
        <v>0</v>
      </c>
      <c r="I4219" s="4">
        <v>0</v>
      </c>
    </row>
    <row r="4220" spans="1:9" x14ac:dyDescent="0.2">
      <c r="A4220" s="2">
        <v>2</v>
      </c>
      <c r="B4220" s="1" t="s">
        <v>337</v>
      </c>
      <c r="C4220" s="4">
        <v>6</v>
      </c>
      <c r="D4220" s="8">
        <v>4.03</v>
      </c>
      <c r="E4220" s="4">
        <v>6</v>
      </c>
      <c r="F4220" s="8">
        <v>7.32</v>
      </c>
      <c r="G4220" s="4">
        <v>0</v>
      </c>
      <c r="H4220" s="8">
        <v>0</v>
      </c>
      <c r="I4220" s="4">
        <v>0</v>
      </c>
    </row>
    <row r="4221" spans="1:9" x14ac:dyDescent="0.2">
      <c r="A4221" s="2">
        <v>2</v>
      </c>
      <c r="B4221" s="1" t="s">
        <v>297</v>
      </c>
      <c r="C4221" s="4">
        <v>6</v>
      </c>
      <c r="D4221" s="8">
        <v>4.03</v>
      </c>
      <c r="E4221" s="4">
        <v>6</v>
      </c>
      <c r="F4221" s="8">
        <v>7.32</v>
      </c>
      <c r="G4221" s="4">
        <v>0</v>
      </c>
      <c r="H4221" s="8">
        <v>0</v>
      </c>
      <c r="I4221" s="4">
        <v>0</v>
      </c>
    </row>
    <row r="4222" spans="1:9" x14ac:dyDescent="0.2">
      <c r="A4222" s="2">
        <v>4</v>
      </c>
      <c r="B4222" s="1" t="s">
        <v>339</v>
      </c>
      <c r="C4222" s="4">
        <v>5</v>
      </c>
      <c r="D4222" s="8">
        <v>3.36</v>
      </c>
      <c r="E4222" s="4">
        <v>2</v>
      </c>
      <c r="F4222" s="8">
        <v>2.44</v>
      </c>
      <c r="G4222" s="4">
        <v>3</v>
      </c>
      <c r="H4222" s="8">
        <v>5.17</v>
      </c>
      <c r="I4222" s="4">
        <v>0</v>
      </c>
    </row>
    <row r="4223" spans="1:9" x14ac:dyDescent="0.2">
      <c r="A4223" s="2">
        <v>4</v>
      </c>
      <c r="B4223" s="1" t="s">
        <v>303</v>
      </c>
      <c r="C4223" s="4">
        <v>5</v>
      </c>
      <c r="D4223" s="8">
        <v>3.36</v>
      </c>
      <c r="E4223" s="4">
        <v>5</v>
      </c>
      <c r="F4223" s="8">
        <v>6.1</v>
      </c>
      <c r="G4223" s="4">
        <v>0</v>
      </c>
      <c r="H4223" s="8">
        <v>0</v>
      </c>
      <c r="I4223" s="4">
        <v>0</v>
      </c>
    </row>
    <row r="4224" spans="1:9" x14ac:dyDescent="0.2">
      <c r="A4224" s="2">
        <v>4</v>
      </c>
      <c r="B4224" s="1" t="s">
        <v>341</v>
      </c>
      <c r="C4224" s="4">
        <v>5</v>
      </c>
      <c r="D4224" s="8">
        <v>3.36</v>
      </c>
      <c r="E4224" s="4">
        <v>0</v>
      </c>
      <c r="F4224" s="8">
        <v>0</v>
      </c>
      <c r="G4224" s="4">
        <v>1</v>
      </c>
      <c r="H4224" s="8">
        <v>1.72</v>
      </c>
      <c r="I4224" s="4">
        <v>0</v>
      </c>
    </row>
    <row r="4225" spans="1:9" x14ac:dyDescent="0.2">
      <c r="A4225" s="2">
        <v>7</v>
      </c>
      <c r="B4225" s="1" t="s">
        <v>329</v>
      </c>
      <c r="C4225" s="4">
        <v>4</v>
      </c>
      <c r="D4225" s="8">
        <v>2.68</v>
      </c>
      <c r="E4225" s="4">
        <v>3</v>
      </c>
      <c r="F4225" s="8">
        <v>3.66</v>
      </c>
      <c r="G4225" s="4">
        <v>1</v>
      </c>
      <c r="H4225" s="8">
        <v>1.72</v>
      </c>
      <c r="I4225" s="4">
        <v>0</v>
      </c>
    </row>
    <row r="4226" spans="1:9" x14ac:dyDescent="0.2">
      <c r="A4226" s="2">
        <v>7</v>
      </c>
      <c r="B4226" s="1" t="s">
        <v>330</v>
      </c>
      <c r="C4226" s="4">
        <v>4</v>
      </c>
      <c r="D4226" s="8">
        <v>2.68</v>
      </c>
      <c r="E4226" s="4">
        <v>1</v>
      </c>
      <c r="F4226" s="8">
        <v>1.22</v>
      </c>
      <c r="G4226" s="4">
        <v>3</v>
      </c>
      <c r="H4226" s="8">
        <v>5.17</v>
      </c>
      <c r="I4226" s="4">
        <v>0</v>
      </c>
    </row>
    <row r="4227" spans="1:9" x14ac:dyDescent="0.2">
      <c r="A4227" s="2">
        <v>7</v>
      </c>
      <c r="B4227" s="1" t="s">
        <v>307</v>
      </c>
      <c r="C4227" s="4">
        <v>4</v>
      </c>
      <c r="D4227" s="8">
        <v>2.68</v>
      </c>
      <c r="E4227" s="4">
        <v>3</v>
      </c>
      <c r="F4227" s="8">
        <v>3.66</v>
      </c>
      <c r="G4227" s="4">
        <v>1</v>
      </c>
      <c r="H4227" s="8">
        <v>1.72</v>
      </c>
      <c r="I4227" s="4">
        <v>0</v>
      </c>
    </row>
    <row r="4228" spans="1:9" x14ac:dyDescent="0.2">
      <c r="A4228" s="2">
        <v>10</v>
      </c>
      <c r="B4228" s="1" t="s">
        <v>333</v>
      </c>
      <c r="C4228" s="4">
        <v>3</v>
      </c>
      <c r="D4228" s="8">
        <v>2.0099999999999998</v>
      </c>
      <c r="E4228" s="4">
        <v>3</v>
      </c>
      <c r="F4228" s="8">
        <v>3.66</v>
      </c>
      <c r="G4228" s="4">
        <v>0</v>
      </c>
      <c r="H4228" s="8">
        <v>0</v>
      </c>
      <c r="I4228" s="4">
        <v>0</v>
      </c>
    </row>
    <row r="4229" spans="1:9" x14ac:dyDescent="0.2">
      <c r="A4229" s="2">
        <v>10</v>
      </c>
      <c r="B4229" s="1" t="s">
        <v>291</v>
      </c>
      <c r="C4229" s="4">
        <v>3</v>
      </c>
      <c r="D4229" s="8">
        <v>2.0099999999999998</v>
      </c>
      <c r="E4229" s="4">
        <v>2</v>
      </c>
      <c r="F4229" s="8">
        <v>2.44</v>
      </c>
      <c r="G4229" s="4">
        <v>1</v>
      </c>
      <c r="H4229" s="8">
        <v>1.72</v>
      </c>
      <c r="I4229" s="4">
        <v>0</v>
      </c>
    </row>
    <row r="4230" spans="1:9" x14ac:dyDescent="0.2">
      <c r="A4230" s="2">
        <v>10</v>
      </c>
      <c r="B4230" s="1" t="s">
        <v>314</v>
      </c>
      <c r="C4230" s="4">
        <v>3</v>
      </c>
      <c r="D4230" s="8">
        <v>2.0099999999999998</v>
      </c>
      <c r="E4230" s="4">
        <v>3</v>
      </c>
      <c r="F4230" s="8">
        <v>3.66</v>
      </c>
      <c r="G4230" s="4">
        <v>0</v>
      </c>
      <c r="H4230" s="8">
        <v>0</v>
      </c>
      <c r="I4230" s="4">
        <v>0</v>
      </c>
    </row>
    <row r="4231" spans="1:9" x14ac:dyDescent="0.2">
      <c r="A4231" s="2">
        <v>10</v>
      </c>
      <c r="B4231" s="1" t="s">
        <v>292</v>
      </c>
      <c r="C4231" s="4">
        <v>3</v>
      </c>
      <c r="D4231" s="8">
        <v>2.0099999999999998</v>
      </c>
      <c r="E4231" s="4">
        <v>2</v>
      </c>
      <c r="F4231" s="8">
        <v>2.44</v>
      </c>
      <c r="G4231" s="4">
        <v>1</v>
      </c>
      <c r="H4231" s="8">
        <v>1.72</v>
      </c>
      <c r="I4231" s="4">
        <v>0</v>
      </c>
    </row>
    <row r="4232" spans="1:9" x14ac:dyDescent="0.2">
      <c r="A4232" s="2">
        <v>10</v>
      </c>
      <c r="B4232" s="1" t="s">
        <v>372</v>
      </c>
      <c r="C4232" s="4">
        <v>3</v>
      </c>
      <c r="D4232" s="8">
        <v>2.0099999999999998</v>
      </c>
      <c r="E4232" s="4">
        <v>1</v>
      </c>
      <c r="F4232" s="8">
        <v>1.22</v>
      </c>
      <c r="G4232" s="4">
        <v>2</v>
      </c>
      <c r="H4232" s="8">
        <v>3.45</v>
      </c>
      <c r="I4232" s="4">
        <v>0</v>
      </c>
    </row>
    <row r="4233" spans="1:9" x14ac:dyDescent="0.2">
      <c r="A4233" s="2">
        <v>10</v>
      </c>
      <c r="B4233" s="1" t="s">
        <v>301</v>
      </c>
      <c r="C4233" s="4">
        <v>3</v>
      </c>
      <c r="D4233" s="8">
        <v>2.0099999999999998</v>
      </c>
      <c r="E4233" s="4">
        <v>3</v>
      </c>
      <c r="F4233" s="8">
        <v>3.66</v>
      </c>
      <c r="G4233" s="4">
        <v>0</v>
      </c>
      <c r="H4233" s="8">
        <v>0</v>
      </c>
      <c r="I4233" s="4">
        <v>0</v>
      </c>
    </row>
    <row r="4234" spans="1:9" x14ac:dyDescent="0.2">
      <c r="A4234" s="2">
        <v>10</v>
      </c>
      <c r="B4234" s="1" t="s">
        <v>325</v>
      </c>
      <c r="C4234" s="4">
        <v>3</v>
      </c>
      <c r="D4234" s="8">
        <v>2.0099999999999998</v>
      </c>
      <c r="E4234" s="4">
        <v>0</v>
      </c>
      <c r="F4234" s="8">
        <v>0</v>
      </c>
      <c r="G4234" s="4">
        <v>3</v>
      </c>
      <c r="H4234" s="8">
        <v>5.17</v>
      </c>
      <c r="I4234" s="4">
        <v>0</v>
      </c>
    </row>
    <row r="4235" spans="1:9" x14ac:dyDescent="0.2">
      <c r="A4235" s="2">
        <v>17</v>
      </c>
      <c r="B4235" s="1" t="s">
        <v>288</v>
      </c>
      <c r="C4235" s="4">
        <v>2</v>
      </c>
      <c r="D4235" s="8">
        <v>1.34</v>
      </c>
      <c r="E4235" s="4">
        <v>0</v>
      </c>
      <c r="F4235" s="8">
        <v>0</v>
      </c>
      <c r="G4235" s="4">
        <v>2</v>
      </c>
      <c r="H4235" s="8">
        <v>3.45</v>
      </c>
      <c r="I4235" s="4">
        <v>0</v>
      </c>
    </row>
    <row r="4236" spans="1:9" x14ac:dyDescent="0.2">
      <c r="A4236" s="2">
        <v>17</v>
      </c>
      <c r="B4236" s="1" t="s">
        <v>289</v>
      </c>
      <c r="C4236" s="4">
        <v>2</v>
      </c>
      <c r="D4236" s="8">
        <v>1.34</v>
      </c>
      <c r="E4236" s="4">
        <v>0</v>
      </c>
      <c r="F4236" s="8">
        <v>0</v>
      </c>
      <c r="G4236" s="4">
        <v>2</v>
      </c>
      <c r="H4236" s="8">
        <v>3.45</v>
      </c>
      <c r="I4236" s="4">
        <v>0</v>
      </c>
    </row>
    <row r="4237" spans="1:9" x14ac:dyDescent="0.2">
      <c r="A4237" s="2">
        <v>17</v>
      </c>
      <c r="B4237" s="1" t="s">
        <v>319</v>
      </c>
      <c r="C4237" s="4">
        <v>2</v>
      </c>
      <c r="D4237" s="8">
        <v>1.34</v>
      </c>
      <c r="E4237" s="4">
        <v>0</v>
      </c>
      <c r="F4237" s="8">
        <v>0</v>
      </c>
      <c r="G4237" s="4">
        <v>2</v>
      </c>
      <c r="H4237" s="8">
        <v>3.45</v>
      </c>
      <c r="I4237" s="4">
        <v>0</v>
      </c>
    </row>
    <row r="4238" spans="1:9" x14ac:dyDescent="0.2">
      <c r="A4238" s="2">
        <v>17</v>
      </c>
      <c r="B4238" s="1" t="s">
        <v>290</v>
      </c>
      <c r="C4238" s="4">
        <v>2</v>
      </c>
      <c r="D4238" s="8">
        <v>1.34</v>
      </c>
      <c r="E4238" s="4">
        <v>1</v>
      </c>
      <c r="F4238" s="8">
        <v>1.22</v>
      </c>
      <c r="G4238" s="4">
        <v>1</v>
      </c>
      <c r="H4238" s="8">
        <v>1.72</v>
      </c>
      <c r="I4238" s="4">
        <v>0</v>
      </c>
    </row>
    <row r="4239" spans="1:9" x14ac:dyDescent="0.2">
      <c r="A4239" s="2">
        <v>17</v>
      </c>
      <c r="B4239" s="1" t="s">
        <v>413</v>
      </c>
      <c r="C4239" s="4">
        <v>2</v>
      </c>
      <c r="D4239" s="8">
        <v>1.34</v>
      </c>
      <c r="E4239" s="4">
        <v>0</v>
      </c>
      <c r="F4239" s="8">
        <v>0</v>
      </c>
      <c r="G4239" s="4">
        <v>2</v>
      </c>
      <c r="H4239" s="8">
        <v>3.45</v>
      </c>
      <c r="I4239" s="4">
        <v>0</v>
      </c>
    </row>
    <row r="4240" spans="1:9" x14ac:dyDescent="0.2">
      <c r="A4240" s="2">
        <v>17</v>
      </c>
      <c r="B4240" s="1" t="s">
        <v>342</v>
      </c>
      <c r="C4240" s="4">
        <v>2</v>
      </c>
      <c r="D4240" s="8">
        <v>1.34</v>
      </c>
      <c r="E4240" s="4">
        <v>0</v>
      </c>
      <c r="F4240" s="8">
        <v>0</v>
      </c>
      <c r="G4240" s="4">
        <v>2</v>
      </c>
      <c r="H4240" s="8">
        <v>3.45</v>
      </c>
      <c r="I4240" s="4">
        <v>0</v>
      </c>
    </row>
    <row r="4241" spans="1:9" x14ac:dyDescent="0.2">
      <c r="A4241" s="2">
        <v>17</v>
      </c>
      <c r="B4241" s="1" t="s">
        <v>324</v>
      </c>
      <c r="C4241" s="4">
        <v>2</v>
      </c>
      <c r="D4241" s="8">
        <v>1.34</v>
      </c>
      <c r="E4241" s="4">
        <v>0</v>
      </c>
      <c r="F4241" s="8">
        <v>0</v>
      </c>
      <c r="G4241" s="4">
        <v>2</v>
      </c>
      <c r="H4241" s="8">
        <v>3.45</v>
      </c>
      <c r="I4241" s="4">
        <v>0</v>
      </c>
    </row>
    <row r="4242" spans="1:9" x14ac:dyDescent="0.2">
      <c r="A4242" s="2">
        <v>17</v>
      </c>
      <c r="B4242" s="1" t="s">
        <v>332</v>
      </c>
      <c r="C4242" s="4">
        <v>2</v>
      </c>
      <c r="D4242" s="8">
        <v>1.34</v>
      </c>
      <c r="E4242" s="4">
        <v>2</v>
      </c>
      <c r="F4242" s="8">
        <v>2.44</v>
      </c>
      <c r="G4242" s="4">
        <v>0</v>
      </c>
      <c r="H4242" s="8">
        <v>0</v>
      </c>
      <c r="I4242" s="4">
        <v>0</v>
      </c>
    </row>
    <row r="4243" spans="1:9" x14ac:dyDescent="0.2">
      <c r="A4243" s="2">
        <v>17</v>
      </c>
      <c r="B4243" s="1" t="s">
        <v>294</v>
      </c>
      <c r="C4243" s="4">
        <v>2</v>
      </c>
      <c r="D4243" s="8">
        <v>1.34</v>
      </c>
      <c r="E4243" s="4">
        <v>2</v>
      </c>
      <c r="F4243" s="8">
        <v>2.44</v>
      </c>
      <c r="G4243" s="4">
        <v>0</v>
      </c>
      <c r="H4243" s="8">
        <v>0</v>
      </c>
      <c r="I4243" s="4">
        <v>0</v>
      </c>
    </row>
    <row r="4244" spans="1:9" x14ac:dyDescent="0.2">
      <c r="A4244" s="2">
        <v>17</v>
      </c>
      <c r="B4244" s="1" t="s">
        <v>295</v>
      </c>
      <c r="C4244" s="4">
        <v>2</v>
      </c>
      <c r="D4244" s="8">
        <v>1.34</v>
      </c>
      <c r="E4244" s="4">
        <v>1</v>
      </c>
      <c r="F4244" s="8">
        <v>1.22</v>
      </c>
      <c r="G4244" s="4">
        <v>1</v>
      </c>
      <c r="H4244" s="8">
        <v>1.72</v>
      </c>
      <c r="I4244" s="4">
        <v>0</v>
      </c>
    </row>
    <row r="4245" spans="1:9" x14ac:dyDescent="0.2">
      <c r="A4245" s="2">
        <v>17</v>
      </c>
      <c r="B4245" s="1" t="s">
        <v>415</v>
      </c>
      <c r="C4245" s="4">
        <v>2</v>
      </c>
      <c r="D4245" s="8">
        <v>1.34</v>
      </c>
      <c r="E4245" s="4">
        <v>1</v>
      </c>
      <c r="F4245" s="8">
        <v>1.22</v>
      </c>
      <c r="G4245" s="4">
        <v>1</v>
      </c>
      <c r="H4245" s="8">
        <v>1.72</v>
      </c>
      <c r="I4245" s="4">
        <v>0</v>
      </c>
    </row>
    <row r="4246" spans="1:9" x14ac:dyDescent="0.2">
      <c r="A4246" s="2">
        <v>17</v>
      </c>
      <c r="B4246" s="1" t="s">
        <v>334</v>
      </c>
      <c r="C4246" s="4">
        <v>2</v>
      </c>
      <c r="D4246" s="8">
        <v>1.34</v>
      </c>
      <c r="E4246" s="4">
        <v>2</v>
      </c>
      <c r="F4246" s="8">
        <v>2.44</v>
      </c>
      <c r="G4246" s="4">
        <v>0</v>
      </c>
      <c r="H4246" s="8">
        <v>0</v>
      </c>
      <c r="I4246" s="4">
        <v>0</v>
      </c>
    </row>
    <row r="4247" spans="1:9" x14ac:dyDescent="0.2">
      <c r="A4247" s="2">
        <v>17</v>
      </c>
      <c r="B4247" s="1" t="s">
        <v>300</v>
      </c>
      <c r="C4247" s="4">
        <v>2</v>
      </c>
      <c r="D4247" s="8">
        <v>1.34</v>
      </c>
      <c r="E4247" s="4">
        <v>2</v>
      </c>
      <c r="F4247" s="8">
        <v>2.44</v>
      </c>
      <c r="G4247" s="4">
        <v>0</v>
      </c>
      <c r="H4247" s="8">
        <v>0</v>
      </c>
      <c r="I4247" s="4">
        <v>0</v>
      </c>
    </row>
    <row r="4248" spans="1:9" x14ac:dyDescent="0.2">
      <c r="A4248" s="2">
        <v>17</v>
      </c>
      <c r="B4248" s="1" t="s">
        <v>340</v>
      </c>
      <c r="C4248" s="4">
        <v>2</v>
      </c>
      <c r="D4248" s="8">
        <v>1.34</v>
      </c>
      <c r="E4248" s="4">
        <v>0</v>
      </c>
      <c r="F4248" s="8">
        <v>0</v>
      </c>
      <c r="G4248" s="4">
        <v>0</v>
      </c>
      <c r="H4248" s="8">
        <v>0</v>
      </c>
      <c r="I4248" s="4">
        <v>0</v>
      </c>
    </row>
    <row r="4249" spans="1:9" x14ac:dyDescent="0.2">
      <c r="A4249" s="2">
        <v>17</v>
      </c>
      <c r="B4249" s="1" t="s">
        <v>312</v>
      </c>
      <c r="C4249" s="4">
        <v>2</v>
      </c>
      <c r="D4249" s="8">
        <v>1.34</v>
      </c>
      <c r="E4249" s="4">
        <v>1</v>
      </c>
      <c r="F4249" s="8">
        <v>1.22</v>
      </c>
      <c r="G4249" s="4">
        <v>1</v>
      </c>
      <c r="H4249" s="8">
        <v>1.72</v>
      </c>
      <c r="I4249" s="4">
        <v>0</v>
      </c>
    </row>
    <row r="4250" spans="1:9" x14ac:dyDescent="0.2">
      <c r="A4250" s="2">
        <v>17</v>
      </c>
      <c r="B4250" s="1" t="s">
        <v>306</v>
      </c>
      <c r="C4250" s="4">
        <v>2</v>
      </c>
      <c r="D4250" s="8">
        <v>1.34</v>
      </c>
      <c r="E4250" s="4">
        <v>2</v>
      </c>
      <c r="F4250" s="8">
        <v>2.44</v>
      </c>
      <c r="G4250" s="4">
        <v>0</v>
      </c>
      <c r="H4250" s="8">
        <v>0</v>
      </c>
      <c r="I4250" s="4">
        <v>0</v>
      </c>
    </row>
    <row r="4251" spans="1:9" x14ac:dyDescent="0.2">
      <c r="A4251" s="2">
        <v>17</v>
      </c>
      <c r="B4251" s="1" t="s">
        <v>331</v>
      </c>
      <c r="C4251" s="4">
        <v>2</v>
      </c>
      <c r="D4251" s="8">
        <v>1.34</v>
      </c>
      <c r="E4251" s="4">
        <v>0</v>
      </c>
      <c r="F4251" s="8">
        <v>0</v>
      </c>
      <c r="G4251" s="4">
        <v>1</v>
      </c>
      <c r="H4251" s="8">
        <v>1.72</v>
      </c>
      <c r="I4251" s="4">
        <v>0</v>
      </c>
    </row>
    <row r="4252" spans="1:9" x14ac:dyDescent="0.2">
      <c r="A4252" s="2">
        <v>17</v>
      </c>
      <c r="B4252" s="1" t="s">
        <v>371</v>
      </c>
      <c r="C4252" s="4">
        <v>2</v>
      </c>
      <c r="D4252" s="8">
        <v>1.34</v>
      </c>
      <c r="E4252" s="4">
        <v>2</v>
      </c>
      <c r="F4252" s="8">
        <v>2.44</v>
      </c>
      <c r="G4252" s="4">
        <v>0</v>
      </c>
      <c r="H4252" s="8">
        <v>0</v>
      </c>
      <c r="I4252" s="4">
        <v>0</v>
      </c>
    </row>
    <row r="4253" spans="1:9" x14ac:dyDescent="0.2">
      <c r="A4253" s="2">
        <v>17</v>
      </c>
      <c r="B4253" s="1" t="s">
        <v>392</v>
      </c>
      <c r="C4253" s="4">
        <v>2</v>
      </c>
      <c r="D4253" s="8">
        <v>1.34</v>
      </c>
      <c r="E4253" s="4">
        <v>1</v>
      </c>
      <c r="F4253" s="8">
        <v>1.22</v>
      </c>
      <c r="G4253" s="4">
        <v>1</v>
      </c>
      <c r="H4253" s="8">
        <v>1.72</v>
      </c>
      <c r="I4253" s="4">
        <v>0</v>
      </c>
    </row>
    <row r="4254" spans="1:9" x14ac:dyDescent="0.2">
      <c r="A4254" s="1"/>
      <c r="C4254" s="4"/>
      <c r="D4254" s="8"/>
      <c r="E4254" s="4"/>
      <c r="F4254" s="8"/>
      <c r="G4254" s="4"/>
      <c r="H4254" s="8"/>
      <c r="I4254" s="4"/>
    </row>
    <row r="4255" spans="1:9" x14ac:dyDescent="0.2">
      <c r="A4255" s="1" t="s">
        <v>140</v>
      </c>
      <c r="C4255" s="4"/>
      <c r="D4255" s="8"/>
      <c r="E4255" s="4"/>
      <c r="F4255" s="8"/>
      <c r="G4255" s="4"/>
      <c r="H4255" s="8"/>
      <c r="I4255" s="4"/>
    </row>
    <row r="4256" spans="1:9" x14ac:dyDescent="0.2">
      <c r="A4256" s="2">
        <v>1</v>
      </c>
      <c r="B4256" s="1" t="s">
        <v>304</v>
      </c>
      <c r="C4256" s="4">
        <v>34</v>
      </c>
      <c r="D4256" s="8">
        <v>7.74</v>
      </c>
      <c r="E4256" s="4">
        <v>33</v>
      </c>
      <c r="F4256" s="8">
        <v>13.2</v>
      </c>
      <c r="G4256" s="4">
        <v>1</v>
      </c>
      <c r="H4256" s="8">
        <v>0.56999999999999995</v>
      </c>
      <c r="I4256" s="4">
        <v>0</v>
      </c>
    </row>
    <row r="4257" spans="1:9" x14ac:dyDescent="0.2">
      <c r="A4257" s="2">
        <v>2</v>
      </c>
      <c r="B4257" s="1" t="s">
        <v>303</v>
      </c>
      <c r="C4257" s="4">
        <v>20</v>
      </c>
      <c r="D4257" s="8">
        <v>4.5599999999999996</v>
      </c>
      <c r="E4257" s="4">
        <v>20</v>
      </c>
      <c r="F4257" s="8">
        <v>8</v>
      </c>
      <c r="G4257" s="4">
        <v>0</v>
      </c>
      <c r="H4257" s="8">
        <v>0</v>
      </c>
      <c r="I4257" s="4">
        <v>0</v>
      </c>
    </row>
    <row r="4258" spans="1:9" x14ac:dyDescent="0.2">
      <c r="A4258" s="2">
        <v>3</v>
      </c>
      <c r="B4258" s="1" t="s">
        <v>301</v>
      </c>
      <c r="C4258" s="4">
        <v>19</v>
      </c>
      <c r="D4258" s="8">
        <v>4.33</v>
      </c>
      <c r="E4258" s="4">
        <v>19</v>
      </c>
      <c r="F4258" s="8">
        <v>7.6</v>
      </c>
      <c r="G4258" s="4">
        <v>0</v>
      </c>
      <c r="H4258" s="8">
        <v>0</v>
      </c>
      <c r="I4258" s="4">
        <v>0</v>
      </c>
    </row>
    <row r="4259" spans="1:9" x14ac:dyDescent="0.2">
      <c r="A4259" s="2">
        <v>4</v>
      </c>
      <c r="B4259" s="1" t="s">
        <v>295</v>
      </c>
      <c r="C4259" s="4">
        <v>15</v>
      </c>
      <c r="D4259" s="8">
        <v>3.42</v>
      </c>
      <c r="E4259" s="4">
        <v>7</v>
      </c>
      <c r="F4259" s="8">
        <v>2.8</v>
      </c>
      <c r="G4259" s="4">
        <v>8</v>
      </c>
      <c r="H4259" s="8">
        <v>4.55</v>
      </c>
      <c r="I4259" s="4">
        <v>0</v>
      </c>
    </row>
    <row r="4260" spans="1:9" x14ac:dyDescent="0.2">
      <c r="A4260" s="2">
        <v>5</v>
      </c>
      <c r="B4260" s="1" t="s">
        <v>306</v>
      </c>
      <c r="C4260" s="4">
        <v>13</v>
      </c>
      <c r="D4260" s="8">
        <v>2.96</v>
      </c>
      <c r="E4260" s="4">
        <v>12</v>
      </c>
      <c r="F4260" s="8">
        <v>4.8</v>
      </c>
      <c r="G4260" s="4">
        <v>1</v>
      </c>
      <c r="H4260" s="8">
        <v>0.56999999999999995</v>
      </c>
      <c r="I4260" s="4">
        <v>0</v>
      </c>
    </row>
    <row r="4261" spans="1:9" x14ac:dyDescent="0.2">
      <c r="A4261" s="2">
        <v>6</v>
      </c>
      <c r="B4261" s="1" t="s">
        <v>297</v>
      </c>
      <c r="C4261" s="4">
        <v>12</v>
      </c>
      <c r="D4261" s="8">
        <v>2.73</v>
      </c>
      <c r="E4261" s="4">
        <v>11</v>
      </c>
      <c r="F4261" s="8">
        <v>4.4000000000000004</v>
      </c>
      <c r="G4261" s="4">
        <v>1</v>
      </c>
      <c r="H4261" s="8">
        <v>0.56999999999999995</v>
      </c>
      <c r="I4261" s="4">
        <v>0</v>
      </c>
    </row>
    <row r="4262" spans="1:9" x14ac:dyDescent="0.2">
      <c r="A4262" s="2">
        <v>6</v>
      </c>
      <c r="B4262" s="1" t="s">
        <v>300</v>
      </c>
      <c r="C4262" s="4">
        <v>12</v>
      </c>
      <c r="D4262" s="8">
        <v>2.73</v>
      </c>
      <c r="E4262" s="4">
        <v>12</v>
      </c>
      <c r="F4262" s="8">
        <v>4.8</v>
      </c>
      <c r="G4262" s="4">
        <v>0</v>
      </c>
      <c r="H4262" s="8">
        <v>0</v>
      </c>
      <c r="I4262" s="4">
        <v>0</v>
      </c>
    </row>
    <row r="4263" spans="1:9" x14ac:dyDescent="0.2">
      <c r="A4263" s="2">
        <v>8</v>
      </c>
      <c r="B4263" s="1" t="s">
        <v>323</v>
      </c>
      <c r="C4263" s="4">
        <v>11</v>
      </c>
      <c r="D4263" s="8">
        <v>2.5099999999999998</v>
      </c>
      <c r="E4263" s="4">
        <v>4</v>
      </c>
      <c r="F4263" s="8">
        <v>1.6</v>
      </c>
      <c r="G4263" s="4">
        <v>7</v>
      </c>
      <c r="H4263" s="8">
        <v>3.98</v>
      </c>
      <c r="I4263" s="4">
        <v>0</v>
      </c>
    </row>
    <row r="4264" spans="1:9" x14ac:dyDescent="0.2">
      <c r="A4264" s="2">
        <v>9</v>
      </c>
      <c r="B4264" s="1" t="s">
        <v>288</v>
      </c>
      <c r="C4264" s="4">
        <v>10</v>
      </c>
      <c r="D4264" s="8">
        <v>2.2799999999999998</v>
      </c>
      <c r="E4264" s="4">
        <v>0</v>
      </c>
      <c r="F4264" s="8">
        <v>0</v>
      </c>
      <c r="G4264" s="4">
        <v>10</v>
      </c>
      <c r="H4264" s="8">
        <v>5.68</v>
      </c>
      <c r="I4264" s="4">
        <v>0</v>
      </c>
    </row>
    <row r="4265" spans="1:9" x14ac:dyDescent="0.2">
      <c r="A4265" s="2">
        <v>9</v>
      </c>
      <c r="B4265" s="1" t="s">
        <v>299</v>
      </c>
      <c r="C4265" s="4">
        <v>10</v>
      </c>
      <c r="D4265" s="8">
        <v>2.2799999999999998</v>
      </c>
      <c r="E4265" s="4">
        <v>8</v>
      </c>
      <c r="F4265" s="8">
        <v>3.2</v>
      </c>
      <c r="G4265" s="4">
        <v>1</v>
      </c>
      <c r="H4265" s="8">
        <v>0.56999999999999995</v>
      </c>
      <c r="I4265" s="4">
        <v>1</v>
      </c>
    </row>
    <row r="4266" spans="1:9" x14ac:dyDescent="0.2">
      <c r="A4266" s="2">
        <v>11</v>
      </c>
      <c r="B4266" s="1" t="s">
        <v>291</v>
      </c>
      <c r="C4266" s="4">
        <v>9</v>
      </c>
      <c r="D4266" s="8">
        <v>2.0499999999999998</v>
      </c>
      <c r="E4266" s="4">
        <v>5</v>
      </c>
      <c r="F4266" s="8">
        <v>2</v>
      </c>
      <c r="G4266" s="4">
        <v>4</v>
      </c>
      <c r="H4266" s="8">
        <v>2.27</v>
      </c>
      <c r="I4266" s="4">
        <v>0</v>
      </c>
    </row>
    <row r="4267" spans="1:9" x14ac:dyDescent="0.2">
      <c r="A4267" s="2">
        <v>11</v>
      </c>
      <c r="B4267" s="1" t="s">
        <v>293</v>
      </c>
      <c r="C4267" s="4">
        <v>9</v>
      </c>
      <c r="D4267" s="8">
        <v>2.0499999999999998</v>
      </c>
      <c r="E4267" s="4">
        <v>6</v>
      </c>
      <c r="F4267" s="8">
        <v>2.4</v>
      </c>
      <c r="G4267" s="4">
        <v>3</v>
      </c>
      <c r="H4267" s="8">
        <v>1.7</v>
      </c>
      <c r="I4267" s="4">
        <v>0</v>
      </c>
    </row>
    <row r="4268" spans="1:9" x14ac:dyDescent="0.2">
      <c r="A4268" s="2">
        <v>13</v>
      </c>
      <c r="B4268" s="1" t="s">
        <v>334</v>
      </c>
      <c r="C4268" s="4">
        <v>8</v>
      </c>
      <c r="D4268" s="8">
        <v>1.82</v>
      </c>
      <c r="E4268" s="4">
        <v>6</v>
      </c>
      <c r="F4268" s="8">
        <v>2.4</v>
      </c>
      <c r="G4268" s="4">
        <v>2</v>
      </c>
      <c r="H4268" s="8">
        <v>1.1399999999999999</v>
      </c>
      <c r="I4268" s="4">
        <v>0</v>
      </c>
    </row>
    <row r="4269" spans="1:9" x14ac:dyDescent="0.2">
      <c r="A4269" s="2">
        <v>13</v>
      </c>
      <c r="B4269" s="1" t="s">
        <v>312</v>
      </c>
      <c r="C4269" s="4">
        <v>8</v>
      </c>
      <c r="D4269" s="8">
        <v>1.82</v>
      </c>
      <c r="E4269" s="4">
        <v>7</v>
      </c>
      <c r="F4269" s="8">
        <v>2.8</v>
      </c>
      <c r="G4269" s="4">
        <v>1</v>
      </c>
      <c r="H4269" s="8">
        <v>0.56999999999999995</v>
      </c>
      <c r="I4269" s="4">
        <v>0</v>
      </c>
    </row>
    <row r="4270" spans="1:9" x14ac:dyDescent="0.2">
      <c r="A4270" s="2">
        <v>13</v>
      </c>
      <c r="B4270" s="1" t="s">
        <v>307</v>
      </c>
      <c r="C4270" s="4">
        <v>8</v>
      </c>
      <c r="D4270" s="8">
        <v>1.82</v>
      </c>
      <c r="E4270" s="4">
        <v>5</v>
      </c>
      <c r="F4270" s="8">
        <v>2</v>
      </c>
      <c r="G4270" s="4">
        <v>3</v>
      </c>
      <c r="H4270" s="8">
        <v>1.7</v>
      </c>
      <c r="I4270" s="4">
        <v>0</v>
      </c>
    </row>
    <row r="4271" spans="1:9" x14ac:dyDescent="0.2">
      <c r="A4271" s="2">
        <v>16</v>
      </c>
      <c r="B4271" s="1" t="s">
        <v>289</v>
      </c>
      <c r="C4271" s="4">
        <v>7</v>
      </c>
      <c r="D4271" s="8">
        <v>1.59</v>
      </c>
      <c r="E4271" s="4">
        <v>2</v>
      </c>
      <c r="F4271" s="8">
        <v>0.8</v>
      </c>
      <c r="G4271" s="4">
        <v>5</v>
      </c>
      <c r="H4271" s="8">
        <v>2.84</v>
      </c>
      <c r="I4271" s="4">
        <v>0</v>
      </c>
    </row>
    <row r="4272" spans="1:9" x14ac:dyDescent="0.2">
      <c r="A4272" s="2">
        <v>16</v>
      </c>
      <c r="B4272" s="1" t="s">
        <v>333</v>
      </c>
      <c r="C4272" s="4">
        <v>7</v>
      </c>
      <c r="D4272" s="8">
        <v>1.59</v>
      </c>
      <c r="E4272" s="4">
        <v>5</v>
      </c>
      <c r="F4272" s="8">
        <v>2</v>
      </c>
      <c r="G4272" s="4">
        <v>2</v>
      </c>
      <c r="H4272" s="8">
        <v>1.1399999999999999</v>
      </c>
      <c r="I4272" s="4">
        <v>0</v>
      </c>
    </row>
    <row r="4273" spans="1:9" x14ac:dyDescent="0.2">
      <c r="A4273" s="2">
        <v>16</v>
      </c>
      <c r="B4273" s="1" t="s">
        <v>330</v>
      </c>
      <c r="C4273" s="4">
        <v>7</v>
      </c>
      <c r="D4273" s="8">
        <v>1.59</v>
      </c>
      <c r="E4273" s="4">
        <v>0</v>
      </c>
      <c r="F4273" s="8">
        <v>0</v>
      </c>
      <c r="G4273" s="4">
        <v>7</v>
      </c>
      <c r="H4273" s="8">
        <v>3.98</v>
      </c>
      <c r="I4273" s="4">
        <v>0</v>
      </c>
    </row>
    <row r="4274" spans="1:9" x14ac:dyDescent="0.2">
      <c r="A4274" s="2">
        <v>16</v>
      </c>
      <c r="B4274" s="1" t="s">
        <v>305</v>
      </c>
      <c r="C4274" s="4">
        <v>7</v>
      </c>
      <c r="D4274" s="8">
        <v>1.59</v>
      </c>
      <c r="E4274" s="4">
        <v>5</v>
      </c>
      <c r="F4274" s="8">
        <v>2</v>
      </c>
      <c r="G4274" s="4">
        <v>2</v>
      </c>
      <c r="H4274" s="8">
        <v>1.1399999999999999</v>
      </c>
      <c r="I4274" s="4">
        <v>0</v>
      </c>
    </row>
    <row r="4275" spans="1:9" x14ac:dyDescent="0.2">
      <c r="A4275" s="2">
        <v>20</v>
      </c>
      <c r="B4275" s="1" t="s">
        <v>290</v>
      </c>
      <c r="C4275" s="4">
        <v>6</v>
      </c>
      <c r="D4275" s="8">
        <v>1.37</v>
      </c>
      <c r="E4275" s="4">
        <v>1</v>
      </c>
      <c r="F4275" s="8">
        <v>0.4</v>
      </c>
      <c r="G4275" s="4">
        <v>5</v>
      </c>
      <c r="H4275" s="8">
        <v>2.84</v>
      </c>
      <c r="I4275" s="4">
        <v>0</v>
      </c>
    </row>
    <row r="4276" spans="1:9" x14ac:dyDescent="0.2">
      <c r="A4276" s="2">
        <v>20</v>
      </c>
      <c r="B4276" s="1" t="s">
        <v>294</v>
      </c>
      <c r="C4276" s="4">
        <v>6</v>
      </c>
      <c r="D4276" s="8">
        <v>1.37</v>
      </c>
      <c r="E4276" s="4">
        <v>1</v>
      </c>
      <c r="F4276" s="8">
        <v>0.4</v>
      </c>
      <c r="G4276" s="4">
        <v>5</v>
      </c>
      <c r="H4276" s="8">
        <v>2.84</v>
      </c>
      <c r="I4276" s="4">
        <v>0</v>
      </c>
    </row>
    <row r="4277" spans="1:9" x14ac:dyDescent="0.2">
      <c r="A4277" s="2">
        <v>20</v>
      </c>
      <c r="B4277" s="1" t="s">
        <v>296</v>
      </c>
      <c r="C4277" s="4">
        <v>6</v>
      </c>
      <c r="D4277" s="8">
        <v>1.37</v>
      </c>
      <c r="E4277" s="4">
        <v>2</v>
      </c>
      <c r="F4277" s="8">
        <v>0.8</v>
      </c>
      <c r="G4277" s="4">
        <v>4</v>
      </c>
      <c r="H4277" s="8">
        <v>2.27</v>
      </c>
      <c r="I4277" s="4">
        <v>0</v>
      </c>
    </row>
    <row r="4278" spans="1:9" x14ac:dyDescent="0.2">
      <c r="A4278" s="2">
        <v>20</v>
      </c>
      <c r="B4278" s="1" t="s">
        <v>339</v>
      </c>
      <c r="C4278" s="4">
        <v>6</v>
      </c>
      <c r="D4278" s="8">
        <v>1.37</v>
      </c>
      <c r="E4278" s="4">
        <v>4</v>
      </c>
      <c r="F4278" s="8">
        <v>1.6</v>
      </c>
      <c r="G4278" s="4">
        <v>2</v>
      </c>
      <c r="H4278" s="8">
        <v>1.1399999999999999</v>
      </c>
      <c r="I4278" s="4">
        <v>0</v>
      </c>
    </row>
    <row r="4279" spans="1:9" x14ac:dyDescent="0.2">
      <c r="A4279" s="1"/>
      <c r="C4279" s="4"/>
      <c r="D4279" s="8"/>
      <c r="E4279" s="4"/>
      <c r="F4279" s="8"/>
      <c r="G4279" s="4"/>
      <c r="H4279" s="8"/>
      <c r="I4279" s="4"/>
    </row>
    <row r="4280" spans="1:9" x14ac:dyDescent="0.2">
      <c r="A4280" s="1" t="s">
        <v>141</v>
      </c>
      <c r="C4280" s="4"/>
      <c r="D4280" s="8"/>
      <c r="E4280" s="4"/>
      <c r="F4280" s="8"/>
      <c r="G4280" s="4"/>
      <c r="H4280" s="8"/>
      <c r="I4280" s="4"/>
    </row>
    <row r="4281" spans="1:9" x14ac:dyDescent="0.2">
      <c r="A4281" s="2">
        <v>1</v>
      </c>
      <c r="B4281" s="1" t="s">
        <v>304</v>
      </c>
      <c r="C4281" s="4">
        <v>13</v>
      </c>
      <c r="D4281" s="8">
        <v>5.18</v>
      </c>
      <c r="E4281" s="4">
        <v>13</v>
      </c>
      <c r="F4281" s="8">
        <v>9.2200000000000006</v>
      </c>
      <c r="G4281" s="4">
        <v>0</v>
      </c>
      <c r="H4281" s="8">
        <v>0</v>
      </c>
      <c r="I4281" s="4">
        <v>0</v>
      </c>
    </row>
    <row r="4282" spans="1:9" x14ac:dyDescent="0.2">
      <c r="A4282" s="2">
        <v>2</v>
      </c>
      <c r="B4282" s="1" t="s">
        <v>303</v>
      </c>
      <c r="C4282" s="4">
        <v>10</v>
      </c>
      <c r="D4282" s="8">
        <v>3.98</v>
      </c>
      <c r="E4282" s="4">
        <v>10</v>
      </c>
      <c r="F4282" s="8">
        <v>7.09</v>
      </c>
      <c r="G4282" s="4">
        <v>0</v>
      </c>
      <c r="H4282" s="8">
        <v>0</v>
      </c>
      <c r="I4282" s="4">
        <v>0</v>
      </c>
    </row>
    <row r="4283" spans="1:9" x14ac:dyDescent="0.2">
      <c r="A4283" s="2">
        <v>3</v>
      </c>
      <c r="B4283" s="1" t="s">
        <v>330</v>
      </c>
      <c r="C4283" s="4">
        <v>9</v>
      </c>
      <c r="D4283" s="8">
        <v>3.59</v>
      </c>
      <c r="E4283" s="4">
        <v>1</v>
      </c>
      <c r="F4283" s="8">
        <v>0.71</v>
      </c>
      <c r="G4283" s="4">
        <v>8</v>
      </c>
      <c r="H4283" s="8">
        <v>7.84</v>
      </c>
      <c r="I4283" s="4">
        <v>0</v>
      </c>
    </row>
    <row r="4284" spans="1:9" x14ac:dyDescent="0.2">
      <c r="A4284" s="2">
        <v>4</v>
      </c>
      <c r="B4284" s="1" t="s">
        <v>306</v>
      </c>
      <c r="C4284" s="4">
        <v>8</v>
      </c>
      <c r="D4284" s="8">
        <v>3.19</v>
      </c>
      <c r="E4284" s="4">
        <v>8</v>
      </c>
      <c r="F4284" s="8">
        <v>5.67</v>
      </c>
      <c r="G4284" s="4">
        <v>0</v>
      </c>
      <c r="H4284" s="8">
        <v>0</v>
      </c>
      <c r="I4284" s="4">
        <v>0</v>
      </c>
    </row>
    <row r="4285" spans="1:9" x14ac:dyDescent="0.2">
      <c r="A4285" s="2">
        <v>5</v>
      </c>
      <c r="B4285" s="1" t="s">
        <v>292</v>
      </c>
      <c r="C4285" s="4">
        <v>6</v>
      </c>
      <c r="D4285" s="8">
        <v>2.39</v>
      </c>
      <c r="E4285" s="4">
        <v>1</v>
      </c>
      <c r="F4285" s="8">
        <v>0.71</v>
      </c>
      <c r="G4285" s="4">
        <v>5</v>
      </c>
      <c r="H4285" s="8">
        <v>4.9000000000000004</v>
      </c>
      <c r="I4285" s="4">
        <v>0</v>
      </c>
    </row>
    <row r="4286" spans="1:9" x14ac:dyDescent="0.2">
      <c r="A4286" s="2">
        <v>5</v>
      </c>
      <c r="B4286" s="1" t="s">
        <v>295</v>
      </c>
      <c r="C4286" s="4">
        <v>6</v>
      </c>
      <c r="D4286" s="8">
        <v>2.39</v>
      </c>
      <c r="E4286" s="4">
        <v>6</v>
      </c>
      <c r="F4286" s="8">
        <v>4.26</v>
      </c>
      <c r="G4286" s="4">
        <v>0</v>
      </c>
      <c r="H4286" s="8">
        <v>0</v>
      </c>
      <c r="I4286" s="4">
        <v>0</v>
      </c>
    </row>
    <row r="4287" spans="1:9" x14ac:dyDescent="0.2">
      <c r="A4287" s="2">
        <v>5</v>
      </c>
      <c r="B4287" s="1" t="s">
        <v>334</v>
      </c>
      <c r="C4287" s="4">
        <v>6</v>
      </c>
      <c r="D4287" s="8">
        <v>2.39</v>
      </c>
      <c r="E4287" s="4">
        <v>6</v>
      </c>
      <c r="F4287" s="8">
        <v>4.26</v>
      </c>
      <c r="G4287" s="4">
        <v>0</v>
      </c>
      <c r="H4287" s="8">
        <v>0</v>
      </c>
      <c r="I4287" s="4">
        <v>0</v>
      </c>
    </row>
    <row r="4288" spans="1:9" x14ac:dyDescent="0.2">
      <c r="A4288" s="2">
        <v>8</v>
      </c>
      <c r="B4288" s="1" t="s">
        <v>328</v>
      </c>
      <c r="C4288" s="4">
        <v>5</v>
      </c>
      <c r="D4288" s="8">
        <v>1.99</v>
      </c>
      <c r="E4288" s="4">
        <v>2</v>
      </c>
      <c r="F4288" s="8">
        <v>1.42</v>
      </c>
      <c r="G4288" s="4">
        <v>3</v>
      </c>
      <c r="H4288" s="8">
        <v>2.94</v>
      </c>
      <c r="I4288" s="4">
        <v>0</v>
      </c>
    </row>
    <row r="4289" spans="1:9" x14ac:dyDescent="0.2">
      <c r="A4289" s="2">
        <v>8</v>
      </c>
      <c r="B4289" s="1" t="s">
        <v>299</v>
      </c>
      <c r="C4289" s="4">
        <v>5</v>
      </c>
      <c r="D4289" s="8">
        <v>1.99</v>
      </c>
      <c r="E4289" s="4">
        <v>4</v>
      </c>
      <c r="F4289" s="8">
        <v>2.84</v>
      </c>
      <c r="G4289" s="4">
        <v>1</v>
      </c>
      <c r="H4289" s="8">
        <v>0.98</v>
      </c>
      <c r="I4289" s="4">
        <v>0</v>
      </c>
    </row>
    <row r="4290" spans="1:9" x14ac:dyDescent="0.2">
      <c r="A4290" s="2">
        <v>8</v>
      </c>
      <c r="B4290" s="1" t="s">
        <v>325</v>
      </c>
      <c r="C4290" s="4">
        <v>5</v>
      </c>
      <c r="D4290" s="8">
        <v>1.99</v>
      </c>
      <c r="E4290" s="4">
        <v>2</v>
      </c>
      <c r="F4290" s="8">
        <v>1.42</v>
      </c>
      <c r="G4290" s="4">
        <v>2</v>
      </c>
      <c r="H4290" s="8">
        <v>1.96</v>
      </c>
      <c r="I4290" s="4">
        <v>0</v>
      </c>
    </row>
    <row r="4291" spans="1:9" x14ac:dyDescent="0.2">
      <c r="A4291" s="2">
        <v>11</v>
      </c>
      <c r="B4291" s="1" t="s">
        <v>288</v>
      </c>
      <c r="C4291" s="4">
        <v>4</v>
      </c>
      <c r="D4291" s="8">
        <v>1.59</v>
      </c>
      <c r="E4291" s="4">
        <v>1</v>
      </c>
      <c r="F4291" s="8">
        <v>0.71</v>
      </c>
      <c r="G4291" s="4">
        <v>3</v>
      </c>
      <c r="H4291" s="8">
        <v>2.94</v>
      </c>
      <c r="I4291" s="4">
        <v>0</v>
      </c>
    </row>
    <row r="4292" spans="1:9" x14ac:dyDescent="0.2">
      <c r="A4292" s="2">
        <v>11</v>
      </c>
      <c r="B4292" s="1" t="s">
        <v>290</v>
      </c>
      <c r="C4292" s="4">
        <v>4</v>
      </c>
      <c r="D4292" s="8">
        <v>1.59</v>
      </c>
      <c r="E4292" s="4">
        <v>1</v>
      </c>
      <c r="F4292" s="8">
        <v>0.71</v>
      </c>
      <c r="G4292" s="4">
        <v>3</v>
      </c>
      <c r="H4292" s="8">
        <v>2.94</v>
      </c>
      <c r="I4292" s="4">
        <v>0</v>
      </c>
    </row>
    <row r="4293" spans="1:9" x14ac:dyDescent="0.2">
      <c r="A4293" s="2">
        <v>11</v>
      </c>
      <c r="B4293" s="1" t="s">
        <v>399</v>
      </c>
      <c r="C4293" s="4">
        <v>4</v>
      </c>
      <c r="D4293" s="8">
        <v>1.59</v>
      </c>
      <c r="E4293" s="4">
        <v>2</v>
      </c>
      <c r="F4293" s="8">
        <v>1.42</v>
      </c>
      <c r="G4293" s="4">
        <v>2</v>
      </c>
      <c r="H4293" s="8">
        <v>1.96</v>
      </c>
      <c r="I4293" s="4">
        <v>0</v>
      </c>
    </row>
    <row r="4294" spans="1:9" x14ac:dyDescent="0.2">
      <c r="A4294" s="2">
        <v>11</v>
      </c>
      <c r="B4294" s="1" t="s">
        <v>400</v>
      </c>
      <c r="C4294" s="4">
        <v>4</v>
      </c>
      <c r="D4294" s="8">
        <v>1.59</v>
      </c>
      <c r="E4294" s="4">
        <v>2</v>
      </c>
      <c r="F4294" s="8">
        <v>1.42</v>
      </c>
      <c r="G4294" s="4">
        <v>2</v>
      </c>
      <c r="H4294" s="8">
        <v>1.96</v>
      </c>
      <c r="I4294" s="4">
        <v>0</v>
      </c>
    </row>
    <row r="4295" spans="1:9" x14ac:dyDescent="0.2">
      <c r="A4295" s="2">
        <v>11</v>
      </c>
      <c r="B4295" s="1" t="s">
        <v>314</v>
      </c>
      <c r="C4295" s="4">
        <v>4</v>
      </c>
      <c r="D4295" s="8">
        <v>1.59</v>
      </c>
      <c r="E4295" s="4">
        <v>3</v>
      </c>
      <c r="F4295" s="8">
        <v>2.13</v>
      </c>
      <c r="G4295" s="4">
        <v>1</v>
      </c>
      <c r="H4295" s="8">
        <v>0.98</v>
      </c>
      <c r="I4295" s="4">
        <v>0</v>
      </c>
    </row>
    <row r="4296" spans="1:9" x14ac:dyDescent="0.2">
      <c r="A4296" s="2">
        <v>11</v>
      </c>
      <c r="B4296" s="1" t="s">
        <v>329</v>
      </c>
      <c r="C4296" s="4">
        <v>4</v>
      </c>
      <c r="D4296" s="8">
        <v>1.59</v>
      </c>
      <c r="E4296" s="4">
        <v>4</v>
      </c>
      <c r="F4296" s="8">
        <v>2.84</v>
      </c>
      <c r="G4296" s="4">
        <v>0</v>
      </c>
      <c r="H4296" s="8">
        <v>0</v>
      </c>
      <c r="I4296" s="4">
        <v>0</v>
      </c>
    </row>
    <row r="4297" spans="1:9" x14ac:dyDescent="0.2">
      <c r="A4297" s="2">
        <v>11</v>
      </c>
      <c r="B4297" s="1" t="s">
        <v>310</v>
      </c>
      <c r="C4297" s="4">
        <v>4</v>
      </c>
      <c r="D4297" s="8">
        <v>1.59</v>
      </c>
      <c r="E4297" s="4">
        <v>3</v>
      </c>
      <c r="F4297" s="8">
        <v>2.13</v>
      </c>
      <c r="G4297" s="4">
        <v>1</v>
      </c>
      <c r="H4297" s="8">
        <v>0.98</v>
      </c>
      <c r="I4297" s="4">
        <v>0</v>
      </c>
    </row>
    <row r="4298" spans="1:9" x14ac:dyDescent="0.2">
      <c r="A4298" s="2">
        <v>11</v>
      </c>
      <c r="B4298" s="1" t="s">
        <v>339</v>
      </c>
      <c r="C4298" s="4">
        <v>4</v>
      </c>
      <c r="D4298" s="8">
        <v>1.59</v>
      </c>
      <c r="E4298" s="4">
        <v>2</v>
      </c>
      <c r="F4298" s="8">
        <v>1.42</v>
      </c>
      <c r="G4298" s="4">
        <v>2</v>
      </c>
      <c r="H4298" s="8">
        <v>1.96</v>
      </c>
      <c r="I4298" s="4">
        <v>0</v>
      </c>
    </row>
    <row r="4299" spans="1:9" x14ac:dyDescent="0.2">
      <c r="A4299" s="2">
        <v>11</v>
      </c>
      <c r="B4299" s="1" t="s">
        <v>300</v>
      </c>
      <c r="C4299" s="4">
        <v>4</v>
      </c>
      <c r="D4299" s="8">
        <v>1.59</v>
      </c>
      <c r="E4299" s="4">
        <v>3</v>
      </c>
      <c r="F4299" s="8">
        <v>2.13</v>
      </c>
      <c r="G4299" s="4">
        <v>1</v>
      </c>
      <c r="H4299" s="8">
        <v>0.98</v>
      </c>
      <c r="I4299" s="4">
        <v>0</v>
      </c>
    </row>
    <row r="4300" spans="1:9" x14ac:dyDescent="0.2">
      <c r="A4300" s="2">
        <v>11</v>
      </c>
      <c r="B4300" s="1" t="s">
        <v>368</v>
      </c>
      <c r="C4300" s="4">
        <v>4</v>
      </c>
      <c r="D4300" s="8">
        <v>1.59</v>
      </c>
      <c r="E4300" s="4">
        <v>0</v>
      </c>
      <c r="F4300" s="8">
        <v>0</v>
      </c>
      <c r="G4300" s="4">
        <v>4</v>
      </c>
      <c r="H4300" s="8">
        <v>3.92</v>
      </c>
      <c r="I4300" s="4">
        <v>0</v>
      </c>
    </row>
    <row r="4301" spans="1:9" x14ac:dyDescent="0.2">
      <c r="A4301" s="1"/>
      <c r="C4301" s="4"/>
      <c r="D4301" s="8"/>
      <c r="E4301" s="4"/>
      <c r="F4301" s="8"/>
      <c r="G4301" s="4"/>
      <c r="H4301" s="8"/>
      <c r="I4301" s="4"/>
    </row>
    <row r="4302" spans="1:9" x14ac:dyDescent="0.2">
      <c r="A4302" s="1" t="s">
        <v>142</v>
      </c>
      <c r="C4302" s="4"/>
      <c r="D4302" s="8"/>
      <c r="E4302" s="4"/>
      <c r="F4302" s="8"/>
      <c r="G4302" s="4"/>
      <c r="H4302" s="8"/>
      <c r="I4302" s="4"/>
    </row>
    <row r="4303" spans="1:9" x14ac:dyDescent="0.2">
      <c r="A4303" s="2">
        <v>1</v>
      </c>
      <c r="B4303" s="1" t="s">
        <v>304</v>
      </c>
      <c r="C4303" s="4">
        <v>5</v>
      </c>
      <c r="D4303" s="8">
        <v>6.1</v>
      </c>
      <c r="E4303" s="4">
        <v>5</v>
      </c>
      <c r="F4303" s="8">
        <v>11.63</v>
      </c>
      <c r="G4303" s="4">
        <v>0</v>
      </c>
      <c r="H4303" s="8">
        <v>0</v>
      </c>
      <c r="I4303" s="4">
        <v>0</v>
      </c>
    </row>
    <row r="4304" spans="1:9" x14ac:dyDescent="0.2">
      <c r="A4304" s="2">
        <v>2</v>
      </c>
      <c r="B4304" s="1" t="s">
        <v>314</v>
      </c>
      <c r="C4304" s="4">
        <v>4</v>
      </c>
      <c r="D4304" s="8">
        <v>4.88</v>
      </c>
      <c r="E4304" s="4">
        <v>3</v>
      </c>
      <c r="F4304" s="8">
        <v>6.98</v>
      </c>
      <c r="G4304" s="4">
        <v>1</v>
      </c>
      <c r="H4304" s="8">
        <v>3.45</v>
      </c>
      <c r="I4304" s="4">
        <v>0</v>
      </c>
    </row>
    <row r="4305" spans="1:9" x14ac:dyDescent="0.2">
      <c r="A4305" s="2">
        <v>2</v>
      </c>
      <c r="B4305" s="1" t="s">
        <v>335</v>
      </c>
      <c r="C4305" s="4">
        <v>4</v>
      </c>
      <c r="D4305" s="8">
        <v>4.88</v>
      </c>
      <c r="E4305" s="4">
        <v>3</v>
      </c>
      <c r="F4305" s="8">
        <v>6.98</v>
      </c>
      <c r="G4305" s="4">
        <v>1</v>
      </c>
      <c r="H4305" s="8">
        <v>3.45</v>
      </c>
      <c r="I4305" s="4">
        <v>0</v>
      </c>
    </row>
    <row r="4306" spans="1:9" x14ac:dyDescent="0.2">
      <c r="A4306" s="2">
        <v>2</v>
      </c>
      <c r="B4306" s="1" t="s">
        <v>340</v>
      </c>
      <c r="C4306" s="4">
        <v>4</v>
      </c>
      <c r="D4306" s="8">
        <v>4.88</v>
      </c>
      <c r="E4306" s="4">
        <v>1</v>
      </c>
      <c r="F4306" s="8">
        <v>2.33</v>
      </c>
      <c r="G4306" s="4">
        <v>0</v>
      </c>
      <c r="H4306" s="8">
        <v>0</v>
      </c>
      <c r="I4306" s="4">
        <v>0</v>
      </c>
    </row>
    <row r="4307" spans="1:9" x14ac:dyDescent="0.2">
      <c r="A4307" s="2">
        <v>5</v>
      </c>
      <c r="B4307" s="1" t="s">
        <v>289</v>
      </c>
      <c r="C4307" s="4">
        <v>3</v>
      </c>
      <c r="D4307" s="8">
        <v>3.66</v>
      </c>
      <c r="E4307" s="4">
        <v>0</v>
      </c>
      <c r="F4307" s="8">
        <v>0</v>
      </c>
      <c r="G4307" s="4">
        <v>3</v>
      </c>
      <c r="H4307" s="8">
        <v>10.34</v>
      </c>
      <c r="I4307" s="4">
        <v>0</v>
      </c>
    </row>
    <row r="4308" spans="1:9" x14ac:dyDescent="0.2">
      <c r="A4308" s="2">
        <v>5</v>
      </c>
      <c r="B4308" s="1" t="s">
        <v>339</v>
      </c>
      <c r="C4308" s="4">
        <v>3</v>
      </c>
      <c r="D4308" s="8">
        <v>3.66</v>
      </c>
      <c r="E4308" s="4">
        <v>2</v>
      </c>
      <c r="F4308" s="8">
        <v>4.6500000000000004</v>
      </c>
      <c r="G4308" s="4">
        <v>1</v>
      </c>
      <c r="H4308" s="8">
        <v>3.45</v>
      </c>
      <c r="I4308" s="4">
        <v>0</v>
      </c>
    </row>
    <row r="4309" spans="1:9" x14ac:dyDescent="0.2">
      <c r="A4309" s="2">
        <v>5</v>
      </c>
      <c r="B4309" s="1" t="s">
        <v>299</v>
      </c>
      <c r="C4309" s="4">
        <v>3</v>
      </c>
      <c r="D4309" s="8">
        <v>3.66</v>
      </c>
      <c r="E4309" s="4">
        <v>3</v>
      </c>
      <c r="F4309" s="8">
        <v>6.98</v>
      </c>
      <c r="G4309" s="4">
        <v>0</v>
      </c>
      <c r="H4309" s="8">
        <v>0</v>
      </c>
      <c r="I4309" s="4">
        <v>0</v>
      </c>
    </row>
    <row r="4310" spans="1:9" x14ac:dyDescent="0.2">
      <c r="A4310" s="2">
        <v>5</v>
      </c>
      <c r="B4310" s="1" t="s">
        <v>352</v>
      </c>
      <c r="C4310" s="4">
        <v>3</v>
      </c>
      <c r="D4310" s="8">
        <v>3.66</v>
      </c>
      <c r="E4310" s="4">
        <v>1</v>
      </c>
      <c r="F4310" s="8">
        <v>2.33</v>
      </c>
      <c r="G4310" s="4">
        <v>0</v>
      </c>
      <c r="H4310" s="8">
        <v>0</v>
      </c>
      <c r="I4310" s="4">
        <v>0</v>
      </c>
    </row>
    <row r="4311" spans="1:9" x14ac:dyDescent="0.2">
      <c r="A4311" s="2">
        <v>9</v>
      </c>
      <c r="B4311" s="1" t="s">
        <v>343</v>
      </c>
      <c r="C4311" s="4">
        <v>2</v>
      </c>
      <c r="D4311" s="8">
        <v>2.44</v>
      </c>
      <c r="E4311" s="4">
        <v>2</v>
      </c>
      <c r="F4311" s="8">
        <v>4.6500000000000004</v>
      </c>
      <c r="G4311" s="4">
        <v>0</v>
      </c>
      <c r="H4311" s="8">
        <v>0</v>
      </c>
      <c r="I4311" s="4">
        <v>0</v>
      </c>
    </row>
    <row r="4312" spans="1:9" x14ac:dyDescent="0.2">
      <c r="A4312" s="2">
        <v>9</v>
      </c>
      <c r="B4312" s="1" t="s">
        <v>384</v>
      </c>
      <c r="C4312" s="4">
        <v>2</v>
      </c>
      <c r="D4312" s="8">
        <v>2.44</v>
      </c>
      <c r="E4312" s="4">
        <v>0</v>
      </c>
      <c r="F4312" s="8">
        <v>0</v>
      </c>
      <c r="G4312" s="4">
        <v>2</v>
      </c>
      <c r="H4312" s="8">
        <v>6.9</v>
      </c>
      <c r="I4312" s="4">
        <v>0</v>
      </c>
    </row>
    <row r="4313" spans="1:9" x14ac:dyDescent="0.2">
      <c r="A4313" s="2">
        <v>9</v>
      </c>
      <c r="B4313" s="1" t="s">
        <v>399</v>
      </c>
      <c r="C4313" s="4">
        <v>2</v>
      </c>
      <c r="D4313" s="8">
        <v>2.44</v>
      </c>
      <c r="E4313" s="4">
        <v>1</v>
      </c>
      <c r="F4313" s="8">
        <v>2.33</v>
      </c>
      <c r="G4313" s="4">
        <v>1</v>
      </c>
      <c r="H4313" s="8">
        <v>3.45</v>
      </c>
      <c r="I4313" s="4">
        <v>0</v>
      </c>
    </row>
    <row r="4314" spans="1:9" x14ac:dyDescent="0.2">
      <c r="A4314" s="2">
        <v>9</v>
      </c>
      <c r="B4314" s="1" t="s">
        <v>354</v>
      </c>
      <c r="C4314" s="4">
        <v>2</v>
      </c>
      <c r="D4314" s="8">
        <v>2.44</v>
      </c>
      <c r="E4314" s="4">
        <v>0</v>
      </c>
      <c r="F4314" s="8">
        <v>0</v>
      </c>
      <c r="G4314" s="4">
        <v>2</v>
      </c>
      <c r="H4314" s="8">
        <v>6.9</v>
      </c>
      <c r="I4314" s="4">
        <v>0</v>
      </c>
    </row>
    <row r="4315" spans="1:9" x14ac:dyDescent="0.2">
      <c r="A4315" s="2">
        <v>9</v>
      </c>
      <c r="B4315" s="1" t="s">
        <v>292</v>
      </c>
      <c r="C4315" s="4">
        <v>2</v>
      </c>
      <c r="D4315" s="8">
        <v>2.44</v>
      </c>
      <c r="E4315" s="4">
        <v>1</v>
      </c>
      <c r="F4315" s="8">
        <v>2.33</v>
      </c>
      <c r="G4315" s="4">
        <v>1</v>
      </c>
      <c r="H4315" s="8">
        <v>3.45</v>
      </c>
      <c r="I4315" s="4">
        <v>0</v>
      </c>
    </row>
    <row r="4316" spans="1:9" x14ac:dyDescent="0.2">
      <c r="A4316" s="2">
        <v>9</v>
      </c>
      <c r="B4316" s="1" t="s">
        <v>337</v>
      </c>
      <c r="C4316" s="4">
        <v>2</v>
      </c>
      <c r="D4316" s="8">
        <v>2.44</v>
      </c>
      <c r="E4316" s="4">
        <v>1</v>
      </c>
      <c r="F4316" s="8">
        <v>2.33</v>
      </c>
      <c r="G4316" s="4">
        <v>1</v>
      </c>
      <c r="H4316" s="8">
        <v>3.45</v>
      </c>
      <c r="I4316" s="4">
        <v>0</v>
      </c>
    </row>
    <row r="4317" spans="1:9" x14ac:dyDescent="0.2">
      <c r="A4317" s="2">
        <v>9</v>
      </c>
      <c r="B4317" s="1" t="s">
        <v>297</v>
      </c>
      <c r="C4317" s="4">
        <v>2</v>
      </c>
      <c r="D4317" s="8">
        <v>2.44</v>
      </c>
      <c r="E4317" s="4">
        <v>1</v>
      </c>
      <c r="F4317" s="8">
        <v>2.33</v>
      </c>
      <c r="G4317" s="4">
        <v>0</v>
      </c>
      <c r="H4317" s="8">
        <v>0</v>
      </c>
      <c r="I4317" s="4">
        <v>0</v>
      </c>
    </row>
    <row r="4318" spans="1:9" x14ac:dyDescent="0.2">
      <c r="A4318" s="2">
        <v>9</v>
      </c>
      <c r="B4318" s="1" t="s">
        <v>301</v>
      </c>
      <c r="C4318" s="4">
        <v>2</v>
      </c>
      <c r="D4318" s="8">
        <v>2.44</v>
      </c>
      <c r="E4318" s="4">
        <v>1</v>
      </c>
      <c r="F4318" s="8">
        <v>2.33</v>
      </c>
      <c r="G4318" s="4">
        <v>1</v>
      </c>
      <c r="H4318" s="8">
        <v>3.45</v>
      </c>
      <c r="I4318" s="4">
        <v>0</v>
      </c>
    </row>
    <row r="4319" spans="1:9" x14ac:dyDescent="0.2">
      <c r="A4319" s="2">
        <v>9</v>
      </c>
      <c r="B4319" s="1" t="s">
        <v>323</v>
      </c>
      <c r="C4319" s="4">
        <v>2</v>
      </c>
      <c r="D4319" s="8">
        <v>2.44</v>
      </c>
      <c r="E4319" s="4">
        <v>2</v>
      </c>
      <c r="F4319" s="8">
        <v>4.6500000000000004</v>
      </c>
      <c r="G4319" s="4">
        <v>0</v>
      </c>
      <c r="H4319" s="8">
        <v>0</v>
      </c>
      <c r="I4319" s="4">
        <v>0</v>
      </c>
    </row>
    <row r="4320" spans="1:9" x14ac:dyDescent="0.2">
      <c r="A4320" s="2">
        <v>9</v>
      </c>
      <c r="B4320" s="1" t="s">
        <v>303</v>
      </c>
      <c r="C4320" s="4">
        <v>2</v>
      </c>
      <c r="D4320" s="8">
        <v>2.44</v>
      </c>
      <c r="E4320" s="4">
        <v>2</v>
      </c>
      <c r="F4320" s="8">
        <v>4.6500000000000004</v>
      </c>
      <c r="G4320" s="4">
        <v>0</v>
      </c>
      <c r="H4320" s="8">
        <v>0</v>
      </c>
      <c r="I4320" s="4">
        <v>0</v>
      </c>
    </row>
    <row r="4321" spans="1:9" x14ac:dyDescent="0.2">
      <c r="A4321" s="2">
        <v>9</v>
      </c>
      <c r="B4321" s="1" t="s">
        <v>391</v>
      </c>
      <c r="C4321" s="4">
        <v>2</v>
      </c>
      <c r="D4321" s="8">
        <v>2.44</v>
      </c>
      <c r="E4321" s="4">
        <v>0</v>
      </c>
      <c r="F4321" s="8">
        <v>0</v>
      </c>
      <c r="G4321" s="4">
        <v>2</v>
      </c>
      <c r="H4321" s="8">
        <v>6.9</v>
      </c>
      <c r="I4321" s="4">
        <v>0</v>
      </c>
    </row>
    <row r="4322" spans="1:9" x14ac:dyDescent="0.2">
      <c r="A4322" s="2">
        <v>9</v>
      </c>
      <c r="B4322" s="1" t="s">
        <v>331</v>
      </c>
      <c r="C4322" s="4">
        <v>2</v>
      </c>
      <c r="D4322" s="8">
        <v>2.44</v>
      </c>
      <c r="E4322" s="4">
        <v>0</v>
      </c>
      <c r="F4322" s="8">
        <v>0</v>
      </c>
      <c r="G4322" s="4">
        <v>0</v>
      </c>
      <c r="H4322" s="8">
        <v>0</v>
      </c>
      <c r="I4322" s="4">
        <v>0</v>
      </c>
    </row>
    <row r="4323" spans="1:9" x14ac:dyDescent="0.2">
      <c r="A4323" s="1"/>
      <c r="C4323" s="4"/>
      <c r="D4323" s="8"/>
      <c r="E4323" s="4"/>
      <c r="F4323" s="8"/>
      <c r="G4323" s="4"/>
      <c r="H4323" s="8"/>
      <c r="I4323" s="4"/>
    </row>
    <row r="4324" spans="1:9" x14ac:dyDescent="0.2">
      <c r="A4324" s="1" t="s">
        <v>143</v>
      </c>
      <c r="C4324" s="4"/>
      <c r="D4324" s="8"/>
      <c r="E4324" s="4"/>
      <c r="F4324" s="8"/>
      <c r="G4324" s="4"/>
      <c r="H4324" s="8"/>
      <c r="I4324" s="4"/>
    </row>
    <row r="4325" spans="1:9" x14ac:dyDescent="0.2">
      <c r="A4325" s="2">
        <v>1</v>
      </c>
      <c r="B4325" s="1" t="s">
        <v>303</v>
      </c>
      <c r="C4325" s="4">
        <v>5</v>
      </c>
      <c r="D4325" s="8">
        <v>5.32</v>
      </c>
      <c r="E4325" s="4">
        <v>5</v>
      </c>
      <c r="F4325" s="8">
        <v>9.09</v>
      </c>
      <c r="G4325" s="4">
        <v>0</v>
      </c>
      <c r="H4325" s="8">
        <v>0</v>
      </c>
      <c r="I4325" s="4">
        <v>0</v>
      </c>
    </row>
    <row r="4326" spans="1:9" x14ac:dyDescent="0.2">
      <c r="A4326" s="2">
        <v>1</v>
      </c>
      <c r="B4326" s="1" t="s">
        <v>304</v>
      </c>
      <c r="C4326" s="4">
        <v>5</v>
      </c>
      <c r="D4326" s="8">
        <v>5.32</v>
      </c>
      <c r="E4326" s="4">
        <v>5</v>
      </c>
      <c r="F4326" s="8">
        <v>9.09</v>
      </c>
      <c r="G4326" s="4">
        <v>0</v>
      </c>
      <c r="H4326" s="8">
        <v>0</v>
      </c>
      <c r="I4326" s="4">
        <v>0</v>
      </c>
    </row>
    <row r="4327" spans="1:9" x14ac:dyDescent="0.2">
      <c r="A4327" s="2">
        <v>3</v>
      </c>
      <c r="B4327" s="1" t="s">
        <v>378</v>
      </c>
      <c r="C4327" s="4">
        <v>4</v>
      </c>
      <c r="D4327" s="8">
        <v>4.26</v>
      </c>
      <c r="E4327" s="4">
        <v>0</v>
      </c>
      <c r="F4327" s="8">
        <v>0</v>
      </c>
      <c r="G4327" s="4">
        <v>4</v>
      </c>
      <c r="H4327" s="8">
        <v>11.43</v>
      </c>
      <c r="I4327" s="4">
        <v>0</v>
      </c>
    </row>
    <row r="4328" spans="1:9" x14ac:dyDescent="0.2">
      <c r="A4328" s="2">
        <v>3</v>
      </c>
      <c r="B4328" s="1" t="s">
        <v>299</v>
      </c>
      <c r="C4328" s="4">
        <v>4</v>
      </c>
      <c r="D4328" s="8">
        <v>4.26</v>
      </c>
      <c r="E4328" s="4">
        <v>3</v>
      </c>
      <c r="F4328" s="8">
        <v>5.45</v>
      </c>
      <c r="G4328" s="4">
        <v>1</v>
      </c>
      <c r="H4328" s="8">
        <v>2.86</v>
      </c>
      <c r="I4328" s="4">
        <v>0</v>
      </c>
    </row>
    <row r="4329" spans="1:9" x14ac:dyDescent="0.2">
      <c r="A4329" s="2">
        <v>3</v>
      </c>
      <c r="B4329" s="1" t="s">
        <v>305</v>
      </c>
      <c r="C4329" s="4">
        <v>4</v>
      </c>
      <c r="D4329" s="8">
        <v>4.26</v>
      </c>
      <c r="E4329" s="4">
        <v>4</v>
      </c>
      <c r="F4329" s="8">
        <v>7.27</v>
      </c>
      <c r="G4329" s="4">
        <v>0</v>
      </c>
      <c r="H4329" s="8">
        <v>0</v>
      </c>
      <c r="I4329" s="4">
        <v>0</v>
      </c>
    </row>
    <row r="4330" spans="1:9" x14ac:dyDescent="0.2">
      <c r="A4330" s="2">
        <v>6</v>
      </c>
      <c r="B4330" s="1" t="s">
        <v>413</v>
      </c>
      <c r="C4330" s="4">
        <v>3</v>
      </c>
      <c r="D4330" s="8">
        <v>3.19</v>
      </c>
      <c r="E4330" s="4">
        <v>0</v>
      </c>
      <c r="F4330" s="8">
        <v>0</v>
      </c>
      <c r="G4330" s="4">
        <v>3</v>
      </c>
      <c r="H4330" s="8">
        <v>8.57</v>
      </c>
      <c r="I4330" s="4">
        <v>0</v>
      </c>
    </row>
    <row r="4331" spans="1:9" x14ac:dyDescent="0.2">
      <c r="A4331" s="2">
        <v>6</v>
      </c>
      <c r="B4331" s="1" t="s">
        <v>324</v>
      </c>
      <c r="C4331" s="4">
        <v>3</v>
      </c>
      <c r="D4331" s="8">
        <v>3.19</v>
      </c>
      <c r="E4331" s="4">
        <v>0</v>
      </c>
      <c r="F4331" s="8">
        <v>0</v>
      </c>
      <c r="G4331" s="4">
        <v>3</v>
      </c>
      <c r="H4331" s="8">
        <v>8.57</v>
      </c>
      <c r="I4331" s="4">
        <v>0</v>
      </c>
    </row>
    <row r="4332" spans="1:9" x14ac:dyDescent="0.2">
      <c r="A4332" s="2">
        <v>6</v>
      </c>
      <c r="B4332" s="1" t="s">
        <v>314</v>
      </c>
      <c r="C4332" s="4">
        <v>3</v>
      </c>
      <c r="D4332" s="8">
        <v>3.19</v>
      </c>
      <c r="E4332" s="4">
        <v>3</v>
      </c>
      <c r="F4332" s="8">
        <v>5.45</v>
      </c>
      <c r="G4332" s="4">
        <v>0</v>
      </c>
      <c r="H4332" s="8">
        <v>0</v>
      </c>
      <c r="I4332" s="4">
        <v>0</v>
      </c>
    </row>
    <row r="4333" spans="1:9" x14ac:dyDescent="0.2">
      <c r="A4333" s="2">
        <v>6</v>
      </c>
      <c r="B4333" s="1" t="s">
        <v>301</v>
      </c>
      <c r="C4333" s="4">
        <v>3</v>
      </c>
      <c r="D4333" s="8">
        <v>3.19</v>
      </c>
      <c r="E4333" s="4">
        <v>3</v>
      </c>
      <c r="F4333" s="8">
        <v>5.45</v>
      </c>
      <c r="G4333" s="4">
        <v>0</v>
      </c>
      <c r="H4333" s="8">
        <v>0</v>
      </c>
      <c r="I4333" s="4">
        <v>0</v>
      </c>
    </row>
    <row r="4334" spans="1:9" x14ac:dyDescent="0.2">
      <c r="A4334" s="2">
        <v>10</v>
      </c>
      <c r="B4334" s="1" t="s">
        <v>288</v>
      </c>
      <c r="C4334" s="4">
        <v>2</v>
      </c>
      <c r="D4334" s="8">
        <v>2.13</v>
      </c>
      <c r="E4334" s="4">
        <v>0</v>
      </c>
      <c r="F4334" s="8">
        <v>0</v>
      </c>
      <c r="G4334" s="4">
        <v>2</v>
      </c>
      <c r="H4334" s="8">
        <v>5.71</v>
      </c>
      <c r="I4334" s="4">
        <v>0</v>
      </c>
    </row>
    <row r="4335" spans="1:9" x14ac:dyDescent="0.2">
      <c r="A4335" s="2">
        <v>10</v>
      </c>
      <c r="B4335" s="1" t="s">
        <v>289</v>
      </c>
      <c r="C4335" s="4">
        <v>2</v>
      </c>
      <c r="D4335" s="8">
        <v>2.13</v>
      </c>
      <c r="E4335" s="4">
        <v>0</v>
      </c>
      <c r="F4335" s="8">
        <v>0</v>
      </c>
      <c r="G4335" s="4">
        <v>2</v>
      </c>
      <c r="H4335" s="8">
        <v>5.71</v>
      </c>
      <c r="I4335" s="4">
        <v>0</v>
      </c>
    </row>
    <row r="4336" spans="1:9" x14ac:dyDescent="0.2">
      <c r="A4336" s="2">
        <v>10</v>
      </c>
      <c r="B4336" s="1" t="s">
        <v>357</v>
      </c>
      <c r="C4336" s="4">
        <v>2</v>
      </c>
      <c r="D4336" s="8">
        <v>2.13</v>
      </c>
      <c r="E4336" s="4">
        <v>2</v>
      </c>
      <c r="F4336" s="8">
        <v>3.64</v>
      </c>
      <c r="G4336" s="4">
        <v>0</v>
      </c>
      <c r="H4336" s="8">
        <v>0</v>
      </c>
      <c r="I4336" s="4">
        <v>0</v>
      </c>
    </row>
    <row r="4337" spans="1:9" x14ac:dyDescent="0.2">
      <c r="A4337" s="2">
        <v>10</v>
      </c>
      <c r="B4337" s="1" t="s">
        <v>358</v>
      </c>
      <c r="C4337" s="4">
        <v>2</v>
      </c>
      <c r="D4337" s="8">
        <v>2.13</v>
      </c>
      <c r="E4337" s="4">
        <v>0</v>
      </c>
      <c r="F4337" s="8">
        <v>0</v>
      </c>
      <c r="G4337" s="4">
        <v>2</v>
      </c>
      <c r="H4337" s="8">
        <v>5.71</v>
      </c>
      <c r="I4337" s="4">
        <v>0</v>
      </c>
    </row>
    <row r="4338" spans="1:9" x14ac:dyDescent="0.2">
      <c r="A4338" s="2">
        <v>10</v>
      </c>
      <c r="B4338" s="1" t="s">
        <v>329</v>
      </c>
      <c r="C4338" s="4">
        <v>2</v>
      </c>
      <c r="D4338" s="8">
        <v>2.13</v>
      </c>
      <c r="E4338" s="4">
        <v>1</v>
      </c>
      <c r="F4338" s="8">
        <v>1.82</v>
      </c>
      <c r="G4338" s="4">
        <v>0</v>
      </c>
      <c r="H4338" s="8">
        <v>0</v>
      </c>
      <c r="I4338" s="4">
        <v>1</v>
      </c>
    </row>
    <row r="4339" spans="1:9" x14ac:dyDescent="0.2">
      <c r="A4339" s="2">
        <v>10</v>
      </c>
      <c r="B4339" s="1" t="s">
        <v>330</v>
      </c>
      <c r="C4339" s="4">
        <v>2</v>
      </c>
      <c r="D4339" s="8">
        <v>2.13</v>
      </c>
      <c r="E4339" s="4">
        <v>1</v>
      </c>
      <c r="F4339" s="8">
        <v>1.82</v>
      </c>
      <c r="G4339" s="4">
        <v>1</v>
      </c>
      <c r="H4339" s="8">
        <v>2.86</v>
      </c>
      <c r="I4339" s="4">
        <v>0</v>
      </c>
    </row>
    <row r="4340" spans="1:9" x14ac:dyDescent="0.2">
      <c r="A4340" s="2">
        <v>10</v>
      </c>
      <c r="B4340" s="1" t="s">
        <v>295</v>
      </c>
      <c r="C4340" s="4">
        <v>2</v>
      </c>
      <c r="D4340" s="8">
        <v>2.13</v>
      </c>
      <c r="E4340" s="4">
        <v>1</v>
      </c>
      <c r="F4340" s="8">
        <v>1.82</v>
      </c>
      <c r="G4340" s="4">
        <v>1</v>
      </c>
      <c r="H4340" s="8">
        <v>2.86</v>
      </c>
      <c r="I4340" s="4">
        <v>0</v>
      </c>
    </row>
    <row r="4341" spans="1:9" x14ac:dyDescent="0.2">
      <c r="A4341" s="2">
        <v>10</v>
      </c>
      <c r="B4341" s="1" t="s">
        <v>344</v>
      </c>
      <c r="C4341" s="4">
        <v>2</v>
      </c>
      <c r="D4341" s="8">
        <v>2.13</v>
      </c>
      <c r="E4341" s="4">
        <v>1</v>
      </c>
      <c r="F4341" s="8">
        <v>1.82</v>
      </c>
      <c r="G4341" s="4">
        <v>1</v>
      </c>
      <c r="H4341" s="8">
        <v>2.86</v>
      </c>
      <c r="I4341" s="4">
        <v>0</v>
      </c>
    </row>
    <row r="4342" spans="1:9" x14ac:dyDescent="0.2">
      <c r="A4342" s="2">
        <v>10</v>
      </c>
      <c r="B4342" s="1" t="s">
        <v>339</v>
      </c>
      <c r="C4342" s="4">
        <v>2</v>
      </c>
      <c r="D4342" s="8">
        <v>2.13</v>
      </c>
      <c r="E4342" s="4">
        <v>2</v>
      </c>
      <c r="F4342" s="8">
        <v>3.64</v>
      </c>
      <c r="G4342" s="4">
        <v>0</v>
      </c>
      <c r="H4342" s="8">
        <v>0</v>
      </c>
      <c r="I4342" s="4">
        <v>0</v>
      </c>
    </row>
    <row r="4343" spans="1:9" x14ac:dyDescent="0.2">
      <c r="A4343" s="2">
        <v>10</v>
      </c>
      <c r="B4343" s="1" t="s">
        <v>334</v>
      </c>
      <c r="C4343" s="4">
        <v>2</v>
      </c>
      <c r="D4343" s="8">
        <v>2.13</v>
      </c>
      <c r="E4343" s="4">
        <v>2</v>
      </c>
      <c r="F4343" s="8">
        <v>3.64</v>
      </c>
      <c r="G4343" s="4">
        <v>0</v>
      </c>
      <c r="H4343" s="8">
        <v>0</v>
      </c>
      <c r="I4343" s="4">
        <v>0</v>
      </c>
    </row>
    <row r="4344" spans="1:9" x14ac:dyDescent="0.2">
      <c r="A4344" s="2">
        <v>10</v>
      </c>
      <c r="B4344" s="1" t="s">
        <v>370</v>
      </c>
      <c r="C4344" s="4">
        <v>2</v>
      </c>
      <c r="D4344" s="8">
        <v>2.13</v>
      </c>
      <c r="E4344" s="4">
        <v>0</v>
      </c>
      <c r="F4344" s="8">
        <v>0</v>
      </c>
      <c r="G4344" s="4">
        <v>0</v>
      </c>
      <c r="H4344" s="8">
        <v>0</v>
      </c>
      <c r="I4344" s="4">
        <v>0</v>
      </c>
    </row>
    <row r="4345" spans="1:9" x14ac:dyDescent="0.2">
      <c r="A4345" s="2">
        <v>10</v>
      </c>
      <c r="B4345" s="1" t="s">
        <v>371</v>
      </c>
      <c r="C4345" s="4">
        <v>2</v>
      </c>
      <c r="D4345" s="8">
        <v>2.13</v>
      </c>
      <c r="E4345" s="4">
        <v>1</v>
      </c>
      <c r="F4345" s="8">
        <v>1.82</v>
      </c>
      <c r="G4345" s="4">
        <v>1</v>
      </c>
      <c r="H4345" s="8">
        <v>2.86</v>
      </c>
      <c r="I4345" s="4">
        <v>0</v>
      </c>
    </row>
    <row r="4346" spans="1:9" x14ac:dyDescent="0.2">
      <c r="A4346" s="1"/>
      <c r="C4346" s="4"/>
      <c r="D4346" s="8"/>
      <c r="E4346" s="4"/>
      <c r="F4346" s="8"/>
      <c r="G4346" s="4"/>
      <c r="H4346" s="8"/>
      <c r="I4346" s="4"/>
    </row>
    <row r="4347" spans="1:9" x14ac:dyDescent="0.2">
      <c r="A4347" s="1" t="s">
        <v>144</v>
      </c>
      <c r="C4347" s="4"/>
      <c r="D4347" s="8"/>
      <c r="E4347" s="4"/>
      <c r="F4347" s="8"/>
      <c r="G4347" s="4"/>
      <c r="H4347" s="8"/>
      <c r="I4347" s="4"/>
    </row>
    <row r="4348" spans="1:9" x14ac:dyDescent="0.2">
      <c r="A4348" s="2">
        <v>1</v>
      </c>
      <c r="B4348" s="1" t="s">
        <v>325</v>
      </c>
      <c r="C4348" s="4">
        <v>3</v>
      </c>
      <c r="D4348" s="8">
        <v>7.14</v>
      </c>
      <c r="E4348" s="4">
        <v>0</v>
      </c>
      <c r="F4348" s="8">
        <v>0</v>
      </c>
      <c r="G4348" s="4">
        <v>3</v>
      </c>
      <c r="H4348" s="8">
        <v>37.5</v>
      </c>
      <c r="I4348" s="4">
        <v>0</v>
      </c>
    </row>
    <row r="4349" spans="1:9" x14ac:dyDescent="0.2">
      <c r="A4349" s="2">
        <v>1</v>
      </c>
      <c r="B4349" s="1" t="s">
        <v>368</v>
      </c>
      <c r="C4349" s="4">
        <v>3</v>
      </c>
      <c r="D4349" s="8">
        <v>7.14</v>
      </c>
      <c r="E4349" s="4">
        <v>0</v>
      </c>
      <c r="F4349" s="8">
        <v>0</v>
      </c>
      <c r="G4349" s="4">
        <v>0</v>
      </c>
      <c r="H4349" s="8">
        <v>0</v>
      </c>
      <c r="I4349" s="4">
        <v>0</v>
      </c>
    </row>
    <row r="4350" spans="1:9" x14ac:dyDescent="0.2">
      <c r="A4350" s="2">
        <v>1</v>
      </c>
      <c r="B4350" s="1" t="s">
        <v>459</v>
      </c>
      <c r="C4350" s="4">
        <v>3</v>
      </c>
      <c r="D4350" s="8">
        <v>7.14</v>
      </c>
      <c r="E4350" s="4">
        <v>0</v>
      </c>
      <c r="F4350" s="8">
        <v>0</v>
      </c>
      <c r="G4350" s="4">
        <v>0</v>
      </c>
      <c r="H4350" s="8">
        <v>0</v>
      </c>
      <c r="I4350" s="4">
        <v>0</v>
      </c>
    </row>
    <row r="4351" spans="1:9" x14ac:dyDescent="0.2">
      <c r="A4351" s="2">
        <v>4</v>
      </c>
      <c r="B4351" s="1" t="s">
        <v>292</v>
      </c>
      <c r="C4351" s="4">
        <v>2</v>
      </c>
      <c r="D4351" s="8">
        <v>4.76</v>
      </c>
      <c r="E4351" s="4">
        <v>2</v>
      </c>
      <c r="F4351" s="8">
        <v>9.09</v>
      </c>
      <c r="G4351" s="4">
        <v>0</v>
      </c>
      <c r="H4351" s="8">
        <v>0</v>
      </c>
      <c r="I4351" s="4">
        <v>0</v>
      </c>
    </row>
    <row r="4352" spans="1:9" x14ac:dyDescent="0.2">
      <c r="A4352" s="2">
        <v>4</v>
      </c>
      <c r="B4352" s="1" t="s">
        <v>330</v>
      </c>
      <c r="C4352" s="4">
        <v>2</v>
      </c>
      <c r="D4352" s="8">
        <v>4.76</v>
      </c>
      <c r="E4352" s="4">
        <v>2</v>
      </c>
      <c r="F4352" s="8">
        <v>9.09</v>
      </c>
      <c r="G4352" s="4">
        <v>0</v>
      </c>
      <c r="H4352" s="8">
        <v>0</v>
      </c>
      <c r="I4352" s="4">
        <v>0</v>
      </c>
    </row>
    <row r="4353" spans="1:9" x14ac:dyDescent="0.2">
      <c r="A4353" s="2">
        <v>4</v>
      </c>
      <c r="B4353" s="1" t="s">
        <v>302</v>
      </c>
      <c r="C4353" s="4">
        <v>2</v>
      </c>
      <c r="D4353" s="8">
        <v>4.76</v>
      </c>
      <c r="E4353" s="4">
        <v>2</v>
      </c>
      <c r="F4353" s="8">
        <v>9.09</v>
      </c>
      <c r="G4353" s="4">
        <v>0</v>
      </c>
      <c r="H4353" s="8">
        <v>0</v>
      </c>
      <c r="I4353" s="4">
        <v>0</v>
      </c>
    </row>
    <row r="4354" spans="1:9" x14ac:dyDescent="0.2">
      <c r="A4354" s="2">
        <v>4</v>
      </c>
      <c r="B4354" s="1" t="s">
        <v>303</v>
      </c>
      <c r="C4354" s="4">
        <v>2</v>
      </c>
      <c r="D4354" s="8">
        <v>4.76</v>
      </c>
      <c r="E4354" s="4">
        <v>2</v>
      </c>
      <c r="F4354" s="8">
        <v>9.09</v>
      </c>
      <c r="G4354" s="4">
        <v>0</v>
      </c>
      <c r="H4354" s="8">
        <v>0</v>
      </c>
      <c r="I4354" s="4">
        <v>0</v>
      </c>
    </row>
    <row r="4355" spans="1:9" x14ac:dyDescent="0.2">
      <c r="A4355" s="2">
        <v>4</v>
      </c>
      <c r="B4355" s="1" t="s">
        <v>331</v>
      </c>
      <c r="C4355" s="4">
        <v>2</v>
      </c>
      <c r="D4355" s="8">
        <v>4.76</v>
      </c>
      <c r="E4355" s="4">
        <v>0</v>
      </c>
      <c r="F4355" s="8">
        <v>0</v>
      </c>
      <c r="G4355" s="4">
        <v>2</v>
      </c>
      <c r="H4355" s="8">
        <v>25</v>
      </c>
      <c r="I4355" s="4">
        <v>0</v>
      </c>
    </row>
    <row r="4356" spans="1:9" x14ac:dyDescent="0.2">
      <c r="A4356" s="2">
        <v>9</v>
      </c>
      <c r="B4356" s="1" t="s">
        <v>343</v>
      </c>
      <c r="C4356" s="4">
        <v>1</v>
      </c>
      <c r="D4356" s="8">
        <v>2.38</v>
      </c>
      <c r="E4356" s="4">
        <v>1</v>
      </c>
      <c r="F4356" s="8">
        <v>4.55</v>
      </c>
      <c r="G4356" s="4">
        <v>0</v>
      </c>
      <c r="H4356" s="8">
        <v>0</v>
      </c>
      <c r="I4356" s="4">
        <v>0</v>
      </c>
    </row>
    <row r="4357" spans="1:9" x14ac:dyDescent="0.2">
      <c r="A4357" s="2">
        <v>9</v>
      </c>
      <c r="B4357" s="1" t="s">
        <v>290</v>
      </c>
      <c r="C4357" s="4">
        <v>1</v>
      </c>
      <c r="D4357" s="8">
        <v>2.38</v>
      </c>
      <c r="E4357" s="4">
        <v>1</v>
      </c>
      <c r="F4357" s="8">
        <v>4.55</v>
      </c>
      <c r="G4357" s="4">
        <v>0</v>
      </c>
      <c r="H4357" s="8">
        <v>0</v>
      </c>
      <c r="I4357" s="4">
        <v>0</v>
      </c>
    </row>
    <row r="4358" spans="1:9" x14ac:dyDescent="0.2">
      <c r="A4358" s="2">
        <v>9</v>
      </c>
      <c r="B4358" s="1" t="s">
        <v>291</v>
      </c>
      <c r="C4358" s="4">
        <v>1</v>
      </c>
      <c r="D4358" s="8">
        <v>2.38</v>
      </c>
      <c r="E4358" s="4">
        <v>1</v>
      </c>
      <c r="F4358" s="8">
        <v>4.55</v>
      </c>
      <c r="G4358" s="4">
        <v>0</v>
      </c>
      <c r="H4358" s="8">
        <v>0</v>
      </c>
      <c r="I4358" s="4">
        <v>0</v>
      </c>
    </row>
    <row r="4359" spans="1:9" x14ac:dyDescent="0.2">
      <c r="A4359" s="2">
        <v>9</v>
      </c>
      <c r="B4359" s="1" t="s">
        <v>413</v>
      </c>
      <c r="C4359" s="4">
        <v>1</v>
      </c>
      <c r="D4359" s="8">
        <v>2.38</v>
      </c>
      <c r="E4359" s="4">
        <v>1</v>
      </c>
      <c r="F4359" s="8">
        <v>4.55</v>
      </c>
      <c r="G4359" s="4">
        <v>0</v>
      </c>
      <c r="H4359" s="8">
        <v>0</v>
      </c>
      <c r="I4359" s="4">
        <v>0</v>
      </c>
    </row>
    <row r="4360" spans="1:9" x14ac:dyDescent="0.2">
      <c r="A4360" s="2">
        <v>9</v>
      </c>
      <c r="B4360" s="1" t="s">
        <v>359</v>
      </c>
      <c r="C4360" s="4">
        <v>1</v>
      </c>
      <c r="D4360" s="8">
        <v>2.38</v>
      </c>
      <c r="E4360" s="4">
        <v>1</v>
      </c>
      <c r="F4360" s="8">
        <v>4.55</v>
      </c>
      <c r="G4360" s="4">
        <v>0</v>
      </c>
      <c r="H4360" s="8">
        <v>0</v>
      </c>
      <c r="I4360" s="4">
        <v>0</v>
      </c>
    </row>
    <row r="4361" spans="1:9" x14ac:dyDescent="0.2">
      <c r="A4361" s="2">
        <v>9</v>
      </c>
      <c r="B4361" s="1" t="s">
        <v>387</v>
      </c>
      <c r="C4361" s="4">
        <v>1</v>
      </c>
      <c r="D4361" s="8">
        <v>2.38</v>
      </c>
      <c r="E4361" s="4">
        <v>0</v>
      </c>
      <c r="F4361" s="8">
        <v>0</v>
      </c>
      <c r="G4361" s="4">
        <v>1</v>
      </c>
      <c r="H4361" s="8">
        <v>12.5</v>
      </c>
      <c r="I4361" s="4">
        <v>0</v>
      </c>
    </row>
    <row r="4362" spans="1:9" x14ac:dyDescent="0.2">
      <c r="A4362" s="2">
        <v>9</v>
      </c>
      <c r="B4362" s="1" t="s">
        <v>361</v>
      </c>
      <c r="C4362" s="4">
        <v>1</v>
      </c>
      <c r="D4362" s="8">
        <v>2.38</v>
      </c>
      <c r="E4362" s="4">
        <v>0</v>
      </c>
      <c r="F4362" s="8">
        <v>0</v>
      </c>
      <c r="G4362" s="4">
        <v>0</v>
      </c>
      <c r="H4362" s="8">
        <v>0</v>
      </c>
      <c r="I4362" s="4">
        <v>0</v>
      </c>
    </row>
    <row r="4363" spans="1:9" x14ac:dyDescent="0.2">
      <c r="A4363" s="2">
        <v>9</v>
      </c>
      <c r="B4363" s="1" t="s">
        <v>509</v>
      </c>
      <c r="C4363" s="4">
        <v>1</v>
      </c>
      <c r="D4363" s="8">
        <v>2.38</v>
      </c>
      <c r="E4363" s="4">
        <v>0</v>
      </c>
      <c r="F4363" s="8">
        <v>0</v>
      </c>
      <c r="G4363" s="4">
        <v>0</v>
      </c>
      <c r="H4363" s="8">
        <v>0</v>
      </c>
      <c r="I4363" s="4">
        <v>0</v>
      </c>
    </row>
    <row r="4364" spans="1:9" x14ac:dyDescent="0.2">
      <c r="A4364" s="2">
        <v>9</v>
      </c>
      <c r="B4364" s="1" t="s">
        <v>364</v>
      </c>
      <c r="C4364" s="4">
        <v>1</v>
      </c>
      <c r="D4364" s="8">
        <v>2.38</v>
      </c>
      <c r="E4364" s="4">
        <v>0</v>
      </c>
      <c r="F4364" s="8">
        <v>0</v>
      </c>
      <c r="G4364" s="4">
        <v>0</v>
      </c>
      <c r="H4364" s="8">
        <v>0</v>
      </c>
      <c r="I4364" s="4">
        <v>0</v>
      </c>
    </row>
    <row r="4365" spans="1:9" x14ac:dyDescent="0.2">
      <c r="A4365" s="2">
        <v>9</v>
      </c>
      <c r="B4365" s="1" t="s">
        <v>452</v>
      </c>
      <c r="C4365" s="4">
        <v>1</v>
      </c>
      <c r="D4365" s="8">
        <v>2.38</v>
      </c>
      <c r="E4365" s="4">
        <v>0</v>
      </c>
      <c r="F4365" s="8">
        <v>0</v>
      </c>
      <c r="G4365" s="4">
        <v>1</v>
      </c>
      <c r="H4365" s="8">
        <v>12.5</v>
      </c>
      <c r="I4365" s="4">
        <v>0</v>
      </c>
    </row>
    <row r="4366" spans="1:9" x14ac:dyDescent="0.2">
      <c r="A4366" s="2">
        <v>9</v>
      </c>
      <c r="B4366" s="1" t="s">
        <v>314</v>
      </c>
      <c r="C4366" s="4">
        <v>1</v>
      </c>
      <c r="D4366" s="8">
        <v>2.38</v>
      </c>
      <c r="E4366" s="4">
        <v>1</v>
      </c>
      <c r="F4366" s="8">
        <v>4.55</v>
      </c>
      <c r="G4366" s="4">
        <v>0</v>
      </c>
      <c r="H4366" s="8">
        <v>0</v>
      </c>
      <c r="I4366" s="4">
        <v>0</v>
      </c>
    </row>
    <row r="4367" spans="1:9" x14ac:dyDescent="0.2">
      <c r="A4367" s="2">
        <v>9</v>
      </c>
      <c r="B4367" s="1" t="s">
        <v>332</v>
      </c>
      <c r="C4367" s="4">
        <v>1</v>
      </c>
      <c r="D4367" s="8">
        <v>2.38</v>
      </c>
      <c r="E4367" s="4">
        <v>1</v>
      </c>
      <c r="F4367" s="8">
        <v>4.55</v>
      </c>
      <c r="G4367" s="4">
        <v>0</v>
      </c>
      <c r="H4367" s="8">
        <v>0</v>
      </c>
      <c r="I4367" s="4">
        <v>0</v>
      </c>
    </row>
    <row r="4368" spans="1:9" x14ac:dyDescent="0.2">
      <c r="A4368" s="2">
        <v>9</v>
      </c>
      <c r="B4368" s="1" t="s">
        <v>401</v>
      </c>
      <c r="C4368" s="4">
        <v>1</v>
      </c>
      <c r="D4368" s="8">
        <v>2.38</v>
      </c>
      <c r="E4368" s="4">
        <v>1</v>
      </c>
      <c r="F4368" s="8">
        <v>4.55</v>
      </c>
      <c r="G4368" s="4">
        <v>0</v>
      </c>
      <c r="H4368" s="8">
        <v>0</v>
      </c>
      <c r="I4368" s="4">
        <v>0</v>
      </c>
    </row>
    <row r="4369" spans="1:9" x14ac:dyDescent="0.2">
      <c r="A4369" s="2">
        <v>9</v>
      </c>
      <c r="B4369" s="1" t="s">
        <v>337</v>
      </c>
      <c r="C4369" s="4">
        <v>1</v>
      </c>
      <c r="D4369" s="8">
        <v>2.38</v>
      </c>
      <c r="E4369" s="4">
        <v>1</v>
      </c>
      <c r="F4369" s="8">
        <v>4.55</v>
      </c>
      <c r="G4369" s="4">
        <v>0</v>
      </c>
      <c r="H4369" s="8">
        <v>0</v>
      </c>
      <c r="I4369" s="4">
        <v>0</v>
      </c>
    </row>
    <row r="4370" spans="1:9" x14ac:dyDescent="0.2">
      <c r="A4370" s="2">
        <v>9</v>
      </c>
      <c r="B4370" s="1" t="s">
        <v>495</v>
      </c>
      <c r="C4370" s="4">
        <v>1</v>
      </c>
      <c r="D4370" s="8">
        <v>2.38</v>
      </c>
      <c r="E4370" s="4">
        <v>0</v>
      </c>
      <c r="F4370" s="8">
        <v>0</v>
      </c>
      <c r="G4370" s="4">
        <v>1</v>
      </c>
      <c r="H4370" s="8">
        <v>12.5</v>
      </c>
      <c r="I4370" s="4">
        <v>0</v>
      </c>
    </row>
    <row r="4371" spans="1:9" x14ac:dyDescent="0.2">
      <c r="A4371" s="2">
        <v>9</v>
      </c>
      <c r="B4371" s="1" t="s">
        <v>482</v>
      </c>
      <c r="C4371" s="4">
        <v>1</v>
      </c>
      <c r="D4371" s="8">
        <v>2.38</v>
      </c>
      <c r="E4371" s="4">
        <v>1</v>
      </c>
      <c r="F4371" s="8">
        <v>4.55</v>
      </c>
      <c r="G4371" s="4">
        <v>0</v>
      </c>
      <c r="H4371" s="8">
        <v>0</v>
      </c>
      <c r="I4371" s="4">
        <v>0</v>
      </c>
    </row>
    <row r="4372" spans="1:9" x14ac:dyDescent="0.2">
      <c r="A4372" s="2">
        <v>9</v>
      </c>
      <c r="B4372" s="1" t="s">
        <v>339</v>
      </c>
      <c r="C4372" s="4">
        <v>1</v>
      </c>
      <c r="D4372" s="8">
        <v>2.38</v>
      </c>
      <c r="E4372" s="4">
        <v>1</v>
      </c>
      <c r="F4372" s="8">
        <v>4.55</v>
      </c>
      <c r="G4372" s="4">
        <v>0</v>
      </c>
      <c r="H4372" s="8">
        <v>0</v>
      </c>
      <c r="I4372" s="4">
        <v>0</v>
      </c>
    </row>
    <row r="4373" spans="1:9" x14ac:dyDescent="0.2">
      <c r="A4373" s="2">
        <v>9</v>
      </c>
      <c r="B4373" s="1" t="s">
        <v>300</v>
      </c>
      <c r="C4373" s="4">
        <v>1</v>
      </c>
      <c r="D4373" s="8">
        <v>2.38</v>
      </c>
      <c r="E4373" s="4">
        <v>1</v>
      </c>
      <c r="F4373" s="8">
        <v>4.55</v>
      </c>
      <c r="G4373" s="4">
        <v>0</v>
      </c>
      <c r="H4373" s="8">
        <v>0</v>
      </c>
      <c r="I4373" s="4">
        <v>0</v>
      </c>
    </row>
    <row r="4374" spans="1:9" x14ac:dyDescent="0.2">
      <c r="A4374" s="2">
        <v>9</v>
      </c>
      <c r="B4374" s="1" t="s">
        <v>340</v>
      </c>
      <c r="C4374" s="4">
        <v>1</v>
      </c>
      <c r="D4374" s="8">
        <v>2.38</v>
      </c>
      <c r="E4374" s="4">
        <v>0</v>
      </c>
      <c r="F4374" s="8">
        <v>0</v>
      </c>
      <c r="G4374" s="4">
        <v>0</v>
      </c>
      <c r="H4374" s="8">
        <v>0</v>
      </c>
      <c r="I4374" s="4">
        <v>0</v>
      </c>
    </row>
    <row r="4375" spans="1:9" x14ac:dyDescent="0.2">
      <c r="A4375" s="2">
        <v>9</v>
      </c>
      <c r="B4375" s="1" t="s">
        <v>305</v>
      </c>
      <c r="C4375" s="4">
        <v>1</v>
      </c>
      <c r="D4375" s="8">
        <v>2.38</v>
      </c>
      <c r="E4375" s="4">
        <v>1</v>
      </c>
      <c r="F4375" s="8">
        <v>4.55</v>
      </c>
      <c r="G4375" s="4">
        <v>0</v>
      </c>
      <c r="H4375" s="8">
        <v>0</v>
      </c>
      <c r="I4375" s="4">
        <v>0</v>
      </c>
    </row>
    <row r="4376" spans="1:9" x14ac:dyDescent="0.2">
      <c r="A4376" s="2">
        <v>9</v>
      </c>
      <c r="B4376" s="1" t="s">
        <v>312</v>
      </c>
      <c r="C4376" s="4">
        <v>1</v>
      </c>
      <c r="D4376" s="8">
        <v>2.38</v>
      </c>
      <c r="E4376" s="4">
        <v>1</v>
      </c>
      <c r="F4376" s="8">
        <v>4.55</v>
      </c>
      <c r="G4376" s="4">
        <v>0</v>
      </c>
      <c r="H4376" s="8">
        <v>0</v>
      </c>
      <c r="I4376" s="4">
        <v>0</v>
      </c>
    </row>
    <row r="4377" spans="1:9" x14ac:dyDescent="0.2">
      <c r="A4377" s="2">
        <v>9</v>
      </c>
      <c r="B4377" s="1" t="s">
        <v>370</v>
      </c>
      <c r="C4377" s="4">
        <v>1</v>
      </c>
      <c r="D4377" s="8">
        <v>2.38</v>
      </c>
      <c r="E4377" s="4">
        <v>0</v>
      </c>
      <c r="F4377" s="8">
        <v>0</v>
      </c>
      <c r="G4377" s="4">
        <v>0</v>
      </c>
      <c r="H4377" s="8">
        <v>0</v>
      </c>
      <c r="I4377" s="4">
        <v>0</v>
      </c>
    </row>
    <row r="4378" spans="1:9" x14ac:dyDescent="0.2">
      <c r="A4378" s="2">
        <v>9</v>
      </c>
      <c r="B4378" s="1" t="s">
        <v>345</v>
      </c>
      <c r="C4378" s="4">
        <v>1</v>
      </c>
      <c r="D4378" s="8">
        <v>2.38</v>
      </c>
      <c r="E4378" s="4">
        <v>0</v>
      </c>
      <c r="F4378" s="8">
        <v>0</v>
      </c>
      <c r="G4378" s="4">
        <v>0</v>
      </c>
      <c r="H4378" s="8">
        <v>0</v>
      </c>
      <c r="I4378" s="4">
        <v>0</v>
      </c>
    </row>
    <row r="4379" spans="1:9" x14ac:dyDescent="0.2">
      <c r="A4379" s="1"/>
      <c r="C4379" s="4"/>
      <c r="D4379" s="8"/>
      <c r="E4379" s="4"/>
      <c r="F4379" s="8"/>
      <c r="G4379" s="4"/>
      <c r="H4379" s="8"/>
      <c r="I4379" s="4"/>
    </row>
    <row r="4380" spans="1:9" x14ac:dyDescent="0.2">
      <c r="A4380" s="1" t="s">
        <v>145</v>
      </c>
      <c r="C4380" s="4"/>
      <c r="D4380" s="8"/>
      <c r="E4380" s="4"/>
      <c r="F4380" s="8"/>
      <c r="G4380" s="4"/>
      <c r="H4380" s="8"/>
      <c r="I4380" s="4"/>
    </row>
    <row r="4381" spans="1:9" x14ac:dyDescent="0.2">
      <c r="A4381" s="2">
        <v>1</v>
      </c>
      <c r="B4381" s="1" t="s">
        <v>301</v>
      </c>
      <c r="C4381" s="4">
        <v>10</v>
      </c>
      <c r="D4381" s="8">
        <v>8.1300000000000008</v>
      </c>
      <c r="E4381" s="4">
        <v>10</v>
      </c>
      <c r="F4381" s="8">
        <v>12.66</v>
      </c>
      <c r="G4381" s="4">
        <v>0</v>
      </c>
      <c r="H4381" s="8">
        <v>0</v>
      </c>
      <c r="I4381" s="4">
        <v>0</v>
      </c>
    </row>
    <row r="4382" spans="1:9" x14ac:dyDescent="0.2">
      <c r="A4382" s="2">
        <v>2</v>
      </c>
      <c r="B4382" s="1" t="s">
        <v>304</v>
      </c>
      <c r="C4382" s="4">
        <v>9</v>
      </c>
      <c r="D4382" s="8">
        <v>7.32</v>
      </c>
      <c r="E4382" s="4">
        <v>9</v>
      </c>
      <c r="F4382" s="8">
        <v>11.39</v>
      </c>
      <c r="G4382" s="4">
        <v>0</v>
      </c>
      <c r="H4382" s="8">
        <v>0</v>
      </c>
      <c r="I4382" s="4">
        <v>0</v>
      </c>
    </row>
    <row r="4383" spans="1:9" x14ac:dyDescent="0.2">
      <c r="A4383" s="2">
        <v>3</v>
      </c>
      <c r="B4383" s="1" t="s">
        <v>303</v>
      </c>
      <c r="C4383" s="4">
        <v>6</v>
      </c>
      <c r="D4383" s="8">
        <v>4.88</v>
      </c>
      <c r="E4383" s="4">
        <v>6</v>
      </c>
      <c r="F4383" s="8">
        <v>7.59</v>
      </c>
      <c r="G4383" s="4">
        <v>0</v>
      </c>
      <c r="H4383" s="8">
        <v>0</v>
      </c>
      <c r="I4383" s="4">
        <v>0</v>
      </c>
    </row>
    <row r="4384" spans="1:9" x14ac:dyDescent="0.2">
      <c r="A4384" s="2">
        <v>4</v>
      </c>
      <c r="B4384" s="1" t="s">
        <v>342</v>
      </c>
      <c r="C4384" s="4">
        <v>4</v>
      </c>
      <c r="D4384" s="8">
        <v>3.25</v>
      </c>
      <c r="E4384" s="4">
        <v>1</v>
      </c>
      <c r="F4384" s="8">
        <v>1.27</v>
      </c>
      <c r="G4384" s="4">
        <v>3</v>
      </c>
      <c r="H4384" s="8">
        <v>7.5</v>
      </c>
      <c r="I4384" s="4">
        <v>0</v>
      </c>
    </row>
    <row r="4385" spans="1:9" x14ac:dyDescent="0.2">
      <c r="A4385" s="2">
        <v>4</v>
      </c>
      <c r="B4385" s="1" t="s">
        <v>330</v>
      </c>
      <c r="C4385" s="4">
        <v>4</v>
      </c>
      <c r="D4385" s="8">
        <v>3.25</v>
      </c>
      <c r="E4385" s="4">
        <v>1</v>
      </c>
      <c r="F4385" s="8">
        <v>1.27</v>
      </c>
      <c r="G4385" s="4">
        <v>3</v>
      </c>
      <c r="H4385" s="8">
        <v>7.5</v>
      </c>
      <c r="I4385" s="4">
        <v>0</v>
      </c>
    </row>
    <row r="4386" spans="1:9" x14ac:dyDescent="0.2">
      <c r="A4386" s="2">
        <v>4</v>
      </c>
      <c r="B4386" s="1" t="s">
        <v>299</v>
      </c>
      <c r="C4386" s="4">
        <v>4</v>
      </c>
      <c r="D4386" s="8">
        <v>3.25</v>
      </c>
      <c r="E4386" s="4">
        <v>3</v>
      </c>
      <c r="F4386" s="8">
        <v>3.8</v>
      </c>
      <c r="G4386" s="4">
        <v>1</v>
      </c>
      <c r="H4386" s="8">
        <v>2.5</v>
      </c>
      <c r="I4386" s="4">
        <v>0</v>
      </c>
    </row>
    <row r="4387" spans="1:9" x14ac:dyDescent="0.2">
      <c r="A4387" s="2">
        <v>4</v>
      </c>
      <c r="B4387" s="1" t="s">
        <v>300</v>
      </c>
      <c r="C4387" s="4">
        <v>4</v>
      </c>
      <c r="D4387" s="8">
        <v>3.25</v>
      </c>
      <c r="E4387" s="4">
        <v>4</v>
      </c>
      <c r="F4387" s="8">
        <v>5.0599999999999996</v>
      </c>
      <c r="G4387" s="4">
        <v>0</v>
      </c>
      <c r="H4387" s="8">
        <v>0</v>
      </c>
      <c r="I4387" s="4">
        <v>0</v>
      </c>
    </row>
    <row r="4388" spans="1:9" x14ac:dyDescent="0.2">
      <c r="A4388" s="2">
        <v>4</v>
      </c>
      <c r="B4388" s="1" t="s">
        <v>307</v>
      </c>
      <c r="C4388" s="4">
        <v>4</v>
      </c>
      <c r="D4388" s="8">
        <v>3.25</v>
      </c>
      <c r="E4388" s="4">
        <v>4</v>
      </c>
      <c r="F4388" s="8">
        <v>5.0599999999999996</v>
      </c>
      <c r="G4388" s="4">
        <v>0</v>
      </c>
      <c r="H4388" s="8">
        <v>0</v>
      </c>
      <c r="I4388" s="4">
        <v>0</v>
      </c>
    </row>
    <row r="4389" spans="1:9" x14ac:dyDescent="0.2">
      <c r="A4389" s="2">
        <v>9</v>
      </c>
      <c r="B4389" s="1" t="s">
        <v>357</v>
      </c>
      <c r="C4389" s="4">
        <v>3</v>
      </c>
      <c r="D4389" s="8">
        <v>2.44</v>
      </c>
      <c r="E4389" s="4">
        <v>2</v>
      </c>
      <c r="F4389" s="8">
        <v>2.5299999999999998</v>
      </c>
      <c r="G4389" s="4">
        <v>1</v>
      </c>
      <c r="H4389" s="8">
        <v>2.5</v>
      </c>
      <c r="I4389" s="4">
        <v>0</v>
      </c>
    </row>
    <row r="4390" spans="1:9" x14ac:dyDescent="0.2">
      <c r="A4390" s="2">
        <v>9</v>
      </c>
      <c r="B4390" s="1" t="s">
        <v>294</v>
      </c>
      <c r="C4390" s="4">
        <v>3</v>
      </c>
      <c r="D4390" s="8">
        <v>2.44</v>
      </c>
      <c r="E4390" s="4">
        <v>1</v>
      </c>
      <c r="F4390" s="8">
        <v>1.27</v>
      </c>
      <c r="G4390" s="4">
        <v>2</v>
      </c>
      <c r="H4390" s="8">
        <v>5</v>
      </c>
      <c r="I4390" s="4">
        <v>0</v>
      </c>
    </row>
    <row r="4391" spans="1:9" x14ac:dyDescent="0.2">
      <c r="A4391" s="2">
        <v>9</v>
      </c>
      <c r="B4391" s="1" t="s">
        <v>334</v>
      </c>
      <c r="C4391" s="4">
        <v>3</v>
      </c>
      <c r="D4391" s="8">
        <v>2.44</v>
      </c>
      <c r="E4391" s="4">
        <v>3</v>
      </c>
      <c r="F4391" s="8">
        <v>3.8</v>
      </c>
      <c r="G4391" s="4">
        <v>0</v>
      </c>
      <c r="H4391" s="8">
        <v>0</v>
      </c>
      <c r="I4391" s="4">
        <v>0</v>
      </c>
    </row>
    <row r="4392" spans="1:9" x14ac:dyDescent="0.2">
      <c r="A4392" s="2">
        <v>12</v>
      </c>
      <c r="B4392" s="1" t="s">
        <v>328</v>
      </c>
      <c r="C4392" s="4">
        <v>2</v>
      </c>
      <c r="D4392" s="8">
        <v>1.63</v>
      </c>
      <c r="E4392" s="4">
        <v>1</v>
      </c>
      <c r="F4392" s="8">
        <v>1.27</v>
      </c>
      <c r="G4392" s="4">
        <v>1</v>
      </c>
      <c r="H4392" s="8">
        <v>2.5</v>
      </c>
      <c r="I4392" s="4">
        <v>0</v>
      </c>
    </row>
    <row r="4393" spans="1:9" x14ac:dyDescent="0.2">
      <c r="A4393" s="2">
        <v>12</v>
      </c>
      <c r="B4393" s="1" t="s">
        <v>353</v>
      </c>
      <c r="C4393" s="4">
        <v>2</v>
      </c>
      <c r="D4393" s="8">
        <v>1.63</v>
      </c>
      <c r="E4393" s="4">
        <v>2</v>
      </c>
      <c r="F4393" s="8">
        <v>2.5299999999999998</v>
      </c>
      <c r="G4393" s="4">
        <v>0</v>
      </c>
      <c r="H4393" s="8">
        <v>0</v>
      </c>
      <c r="I4393" s="4">
        <v>0</v>
      </c>
    </row>
    <row r="4394" spans="1:9" x14ac:dyDescent="0.2">
      <c r="A4394" s="2">
        <v>12</v>
      </c>
      <c r="B4394" s="1" t="s">
        <v>333</v>
      </c>
      <c r="C4394" s="4">
        <v>2</v>
      </c>
      <c r="D4394" s="8">
        <v>1.63</v>
      </c>
      <c r="E4394" s="4">
        <v>1</v>
      </c>
      <c r="F4394" s="8">
        <v>1.27</v>
      </c>
      <c r="G4394" s="4">
        <v>1</v>
      </c>
      <c r="H4394" s="8">
        <v>2.5</v>
      </c>
      <c r="I4394" s="4">
        <v>0</v>
      </c>
    </row>
    <row r="4395" spans="1:9" x14ac:dyDescent="0.2">
      <c r="A4395" s="2">
        <v>12</v>
      </c>
      <c r="B4395" s="1" t="s">
        <v>324</v>
      </c>
      <c r="C4395" s="4">
        <v>2</v>
      </c>
      <c r="D4395" s="8">
        <v>1.63</v>
      </c>
      <c r="E4395" s="4">
        <v>0</v>
      </c>
      <c r="F4395" s="8">
        <v>0</v>
      </c>
      <c r="G4395" s="4">
        <v>2</v>
      </c>
      <c r="H4395" s="8">
        <v>5</v>
      </c>
      <c r="I4395" s="4">
        <v>0</v>
      </c>
    </row>
    <row r="4396" spans="1:9" x14ac:dyDescent="0.2">
      <c r="A4396" s="2">
        <v>12</v>
      </c>
      <c r="B4396" s="1" t="s">
        <v>314</v>
      </c>
      <c r="C4396" s="4">
        <v>2</v>
      </c>
      <c r="D4396" s="8">
        <v>1.63</v>
      </c>
      <c r="E4396" s="4">
        <v>0</v>
      </c>
      <c r="F4396" s="8">
        <v>0</v>
      </c>
      <c r="G4396" s="4">
        <v>2</v>
      </c>
      <c r="H4396" s="8">
        <v>5</v>
      </c>
      <c r="I4396" s="4">
        <v>0</v>
      </c>
    </row>
    <row r="4397" spans="1:9" x14ac:dyDescent="0.2">
      <c r="A4397" s="2">
        <v>12</v>
      </c>
      <c r="B4397" s="1" t="s">
        <v>336</v>
      </c>
      <c r="C4397" s="4">
        <v>2</v>
      </c>
      <c r="D4397" s="8">
        <v>1.63</v>
      </c>
      <c r="E4397" s="4">
        <v>1</v>
      </c>
      <c r="F4397" s="8">
        <v>1.27</v>
      </c>
      <c r="G4397" s="4">
        <v>1</v>
      </c>
      <c r="H4397" s="8">
        <v>2.5</v>
      </c>
      <c r="I4397" s="4">
        <v>0</v>
      </c>
    </row>
    <row r="4398" spans="1:9" x14ac:dyDescent="0.2">
      <c r="A4398" s="2">
        <v>12</v>
      </c>
      <c r="B4398" s="1" t="s">
        <v>329</v>
      </c>
      <c r="C4398" s="4">
        <v>2</v>
      </c>
      <c r="D4398" s="8">
        <v>1.63</v>
      </c>
      <c r="E4398" s="4">
        <v>1</v>
      </c>
      <c r="F4398" s="8">
        <v>1.27</v>
      </c>
      <c r="G4398" s="4">
        <v>1</v>
      </c>
      <c r="H4398" s="8">
        <v>2.5</v>
      </c>
      <c r="I4398" s="4">
        <v>0</v>
      </c>
    </row>
    <row r="4399" spans="1:9" x14ac:dyDescent="0.2">
      <c r="A4399" s="2">
        <v>12</v>
      </c>
      <c r="B4399" s="1" t="s">
        <v>293</v>
      </c>
      <c r="C4399" s="4">
        <v>2</v>
      </c>
      <c r="D4399" s="8">
        <v>1.63</v>
      </c>
      <c r="E4399" s="4">
        <v>2</v>
      </c>
      <c r="F4399" s="8">
        <v>2.5299999999999998</v>
      </c>
      <c r="G4399" s="4">
        <v>0</v>
      </c>
      <c r="H4399" s="8">
        <v>0</v>
      </c>
      <c r="I4399" s="4">
        <v>0</v>
      </c>
    </row>
    <row r="4400" spans="1:9" x14ac:dyDescent="0.2">
      <c r="A4400" s="2">
        <v>12</v>
      </c>
      <c r="B4400" s="1" t="s">
        <v>335</v>
      </c>
      <c r="C4400" s="4">
        <v>2</v>
      </c>
      <c r="D4400" s="8">
        <v>1.63</v>
      </c>
      <c r="E4400" s="4">
        <v>2</v>
      </c>
      <c r="F4400" s="8">
        <v>2.5299999999999998</v>
      </c>
      <c r="G4400" s="4">
        <v>0</v>
      </c>
      <c r="H4400" s="8">
        <v>0</v>
      </c>
      <c r="I4400" s="4">
        <v>0</v>
      </c>
    </row>
    <row r="4401" spans="1:9" x14ac:dyDescent="0.2">
      <c r="A4401" s="2">
        <v>12</v>
      </c>
      <c r="B4401" s="1" t="s">
        <v>337</v>
      </c>
      <c r="C4401" s="4">
        <v>2</v>
      </c>
      <c r="D4401" s="8">
        <v>1.63</v>
      </c>
      <c r="E4401" s="4">
        <v>1</v>
      </c>
      <c r="F4401" s="8">
        <v>1.27</v>
      </c>
      <c r="G4401" s="4">
        <v>1</v>
      </c>
      <c r="H4401" s="8">
        <v>2.5</v>
      </c>
      <c r="I4401" s="4">
        <v>0</v>
      </c>
    </row>
    <row r="4402" spans="1:9" x14ac:dyDescent="0.2">
      <c r="A4402" s="2">
        <v>12</v>
      </c>
      <c r="B4402" s="1" t="s">
        <v>339</v>
      </c>
      <c r="C4402" s="4">
        <v>2</v>
      </c>
      <c r="D4402" s="8">
        <v>1.63</v>
      </c>
      <c r="E4402" s="4">
        <v>2</v>
      </c>
      <c r="F4402" s="8">
        <v>2.5299999999999998</v>
      </c>
      <c r="G4402" s="4">
        <v>0</v>
      </c>
      <c r="H4402" s="8">
        <v>0</v>
      </c>
      <c r="I4402" s="4">
        <v>0</v>
      </c>
    </row>
    <row r="4403" spans="1:9" x14ac:dyDescent="0.2">
      <c r="A4403" s="2">
        <v>12</v>
      </c>
      <c r="B4403" s="1" t="s">
        <v>419</v>
      </c>
      <c r="C4403" s="4">
        <v>2</v>
      </c>
      <c r="D4403" s="8">
        <v>1.63</v>
      </c>
      <c r="E4403" s="4">
        <v>2</v>
      </c>
      <c r="F4403" s="8">
        <v>2.5299999999999998</v>
      </c>
      <c r="G4403" s="4">
        <v>0</v>
      </c>
      <c r="H4403" s="8">
        <v>0</v>
      </c>
      <c r="I4403" s="4">
        <v>0</v>
      </c>
    </row>
    <row r="4404" spans="1:9" x14ac:dyDescent="0.2">
      <c r="A4404" s="2">
        <v>12</v>
      </c>
      <c r="B4404" s="1" t="s">
        <v>325</v>
      </c>
      <c r="C4404" s="4">
        <v>2</v>
      </c>
      <c r="D4404" s="8">
        <v>1.63</v>
      </c>
      <c r="E4404" s="4">
        <v>0</v>
      </c>
      <c r="F4404" s="8">
        <v>0</v>
      </c>
      <c r="G4404" s="4">
        <v>1</v>
      </c>
      <c r="H4404" s="8">
        <v>2.5</v>
      </c>
      <c r="I4404" s="4">
        <v>0</v>
      </c>
    </row>
    <row r="4405" spans="1:9" x14ac:dyDescent="0.2">
      <c r="A4405" s="2">
        <v>12</v>
      </c>
      <c r="B4405" s="1" t="s">
        <v>306</v>
      </c>
      <c r="C4405" s="4">
        <v>2</v>
      </c>
      <c r="D4405" s="8">
        <v>1.63</v>
      </c>
      <c r="E4405" s="4">
        <v>2</v>
      </c>
      <c r="F4405" s="8">
        <v>2.5299999999999998</v>
      </c>
      <c r="G4405" s="4">
        <v>0</v>
      </c>
      <c r="H4405" s="8">
        <v>0</v>
      </c>
      <c r="I4405" s="4">
        <v>0</v>
      </c>
    </row>
    <row r="4406" spans="1:9" x14ac:dyDescent="0.2">
      <c r="A4406" s="2">
        <v>12</v>
      </c>
      <c r="B4406" s="1" t="s">
        <v>371</v>
      </c>
      <c r="C4406" s="4">
        <v>2</v>
      </c>
      <c r="D4406" s="8">
        <v>1.63</v>
      </c>
      <c r="E4406" s="4">
        <v>2</v>
      </c>
      <c r="F4406" s="8">
        <v>2.5299999999999998</v>
      </c>
      <c r="G4406" s="4">
        <v>0</v>
      </c>
      <c r="H4406" s="8">
        <v>0</v>
      </c>
      <c r="I4406" s="4">
        <v>0</v>
      </c>
    </row>
    <row r="4407" spans="1:9" x14ac:dyDescent="0.2">
      <c r="A4407" s="1"/>
      <c r="C4407" s="4"/>
      <c r="D4407" s="8"/>
      <c r="E4407" s="4"/>
      <c r="F4407" s="8"/>
      <c r="G4407" s="4"/>
      <c r="H4407" s="8"/>
      <c r="I4407" s="4"/>
    </row>
    <row r="4408" spans="1:9" x14ac:dyDescent="0.2">
      <c r="A4408" s="1" t="s">
        <v>146</v>
      </c>
      <c r="C4408" s="4"/>
      <c r="D4408" s="8"/>
      <c r="E4408" s="4"/>
      <c r="F4408" s="8"/>
      <c r="G4408" s="4"/>
      <c r="H4408" s="8"/>
      <c r="I4408" s="4"/>
    </row>
    <row r="4409" spans="1:9" x14ac:dyDescent="0.2">
      <c r="A4409" s="2">
        <v>1</v>
      </c>
      <c r="B4409" s="1" t="s">
        <v>299</v>
      </c>
      <c r="C4409" s="4">
        <v>9</v>
      </c>
      <c r="D4409" s="8">
        <v>5.17</v>
      </c>
      <c r="E4409" s="4">
        <v>6</v>
      </c>
      <c r="F4409" s="8">
        <v>7.89</v>
      </c>
      <c r="G4409" s="4">
        <v>3</v>
      </c>
      <c r="H4409" s="8">
        <v>3.3</v>
      </c>
      <c r="I4409" s="4">
        <v>0</v>
      </c>
    </row>
    <row r="4410" spans="1:9" x14ac:dyDescent="0.2">
      <c r="A4410" s="2">
        <v>2</v>
      </c>
      <c r="B4410" s="1" t="s">
        <v>303</v>
      </c>
      <c r="C4410" s="4">
        <v>8</v>
      </c>
      <c r="D4410" s="8">
        <v>4.5999999999999996</v>
      </c>
      <c r="E4410" s="4">
        <v>8</v>
      </c>
      <c r="F4410" s="8">
        <v>10.53</v>
      </c>
      <c r="G4410" s="4">
        <v>0</v>
      </c>
      <c r="H4410" s="8">
        <v>0</v>
      </c>
      <c r="I4410" s="4">
        <v>0</v>
      </c>
    </row>
    <row r="4411" spans="1:9" x14ac:dyDescent="0.2">
      <c r="A4411" s="2">
        <v>2</v>
      </c>
      <c r="B4411" s="1" t="s">
        <v>304</v>
      </c>
      <c r="C4411" s="4">
        <v>8</v>
      </c>
      <c r="D4411" s="8">
        <v>4.5999999999999996</v>
      </c>
      <c r="E4411" s="4">
        <v>8</v>
      </c>
      <c r="F4411" s="8">
        <v>10.53</v>
      </c>
      <c r="G4411" s="4">
        <v>0</v>
      </c>
      <c r="H4411" s="8">
        <v>0</v>
      </c>
      <c r="I4411" s="4">
        <v>0</v>
      </c>
    </row>
    <row r="4412" spans="1:9" x14ac:dyDescent="0.2">
      <c r="A4412" s="2">
        <v>4</v>
      </c>
      <c r="B4412" s="1" t="s">
        <v>288</v>
      </c>
      <c r="C4412" s="4">
        <v>7</v>
      </c>
      <c r="D4412" s="8">
        <v>4.0199999999999996</v>
      </c>
      <c r="E4412" s="4">
        <v>0</v>
      </c>
      <c r="F4412" s="8">
        <v>0</v>
      </c>
      <c r="G4412" s="4">
        <v>7</v>
      </c>
      <c r="H4412" s="8">
        <v>7.69</v>
      </c>
      <c r="I4412" s="4">
        <v>0</v>
      </c>
    </row>
    <row r="4413" spans="1:9" x14ac:dyDescent="0.2">
      <c r="A4413" s="2">
        <v>5</v>
      </c>
      <c r="B4413" s="1" t="s">
        <v>289</v>
      </c>
      <c r="C4413" s="4">
        <v>6</v>
      </c>
      <c r="D4413" s="8">
        <v>3.45</v>
      </c>
      <c r="E4413" s="4">
        <v>0</v>
      </c>
      <c r="F4413" s="8">
        <v>0</v>
      </c>
      <c r="G4413" s="4">
        <v>6</v>
      </c>
      <c r="H4413" s="8">
        <v>6.59</v>
      </c>
      <c r="I4413" s="4">
        <v>0</v>
      </c>
    </row>
    <row r="4414" spans="1:9" x14ac:dyDescent="0.2">
      <c r="A4414" s="2">
        <v>5</v>
      </c>
      <c r="B4414" s="1" t="s">
        <v>330</v>
      </c>
      <c r="C4414" s="4">
        <v>6</v>
      </c>
      <c r="D4414" s="8">
        <v>3.45</v>
      </c>
      <c r="E4414" s="4">
        <v>0</v>
      </c>
      <c r="F4414" s="8">
        <v>0</v>
      </c>
      <c r="G4414" s="4">
        <v>6</v>
      </c>
      <c r="H4414" s="8">
        <v>6.59</v>
      </c>
      <c r="I4414" s="4">
        <v>0</v>
      </c>
    </row>
    <row r="4415" spans="1:9" x14ac:dyDescent="0.2">
      <c r="A4415" s="2">
        <v>5</v>
      </c>
      <c r="B4415" s="1" t="s">
        <v>300</v>
      </c>
      <c r="C4415" s="4">
        <v>6</v>
      </c>
      <c r="D4415" s="8">
        <v>3.45</v>
      </c>
      <c r="E4415" s="4">
        <v>6</v>
      </c>
      <c r="F4415" s="8">
        <v>7.89</v>
      </c>
      <c r="G4415" s="4">
        <v>0</v>
      </c>
      <c r="H4415" s="8">
        <v>0</v>
      </c>
      <c r="I4415" s="4">
        <v>0</v>
      </c>
    </row>
    <row r="4416" spans="1:9" x14ac:dyDescent="0.2">
      <c r="A4416" s="2">
        <v>5</v>
      </c>
      <c r="B4416" s="1" t="s">
        <v>318</v>
      </c>
      <c r="C4416" s="4">
        <v>6</v>
      </c>
      <c r="D4416" s="8">
        <v>3.45</v>
      </c>
      <c r="E4416" s="4">
        <v>0</v>
      </c>
      <c r="F4416" s="8">
        <v>0</v>
      </c>
      <c r="G4416" s="4">
        <v>5</v>
      </c>
      <c r="H4416" s="8">
        <v>5.49</v>
      </c>
      <c r="I4416" s="4">
        <v>1</v>
      </c>
    </row>
    <row r="4417" spans="1:9" x14ac:dyDescent="0.2">
      <c r="A4417" s="2">
        <v>9</v>
      </c>
      <c r="B4417" s="1" t="s">
        <v>307</v>
      </c>
      <c r="C4417" s="4">
        <v>5</v>
      </c>
      <c r="D4417" s="8">
        <v>2.87</v>
      </c>
      <c r="E4417" s="4">
        <v>2</v>
      </c>
      <c r="F4417" s="8">
        <v>2.63</v>
      </c>
      <c r="G4417" s="4">
        <v>3</v>
      </c>
      <c r="H4417" s="8">
        <v>3.3</v>
      </c>
      <c r="I4417" s="4">
        <v>0</v>
      </c>
    </row>
    <row r="4418" spans="1:9" x14ac:dyDescent="0.2">
      <c r="A4418" s="2">
        <v>10</v>
      </c>
      <c r="B4418" s="1" t="s">
        <v>292</v>
      </c>
      <c r="C4418" s="4">
        <v>4</v>
      </c>
      <c r="D4418" s="8">
        <v>2.2999999999999998</v>
      </c>
      <c r="E4418" s="4">
        <v>2</v>
      </c>
      <c r="F4418" s="8">
        <v>2.63</v>
      </c>
      <c r="G4418" s="4">
        <v>2</v>
      </c>
      <c r="H4418" s="8">
        <v>2.2000000000000002</v>
      </c>
      <c r="I4418" s="4">
        <v>0</v>
      </c>
    </row>
    <row r="4419" spans="1:9" x14ac:dyDescent="0.2">
      <c r="A4419" s="2">
        <v>10</v>
      </c>
      <c r="B4419" s="1" t="s">
        <v>418</v>
      </c>
      <c r="C4419" s="4">
        <v>4</v>
      </c>
      <c r="D4419" s="8">
        <v>2.2999999999999998</v>
      </c>
      <c r="E4419" s="4">
        <v>0</v>
      </c>
      <c r="F4419" s="8">
        <v>0</v>
      </c>
      <c r="G4419" s="4">
        <v>3</v>
      </c>
      <c r="H4419" s="8">
        <v>3.3</v>
      </c>
      <c r="I4419" s="4">
        <v>1</v>
      </c>
    </row>
    <row r="4420" spans="1:9" x14ac:dyDescent="0.2">
      <c r="A4420" s="2">
        <v>10</v>
      </c>
      <c r="B4420" s="1" t="s">
        <v>301</v>
      </c>
      <c r="C4420" s="4">
        <v>4</v>
      </c>
      <c r="D4420" s="8">
        <v>2.2999999999999998</v>
      </c>
      <c r="E4420" s="4">
        <v>2</v>
      </c>
      <c r="F4420" s="8">
        <v>2.63</v>
      </c>
      <c r="G4420" s="4">
        <v>2</v>
      </c>
      <c r="H4420" s="8">
        <v>2.2000000000000002</v>
      </c>
      <c r="I4420" s="4">
        <v>0</v>
      </c>
    </row>
    <row r="4421" spans="1:9" x14ac:dyDescent="0.2">
      <c r="A4421" s="2">
        <v>10</v>
      </c>
      <c r="B4421" s="1" t="s">
        <v>305</v>
      </c>
      <c r="C4421" s="4">
        <v>4</v>
      </c>
      <c r="D4421" s="8">
        <v>2.2999999999999998</v>
      </c>
      <c r="E4421" s="4">
        <v>4</v>
      </c>
      <c r="F4421" s="8">
        <v>5.26</v>
      </c>
      <c r="G4421" s="4">
        <v>0</v>
      </c>
      <c r="H4421" s="8">
        <v>0</v>
      </c>
      <c r="I4421" s="4">
        <v>0</v>
      </c>
    </row>
    <row r="4422" spans="1:9" x14ac:dyDescent="0.2">
      <c r="A4422" s="2">
        <v>14</v>
      </c>
      <c r="B4422" s="1" t="s">
        <v>333</v>
      </c>
      <c r="C4422" s="4">
        <v>3</v>
      </c>
      <c r="D4422" s="8">
        <v>1.72</v>
      </c>
      <c r="E4422" s="4">
        <v>0</v>
      </c>
      <c r="F4422" s="8">
        <v>0</v>
      </c>
      <c r="G4422" s="4">
        <v>3</v>
      </c>
      <c r="H4422" s="8">
        <v>3.3</v>
      </c>
      <c r="I4422" s="4">
        <v>0</v>
      </c>
    </row>
    <row r="4423" spans="1:9" x14ac:dyDescent="0.2">
      <c r="A4423" s="2">
        <v>14</v>
      </c>
      <c r="B4423" s="1" t="s">
        <v>342</v>
      </c>
      <c r="C4423" s="4">
        <v>3</v>
      </c>
      <c r="D4423" s="8">
        <v>1.72</v>
      </c>
      <c r="E4423" s="4">
        <v>1</v>
      </c>
      <c r="F4423" s="8">
        <v>1.32</v>
      </c>
      <c r="G4423" s="4">
        <v>2</v>
      </c>
      <c r="H4423" s="8">
        <v>2.2000000000000002</v>
      </c>
      <c r="I4423" s="4">
        <v>0</v>
      </c>
    </row>
    <row r="4424" spans="1:9" x14ac:dyDescent="0.2">
      <c r="A4424" s="2">
        <v>14</v>
      </c>
      <c r="B4424" s="1" t="s">
        <v>346</v>
      </c>
      <c r="C4424" s="4">
        <v>3</v>
      </c>
      <c r="D4424" s="8">
        <v>1.72</v>
      </c>
      <c r="E4424" s="4">
        <v>0</v>
      </c>
      <c r="F4424" s="8">
        <v>0</v>
      </c>
      <c r="G4424" s="4">
        <v>3</v>
      </c>
      <c r="H4424" s="8">
        <v>3.3</v>
      </c>
      <c r="I4424" s="4">
        <v>0</v>
      </c>
    </row>
    <row r="4425" spans="1:9" x14ac:dyDescent="0.2">
      <c r="A4425" s="2">
        <v>14</v>
      </c>
      <c r="B4425" s="1" t="s">
        <v>329</v>
      </c>
      <c r="C4425" s="4">
        <v>3</v>
      </c>
      <c r="D4425" s="8">
        <v>1.72</v>
      </c>
      <c r="E4425" s="4">
        <v>3</v>
      </c>
      <c r="F4425" s="8">
        <v>3.95</v>
      </c>
      <c r="G4425" s="4">
        <v>0</v>
      </c>
      <c r="H4425" s="8">
        <v>0</v>
      </c>
      <c r="I4425" s="4">
        <v>0</v>
      </c>
    </row>
    <row r="4426" spans="1:9" x14ac:dyDescent="0.2">
      <c r="A4426" s="2">
        <v>14</v>
      </c>
      <c r="B4426" s="1" t="s">
        <v>335</v>
      </c>
      <c r="C4426" s="4">
        <v>3</v>
      </c>
      <c r="D4426" s="8">
        <v>1.72</v>
      </c>
      <c r="E4426" s="4">
        <v>0</v>
      </c>
      <c r="F4426" s="8">
        <v>0</v>
      </c>
      <c r="G4426" s="4">
        <v>3</v>
      </c>
      <c r="H4426" s="8">
        <v>3.3</v>
      </c>
      <c r="I4426" s="4">
        <v>0</v>
      </c>
    </row>
    <row r="4427" spans="1:9" x14ac:dyDescent="0.2">
      <c r="A4427" s="2">
        <v>14</v>
      </c>
      <c r="B4427" s="1" t="s">
        <v>325</v>
      </c>
      <c r="C4427" s="4">
        <v>3</v>
      </c>
      <c r="D4427" s="8">
        <v>1.72</v>
      </c>
      <c r="E4427" s="4">
        <v>0</v>
      </c>
      <c r="F4427" s="8">
        <v>0</v>
      </c>
      <c r="G4427" s="4">
        <v>1</v>
      </c>
      <c r="H4427" s="8">
        <v>1.1000000000000001</v>
      </c>
      <c r="I4427" s="4">
        <v>0</v>
      </c>
    </row>
    <row r="4428" spans="1:9" x14ac:dyDescent="0.2">
      <c r="A4428" s="2">
        <v>20</v>
      </c>
      <c r="B4428" s="1" t="s">
        <v>328</v>
      </c>
      <c r="C4428" s="4">
        <v>2</v>
      </c>
      <c r="D4428" s="8">
        <v>1.1499999999999999</v>
      </c>
      <c r="E4428" s="4">
        <v>0</v>
      </c>
      <c r="F4428" s="8">
        <v>0</v>
      </c>
      <c r="G4428" s="4">
        <v>2</v>
      </c>
      <c r="H4428" s="8">
        <v>2.2000000000000002</v>
      </c>
      <c r="I4428" s="4">
        <v>0</v>
      </c>
    </row>
    <row r="4429" spans="1:9" x14ac:dyDescent="0.2">
      <c r="A4429" s="2">
        <v>20</v>
      </c>
      <c r="B4429" s="1" t="s">
        <v>290</v>
      </c>
      <c r="C4429" s="4">
        <v>2</v>
      </c>
      <c r="D4429" s="8">
        <v>1.1499999999999999</v>
      </c>
      <c r="E4429" s="4">
        <v>0</v>
      </c>
      <c r="F4429" s="8">
        <v>0</v>
      </c>
      <c r="G4429" s="4">
        <v>2</v>
      </c>
      <c r="H4429" s="8">
        <v>2.2000000000000002</v>
      </c>
      <c r="I4429" s="4">
        <v>0</v>
      </c>
    </row>
    <row r="4430" spans="1:9" x14ac:dyDescent="0.2">
      <c r="A4430" s="2">
        <v>20</v>
      </c>
      <c r="B4430" s="1" t="s">
        <v>291</v>
      </c>
      <c r="C4430" s="4">
        <v>2</v>
      </c>
      <c r="D4430" s="8">
        <v>1.1499999999999999</v>
      </c>
      <c r="E4430" s="4">
        <v>2</v>
      </c>
      <c r="F4430" s="8">
        <v>2.63</v>
      </c>
      <c r="G4430" s="4">
        <v>0</v>
      </c>
      <c r="H4430" s="8">
        <v>0</v>
      </c>
      <c r="I4430" s="4">
        <v>0</v>
      </c>
    </row>
    <row r="4431" spans="1:9" x14ac:dyDescent="0.2">
      <c r="A4431" s="2">
        <v>20</v>
      </c>
      <c r="B4431" s="1" t="s">
        <v>413</v>
      </c>
      <c r="C4431" s="4">
        <v>2</v>
      </c>
      <c r="D4431" s="8">
        <v>1.1499999999999999</v>
      </c>
      <c r="E4431" s="4">
        <v>0</v>
      </c>
      <c r="F4431" s="8">
        <v>0</v>
      </c>
      <c r="G4431" s="4">
        <v>2</v>
      </c>
      <c r="H4431" s="8">
        <v>2.2000000000000002</v>
      </c>
      <c r="I4431" s="4">
        <v>0</v>
      </c>
    </row>
    <row r="4432" spans="1:9" x14ac:dyDescent="0.2">
      <c r="A4432" s="2">
        <v>20</v>
      </c>
      <c r="B4432" s="1" t="s">
        <v>361</v>
      </c>
      <c r="C4432" s="4">
        <v>2</v>
      </c>
      <c r="D4432" s="8">
        <v>1.1499999999999999</v>
      </c>
      <c r="E4432" s="4">
        <v>0</v>
      </c>
      <c r="F4432" s="8">
        <v>0</v>
      </c>
      <c r="G4432" s="4">
        <v>0</v>
      </c>
      <c r="H4432" s="8">
        <v>0</v>
      </c>
      <c r="I4432" s="4">
        <v>0</v>
      </c>
    </row>
    <row r="4433" spans="1:9" x14ac:dyDescent="0.2">
      <c r="A4433" s="2">
        <v>20</v>
      </c>
      <c r="B4433" s="1" t="s">
        <v>326</v>
      </c>
      <c r="C4433" s="4">
        <v>2</v>
      </c>
      <c r="D4433" s="8">
        <v>1.1499999999999999</v>
      </c>
      <c r="E4433" s="4">
        <v>1</v>
      </c>
      <c r="F4433" s="8">
        <v>1.32</v>
      </c>
      <c r="G4433" s="4">
        <v>1</v>
      </c>
      <c r="H4433" s="8">
        <v>1.1000000000000001</v>
      </c>
      <c r="I4433" s="4">
        <v>0</v>
      </c>
    </row>
    <row r="4434" spans="1:9" x14ac:dyDescent="0.2">
      <c r="A4434" s="2">
        <v>20</v>
      </c>
      <c r="B4434" s="1" t="s">
        <v>324</v>
      </c>
      <c r="C4434" s="4">
        <v>2</v>
      </c>
      <c r="D4434" s="8">
        <v>1.1499999999999999</v>
      </c>
      <c r="E4434" s="4">
        <v>0</v>
      </c>
      <c r="F4434" s="8">
        <v>0</v>
      </c>
      <c r="G4434" s="4">
        <v>2</v>
      </c>
      <c r="H4434" s="8">
        <v>2.2000000000000002</v>
      </c>
      <c r="I4434" s="4">
        <v>0</v>
      </c>
    </row>
    <row r="4435" spans="1:9" x14ac:dyDescent="0.2">
      <c r="A4435" s="2">
        <v>20</v>
      </c>
      <c r="B4435" s="1" t="s">
        <v>358</v>
      </c>
      <c r="C4435" s="4">
        <v>2</v>
      </c>
      <c r="D4435" s="8">
        <v>1.1499999999999999</v>
      </c>
      <c r="E4435" s="4">
        <v>0</v>
      </c>
      <c r="F4435" s="8">
        <v>0</v>
      </c>
      <c r="G4435" s="4">
        <v>2</v>
      </c>
      <c r="H4435" s="8">
        <v>2.2000000000000002</v>
      </c>
      <c r="I4435" s="4">
        <v>0</v>
      </c>
    </row>
    <row r="4436" spans="1:9" x14ac:dyDescent="0.2">
      <c r="A4436" s="2">
        <v>20</v>
      </c>
      <c r="B4436" s="1" t="s">
        <v>321</v>
      </c>
      <c r="C4436" s="4">
        <v>2</v>
      </c>
      <c r="D4436" s="8">
        <v>1.1499999999999999</v>
      </c>
      <c r="E4436" s="4">
        <v>1</v>
      </c>
      <c r="F4436" s="8">
        <v>1.32</v>
      </c>
      <c r="G4436" s="4">
        <v>1</v>
      </c>
      <c r="H4436" s="8">
        <v>1.1000000000000001</v>
      </c>
      <c r="I4436" s="4">
        <v>0</v>
      </c>
    </row>
    <row r="4437" spans="1:9" x14ac:dyDescent="0.2">
      <c r="A4437" s="2">
        <v>20</v>
      </c>
      <c r="B4437" s="1" t="s">
        <v>314</v>
      </c>
      <c r="C4437" s="4">
        <v>2</v>
      </c>
      <c r="D4437" s="8">
        <v>1.1499999999999999</v>
      </c>
      <c r="E4437" s="4">
        <v>0</v>
      </c>
      <c r="F4437" s="8">
        <v>0</v>
      </c>
      <c r="G4437" s="4">
        <v>2</v>
      </c>
      <c r="H4437" s="8">
        <v>2.2000000000000002</v>
      </c>
      <c r="I4437" s="4">
        <v>0</v>
      </c>
    </row>
    <row r="4438" spans="1:9" x14ac:dyDescent="0.2">
      <c r="A4438" s="2">
        <v>20</v>
      </c>
      <c r="B4438" s="1" t="s">
        <v>332</v>
      </c>
      <c r="C4438" s="4">
        <v>2</v>
      </c>
      <c r="D4438" s="8">
        <v>1.1499999999999999</v>
      </c>
      <c r="E4438" s="4">
        <v>2</v>
      </c>
      <c r="F4438" s="8">
        <v>2.63</v>
      </c>
      <c r="G4438" s="4">
        <v>0</v>
      </c>
      <c r="H4438" s="8">
        <v>0</v>
      </c>
      <c r="I4438" s="4">
        <v>0</v>
      </c>
    </row>
    <row r="4439" spans="1:9" x14ac:dyDescent="0.2">
      <c r="A4439" s="2">
        <v>20</v>
      </c>
      <c r="B4439" s="1" t="s">
        <v>293</v>
      </c>
      <c r="C4439" s="4">
        <v>2</v>
      </c>
      <c r="D4439" s="8">
        <v>1.1499999999999999</v>
      </c>
      <c r="E4439" s="4">
        <v>0</v>
      </c>
      <c r="F4439" s="8">
        <v>0</v>
      </c>
      <c r="G4439" s="4">
        <v>2</v>
      </c>
      <c r="H4439" s="8">
        <v>2.2000000000000002</v>
      </c>
      <c r="I4439" s="4">
        <v>0</v>
      </c>
    </row>
    <row r="4440" spans="1:9" x14ac:dyDescent="0.2">
      <c r="A4440" s="2">
        <v>20</v>
      </c>
      <c r="B4440" s="1" t="s">
        <v>402</v>
      </c>
      <c r="C4440" s="4">
        <v>2</v>
      </c>
      <c r="D4440" s="8">
        <v>1.1499999999999999</v>
      </c>
      <c r="E4440" s="4">
        <v>2</v>
      </c>
      <c r="F4440" s="8">
        <v>2.63</v>
      </c>
      <c r="G4440" s="4">
        <v>0</v>
      </c>
      <c r="H4440" s="8">
        <v>0</v>
      </c>
      <c r="I4440" s="4">
        <v>0</v>
      </c>
    </row>
    <row r="4441" spans="1:9" x14ac:dyDescent="0.2">
      <c r="A4441" s="2">
        <v>20</v>
      </c>
      <c r="B4441" s="1" t="s">
        <v>294</v>
      </c>
      <c r="C4441" s="4">
        <v>2</v>
      </c>
      <c r="D4441" s="8">
        <v>1.1499999999999999</v>
      </c>
      <c r="E4441" s="4">
        <v>1</v>
      </c>
      <c r="F4441" s="8">
        <v>1.32</v>
      </c>
      <c r="G4441" s="4">
        <v>1</v>
      </c>
      <c r="H4441" s="8">
        <v>1.1000000000000001</v>
      </c>
      <c r="I4441" s="4">
        <v>0</v>
      </c>
    </row>
    <row r="4442" spans="1:9" x14ac:dyDescent="0.2">
      <c r="A4442" s="2">
        <v>20</v>
      </c>
      <c r="B4442" s="1" t="s">
        <v>296</v>
      </c>
      <c r="C4442" s="4">
        <v>2</v>
      </c>
      <c r="D4442" s="8">
        <v>1.1499999999999999</v>
      </c>
      <c r="E4442" s="4">
        <v>0</v>
      </c>
      <c r="F4442" s="8">
        <v>0</v>
      </c>
      <c r="G4442" s="4">
        <v>2</v>
      </c>
      <c r="H4442" s="8">
        <v>2.2000000000000002</v>
      </c>
      <c r="I4442" s="4">
        <v>0</v>
      </c>
    </row>
    <row r="4443" spans="1:9" x14ac:dyDescent="0.2">
      <c r="A4443" s="2">
        <v>20</v>
      </c>
      <c r="B4443" s="1" t="s">
        <v>409</v>
      </c>
      <c r="C4443" s="4">
        <v>2</v>
      </c>
      <c r="D4443" s="8">
        <v>1.1499999999999999</v>
      </c>
      <c r="E4443" s="4">
        <v>1</v>
      </c>
      <c r="F4443" s="8">
        <v>1.32</v>
      </c>
      <c r="G4443" s="4">
        <v>1</v>
      </c>
      <c r="H4443" s="8">
        <v>1.1000000000000001</v>
      </c>
      <c r="I4443" s="4">
        <v>0</v>
      </c>
    </row>
    <row r="4444" spans="1:9" x14ac:dyDescent="0.2">
      <c r="A4444" s="2">
        <v>20</v>
      </c>
      <c r="B4444" s="1" t="s">
        <v>422</v>
      </c>
      <c r="C4444" s="4">
        <v>2</v>
      </c>
      <c r="D4444" s="8">
        <v>1.1499999999999999</v>
      </c>
      <c r="E4444" s="4">
        <v>2</v>
      </c>
      <c r="F4444" s="8">
        <v>2.63</v>
      </c>
      <c r="G4444" s="4">
        <v>0</v>
      </c>
      <c r="H4444" s="8">
        <v>0</v>
      </c>
      <c r="I4444" s="4">
        <v>0</v>
      </c>
    </row>
    <row r="4445" spans="1:9" x14ac:dyDescent="0.2">
      <c r="A4445" s="2">
        <v>20</v>
      </c>
      <c r="B4445" s="1" t="s">
        <v>302</v>
      </c>
      <c r="C4445" s="4">
        <v>2</v>
      </c>
      <c r="D4445" s="8">
        <v>1.1499999999999999</v>
      </c>
      <c r="E4445" s="4">
        <v>2</v>
      </c>
      <c r="F4445" s="8">
        <v>2.63</v>
      </c>
      <c r="G4445" s="4">
        <v>0</v>
      </c>
      <c r="H4445" s="8">
        <v>0</v>
      </c>
      <c r="I4445" s="4">
        <v>0</v>
      </c>
    </row>
    <row r="4446" spans="1:9" x14ac:dyDescent="0.2">
      <c r="A4446" s="2">
        <v>20</v>
      </c>
      <c r="B4446" s="1" t="s">
        <v>323</v>
      </c>
      <c r="C4446" s="4">
        <v>2</v>
      </c>
      <c r="D4446" s="8">
        <v>1.1499999999999999</v>
      </c>
      <c r="E4446" s="4">
        <v>0</v>
      </c>
      <c r="F4446" s="8">
        <v>0</v>
      </c>
      <c r="G4446" s="4">
        <v>2</v>
      </c>
      <c r="H4446" s="8">
        <v>2.2000000000000002</v>
      </c>
      <c r="I4446" s="4">
        <v>0</v>
      </c>
    </row>
    <row r="4447" spans="1:9" x14ac:dyDescent="0.2">
      <c r="A4447" s="2">
        <v>20</v>
      </c>
      <c r="B4447" s="1" t="s">
        <v>312</v>
      </c>
      <c r="C4447" s="4">
        <v>2</v>
      </c>
      <c r="D4447" s="8">
        <v>1.1499999999999999</v>
      </c>
      <c r="E4447" s="4">
        <v>2</v>
      </c>
      <c r="F4447" s="8">
        <v>2.63</v>
      </c>
      <c r="G4447" s="4">
        <v>0</v>
      </c>
      <c r="H4447" s="8">
        <v>0</v>
      </c>
      <c r="I4447" s="4">
        <v>0</v>
      </c>
    </row>
    <row r="4448" spans="1:9" x14ac:dyDescent="0.2">
      <c r="A4448" s="1"/>
      <c r="C4448" s="4"/>
      <c r="D4448" s="8"/>
      <c r="E4448" s="4"/>
      <c r="F4448" s="8"/>
      <c r="G4448" s="4"/>
      <c r="H4448" s="8"/>
      <c r="I4448" s="4"/>
    </row>
    <row r="4449" spans="1:9" x14ac:dyDescent="0.2">
      <c r="A4449" s="1" t="s">
        <v>147</v>
      </c>
      <c r="C4449" s="4"/>
      <c r="D4449" s="8"/>
      <c r="E4449" s="4"/>
      <c r="F4449" s="8"/>
      <c r="G4449" s="4"/>
      <c r="H4449" s="8"/>
      <c r="I4449" s="4"/>
    </row>
    <row r="4450" spans="1:9" x14ac:dyDescent="0.2">
      <c r="A4450" s="2">
        <v>1</v>
      </c>
      <c r="B4450" s="1" t="s">
        <v>330</v>
      </c>
      <c r="C4450" s="4">
        <v>7</v>
      </c>
      <c r="D4450" s="8">
        <v>5.34</v>
      </c>
      <c r="E4450" s="4">
        <v>1</v>
      </c>
      <c r="F4450" s="8">
        <v>1.59</v>
      </c>
      <c r="G4450" s="4">
        <v>6</v>
      </c>
      <c r="H4450" s="8">
        <v>9.84</v>
      </c>
      <c r="I4450" s="4">
        <v>0</v>
      </c>
    </row>
    <row r="4451" spans="1:9" x14ac:dyDescent="0.2">
      <c r="A4451" s="2">
        <v>2</v>
      </c>
      <c r="B4451" s="1" t="s">
        <v>297</v>
      </c>
      <c r="C4451" s="4">
        <v>6</v>
      </c>
      <c r="D4451" s="8">
        <v>4.58</v>
      </c>
      <c r="E4451" s="4">
        <v>0</v>
      </c>
      <c r="F4451" s="8">
        <v>0</v>
      </c>
      <c r="G4451" s="4">
        <v>5</v>
      </c>
      <c r="H4451" s="8">
        <v>8.1999999999999993</v>
      </c>
      <c r="I4451" s="4">
        <v>0</v>
      </c>
    </row>
    <row r="4452" spans="1:9" x14ac:dyDescent="0.2">
      <c r="A4452" s="2">
        <v>3</v>
      </c>
      <c r="B4452" s="1" t="s">
        <v>300</v>
      </c>
      <c r="C4452" s="4">
        <v>5</v>
      </c>
      <c r="D4452" s="8">
        <v>3.82</v>
      </c>
      <c r="E4452" s="4">
        <v>5</v>
      </c>
      <c r="F4452" s="8">
        <v>7.94</v>
      </c>
      <c r="G4452" s="4">
        <v>0</v>
      </c>
      <c r="H4452" s="8">
        <v>0</v>
      </c>
      <c r="I4452" s="4">
        <v>0</v>
      </c>
    </row>
    <row r="4453" spans="1:9" x14ac:dyDescent="0.2">
      <c r="A4453" s="2">
        <v>3</v>
      </c>
      <c r="B4453" s="1" t="s">
        <v>304</v>
      </c>
      <c r="C4453" s="4">
        <v>5</v>
      </c>
      <c r="D4453" s="8">
        <v>3.82</v>
      </c>
      <c r="E4453" s="4">
        <v>5</v>
      </c>
      <c r="F4453" s="8">
        <v>7.94</v>
      </c>
      <c r="G4453" s="4">
        <v>0</v>
      </c>
      <c r="H4453" s="8">
        <v>0</v>
      </c>
      <c r="I4453" s="4">
        <v>0</v>
      </c>
    </row>
    <row r="4454" spans="1:9" x14ac:dyDescent="0.2">
      <c r="A4454" s="2">
        <v>5</v>
      </c>
      <c r="B4454" s="1" t="s">
        <v>328</v>
      </c>
      <c r="C4454" s="4">
        <v>4</v>
      </c>
      <c r="D4454" s="8">
        <v>3.05</v>
      </c>
      <c r="E4454" s="4">
        <v>2</v>
      </c>
      <c r="F4454" s="8">
        <v>3.17</v>
      </c>
      <c r="G4454" s="4">
        <v>2</v>
      </c>
      <c r="H4454" s="8">
        <v>3.28</v>
      </c>
      <c r="I4454" s="4">
        <v>0</v>
      </c>
    </row>
    <row r="4455" spans="1:9" x14ac:dyDescent="0.2">
      <c r="A4455" s="2">
        <v>5</v>
      </c>
      <c r="B4455" s="1" t="s">
        <v>333</v>
      </c>
      <c r="C4455" s="4">
        <v>4</v>
      </c>
      <c r="D4455" s="8">
        <v>3.05</v>
      </c>
      <c r="E4455" s="4">
        <v>2</v>
      </c>
      <c r="F4455" s="8">
        <v>3.17</v>
      </c>
      <c r="G4455" s="4">
        <v>2</v>
      </c>
      <c r="H4455" s="8">
        <v>3.28</v>
      </c>
      <c r="I4455" s="4">
        <v>0</v>
      </c>
    </row>
    <row r="4456" spans="1:9" x14ac:dyDescent="0.2">
      <c r="A4456" s="2">
        <v>5</v>
      </c>
      <c r="B4456" s="1" t="s">
        <v>376</v>
      </c>
      <c r="C4456" s="4">
        <v>4</v>
      </c>
      <c r="D4456" s="8">
        <v>3.05</v>
      </c>
      <c r="E4456" s="4">
        <v>3</v>
      </c>
      <c r="F4456" s="8">
        <v>4.76</v>
      </c>
      <c r="G4456" s="4">
        <v>1</v>
      </c>
      <c r="H4456" s="8">
        <v>1.64</v>
      </c>
      <c r="I4456" s="4">
        <v>0</v>
      </c>
    </row>
    <row r="4457" spans="1:9" x14ac:dyDescent="0.2">
      <c r="A4457" s="2">
        <v>5</v>
      </c>
      <c r="B4457" s="1" t="s">
        <v>325</v>
      </c>
      <c r="C4457" s="4">
        <v>4</v>
      </c>
      <c r="D4457" s="8">
        <v>3.05</v>
      </c>
      <c r="E4457" s="4">
        <v>0</v>
      </c>
      <c r="F4457" s="8">
        <v>0</v>
      </c>
      <c r="G4457" s="4">
        <v>3</v>
      </c>
      <c r="H4457" s="8">
        <v>4.92</v>
      </c>
      <c r="I4457" s="4">
        <v>0</v>
      </c>
    </row>
    <row r="4458" spans="1:9" x14ac:dyDescent="0.2">
      <c r="A4458" s="2">
        <v>5</v>
      </c>
      <c r="B4458" s="1" t="s">
        <v>303</v>
      </c>
      <c r="C4458" s="4">
        <v>4</v>
      </c>
      <c r="D4458" s="8">
        <v>3.05</v>
      </c>
      <c r="E4458" s="4">
        <v>4</v>
      </c>
      <c r="F4458" s="8">
        <v>6.35</v>
      </c>
      <c r="G4458" s="4">
        <v>0</v>
      </c>
      <c r="H4458" s="8">
        <v>0</v>
      </c>
      <c r="I4458" s="4">
        <v>0</v>
      </c>
    </row>
    <row r="4459" spans="1:9" x14ac:dyDescent="0.2">
      <c r="A4459" s="2">
        <v>10</v>
      </c>
      <c r="B4459" s="1" t="s">
        <v>434</v>
      </c>
      <c r="C4459" s="4">
        <v>3</v>
      </c>
      <c r="D4459" s="8">
        <v>2.29</v>
      </c>
      <c r="E4459" s="4">
        <v>0</v>
      </c>
      <c r="F4459" s="8">
        <v>0</v>
      </c>
      <c r="G4459" s="4">
        <v>2</v>
      </c>
      <c r="H4459" s="8">
        <v>3.28</v>
      </c>
      <c r="I4459" s="4">
        <v>1</v>
      </c>
    </row>
    <row r="4460" spans="1:9" x14ac:dyDescent="0.2">
      <c r="A4460" s="2">
        <v>10</v>
      </c>
      <c r="B4460" s="1" t="s">
        <v>329</v>
      </c>
      <c r="C4460" s="4">
        <v>3</v>
      </c>
      <c r="D4460" s="8">
        <v>2.29</v>
      </c>
      <c r="E4460" s="4">
        <v>2</v>
      </c>
      <c r="F4460" s="8">
        <v>3.17</v>
      </c>
      <c r="G4460" s="4">
        <v>1</v>
      </c>
      <c r="H4460" s="8">
        <v>1.64</v>
      </c>
      <c r="I4460" s="4">
        <v>0</v>
      </c>
    </row>
    <row r="4461" spans="1:9" x14ac:dyDescent="0.2">
      <c r="A4461" s="2">
        <v>10</v>
      </c>
      <c r="B4461" s="1" t="s">
        <v>292</v>
      </c>
      <c r="C4461" s="4">
        <v>3</v>
      </c>
      <c r="D4461" s="8">
        <v>2.29</v>
      </c>
      <c r="E4461" s="4">
        <v>2</v>
      </c>
      <c r="F4461" s="8">
        <v>3.17</v>
      </c>
      <c r="G4461" s="4">
        <v>1</v>
      </c>
      <c r="H4461" s="8">
        <v>1.64</v>
      </c>
      <c r="I4461" s="4">
        <v>0</v>
      </c>
    </row>
    <row r="4462" spans="1:9" x14ac:dyDescent="0.2">
      <c r="A4462" s="2">
        <v>10</v>
      </c>
      <c r="B4462" s="1" t="s">
        <v>293</v>
      </c>
      <c r="C4462" s="4">
        <v>3</v>
      </c>
      <c r="D4462" s="8">
        <v>2.29</v>
      </c>
      <c r="E4462" s="4">
        <v>2</v>
      </c>
      <c r="F4462" s="8">
        <v>3.17</v>
      </c>
      <c r="G4462" s="4">
        <v>1</v>
      </c>
      <c r="H4462" s="8">
        <v>1.64</v>
      </c>
      <c r="I4462" s="4">
        <v>0</v>
      </c>
    </row>
    <row r="4463" spans="1:9" x14ac:dyDescent="0.2">
      <c r="A4463" s="2">
        <v>10</v>
      </c>
      <c r="B4463" s="1" t="s">
        <v>337</v>
      </c>
      <c r="C4463" s="4">
        <v>3</v>
      </c>
      <c r="D4463" s="8">
        <v>2.29</v>
      </c>
      <c r="E4463" s="4">
        <v>3</v>
      </c>
      <c r="F4463" s="8">
        <v>4.76</v>
      </c>
      <c r="G4463" s="4">
        <v>0</v>
      </c>
      <c r="H4463" s="8">
        <v>0</v>
      </c>
      <c r="I4463" s="4">
        <v>0</v>
      </c>
    </row>
    <row r="4464" spans="1:9" x14ac:dyDescent="0.2">
      <c r="A4464" s="2">
        <v>10</v>
      </c>
      <c r="B4464" s="1" t="s">
        <v>298</v>
      </c>
      <c r="C4464" s="4">
        <v>3</v>
      </c>
      <c r="D4464" s="8">
        <v>2.29</v>
      </c>
      <c r="E4464" s="4">
        <v>1</v>
      </c>
      <c r="F4464" s="8">
        <v>1.59</v>
      </c>
      <c r="G4464" s="4">
        <v>2</v>
      </c>
      <c r="H4464" s="8">
        <v>3.28</v>
      </c>
      <c r="I4464" s="4">
        <v>0</v>
      </c>
    </row>
    <row r="4465" spans="1:9" x14ac:dyDescent="0.2">
      <c r="A4465" s="2">
        <v>10</v>
      </c>
      <c r="B4465" s="1" t="s">
        <v>368</v>
      </c>
      <c r="C4465" s="4">
        <v>3</v>
      </c>
      <c r="D4465" s="8">
        <v>2.29</v>
      </c>
      <c r="E4465" s="4">
        <v>0</v>
      </c>
      <c r="F4465" s="8">
        <v>0</v>
      </c>
      <c r="G4465" s="4">
        <v>1</v>
      </c>
      <c r="H4465" s="8">
        <v>1.64</v>
      </c>
      <c r="I4465" s="4">
        <v>0</v>
      </c>
    </row>
    <row r="4466" spans="1:9" x14ac:dyDescent="0.2">
      <c r="A4466" s="2">
        <v>17</v>
      </c>
      <c r="B4466" s="1" t="s">
        <v>289</v>
      </c>
      <c r="C4466" s="4">
        <v>2</v>
      </c>
      <c r="D4466" s="8">
        <v>1.53</v>
      </c>
      <c r="E4466" s="4">
        <v>0</v>
      </c>
      <c r="F4466" s="8">
        <v>0</v>
      </c>
      <c r="G4466" s="4">
        <v>2</v>
      </c>
      <c r="H4466" s="8">
        <v>3.28</v>
      </c>
      <c r="I4466" s="4">
        <v>0</v>
      </c>
    </row>
    <row r="4467" spans="1:9" x14ac:dyDescent="0.2">
      <c r="A4467" s="2">
        <v>17</v>
      </c>
      <c r="B4467" s="1" t="s">
        <v>342</v>
      </c>
      <c r="C4467" s="4">
        <v>2</v>
      </c>
      <c r="D4467" s="8">
        <v>1.53</v>
      </c>
      <c r="E4467" s="4">
        <v>0</v>
      </c>
      <c r="F4467" s="8">
        <v>0</v>
      </c>
      <c r="G4467" s="4">
        <v>2</v>
      </c>
      <c r="H4467" s="8">
        <v>3.28</v>
      </c>
      <c r="I4467" s="4">
        <v>0</v>
      </c>
    </row>
    <row r="4468" spans="1:9" x14ac:dyDescent="0.2">
      <c r="A4468" s="2">
        <v>17</v>
      </c>
      <c r="B4468" s="1" t="s">
        <v>394</v>
      </c>
      <c r="C4468" s="4">
        <v>2</v>
      </c>
      <c r="D4468" s="8">
        <v>1.53</v>
      </c>
      <c r="E4468" s="4">
        <v>1</v>
      </c>
      <c r="F4468" s="8">
        <v>1.59</v>
      </c>
      <c r="G4468" s="4">
        <v>1</v>
      </c>
      <c r="H4468" s="8">
        <v>1.64</v>
      </c>
      <c r="I4468" s="4">
        <v>0</v>
      </c>
    </row>
    <row r="4469" spans="1:9" x14ac:dyDescent="0.2">
      <c r="A4469" s="2">
        <v>17</v>
      </c>
      <c r="B4469" s="1" t="s">
        <v>346</v>
      </c>
      <c r="C4469" s="4">
        <v>2</v>
      </c>
      <c r="D4469" s="8">
        <v>1.53</v>
      </c>
      <c r="E4469" s="4">
        <v>0</v>
      </c>
      <c r="F4469" s="8">
        <v>0</v>
      </c>
      <c r="G4469" s="4">
        <v>2</v>
      </c>
      <c r="H4469" s="8">
        <v>3.28</v>
      </c>
      <c r="I4469" s="4">
        <v>0</v>
      </c>
    </row>
    <row r="4470" spans="1:9" x14ac:dyDescent="0.2">
      <c r="A4470" s="2">
        <v>17</v>
      </c>
      <c r="B4470" s="1" t="s">
        <v>344</v>
      </c>
      <c r="C4470" s="4">
        <v>2</v>
      </c>
      <c r="D4470" s="8">
        <v>1.53</v>
      </c>
      <c r="E4470" s="4">
        <v>1</v>
      </c>
      <c r="F4470" s="8">
        <v>1.59</v>
      </c>
      <c r="G4470" s="4">
        <v>1</v>
      </c>
      <c r="H4470" s="8">
        <v>1.64</v>
      </c>
      <c r="I4470" s="4">
        <v>0</v>
      </c>
    </row>
    <row r="4471" spans="1:9" x14ac:dyDescent="0.2">
      <c r="A4471" s="2">
        <v>17</v>
      </c>
      <c r="B4471" s="1" t="s">
        <v>334</v>
      </c>
      <c r="C4471" s="4">
        <v>2</v>
      </c>
      <c r="D4471" s="8">
        <v>1.53</v>
      </c>
      <c r="E4471" s="4">
        <v>2</v>
      </c>
      <c r="F4471" s="8">
        <v>3.17</v>
      </c>
      <c r="G4471" s="4">
        <v>0</v>
      </c>
      <c r="H4471" s="8">
        <v>0</v>
      </c>
      <c r="I4471" s="4">
        <v>0</v>
      </c>
    </row>
    <row r="4472" spans="1:9" x14ac:dyDescent="0.2">
      <c r="A4472" s="2">
        <v>17</v>
      </c>
      <c r="B4472" s="1" t="s">
        <v>299</v>
      </c>
      <c r="C4472" s="4">
        <v>2</v>
      </c>
      <c r="D4472" s="8">
        <v>1.53</v>
      </c>
      <c r="E4472" s="4">
        <v>2</v>
      </c>
      <c r="F4472" s="8">
        <v>3.17</v>
      </c>
      <c r="G4472" s="4">
        <v>0</v>
      </c>
      <c r="H4472" s="8">
        <v>0</v>
      </c>
      <c r="I4472" s="4">
        <v>0</v>
      </c>
    </row>
    <row r="4473" spans="1:9" x14ac:dyDescent="0.2">
      <c r="A4473" s="2">
        <v>17</v>
      </c>
      <c r="B4473" s="1" t="s">
        <v>301</v>
      </c>
      <c r="C4473" s="4">
        <v>2</v>
      </c>
      <c r="D4473" s="8">
        <v>1.53</v>
      </c>
      <c r="E4473" s="4">
        <v>2</v>
      </c>
      <c r="F4473" s="8">
        <v>3.17</v>
      </c>
      <c r="G4473" s="4">
        <v>0</v>
      </c>
      <c r="H4473" s="8">
        <v>0</v>
      </c>
      <c r="I4473" s="4">
        <v>0</v>
      </c>
    </row>
    <row r="4474" spans="1:9" x14ac:dyDescent="0.2">
      <c r="A4474" s="2">
        <v>17</v>
      </c>
      <c r="B4474" s="1" t="s">
        <v>305</v>
      </c>
      <c r="C4474" s="4">
        <v>2</v>
      </c>
      <c r="D4474" s="8">
        <v>1.53</v>
      </c>
      <c r="E4474" s="4">
        <v>2</v>
      </c>
      <c r="F4474" s="8">
        <v>3.17</v>
      </c>
      <c r="G4474" s="4">
        <v>0</v>
      </c>
      <c r="H4474" s="8">
        <v>0</v>
      </c>
      <c r="I4474" s="4">
        <v>0</v>
      </c>
    </row>
    <row r="4475" spans="1:9" x14ac:dyDescent="0.2">
      <c r="A4475" s="2">
        <v>17</v>
      </c>
      <c r="B4475" s="1" t="s">
        <v>307</v>
      </c>
      <c r="C4475" s="4">
        <v>2</v>
      </c>
      <c r="D4475" s="8">
        <v>1.53</v>
      </c>
      <c r="E4475" s="4">
        <v>1</v>
      </c>
      <c r="F4475" s="8">
        <v>1.59</v>
      </c>
      <c r="G4475" s="4">
        <v>1</v>
      </c>
      <c r="H4475" s="8">
        <v>1.64</v>
      </c>
      <c r="I4475" s="4">
        <v>0</v>
      </c>
    </row>
    <row r="4476" spans="1:9" x14ac:dyDescent="0.2">
      <c r="A4476" s="1"/>
      <c r="C4476" s="4"/>
      <c r="D4476" s="8"/>
      <c r="E4476" s="4"/>
      <c r="F4476" s="8"/>
      <c r="G4476" s="4"/>
      <c r="H4476" s="8"/>
      <c r="I4476" s="4"/>
    </row>
    <row r="4477" spans="1:9" x14ac:dyDescent="0.2">
      <c r="A4477" s="1" t="s">
        <v>148</v>
      </c>
      <c r="C4477" s="4"/>
      <c r="D4477" s="8"/>
      <c r="E4477" s="4"/>
      <c r="F4477" s="8"/>
      <c r="G4477" s="4"/>
      <c r="H4477" s="8"/>
      <c r="I4477" s="4"/>
    </row>
    <row r="4478" spans="1:9" x14ac:dyDescent="0.2">
      <c r="A4478" s="2">
        <v>1</v>
      </c>
      <c r="B4478" s="1" t="s">
        <v>295</v>
      </c>
      <c r="C4478" s="4">
        <v>6</v>
      </c>
      <c r="D4478" s="8">
        <v>7.32</v>
      </c>
      <c r="E4478" s="4">
        <v>4</v>
      </c>
      <c r="F4478" s="8">
        <v>9.76</v>
      </c>
      <c r="G4478" s="4">
        <v>2</v>
      </c>
      <c r="H4478" s="8">
        <v>5.26</v>
      </c>
      <c r="I4478" s="4">
        <v>0</v>
      </c>
    </row>
    <row r="4479" spans="1:9" x14ac:dyDescent="0.2">
      <c r="A4479" s="2">
        <v>1</v>
      </c>
      <c r="B4479" s="1" t="s">
        <v>297</v>
      </c>
      <c r="C4479" s="4">
        <v>6</v>
      </c>
      <c r="D4479" s="8">
        <v>7.32</v>
      </c>
      <c r="E4479" s="4">
        <v>3</v>
      </c>
      <c r="F4479" s="8">
        <v>7.32</v>
      </c>
      <c r="G4479" s="4">
        <v>2</v>
      </c>
      <c r="H4479" s="8">
        <v>5.26</v>
      </c>
      <c r="I4479" s="4">
        <v>0</v>
      </c>
    </row>
    <row r="4480" spans="1:9" x14ac:dyDescent="0.2">
      <c r="A4480" s="2">
        <v>3</v>
      </c>
      <c r="B4480" s="1" t="s">
        <v>339</v>
      </c>
      <c r="C4480" s="4">
        <v>5</v>
      </c>
      <c r="D4480" s="8">
        <v>6.1</v>
      </c>
      <c r="E4480" s="4">
        <v>2</v>
      </c>
      <c r="F4480" s="8">
        <v>4.88</v>
      </c>
      <c r="G4480" s="4">
        <v>3</v>
      </c>
      <c r="H4480" s="8">
        <v>7.89</v>
      </c>
      <c r="I4480" s="4">
        <v>0</v>
      </c>
    </row>
    <row r="4481" spans="1:9" x14ac:dyDescent="0.2">
      <c r="A4481" s="2">
        <v>3</v>
      </c>
      <c r="B4481" s="1" t="s">
        <v>299</v>
      </c>
      <c r="C4481" s="4">
        <v>5</v>
      </c>
      <c r="D4481" s="8">
        <v>6.1</v>
      </c>
      <c r="E4481" s="4">
        <v>4</v>
      </c>
      <c r="F4481" s="8">
        <v>9.76</v>
      </c>
      <c r="G4481" s="4">
        <v>1</v>
      </c>
      <c r="H4481" s="8">
        <v>2.63</v>
      </c>
      <c r="I4481" s="4">
        <v>0</v>
      </c>
    </row>
    <row r="4482" spans="1:9" x14ac:dyDescent="0.2">
      <c r="A4482" s="2">
        <v>5</v>
      </c>
      <c r="B4482" s="1" t="s">
        <v>304</v>
      </c>
      <c r="C4482" s="4">
        <v>3</v>
      </c>
      <c r="D4482" s="8">
        <v>3.66</v>
      </c>
      <c r="E4482" s="4">
        <v>3</v>
      </c>
      <c r="F4482" s="8">
        <v>7.32</v>
      </c>
      <c r="G4482" s="4">
        <v>0</v>
      </c>
      <c r="H4482" s="8">
        <v>0</v>
      </c>
      <c r="I4482" s="4">
        <v>0</v>
      </c>
    </row>
    <row r="4483" spans="1:9" x14ac:dyDescent="0.2">
      <c r="A4483" s="2">
        <v>5</v>
      </c>
      <c r="B4483" s="1" t="s">
        <v>331</v>
      </c>
      <c r="C4483" s="4">
        <v>3</v>
      </c>
      <c r="D4483" s="8">
        <v>3.66</v>
      </c>
      <c r="E4483" s="4">
        <v>0</v>
      </c>
      <c r="F4483" s="8">
        <v>0</v>
      </c>
      <c r="G4483" s="4">
        <v>2</v>
      </c>
      <c r="H4483" s="8">
        <v>5.26</v>
      </c>
      <c r="I4483" s="4">
        <v>0</v>
      </c>
    </row>
    <row r="4484" spans="1:9" x14ac:dyDescent="0.2">
      <c r="A4484" s="2">
        <v>7</v>
      </c>
      <c r="B4484" s="1" t="s">
        <v>289</v>
      </c>
      <c r="C4484" s="4">
        <v>2</v>
      </c>
      <c r="D4484" s="8">
        <v>2.44</v>
      </c>
      <c r="E4484" s="4">
        <v>0</v>
      </c>
      <c r="F4484" s="8">
        <v>0</v>
      </c>
      <c r="G4484" s="4">
        <v>2</v>
      </c>
      <c r="H4484" s="8">
        <v>5.26</v>
      </c>
      <c r="I4484" s="4">
        <v>0</v>
      </c>
    </row>
    <row r="4485" spans="1:9" x14ac:dyDescent="0.2">
      <c r="A4485" s="2">
        <v>7</v>
      </c>
      <c r="B4485" s="1" t="s">
        <v>291</v>
      </c>
      <c r="C4485" s="4">
        <v>2</v>
      </c>
      <c r="D4485" s="8">
        <v>2.44</v>
      </c>
      <c r="E4485" s="4">
        <v>1</v>
      </c>
      <c r="F4485" s="8">
        <v>2.44</v>
      </c>
      <c r="G4485" s="4">
        <v>1</v>
      </c>
      <c r="H4485" s="8">
        <v>2.63</v>
      </c>
      <c r="I4485" s="4">
        <v>0</v>
      </c>
    </row>
    <row r="4486" spans="1:9" x14ac:dyDescent="0.2">
      <c r="A4486" s="2">
        <v>7</v>
      </c>
      <c r="B4486" s="1" t="s">
        <v>336</v>
      </c>
      <c r="C4486" s="4">
        <v>2</v>
      </c>
      <c r="D4486" s="8">
        <v>2.44</v>
      </c>
      <c r="E4486" s="4">
        <v>2</v>
      </c>
      <c r="F4486" s="8">
        <v>4.88</v>
      </c>
      <c r="G4486" s="4">
        <v>0</v>
      </c>
      <c r="H4486" s="8">
        <v>0</v>
      </c>
      <c r="I4486" s="4">
        <v>0</v>
      </c>
    </row>
    <row r="4487" spans="1:9" x14ac:dyDescent="0.2">
      <c r="A4487" s="2">
        <v>7</v>
      </c>
      <c r="B4487" s="1" t="s">
        <v>329</v>
      </c>
      <c r="C4487" s="4">
        <v>2</v>
      </c>
      <c r="D4487" s="8">
        <v>2.44</v>
      </c>
      <c r="E4487" s="4">
        <v>1</v>
      </c>
      <c r="F4487" s="8">
        <v>2.44</v>
      </c>
      <c r="G4487" s="4">
        <v>1</v>
      </c>
      <c r="H4487" s="8">
        <v>2.63</v>
      </c>
      <c r="I4487" s="4">
        <v>0</v>
      </c>
    </row>
    <row r="4488" spans="1:9" x14ac:dyDescent="0.2">
      <c r="A4488" s="2">
        <v>7</v>
      </c>
      <c r="B4488" s="1" t="s">
        <v>292</v>
      </c>
      <c r="C4488" s="4">
        <v>2</v>
      </c>
      <c r="D4488" s="8">
        <v>2.44</v>
      </c>
      <c r="E4488" s="4">
        <v>1</v>
      </c>
      <c r="F4488" s="8">
        <v>2.44</v>
      </c>
      <c r="G4488" s="4">
        <v>1</v>
      </c>
      <c r="H4488" s="8">
        <v>2.63</v>
      </c>
      <c r="I4488" s="4">
        <v>0</v>
      </c>
    </row>
    <row r="4489" spans="1:9" x14ac:dyDescent="0.2">
      <c r="A4489" s="2">
        <v>7</v>
      </c>
      <c r="B4489" s="1" t="s">
        <v>330</v>
      </c>
      <c r="C4489" s="4">
        <v>2</v>
      </c>
      <c r="D4489" s="8">
        <v>2.44</v>
      </c>
      <c r="E4489" s="4">
        <v>2</v>
      </c>
      <c r="F4489" s="8">
        <v>4.88</v>
      </c>
      <c r="G4489" s="4">
        <v>0</v>
      </c>
      <c r="H4489" s="8">
        <v>0</v>
      </c>
      <c r="I4489" s="4">
        <v>0</v>
      </c>
    </row>
    <row r="4490" spans="1:9" x14ac:dyDescent="0.2">
      <c r="A4490" s="2">
        <v>7</v>
      </c>
      <c r="B4490" s="1" t="s">
        <v>337</v>
      </c>
      <c r="C4490" s="4">
        <v>2</v>
      </c>
      <c r="D4490" s="8">
        <v>2.44</v>
      </c>
      <c r="E4490" s="4">
        <v>2</v>
      </c>
      <c r="F4490" s="8">
        <v>4.88</v>
      </c>
      <c r="G4490" s="4">
        <v>0</v>
      </c>
      <c r="H4490" s="8">
        <v>0</v>
      </c>
      <c r="I4490" s="4">
        <v>0</v>
      </c>
    </row>
    <row r="4491" spans="1:9" x14ac:dyDescent="0.2">
      <c r="A4491" s="2">
        <v>7</v>
      </c>
      <c r="B4491" s="1" t="s">
        <v>303</v>
      </c>
      <c r="C4491" s="4">
        <v>2</v>
      </c>
      <c r="D4491" s="8">
        <v>2.44</v>
      </c>
      <c r="E4491" s="4">
        <v>2</v>
      </c>
      <c r="F4491" s="8">
        <v>4.88</v>
      </c>
      <c r="G4491" s="4">
        <v>0</v>
      </c>
      <c r="H4491" s="8">
        <v>0</v>
      </c>
      <c r="I4491" s="4">
        <v>0</v>
      </c>
    </row>
    <row r="4492" spans="1:9" x14ac:dyDescent="0.2">
      <c r="A4492" s="2">
        <v>7</v>
      </c>
      <c r="B4492" s="1" t="s">
        <v>371</v>
      </c>
      <c r="C4492" s="4">
        <v>2</v>
      </c>
      <c r="D4492" s="8">
        <v>2.44</v>
      </c>
      <c r="E4492" s="4">
        <v>2</v>
      </c>
      <c r="F4492" s="8">
        <v>4.88</v>
      </c>
      <c r="G4492" s="4">
        <v>0</v>
      </c>
      <c r="H4492" s="8">
        <v>0</v>
      </c>
      <c r="I4492" s="4">
        <v>0</v>
      </c>
    </row>
    <row r="4493" spans="1:9" x14ac:dyDescent="0.2">
      <c r="A4493" s="2">
        <v>7</v>
      </c>
      <c r="B4493" s="1" t="s">
        <v>318</v>
      </c>
      <c r="C4493" s="4">
        <v>2</v>
      </c>
      <c r="D4493" s="8">
        <v>2.44</v>
      </c>
      <c r="E4493" s="4">
        <v>0</v>
      </c>
      <c r="F4493" s="8">
        <v>0</v>
      </c>
      <c r="G4493" s="4">
        <v>2</v>
      </c>
      <c r="H4493" s="8">
        <v>5.26</v>
      </c>
      <c r="I4493" s="4">
        <v>0</v>
      </c>
    </row>
    <row r="4494" spans="1:9" x14ac:dyDescent="0.2">
      <c r="A4494" s="2">
        <v>17</v>
      </c>
      <c r="B4494" s="1" t="s">
        <v>333</v>
      </c>
      <c r="C4494" s="4">
        <v>1</v>
      </c>
      <c r="D4494" s="8">
        <v>1.22</v>
      </c>
      <c r="E4494" s="4">
        <v>0</v>
      </c>
      <c r="F4494" s="8">
        <v>0</v>
      </c>
      <c r="G4494" s="4">
        <v>1</v>
      </c>
      <c r="H4494" s="8">
        <v>2.63</v>
      </c>
      <c r="I4494" s="4">
        <v>0</v>
      </c>
    </row>
    <row r="4495" spans="1:9" x14ac:dyDescent="0.2">
      <c r="A4495" s="2">
        <v>17</v>
      </c>
      <c r="B4495" s="1" t="s">
        <v>290</v>
      </c>
      <c r="C4495" s="4">
        <v>1</v>
      </c>
      <c r="D4495" s="8">
        <v>1.22</v>
      </c>
      <c r="E4495" s="4">
        <v>0</v>
      </c>
      <c r="F4495" s="8">
        <v>0</v>
      </c>
      <c r="G4495" s="4">
        <v>1</v>
      </c>
      <c r="H4495" s="8">
        <v>2.63</v>
      </c>
      <c r="I4495" s="4">
        <v>0</v>
      </c>
    </row>
    <row r="4496" spans="1:9" x14ac:dyDescent="0.2">
      <c r="A4496" s="2">
        <v>17</v>
      </c>
      <c r="B4496" s="1" t="s">
        <v>443</v>
      </c>
      <c r="C4496" s="4">
        <v>1</v>
      </c>
      <c r="D4496" s="8">
        <v>1.22</v>
      </c>
      <c r="E4496" s="4">
        <v>0</v>
      </c>
      <c r="F4496" s="8">
        <v>0</v>
      </c>
      <c r="G4496" s="4">
        <v>1</v>
      </c>
      <c r="H4496" s="8">
        <v>2.63</v>
      </c>
      <c r="I4496" s="4">
        <v>0</v>
      </c>
    </row>
    <row r="4497" spans="1:9" x14ac:dyDescent="0.2">
      <c r="A4497" s="2">
        <v>17</v>
      </c>
      <c r="B4497" s="1" t="s">
        <v>510</v>
      </c>
      <c r="C4497" s="4">
        <v>1</v>
      </c>
      <c r="D4497" s="8">
        <v>1.22</v>
      </c>
      <c r="E4497" s="4">
        <v>1</v>
      </c>
      <c r="F4497" s="8">
        <v>2.44</v>
      </c>
      <c r="G4497" s="4">
        <v>0</v>
      </c>
      <c r="H4497" s="8">
        <v>0</v>
      </c>
      <c r="I4497" s="4">
        <v>0</v>
      </c>
    </row>
    <row r="4498" spans="1:9" x14ac:dyDescent="0.2">
      <c r="A4498" s="2">
        <v>17</v>
      </c>
      <c r="B4498" s="1" t="s">
        <v>511</v>
      </c>
      <c r="C4498" s="4">
        <v>1</v>
      </c>
      <c r="D4498" s="8">
        <v>1.22</v>
      </c>
      <c r="E4498" s="4">
        <v>0</v>
      </c>
      <c r="F4498" s="8">
        <v>0</v>
      </c>
      <c r="G4498" s="4">
        <v>1</v>
      </c>
      <c r="H4498" s="8">
        <v>2.63</v>
      </c>
      <c r="I4498" s="4">
        <v>0</v>
      </c>
    </row>
    <row r="4499" spans="1:9" x14ac:dyDescent="0.2">
      <c r="A4499" s="2">
        <v>17</v>
      </c>
      <c r="B4499" s="1" t="s">
        <v>384</v>
      </c>
      <c r="C4499" s="4">
        <v>1</v>
      </c>
      <c r="D4499" s="8">
        <v>1.22</v>
      </c>
      <c r="E4499" s="4">
        <v>0</v>
      </c>
      <c r="F4499" s="8">
        <v>0</v>
      </c>
      <c r="G4499" s="4">
        <v>1</v>
      </c>
      <c r="H4499" s="8">
        <v>2.63</v>
      </c>
      <c r="I4499" s="4">
        <v>0</v>
      </c>
    </row>
    <row r="4500" spans="1:9" x14ac:dyDescent="0.2">
      <c r="A4500" s="2">
        <v>17</v>
      </c>
      <c r="B4500" s="1" t="s">
        <v>512</v>
      </c>
      <c r="C4500" s="4">
        <v>1</v>
      </c>
      <c r="D4500" s="8">
        <v>1.22</v>
      </c>
      <c r="E4500" s="4">
        <v>0</v>
      </c>
      <c r="F4500" s="8">
        <v>0</v>
      </c>
      <c r="G4500" s="4">
        <v>1</v>
      </c>
      <c r="H4500" s="8">
        <v>2.63</v>
      </c>
      <c r="I4500" s="4">
        <v>0</v>
      </c>
    </row>
    <row r="4501" spans="1:9" x14ac:dyDescent="0.2">
      <c r="A4501" s="2">
        <v>17</v>
      </c>
      <c r="B4501" s="1" t="s">
        <v>385</v>
      </c>
      <c r="C4501" s="4">
        <v>1</v>
      </c>
      <c r="D4501" s="8">
        <v>1.22</v>
      </c>
      <c r="E4501" s="4">
        <v>0</v>
      </c>
      <c r="F4501" s="8">
        <v>0</v>
      </c>
      <c r="G4501" s="4">
        <v>1</v>
      </c>
      <c r="H4501" s="8">
        <v>2.63</v>
      </c>
      <c r="I4501" s="4">
        <v>0</v>
      </c>
    </row>
    <row r="4502" spans="1:9" x14ac:dyDescent="0.2">
      <c r="A4502" s="2">
        <v>17</v>
      </c>
      <c r="B4502" s="1" t="s">
        <v>362</v>
      </c>
      <c r="C4502" s="4">
        <v>1</v>
      </c>
      <c r="D4502" s="8">
        <v>1.22</v>
      </c>
      <c r="E4502" s="4">
        <v>0</v>
      </c>
      <c r="F4502" s="8">
        <v>0</v>
      </c>
      <c r="G4502" s="4">
        <v>0</v>
      </c>
      <c r="H4502" s="8">
        <v>0</v>
      </c>
      <c r="I4502" s="4">
        <v>0</v>
      </c>
    </row>
    <row r="4503" spans="1:9" x14ac:dyDescent="0.2">
      <c r="A4503" s="2">
        <v>17</v>
      </c>
      <c r="B4503" s="1" t="s">
        <v>326</v>
      </c>
      <c r="C4503" s="4">
        <v>1</v>
      </c>
      <c r="D4503" s="8">
        <v>1.22</v>
      </c>
      <c r="E4503" s="4">
        <v>0</v>
      </c>
      <c r="F4503" s="8">
        <v>0</v>
      </c>
      <c r="G4503" s="4">
        <v>1</v>
      </c>
      <c r="H4503" s="8">
        <v>2.63</v>
      </c>
      <c r="I4503" s="4">
        <v>0</v>
      </c>
    </row>
    <row r="4504" spans="1:9" x14ac:dyDescent="0.2">
      <c r="A4504" s="2">
        <v>17</v>
      </c>
      <c r="B4504" s="1" t="s">
        <v>324</v>
      </c>
      <c r="C4504" s="4">
        <v>1</v>
      </c>
      <c r="D4504" s="8">
        <v>1.22</v>
      </c>
      <c r="E4504" s="4">
        <v>0</v>
      </c>
      <c r="F4504" s="8">
        <v>0</v>
      </c>
      <c r="G4504" s="4">
        <v>1</v>
      </c>
      <c r="H4504" s="8">
        <v>2.63</v>
      </c>
      <c r="I4504" s="4">
        <v>0</v>
      </c>
    </row>
    <row r="4505" spans="1:9" x14ac:dyDescent="0.2">
      <c r="A4505" s="2">
        <v>17</v>
      </c>
      <c r="B4505" s="1" t="s">
        <v>452</v>
      </c>
      <c r="C4505" s="4">
        <v>1</v>
      </c>
      <c r="D4505" s="8">
        <v>1.22</v>
      </c>
      <c r="E4505" s="4">
        <v>0</v>
      </c>
      <c r="F4505" s="8">
        <v>0</v>
      </c>
      <c r="G4505" s="4">
        <v>1</v>
      </c>
      <c r="H4505" s="8">
        <v>2.63</v>
      </c>
      <c r="I4505" s="4">
        <v>0</v>
      </c>
    </row>
    <row r="4506" spans="1:9" x14ac:dyDescent="0.2">
      <c r="A4506" s="2">
        <v>17</v>
      </c>
      <c r="B4506" s="1" t="s">
        <v>314</v>
      </c>
      <c r="C4506" s="4">
        <v>1</v>
      </c>
      <c r="D4506" s="8">
        <v>1.22</v>
      </c>
      <c r="E4506" s="4">
        <v>1</v>
      </c>
      <c r="F4506" s="8">
        <v>2.44</v>
      </c>
      <c r="G4506" s="4">
        <v>0</v>
      </c>
      <c r="H4506" s="8">
        <v>0</v>
      </c>
      <c r="I4506" s="4">
        <v>0</v>
      </c>
    </row>
    <row r="4507" spans="1:9" x14ac:dyDescent="0.2">
      <c r="A4507" s="2">
        <v>17</v>
      </c>
      <c r="B4507" s="1" t="s">
        <v>354</v>
      </c>
      <c r="C4507" s="4">
        <v>1</v>
      </c>
      <c r="D4507" s="8">
        <v>1.22</v>
      </c>
      <c r="E4507" s="4">
        <v>1</v>
      </c>
      <c r="F4507" s="8">
        <v>2.44</v>
      </c>
      <c r="G4507" s="4">
        <v>0</v>
      </c>
      <c r="H4507" s="8">
        <v>0</v>
      </c>
      <c r="I4507" s="4">
        <v>0</v>
      </c>
    </row>
    <row r="4508" spans="1:9" x14ac:dyDescent="0.2">
      <c r="A4508" s="2">
        <v>17</v>
      </c>
      <c r="B4508" s="1" t="s">
        <v>366</v>
      </c>
      <c r="C4508" s="4">
        <v>1</v>
      </c>
      <c r="D4508" s="8">
        <v>1.22</v>
      </c>
      <c r="E4508" s="4">
        <v>1</v>
      </c>
      <c r="F4508" s="8">
        <v>2.44</v>
      </c>
      <c r="G4508" s="4">
        <v>0</v>
      </c>
      <c r="H4508" s="8">
        <v>0</v>
      </c>
      <c r="I4508" s="4">
        <v>0</v>
      </c>
    </row>
    <row r="4509" spans="1:9" x14ac:dyDescent="0.2">
      <c r="A4509" s="2">
        <v>17</v>
      </c>
      <c r="B4509" s="1" t="s">
        <v>373</v>
      </c>
      <c r="C4509" s="4">
        <v>1</v>
      </c>
      <c r="D4509" s="8">
        <v>1.22</v>
      </c>
      <c r="E4509" s="4">
        <v>1</v>
      </c>
      <c r="F4509" s="8">
        <v>2.44</v>
      </c>
      <c r="G4509" s="4">
        <v>0</v>
      </c>
      <c r="H4509" s="8">
        <v>0</v>
      </c>
      <c r="I4509" s="4">
        <v>0</v>
      </c>
    </row>
    <row r="4510" spans="1:9" x14ac:dyDescent="0.2">
      <c r="A4510" s="2">
        <v>17</v>
      </c>
      <c r="B4510" s="1" t="s">
        <v>355</v>
      </c>
      <c r="C4510" s="4">
        <v>1</v>
      </c>
      <c r="D4510" s="8">
        <v>1.22</v>
      </c>
      <c r="E4510" s="4">
        <v>0</v>
      </c>
      <c r="F4510" s="8">
        <v>0</v>
      </c>
      <c r="G4510" s="4">
        <v>1</v>
      </c>
      <c r="H4510" s="8">
        <v>2.63</v>
      </c>
      <c r="I4510" s="4">
        <v>0</v>
      </c>
    </row>
    <row r="4511" spans="1:9" x14ac:dyDescent="0.2">
      <c r="A4511" s="2">
        <v>17</v>
      </c>
      <c r="B4511" s="1" t="s">
        <v>322</v>
      </c>
      <c r="C4511" s="4">
        <v>1</v>
      </c>
      <c r="D4511" s="8">
        <v>1.22</v>
      </c>
      <c r="E4511" s="4">
        <v>0</v>
      </c>
      <c r="F4511" s="8">
        <v>0</v>
      </c>
      <c r="G4511" s="4">
        <v>1</v>
      </c>
      <c r="H4511" s="8">
        <v>2.63</v>
      </c>
      <c r="I4511" s="4">
        <v>0</v>
      </c>
    </row>
    <row r="4512" spans="1:9" x14ac:dyDescent="0.2">
      <c r="A4512" s="2">
        <v>17</v>
      </c>
      <c r="B4512" s="1" t="s">
        <v>296</v>
      </c>
      <c r="C4512" s="4">
        <v>1</v>
      </c>
      <c r="D4512" s="8">
        <v>1.22</v>
      </c>
      <c r="E4512" s="4">
        <v>0</v>
      </c>
      <c r="F4512" s="8">
        <v>0</v>
      </c>
      <c r="G4512" s="4">
        <v>1</v>
      </c>
      <c r="H4512" s="8">
        <v>2.63</v>
      </c>
      <c r="I4512" s="4">
        <v>0</v>
      </c>
    </row>
    <row r="4513" spans="1:9" x14ac:dyDescent="0.2">
      <c r="A4513" s="2">
        <v>17</v>
      </c>
      <c r="B4513" s="1" t="s">
        <v>513</v>
      </c>
      <c r="C4513" s="4">
        <v>1</v>
      </c>
      <c r="D4513" s="8">
        <v>1.22</v>
      </c>
      <c r="E4513" s="4">
        <v>1</v>
      </c>
      <c r="F4513" s="8">
        <v>2.44</v>
      </c>
      <c r="G4513" s="4">
        <v>0</v>
      </c>
      <c r="H4513" s="8">
        <v>0</v>
      </c>
      <c r="I4513" s="4">
        <v>0</v>
      </c>
    </row>
    <row r="4514" spans="1:9" x14ac:dyDescent="0.2">
      <c r="A4514" s="2">
        <v>17</v>
      </c>
      <c r="B4514" s="1" t="s">
        <v>403</v>
      </c>
      <c r="C4514" s="4">
        <v>1</v>
      </c>
      <c r="D4514" s="8">
        <v>1.22</v>
      </c>
      <c r="E4514" s="4">
        <v>0</v>
      </c>
      <c r="F4514" s="8">
        <v>0</v>
      </c>
      <c r="G4514" s="4">
        <v>1</v>
      </c>
      <c r="H4514" s="8">
        <v>2.63</v>
      </c>
      <c r="I4514" s="4">
        <v>0</v>
      </c>
    </row>
    <row r="4515" spans="1:9" x14ac:dyDescent="0.2">
      <c r="A4515" s="2">
        <v>17</v>
      </c>
      <c r="B4515" s="1" t="s">
        <v>495</v>
      </c>
      <c r="C4515" s="4">
        <v>1</v>
      </c>
      <c r="D4515" s="8">
        <v>1.22</v>
      </c>
      <c r="E4515" s="4">
        <v>0</v>
      </c>
      <c r="F4515" s="8">
        <v>0</v>
      </c>
      <c r="G4515" s="4">
        <v>1</v>
      </c>
      <c r="H4515" s="8">
        <v>2.63</v>
      </c>
      <c r="I4515" s="4">
        <v>0</v>
      </c>
    </row>
    <row r="4516" spans="1:9" x14ac:dyDescent="0.2">
      <c r="A4516" s="2">
        <v>17</v>
      </c>
      <c r="B4516" s="1" t="s">
        <v>418</v>
      </c>
      <c r="C4516" s="4">
        <v>1</v>
      </c>
      <c r="D4516" s="8">
        <v>1.22</v>
      </c>
      <c r="E4516" s="4">
        <v>0</v>
      </c>
      <c r="F4516" s="8">
        <v>0</v>
      </c>
      <c r="G4516" s="4">
        <v>1</v>
      </c>
      <c r="H4516" s="8">
        <v>2.63</v>
      </c>
      <c r="I4516" s="4">
        <v>0</v>
      </c>
    </row>
    <row r="4517" spans="1:9" x14ac:dyDescent="0.2">
      <c r="A4517" s="2">
        <v>17</v>
      </c>
      <c r="B4517" s="1" t="s">
        <v>419</v>
      </c>
      <c r="C4517" s="4">
        <v>1</v>
      </c>
      <c r="D4517" s="8">
        <v>1.22</v>
      </c>
      <c r="E4517" s="4">
        <v>1</v>
      </c>
      <c r="F4517" s="8">
        <v>2.44</v>
      </c>
      <c r="G4517" s="4">
        <v>0</v>
      </c>
      <c r="H4517" s="8">
        <v>0</v>
      </c>
      <c r="I4517" s="4">
        <v>0</v>
      </c>
    </row>
    <row r="4518" spans="1:9" x14ac:dyDescent="0.2">
      <c r="A4518" s="2">
        <v>17</v>
      </c>
      <c r="B4518" s="1" t="s">
        <v>349</v>
      </c>
      <c r="C4518" s="4">
        <v>1</v>
      </c>
      <c r="D4518" s="8">
        <v>1.22</v>
      </c>
      <c r="E4518" s="4">
        <v>1</v>
      </c>
      <c r="F4518" s="8">
        <v>2.44</v>
      </c>
      <c r="G4518" s="4">
        <v>0</v>
      </c>
      <c r="H4518" s="8">
        <v>0</v>
      </c>
      <c r="I4518" s="4">
        <v>0</v>
      </c>
    </row>
    <row r="4519" spans="1:9" x14ac:dyDescent="0.2">
      <c r="A4519" s="2">
        <v>17</v>
      </c>
      <c r="B4519" s="1" t="s">
        <v>300</v>
      </c>
      <c r="C4519" s="4">
        <v>1</v>
      </c>
      <c r="D4519" s="8">
        <v>1.22</v>
      </c>
      <c r="E4519" s="4">
        <v>1</v>
      </c>
      <c r="F4519" s="8">
        <v>2.44</v>
      </c>
      <c r="G4519" s="4">
        <v>0</v>
      </c>
      <c r="H4519" s="8">
        <v>0</v>
      </c>
      <c r="I4519" s="4">
        <v>0</v>
      </c>
    </row>
    <row r="4520" spans="1:9" x14ac:dyDescent="0.2">
      <c r="A4520" s="2">
        <v>17</v>
      </c>
      <c r="B4520" s="1" t="s">
        <v>302</v>
      </c>
      <c r="C4520" s="4">
        <v>1</v>
      </c>
      <c r="D4520" s="8">
        <v>1.22</v>
      </c>
      <c r="E4520" s="4">
        <v>1</v>
      </c>
      <c r="F4520" s="8">
        <v>2.44</v>
      </c>
      <c r="G4520" s="4">
        <v>0</v>
      </c>
      <c r="H4520" s="8">
        <v>0</v>
      </c>
      <c r="I4520" s="4">
        <v>0</v>
      </c>
    </row>
    <row r="4521" spans="1:9" x14ac:dyDescent="0.2">
      <c r="A4521" s="2">
        <v>17</v>
      </c>
      <c r="B4521" s="1" t="s">
        <v>325</v>
      </c>
      <c r="C4521" s="4">
        <v>1</v>
      </c>
      <c r="D4521" s="8">
        <v>1.22</v>
      </c>
      <c r="E4521" s="4">
        <v>0</v>
      </c>
      <c r="F4521" s="8">
        <v>0</v>
      </c>
      <c r="G4521" s="4">
        <v>1</v>
      </c>
      <c r="H4521" s="8">
        <v>2.63</v>
      </c>
      <c r="I4521" s="4">
        <v>0</v>
      </c>
    </row>
    <row r="4522" spans="1:9" x14ac:dyDescent="0.2">
      <c r="A4522" s="2">
        <v>17</v>
      </c>
      <c r="B4522" s="1" t="s">
        <v>352</v>
      </c>
      <c r="C4522" s="4">
        <v>1</v>
      </c>
      <c r="D4522" s="8">
        <v>1.22</v>
      </c>
      <c r="E4522" s="4">
        <v>1</v>
      </c>
      <c r="F4522" s="8">
        <v>2.44</v>
      </c>
      <c r="G4522" s="4">
        <v>0</v>
      </c>
      <c r="H4522" s="8">
        <v>0</v>
      </c>
      <c r="I4522" s="4">
        <v>0</v>
      </c>
    </row>
    <row r="4523" spans="1:9" x14ac:dyDescent="0.2">
      <c r="A4523" s="2">
        <v>17</v>
      </c>
      <c r="B4523" s="1" t="s">
        <v>340</v>
      </c>
      <c r="C4523" s="4">
        <v>1</v>
      </c>
      <c r="D4523" s="8">
        <v>1.22</v>
      </c>
      <c r="E4523" s="4">
        <v>1</v>
      </c>
      <c r="F4523" s="8">
        <v>2.44</v>
      </c>
      <c r="G4523" s="4">
        <v>0</v>
      </c>
      <c r="H4523" s="8">
        <v>0</v>
      </c>
      <c r="I4523" s="4">
        <v>0</v>
      </c>
    </row>
    <row r="4524" spans="1:9" x14ac:dyDescent="0.2">
      <c r="A4524" s="2">
        <v>17</v>
      </c>
      <c r="B4524" s="1" t="s">
        <v>305</v>
      </c>
      <c r="C4524" s="4">
        <v>1</v>
      </c>
      <c r="D4524" s="8">
        <v>1.22</v>
      </c>
      <c r="E4524" s="4">
        <v>0</v>
      </c>
      <c r="F4524" s="8">
        <v>0</v>
      </c>
      <c r="G4524" s="4">
        <v>1</v>
      </c>
      <c r="H4524" s="8">
        <v>2.63</v>
      </c>
      <c r="I4524" s="4">
        <v>0</v>
      </c>
    </row>
    <row r="4525" spans="1:9" x14ac:dyDescent="0.2">
      <c r="A4525" s="2">
        <v>17</v>
      </c>
      <c r="B4525" s="1" t="s">
        <v>312</v>
      </c>
      <c r="C4525" s="4">
        <v>1</v>
      </c>
      <c r="D4525" s="8">
        <v>1.22</v>
      </c>
      <c r="E4525" s="4">
        <v>0</v>
      </c>
      <c r="F4525" s="8">
        <v>0</v>
      </c>
      <c r="G4525" s="4">
        <v>1</v>
      </c>
      <c r="H4525" s="8">
        <v>2.63</v>
      </c>
      <c r="I4525" s="4">
        <v>0</v>
      </c>
    </row>
    <row r="4526" spans="1:9" x14ac:dyDescent="0.2">
      <c r="A4526" s="2">
        <v>17</v>
      </c>
      <c r="B4526" s="1" t="s">
        <v>369</v>
      </c>
      <c r="C4526" s="4">
        <v>1</v>
      </c>
      <c r="D4526" s="8">
        <v>1.22</v>
      </c>
      <c r="E4526" s="4">
        <v>0</v>
      </c>
      <c r="F4526" s="8">
        <v>0</v>
      </c>
      <c r="G4526" s="4">
        <v>1</v>
      </c>
      <c r="H4526" s="8">
        <v>2.63</v>
      </c>
      <c r="I4526" s="4">
        <v>0</v>
      </c>
    </row>
    <row r="4527" spans="1:9" x14ac:dyDescent="0.2">
      <c r="A4527" s="2">
        <v>17</v>
      </c>
      <c r="B4527" s="1" t="s">
        <v>307</v>
      </c>
      <c r="C4527" s="4">
        <v>1</v>
      </c>
      <c r="D4527" s="8">
        <v>1.22</v>
      </c>
      <c r="E4527" s="4">
        <v>0</v>
      </c>
      <c r="F4527" s="8">
        <v>0</v>
      </c>
      <c r="G4527" s="4">
        <v>1</v>
      </c>
      <c r="H4527" s="8">
        <v>2.63</v>
      </c>
      <c r="I4527" s="4">
        <v>0</v>
      </c>
    </row>
    <row r="4528" spans="1:9" x14ac:dyDescent="0.2">
      <c r="A4528" s="1"/>
      <c r="C4528" s="4"/>
      <c r="D4528" s="8"/>
      <c r="E4528" s="4"/>
      <c r="F4528" s="8"/>
      <c r="G4528" s="4"/>
      <c r="H4528" s="8"/>
      <c r="I4528" s="4"/>
    </row>
    <row r="4529" spans="1:9" x14ac:dyDescent="0.2">
      <c r="A4529" s="1" t="s">
        <v>149</v>
      </c>
      <c r="C4529" s="4"/>
      <c r="D4529" s="8"/>
      <c r="E4529" s="4"/>
      <c r="F4529" s="8"/>
      <c r="G4529" s="4"/>
      <c r="H4529" s="8"/>
      <c r="I4529" s="4"/>
    </row>
    <row r="4530" spans="1:9" x14ac:dyDescent="0.2">
      <c r="A4530" s="2">
        <v>1</v>
      </c>
      <c r="B4530" s="1" t="s">
        <v>304</v>
      </c>
      <c r="C4530" s="4">
        <v>19</v>
      </c>
      <c r="D4530" s="8">
        <v>4.67</v>
      </c>
      <c r="E4530" s="4">
        <v>19</v>
      </c>
      <c r="F4530" s="8">
        <v>9.4499999999999993</v>
      </c>
      <c r="G4530" s="4">
        <v>0</v>
      </c>
      <c r="H4530" s="8">
        <v>0</v>
      </c>
      <c r="I4530" s="4">
        <v>0</v>
      </c>
    </row>
    <row r="4531" spans="1:9" x14ac:dyDescent="0.2">
      <c r="A4531" s="2">
        <v>2</v>
      </c>
      <c r="B4531" s="1" t="s">
        <v>303</v>
      </c>
      <c r="C4531" s="4">
        <v>18</v>
      </c>
      <c r="D4531" s="8">
        <v>4.42</v>
      </c>
      <c r="E4531" s="4">
        <v>17</v>
      </c>
      <c r="F4531" s="8">
        <v>8.4600000000000009</v>
      </c>
      <c r="G4531" s="4">
        <v>1</v>
      </c>
      <c r="H4531" s="8">
        <v>0.51</v>
      </c>
      <c r="I4531" s="4">
        <v>0</v>
      </c>
    </row>
    <row r="4532" spans="1:9" x14ac:dyDescent="0.2">
      <c r="A4532" s="2">
        <v>3</v>
      </c>
      <c r="B4532" s="1" t="s">
        <v>299</v>
      </c>
      <c r="C4532" s="4">
        <v>17</v>
      </c>
      <c r="D4532" s="8">
        <v>4.18</v>
      </c>
      <c r="E4532" s="4">
        <v>14</v>
      </c>
      <c r="F4532" s="8">
        <v>6.97</v>
      </c>
      <c r="G4532" s="4">
        <v>3</v>
      </c>
      <c r="H4532" s="8">
        <v>1.54</v>
      </c>
      <c r="I4532" s="4">
        <v>0</v>
      </c>
    </row>
    <row r="4533" spans="1:9" x14ac:dyDescent="0.2">
      <c r="A4533" s="2">
        <v>4</v>
      </c>
      <c r="B4533" s="1" t="s">
        <v>301</v>
      </c>
      <c r="C4533" s="4">
        <v>16</v>
      </c>
      <c r="D4533" s="8">
        <v>3.93</v>
      </c>
      <c r="E4533" s="4">
        <v>15</v>
      </c>
      <c r="F4533" s="8">
        <v>7.46</v>
      </c>
      <c r="G4533" s="4">
        <v>1</v>
      </c>
      <c r="H4533" s="8">
        <v>0.51</v>
      </c>
      <c r="I4533" s="4">
        <v>0</v>
      </c>
    </row>
    <row r="4534" spans="1:9" x14ac:dyDescent="0.2">
      <c r="A4534" s="2">
        <v>5</v>
      </c>
      <c r="B4534" s="1" t="s">
        <v>342</v>
      </c>
      <c r="C4534" s="4">
        <v>12</v>
      </c>
      <c r="D4534" s="8">
        <v>2.95</v>
      </c>
      <c r="E4534" s="4">
        <v>5</v>
      </c>
      <c r="F4534" s="8">
        <v>2.4900000000000002</v>
      </c>
      <c r="G4534" s="4">
        <v>7</v>
      </c>
      <c r="H4534" s="8">
        <v>3.59</v>
      </c>
      <c r="I4534" s="4">
        <v>0</v>
      </c>
    </row>
    <row r="4535" spans="1:9" x14ac:dyDescent="0.2">
      <c r="A4535" s="2">
        <v>6</v>
      </c>
      <c r="B4535" s="1" t="s">
        <v>307</v>
      </c>
      <c r="C4535" s="4">
        <v>11</v>
      </c>
      <c r="D4535" s="8">
        <v>2.7</v>
      </c>
      <c r="E4535" s="4">
        <v>7</v>
      </c>
      <c r="F4535" s="8">
        <v>3.48</v>
      </c>
      <c r="G4535" s="4">
        <v>4</v>
      </c>
      <c r="H4535" s="8">
        <v>2.0499999999999998</v>
      </c>
      <c r="I4535" s="4">
        <v>0</v>
      </c>
    </row>
    <row r="4536" spans="1:9" x14ac:dyDescent="0.2">
      <c r="A4536" s="2">
        <v>7</v>
      </c>
      <c r="B4536" s="1" t="s">
        <v>297</v>
      </c>
      <c r="C4536" s="4">
        <v>10</v>
      </c>
      <c r="D4536" s="8">
        <v>2.46</v>
      </c>
      <c r="E4536" s="4">
        <v>7</v>
      </c>
      <c r="F4536" s="8">
        <v>3.48</v>
      </c>
      <c r="G4536" s="4">
        <v>3</v>
      </c>
      <c r="H4536" s="8">
        <v>1.54</v>
      </c>
      <c r="I4536" s="4">
        <v>0</v>
      </c>
    </row>
    <row r="4537" spans="1:9" x14ac:dyDescent="0.2">
      <c r="A4537" s="2">
        <v>8</v>
      </c>
      <c r="B4537" s="1" t="s">
        <v>292</v>
      </c>
      <c r="C4537" s="4">
        <v>9</v>
      </c>
      <c r="D4537" s="8">
        <v>2.21</v>
      </c>
      <c r="E4537" s="4">
        <v>5</v>
      </c>
      <c r="F4537" s="8">
        <v>2.4900000000000002</v>
      </c>
      <c r="G4537" s="4">
        <v>4</v>
      </c>
      <c r="H4537" s="8">
        <v>2.0499999999999998</v>
      </c>
      <c r="I4537" s="4">
        <v>0</v>
      </c>
    </row>
    <row r="4538" spans="1:9" x14ac:dyDescent="0.2">
      <c r="A4538" s="2">
        <v>9</v>
      </c>
      <c r="B4538" s="1" t="s">
        <v>288</v>
      </c>
      <c r="C4538" s="4">
        <v>8</v>
      </c>
      <c r="D4538" s="8">
        <v>1.97</v>
      </c>
      <c r="E4538" s="4">
        <v>1</v>
      </c>
      <c r="F4538" s="8">
        <v>0.5</v>
      </c>
      <c r="G4538" s="4">
        <v>7</v>
      </c>
      <c r="H4538" s="8">
        <v>3.59</v>
      </c>
      <c r="I4538" s="4">
        <v>0</v>
      </c>
    </row>
    <row r="4539" spans="1:9" x14ac:dyDescent="0.2">
      <c r="A4539" s="2">
        <v>9</v>
      </c>
      <c r="B4539" s="1" t="s">
        <v>328</v>
      </c>
      <c r="C4539" s="4">
        <v>8</v>
      </c>
      <c r="D4539" s="8">
        <v>1.97</v>
      </c>
      <c r="E4539" s="4">
        <v>6</v>
      </c>
      <c r="F4539" s="8">
        <v>2.99</v>
      </c>
      <c r="G4539" s="4">
        <v>2</v>
      </c>
      <c r="H4539" s="8">
        <v>1.03</v>
      </c>
      <c r="I4539" s="4">
        <v>0</v>
      </c>
    </row>
    <row r="4540" spans="1:9" x14ac:dyDescent="0.2">
      <c r="A4540" s="2">
        <v>9</v>
      </c>
      <c r="B4540" s="1" t="s">
        <v>346</v>
      </c>
      <c r="C4540" s="4">
        <v>8</v>
      </c>
      <c r="D4540" s="8">
        <v>1.97</v>
      </c>
      <c r="E4540" s="4">
        <v>1</v>
      </c>
      <c r="F4540" s="8">
        <v>0.5</v>
      </c>
      <c r="G4540" s="4">
        <v>7</v>
      </c>
      <c r="H4540" s="8">
        <v>3.59</v>
      </c>
      <c r="I4540" s="4">
        <v>0</v>
      </c>
    </row>
    <row r="4541" spans="1:9" x14ac:dyDescent="0.2">
      <c r="A4541" s="2">
        <v>9</v>
      </c>
      <c r="B4541" s="1" t="s">
        <v>339</v>
      </c>
      <c r="C4541" s="4">
        <v>8</v>
      </c>
      <c r="D4541" s="8">
        <v>1.97</v>
      </c>
      <c r="E4541" s="4">
        <v>6</v>
      </c>
      <c r="F4541" s="8">
        <v>2.99</v>
      </c>
      <c r="G4541" s="4">
        <v>2</v>
      </c>
      <c r="H4541" s="8">
        <v>1.03</v>
      </c>
      <c r="I4541" s="4">
        <v>0</v>
      </c>
    </row>
    <row r="4542" spans="1:9" x14ac:dyDescent="0.2">
      <c r="A4542" s="2">
        <v>13</v>
      </c>
      <c r="B4542" s="1" t="s">
        <v>290</v>
      </c>
      <c r="C4542" s="4">
        <v>7</v>
      </c>
      <c r="D4542" s="8">
        <v>1.72</v>
      </c>
      <c r="E4542" s="4">
        <v>2</v>
      </c>
      <c r="F4542" s="8">
        <v>1</v>
      </c>
      <c r="G4542" s="4">
        <v>5</v>
      </c>
      <c r="H4542" s="8">
        <v>2.56</v>
      </c>
      <c r="I4542" s="4">
        <v>0</v>
      </c>
    </row>
    <row r="4543" spans="1:9" x14ac:dyDescent="0.2">
      <c r="A4543" s="2">
        <v>13</v>
      </c>
      <c r="B4543" s="1" t="s">
        <v>329</v>
      </c>
      <c r="C4543" s="4">
        <v>7</v>
      </c>
      <c r="D4543" s="8">
        <v>1.72</v>
      </c>
      <c r="E4543" s="4">
        <v>3</v>
      </c>
      <c r="F4543" s="8">
        <v>1.49</v>
      </c>
      <c r="G4543" s="4">
        <v>4</v>
      </c>
      <c r="H4543" s="8">
        <v>2.0499999999999998</v>
      </c>
      <c r="I4543" s="4">
        <v>0</v>
      </c>
    </row>
    <row r="4544" spans="1:9" x14ac:dyDescent="0.2">
      <c r="A4544" s="2">
        <v>13</v>
      </c>
      <c r="B4544" s="1" t="s">
        <v>330</v>
      </c>
      <c r="C4544" s="4">
        <v>7</v>
      </c>
      <c r="D4544" s="8">
        <v>1.72</v>
      </c>
      <c r="E4544" s="4">
        <v>1</v>
      </c>
      <c r="F4544" s="8">
        <v>0.5</v>
      </c>
      <c r="G4544" s="4">
        <v>6</v>
      </c>
      <c r="H4544" s="8">
        <v>3.08</v>
      </c>
      <c r="I4544" s="4">
        <v>0</v>
      </c>
    </row>
    <row r="4545" spans="1:9" x14ac:dyDescent="0.2">
      <c r="A4545" s="2">
        <v>13</v>
      </c>
      <c r="B4545" s="1" t="s">
        <v>302</v>
      </c>
      <c r="C4545" s="4">
        <v>7</v>
      </c>
      <c r="D4545" s="8">
        <v>1.72</v>
      </c>
      <c r="E4545" s="4">
        <v>5</v>
      </c>
      <c r="F4545" s="8">
        <v>2.4900000000000002</v>
      </c>
      <c r="G4545" s="4">
        <v>2</v>
      </c>
      <c r="H4545" s="8">
        <v>1.03</v>
      </c>
      <c r="I4545" s="4">
        <v>0</v>
      </c>
    </row>
    <row r="4546" spans="1:9" x14ac:dyDescent="0.2">
      <c r="A4546" s="2">
        <v>17</v>
      </c>
      <c r="B4546" s="1" t="s">
        <v>385</v>
      </c>
      <c r="C4546" s="4">
        <v>6</v>
      </c>
      <c r="D4546" s="8">
        <v>1.47</v>
      </c>
      <c r="E4546" s="4">
        <v>0</v>
      </c>
      <c r="F4546" s="8">
        <v>0</v>
      </c>
      <c r="G4546" s="4">
        <v>6</v>
      </c>
      <c r="H4546" s="8">
        <v>3.08</v>
      </c>
      <c r="I4546" s="4">
        <v>0</v>
      </c>
    </row>
    <row r="4547" spans="1:9" x14ac:dyDescent="0.2">
      <c r="A4547" s="2">
        <v>17</v>
      </c>
      <c r="B4547" s="1" t="s">
        <v>293</v>
      </c>
      <c r="C4547" s="4">
        <v>6</v>
      </c>
      <c r="D4547" s="8">
        <v>1.47</v>
      </c>
      <c r="E4547" s="4">
        <v>1</v>
      </c>
      <c r="F4547" s="8">
        <v>0.5</v>
      </c>
      <c r="G4547" s="4">
        <v>5</v>
      </c>
      <c r="H4547" s="8">
        <v>2.56</v>
      </c>
      <c r="I4547" s="4">
        <v>0</v>
      </c>
    </row>
    <row r="4548" spans="1:9" x14ac:dyDescent="0.2">
      <c r="A4548" s="2">
        <v>17</v>
      </c>
      <c r="B4548" s="1" t="s">
        <v>334</v>
      </c>
      <c r="C4548" s="4">
        <v>6</v>
      </c>
      <c r="D4548" s="8">
        <v>1.47</v>
      </c>
      <c r="E4548" s="4">
        <v>5</v>
      </c>
      <c r="F4548" s="8">
        <v>2.4900000000000002</v>
      </c>
      <c r="G4548" s="4">
        <v>1</v>
      </c>
      <c r="H4548" s="8">
        <v>0.51</v>
      </c>
      <c r="I4548" s="4">
        <v>0</v>
      </c>
    </row>
    <row r="4549" spans="1:9" x14ac:dyDescent="0.2">
      <c r="A4549" s="2">
        <v>17</v>
      </c>
      <c r="B4549" s="1" t="s">
        <v>306</v>
      </c>
      <c r="C4549" s="4">
        <v>6</v>
      </c>
      <c r="D4549" s="8">
        <v>1.47</v>
      </c>
      <c r="E4549" s="4">
        <v>6</v>
      </c>
      <c r="F4549" s="8">
        <v>2.99</v>
      </c>
      <c r="G4549" s="4">
        <v>0</v>
      </c>
      <c r="H4549" s="8">
        <v>0</v>
      </c>
      <c r="I4549" s="4">
        <v>0</v>
      </c>
    </row>
    <row r="4550" spans="1:9" x14ac:dyDescent="0.2">
      <c r="A4550" s="2">
        <v>17</v>
      </c>
      <c r="B4550" s="1" t="s">
        <v>341</v>
      </c>
      <c r="C4550" s="4">
        <v>6</v>
      </c>
      <c r="D4550" s="8">
        <v>1.47</v>
      </c>
      <c r="E4550" s="4">
        <v>0</v>
      </c>
      <c r="F4550" s="8">
        <v>0</v>
      </c>
      <c r="G4550" s="4">
        <v>1</v>
      </c>
      <c r="H4550" s="8">
        <v>0.51</v>
      </c>
      <c r="I4550" s="4">
        <v>0</v>
      </c>
    </row>
    <row r="4551" spans="1:9" x14ac:dyDescent="0.2">
      <c r="A4551" s="1"/>
      <c r="C4551" s="4"/>
      <c r="D4551" s="8"/>
      <c r="E4551" s="4"/>
      <c r="F4551" s="8"/>
      <c r="G4551" s="4"/>
      <c r="H4551" s="8"/>
      <c r="I4551" s="4"/>
    </row>
    <row r="4552" spans="1:9" x14ac:dyDescent="0.2">
      <c r="A4552" s="1" t="s">
        <v>150</v>
      </c>
      <c r="C4552" s="4"/>
      <c r="D4552" s="8"/>
      <c r="E4552" s="4"/>
      <c r="F4552" s="8"/>
      <c r="G4552" s="4"/>
      <c r="H4552" s="8"/>
      <c r="I4552" s="4"/>
    </row>
    <row r="4553" spans="1:9" x14ac:dyDescent="0.2">
      <c r="A4553" s="2">
        <v>1</v>
      </c>
      <c r="B4553" s="1" t="s">
        <v>288</v>
      </c>
      <c r="C4553" s="4">
        <v>6</v>
      </c>
      <c r="D4553" s="8">
        <v>5.04</v>
      </c>
      <c r="E4553" s="4">
        <v>0</v>
      </c>
      <c r="F4553" s="8">
        <v>0</v>
      </c>
      <c r="G4553" s="4">
        <v>6</v>
      </c>
      <c r="H4553" s="8">
        <v>10.17</v>
      </c>
      <c r="I4553" s="4">
        <v>0</v>
      </c>
    </row>
    <row r="4554" spans="1:9" x14ac:dyDescent="0.2">
      <c r="A4554" s="2">
        <v>1</v>
      </c>
      <c r="B4554" s="1" t="s">
        <v>292</v>
      </c>
      <c r="C4554" s="4">
        <v>6</v>
      </c>
      <c r="D4554" s="8">
        <v>5.04</v>
      </c>
      <c r="E4554" s="4">
        <v>4</v>
      </c>
      <c r="F4554" s="8">
        <v>7.55</v>
      </c>
      <c r="G4554" s="4">
        <v>2</v>
      </c>
      <c r="H4554" s="8">
        <v>3.39</v>
      </c>
      <c r="I4554" s="4">
        <v>0</v>
      </c>
    </row>
    <row r="4555" spans="1:9" x14ac:dyDescent="0.2">
      <c r="A4555" s="2">
        <v>3</v>
      </c>
      <c r="B4555" s="1" t="s">
        <v>297</v>
      </c>
      <c r="C4555" s="4">
        <v>4</v>
      </c>
      <c r="D4555" s="8">
        <v>3.36</v>
      </c>
      <c r="E4555" s="4">
        <v>1</v>
      </c>
      <c r="F4555" s="8">
        <v>1.89</v>
      </c>
      <c r="G4555" s="4">
        <v>3</v>
      </c>
      <c r="H4555" s="8">
        <v>5.08</v>
      </c>
      <c r="I4555" s="4">
        <v>0</v>
      </c>
    </row>
    <row r="4556" spans="1:9" x14ac:dyDescent="0.2">
      <c r="A4556" s="2">
        <v>3</v>
      </c>
      <c r="B4556" s="1" t="s">
        <v>300</v>
      </c>
      <c r="C4556" s="4">
        <v>4</v>
      </c>
      <c r="D4556" s="8">
        <v>3.36</v>
      </c>
      <c r="E4556" s="4">
        <v>4</v>
      </c>
      <c r="F4556" s="8">
        <v>7.55</v>
      </c>
      <c r="G4556" s="4">
        <v>0</v>
      </c>
      <c r="H4556" s="8">
        <v>0</v>
      </c>
      <c r="I4556" s="4">
        <v>0</v>
      </c>
    </row>
    <row r="4557" spans="1:9" x14ac:dyDescent="0.2">
      <c r="A4557" s="2">
        <v>3</v>
      </c>
      <c r="B4557" s="1" t="s">
        <v>302</v>
      </c>
      <c r="C4557" s="4">
        <v>4</v>
      </c>
      <c r="D4557" s="8">
        <v>3.36</v>
      </c>
      <c r="E4557" s="4">
        <v>3</v>
      </c>
      <c r="F4557" s="8">
        <v>5.66</v>
      </c>
      <c r="G4557" s="4">
        <v>1</v>
      </c>
      <c r="H4557" s="8">
        <v>1.69</v>
      </c>
      <c r="I4557" s="4">
        <v>0</v>
      </c>
    </row>
    <row r="4558" spans="1:9" x14ac:dyDescent="0.2">
      <c r="A4558" s="2">
        <v>3</v>
      </c>
      <c r="B4558" s="1" t="s">
        <v>304</v>
      </c>
      <c r="C4558" s="4">
        <v>4</v>
      </c>
      <c r="D4558" s="8">
        <v>3.36</v>
      </c>
      <c r="E4558" s="4">
        <v>4</v>
      </c>
      <c r="F4558" s="8">
        <v>7.55</v>
      </c>
      <c r="G4558" s="4">
        <v>0</v>
      </c>
      <c r="H4558" s="8">
        <v>0</v>
      </c>
      <c r="I4558" s="4">
        <v>0</v>
      </c>
    </row>
    <row r="4559" spans="1:9" x14ac:dyDescent="0.2">
      <c r="A4559" s="2">
        <v>7</v>
      </c>
      <c r="B4559" s="1" t="s">
        <v>328</v>
      </c>
      <c r="C4559" s="4">
        <v>3</v>
      </c>
      <c r="D4559" s="8">
        <v>2.52</v>
      </c>
      <c r="E4559" s="4">
        <v>0</v>
      </c>
      <c r="F4559" s="8">
        <v>0</v>
      </c>
      <c r="G4559" s="4">
        <v>3</v>
      </c>
      <c r="H4559" s="8">
        <v>5.08</v>
      </c>
      <c r="I4559" s="4">
        <v>0</v>
      </c>
    </row>
    <row r="4560" spans="1:9" x14ac:dyDescent="0.2">
      <c r="A4560" s="2">
        <v>7</v>
      </c>
      <c r="B4560" s="1" t="s">
        <v>334</v>
      </c>
      <c r="C4560" s="4">
        <v>3</v>
      </c>
      <c r="D4560" s="8">
        <v>2.52</v>
      </c>
      <c r="E4560" s="4">
        <v>2</v>
      </c>
      <c r="F4560" s="8">
        <v>3.77</v>
      </c>
      <c r="G4560" s="4">
        <v>1</v>
      </c>
      <c r="H4560" s="8">
        <v>1.69</v>
      </c>
      <c r="I4560" s="4">
        <v>0</v>
      </c>
    </row>
    <row r="4561" spans="1:9" x14ac:dyDescent="0.2">
      <c r="A4561" s="2">
        <v>7</v>
      </c>
      <c r="B4561" s="1" t="s">
        <v>306</v>
      </c>
      <c r="C4561" s="4">
        <v>3</v>
      </c>
      <c r="D4561" s="8">
        <v>2.52</v>
      </c>
      <c r="E4561" s="4">
        <v>3</v>
      </c>
      <c r="F4561" s="8">
        <v>5.66</v>
      </c>
      <c r="G4561" s="4">
        <v>0</v>
      </c>
      <c r="H4561" s="8">
        <v>0</v>
      </c>
      <c r="I4561" s="4">
        <v>0</v>
      </c>
    </row>
    <row r="4562" spans="1:9" x14ac:dyDescent="0.2">
      <c r="A4562" s="2">
        <v>7</v>
      </c>
      <c r="B4562" s="1" t="s">
        <v>307</v>
      </c>
      <c r="C4562" s="4">
        <v>3</v>
      </c>
      <c r="D4562" s="8">
        <v>2.52</v>
      </c>
      <c r="E4562" s="4">
        <v>2</v>
      </c>
      <c r="F4562" s="8">
        <v>3.77</v>
      </c>
      <c r="G4562" s="4">
        <v>1</v>
      </c>
      <c r="H4562" s="8">
        <v>1.69</v>
      </c>
      <c r="I4562" s="4">
        <v>0</v>
      </c>
    </row>
    <row r="4563" spans="1:9" x14ac:dyDescent="0.2">
      <c r="A4563" s="2">
        <v>11</v>
      </c>
      <c r="B4563" s="1" t="s">
        <v>427</v>
      </c>
      <c r="C4563" s="4">
        <v>2</v>
      </c>
      <c r="D4563" s="8">
        <v>1.68</v>
      </c>
      <c r="E4563" s="4">
        <v>0</v>
      </c>
      <c r="F4563" s="8">
        <v>0</v>
      </c>
      <c r="G4563" s="4">
        <v>2</v>
      </c>
      <c r="H4563" s="8">
        <v>3.39</v>
      </c>
      <c r="I4563" s="4">
        <v>0</v>
      </c>
    </row>
    <row r="4564" spans="1:9" x14ac:dyDescent="0.2">
      <c r="A4564" s="2">
        <v>11</v>
      </c>
      <c r="B4564" s="1" t="s">
        <v>362</v>
      </c>
      <c r="C4564" s="4">
        <v>2</v>
      </c>
      <c r="D4564" s="8">
        <v>1.68</v>
      </c>
      <c r="E4564" s="4">
        <v>0</v>
      </c>
      <c r="F4564" s="8">
        <v>0</v>
      </c>
      <c r="G4564" s="4">
        <v>1</v>
      </c>
      <c r="H4564" s="8">
        <v>1.69</v>
      </c>
      <c r="I4564" s="4">
        <v>0</v>
      </c>
    </row>
    <row r="4565" spans="1:9" x14ac:dyDescent="0.2">
      <c r="A4565" s="2">
        <v>11</v>
      </c>
      <c r="B4565" s="1" t="s">
        <v>294</v>
      </c>
      <c r="C4565" s="4">
        <v>2</v>
      </c>
      <c r="D4565" s="8">
        <v>1.68</v>
      </c>
      <c r="E4565" s="4">
        <v>1</v>
      </c>
      <c r="F4565" s="8">
        <v>1.89</v>
      </c>
      <c r="G4565" s="4">
        <v>1</v>
      </c>
      <c r="H4565" s="8">
        <v>1.69</v>
      </c>
      <c r="I4565" s="4">
        <v>0</v>
      </c>
    </row>
    <row r="4566" spans="1:9" x14ac:dyDescent="0.2">
      <c r="A4566" s="2">
        <v>11</v>
      </c>
      <c r="B4566" s="1" t="s">
        <v>295</v>
      </c>
      <c r="C4566" s="4">
        <v>2</v>
      </c>
      <c r="D4566" s="8">
        <v>1.68</v>
      </c>
      <c r="E4566" s="4">
        <v>0</v>
      </c>
      <c r="F4566" s="8">
        <v>0</v>
      </c>
      <c r="G4566" s="4">
        <v>2</v>
      </c>
      <c r="H4566" s="8">
        <v>3.39</v>
      </c>
      <c r="I4566" s="4">
        <v>0</v>
      </c>
    </row>
    <row r="4567" spans="1:9" x14ac:dyDescent="0.2">
      <c r="A4567" s="2">
        <v>11</v>
      </c>
      <c r="B4567" s="1" t="s">
        <v>418</v>
      </c>
      <c r="C4567" s="4">
        <v>2</v>
      </c>
      <c r="D4567" s="8">
        <v>1.68</v>
      </c>
      <c r="E4567" s="4">
        <v>0</v>
      </c>
      <c r="F4567" s="8">
        <v>0</v>
      </c>
      <c r="G4567" s="4">
        <v>1</v>
      </c>
      <c r="H4567" s="8">
        <v>1.69</v>
      </c>
      <c r="I4567" s="4">
        <v>0</v>
      </c>
    </row>
    <row r="4568" spans="1:9" x14ac:dyDescent="0.2">
      <c r="A4568" s="2">
        <v>11</v>
      </c>
      <c r="B4568" s="1" t="s">
        <v>339</v>
      </c>
      <c r="C4568" s="4">
        <v>2</v>
      </c>
      <c r="D4568" s="8">
        <v>1.68</v>
      </c>
      <c r="E4568" s="4">
        <v>1</v>
      </c>
      <c r="F4568" s="8">
        <v>1.89</v>
      </c>
      <c r="G4568" s="4">
        <v>1</v>
      </c>
      <c r="H4568" s="8">
        <v>1.69</v>
      </c>
      <c r="I4568" s="4">
        <v>0</v>
      </c>
    </row>
    <row r="4569" spans="1:9" x14ac:dyDescent="0.2">
      <c r="A4569" s="2">
        <v>11</v>
      </c>
      <c r="B4569" s="1" t="s">
        <v>301</v>
      </c>
      <c r="C4569" s="4">
        <v>2</v>
      </c>
      <c r="D4569" s="8">
        <v>1.68</v>
      </c>
      <c r="E4569" s="4">
        <v>2</v>
      </c>
      <c r="F4569" s="8">
        <v>3.77</v>
      </c>
      <c r="G4569" s="4">
        <v>0</v>
      </c>
      <c r="H4569" s="8">
        <v>0</v>
      </c>
      <c r="I4569" s="4">
        <v>0</v>
      </c>
    </row>
    <row r="4570" spans="1:9" x14ac:dyDescent="0.2">
      <c r="A4570" s="2">
        <v>11</v>
      </c>
      <c r="B4570" s="1" t="s">
        <v>303</v>
      </c>
      <c r="C4570" s="4">
        <v>2</v>
      </c>
      <c r="D4570" s="8">
        <v>1.68</v>
      </c>
      <c r="E4570" s="4">
        <v>2</v>
      </c>
      <c r="F4570" s="8">
        <v>3.77</v>
      </c>
      <c r="G4570" s="4">
        <v>0</v>
      </c>
      <c r="H4570" s="8">
        <v>0</v>
      </c>
      <c r="I4570" s="4">
        <v>0</v>
      </c>
    </row>
    <row r="4571" spans="1:9" x14ac:dyDescent="0.2">
      <c r="A4571" s="2">
        <v>11</v>
      </c>
      <c r="B4571" s="1" t="s">
        <v>341</v>
      </c>
      <c r="C4571" s="4">
        <v>2</v>
      </c>
      <c r="D4571" s="8">
        <v>1.68</v>
      </c>
      <c r="E4571" s="4">
        <v>0</v>
      </c>
      <c r="F4571" s="8">
        <v>0</v>
      </c>
      <c r="G4571" s="4">
        <v>0</v>
      </c>
      <c r="H4571" s="8">
        <v>0</v>
      </c>
      <c r="I4571" s="4">
        <v>0</v>
      </c>
    </row>
    <row r="4572" spans="1:9" x14ac:dyDescent="0.2">
      <c r="A4572" s="2">
        <v>11</v>
      </c>
      <c r="B4572" s="1" t="s">
        <v>331</v>
      </c>
      <c r="C4572" s="4">
        <v>2</v>
      </c>
      <c r="D4572" s="8">
        <v>1.68</v>
      </c>
      <c r="E4572" s="4">
        <v>0</v>
      </c>
      <c r="F4572" s="8">
        <v>0</v>
      </c>
      <c r="G4572" s="4">
        <v>2</v>
      </c>
      <c r="H4572" s="8">
        <v>3.39</v>
      </c>
      <c r="I4572" s="4">
        <v>0</v>
      </c>
    </row>
    <row r="4573" spans="1:9" x14ac:dyDescent="0.2">
      <c r="A4573" s="1"/>
      <c r="C4573" s="4"/>
      <c r="D4573" s="8"/>
      <c r="E4573" s="4"/>
      <c r="F4573" s="8"/>
      <c r="G4573" s="4"/>
      <c r="H4573" s="8"/>
      <c r="I4573" s="4"/>
    </row>
    <row r="4574" spans="1:9" x14ac:dyDescent="0.2">
      <c r="A4574" s="1" t="s">
        <v>151</v>
      </c>
      <c r="C4574" s="4"/>
      <c r="D4574" s="8"/>
      <c r="E4574" s="4"/>
      <c r="F4574" s="8"/>
      <c r="G4574" s="4"/>
      <c r="H4574" s="8"/>
      <c r="I4574" s="4"/>
    </row>
    <row r="4575" spans="1:9" x14ac:dyDescent="0.2">
      <c r="A4575" s="2">
        <v>1</v>
      </c>
      <c r="B4575" s="1" t="s">
        <v>301</v>
      </c>
      <c r="C4575" s="4">
        <v>17</v>
      </c>
      <c r="D4575" s="8">
        <v>5.84</v>
      </c>
      <c r="E4575" s="4">
        <v>15</v>
      </c>
      <c r="F4575" s="8">
        <v>9.3800000000000008</v>
      </c>
      <c r="G4575" s="4">
        <v>2</v>
      </c>
      <c r="H4575" s="8">
        <v>1.63</v>
      </c>
      <c r="I4575" s="4">
        <v>0</v>
      </c>
    </row>
    <row r="4576" spans="1:9" x14ac:dyDescent="0.2">
      <c r="A4576" s="2">
        <v>2</v>
      </c>
      <c r="B4576" s="1" t="s">
        <v>304</v>
      </c>
      <c r="C4576" s="4">
        <v>16</v>
      </c>
      <c r="D4576" s="8">
        <v>5.5</v>
      </c>
      <c r="E4576" s="4">
        <v>16</v>
      </c>
      <c r="F4576" s="8">
        <v>10</v>
      </c>
      <c r="G4576" s="4">
        <v>0</v>
      </c>
      <c r="H4576" s="8">
        <v>0</v>
      </c>
      <c r="I4576" s="4">
        <v>0</v>
      </c>
    </row>
    <row r="4577" spans="1:9" x14ac:dyDescent="0.2">
      <c r="A4577" s="2">
        <v>3</v>
      </c>
      <c r="B4577" s="1" t="s">
        <v>297</v>
      </c>
      <c r="C4577" s="4">
        <v>13</v>
      </c>
      <c r="D4577" s="8">
        <v>4.47</v>
      </c>
      <c r="E4577" s="4">
        <v>7</v>
      </c>
      <c r="F4577" s="8">
        <v>4.38</v>
      </c>
      <c r="G4577" s="4">
        <v>6</v>
      </c>
      <c r="H4577" s="8">
        <v>4.88</v>
      </c>
      <c r="I4577" s="4">
        <v>0</v>
      </c>
    </row>
    <row r="4578" spans="1:9" x14ac:dyDescent="0.2">
      <c r="A4578" s="2">
        <v>4</v>
      </c>
      <c r="B4578" s="1" t="s">
        <v>300</v>
      </c>
      <c r="C4578" s="4">
        <v>12</v>
      </c>
      <c r="D4578" s="8">
        <v>4.12</v>
      </c>
      <c r="E4578" s="4">
        <v>12</v>
      </c>
      <c r="F4578" s="8">
        <v>7.5</v>
      </c>
      <c r="G4578" s="4">
        <v>0</v>
      </c>
      <c r="H4578" s="8">
        <v>0</v>
      </c>
      <c r="I4578" s="4">
        <v>0</v>
      </c>
    </row>
    <row r="4579" spans="1:9" x14ac:dyDescent="0.2">
      <c r="A4579" s="2">
        <v>5</v>
      </c>
      <c r="B4579" s="1" t="s">
        <v>334</v>
      </c>
      <c r="C4579" s="4">
        <v>11</v>
      </c>
      <c r="D4579" s="8">
        <v>3.78</v>
      </c>
      <c r="E4579" s="4">
        <v>8</v>
      </c>
      <c r="F4579" s="8">
        <v>5</v>
      </c>
      <c r="G4579" s="4">
        <v>3</v>
      </c>
      <c r="H4579" s="8">
        <v>2.44</v>
      </c>
      <c r="I4579" s="4">
        <v>0</v>
      </c>
    </row>
    <row r="4580" spans="1:9" x14ac:dyDescent="0.2">
      <c r="A4580" s="2">
        <v>6</v>
      </c>
      <c r="B4580" s="1" t="s">
        <v>302</v>
      </c>
      <c r="C4580" s="4">
        <v>10</v>
      </c>
      <c r="D4580" s="8">
        <v>3.44</v>
      </c>
      <c r="E4580" s="4">
        <v>8</v>
      </c>
      <c r="F4580" s="8">
        <v>5</v>
      </c>
      <c r="G4580" s="4">
        <v>2</v>
      </c>
      <c r="H4580" s="8">
        <v>1.63</v>
      </c>
      <c r="I4580" s="4">
        <v>0</v>
      </c>
    </row>
    <row r="4581" spans="1:9" x14ac:dyDescent="0.2">
      <c r="A4581" s="2">
        <v>6</v>
      </c>
      <c r="B4581" s="1" t="s">
        <v>325</v>
      </c>
      <c r="C4581" s="4">
        <v>10</v>
      </c>
      <c r="D4581" s="8">
        <v>3.44</v>
      </c>
      <c r="E4581" s="4">
        <v>1</v>
      </c>
      <c r="F4581" s="8">
        <v>0.63</v>
      </c>
      <c r="G4581" s="4">
        <v>9</v>
      </c>
      <c r="H4581" s="8">
        <v>7.32</v>
      </c>
      <c r="I4581" s="4">
        <v>0</v>
      </c>
    </row>
    <row r="4582" spans="1:9" x14ac:dyDescent="0.2">
      <c r="A4582" s="2">
        <v>8</v>
      </c>
      <c r="B4582" s="1" t="s">
        <v>303</v>
      </c>
      <c r="C4582" s="4">
        <v>9</v>
      </c>
      <c r="D4582" s="8">
        <v>3.09</v>
      </c>
      <c r="E4582" s="4">
        <v>9</v>
      </c>
      <c r="F4582" s="8">
        <v>5.63</v>
      </c>
      <c r="G4582" s="4">
        <v>0</v>
      </c>
      <c r="H4582" s="8">
        <v>0</v>
      </c>
      <c r="I4582" s="4">
        <v>0</v>
      </c>
    </row>
    <row r="4583" spans="1:9" x14ac:dyDescent="0.2">
      <c r="A4583" s="2">
        <v>9</v>
      </c>
      <c r="B4583" s="1" t="s">
        <v>329</v>
      </c>
      <c r="C4583" s="4">
        <v>8</v>
      </c>
      <c r="D4583" s="8">
        <v>2.75</v>
      </c>
      <c r="E4583" s="4">
        <v>6</v>
      </c>
      <c r="F4583" s="8">
        <v>3.75</v>
      </c>
      <c r="G4583" s="4">
        <v>2</v>
      </c>
      <c r="H4583" s="8">
        <v>1.63</v>
      </c>
      <c r="I4583" s="4">
        <v>0</v>
      </c>
    </row>
    <row r="4584" spans="1:9" x14ac:dyDescent="0.2">
      <c r="A4584" s="2">
        <v>10</v>
      </c>
      <c r="B4584" s="1" t="s">
        <v>299</v>
      </c>
      <c r="C4584" s="4">
        <v>7</v>
      </c>
      <c r="D4584" s="8">
        <v>2.41</v>
      </c>
      <c r="E4584" s="4">
        <v>4</v>
      </c>
      <c r="F4584" s="8">
        <v>2.5</v>
      </c>
      <c r="G4584" s="4">
        <v>3</v>
      </c>
      <c r="H4584" s="8">
        <v>2.44</v>
      </c>
      <c r="I4584" s="4">
        <v>0</v>
      </c>
    </row>
    <row r="4585" spans="1:9" x14ac:dyDescent="0.2">
      <c r="A4585" s="2">
        <v>11</v>
      </c>
      <c r="B4585" s="1" t="s">
        <v>332</v>
      </c>
      <c r="C4585" s="4">
        <v>6</v>
      </c>
      <c r="D4585" s="8">
        <v>2.06</v>
      </c>
      <c r="E4585" s="4">
        <v>1</v>
      </c>
      <c r="F4585" s="8">
        <v>0.63</v>
      </c>
      <c r="G4585" s="4">
        <v>5</v>
      </c>
      <c r="H4585" s="8">
        <v>4.07</v>
      </c>
      <c r="I4585" s="4">
        <v>0</v>
      </c>
    </row>
    <row r="4586" spans="1:9" x14ac:dyDescent="0.2">
      <c r="A4586" s="2">
        <v>12</v>
      </c>
      <c r="B4586" s="1" t="s">
        <v>328</v>
      </c>
      <c r="C4586" s="4">
        <v>5</v>
      </c>
      <c r="D4586" s="8">
        <v>1.72</v>
      </c>
      <c r="E4586" s="4">
        <v>1</v>
      </c>
      <c r="F4586" s="8">
        <v>0.63</v>
      </c>
      <c r="G4586" s="4">
        <v>4</v>
      </c>
      <c r="H4586" s="8">
        <v>3.25</v>
      </c>
      <c r="I4586" s="4">
        <v>0</v>
      </c>
    </row>
    <row r="4587" spans="1:9" x14ac:dyDescent="0.2">
      <c r="A4587" s="2">
        <v>12</v>
      </c>
      <c r="B4587" s="1" t="s">
        <v>292</v>
      </c>
      <c r="C4587" s="4">
        <v>5</v>
      </c>
      <c r="D4587" s="8">
        <v>1.72</v>
      </c>
      <c r="E4587" s="4">
        <v>3</v>
      </c>
      <c r="F4587" s="8">
        <v>1.88</v>
      </c>
      <c r="G4587" s="4">
        <v>2</v>
      </c>
      <c r="H4587" s="8">
        <v>1.63</v>
      </c>
      <c r="I4587" s="4">
        <v>0</v>
      </c>
    </row>
    <row r="4588" spans="1:9" x14ac:dyDescent="0.2">
      <c r="A4588" s="2">
        <v>12</v>
      </c>
      <c r="B4588" s="1" t="s">
        <v>294</v>
      </c>
      <c r="C4588" s="4">
        <v>5</v>
      </c>
      <c r="D4588" s="8">
        <v>1.72</v>
      </c>
      <c r="E4588" s="4">
        <v>3</v>
      </c>
      <c r="F4588" s="8">
        <v>1.88</v>
      </c>
      <c r="G4588" s="4">
        <v>2</v>
      </c>
      <c r="H4588" s="8">
        <v>1.63</v>
      </c>
      <c r="I4588" s="4">
        <v>0</v>
      </c>
    </row>
    <row r="4589" spans="1:9" x14ac:dyDescent="0.2">
      <c r="A4589" s="2">
        <v>12</v>
      </c>
      <c r="B4589" s="1" t="s">
        <v>330</v>
      </c>
      <c r="C4589" s="4">
        <v>5</v>
      </c>
      <c r="D4589" s="8">
        <v>1.72</v>
      </c>
      <c r="E4589" s="4">
        <v>0</v>
      </c>
      <c r="F4589" s="8">
        <v>0</v>
      </c>
      <c r="G4589" s="4">
        <v>5</v>
      </c>
      <c r="H4589" s="8">
        <v>4.07</v>
      </c>
      <c r="I4589" s="4">
        <v>0</v>
      </c>
    </row>
    <row r="4590" spans="1:9" x14ac:dyDescent="0.2">
      <c r="A4590" s="2">
        <v>12</v>
      </c>
      <c r="B4590" s="1" t="s">
        <v>339</v>
      </c>
      <c r="C4590" s="4">
        <v>5</v>
      </c>
      <c r="D4590" s="8">
        <v>1.72</v>
      </c>
      <c r="E4590" s="4">
        <v>0</v>
      </c>
      <c r="F4590" s="8">
        <v>0</v>
      </c>
      <c r="G4590" s="4">
        <v>5</v>
      </c>
      <c r="H4590" s="8">
        <v>4.07</v>
      </c>
      <c r="I4590" s="4">
        <v>0</v>
      </c>
    </row>
    <row r="4591" spans="1:9" x14ac:dyDescent="0.2">
      <c r="A4591" s="2">
        <v>12</v>
      </c>
      <c r="B4591" s="1" t="s">
        <v>340</v>
      </c>
      <c r="C4591" s="4">
        <v>5</v>
      </c>
      <c r="D4591" s="8">
        <v>1.72</v>
      </c>
      <c r="E4591" s="4">
        <v>0</v>
      </c>
      <c r="F4591" s="8">
        <v>0</v>
      </c>
      <c r="G4591" s="4">
        <v>0</v>
      </c>
      <c r="H4591" s="8">
        <v>0</v>
      </c>
      <c r="I4591" s="4">
        <v>1</v>
      </c>
    </row>
    <row r="4592" spans="1:9" x14ac:dyDescent="0.2">
      <c r="A4592" s="2">
        <v>18</v>
      </c>
      <c r="B4592" s="1" t="s">
        <v>333</v>
      </c>
      <c r="C4592" s="4">
        <v>4</v>
      </c>
      <c r="D4592" s="8">
        <v>1.37</v>
      </c>
      <c r="E4592" s="4">
        <v>3</v>
      </c>
      <c r="F4592" s="8">
        <v>1.88</v>
      </c>
      <c r="G4592" s="4">
        <v>1</v>
      </c>
      <c r="H4592" s="8">
        <v>0.81</v>
      </c>
      <c r="I4592" s="4">
        <v>0</v>
      </c>
    </row>
    <row r="4593" spans="1:9" x14ac:dyDescent="0.2">
      <c r="A4593" s="2">
        <v>18</v>
      </c>
      <c r="B4593" s="1" t="s">
        <v>291</v>
      </c>
      <c r="C4593" s="4">
        <v>4</v>
      </c>
      <c r="D4593" s="8">
        <v>1.37</v>
      </c>
      <c r="E4593" s="4">
        <v>2</v>
      </c>
      <c r="F4593" s="8">
        <v>1.25</v>
      </c>
      <c r="G4593" s="4">
        <v>2</v>
      </c>
      <c r="H4593" s="8">
        <v>1.63</v>
      </c>
      <c r="I4593" s="4">
        <v>0</v>
      </c>
    </row>
    <row r="4594" spans="1:9" x14ac:dyDescent="0.2">
      <c r="A4594" s="2">
        <v>18</v>
      </c>
      <c r="B4594" s="1" t="s">
        <v>351</v>
      </c>
      <c r="C4594" s="4">
        <v>4</v>
      </c>
      <c r="D4594" s="8">
        <v>1.37</v>
      </c>
      <c r="E4594" s="4">
        <v>0</v>
      </c>
      <c r="F4594" s="8">
        <v>0</v>
      </c>
      <c r="G4594" s="4">
        <v>4</v>
      </c>
      <c r="H4594" s="8">
        <v>3.25</v>
      </c>
      <c r="I4594" s="4">
        <v>0</v>
      </c>
    </row>
    <row r="4595" spans="1:9" x14ac:dyDescent="0.2">
      <c r="A4595" s="2">
        <v>18</v>
      </c>
      <c r="B4595" s="1" t="s">
        <v>314</v>
      </c>
      <c r="C4595" s="4">
        <v>4</v>
      </c>
      <c r="D4595" s="8">
        <v>1.37</v>
      </c>
      <c r="E4595" s="4">
        <v>2</v>
      </c>
      <c r="F4595" s="8">
        <v>1.25</v>
      </c>
      <c r="G4595" s="4">
        <v>2</v>
      </c>
      <c r="H4595" s="8">
        <v>1.63</v>
      </c>
      <c r="I4595" s="4">
        <v>0</v>
      </c>
    </row>
    <row r="4596" spans="1:9" x14ac:dyDescent="0.2">
      <c r="A4596" s="2">
        <v>18</v>
      </c>
      <c r="B4596" s="1" t="s">
        <v>295</v>
      </c>
      <c r="C4596" s="4">
        <v>4</v>
      </c>
      <c r="D4596" s="8">
        <v>1.37</v>
      </c>
      <c r="E4596" s="4">
        <v>3</v>
      </c>
      <c r="F4596" s="8">
        <v>1.88</v>
      </c>
      <c r="G4596" s="4">
        <v>1</v>
      </c>
      <c r="H4596" s="8">
        <v>0.81</v>
      </c>
      <c r="I4596" s="4">
        <v>0</v>
      </c>
    </row>
    <row r="4597" spans="1:9" x14ac:dyDescent="0.2">
      <c r="A4597" s="2">
        <v>18</v>
      </c>
      <c r="B4597" s="1" t="s">
        <v>296</v>
      </c>
      <c r="C4597" s="4">
        <v>4</v>
      </c>
      <c r="D4597" s="8">
        <v>1.37</v>
      </c>
      <c r="E4597" s="4">
        <v>0</v>
      </c>
      <c r="F4597" s="8">
        <v>0</v>
      </c>
      <c r="G4597" s="4">
        <v>4</v>
      </c>
      <c r="H4597" s="8">
        <v>3.25</v>
      </c>
      <c r="I4597" s="4">
        <v>0</v>
      </c>
    </row>
    <row r="4598" spans="1:9" x14ac:dyDescent="0.2">
      <c r="A4598" s="2">
        <v>18</v>
      </c>
      <c r="B4598" s="1" t="s">
        <v>306</v>
      </c>
      <c r="C4598" s="4">
        <v>4</v>
      </c>
      <c r="D4598" s="8">
        <v>1.37</v>
      </c>
      <c r="E4598" s="4">
        <v>3</v>
      </c>
      <c r="F4598" s="8">
        <v>1.88</v>
      </c>
      <c r="G4598" s="4">
        <v>1</v>
      </c>
      <c r="H4598" s="8">
        <v>0.81</v>
      </c>
      <c r="I4598" s="4">
        <v>0</v>
      </c>
    </row>
    <row r="4599" spans="1:9" x14ac:dyDescent="0.2">
      <c r="A4599" s="1"/>
      <c r="C4599" s="4"/>
      <c r="D4599" s="8"/>
      <c r="E4599" s="4"/>
      <c r="F4599" s="8"/>
      <c r="G4599" s="4"/>
      <c r="H4599" s="8"/>
      <c r="I4599" s="4"/>
    </row>
    <row r="4600" spans="1:9" x14ac:dyDescent="0.2">
      <c r="A4600" s="1" t="s">
        <v>152</v>
      </c>
      <c r="C4600" s="4"/>
      <c r="D4600" s="8"/>
      <c r="E4600" s="4"/>
      <c r="F4600" s="8"/>
      <c r="G4600" s="4"/>
      <c r="H4600" s="8"/>
      <c r="I4600" s="4"/>
    </row>
    <row r="4601" spans="1:9" x14ac:dyDescent="0.2">
      <c r="A4601" s="2">
        <v>1</v>
      </c>
      <c r="B4601" s="1" t="s">
        <v>288</v>
      </c>
      <c r="C4601" s="4">
        <v>11</v>
      </c>
      <c r="D4601" s="8">
        <v>5.88</v>
      </c>
      <c r="E4601" s="4">
        <v>2</v>
      </c>
      <c r="F4601" s="8">
        <v>2.41</v>
      </c>
      <c r="G4601" s="4">
        <v>9</v>
      </c>
      <c r="H4601" s="8">
        <v>9.2799999999999994</v>
      </c>
      <c r="I4601" s="4">
        <v>0</v>
      </c>
    </row>
    <row r="4602" spans="1:9" x14ac:dyDescent="0.2">
      <c r="A4602" s="2">
        <v>2</v>
      </c>
      <c r="B4602" s="1" t="s">
        <v>303</v>
      </c>
      <c r="C4602" s="4">
        <v>8</v>
      </c>
      <c r="D4602" s="8">
        <v>4.28</v>
      </c>
      <c r="E4602" s="4">
        <v>8</v>
      </c>
      <c r="F4602" s="8">
        <v>9.64</v>
      </c>
      <c r="G4602" s="4">
        <v>0</v>
      </c>
      <c r="H4602" s="8">
        <v>0</v>
      </c>
      <c r="I4602" s="4">
        <v>0</v>
      </c>
    </row>
    <row r="4603" spans="1:9" x14ac:dyDescent="0.2">
      <c r="A4603" s="2">
        <v>3</v>
      </c>
      <c r="B4603" s="1" t="s">
        <v>330</v>
      </c>
      <c r="C4603" s="4">
        <v>7</v>
      </c>
      <c r="D4603" s="8">
        <v>3.74</v>
      </c>
      <c r="E4603" s="4">
        <v>2</v>
      </c>
      <c r="F4603" s="8">
        <v>2.41</v>
      </c>
      <c r="G4603" s="4">
        <v>5</v>
      </c>
      <c r="H4603" s="8">
        <v>5.15</v>
      </c>
      <c r="I4603" s="4">
        <v>0</v>
      </c>
    </row>
    <row r="4604" spans="1:9" x14ac:dyDescent="0.2">
      <c r="A4604" s="2">
        <v>3</v>
      </c>
      <c r="B4604" s="1" t="s">
        <v>307</v>
      </c>
      <c r="C4604" s="4">
        <v>7</v>
      </c>
      <c r="D4604" s="8">
        <v>3.74</v>
      </c>
      <c r="E4604" s="4">
        <v>4</v>
      </c>
      <c r="F4604" s="8">
        <v>4.82</v>
      </c>
      <c r="G4604" s="4">
        <v>3</v>
      </c>
      <c r="H4604" s="8">
        <v>3.09</v>
      </c>
      <c r="I4604" s="4">
        <v>0</v>
      </c>
    </row>
    <row r="4605" spans="1:9" x14ac:dyDescent="0.2">
      <c r="A4605" s="2">
        <v>5</v>
      </c>
      <c r="B4605" s="1" t="s">
        <v>329</v>
      </c>
      <c r="C4605" s="4">
        <v>6</v>
      </c>
      <c r="D4605" s="8">
        <v>3.21</v>
      </c>
      <c r="E4605" s="4">
        <v>5</v>
      </c>
      <c r="F4605" s="8">
        <v>6.02</v>
      </c>
      <c r="G4605" s="4">
        <v>1</v>
      </c>
      <c r="H4605" s="8">
        <v>1.03</v>
      </c>
      <c r="I4605" s="4">
        <v>0</v>
      </c>
    </row>
    <row r="4606" spans="1:9" x14ac:dyDescent="0.2">
      <c r="A4606" s="2">
        <v>5</v>
      </c>
      <c r="B4606" s="1" t="s">
        <v>292</v>
      </c>
      <c r="C4606" s="4">
        <v>6</v>
      </c>
      <c r="D4606" s="8">
        <v>3.21</v>
      </c>
      <c r="E4606" s="4">
        <v>2</v>
      </c>
      <c r="F4606" s="8">
        <v>2.41</v>
      </c>
      <c r="G4606" s="4">
        <v>4</v>
      </c>
      <c r="H4606" s="8">
        <v>4.12</v>
      </c>
      <c r="I4606" s="4">
        <v>0</v>
      </c>
    </row>
    <row r="4607" spans="1:9" x14ac:dyDescent="0.2">
      <c r="A4607" s="2">
        <v>5</v>
      </c>
      <c r="B4607" s="1" t="s">
        <v>299</v>
      </c>
      <c r="C4607" s="4">
        <v>6</v>
      </c>
      <c r="D4607" s="8">
        <v>3.21</v>
      </c>
      <c r="E4607" s="4">
        <v>5</v>
      </c>
      <c r="F4607" s="8">
        <v>6.02</v>
      </c>
      <c r="G4607" s="4">
        <v>1</v>
      </c>
      <c r="H4607" s="8">
        <v>1.03</v>
      </c>
      <c r="I4607" s="4">
        <v>0</v>
      </c>
    </row>
    <row r="4608" spans="1:9" x14ac:dyDescent="0.2">
      <c r="A4608" s="2">
        <v>5</v>
      </c>
      <c r="B4608" s="1" t="s">
        <v>301</v>
      </c>
      <c r="C4608" s="4">
        <v>6</v>
      </c>
      <c r="D4608" s="8">
        <v>3.21</v>
      </c>
      <c r="E4608" s="4">
        <v>6</v>
      </c>
      <c r="F4608" s="8">
        <v>7.23</v>
      </c>
      <c r="G4608" s="4">
        <v>0</v>
      </c>
      <c r="H4608" s="8">
        <v>0</v>
      </c>
      <c r="I4608" s="4">
        <v>0</v>
      </c>
    </row>
    <row r="4609" spans="1:9" x14ac:dyDescent="0.2">
      <c r="A4609" s="2">
        <v>9</v>
      </c>
      <c r="B4609" s="1" t="s">
        <v>290</v>
      </c>
      <c r="C4609" s="4">
        <v>5</v>
      </c>
      <c r="D4609" s="8">
        <v>2.67</v>
      </c>
      <c r="E4609" s="4">
        <v>0</v>
      </c>
      <c r="F4609" s="8">
        <v>0</v>
      </c>
      <c r="G4609" s="4">
        <v>5</v>
      </c>
      <c r="H4609" s="8">
        <v>5.15</v>
      </c>
      <c r="I4609" s="4">
        <v>0</v>
      </c>
    </row>
    <row r="4610" spans="1:9" x14ac:dyDescent="0.2">
      <c r="A4610" s="2">
        <v>9</v>
      </c>
      <c r="B4610" s="1" t="s">
        <v>304</v>
      </c>
      <c r="C4610" s="4">
        <v>5</v>
      </c>
      <c r="D4610" s="8">
        <v>2.67</v>
      </c>
      <c r="E4610" s="4">
        <v>4</v>
      </c>
      <c r="F4610" s="8">
        <v>4.82</v>
      </c>
      <c r="G4610" s="4">
        <v>1</v>
      </c>
      <c r="H4610" s="8">
        <v>1.03</v>
      </c>
      <c r="I4610" s="4">
        <v>0</v>
      </c>
    </row>
    <row r="4611" spans="1:9" x14ac:dyDescent="0.2">
      <c r="A4611" s="2">
        <v>11</v>
      </c>
      <c r="B4611" s="1" t="s">
        <v>413</v>
      </c>
      <c r="C4611" s="4">
        <v>4</v>
      </c>
      <c r="D4611" s="8">
        <v>2.14</v>
      </c>
      <c r="E4611" s="4">
        <v>0</v>
      </c>
      <c r="F4611" s="8">
        <v>0</v>
      </c>
      <c r="G4611" s="4">
        <v>4</v>
      </c>
      <c r="H4611" s="8">
        <v>4.12</v>
      </c>
      <c r="I4611" s="4">
        <v>0</v>
      </c>
    </row>
    <row r="4612" spans="1:9" x14ac:dyDescent="0.2">
      <c r="A4612" s="2">
        <v>11</v>
      </c>
      <c r="B4612" s="1" t="s">
        <v>334</v>
      </c>
      <c r="C4612" s="4">
        <v>4</v>
      </c>
      <c r="D4612" s="8">
        <v>2.14</v>
      </c>
      <c r="E4612" s="4">
        <v>1</v>
      </c>
      <c r="F4612" s="8">
        <v>1.2</v>
      </c>
      <c r="G4612" s="4">
        <v>3</v>
      </c>
      <c r="H4612" s="8">
        <v>3.09</v>
      </c>
      <c r="I4612" s="4">
        <v>0</v>
      </c>
    </row>
    <row r="4613" spans="1:9" x14ac:dyDescent="0.2">
      <c r="A4613" s="2">
        <v>11</v>
      </c>
      <c r="B4613" s="1" t="s">
        <v>300</v>
      </c>
      <c r="C4613" s="4">
        <v>4</v>
      </c>
      <c r="D4613" s="8">
        <v>2.14</v>
      </c>
      <c r="E4613" s="4">
        <v>4</v>
      </c>
      <c r="F4613" s="8">
        <v>4.82</v>
      </c>
      <c r="G4613" s="4">
        <v>0</v>
      </c>
      <c r="H4613" s="8">
        <v>0</v>
      </c>
      <c r="I4613" s="4">
        <v>0</v>
      </c>
    </row>
    <row r="4614" spans="1:9" x14ac:dyDescent="0.2">
      <c r="A4614" s="2">
        <v>11</v>
      </c>
      <c r="B4614" s="1" t="s">
        <v>340</v>
      </c>
      <c r="C4614" s="4">
        <v>4</v>
      </c>
      <c r="D4614" s="8">
        <v>2.14</v>
      </c>
      <c r="E4614" s="4">
        <v>0</v>
      </c>
      <c r="F4614" s="8">
        <v>0</v>
      </c>
      <c r="G4614" s="4">
        <v>0</v>
      </c>
      <c r="H4614" s="8">
        <v>0</v>
      </c>
      <c r="I4614" s="4">
        <v>0</v>
      </c>
    </row>
    <row r="4615" spans="1:9" x14ac:dyDescent="0.2">
      <c r="A4615" s="2">
        <v>11</v>
      </c>
      <c r="B4615" s="1" t="s">
        <v>305</v>
      </c>
      <c r="C4615" s="4">
        <v>4</v>
      </c>
      <c r="D4615" s="8">
        <v>2.14</v>
      </c>
      <c r="E4615" s="4">
        <v>3</v>
      </c>
      <c r="F4615" s="8">
        <v>3.61</v>
      </c>
      <c r="G4615" s="4">
        <v>1</v>
      </c>
      <c r="H4615" s="8">
        <v>1.03</v>
      </c>
      <c r="I4615" s="4">
        <v>0</v>
      </c>
    </row>
    <row r="4616" spans="1:9" x14ac:dyDescent="0.2">
      <c r="A4616" s="2">
        <v>11</v>
      </c>
      <c r="B4616" s="1" t="s">
        <v>306</v>
      </c>
      <c r="C4616" s="4">
        <v>4</v>
      </c>
      <c r="D4616" s="8">
        <v>2.14</v>
      </c>
      <c r="E4616" s="4">
        <v>4</v>
      </c>
      <c r="F4616" s="8">
        <v>4.82</v>
      </c>
      <c r="G4616" s="4">
        <v>0</v>
      </c>
      <c r="H4616" s="8">
        <v>0</v>
      </c>
      <c r="I4616" s="4">
        <v>0</v>
      </c>
    </row>
    <row r="4617" spans="1:9" x14ac:dyDescent="0.2">
      <c r="A4617" s="2">
        <v>17</v>
      </c>
      <c r="B4617" s="1" t="s">
        <v>328</v>
      </c>
      <c r="C4617" s="4">
        <v>3</v>
      </c>
      <c r="D4617" s="8">
        <v>1.6</v>
      </c>
      <c r="E4617" s="4">
        <v>0</v>
      </c>
      <c r="F4617" s="8">
        <v>0</v>
      </c>
      <c r="G4617" s="4">
        <v>3</v>
      </c>
      <c r="H4617" s="8">
        <v>3.09</v>
      </c>
      <c r="I4617" s="4">
        <v>0</v>
      </c>
    </row>
    <row r="4618" spans="1:9" x14ac:dyDescent="0.2">
      <c r="A4618" s="2">
        <v>17</v>
      </c>
      <c r="B4618" s="1" t="s">
        <v>293</v>
      </c>
      <c r="C4618" s="4">
        <v>3</v>
      </c>
      <c r="D4618" s="8">
        <v>1.6</v>
      </c>
      <c r="E4618" s="4">
        <v>0</v>
      </c>
      <c r="F4618" s="8">
        <v>0</v>
      </c>
      <c r="G4618" s="4">
        <v>3</v>
      </c>
      <c r="H4618" s="8">
        <v>3.09</v>
      </c>
      <c r="I4618" s="4">
        <v>0</v>
      </c>
    </row>
    <row r="4619" spans="1:9" x14ac:dyDescent="0.2">
      <c r="A4619" s="2">
        <v>17</v>
      </c>
      <c r="B4619" s="1" t="s">
        <v>372</v>
      </c>
      <c r="C4619" s="4">
        <v>3</v>
      </c>
      <c r="D4619" s="8">
        <v>1.6</v>
      </c>
      <c r="E4619" s="4">
        <v>1</v>
      </c>
      <c r="F4619" s="8">
        <v>1.2</v>
      </c>
      <c r="G4619" s="4">
        <v>2</v>
      </c>
      <c r="H4619" s="8">
        <v>2.06</v>
      </c>
      <c r="I4619" s="4">
        <v>0</v>
      </c>
    </row>
    <row r="4620" spans="1:9" x14ac:dyDescent="0.2">
      <c r="A4620" s="2">
        <v>17</v>
      </c>
      <c r="B4620" s="1" t="s">
        <v>337</v>
      </c>
      <c r="C4620" s="4">
        <v>3</v>
      </c>
      <c r="D4620" s="8">
        <v>1.6</v>
      </c>
      <c r="E4620" s="4">
        <v>3</v>
      </c>
      <c r="F4620" s="8">
        <v>3.61</v>
      </c>
      <c r="G4620" s="4">
        <v>0</v>
      </c>
      <c r="H4620" s="8">
        <v>0</v>
      </c>
      <c r="I4620" s="4">
        <v>0</v>
      </c>
    </row>
    <row r="4621" spans="1:9" x14ac:dyDescent="0.2">
      <c r="A4621" s="2">
        <v>17</v>
      </c>
      <c r="B4621" s="1" t="s">
        <v>297</v>
      </c>
      <c r="C4621" s="4">
        <v>3</v>
      </c>
      <c r="D4621" s="8">
        <v>1.6</v>
      </c>
      <c r="E4621" s="4">
        <v>2</v>
      </c>
      <c r="F4621" s="8">
        <v>2.41</v>
      </c>
      <c r="G4621" s="4">
        <v>1</v>
      </c>
      <c r="H4621" s="8">
        <v>1.03</v>
      </c>
      <c r="I4621" s="4">
        <v>0</v>
      </c>
    </row>
    <row r="4622" spans="1:9" x14ac:dyDescent="0.2">
      <c r="A4622" s="2">
        <v>17</v>
      </c>
      <c r="B4622" s="1" t="s">
        <v>325</v>
      </c>
      <c r="C4622" s="4">
        <v>3</v>
      </c>
      <c r="D4622" s="8">
        <v>1.6</v>
      </c>
      <c r="E4622" s="4">
        <v>0</v>
      </c>
      <c r="F4622" s="8">
        <v>0</v>
      </c>
      <c r="G4622" s="4">
        <v>2</v>
      </c>
      <c r="H4622" s="8">
        <v>2.06</v>
      </c>
      <c r="I4622" s="4">
        <v>0</v>
      </c>
    </row>
    <row r="4623" spans="1:9" x14ac:dyDescent="0.2">
      <c r="A4623" s="2">
        <v>17</v>
      </c>
      <c r="B4623" s="1" t="s">
        <v>347</v>
      </c>
      <c r="C4623" s="4">
        <v>3</v>
      </c>
      <c r="D4623" s="8">
        <v>1.6</v>
      </c>
      <c r="E4623" s="4">
        <v>0</v>
      </c>
      <c r="F4623" s="8">
        <v>0</v>
      </c>
      <c r="G4623" s="4">
        <v>3</v>
      </c>
      <c r="H4623" s="8">
        <v>3.09</v>
      </c>
      <c r="I4623" s="4">
        <v>0</v>
      </c>
    </row>
    <row r="4624" spans="1:9" x14ac:dyDescent="0.2">
      <c r="A4624" s="1"/>
      <c r="C4624" s="4"/>
      <c r="D4624" s="8"/>
      <c r="E4624" s="4"/>
      <c r="F4624" s="8"/>
      <c r="G4624" s="4"/>
      <c r="H4624" s="8"/>
      <c r="I4624" s="4"/>
    </row>
    <row r="4625" spans="1:9" x14ac:dyDescent="0.2">
      <c r="A4625" s="1" t="s">
        <v>153</v>
      </c>
      <c r="C4625" s="4"/>
      <c r="D4625" s="8"/>
      <c r="E4625" s="4"/>
      <c r="F4625" s="8"/>
      <c r="G4625" s="4"/>
      <c r="H4625" s="8"/>
      <c r="I4625" s="4"/>
    </row>
    <row r="4626" spans="1:9" x14ac:dyDescent="0.2">
      <c r="A4626" s="2">
        <v>1</v>
      </c>
      <c r="B4626" s="1" t="s">
        <v>297</v>
      </c>
      <c r="C4626" s="4">
        <v>14</v>
      </c>
      <c r="D4626" s="8">
        <v>6.64</v>
      </c>
      <c r="E4626" s="4">
        <v>12</v>
      </c>
      <c r="F4626" s="8">
        <v>10.53</v>
      </c>
      <c r="G4626" s="4">
        <v>2</v>
      </c>
      <c r="H4626" s="8">
        <v>2.25</v>
      </c>
      <c r="I4626" s="4">
        <v>0</v>
      </c>
    </row>
    <row r="4627" spans="1:9" x14ac:dyDescent="0.2">
      <c r="A4627" s="2">
        <v>2</v>
      </c>
      <c r="B4627" s="1" t="s">
        <v>300</v>
      </c>
      <c r="C4627" s="4">
        <v>10</v>
      </c>
      <c r="D4627" s="8">
        <v>4.74</v>
      </c>
      <c r="E4627" s="4">
        <v>9</v>
      </c>
      <c r="F4627" s="8">
        <v>7.89</v>
      </c>
      <c r="G4627" s="4">
        <v>1</v>
      </c>
      <c r="H4627" s="8">
        <v>1.1200000000000001</v>
      </c>
      <c r="I4627" s="4">
        <v>0</v>
      </c>
    </row>
    <row r="4628" spans="1:9" x14ac:dyDescent="0.2">
      <c r="A4628" s="2">
        <v>2</v>
      </c>
      <c r="B4628" s="1" t="s">
        <v>301</v>
      </c>
      <c r="C4628" s="4">
        <v>10</v>
      </c>
      <c r="D4628" s="8">
        <v>4.74</v>
      </c>
      <c r="E4628" s="4">
        <v>10</v>
      </c>
      <c r="F4628" s="8">
        <v>8.77</v>
      </c>
      <c r="G4628" s="4">
        <v>0</v>
      </c>
      <c r="H4628" s="8">
        <v>0</v>
      </c>
      <c r="I4628" s="4">
        <v>0</v>
      </c>
    </row>
    <row r="4629" spans="1:9" x14ac:dyDescent="0.2">
      <c r="A4629" s="2">
        <v>4</v>
      </c>
      <c r="B4629" s="1" t="s">
        <v>288</v>
      </c>
      <c r="C4629" s="4">
        <v>8</v>
      </c>
      <c r="D4629" s="8">
        <v>3.79</v>
      </c>
      <c r="E4629" s="4">
        <v>1</v>
      </c>
      <c r="F4629" s="8">
        <v>0.88</v>
      </c>
      <c r="G4629" s="4">
        <v>7</v>
      </c>
      <c r="H4629" s="8">
        <v>7.87</v>
      </c>
      <c r="I4629" s="4">
        <v>0</v>
      </c>
    </row>
    <row r="4630" spans="1:9" x14ac:dyDescent="0.2">
      <c r="A4630" s="2">
        <v>5</v>
      </c>
      <c r="B4630" s="1" t="s">
        <v>303</v>
      </c>
      <c r="C4630" s="4">
        <v>7</v>
      </c>
      <c r="D4630" s="8">
        <v>3.32</v>
      </c>
      <c r="E4630" s="4">
        <v>7</v>
      </c>
      <c r="F4630" s="8">
        <v>6.14</v>
      </c>
      <c r="G4630" s="4">
        <v>0</v>
      </c>
      <c r="H4630" s="8">
        <v>0</v>
      </c>
      <c r="I4630" s="4">
        <v>0</v>
      </c>
    </row>
    <row r="4631" spans="1:9" x14ac:dyDescent="0.2">
      <c r="A4631" s="2">
        <v>5</v>
      </c>
      <c r="B4631" s="1" t="s">
        <v>304</v>
      </c>
      <c r="C4631" s="4">
        <v>7</v>
      </c>
      <c r="D4631" s="8">
        <v>3.32</v>
      </c>
      <c r="E4631" s="4">
        <v>7</v>
      </c>
      <c r="F4631" s="8">
        <v>6.14</v>
      </c>
      <c r="G4631" s="4">
        <v>0</v>
      </c>
      <c r="H4631" s="8">
        <v>0</v>
      </c>
      <c r="I4631" s="4">
        <v>0</v>
      </c>
    </row>
    <row r="4632" spans="1:9" x14ac:dyDescent="0.2">
      <c r="A4632" s="2">
        <v>7</v>
      </c>
      <c r="B4632" s="1" t="s">
        <v>333</v>
      </c>
      <c r="C4632" s="4">
        <v>5</v>
      </c>
      <c r="D4632" s="8">
        <v>2.37</v>
      </c>
      <c r="E4632" s="4">
        <v>3</v>
      </c>
      <c r="F4632" s="8">
        <v>2.63</v>
      </c>
      <c r="G4632" s="4">
        <v>2</v>
      </c>
      <c r="H4632" s="8">
        <v>2.25</v>
      </c>
      <c r="I4632" s="4">
        <v>0</v>
      </c>
    </row>
    <row r="4633" spans="1:9" x14ac:dyDescent="0.2">
      <c r="A4633" s="2">
        <v>7</v>
      </c>
      <c r="B4633" s="1" t="s">
        <v>299</v>
      </c>
      <c r="C4633" s="4">
        <v>5</v>
      </c>
      <c r="D4633" s="8">
        <v>2.37</v>
      </c>
      <c r="E4633" s="4">
        <v>5</v>
      </c>
      <c r="F4633" s="8">
        <v>4.3899999999999997</v>
      </c>
      <c r="G4633" s="4">
        <v>0</v>
      </c>
      <c r="H4633" s="8">
        <v>0</v>
      </c>
      <c r="I4633" s="4">
        <v>0</v>
      </c>
    </row>
    <row r="4634" spans="1:9" x14ac:dyDescent="0.2">
      <c r="A4634" s="2">
        <v>7</v>
      </c>
      <c r="B4634" s="1" t="s">
        <v>325</v>
      </c>
      <c r="C4634" s="4">
        <v>5</v>
      </c>
      <c r="D4634" s="8">
        <v>2.37</v>
      </c>
      <c r="E4634" s="4">
        <v>0</v>
      </c>
      <c r="F4634" s="8">
        <v>0</v>
      </c>
      <c r="G4634" s="4">
        <v>3</v>
      </c>
      <c r="H4634" s="8">
        <v>3.37</v>
      </c>
      <c r="I4634" s="4">
        <v>0</v>
      </c>
    </row>
    <row r="4635" spans="1:9" x14ac:dyDescent="0.2">
      <c r="A4635" s="2">
        <v>10</v>
      </c>
      <c r="B4635" s="1" t="s">
        <v>289</v>
      </c>
      <c r="C4635" s="4">
        <v>4</v>
      </c>
      <c r="D4635" s="8">
        <v>1.9</v>
      </c>
      <c r="E4635" s="4">
        <v>1</v>
      </c>
      <c r="F4635" s="8">
        <v>0.88</v>
      </c>
      <c r="G4635" s="4">
        <v>3</v>
      </c>
      <c r="H4635" s="8">
        <v>3.37</v>
      </c>
      <c r="I4635" s="4">
        <v>0</v>
      </c>
    </row>
    <row r="4636" spans="1:9" x14ac:dyDescent="0.2">
      <c r="A4636" s="2">
        <v>10</v>
      </c>
      <c r="B4636" s="1" t="s">
        <v>328</v>
      </c>
      <c r="C4636" s="4">
        <v>4</v>
      </c>
      <c r="D4636" s="8">
        <v>1.9</v>
      </c>
      <c r="E4636" s="4">
        <v>2</v>
      </c>
      <c r="F4636" s="8">
        <v>1.75</v>
      </c>
      <c r="G4636" s="4">
        <v>2</v>
      </c>
      <c r="H4636" s="8">
        <v>2.25</v>
      </c>
      <c r="I4636" s="4">
        <v>0</v>
      </c>
    </row>
    <row r="4637" spans="1:9" x14ac:dyDescent="0.2">
      <c r="A4637" s="2">
        <v>10</v>
      </c>
      <c r="B4637" s="1" t="s">
        <v>320</v>
      </c>
      <c r="C4637" s="4">
        <v>4</v>
      </c>
      <c r="D4637" s="8">
        <v>1.9</v>
      </c>
      <c r="E4637" s="4">
        <v>3</v>
      </c>
      <c r="F4637" s="8">
        <v>2.63</v>
      </c>
      <c r="G4637" s="4">
        <v>1</v>
      </c>
      <c r="H4637" s="8">
        <v>1.1200000000000001</v>
      </c>
      <c r="I4637" s="4">
        <v>0</v>
      </c>
    </row>
    <row r="4638" spans="1:9" x14ac:dyDescent="0.2">
      <c r="A4638" s="2">
        <v>10</v>
      </c>
      <c r="B4638" s="1" t="s">
        <v>342</v>
      </c>
      <c r="C4638" s="4">
        <v>4</v>
      </c>
      <c r="D4638" s="8">
        <v>1.9</v>
      </c>
      <c r="E4638" s="4">
        <v>2</v>
      </c>
      <c r="F4638" s="8">
        <v>1.75</v>
      </c>
      <c r="G4638" s="4">
        <v>2</v>
      </c>
      <c r="H4638" s="8">
        <v>2.25</v>
      </c>
      <c r="I4638" s="4">
        <v>0</v>
      </c>
    </row>
    <row r="4639" spans="1:9" x14ac:dyDescent="0.2">
      <c r="A4639" s="2">
        <v>10</v>
      </c>
      <c r="B4639" s="1" t="s">
        <v>384</v>
      </c>
      <c r="C4639" s="4">
        <v>4</v>
      </c>
      <c r="D4639" s="8">
        <v>1.9</v>
      </c>
      <c r="E4639" s="4">
        <v>0</v>
      </c>
      <c r="F4639" s="8">
        <v>0</v>
      </c>
      <c r="G4639" s="4">
        <v>4</v>
      </c>
      <c r="H4639" s="8">
        <v>4.49</v>
      </c>
      <c r="I4639" s="4">
        <v>0</v>
      </c>
    </row>
    <row r="4640" spans="1:9" x14ac:dyDescent="0.2">
      <c r="A4640" s="2">
        <v>10</v>
      </c>
      <c r="B4640" s="1" t="s">
        <v>309</v>
      </c>
      <c r="C4640" s="4">
        <v>4</v>
      </c>
      <c r="D4640" s="8">
        <v>1.9</v>
      </c>
      <c r="E4640" s="4">
        <v>0</v>
      </c>
      <c r="F4640" s="8">
        <v>0</v>
      </c>
      <c r="G4640" s="4">
        <v>4</v>
      </c>
      <c r="H4640" s="8">
        <v>4.49</v>
      </c>
      <c r="I4640" s="4">
        <v>0</v>
      </c>
    </row>
    <row r="4641" spans="1:9" x14ac:dyDescent="0.2">
      <c r="A4641" s="2">
        <v>10</v>
      </c>
      <c r="B4641" s="1" t="s">
        <v>293</v>
      </c>
      <c r="C4641" s="4">
        <v>4</v>
      </c>
      <c r="D4641" s="8">
        <v>1.9</v>
      </c>
      <c r="E4641" s="4">
        <v>4</v>
      </c>
      <c r="F4641" s="8">
        <v>3.51</v>
      </c>
      <c r="G4641" s="4">
        <v>0</v>
      </c>
      <c r="H4641" s="8">
        <v>0</v>
      </c>
      <c r="I4641" s="4">
        <v>0</v>
      </c>
    </row>
    <row r="4642" spans="1:9" x14ac:dyDescent="0.2">
      <c r="A4642" s="2">
        <v>10</v>
      </c>
      <c r="B4642" s="1" t="s">
        <v>349</v>
      </c>
      <c r="C4642" s="4">
        <v>4</v>
      </c>
      <c r="D4642" s="8">
        <v>1.9</v>
      </c>
      <c r="E4642" s="4">
        <v>3</v>
      </c>
      <c r="F4642" s="8">
        <v>2.63</v>
      </c>
      <c r="G4642" s="4">
        <v>1</v>
      </c>
      <c r="H4642" s="8">
        <v>1.1200000000000001</v>
      </c>
      <c r="I4642" s="4">
        <v>0</v>
      </c>
    </row>
    <row r="4643" spans="1:9" x14ac:dyDescent="0.2">
      <c r="A4643" s="2">
        <v>10</v>
      </c>
      <c r="B4643" s="1" t="s">
        <v>318</v>
      </c>
      <c r="C4643" s="4">
        <v>4</v>
      </c>
      <c r="D4643" s="8">
        <v>1.9</v>
      </c>
      <c r="E4643" s="4">
        <v>0</v>
      </c>
      <c r="F4643" s="8">
        <v>0</v>
      </c>
      <c r="G4643" s="4">
        <v>3</v>
      </c>
      <c r="H4643" s="8">
        <v>3.37</v>
      </c>
      <c r="I4643" s="4">
        <v>1</v>
      </c>
    </row>
    <row r="4644" spans="1:9" x14ac:dyDescent="0.2">
      <c r="A4644" s="2">
        <v>19</v>
      </c>
      <c r="B4644" s="1" t="s">
        <v>290</v>
      </c>
      <c r="C4644" s="4">
        <v>3</v>
      </c>
      <c r="D4644" s="8">
        <v>1.42</v>
      </c>
      <c r="E4644" s="4">
        <v>1</v>
      </c>
      <c r="F4644" s="8">
        <v>0.88</v>
      </c>
      <c r="G4644" s="4">
        <v>2</v>
      </c>
      <c r="H4644" s="8">
        <v>2.25</v>
      </c>
      <c r="I4644" s="4">
        <v>0</v>
      </c>
    </row>
    <row r="4645" spans="1:9" x14ac:dyDescent="0.2">
      <c r="A4645" s="2">
        <v>19</v>
      </c>
      <c r="B4645" s="1" t="s">
        <v>291</v>
      </c>
      <c r="C4645" s="4">
        <v>3</v>
      </c>
      <c r="D4645" s="8">
        <v>1.42</v>
      </c>
      <c r="E4645" s="4">
        <v>1</v>
      </c>
      <c r="F4645" s="8">
        <v>0.88</v>
      </c>
      <c r="G4645" s="4">
        <v>2</v>
      </c>
      <c r="H4645" s="8">
        <v>2.25</v>
      </c>
      <c r="I4645" s="4">
        <v>0</v>
      </c>
    </row>
    <row r="4646" spans="1:9" x14ac:dyDescent="0.2">
      <c r="A4646" s="2">
        <v>19</v>
      </c>
      <c r="B4646" s="1" t="s">
        <v>314</v>
      </c>
      <c r="C4646" s="4">
        <v>3</v>
      </c>
      <c r="D4646" s="8">
        <v>1.42</v>
      </c>
      <c r="E4646" s="4">
        <v>2</v>
      </c>
      <c r="F4646" s="8">
        <v>1.75</v>
      </c>
      <c r="G4646" s="4">
        <v>1</v>
      </c>
      <c r="H4646" s="8">
        <v>1.1200000000000001</v>
      </c>
      <c r="I4646" s="4">
        <v>0</v>
      </c>
    </row>
    <row r="4647" spans="1:9" x14ac:dyDescent="0.2">
      <c r="A4647" s="2">
        <v>19</v>
      </c>
      <c r="B4647" s="1" t="s">
        <v>332</v>
      </c>
      <c r="C4647" s="4">
        <v>3</v>
      </c>
      <c r="D4647" s="8">
        <v>1.42</v>
      </c>
      <c r="E4647" s="4">
        <v>3</v>
      </c>
      <c r="F4647" s="8">
        <v>2.63</v>
      </c>
      <c r="G4647" s="4">
        <v>0</v>
      </c>
      <c r="H4647" s="8">
        <v>0</v>
      </c>
      <c r="I4647" s="4">
        <v>0</v>
      </c>
    </row>
    <row r="4648" spans="1:9" x14ac:dyDescent="0.2">
      <c r="A4648" s="2">
        <v>19</v>
      </c>
      <c r="B4648" s="1" t="s">
        <v>329</v>
      </c>
      <c r="C4648" s="4">
        <v>3</v>
      </c>
      <c r="D4648" s="8">
        <v>1.42</v>
      </c>
      <c r="E4648" s="4">
        <v>3</v>
      </c>
      <c r="F4648" s="8">
        <v>2.63</v>
      </c>
      <c r="G4648" s="4">
        <v>0</v>
      </c>
      <c r="H4648" s="8">
        <v>0</v>
      </c>
      <c r="I4648" s="4">
        <v>0</v>
      </c>
    </row>
    <row r="4649" spans="1:9" x14ac:dyDescent="0.2">
      <c r="A4649" s="2">
        <v>19</v>
      </c>
      <c r="B4649" s="1" t="s">
        <v>292</v>
      </c>
      <c r="C4649" s="4">
        <v>3</v>
      </c>
      <c r="D4649" s="8">
        <v>1.42</v>
      </c>
      <c r="E4649" s="4">
        <v>2</v>
      </c>
      <c r="F4649" s="8">
        <v>1.75</v>
      </c>
      <c r="G4649" s="4">
        <v>1</v>
      </c>
      <c r="H4649" s="8">
        <v>1.1200000000000001</v>
      </c>
      <c r="I4649" s="4">
        <v>0</v>
      </c>
    </row>
    <row r="4650" spans="1:9" x14ac:dyDescent="0.2">
      <c r="A4650" s="2">
        <v>19</v>
      </c>
      <c r="B4650" s="1" t="s">
        <v>330</v>
      </c>
      <c r="C4650" s="4">
        <v>3</v>
      </c>
      <c r="D4650" s="8">
        <v>1.42</v>
      </c>
      <c r="E4650" s="4">
        <v>1</v>
      </c>
      <c r="F4650" s="8">
        <v>0.88</v>
      </c>
      <c r="G4650" s="4">
        <v>2</v>
      </c>
      <c r="H4650" s="8">
        <v>2.25</v>
      </c>
      <c r="I4650" s="4">
        <v>0</v>
      </c>
    </row>
    <row r="4651" spans="1:9" x14ac:dyDescent="0.2">
      <c r="A4651" s="2">
        <v>19</v>
      </c>
      <c r="B4651" s="1" t="s">
        <v>355</v>
      </c>
      <c r="C4651" s="4">
        <v>3</v>
      </c>
      <c r="D4651" s="8">
        <v>1.42</v>
      </c>
      <c r="E4651" s="4">
        <v>0</v>
      </c>
      <c r="F4651" s="8">
        <v>0</v>
      </c>
      <c r="G4651" s="4">
        <v>3</v>
      </c>
      <c r="H4651" s="8">
        <v>3.37</v>
      </c>
      <c r="I4651" s="4">
        <v>0</v>
      </c>
    </row>
    <row r="4652" spans="1:9" x14ac:dyDescent="0.2">
      <c r="A4652" s="2">
        <v>19</v>
      </c>
      <c r="B4652" s="1" t="s">
        <v>334</v>
      </c>
      <c r="C4652" s="4">
        <v>3</v>
      </c>
      <c r="D4652" s="8">
        <v>1.42</v>
      </c>
      <c r="E4652" s="4">
        <v>1</v>
      </c>
      <c r="F4652" s="8">
        <v>0.88</v>
      </c>
      <c r="G4652" s="4">
        <v>2</v>
      </c>
      <c r="H4652" s="8">
        <v>2.25</v>
      </c>
      <c r="I4652" s="4">
        <v>0</v>
      </c>
    </row>
    <row r="4653" spans="1:9" x14ac:dyDescent="0.2">
      <c r="A4653" s="2">
        <v>19</v>
      </c>
      <c r="B4653" s="1" t="s">
        <v>302</v>
      </c>
      <c r="C4653" s="4">
        <v>3</v>
      </c>
      <c r="D4653" s="8">
        <v>1.42</v>
      </c>
      <c r="E4653" s="4">
        <v>3</v>
      </c>
      <c r="F4653" s="8">
        <v>2.63</v>
      </c>
      <c r="G4653" s="4">
        <v>0</v>
      </c>
      <c r="H4653" s="8">
        <v>0</v>
      </c>
      <c r="I4653" s="4">
        <v>0</v>
      </c>
    </row>
    <row r="4654" spans="1:9" x14ac:dyDescent="0.2">
      <c r="A4654" s="2">
        <v>19</v>
      </c>
      <c r="B4654" s="1" t="s">
        <v>312</v>
      </c>
      <c r="C4654" s="4">
        <v>3</v>
      </c>
      <c r="D4654" s="8">
        <v>1.42</v>
      </c>
      <c r="E4654" s="4">
        <v>3</v>
      </c>
      <c r="F4654" s="8">
        <v>2.63</v>
      </c>
      <c r="G4654" s="4">
        <v>0</v>
      </c>
      <c r="H4654" s="8">
        <v>0</v>
      </c>
      <c r="I4654" s="4">
        <v>0</v>
      </c>
    </row>
    <row r="4655" spans="1:9" x14ac:dyDescent="0.2">
      <c r="A4655" s="2">
        <v>19</v>
      </c>
      <c r="B4655" s="1" t="s">
        <v>331</v>
      </c>
      <c r="C4655" s="4">
        <v>3</v>
      </c>
      <c r="D4655" s="8">
        <v>1.42</v>
      </c>
      <c r="E4655" s="4">
        <v>0</v>
      </c>
      <c r="F4655" s="8">
        <v>0</v>
      </c>
      <c r="G4655" s="4">
        <v>3</v>
      </c>
      <c r="H4655" s="8">
        <v>3.37</v>
      </c>
      <c r="I4655" s="4">
        <v>0</v>
      </c>
    </row>
    <row r="4656" spans="1:9" x14ac:dyDescent="0.2">
      <c r="A4656" s="1"/>
      <c r="C4656" s="4"/>
      <c r="D4656" s="8"/>
      <c r="E4656" s="4"/>
      <c r="F4656" s="8"/>
      <c r="G4656" s="4"/>
      <c r="H4656" s="8"/>
      <c r="I4656" s="4"/>
    </row>
    <row r="4657" spans="1:9" x14ac:dyDescent="0.2">
      <c r="A4657" s="1" t="s">
        <v>154</v>
      </c>
      <c r="C4657" s="4"/>
      <c r="D4657" s="8"/>
      <c r="E4657" s="4"/>
      <c r="F4657" s="8"/>
      <c r="G4657" s="4"/>
      <c r="H4657" s="8"/>
      <c r="I4657" s="4"/>
    </row>
    <row r="4658" spans="1:9" x14ac:dyDescent="0.2">
      <c r="A4658" s="2">
        <v>1</v>
      </c>
      <c r="B4658" s="1" t="s">
        <v>304</v>
      </c>
      <c r="C4658" s="4">
        <v>17</v>
      </c>
      <c r="D4658" s="8">
        <v>5.74</v>
      </c>
      <c r="E4658" s="4">
        <v>17</v>
      </c>
      <c r="F4658" s="8">
        <v>11.64</v>
      </c>
      <c r="G4658" s="4">
        <v>0</v>
      </c>
      <c r="H4658" s="8">
        <v>0</v>
      </c>
      <c r="I4658" s="4">
        <v>0</v>
      </c>
    </row>
    <row r="4659" spans="1:9" x14ac:dyDescent="0.2">
      <c r="A4659" s="2">
        <v>2</v>
      </c>
      <c r="B4659" s="1" t="s">
        <v>299</v>
      </c>
      <c r="C4659" s="4">
        <v>14</v>
      </c>
      <c r="D4659" s="8">
        <v>4.7300000000000004</v>
      </c>
      <c r="E4659" s="4">
        <v>9</v>
      </c>
      <c r="F4659" s="8">
        <v>6.16</v>
      </c>
      <c r="G4659" s="4">
        <v>5</v>
      </c>
      <c r="H4659" s="8">
        <v>3.65</v>
      </c>
      <c r="I4659" s="4">
        <v>0</v>
      </c>
    </row>
    <row r="4660" spans="1:9" x14ac:dyDescent="0.2">
      <c r="A4660" s="2">
        <v>2</v>
      </c>
      <c r="B4660" s="1" t="s">
        <v>303</v>
      </c>
      <c r="C4660" s="4">
        <v>14</v>
      </c>
      <c r="D4660" s="8">
        <v>4.7300000000000004</v>
      </c>
      <c r="E4660" s="4">
        <v>13</v>
      </c>
      <c r="F4660" s="8">
        <v>8.9</v>
      </c>
      <c r="G4660" s="4">
        <v>1</v>
      </c>
      <c r="H4660" s="8">
        <v>0.73</v>
      </c>
      <c r="I4660" s="4">
        <v>0</v>
      </c>
    </row>
    <row r="4661" spans="1:9" x14ac:dyDescent="0.2">
      <c r="A4661" s="2">
        <v>4</v>
      </c>
      <c r="B4661" s="1" t="s">
        <v>330</v>
      </c>
      <c r="C4661" s="4">
        <v>10</v>
      </c>
      <c r="D4661" s="8">
        <v>3.38</v>
      </c>
      <c r="E4661" s="4">
        <v>1</v>
      </c>
      <c r="F4661" s="8">
        <v>0.68</v>
      </c>
      <c r="G4661" s="4">
        <v>9</v>
      </c>
      <c r="H4661" s="8">
        <v>6.57</v>
      </c>
      <c r="I4661" s="4">
        <v>0</v>
      </c>
    </row>
    <row r="4662" spans="1:9" x14ac:dyDescent="0.2">
      <c r="A4662" s="2">
        <v>4</v>
      </c>
      <c r="B4662" s="1" t="s">
        <v>339</v>
      </c>
      <c r="C4662" s="4">
        <v>10</v>
      </c>
      <c r="D4662" s="8">
        <v>3.38</v>
      </c>
      <c r="E4662" s="4">
        <v>8</v>
      </c>
      <c r="F4662" s="8">
        <v>5.48</v>
      </c>
      <c r="G4662" s="4">
        <v>2</v>
      </c>
      <c r="H4662" s="8">
        <v>1.46</v>
      </c>
      <c r="I4662" s="4">
        <v>0</v>
      </c>
    </row>
    <row r="4663" spans="1:9" x14ac:dyDescent="0.2">
      <c r="A4663" s="2">
        <v>4</v>
      </c>
      <c r="B4663" s="1" t="s">
        <v>301</v>
      </c>
      <c r="C4663" s="4">
        <v>10</v>
      </c>
      <c r="D4663" s="8">
        <v>3.38</v>
      </c>
      <c r="E4663" s="4">
        <v>10</v>
      </c>
      <c r="F4663" s="8">
        <v>6.85</v>
      </c>
      <c r="G4663" s="4">
        <v>0</v>
      </c>
      <c r="H4663" s="8">
        <v>0</v>
      </c>
      <c r="I4663" s="4">
        <v>0</v>
      </c>
    </row>
    <row r="4664" spans="1:9" x14ac:dyDescent="0.2">
      <c r="A4664" s="2">
        <v>7</v>
      </c>
      <c r="B4664" s="1" t="s">
        <v>290</v>
      </c>
      <c r="C4664" s="4">
        <v>8</v>
      </c>
      <c r="D4664" s="8">
        <v>2.7</v>
      </c>
      <c r="E4664" s="4">
        <v>1</v>
      </c>
      <c r="F4664" s="8">
        <v>0.68</v>
      </c>
      <c r="G4664" s="4">
        <v>7</v>
      </c>
      <c r="H4664" s="8">
        <v>5.1100000000000003</v>
      </c>
      <c r="I4664" s="4">
        <v>0</v>
      </c>
    </row>
    <row r="4665" spans="1:9" x14ac:dyDescent="0.2">
      <c r="A4665" s="2">
        <v>8</v>
      </c>
      <c r="B4665" s="1" t="s">
        <v>288</v>
      </c>
      <c r="C4665" s="4">
        <v>7</v>
      </c>
      <c r="D4665" s="8">
        <v>2.36</v>
      </c>
      <c r="E4665" s="4">
        <v>0</v>
      </c>
      <c r="F4665" s="8">
        <v>0</v>
      </c>
      <c r="G4665" s="4">
        <v>7</v>
      </c>
      <c r="H4665" s="8">
        <v>5.1100000000000003</v>
      </c>
      <c r="I4665" s="4">
        <v>0</v>
      </c>
    </row>
    <row r="4666" spans="1:9" x14ac:dyDescent="0.2">
      <c r="A4666" s="2">
        <v>8</v>
      </c>
      <c r="B4666" s="1" t="s">
        <v>334</v>
      </c>
      <c r="C4666" s="4">
        <v>7</v>
      </c>
      <c r="D4666" s="8">
        <v>2.36</v>
      </c>
      <c r="E4666" s="4">
        <v>6</v>
      </c>
      <c r="F4666" s="8">
        <v>4.1100000000000003</v>
      </c>
      <c r="G4666" s="4">
        <v>1</v>
      </c>
      <c r="H4666" s="8">
        <v>0.73</v>
      </c>
      <c r="I4666" s="4">
        <v>0</v>
      </c>
    </row>
    <row r="4667" spans="1:9" x14ac:dyDescent="0.2">
      <c r="A4667" s="2">
        <v>8</v>
      </c>
      <c r="B4667" s="1" t="s">
        <v>307</v>
      </c>
      <c r="C4667" s="4">
        <v>7</v>
      </c>
      <c r="D4667" s="8">
        <v>2.36</v>
      </c>
      <c r="E4667" s="4">
        <v>2</v>
      </c>
      <c r="F4667" s="8">
        <v>1.37</v>
      </c>
      <c r="G4667" s="4">
        <v>5</v>
      </c>
      <c r="H4667" s="8">
        <v>3.65</v>
      </c>
      <c r="I4667" s="4">
        <v>0</v>
      </c>
    </row>
    <row r="4668" spans="1:9" x14ac:dyDescent="0.2">
      <c r="A4668" s="2">
        <v>11</v>
      </c>
      <c r="B4668" s="1" t="s">
        <v>332</v>
      </c>
      <c r="C4668" s="4">
        <v>6</v>
      </c>
      <c r="D4668" s="8">
        <v>2.0299999999999998</v>
      </c>
      <c r="E4668" s="4">
        <v>3</v>
      </c>
      <c r="F4668" s="8">
        <v>2.0499999999999998</v>
      </c>
      <c r="G4668" s="4">
        <v>3</v>
      </c>
      <c r="H4668" s="8">
        <v>2.19</v>
      </c>
      <c r="I4668" s="4">
        <v>0</v>
      </c>
    </row>
    <row r="4669" spans="1:9" x14ac:dyDescent="0.2">
      <c r="A4669" s="2">
        <v>11</v>
      </c>
      <c r="B4669" s="1" t="s">
        <v>295</v>
      </c>
      <c r="C4669" s="4">
        <v>6</v>
      </c>
      <c r="D4669" s="8">
        <v>2.0299999999999998</v>
      </c>
      <c r="E4669" s="4">
        <v>3</v>
      </c>
      <c r="F4669" s="8">
        <v>2.0499999999999998</v>
      </c>
      <c r="G4669" s="4">
        <v>3</v>
      </c>
      <c r="H4669" s="8">
        <v>2.19</v>
      </c>
      <c r="I4669" s="4">
        <v>0</v>
      </c>
    </row>
    <row r="4670" spans="1:9" x14ac:dyDescent="0.2">
      <c r="A4670" s="2">
        <v>11</v>
      </c>
      <c r="B4670" s="1" t="s">
        <v>297</v>
      </c>
      <c r="C4670" s="4">
        <v>6</v>
      </c>
      <c r="D4670" s="8">
        <v>2.0299999999999998</v>
      </c>
      <c r="E4670" s="4">
        <v>2</v>
      </c>
      <c r="F4670" s="8">
        <v>1.37</v>
      </c>
      <c r="G4670" s="4">
        <v>4</v>
      </c>
      <c r="H4670" s="8">
        <v>2.92</v>
      </c>
      <c r="I4670" s="4">
        <v>0</v>
      </c>
    </row>
    <row r="4671" spans="1:9" x14ac:dyDescent="0.2">
      <c r="A4671" s="2">
        <v>14</v>
      </c>
      <c r="B4671" s="1" t="s">
        <v>300</v>
      </c>
      <c r="C4671" s="4">
        <v>5</v>
      </c>
      <c r="D4671" s="8">
        <v>1.69</v>
      </c>
      <c r="E4671" s="4">
        <v>4</v>
      </c>
      <c r="F4671" s="8">
        <v>2.74</v>
      </c>
      <c r="G4671" s="4">
        <v>1</v>
      </c>
      <c r="H4671" s="8">
        <v>0.73</v>
      </c>
      <c r="I4671" s="4">
        <v>0</v>
      </c>
    </row>
    <row r="4672" spans="1:9" x14ac:dyDescent="0.2">
      <c r="A4672" s="2">
        <v>14</v>
      </c>
      <c r="B4672" s="1" t="s">
        <v>514</v>
      </c>
      <c r="C4672" s="4">
        <v>5</v>
      </c>
      <c r="D4672" s="8">
        <v>1.69</v>
      </c>
      <c r="E4672" s="4">
        <v>4</v>
      </c>
      <c r="F4672" s="8">
        <v>2.74</v>
      </c>
      <c r="G4672" s="4">
        <v>1</v>
      </c>
      <c r="H4672" s="8">
        <v>0.73</v>
      </c>
      <c r="I4672" s="4">
        <v>0</v>
      </c>
    </row>
    <row r="4673" spans="1:9" x14ac:dyDescent="0.2">
      <c r="A4673" s="2">
        <v>14</v>
      </c>
      <c r="B4673" s="1" t="s">
        <v>305</v>
      </c>
      <c r="C4673" s="4">
        <v>5</v>
      </c>
      <c r="D4673" s="8">
        <v>1.69</v>
      </c>
      <c r="E4673" s="4">
        <v>5</v>
      </c>
      <c r="F4673" s="8">
        <v>3.42</v>
      </c>
      <c r="G4673" s="4">
        <v>0</v>
      </c>
      <c r="H4673" s="8">
        <v>0</v>
      </c>
      <c r="I4673" s="4">
        <v>0</v>
      </c>
    </row>
    <row r="4674" spans="1:9" x14ac:dyDescent="0.2">
      <c r="A4674" s="2">
        <v>14</v>
      </c>
      <c r="B4674" s="1" t="s">
        <v>341</v>
      </c>
      <c r="C4674" s="4">
        <v>5</v>
      </c>
      <c r="D4674" s="8">
        <v>1.69</v>
      </c>
      <c r="E4674" s="4">
        <v>0</v>
      </c>
      <c r="F4674" s="8">
        <v>0</v>
      </c>
      <c r="G4674" s="4">
        <v>0</v>
      </c>
      <c r="H4674" s="8">
        <v>0</v>
      </c>
      <c r="I4674" s="4">
        <v>0</v>
      </c>
    </row>
    <row r="4675" spans="1:9" x14ac:dyDescent="0.2">
      <c r="A4675" s="2">
        <v>18</v>
      </c>
      <c r="B4675" s="1" t="s">
        <v>291</v>
      </c>
      <c r="C4675" s="4">
        <v>4</v>
      </c>
      <c r="D4675" s="8">
        <v>1.35</v>
      </c>
      <c r="E4675" s="4">
        <v>1</v>
      </c>
      <c r="F4675" s="8">
        <v>0.68</v>
      </c>
      <c r="G4675" s="4">
        <v>3</v>
      </c>
      <c r="H4675" s="8">
        <v>2.19</v>
      </c>
      <c r="I4675" s="4">
        <v>0</v>
      </c>
    </row>
    <row r="4676" spans="1:9" x14ac:dyDescent="0.2">
      <c r="A4676" s="2">
        <v>18</v>
      </c>
      <c r="B4676" s="1" t="s">
        <v>342</v>
      </c>
      <c r="C4676" s="4">
        <v>4</v>
      </c>
      <c r="D4676" s="8">
        <v>1.35</v>
      </c>
      <c r="E4676" s="4">
        <v>0</v>
      </c>
      <c r="F4676" s="8">
        <v>0</v>
      </c>
      <c r="G4676" s="4">
        <v>4</v>
      </c>
      <c r="H4676" s="8">
        <v>2.92</v>
      </c>
      <c r="I4676" s="4">
        <v>0</v>
      </c>
    </row>
    <row r="4677" spans="1:9" x14ac:dyDescent="0.2">
      <c r="A4677" s="2">
        <v>18</v>
      </c>
      <c r="B4677" s="1" t="s">
        <v>350</v>
      </c>
      <c r="C4677" s="4">
        <v>4</v>
      </c>
      <c r="D4677" s="8">
        <v>1.35</v>
      </c>
      <c r="E4677" s="4">
        <v>1</v>
      </c>
      <c r="F4677" s="8">
        <v>0.68</v>
      </c>
      <c r="G4677" s="4">
        <v>3</v>
      </c>
      <c r="H4677" s="8">
        <v>2.19</v>
      </c>
      <c r="I4677" s="4">
        <v>0</v>
      </c>
    </row>
    <row r="4678" spans="1:9" x14ac:dyDescent="0.2">
      <c r="A4678" s="2">
        <v>18</v>
      </c>
      <c r="B4678" s="1" t="s">
        <v>293</v>
      </c>
      <c r="C4678" s="4">
        <v>4</v>
      </c>
      <c r="D4678" s="8">
        <v>1.35</v>
      </c>
      <c r="E4678" s="4">
        <v>2</v>
      </c>
      <c r="F4678" s="8">
        <v>1.37</v>
      </c>
      <c r="G4678" s="4">
        <v>2</v>
      </c>
      <c r="H4678" s="8">
        <v>1.46</v>
      </c>
      <c r="I4678" s="4">
        <v>0</v>
      </c>
    </row>
    <row r="4679" spans="1:9" x14ac:dyDescent="0.2">
      <c r="A4679" s="2">
        <v>18</v>
      </c>
      <c r="B4679" s="1" t="s">
        <v>335</v>
      </c>
      <c r="C4679" s="4">
        <v>4</v>
      </c>
      <c r="D4679" s="8">
        <v>1.35</v>
      </c>
      <c r="E4679" s="4">
        <v>2</v>
      </c>
      <c r="F4679" s="8">
        <v>1.37</v>
      </c>
      <c r="G4679" s="4">
        <v>2</v>
      </c>
      <c r="H4679" s="8">
        <v>1.46</v>
      </c>
      <c r="I4679" s="4">
        <v>0</v>
      </c>
    </row>
    <row r="4680" spans="1:9" x14ac:dyDescent="0.2">
      <c r="A4680" s="2">
        <v>18</v>
      </c>
      <c r="B4680" s="1" t="s">
        <v>372</v>
      </c>
      <c r="C4680" s="4">
        <v>4</v>
      </c>
      <c r="D4680" s="8">
        <v>1.35</v>
      </c>
      <c r="E4680" s="4">
        <v>1</v>
      </c>
      <c r="F4680" s="8">
        <v>0.68</v>
      </c>
      <c r="G4680" s="4">
        <v>3</v>
      </c>
      <c r="H4680" s="8">
        <v>2.19</v>
      </c>
      <c r="I4680" s="4">
        <v>0</v>
      </c>
    </row>
    <row r="4681" spans="1:9" x14ac:dyDescent="0.2">
      <c r="A4681" s="2">
        <v>18</v>
      </c>
      <c r="B4681" s="1" t="s">
        <v>349</v>
      </c>
      <c r="C4681" s="4">
        <v>4</v>
      </c>
      <c r="D4681" s="8">
        <v>1.35</v>
      </c>
      <c r="E4681" s="4">
        <v>4</v>
      </c>
      <c r="F4681" s="8">
        <v>2.74</v>
      </c>
      <c r="G4681" s="4">
        <v>0</v>
      </c>
      <c r="H4681" s="8">
        <v>0</v>
      </c>
      <c r="I4681" s="4">
        <v>0</v>
      </c>
    </row>
    <row r="4682" spans="1:9" x14ac:dyDescent="0.2">
      <c r="A4682" s="2">
        <v>18</v>
      </c>
      <c r="B4682" s="1" t="s">
        <v>312</v>
      </c>
      <c r="C4682" s="4">
        <v>4</v>
      </c>
      <c r="D4682" s="8">
        <v>1.35</v>
      </c>
      <c r="E4682" s="4">
        <v>4</v>
      </c>
      <c r="F4682" s="8">
        <v>2.74</v>
      </c>
      <c r="G4682" s="4">
        <v>0</v>
      </c>
      <c r="H4682" s="8">
        <v>0</v>
      </c>
      <c r="I4682" s="4">
        <v>0</v>
      </c>
    </row>
    <row r="4683" spans="1:9" x14ac:dyDescent="0.2">
      <c r="A4683" s="2">
        <v>18</v>
      </c>
      <c r="B4683" s="1" t="s">
        <v>331</v>
      </c>
      <c r="C4683" s="4">
        <v>4</v>
      </c>
      <c r="D4683" s="8">
        <v>1.35</v>
      </c>
      <c r="E4683" s="4">
        <v>0</v>
      </c>
      <c r="F4683" s="8">
        <v>0</v>
      </c>
      <c r="G4683" s="4">
        <v>2</v>
      </c>
      <c r="H4683" s="8">
        <v>1.46</v>
      </c>
      <c r="I4683" s="4">
        <v>0</v>
      </c>
    </row>
    <row r="4684" spans="1:9" x14ac:dyDescent="0.2">
      <c r="A4684" s="1"/>
      <c r="C4684" s="4"/>
      <c r="D4684" s="8"/>
      <c r="E4684" s="4"/>
      <c r="F4684" s="8"/>
      <c r="G4684" s="4"/>
      <c r="H4684" s="8"/>
      <c r="I4684" s="4"/>
    </row>
    <row r="4685" spans="1:9" x14ac:dyDescent="0.2">
      <c r="A4685" s="1" t="s">
        <v>155</v>
      </c>
      <c r="C4685" s="4"/>
      <c r="D4685" s="8"/>
      <c r="E4685" s="4"/>
      <c r="F4685" s="8"/>
      <c r="G4685" s="4"/>
      <c r="H4685" s="8"/>
      <c r="I4685" s="4"/>
    </row>
    <row r="4686" spans="1:9" x14ac:dyDescent="0.2">
      <c r="A4686" s="2">
        <v>1</v>
      </c>
      <c r="B4686" s="1" t="s">
        <v>288</v>
      </c>
      <c r="C4686" s="4">
        <v>10</v>
      </c>
      <c r="D4686" s="8">
        <v>6.94</v>
      </c>
      <c r="E4686" s="4">
        <v>4</v>
      </c>
      <c r="F4686" s="8">
        <v>5.26</v>
      </c>
      <c r="G4686" s="4">
        <v>6</v>
      </c>
      <c r="H4686" s="8">
        <v>10.53</v>
      </c>
      <c r="I4686" s="4">
        <v>0</v>
      </c>
    </row>
    <row r="4687" spans="1:9" x14ac:dyDescent="0.2">
      <c r="A4687" s="2">
        <v>2</v>
      </c>
      <c r="B4687" s="1" t="s">
        <v>303</v>
      </c>
      <c r="C4687" s="4">
        <v>7</v>
      </c>
      <c r="D4687" s="8">
        <v>4.8600000000000003</v>
      </c>
      <c r="E4687" s="4">
        <v>7</v>
      </c>
      <c r="F4687" s="8">
        <v>9.2100000000000009</v>
      </c>
      <c r="G4687" s="4">
        <v>0</v>
      </c>
      <c r="H4687" s="8">
        <v>0</v>
      </c>
      <c r="I4687" s="4">
        <v>0</v>
      </c>
    </row>
    <row r="4688" spans="1:9" x14ac:dyDescent="0.2">
      <c r="A4688" s="2">
        <v>3</v>
      </c>
      <c r="B4688" s="1" t="s">
        <v>330</v>
      </c>
      <c r="C4688" s="4">
        <v>6</v>
      </c>
      <c r="D4688" s="8">
        <v>4.17</v>
      </c>
      <c r="E4688" s="4">
        <v>0</v>
      </c>
      <c r="F4688" s="8">
        <v>0</v>
      </c>
      <c r="G4688" s="4">
        <v>6</v>
      </c>
      <c r="H4688" s="8">
        <v>10.53</v>
      </c>
      <c r="I4688" s="4">
        <v>0</v>
      </c>
    </row>
    <row r="4689" spans="1:9" x14ac:dyDescent="0.2">
      <c r="A4689" s="2">
        <v>3</v>
      </c>
      <c r="B4689" s="1" t="s">
        <v>304</v>
      </c>
      <c r="C4689" s="4">
        <v>6</v>
      </c>
      <c r="D4689" s="8">
        <v>4.17</v>
      </c>
      <c r="E4689" s="4">
        <v>6</v>
      </c>
      <c r="F4689" s="8">
        <v>7.89</v>
      </c>
      <c r="G4689" s="4">
        <v>0</v>
      </c>
      <c r="H4689" s="8">
        <v>0</v>
      </c>
      <c r="I4689" s="4">
        <v>0</v>
      </c>
    </row>
    <row r="4690" spans="1:9" x14ac:dyDescent="0.2">
      <c r="A4690" s="2">
        <v>5</v>
      </c>
      <c r="B4690" s="1" t="s">
        <v>334</v>
      </c>
      <c r="C4690" s="4">
        <v>5</v>
      </c>
      <c r="D4690" s="8">
        <v>3.47</v>
      </c>
      <c r="E4690" s="4">
        <v>4</v>
      </c>
      <c r="F4690" s="8">
        <v>5.26</v>
      </c>
      <c r="G4690" s="4">
        <v>1</v>
      </c>
      <c r="H4690" s="8">
        <v>1.75</v>
      </c>
      <c r="I4690" s="4">
        <v>0</v>
      </c>
    </row>
    <row r="4691" spans="1:9" x14ac:dyDescent="0.2">
      <c r="A4691" s="2">
        <v>5</v>
      </c>
      <c r="B4691" s="1" t="s">
        <v>307</v>
      </c>
      <c r="C4691" s="4">
        <v>5</v>
      </c>
      <c r="D4691" s="8">
        <v>3.47</v>
      </c>
      <c r="E4691" s="4">
        <v>3</v>
      </c>
      <c r="F4691" s="8">
        <v>3.95</v>
      </c>
      <c r="G4691" s="4">
        <v>2</v>
      </c>
      <c r="H4691" s="8">
        <v>3.51</v>
      </c>
      <c r="I4691" s="4">
        <v>0</v>
      </c>
    </row>
    <row r="4692" spans="1:9" x14ac:dyDescent="0.2">
      <c r="A4692" s="2">
        <v>7</v>
      </c>
      <c r="B4692" s="1" t="s">
        <v>354</v>
      </c>
      <c r="C4692" s="4">
        <v>4</v>
      </c>
      <c r="D4692" s="8">
        <v>2.78</v>
      </c>
      <c r="E4692" s="4">
        <v>3</v>
      </c>
      <c r="F4692" s="8">
        <v>3.95</v>
      </c>
      <c r="G4692" s="4">
        <v>1</v>
      </c>
      <c r="H4692" s="8">
        <v>1.75</v>
      </c>
      <c r="I4692" s="4">
        <v>0</v>
      </c>
    </row>
    <row r="4693" spans="1:9" x14ac:dyDescent="0.2">
      <c r="A4693" s="2">
        <v>7</v>
      </c>
      <c r="B4693" s="1" t="s">
        <v>293</v>
      </c>
      <c r="C4693" s="4">
        <v>4</v>
      </c>
      <c r="D4693" s="8">
        <v>2.78</v>
      </c>
      <c r="E4693" s="4">
        <v>2</v>
      </c>
      <c r="F4693" s="8">
        <v>2.63</v>
      </c>
      <c r="G4693" s="4">
        <v>2</v>
      </c>
      <c r="H4693" s="8">
        <v>3.51</v>
      </c>
      <c r="I4693" s="4">
        <v>0</v>
      </c>
    </row>
    <row r="4694" spans="1:9" x14ac:dyDescent="0.2">
      <c r="A4694" s="2">
        <v>7</v>
      </c>
      <c r="B4694" s="1" t="s">
        <v>372</v>
      </c>
      <c r="C4694" s="4">
        <v>4</v>
      </c>
      <c r="D4694" s="8">
        <v>2.78</v>
      </c>
      <c r="E4694" s="4">
        <v>0</v>
      </c>
      <c r="F4694" s="8">
        <v>0</v>
      </c>
      <c r="G4694" s="4">
        <v>4</v>
      </c>
      <c r="H4694" s="8">
        <v>7.02</v>
      </c>
      <c r="I4694" s="4">
        <v>0</v>
      </c>
    </row>
    <row r="4695" spans="1:9" x14ac:dyDescent="0.2">
      <c r="A4695" s="2">
        <v>7</v>
      </c>
      <c r="B4695" s="1" t="s">
        <v>295</v>
      </c>
      <c r="C4695" s="4">
        <v>4</v>
      </c>
      <c r="D4695" s="8">
        <v>2.78</v>
      </c>
      <c r="E4695" s="4">
        <v>4</v>
      </c>
      <c r="F4695" s="8">
        <v>5.26</v>
      </c>
      <c r="G4695" s="4">
        <v>0</v>
      </c>
      <c r="H4695" s="8">
        <v>0</v>
      </c>
      <c r="I4695" s="4">
        <v>0</v>
      </c>
    </row>
    <row r="4696" spans="1:9" x14ac:dyDescent="0.2">
      <c r="A4696" s="2">
        <v>7</v>
      </c>
      <c r="B4696" s="1" t="s">
        <v>422</v>
      </c>
      <c r="C4696" s="4">
        <v>4</v>
      </c>
      <c r="D4696" s="8">
        <v>2.78</v>
      </c>
      <c r="E4696" s="4">
        <v>4</v>
      </c>
      <c r="F4696" s="8">
        <v>5.26</v>
      </c>
      <c r="G4696" s="4">
        <v>0</v>
      </c>
      <c r="H4696" s="8">
        <v>0</v>
      </c>
      <c r="I4696" s="4">
        <v>0</v>
      </c>
    </row>
    <row r="4697" spans="1:9" x14ac:dyDescent="0.2">
      <c r="A4697" s="2">
        <v>7</v>
      </c>
      <c r="B4697" s="1" t="s">
        <v>299</v>
      </c>
      <c r="C4697" s="4">
        <v>4</v>
      </c>
      <c r="D4697" s="8">
        <v>2.78</v>
      </c>
      <c r="E4697" s="4">
        <v>4</v>
      </c>
      <c r="F4697" s="8">
        <v>5.26</v>
      </c>
      <c r="G4697" s="4">
        <v>0</v>
      </c>
      <c r="H4697" s="8">
        <v>0</v>
      </c>
      <c r="I4697" s="4">
        <v>0</v>
      </c>
    </row>
    <row r="4698" spans="1:9" x14ac:dyDescent="0.2">
      <c r="A4698" s="2">
        <v>7</v>
      </c>
      <c r="B4698" s="1" t="s">
        <v>341</v>
      </c>
      <c r="C4698" s="4">
        <v>4</v>
      </c>
      <c r="D4698" s="8">
        <v>2.78</v>
      </c>
      <c r="E4698" s="4">
        <v>0</v>
      </c>
      <c r="F4698" s="8">
        <v>0</v>
      </c>
      <c r="G4698" s="4">
        <v>0</v>
      </c>
      <c r="H4698" s="8">
        <v>0</v>
      </c>
      <c r="I4698" s="4">
        <v>0</v>
      </c>
    </row>
    <row r="4699" spans="1:9" x14ac:dyDescent="0.2">
      <c r="A4699" s="2">
        <v>14</v>
      </c>
      <c r="B4699" s="1" t="s">
        <v>309</v>
      </c>
      <c r="C4699" s="4">
        <v>3</v>
      </c>
      <c r="D4699" s="8">
        <v>2.08</v>
      </c>
      <c r="E4699" s="4">
        <v>2</v>
      </c>
      <c r="F4699" s="8">
        <v>2.63</v>
      </c>
      <c r="G4699" s="4">
        <v>1</v>
      </c>
      <c r="H4699" s="8">
        <v>1.75</v>
      </c>
      <c r="I4699" s="4">
        <v>0</v>
      </c>
    </row>
    <row r="4700" spans="1:9" x14ac:dyDescent="0.2">
      <c r="A4700" s="2">
        <v>14</v>
      </c>
      <c r="B4700" s="1" t="s">
        <v>337</v>
      </c>
      <c r="C4700" s="4">
        <v>3</v>
      </c>
      <c r="D4700" s="8">
        <v>2.08</v>
      </c>
      <c r="E4700" s="4">
        <v>2</v>
      </c>
      <c r="F4700" s="8">
        <v>2.63</v>
      </c>
      <c r="G4700" s="4">
        <v>1</v>
      </c>
      <c r="H4700" s="8">
        <v>1.75</v>
      </c>
      <c r="I4700" s="4">
        <v>0</v>
      </c>
    </row>
    <row r="4701" spans="1:9" x14ac:dyDescent="0.2">
      <c r="A4701" s="2">
        <v>14</v>
      </c>
      <c r="B4701" s="1" t="s">
        <v>297</v>
      </c>
      <c r="C4701" s="4">
        <v>3</v>
      </c>
      <c r="D4701" s="8">
        <v>2.08</v>
      </c>
      <c r="E4701" s="4">
        <v>2</v>
      </c>
      <c r="F4701" s="8">
        <v>2.63</v>
      </c>
      <c r="G4701" s="4">
        <v>1</v>
      </c>
      <c r="H4701" s="8">
        <v>1.75</v>
      </c>
      <c r="I4701" s="4">
        <v>0</v>
      </c>
    </row>
    <row r="4702" spans="1:9" x14ac:dyDescent="0.2">
      <c r="A4702" s="2">
        <v>14</v>
      </c>
      <c r="B4702" s="1" t="s">
        <v>340</v>
      </c>
      <c r="C4702" s="4">
        <v>3</v>
      </c>
      <c r="D4702" s="8">
        <v>2.08</v>
      </c>
      <c r="E4702" s="4">
        <v>1</v>
      </c>
      <c r="F4702" s="8">
        <v>1.32</v>
      </c>
      <c r="G4702" s="4">
        <v>0</v>
      </c>
      <c r="H4702" s="8">
        <v>0</v>
      </c>
      <c r="I4702" s="4">
        <v>0</v>
      </c>
    </row>
    <row r="4703" spans="1:9" x14ac:dyDescent="0.2">
      <c r="A4703" s="2">
        <v>14</v>
      </c>
      <c r="B4703" s="1" t="s">
        <v>312</v>
      </c>
      <c r="C4703" s="4">
        <v>3</v>
      </c>
      <c r="D4703" s="8">
        <v>2.08</v>
      </c>
      <c r="E4703" s="4">
        <v>2</v>
      </c>
      <c r="F4703" s="8">
        <v>2.63</v>
      </c>
      <c r="G4703" s="4">
        <v>1</v>
      </c>
      <c r="H4703" s="8">
        <v>1.75</v>
      </c>
      <c r="I4703" s="4">
        <v>0</v>
      </c>
    </row>
    <row r="4704" spans="1:9" x14ac:dyDescent="0.2">
      <c r="A4704" s="2">
        <v>19</v>
      </c>
      <c r="B4704" s="1" t="s">
        <v>427</v>
      </c>
      <c r="C4704" s="4">
        <v>2</v>
      </c>
      <c r="D4704" s="8">
        <v>1.39</v>
      </c>
      <c r="E4704" s="4">
        <v>0</v>
      </c>
      <c r="F4704" s="8">
        <v>0</v>
      </c>
      <c r="G4704" s="4">
        <v>2</v>
      </c>
      <c r="H4704" s="8">
        <v>3.51</v>
      </c>
      <c r="I4704" s="4">
        <v>0</v>
      </c>
    </row>
    <row r="4705" spans="1:9" x14ac:dyDescent="0.2">
      <c r="A4705" s="2">
        <v>19</v>
      </c>
      <c r="B4705" s="1" t="s">
        <v>375</v>
      </c>
      <c r="C4705" s="4">
        <v>2</v>
      </c>
      <c r="D4705" s="8">
        <v>1.39</v>
      </c>
      <c r="E4705" s="4">
        <v>0</v>
      </c>
      <c r="F4705" s="8">
        <v>0</v>
      </c>
      <c r="G4705" s="4">
        <v>2</v>
      </c>
      <c r="H4705" s="8">
        <v>3.51</v>
      </c>
      <c r="I4705" s="4">
        <v>0</v>
      </c>
    </row>
    <row r="4706" spans="1:9" x14ac:dyDescent="0.2">
      <c r="A4706" s="2">
        <v>19</v>
      </c>
      <c r="B4706" s="1" t="s">
        <v>333</v>
      </c>
      <c r="C4706" s="4">
        <v>2</v>
      </c>
      <c r="D4706" s="8">
        <v>1.39</v>
      </c>
      <c r="E4706" s="4">
        <v>2</v>
      </c>
      <c r="F4706" s="8">
        <v>2.63</v>
      </c>
      <c r="G4706" s="4">
        <v>0</v>
      </c>
      <c r="H4706" s="8">
        <v>0</v>
      </c>
      <c r="I4706" s="4">
        <v>0</v>
      </c>
    </row>
    <row r="4707" spans="1:9" x14ac:dyDescent="0.2">
      <c r="A4707" s="2">
        <v>19</v>
      </c>
      <c r="B4707" s="1" t="s">
        <v>291</v>
      </c>
      <c r="C4707" s="4">
        <v>2</v>
      </c>
      <c r="D4707" s="8">
        <v>1.39</v>
      </c>
      <c r="E4707" s="4">
        <v>2</v>
      </c>
      <c r="F4707" s="8">
        <v>2.63</v>
      </c>
      <c r="G4707" s="4">
        <v>0</v>
      </c>
      <c r="H4707" s="8">
        <v>0</v>
      </c>
      <c r="I4707" s="4">
        <v>0</v>
      </c>
    </row>
    <row r="4708" spans="1:9" x14ac:dyDescent="0.2">
      <c r="A4708" s="2">
        <v>19</v>
      </c>
      <c r="B4708" s="1" t="s">
        <v>432</v>
      </c>
      <c r="C4708" s="4">
        <v>2</v>
      </c>
      <c r="D4708" s="8">
        <v>1.39</v>
      </c>
      <c r="E4708" s="4">
        <v>1</v>
      </c>
      <c r="F4708" s="8">
        <v>1.32</v>
      </c>
      <c r="G4708" s="4">
        <v>1</v>
      </c>
      <c r="H4708" s="8">
        <v>1.75</v>
      </c>
      <c r="I4708" s="4">
        <v>0</v>
      </c>
    </row>
    <row r="4709" spans="1:9" x14ac:dyDescent="0.2">
      <c r="A4709" s="2">
        <v>19</v>
      </c>
      <c r="B4709" s="1" t="s">
        <v>326</v>
      </c>
      <c r="C4709" s="4">
        <v>2</v>
      </c>
      <c r="D4709" s="8">
        <v>1.39</v>
      </c>
      <c r="E4709" s="4">
        <v>1</v>
      </c>
      <c r="F4709" s="8">
        <v>1.32</v>
      </c>
      <c r="G4709" s="4">
        <v>1</v>
      </c>
      <c r="H4709" s="8">
        <v>1.75</v>
      </c>
      <c r="I4709" s="4">
        <v>0</v>
      </c>
    </row>
    <row r="4710" spans="1:9" x14ac:dyDescent="0.2">
      <c r="A4710" s="2">
        <v>19</v>
      </c>
      <c r="B4710" s="1" t="s">
        <v>336</v>
      </c>
      <c r="C4710" s="4">
        <v>2</v>
      </c>
      <c r="D4710" s="8">
        <v>1.39</v>
      </c>
      <c r="E4710" s="4">
        <v>1</v>
      </c>
      <c r="F4710" s="8">
        <v>1.32</v>
      </c>
      <c r="G4710" s="4">
        <v>1</v>
      </c>
      <c r="H4710" s="8">
        <v>1.75</v>
      </c>
      <c r="I4710" s="4">
        <v>0</v>
      </c>
    </row>
    <row r="4711" spans="1:9" x14ac:dyDescent="0.2">
      <c r="A4711" s="2">
        <v>19</v>
      </c>
      <c r="B4711" s="1" t="s">
        <v>335</v>
      </c>
      <c r="C4711" s="4">
        <v>2</v>
      </c>
      <c r="D4711" s="8">
        <v>1.39</v>
      </c>
      <c r="E4711" s="4">
        <v>0</v>
      </c>
      <c r="F4711" s="8">
        <v>0</v>
      </c>
      <c r="G4711" s="4">
        <v>2</v>
      </c>
      <c r="H4711" s="8">
        <v>3.51</v>
      </c>
      <c r="I4711" s="4">
        <v>0</v>
      </c>
    </row>
    <row r="4712" spans="1:9" x14ac:dyDescent="0.2">
      <c r="A4712" s="2">
        <v>19</v>
      </c>
      <c r="B4712" s="1" t="s">
        <v>294</v>
      </c>
      <c r="C4712" s="4">
        <v>2</v>
      </c>
      <c r="D4712" s="8">
        <v>1.39</v>
      </c>
      <c r="E4712" s="4">
        <v>0</v>
      </c>
      <c r="F4712" s="8">
        <v>0</v>
      </c>
      <c r="G4712" s="4">
        <v>2</v>
      </c>
      <c r="H4712" s="8">
        <v>3.51</v>
      </c>
      <c r="I4712" s="4">
        <v>0</v>
      </c>
    </row>
    <row r="4713" spans="1:9" x14ac:dyDescent="0.2">
      <c r="A4713" s="2">
        <v>19</v>
      </c>
      <c r="B4713" s="1" t="s">
        <v>415</v>
      </c>
      <c r="C4713" s="4">
        <v>2</v>
      </c>
      <c r="D4713" s="8">
        <v>1.39</v>
      </c>
      <c r="E4713" s="4">
        <v>0</v>
      </c>
      <c r="F4713" s="8">
        <v>0</v>
      </c>
      <c r="G4713" s="4">
        <v>2</v>
      </c>
      <c r="H4713" s="8">
        <v>3.51</v>
      </c>
      <c r="I4713" s="4">
        <v>0</v>
      </c>
    </row>
    <row r="4714" spans="1:9" x14ac:dyDescent="0.2">
      <c r="A4714" s="2">
        <v>19</v>
      </c>
      <c r="B4714" s="1" t="s">
        <v>418</v>
      </c>
      <c r="C4714" s="4">
        <v>2</v>
      </c>
      <c r="D4714" s="8">
        <v>1.39</v>
      </c>
      <c r="E4714" s="4">
        <v>1</v>
      </c>
      <c r="F4714" s="8">
        <v>1.32</v>
      </c>
      <c r="G4714" s="4">
        <v>0</v>
      </c>
      <c r="H4714" s="8">
        <v>0</v>
      </c>
      <c r="I4714" s="4">
        <v>0</v>
      </c>
    </row>
    <row r="4715" spans="1:9" x14ac:dyDescent="0.2">
      <c r="A4715" s="2">
        <v>19</v>
      </c>
      <c r="B4715" s="1" t="s">
        <v>349</v>
      </c>
      <c r="C4715" s="4">
        <v>2</v>
      </c>
      <c r="D4715" s="8">
        <v>1.39</v>
      </c>
      <c r="E4715" s="4">
        <v>1</v>
      </c>
      <c r="F4715" s="8">
        <v>1.32</v>
      </c>
      <c r="G4715" s="4">
        <v>1</v>
      </c>
      <c r="H4715" s="8">
        <v>1.75</v>
      </c>
      <c r="I4715" s="4">
        <v>0</v>
      </c>
    </row>
    <row r="4716" spans="1:9" x14ac:dyDescent="0.2">
      <c r="A4716" s="2">
        <v>19</v>
      </c>
      <c r="B4716" s="1" t="s">
        <v>301</v>
      </c>
      <c r="C4716" s="4">
        <v>2</v>
      </c>
      <c r="D4716" s="8">
        <v>1.39</v>
      </c>
      <c r="E4716" s="4">
        <v>2</v>
      </c>
      <c r="F4716" s="8">
        <v>2.63</v>
      </c>
      <c r="G4716" s="4">
        <v>0</v>
      </c>
      <c r="H4716" s="8">
        <v>0</v>
      </c>
      <c r="I4716" s="4">
        <v>0</v>
      </c>
    </row>
    <row r="4717" spans="1:9" x14ac:dyDescent="0.2">
      <c r="A4717" s="2">
        <v>19</v>
      </c>
      <c r="B4717" s="1" t="s">
        <v>325</v>
      </c>
      <c r="C4717" s="4">
        <v>2</v>
      </c>
      <c r="D4717" s="8">
        <v>1.39</v>
      </c>
      <c r="E4717" s="4">
        <v>0</v>
      </c>
      <c r="F4717" s="8">
        <v>0</v>
      </c>
      <c r="G4717" s="4">
        <v>2</v>
      </c>
      <c r="H4717" s="8">
        <v>3.51</v>
      </c>
      <c r="I4717" s="4">
        <v>0</v>
      </c>
    </row>
    <row r="4718" spans="1:9" x14ac:dyDescent="0.2">
      <c r="A4718" s="2">
        <v>19</v>
      </c>
      <c r="B4718" s="1" t="s">
        <v>369</v>
      </c>
      <c r="C4718" s="4">
        <v>2</v>
      </c>
      <c r="D4718" s="8">
        <v>1.39</v>
      </c>
      <c r="E4718" s="4">
        <v>0</v>
      </c>
      <c r="F4718" s="8">
        <v>0</v>
      </c>
      <c r="G4718" s="4">
        <v>2</v>
      </c>
      <c r="H4718" s="8">
        <v>3.51</v>
      </c>
      <c r="I4718" s="4">
        <v>0</v>
      </c>
    </row>
    <row r="4719" spans="1:9" x14ac:dyDescent="0.2">
      <c r="A4719" s="1"/>
      <c r="C4719" s="4"/>
      <c r="D4719" s="8"/>
      <c r="E4719" s="4"/>
      <c r="F4719" s="8"/>
      <c r="G4719" s="4"/>
      <c r="H4719" s="8"/>
      <c r="I4719" s="4"/>
    </row>
    <row r="4720" spans="1:9" x14ac:dyDescent="0.2">
      <c r="A4720" s="1" t="s">
        <v>156</v>
      </c>
      <c r="C4720" s="4"/>
      <c r="D4720" s="8"/>
      <c r="E4720" s="4"/>
      <c r="F4720" s="8"/>
      <c r="G4720" s="4"/>
      <c r="H4720" s="8"/>
      <c r="I4720" s="4"/>
    </row>
    <row r="4721" spans="1:9" x14ac:dyDescent="0.2">
      <c r="A4721" s="2">
        <v>1</v>
      </c>
      <c r="B4721" s="1" t="s">
        <v>297</v>
      </c>
      <c r="C4721" s="4">
        <v>7</v>
      </c>
      <c r="D4721" s="8">
        <v>5.15</v>
      </c>
      <c r="E4721" s="4">
        <v>5</v>
      </c>
      <c r="F4721" s="8">
        <v>7.35</v>
      </c>
      <c r="G4721" s="4">
        <v>2</v>
      </c>
      <c r="H4721" s="8">
        <v>3.17</v>
      </c>
      <c r="I4721" s="4">
        <v>0</v>
      </c>
    </row>
    <row r="4722" spans="1:9" x14ac:dyDescent="0.2">
      <c r="A4722" s="2">
        <v>2</v>
      </c>
      <c r="B4722" s="1" t="s">
        <v>482</v>
      </c>
      <c r="C4722" s="4">
        <v>6</v>
      </c>
      <c r="D4722" s="8">
        <v>4.41</v>
      </c>
      <c r="E4722" s="4">
        <v>4</v>
      </c>
      <c r="F4722" s="8">
        <v>5.88</v>
      </c>
      <c r="G4722" s="4">
        <v>2</v>
      </c>
      <c r="H4722" s="8">
        <v>3.17</v>
      </c>
      <c r="I4722" s="4">
        <v>0</v>
      </c>
    </row>
    <row r="4723" spans="1:9" x14ac:dyDescent="0.2">
      <c r="A4723" s="2">
        <v>2</v>
      </c>
      <c r="B4723" s="1" t="s">
        <v>304</v>
      </c>
      <c r="C4723" s="4">
        <v>6</v>
      </c>
      <c r="D4723" s="8">
        <v>4.41</v>
      </c>
      <c r="E4723" s="4">
        <v>6</v>
      </c>
      <c r="F4723" s="8">
        <v>8.82</v>
      </c>
      <c r="G4723" s="4">
        <v>0</v>
      </c>
      <c r="H4723" s="8">
        <v>0</v>
      </c>
      <c r="I4723" s="4">
        <v>0</v>
      </c>
    </row>
    <row r="4724" spans="1:9" x14ac:dyDescent="0.2">
      <c r="A4724" s="2">
        <v>4</v>
      </c>
      <c r="B4724" s="1" t="s">
        <v>288</v>
      </c>
      <c r="C4724" s="4">
        <v>5</v>
      </c>
      <c r="D4724" s="8">
        <v>3.68</v>
      </c>
      <c r="E4724" s="4">
        <v>1</v>
      </c>
      <c r="F4724" s="8">
        <v>1.47</v>
      </c>
      <c r="G4724" s="4">
        <v>4</v>
      </c>
      <c r="H4724" s="8">
        <v>6.35</v>
      </c>
      <c r="I4724" s="4">
        <v>0</v>
      </c>
    </row>
    <row r="4725" spans="1:9" x14ac:dyDescent="0.2">
      <c r="A4725" s="2">
        <v>5</v>
      </c>
      <c r="B4725" s="1" t="s">
        <v>289</v>
      </c>
      <c r="C4725" s="4">
        <v>4</v>
      </c>
      <c r="D4725" s="8">
        <v>2.94</v>
      </c>
      <c r="E4725" s="4">
        <v>0</v>
      </c>
      <c r="F4725" s="8">
        <v>0</v>
      </c>
      <c r="G4725" s="4">
        <v>4</v>
      </c>
      <c r="H4725" s="8">
        <v>6.35</v>
      </c>
      <c r="I4725" s="4">
        <v>0</v>
      </c>
    </row>
    <row r="4726" spans="1:9" x14ac:dyDescent="0.2">
      <c r="A4726" s="2">
        <v>5</v>
      </c>
      <c r="B4726" s="1" t="s">
        <v>328</v>
      </c>
      <c r="C4726" s="4">
        <v>4</v>
      </c>
      <c r="D4726" s="8">
        <v>2.94</v>
      </c>
      <c r="E4726" s="4">
        <v>1</v>
      </c>
      <c r="F4726" s="8">
        <v>1.47</v>
      </c>
      <c r="G4726" s="4">
        <v>3</v>
      </c>
      <c r="H4726" s="8">
        <v>4.76</v>
      </c>
      <c r="I4726" s="4">
        <v>0</v>
      </c>
    </row>
    <row r="4727" spans="1:9" x14ac:dyDescent="0.2">
      <c r="A4727" s="2">
        <v>5</v>
      </c>
      <c r="B4727" s="1" t="s">
        <v>333</v>
      </c>
      <c r="C4727" s="4">
        <v>4</v>
      </c>
      <c r="D4727" s="8">
        <v>2.94</v>
      </c>
      <c r="E4727" s="4">
        <v>2</v>
      </c>
      <c r="F4727" s="8">
        <v>2.94</v>
      </c>
      <c r="G4727" s="4">
        <v>2</v>
      </c>
      <c r="H4727" s="8">
        <v>3.17</v>
      </c>
      <c r="I4727" s="4">
        <v>0</v>
      </c>
    </row>
    <row r="4728" spans="1:9" x14ac:dyDescent="0.2">
      <c r="A4728" s="2">
        <v>5</v>
      </c>
      <c r="B4728" s="1" t="s">
        <v>290</v>
      </c>
      <c r="C4728" s="4">
        <v>4</v>
      </c>
      <c r="D4728" s="8">
        <v>2.94</v>
      </c>
      <c r="E4728" s="4">
        <v>1</v>
      </c>
      <c r="F4728" s="8">
        <v>1.47</v>
      </c>
      <c r="G4728" s="4">
        <v>3</v>
      </c>
      <c r="H4728" s="8">
        <v>4.76</v>
      </c>
      <c r="I4728" s="4">
        <v>0</v>
      </c>
    </row>
    <row r="4729" spans="1:9" x14ac:dyDescent="0.2">
      <c r="A4729" s="2">
        <v>5</v>
      </c>
      <c r="B4729" s="1" t="s">
        <v>330</v>
      </c>
      <c r="C4729" s="4">
        <v>4</v>
      </c>
      <c r="D4729" s="8">
        <v>2.94</v>
      </c>
      <c r="E4729" s="4">
        <v>1</v>
      </c>
      <c r="F4729" s="8">
        <v>1.47</v>
      </c>
      <c r="G4729" s="4">
        <v>3</v>
      </c>
      <c r="H4729" s="8">
        <v>4.76</v>
      </c>
      <c r="I4729" s="4">
        <v>0</v>
      </c>
    </row>
    <row r="4730" spans="1:9" x14ac:dyDescent="0.2">
      <c r="A4730" s="2">
        <v>5</v>
      </c>
      <c r="B4730" s="1" t="s">
        <v>299</v>
      </c>
      <c r="C4730" s="4">
        <v>4</v>
      </c>
      <c r="D4730" s="8">
        <v>2.94</v>
      </c>
      <c r="E4730" s="4">
        <v>4</v>
      </c>
      <c r="F4730" s="8">
        <v>5.88</v>
      </c>
      <c r="G4730" s="4">
        <v>0</v>
      </c>
      <c r="H4730" s="8">
        <v>0</v>
      </c>
      <c r="I4730" s="4">
        <v>0</v>
      </c>
    </row>
    <row r="4731" spans="1:9" x14ac:dyDescent="0.2">
      <c r="A4731" s="2">
        <v>5</v>
      </c>
      <c r="B4731" s="1" t="s">
        <v>303</v>
      </c>
      <c r="C4731" s="4">
        <v>4</v>
      </c>
      <c r="D4731" s="8">
        <v>2.94</v>
      </c>
      <c r="E4731" s="4">
        <v>4</v>
      </c>
      <c r="F4731" s="8">
        <v>5.88</v>
      </c>
      <c r="G4731" s="4">
        <v>0</v>
      </c>
      <c r="H4731" s="8">
        <v>0</v>
      </c>
      <c r="I4731" s="4">
        <v>0</v>
      </c>
    </row>
    <row r="4732" spans="1:9" x14ac:dyDescent="0.2">
      <c r="A4732" s="2">
        <v>12</v>
      </c>
      <c r="B4732" s="1" t="s">
        <v>291</v>
      </c>
      <c r="C4732" s="4">
        <v>3</v>
      </c>
      <c r="D4732" s="8">
        <v>2.21</v>
      </c>
      <c r="E4732" s="4">
        <v>0</v>
      </c>
      <c r="F4732" s="8">
        <v>0</v>
      </c>
      <c r="G4732" s="4">
        <v>3</v>
      </c>
      <c r="H4732" s="8">
        <v>4.76</v>
      </c>
      <c r="I4732" s="4">
        <v>0</v>
      </c>
    </row>
    <row r="4733" spans="1:9" x14ac:dyDescent="0.2">
      <c r="A4733" s="2">
        <v>12</v>
      </c>
      <c r="B4733" s="1" t="s">
        <v>324</v>
      </c>
      <c r="C4733" s="4">
        <v>3</v>
      </c>
      <c r="D4733" s="8">
        <v>2.21</v>
      </c>
      <c r="E4733" s="4">
        <v>0</v>
      </c>
      <c r="F4733" s="8">
        <v>0</v>
      </c>
      <c r="G4733" s="4">
        <v>3</v>
      </c>
      <c r="H4733" s="8">
        <v>4.76</v>
      </c>
      <c r="I4733" s="4">
        <v>0</v>
      </c>
    </row>
    <row r="4734" spans="1:9" x14ac:dyDescent="0.2">
      <c r="A4734" s="2">
        <v>12</v>
      </c>
      <c r="B4734" s="1" t="s">
        <v>380</v>
      </c>
      <c r="C4734" s="4">
        <v>3</v>
      </c>
      <c r="D4734" s="8">
        <v>2.21</v>
      </c>
      <c r="E4734" s="4">
        <v>3</v>
      </c>
      <c r="F4734" s="8">
        <v>4.41</v>
      </c>
      <c r="G4734" s="4">
        <v>0</v>
      </c>
      <c r="H4734" s="8">
        <v>0</v>
      </c>
      <c r="I4734" s="4">
        <v>0</v>
      </c>
    </row>
    <row r="4735" spans="1:9" x14ac:dyDescent="0.2">
      <c r="A4735" s="2">
        <v>12</v>
      </c>
      <c r="B4735" s="1" t="s">
        <v>292</v>
      </c>
      <c r="C4735" s="4">
        <v>3</v>
      </c>
      <c r="D4735" s="8">
        <v>2.21</v>
      </c>
      <c r="E4735" s="4">
        <v>1</v>
      </c>
      <c r="F4735" s="8">
        <v>1.47</v>
      </c>
      <c r="G4735" s="4">
        <v>2</v>
      </c>
      <c r="H4735" s="8">
        <v>3.17</v>
      </c>
      <c r="I4735" s="4">
        <v>0</v>
      </c>
    </row>
    <row r="4736" spans="1:9" x14ac:dyDescent="0.2">
      <c r="A4736" s="2">
        <v>12</v>
      </c>
      <c r="B4736" s="1" t="s">
        <v>335</v>
      </c>
      <c r="C4736" s="4">
        <v>3</v>
      </c>
      <c r="D4736" s="8">
        <v>2.21</v>
      </c>
      <c r="E4736" s="4">
        <v>2</v>
      </c>
      <c r="F4736" s="8">
        <v>2.94</v>
      </c>
      <c r="G4736" s="4">
        <v>1</v>
      </c>
      <c r="H4736" s="8">
        <v>1.59</v>
      </c>
      <c r="I4736" s="4">
        <v>0</v>
      </c>
    </row>
    <row r="4737" spans="1:9" x14ac:dyDescent="0.2">
      <c r="A4737" s="2">
        <v>12</v>
      </c>
      <c r="B4737" s="1" t="s">
        <v>295</v>
      </c>
      <c r="C4737" s="4">
        <v>3</v>
      </c>
      <c r="D4737" s="8">
        <v>2.21</v>
      </c>
      <c r="E4737" s="4">
        <v>2</v>
      </c>
      <c r="F4737" s="8">
        <v>2.94</v>
      </c>
      <c r="G4737" s="4">
        <v>1</v>
      </c>
      <c r="H4737" s="8">
        <v>1.59</v>
      </c>
      <c r="I4737" s="4">
        <v>0</v>
      </c>
    </row>
    <row r="4738" spans="1:9" x14ac:dyDescent="0.2">
      <c r="A4738" s="2">
        <v>12</v>
      </c>
      <c r="B4738" s="1" t="s">
        <v>300</v>
      </c>
      <c r="C4738" s="4">
        <v>3</v>
      </c>
      <c r="D4738" s="8">
        <v>2.21</v>
      </c>
      <c r="E4738" s="4">
        <v>2</v>
      </c>
      <c r="F4738" s="8">
        <v>2.94</v>
      </c>
      <c r="G4738" s="4">
        <v>1</v>
      </c>
      <c r="H4738" s="8">
        <v>1.59</v>
      </c>
      <c r="I4738" s="4">
        <v>0</v>
      </c>
    </row>
    <row r="4739" spans="1:9" x14ac:dyDescent="0.2">
      <c r="A4739" s="2">
        <v>12</v>
      </c>
      <c r="B4739" s="1" t="s">
        <v>305</v>
      </c>
      <c r="C4739" s="4">
        <v>3</v>
      </c>
      <c r="D4739" s="8">
        <v>2.21</v>
      </c>
      <c r="E4739" s="4">
        <v>3</v>
      </c>
      <c r="F4739" s="8">
        <v>4.41</v>
      </c>
      <c r="G4739" s="4">
        <v>0</v>
      </c>
      <c r="H4739" s="8">
        <v>0</v>
      </c>
      <c r="I4739" s="4">
        <v>0</v>
      </c>
    </row>
    <row r="4740" spans="1:9" x14ac:dyDescent="0.2">
      <c r="A4740" s="2">
        <v>12</v>
      </c>
      <c r="B4740" s="1" t="s">
        <v>306</v>
      </c>
      <c r="C4740" s="4">
        <v>3</v>
      </c>
      <c r="D4740" s="8">
        <v>2.21</v>
      </c>
      <c r="E4740" s="4">
        <v>3</v>
      </c>
      <c r="F4740" s="8">
        <v>4.41</v>
      </c>
      <c r="G4740" s="4">
        <v>0</v>
      </c>
      <c r="H4740" s="8">
        <v>0</v>
      </c>
      <c r="I4740" s="4">
        <v>0</v>
      </c>
    </row>
    <row r="4741" spans="1:9" x14ac:dyDescent="0.2">
      <c r="A4741" s="1"/>
      <c r="C4741" s="4"/>
      <c r="D4741" s="8"/>
      <c r="E4741" s="4"/>
      <c r="F4741" s="8"/>
      <c r="G4741" s="4"/>
      <c r="H4741" s="8"/>
      <c r="I4741" s="4"/>
    </row>
    <row r="4742" spans="1:9" x14ac:dyDescent="0.2">
      <c r="A4742" s="1" t="s">
        <v>157</v>
      </c>
      <c r="C4742" s="4"/>
      <c r="D4742" s="8"/>
      <c r="E4742" s="4"/>
      <c r="F4742" s="8"/>
      <c r="G4742" s="4"/>
      <c r="H4742" s="8"/>
      <c r="I4742" s="4"/>
    </row>
    <row r="4743" spans="1:9" x14ac:dyDescent="0.2">
      <c r="A4743" s="2">
        <v>1</v>
      </c>
      <c r="B4743" s="1" t="s">
        <v>304</v>
      </c>
      <c r="C4743" s="4">
        <v>24</v>
      </c>
      <c r="D4743" s="8">
        <v>5.73</v>
      </c>
      <c r="E4743" s="4">
        <v>23</v>
      </c>
      <c r="F4743" s="8">
        <v>10.41</v>
      </c>
      <c r="G4743" s="4">
        <v>1</v>
      </c>
      <c r="H4743" s="8">
        <v>0.56000000000000005</v>
      </c>
      <c r="I4743" s="4">
        <v>0</v>
      </c>
    </row>
    <row r="4744" spans="1:9" x14ac:dyDescent="0.2">
      <c r="A4744" s="2">
        <v>2</v>
      </c>
      <c r="B4744" s="1" t="s">
        <v>301</v>
      </c>
      <c r="C4744" s="4">
        <v>21</v>
      </c>
      <c r="D4744" s="8">
        <v>5.01</v>
      </c>
      <c r="E4744" s="4">
        <v>20</v>
      </c>
      <c r="F4744" s="8">
        <v>9.0500000000000007</v>
      </c>
      <c r="G4744" s="4">
        <v>1</v>
      </c>
      <c r="H4744" s="8">
        <v>0.56000000000000005</v>
      </c>
      <c r="I4744" s="4">
        <v>0</v>
      </c>
    </row>
    <row r="4745" spans="1:9" x14ac:dyDescent="0.2">
      <c r="A4745" s="2">
        <v>3</v>
      </c>
      <c r="B4745" s="1" t="s">
        <v>297</v>
      </c>
      <c r="C4745" s="4">
        <v>18</v>
      </c>
      <c r="D4745" s="8">
        <v>4.3</v>
      </c>
      <c r="E4745" s="4">
        <v>12</v>
      </c>
      <c r="F4745" s="8">
        <v>5.43</v>
      </c>
      <c r="G4745" s="4">
        <v>5</v>
      </c>
      <c r="H4745" s="8">
        <v>2.82</v>
      </c>
      <c r="I4745" s="4">
        <v>0</v>
      </c>
    </row>
    <row r="4746" spans="1:9" x14ac:dyDescent="0.2">
      <c r="A4746" s="2">
        <v>4</v>
      </c>
      <c r="B4746" s="1" t="s">
        <v>299</v>
      </c>
      <c r="C4746" s="4">
        <v>16</v>
      </c>
      <c r="D4746" s="8">
        <v>3.82</v>
      </c>
      <c r="E4746" s="4">
        <v>12</v>
      </c>
      <c r="F4746" s="8">
        <v>5.43</v>
      </c>
      <c r="G4746" s="4">
        <v>4</v>
      </c>
      <c r="H4746" s="8">
        <v>2.2599999999999998</v>
      </c>
      <c r="I4746" s="4">
        <v>0</v>
      </c>
    </row>
    <row r="4747" spans="1:9" x14ac:dyDescent="0.2">
      <c r="A4747" s="2">
        <v>5</v>
      </c>
      <c r="B4747" s="1" t="s">
        <v>347</v>
      </c>
      <c r="C4747" s="4">
        <v>14</v>
      </c>
      <c r="D4747" s="8">
        <v>3.34</v>
      </c>
      <c r="E4747" s="4">
        <v>0</v>
      </c>
      <c r="F4747" s="8">
        <v>0</v>
      </c>
      <c r="G4747" s="4">
        <v>13</v>
      </c>
      <c r="H4747" s="8">
        <v>7.34</v>
      </c>
      <c r="I4747" s="4">
        <v>0</v>
      </c>
    </row>
    <row r="4748" spans="1:9" x14ac:dyDescent="0.2">
      <c r="A4748" s="2">
        <v>6</v>
      </c>
      <c r="B4748" s="1" t="s">
        <v>303</v>
      </c>
      <c r="C4748" s="4">
        <v>13</v>
      </c>
      <c r="D4748" s="8">
        <v>3.1</v>
      </c>
      <c r="E4748" s="4">
        <v>13</v>
      </c>
      <c r="F4748" s="8">
        <v>5.88</v>
      </c>
      <c r="G4748" s="4">
        <v>0</v>
      </c>
      <c r="H4748" s="8">
        <v>0</v>
      </c>
      <c r="I4748" s="4">
        <v>0</v>
      </c>
    </row>
    <row r="4749" spans="1:9" x14ac:dyDescent="0.2">
      <c r="A4749" s="2">
        <v>7</v>
      </c>
      <c r="B4749" s="1" t="s">
        <v>342</v>
      </c>
      <c r="C4749" s="4">
        <v>11</v>
      </c>
      <c r="D4749" s="8">
        <v>2.63</v>
      </c>
      <c r="E4749" s="4">
        <v>4</v>
      </c>
      <c r="F4749" s="8">
        <v>1.81</v>
      </c>
      <c r="G4749" s="4">
        <v>7</v>
      </c>
      <c r="H4749" s="8">
        <v>3.95</v>
      </c>
      <c r="I4749" s="4">
        <v>0</v>
      </c>
    </row>
    <row r="4750" spans="1:9" x14ac:dyDescent="0.2">
      <c r="A4750" s="2">
        <v>8</v>
      </c>
      <c r="B4750" s="1" t="s">
        <v>292</v>
      </c>
      <c r="C4750" s="4">
        <v>9</v>
      </c>
      <c r="D4750" s="8">
        <v>2.15</v>
      </c>
      <c r="E4750" s="4">
        <v>6</v>
      </c>
      <c r="F4750" s="8">
        <v>2.71</v>
      </c>
      <c r="G4750" s="4">
        <v>3</v>
      </c>
      <c r="H4750" s="8">
        <v>1.69</v>
      </c>
      <c r="I4750" s="4">
        <v>0</v>
      </c>
    </row>
    <row r="4751" spans="1:9" x14ac:dyDescent="0.2">
      <c r="A4751" s="2">
        <v>9</v>
      </c>
      <c r="B4751" s="1" t="s">
        <v>288</v>
      </c>
      <c r="C4751" s="4">
        <v>8</v>
      </c>
      <c r="D4751" s="8">
        <v>1.91</v>
      </c>
      <c r="E4751" s="4">
        <v>0</v>
      </c>
      <c r="F4751" s="8">
        <v>0</v>
      </c>
      <c r="G4751" s="4">
        <v>8</v>
      </c>
      <c r="H4751" s="8">
        <v>4.5199999999999996</v>
      </c>
      <c r="I4751" s="4">
        <v>0</v>
      </c>
    </row>
    <row r="4752" spans="1:9" x14ac:dyDescent="0.2">
      <c r="A4752" s="2">
        <v>9</v>
      </c>
      <c r="B4752" s="1" t="s">
        <v>293</v>
      </c>
      <c r="C4752" s="4">
        <v>8</v>
      </c>
      <c r="D4752" s="8">
        <v>1.91</v>
      </c>
      <c r="E4752" s="4">
        <v>5</v>
      </c>
      <c r="F4752" s="8">
        <v>2.2599999999999998</v>
      </c>
      <c r="G4752" s="4">
        <v>3</v>
      </c>
      <c r="H4752" s="8">
        <v>1.69</v>
      </c>
      <c r="I4752" s="4">
        <v>0</v>
      </c>
    </row>
    <row r="4753" spans="1:9" x14ac:dyDescent="0.2">
      <c r="A4753" s="2">
        <v>9</v>
      </c>
      <c r="B4753" s="1" t="s">
        <v>295</v>
      </c>
      <c r="C4753" s="4">
        <v>8</v>
      </c>
      <c r="D4753" s="8">
        <v>1.91</v>
      </c>
      <c r="E4753" s="4">
        <v>4</v>
      </c>
      <c r="F4753" s="8">
        <v>1.81</v>
      </c>
      <c r="G4753" s="4">
        <v>4</v>
      </c>
      <c r="H4753" s="8">
        <v>2.2599999999999998</v>
      </c>
      <c r="I4753" s="4">
        <v>0</v>
      </c>
    </row>
    <row r="4754" spans="1:9" x14ac:dyDescent="0.2">
      <c r="A4754" s="2">
        <v>9</v>
      </c>
      <c r="B4754" s="1" t="s">
        <v>334</v>
      </c>
      <c r="C4754" s="4">
        <v>8</v>
      </c>
      <c r="D4754" s="8">
        <v>1.91</v>
      </c>
      <c r="E4754" s="4">
        <v>7</v>
      </c>
      <c r="F4754" s="8">
        <v>3.17</v>
      </c>
      <c r="G4754" s="4">
        <v>1</v>
      </c>
      <c r="H4754" s="8">
        <v>0.56000000000000005</v>
      </c>
      <c r="I4754" s="4">
        <v>0</v>
      </c>
    </row>
    <row r="4755" spans="1:9" x14ac:dyDescent="0.2">
      <c r="A4755" s="2">
        <v>13</v>
      </c>
      <c r="B4755" s="1" t="s">
        <v>328</v>
      </c>
      <c r="C4755" s="4">
        <v>7</v>
      </c>
      <c r="D4755" s="8">
        <v>1.67</v>
      </c>
      <c r="E4755" s="4">
        <v>2</v>
      </c>
      <c r="F4755" s="8">
        <v>0.9</v>
      </c>
      <c r="G4755" s="4">
        <v>5</v>
      </c>
      <c r="H4755" s="8">
        <v>2.82</v>
      </c>
      <c r="I4755" s="4">
        <v>0</v>
      </c>
    </row>
    <row r="4756" spans="1:9" x14ac:dyDescent="0.2">
      <c r="A4756" s="2">
        <v>13</v>
      </c>
      <c r="B4756" s="1" t="s">
        <v>300</v>
      </c>
      <c r="C4756" s="4">
        <v>7</v>
      </c>
      <c r="D4756" s="8">
        <v>1.67</v>
      </c>
      <c r="E4756" s="4">
        <v>6</v>
      </c>
      <c r="F4756" s="8">
        <v>2.71</v>
      </c>
      <c r="G4756" s="4">
        <v>1</v>
      </c>
      <c r="H4756" s="8">
        <v>0.56000000000000005</v>
      </c>
      <c r="I4756" s="4">
        <v>0</v>
      </c>
    </row>
    <row r="4757" spans="1:9" x14ac:dyDescent="0.2">
      <c r="A4757" s="2">
        <v>13</v>
      </c>
      <c r="B4757" s="1" t="s">
        <v>306</v>
      </c>
      <c r="C4757" s="4">
        <v>7</v>
      </c>
      <c r="D4757" s="8">
        <v>1.67</v>
      </c>
      <c r="E4757" s="4">
        <v>7</v>
      </c>
      <c r="F4757" s="8">
        <v>3.17</v>
      </c>
      <c r="G4757" s="4">
        <v>0</v>
      </c>
      <c r="H4757" s="8">
        <v>0</v>
      </c>
      <c r="I4757" s="4">
        <v>0</v>
      </c>
    </row>
    <row r="4758" spans="1:9" x14ac:dyDescent="0.2">
      <c r="A4758" s="2">
        <v>16</v>
      </c>
      <c r="B4758" s="1" t="s">
        <v>380</v>
      </c>
      <c r="C4758" s="4">
        <v>6</v>
      </c>
      <c r="D4758" s="8">
        <v>1.43</v>
      </c>
      <c r="E4758" s="4">
        <v>6</v>
      </c>
      <c r="F4758" s="8">
        <v>2.71</v>
      </c>
      <c r="G4758" s="4">
        <v>0</v>
      </c>
      <c r="H4758" s="8">
        <v>0</v>
      </c>
      <c r="I4758" s="4">
        <v>0</v>
      </c>
    </row>
    <row r="4759" spans="1:9" x14ac:dyDescent="0.2">
      <c r="A4759" s="2">
        <v>16</v>
      </c>
      <c r="B4759" s="1" t="s">
        <v>325</v>
      </c>
      <c r="C4759" s="4">
        <v>6</v>
      </c>
      <c r="D4759" s="8">
        <v>1.43</v>
      </c>
      <c r="E4759" s="4">
        <v>2</v>
      </c>
      <c r="F4759" s="8">
        <v>0.9</v>
      </c>
      <c r="G4759" s="4">
        <v>4</v>
      </c>
      <c r="H4759" s="8">
        <v>2.2599999999999998</v>
      </c>
      <c r="I4759" s="4">
        <v>0</v>
      </c>
    </row>
    <row r="4760" spans="1:9" x14ac:dyDescent="0.2">
      <c r="A4760" s="2">
        <v>18</v>
      </c>
      <c r="B4760" s="1" t="s">
        <v>343</v>
      </c>
      <c r="C4760" s="4">
        <v>5</v>
      </c>
      <c r="D4760" s="8">
        <v>1.19</v>
      </c>
      <c r="E4760" s="4">
        <v>2</v>
      </c>
      <c r="F4760" s="8">
        <v>0.9</v>
      </c>
      <c r="G4760" s="4">
        <v>3</v>
      </c>
      <c r="H4760" s="8">
        <v>1.69</v>
      </c>
      <c r="I4760" s="4">
        <v>0</v>
      </c>
    </row>
    <row r="4761" spans="1:9" x14ac:dyDescent="0.2">
      <c r="A4761" s="2">
        <v>18</v>
      </c>
      <c r="B4761" s="1" t="s">
        <v>291</v>
      </c>
      <c r="C4761" s="4">
        <v>5</v>
      </c>
      <c r="D4761" s="8">
        <v>1.19</v>
      </c>
      <c r="E4761" s="4">
        <v>3</v>
      </c>
      <c r="F4761" s="8">
        <v>1.36</v>
      </c>
      <c r="G4761" s="4">
        <v>2</v>
      </c>
      <c r="H4761" s="8">
        <v>1.1299999999999999</v>
      </c>
      <c r="I4761" s="4">
        <v>0</v>
      </c>
    </row>
    <row r="4762" spans="1:9" x14ac:dyDescent="0.2">
      <c r="A4762" s="2">
        <v>18</v>
      </c>
      <c r="B4762" s="1" t="s">
        <v>336</v>
      </c>
      <c r="C4762" s="4">
        <v>5</v>
      </c>
      <c r="D4762" s="8">
        <v>1.19</v>
      </c>
      <c r="E4762" s="4">
        <v>5</v>
      </c>
      <c r="F4762" s="8">
        <v>2.2599999999999998</v>
      </c>
      <c r="G4762" s="4">
        <v>0</v>
      </c>
      <c r="H4762" s="8">
        <v>0</v>
      </c>
      <c r="I4762" s="4">
        <v>0</v>
      </c>
    </row>
    <row r="4763" spans="1:9" x14ac:dyDescent="0.2">
      <c r="A4763" s="2">
        <v>18</v>
      </c>
      <c r="B4763" s="1" t="s">
        <v>330</v>
      </c>
      <c r="C4763" s="4">
        <v>5</v>
      </c>
      <c r="D4763" s="8">
        <v>1.19</v>
      </c>
      <c r="E4763" s="4">
        <v>1</v>
      </c>
      <c r="F4763" s="8">
        <v>0.45</v>
      </c>
      <c r="G4763" s="4">
        <v>4</v>
      </c>
      <c r="H4763" s="8">
        <v>2.2599999999999998</v>
      </c>
      <c r="I4763" s="4">
        <v>0</v>
      </c>
    </row>
    <row r="4764" spans="1:9" x14ac:dyDescent="0.2">
      <c r="A4764" s="2">
        <v>18</v>
      </c>
      <c r="B4764" s="1" t="s">
        <v>352</v>
      </c>
      <c r="C4764" s="4">
        <v>5</v>
      </c>
      <c r="D4764" s="8">
        <v>1.19</v>
      </c>
      <c r="E4764" s="4">
        <v>1</v>
      </c>
      <c r="F4764" s="8">
        <v>0.45</v>
      </c>
      <c r="G4764" s="4">
        <v>4</v>
      </c>
      <c r="H4764" s="8">
        <v>2.2599999999999998</v>
      </c>
      <c r="I4764" s="4">
        <v>0</v>
      </c>
    </row>
    <row r="4765" spans="1:9" x14ac:dyDescent="0.2">
      <c r="A4765" s="2">
        <v>18</v>
      </c>
      <c r="B4765" s="1" t="s">
        <v>411</v>
      </c>
      <c r="C4765" s="4">
        <v>5</v>
      </c>
      <c r="D4765" s="8">
        <v>1.19</v>
      </c>
      <c r="E4765" s="4">
        <v>2</v>
      </c>
      <c r="F4765" s="8">
        <v>0.9</v>
      </c>
      <c r="G4765" s="4">
        <v>3</v>
      </c>
      <c r="H4765" s="8">
        <v>1.69</v>
      </c>
      <c r="I4765" s="4">
        <v>0</v>
      </c>
    </row>
    <row r="4766" spans="1:9" x14ac:dyDescent="0.2">
      <c r="A4766" s="2">
        <v>18</v>
      </c>
      <c r="B4766" s="1" t="s">
        <v>305</v>
      </c>
      <c r="C4766" s="4">
        <v>5</v>
      </c>
      <c r="D4766" s="8">
        <v>1.19</v>
      </c>
      <c r="E4766" s="4">
        <v>3</v>
      </c>
      <c r="F4766" s="8">
        <v>1.36</v>
      </c>
      <c r="G4766" s="4">
        <v>2</v>
      </c>
      <c r="H4766" s="8">
        <v>1.1299999999999999</v>
      </c>
      <c r="I4766" s="4">
        <v>0</v>
      </c>
    </row>
    <row r="4767" spans="1:9" x14ac:dyDescent="0.2">
      <c r="A4767" s="2">
        <v>18</v>
      </c>
      <c r="B4767" s="1" t="s">
        <v>345</v>
      </c>
      <c r="C4767" s="4">
        <v>5</v>
      </c>
      <c r="D4767" s="8">
        <v>1.19</v>
      </c>
      <c r="E4767" s="4">
        <v>0</v>
      </c>
      <c r="F4767" s="8">
        <v>0</v>
      </c>
      <c r="G4767" s="4">
        <v>0</v>
      </c>
      <c r="H4767" s="8">
        <v>0</v>
      </c>
      <c r="I4767" s="4">
        <v>0</v>
      </c>
    </row>
    <row r="4768" spans="1:9" x14ac:dyDescent="0.2">
      <c r="A4768" s="1"/>
      <c r="C4768" s="4"/>
      <c r="D4768" s="8"/>
      <c r="E4768" s="4"/>
      <c r="F4768" s="8"/>
      <c r="G4768" s="4"/>
      <c r="H4768" s="8"/>
      <c r="I4768" s="4"/>
    </row>
    <row r="4769" spans="1:9" x14ac:dyDescent="0.2">
      <c r="A4769" s="1" t="s">
        <v>158</v>
      </c>
      <c r="C4769" s="4"/>
      <c r="D4769" s="8"/>
      <c r="E4769" s="4"/>
      <c r="F4769" s="8"/>
      <c r="G4769" s="4"/>
      <c r="H4769" s="8"/>
      <c r="I4769" s="4"/>
    </row>
    <row r="4770" spans="1:9" x14ac:dyDescent="0.2">
      <c r="A4770" s="2">
        <v>1</v>
      </c>
      <c r="B4770" s="1" t="s">
        <v>297</v>
      </c>
      <c r="C4770" s="4">
        <v>12</v>
      </c>
      <c r="D4770" s="8">
        <v>9.02</v>
      </c>
      <c r="E4770" s="4">
        <v>9</v>
      </c>
      <c r="F4770" s="8">
        <v>13.64</v>
      </c>
      <c r="G4770" s="4">
        <v>2</v>
      </c>
      <c r="H4770" s="8">
        <v>3.33</v>
      </c>
      <c r="I4770" s="4">
        <v>0</v>
      </c>
    </row>
    <row r="4771" spans="1:9" x14ac:dyDescent="0.2">
      <c r="A4771" s="2">
        <v>2</v>
      </c>
      <c r="B4771" s="1" t="s">
        <v>304</v>
      </c>
      <c r="C4771" s="4">
        <v>8</v>
      </c>
      <c r="D4771" s="8">
        <v>6.02</v>
      </c>
      <c r="E4771" s="4">
        <v>5</v>
      </c>
      <c r="F4771" s="8">
        <v>7.58</v>
      </c>
      <c r="G4771" s="4">
        <v>3</v>
      </c>
      <c r="H4771" s="8">
        <v>5</v>
      </c>
      <c r="I4771" s="4">
        <v>0</v>
      </c>
    </row>
    <row r="4772" spans="1:9" x14ac:dyDescent="0.2">
      <c r="A4772" s="2">
        <v>3</v>
      </c>
      <c r="B4772" s="1" t="s">
        <v>342</v>
      </c>
      <c r="C4772" s="4">
        <v>7</v>
      </c>
      <c r="D4772" s="8">
        <v>5.26</v>
      </c>
      <c r="E4772" s="4">
        <v>0</v>
      </c>
      <c r="F4772" s="8">
        <v>0</v>
      </c>
      <c r="G4772" s="4">
        <v>7</v>
      </c>
      <c r="H4772" s="8">
        <v>11.67</v>
      </c>
      <c r="I4772" s="4">
        <v>0</v>
      </c>
    </row>
    <row r="4773" spans="1:9" x14ac:dyDescent="0.2">
      <c r="A4773" s="2">
        <v>4</v>
      </c>
      <c r="B4773" s="1" t="s">
        <v>330</v>
      </c>
      <c r="C4773" s="4">
        <v>5</v>
      </c>
      <c r="D4773" s="8">
        <v>3.76</v>
      </c>
      <c r="E4773" s="4">
        <v>0</v>
      </c>
      <c r="F4773" s="8">
        <v>0</v>
      </c>
      <c r="G4773" s="4">
        <v>5</v>
      </c>
      <c r="H4773" s="8">
        <v>8.33</v>
      </c>
      <c r="I4773" s="4">
        <v>0</v>
      </c>
    </row>
    <row r="4774" spans="1:9" x14ac:dyDescent="0.2">
      <c r="A4774" s="2">
        <v>4</v>
      </c>
      <c r="B4774" s="1" t="s">
        <v>295</v>
      </c>
      <c r="C4774" s="4">
        <v>5</v>
      </c>
      <c r="D4774" s="8">
        <v>3.76</v>
      </c>
      <c r="E4774" s="4">
        <v>4</v>
      </c>
      <c r="F4774" s="8">
        <v>6.06</v>
      </c>
      <c r="G4774" s="4">
        <v>1</v>
      </c>
      <c r="H4774" s="8">
        <v>1.67</v>
      </c>
      <c r="I4774" s="4">
        <v>0</v>
      </c>
    </row>
    <row r="4775" spans="1:9" x14ac:dyDescent="0.2">
      <c r="A4775" s="2">
        <v>4</v>
      </c>
      <c r="B4775" s="1" t="s">
        <v>301</v>
      </c>
      <c r="C4775" s="4">
        <v>5</v>
      </c>
      <c r="D4775" s="8">
        <v>3.76</v>
      </c>
      <c r="E4775" s="4">
        <v>5</v>
      </c>
      <c r="F4775" s="8">
        <v>7.58</v>
      </c>
      <c r="G4775" s="4">
        <v>0</v>
      </c>
      <c r="H4775" s="8">
        <v>0</v>
      </c>
      <c r="I4775" s="4">
        <v>0</v>
      </c>
    </row>
    <row r="4776" spans="1:9" x14ac:dyDescent="0.2">
      <c r="A4776" s="2">
        <v>7</v>
      </c>
      <c r="B4776" s="1" t="s">
        <v>334</v>
      </c>
      <c r="C4776" s="4">
        <v>4</v>
      </c>
      <c r="D4776" s="8">
        <v>3.01</v>
      </c>
      <c r="E4776" s="4">
        <v>3</v>
      </c>
      <c r="F4776" s="8">
        <v>4.55</v>
      </c>
      <c r="G4776" s="4">
        <v>1</v>
      </c>
      <c r="H4776" s="8">
        <v>1.67</v>
      </c>
      <c r="I4776" s="4">
        <v>0</v>
      </c>
    </row>
    <row r="4777" spans="1:9" x14ac:dyDescent="0.2">
      <c r="A4777" s="2">
        <v>7</v>
      </c>
      <c r="B4777" s="1" t="s">
        <v>300</v>
      </c>
      <c r="C4777" s="4">
        <v>4</v>
      </c>
      <c r="D4777" s="8">
        <v>3.01</v>
      </c>
      <c r="E4777" s="4">
        <v>4</v>
      </c>
      <c r="F4777" s="8">
        <v>6.06</v>
      </c>
      <c r="G4777" s="4">
        <v>0</v>
      </c>
      <c r="H4777" s="8">
        <v>0</v>
      </c>
      <c r="I4777" s="4">
        <v>0</v>
      </c>
    </row>
    <row r="4778" spans="1:9" x14ac:dyDescent="0.2">
      <c r="A4778" s="2">
        <v>7</v>
      </c>
      <c r="B4778" s="1" t="s">
        <v>303</v>
      </c>
      <c r="C4778" s="4">
        <v>4</v>
      </c>
      <c r="D4778" s="8">
        <v>3.01</v>
      </c>
      <c r="E4778" s="4">
        <v>4</v>
      </c>
      <c r="F4778" s="8">
        <v>6.06</v>
      </c>
      <c r="G4778" s="4">
        <v>0</v>
      </c>
      <c r="H4778" s="8">
        <v>0</v>
      </c>
      <c r="I4778" s="4">
        <v>0</v>
      </c>
    </row>
    <row r="4779" spans="1:9" x14ac:dyDescent="0.2">
      <c r="A4779" s="2">
        <v>10</v>
      </c>
      <c r="B4779" s="1" t="s">
        <v>400</v>
      </c>
      <c r="C4779" s="4">
        <v>3</v>
      </c>
      <c r="D4779" s="8">
        <v>2.2599999999999998</v>
      </c>
      <c r="E4779" s="4">
        <v>3</v>
      </c>
      <c r="F4779" s="8">
        <v>4.55</v>
      </c>
      <c r="G4779" s="4">
        <v>0</v>
      </c>
      <c r="H4779" s="8">
        <v>0</v>
      </c>
      <c r="I4779" s="4">
        <v>0</v>
      </c>
    </row>
    <row r="4780" spans="1:9" x14ac:dyDescent="0.2">
      <c r="A4780" s="2">
        <v>10</v>
      </c>
      <c r="B4780" s="1" t="s">
        <v>380</v>
      </c>
      <c r="C4780" s="4">
        <v>3</v>
      </c>
      <c r="D4780" s="8">
        <v>2.2599999999999998</v>
      </c>
      <c r="E4780" s="4">
        <v>1</v>
      </c>
      <c r="F4780" s="8">
        <v>1.52</v>
      </c>
      <c r="G4780" s="4">
        <v>2</v>
      </c>
      <c r="H4780" s="8">
        <v>3.33</v>
      </c>
      <c r="I4780" s="4">
        <v>0</v>
      </c>
    </row>
    <row r="4781" spans="1:9" x14ac:dyDescent="0.2">
      <c r="A4781" s="2">
        <v>10</v>
      </c>
      <c r="B4781" s="1" t="s">
        <v>335</v>
      </c>
      <c r="C4781" s="4">
        <v>3</v>
      </c>
      <c r="D4781" s="8">
        <v>2.2599999999999998</v>
      </c>
      <c r="E4781" s="4">
        <v>1</v>
      </c>
      <c r="F4781" s="8">
        <v>1.52</v>
      </c>
      <c r="G4781" s="4">
        <v>2</v>
      </c>
      <c r="H4781" s="8">
        <v>3.33</v>
      </c>
      <c r="I4781" s="4">
        <v>0</v>
      </c>
    </row>
    <row r="4782" spans="1:9" x14ac:dyDescent="0.2">
      <c r="A4782" s="2">
        <v>10</v>
      </c>
      <c r="B4782" s="1" t="s">
        <v>339</v>
      </c>
      <c r="C4782" s="4">
        <v>3</v>
      </c>
      <c r="D4782" s="8">
        <v>2.2599999999999998</v>
      </c>
      <c r="E4782" s="4">
        <v>1</v>
      </c>
      <c r="F4782" s="8">
        <v>1.52</v>
      </c>
      <c r="G4782" s="4">
        <v>2</v>
      </c>
      <c r="H4782" s="8">
        <v>3.33</v>
      </c>
      <c r="I4782" s="4">
        <v>0</v>
      </c>
    </row>
    <row r="4783" spans="1:9" x14ac:dyDescent="0.2">
      <c r="A4783" s="2">
        <v>10</v>
      </c>
      <c r="B4783" s="1" t="s">
        <v>299</v>
      </c>
      <c r="C4783" s="4">
        <v>3</v>
      </c>
      <c r="D4783" s="8">
        <v>2.2599999999999998</v>
      </c>
      <c r="E4783" s="4">
        <v>3</v>
      </c>
      <c r="F4783" s="8">
        <v>4.55</v>
      </c>
      <c r="G4783" s="4">
        <v>0</v>
      </c>
      <c r="H4783" s="8">
        <v>0</v>
      </c>
      <c r="I4783" s="4">
        <v>0</v>
      </c>
    </row>
    <row r="4784" spans="1:9" x14ac:dyDescent="0.2">
      <c r="A4784" s="2">
        <v>10</v>
      </c>
      <c r="B4784" s="1" t="s">
        <v>340</v>
      </c>
      <c r="C4784" s="4">
        <v>3</v>
      </c>
      <c r="D4784" s="8">
        <v>2.2599999999999998</v>
      </c>
      <c r="E4784" s="4">
        <v>0</v>
      </c>
      <c r="F4784" s="8">
        <v>0</v>
      </c>
      <c r="G4784" s="4">
        <v>0</v>
      </c>
      <c r="H4784" s="8">
        <v>0</v>
      </c>
      <c r="I4784" s="4">
        <v>0</v>
      </c>
    </row>
    <row r="4785" spans="1:9" x14ac:dyDescent="0.2">
      <c r="A4785" s="2">
        <v>10</v>
      </c>
      <c r="B4785" s="1" t="s">
        <v>307</v>
      </c>
      <c r="C4785" s="4">
        <v>3</v>
      </c>
      <c r="D4785" s="8">
        <v>2.2599999999999998</v>
      </c>
      <c r="E4785" s="4">
        <v>1</v>
      </c>
      <c r="F4785" s="8">
        <v>1.52</v>
      </c>
      <c r="G4785" s="4">
        <v>2</v>
      </c>
      <c r="H4785" s="8">
        <v>3.33</v>
      </c>
      <c r="I4785" s="4">
        <v>0</v>
      </c>
    </row>
    <row r="4786" spans="1:9" x14ac:dyDescent="0.2">
      <c r="A4786" s="2">
        <v>17</v>
      </c>
      <c r="B4786" s="1" t="s">
        <v>289</v>
      </c>
      <c r="C4786" s="4">
        <v>2</v>
      </c>
      <c r="D4786" s="8">
        <v>1.5</v>
      </c>
      <c r="E4786" s="4">
        <v>1</v>
      </c>
      <c r="F4786" s="8">
        <v>1.52</v>
      </c>
      <c r="G4786" s="4">
        <v>1</v>
      </c>
      <c r="H4786" s="8">
        <v>1.67</v>
      </c>
      <c r="I4786" s="4">
        <v>0</v>
      </c>
    </row>
    <row r="4787" spans="1:9" x14ac:dyDescent="0.2">
      <c r="A4787" s="2">
        <v>17</v>
      </c>
      <c r="B4787" s="1" t="s">
        <v>328</v>
      </c>
      <c r="C4787" s="4">
        <v>2</v>
      </c>
      <c r="D4787" s="8">
        <v>1.5</v>
      </c>
      <c r="E4787" s="4">
        <v>1</v>
      </c>
      <c r="F4787" s="8">
        <v>1.52</v>
      </c>
      <c r="G4787" s="4">
        <v>1</v>
      </c>
      <c r="H4787" s="8">
        <v>1.67</v>
      </c>
      <c r="I4787" s="4">
        <v>0</v>
      </c>
    </row>
    <row r="4788" spans="1:9" x14ac:dyDescent="0.2">
      <c r="A4788" s="2">
        <v>17</v>
      </c>
      <c r="B4788" s="1" t="s">
        <v>353</v>
      </c>
      <c r="C4788" s="4">
        <v>2</v>
      </c>
      <c r="D4788" s="8">
        <v>1.5</v>
      </c>
      <c r="E4788" s="4">
        <v>2</v>
      </c>
      <c r="F4788" s="8">
        <v>3.03</v>
      </c>
      <c r="G4788" s="4">
        <v>0</v>
      </c>
      <c r="H4788" s="8">
        <v>0</v>
      </c>
      <c r="I4788" s="4">
        <v>0</v>
      </c>
    </row>
    <row r="4789" spans="1:9" x14ac:dyDescent="0.2">
      <c r="A4789" s="2">
        <v>17</v>
      </c>
      <c r="B4789" s="1" t="s">
        <v>290</v>
      </c>
      <c r="C4789" s="4">
        <v>2</v>
      </c>
      <c r="D4789" s="8">
        <v>1.5</v>
      </c>
      <c r="E4789" s="4">
        <v>0</v>
      </c>
      <c r="F4789" s="8">
        <v>0</v>
      </c>
      <c r="G4789" s="4">
        <v>2</v>
      </c>
      <c r="H4789" s="8">
        <v>3.33</v>
      </c>
      <c r="I4789" s="4">
        <v>0</v>
      </c>
    </row>
    <row r="4790" spans="1:9" x14ac:dyDescent="0.2">
      <c r="A4790" s="2">
        <v>17</v>
      </c>
      <c r="B4790" s="1" t="s">
        <v>324</v>
      </c>
      <c r="C4790" s="4">
        <v>2</v>
      </c>
      <c r="D4790" s="8">
        <v>1.5</v>
      </c>
      <c r="E4790" s="4">
        <v>0</v>
      </c>
      <c r="F4790" s="8">
        <v>0</v>
      </c>
      <c r="G4790" s="4">
        <v>2</v>
      </c>
      <c r="H4790" s="8">
        <v>3.33</v>
      </c>
      <c r="I4790" s="4">
        <v>0</v>
      </c>
    </row>
    <row r="4791" spans="1:9" x14ac:dyDescent="0.2">
      <c r="A4791" s="2">
        <v>17</v>
      </c>
      <c r="B4791" s="1" t="s">
        <v>293</v>
      </c>
      <c r="C4791" s="4">
        <v>2</v>
      </c>
      <c r="D4791" s="8">
        <v>1.5</v>
      </c>
      <c r="E4791" s="4">
        <v>1</v>
      </c>
      <c r="F4791" s="8">
        <v>1.52</v>
      </c>
      <c r="G4791" s="4">
        <v>1</v>
      </c>
      <c r="H4791" s="8">
        <v>1.67</v>
      </c>
      <c r="I4791" s="4">
        <v>0</v>
      </c>
    </row>
    <row r="4792" spans="1:9" x14ac:dyDescent="0.2">
      <c r="A4792" s="2">
        <v>17</v>
      </c>
      <c r="B4792" s="1" t="s">
        <v>338</v>
      </c>
      <c r="C4792" s="4">
        <v>2</v>
      </c>
      <c r="D4792" s="8">
        <v>1.5</v>
      </c>
      <c r="E4792" s="4">
        <v>1</v>
      </c>
      <c r="F4792" s="8">
        <v>1.52</v>
      </c>
      <c r="G4792" s="4">
        <v>1</v>
      </c>
      <c r="H4792" s="8">
        <v>1.67</v>
      </c>
      <c r="I4792" s="4">
        <v>0</v>
      </c>
    </row>
    <row r="4793" spans="1:9" x14ac:dyDescent="0.2">
      <c r="A4793" s="2">
        <v>17</v>
      </c>
      <c r="B4793" s="1" t="s">
        <v>344</v>
      </c>
      <c r="C4793" s="4">
        <v>2</v>
      </c>
      <c r="D4793" s="8">
        <v>1.5</v>
      </c>
      <c r="E4793" s="4">
        <v>1</v>
      </c>
      <c r="F4793" s="8">
        <v>1.52</v>
      </c>
      <c r="G4793" s="4">
        <v>1</v>
      </c>
      <c r="H4793" s="8">
        <v>1.67</v>
      </c>
      <c r="I4793" s="4">
        <v>0</v>
      </c>
    </row>
    <row r="4794" spans="1:9" x14ac:dyDescent="0.2">
      <c r="A4794" s="2">
        <v>17</v>
      </c>
      <c r="B4794" s="1" t="s">
        <v>296</v>
      </c>
      <c r="C4794" s="4">
        <v>2</v>
      </c>
      <c r="D4794" s="8">
        <v>1.5</v>
      </c>
      <c r="E4794" s="4">
        <v>0</v>
      </c>
      <c r="F4794" s="8">
        <v>0</v>
      </c>
      <c r="G4794" s="4">
        <v>2</v>
      </c>
      <c r="H4794" s="8">
        <v>3.33</v>
      </c>
      <c r="I4794" s="4">
        <v>0</v>
      </c>
    </row>
    <row r="4795" spans="1:9" x14ac:dyDescent="0.2">
      <c r="A4795" s="2">
        <v>17</v>
      </c>
      <c r="B4795" s="1" t="s">
        <v>305</v>
      </c>
      <c r="C4795" s="4">
        <v>2</v>
      </c>
      <c r="D4795" s="8">
        <v>1.5</v>
      </c>
      <c r="E4795" s="4">
        <v>2</v>
      </c>
      <c r="F4795" s="8">
        <v>3.03</v>
      </c>
      <c r="G4795" s="4">
        <v>0</v>
      </c>
      <c r="H4795" s="8">
        <v>0</v>
      </c>
      <c r="I4795" s="4">
        <v>0</v>
      </c>
    </row>
    <row r="4796" spans="1:9" x14ac:dyDescent="0.2">
      <c r="A4796" s="2">
        <v>17</v>
      </c>
      <c r="B4796" s="1" t="s">
        <v>306</v>
      </c>
      <c r="C4796" s="4">
        <v>2</v>
      </c>
      <c r="D4796" s="8">
        <v>1.5</v>
      </c>
      <c r="E4796" s="4">
        <v>2</v>
      </c>
      <c r="F4796" s="8">
        <v>3.03</v>
      </c>
      <c r="G4796" s="4">
        <v>0</v>
      </c>
      <c r="H4796" s="8">
        <v>0</v>
      </c>
      <c r="I4796" s="4">
        <v>0</v>
      </c>
    </row>
    <row r="4797" spans="1:9" x14ac:dyDescent="0.2">
      <c r="A4797" s="2">
        <v>17</v>
      </c>
      <c r="B4797" s="1" t="s">
        <v>341</v>
      </c>
      <c r="C4797" s="4">
        <v>2</v>
      </c>
      <c r="D4797" s="8">
        <v>1.5</v>
      </c>
      <c r="E4797" s="4">
        <v>0</v>
      </c>
      <c r="F4797" s="8">
        <v>0</v>
      </c>
      <c r="G4797" s="4">
        <v>0</v>
      </c>
      <c r="H4797" s="8">
        <v>0</v>
      </c>
      <c r="I4797" s="4">
        <v>0</v>
      </c>
    </row>
    <row r="4798" spans="1:9" x14ac:dyDescent="0.2">
      <c r="A4798" s="2">
        <v>17</v>
      </c>
      <c r="B4798" s="1" t="s">
        <v>370</v>
      </c>
      <c r="C4798" s="4">
        <v>2</v>
      </c>
      <c r="D4798" s="8">
        <v>1.5</v>
      </c>
      <c r="E4798" s="4">
        <v>0</v>
      </c>
      <c r="F4798" s="8">
        <v>0</v>
      </c>
      <c r="G4798" s="4">
        <v>1</v>
      </c>
      <c r="H4798" s="8">
        <v>1.67</v>
      </c>
      <c r="I4798" s="4">
        <v>0</v>
      </c>
    </row>
    <row r="4799" spans="1:9" x14ac:dyDescent="0.2">
      <c r="A4799" s="1"/>
      <c r="C4799" s="4"/>
      <c r="D4799" s="8"/>
      <c r="E4799" s="4"/>
      <c r="F4799" s="8"/>
      <c r="G4799" s="4"/>
      <c r="H4799" s="8"/>
      <c r="I4799" s="4"/>
    </row>
    <row r="4800" spans="1:9" x14ac:dyDescent="0.2">
      <c r="A4800" s="1" t="s">
        <v>159</v>
      </c>
      <c r="C4800" s="4"/>
      <c r="D4800" s="8"/>
      <c r="E4800" s="4"/>
      <c r="F4800" s="8"/>
      <c r="G4800" s="4"/>
      <c r="H4800" s="8"/>
      <c r="I4800" s="4"/>
    </row>
    <row r="4801" spans="1:9" x14ac:dyDescent="0.2">
      <c r="A4801" s="2">
        <v>1</v>
      </c>
      <c r="B4801" s="1" t="s">
        <v>339</v>
      </c>
      <c r="C4801" s="4">
        <v>9</v>
      </c>
      <c r="D4801" s="8">
        <v>5.77</v>
      </c>
      <c r="E4801" s="4">
        <v>9</v>
      </c>
      <c r="F4801" s="8">
        <v>10.47</v>
      </c>
      <c r="G4801" s="4">
        <v>0</v>
      </c>
      <c r="H4801" s="8">
        <v>0</v>
      </c>
      <c r="I4801" s="4">
        <v>0</v>
      </c>
    </row>
    <row r="4802" spans="1:9" x14ac:dyDescent="0.2">
      <c r="A4802" s="2">
        <v>2</v>
      </c>
      <c r="B4802" s="1" t="s">
        <v>304</v>
      </c>
      <c r="C4802" s="4">
        <v>8</v>
      </c>
      <c r="D4802" s="8">
        <v>5.13</v>
      </c>
      <c r="E4802" s="4">
        <v>8</v>
      </c>
      <c r="F4802" s="8">
        <v>9.3000000000000007</v>
      </c>
      <c r="G4802" s="4">
        <v>0</v>
      </c>
      <c r="H4802" s="8">
        <v>0</v>
      </c>
      <c r="I4802" s="4">
        <v>0</v>
      </c>
    </row>
    <row r="4803" spans="1:9" x14ac:dyDescent="0.2">
      <c r="A4803" s="2">
        <v>3</v>
      </c>
      <c r="B4803" s="1" t="s">
        <v>342</v>
      </c>
      <c r="C4803" s="4">
        <v>7</v>
      </c>
      <c r="D4803" s="8">
        <v>4.49</v>
      </c>
      <c r="E4803" s="4">
        <v>1</v>
      </c>
      <c r="F4803" s="8">
        <v>1.1599999999999999</v>
      </c>
      <c r="G4803" s="4">
        <v>6</v>
      </c>
      <c r="H4803" s="8">
        <v>11.32</v>
      </c>
      <c r="I4803" s="4">
        <v>0</v>
      </c>
    </row>
    <row r="4804" spans="1:9" x14ac:dyDescent="0.2">
      <c r="A4804" s="2">
        <v>3</v>
      </c>
      <c r="B4804" s="1" t="s">
        <v>301</v>
      </c>
      <c r="C4804" s="4">
        <v>7</v>
      </c>
      <c r="D4804" s="8">
        <v>4.49</v>
      </c>
      <c r="E4804" s="4">
        <v>7</v>
      </c>
      <c r="F4804" s="8">
        <v>8.14</v>
      </c>
      <c r="G4804" s="4">
        <v>0</v>
      </c>
      <c r="H4804" s="8">
        <v>0</v>
      </c>
      <c r="I4804" s="4">
        <v>0</v>
      </c>
    </row>
    <row r="4805" spans="1:9" x14ac:dyDescent="0.2">
      <c r="A4805" s="2">
        <v>5</v>
      </c>
      <c r="B4805" s="1" t="s">
        <v>299</v>
      </c>
      <c r="C4805" s="4">
        <v>6</v>
      </c>
      <c r="D4805" s="8">
        <v>3.85</v>
      </c>
      <c r="E4805" s="4">
        <v>4</v>
      </c>
      <c r="F4805" s="8">
        <v>4.6500000000000004</v>
      </c>
      <c r="G4805" s="4">
        <v>2</v>
      </c>
      <c r="H4805" s="8">
        <v>3.77</v>
      </c>
      <c r="I4805" s="4">
        <v>0</v>
      </c>
    </row>
    <row r="4806" spans="1:9" x14ac:dyDescent="0.2">
      <c r="A4806" s="2">
        <v>5</v>
      </c>
      <c r="B4806" s="1" t="s">
        <v>303</v>
      </c>
      <c r="C4806" s="4">
        <v>6</v>
      </c>
      <c r="D4806" s="8">
        <v>3.85</v>
      </c>
      <c r="E4806" s="4">
        <v>6</v>
      </c>
      <c r="F4806" s="8">
        <v>6.98</v>
      </c>
      <c r="G4806" s="4">
        <v>0</v>
      </c>
      <c r="H4806" s="8">
        <v>0</v>
      </c>
      <c r="I4806" s="4">
        <v>0</v>
      </c>
    </row>
    <row r="4807" spans="1:9" x14ac:dyDescent="0.2">
      <c r="A4807" s="2">
        <v>7</v>
      </c>
      <c r="B4807" s="1" t="s">
        <v>328</v>
      </c>
      <c r="C4807" s="4">
        <v>5</v>
      </c>
      <c r="D4807" s="8">
        <v>3.21</v>
      </c>
      <c r="E4807" s="4">
        <v>1</v>
      </c>
      <c r="F4807" s="8">
        <v>1.1599999999999999</v>
      </c>
      <c r="G4807" s="4">
        <v>4</v>
      </c>
      <c r="H4807" s="8">
        <v>7.55</v>
      </c>
      <c r="I4807" s="4">
        <v>0</v>
      </c>
    </row>
    <row r="4808" spans="1:9" x14ac:dyDescent="0.2">
      <c r="A4808" s="2">
        <v>7</v>
      </c>
      <c r="B4808" s="1" t="s">
        <v>324</v>
      </c>
      <c r="C4808" s="4">
        <v>5</v>
      </c>
      <c r="D4808" s="8">
        <v>3.21</v>
      </c>
      <c r="E4808" s="4">
        <v>0</v>
      </c>
      <c r="F4808" s="8">
        <v>0</v>
      </c>
      <c r="G4808" s="4">
        <v>5</v>
      </c>
      <c r="H4808" s="8">
        <v>9.43</v>
      </c>
      <c r="I4808" s="4">
        <v>0</v>
      </c>
    </row>
    <row r="4809" spans="1:9" x14ac:dyDescent="0.2">
      <c r="A4809" s="2">
        <v>7</v>
      </c>
      <c r="B4809" s="1" t="s">
        <v>292</v>
      </c>
      <c r="C4809" s="4">
        <v>5</v>
      </c>
      <c r="D4809" s="8">
        <v>3.21</v>
      </c>
      <c r="E4809" s="4">
        <v>5</v>
      </c>
      <c r="F4809" s="8">
        <v>5.81</v>
      </c>
      <c r="G4809" s="4">
        <v>0</v>
      </c>
      <c r="H4809" s="8">
        <v>0</v>
      </c>
      <c r="I4809" s="4">
        <v>0</v>
      </c>
    </row>
    <row r="4810" spans="1:9" x14ac:dyDescent="0.2">
      <c r="A4810" s="2">
        <v>7</v>
      </c>
      <c r="B4810" s="1" t="s">
        <v>307</v>
      </c>
      <c r="C4810" s="4">
        <v>5</v>
      </c>
      <c r="D4810" s="8">
        <v>3.21</v>
      </c>
      <c r="E4810" s="4">
        <v>4</v>
      </c>
      <c r="F4810" s="8">
        <v>4.6500000000000004</v>
      </c>
      <c r="G4810" s="4">
        <v>1</v>
      </c>
      <c r="H4810" s="8">
        <v>1.89</v>
      </c>
      <c r="I4810" s="4">
        <v>0</v>
      </c>
    </row>
    <row r="4811" spans="1:9" x14ac:dyDescent="0.2">
      <c r="A4811" s="2">
        <v>11</v>
      </c>
      <c r="B4811" s="1" t="s">
        <v>335</v>
      </c>
      <c r="C4811" s="4">
        <v>4</v>
      </c>
      <c r="D4811" s="8">
        <v>2.56</v>
      </c>
      <c r="E4811" s="4">
        <v>3</v>
      </c>
      <c r="F4811" s="8">
        <v>3.49</v>
      </c>
      <c r="G4811" s="4">
        <v>1</v>
      </c>
      <c r="H4811" s="8">
        <v>1.89</v>
      </c>
      <c r="I4811" s="4">
        <v>0</v>
      </c>
    </row>
    <row r="4812" spans="1:9" x14ac:dyDescent="0.2">
      <c r="A4812" s="2">
        <v>11</v>
      </c>
      <c r="B4812" s="1" t="s">
        <v>330</v>
      </c>
      <c r="C4812" s="4">
        <v>4</v>
      </c>
      <c r="D4812" s="8">
        <v>2.56</v>
      </c>
      <c r="E4812" s="4">
        <v>1</v>
      </c>
      <c r="F4812" s="8">
        <v>1.1599999999999999</v>
      </c>
      <c r="G4812" s="4">
        <v>3</v>
      </c>
      <c r="H4812" s="8">
        <v>5.66</v>
      </c>
      <c r="I4812" s="4">
        <v>0</v>
      </c>
    </row>
    <row r="4813" spans="1:9" x14ac:dyDescent="0.2">
      <c r="A4813" s="2">
        <v>11</v>
      </c>
      <c r="B4813" s="1" t="s">
        <v>331</v>
      </c>
      <c r="C4813" s="4">
        <v>4</v>
      </c>
      <c r="D4813" s="8">
        <v>2.56</v>
      </c>
      <c r="E4813" s="4">
        <v>0</v>
      </c>
      <c r="F4813" s="8">
        <v>0</v>
      </c>
      <c r="G4813" s="4">
        <v>1</v>
      </c>
      <c r="H4813" s="8">
        <v>1.89</v>
      </c>
      <c r="I4813" s="4">
        <v>0</v>
      </c>
    </row>
    <row r="4814" spans="1:9" x14ac:dyDescent="0.2">
      <c r="A4814" s="2">
        <v>14</v>
      </c>
      <c r="B4814" s="1" t="s">
        <v>289</v>
      </c>
      <c r="C4814" s="4">
        <v>3</v>
      </c>
      <c r="D4814" s="8">
        <v>1.92</v>
      </c>
      <c r="E4814" s="4">
        <v>0</v>
      </c>
      <c r="F4814" s="8">
        <v>0</v>
      </c>
      <c r="G4814" s="4">
        <v>3</v>
      </c>
      <c r="H4814" s="8">
        <v>5.66</v>
      </c>
      <c r="I4814" s="4">
        <v>0</v>
      </c>
    </row>
    <row r="4815" spans="1:9" x14ac:dyDescent="0.2">
      <c r="A4815" s="2">
        <v>14</v>
      </c>
      <c r="B4815" s="1" t="s">
        <v>343</v>
      </c>
      <c r="C4815" s="4">
        <v>3</v>
      </c>
      <c r="D4815" s="8">
        <v>1.92</v>
      </c>
      <c r="E4815" s="4">
        <v>1</v>
      </c>
      <c r="F4815" s="8">
        <v>1.1599999999999999</v>
      </c>
      <c r="G4815" s="4">
        <v>2</v>
      </c>
      <c r="H4815" s="8">
        <v>3.77</v>
      </c>
      <c r="I4815" s="4">
        <v>0</v>
      </c>
    </row>
    <row r="4816" spans="1:9" x14ac:dyDescent="0.2">
      <c r="A4816" s="2">
        <v>14</v>
      </c>
      <c r="B4816" s="1" t="s">
        <v>333</v>
      </c>
      <c r="C4816" s="4">
        <v>3</v>
      </c>
      <c r="D4816" s="8">
        <v>1.92</v>
      </c>
      <c r="E4816" s="4">
        <v>2</v>
      </c>
      <c r="F4816" s="8">
        <v>2.33</v>
      </c>
      <c r="G4816" s="4">
        <v>1</v>
      </c>
      <c r="H4816" s="8">
        <v>1.89</v>
      </c>
      <c r="I4816" s="4">
        <v>0</v>
      </c>
    </row>
    <row r="4817" spans="1:9" x14ac:dyDescent="0.2">
      <c r="A4817" s="2">
        <v>14</v>
      </c>
      <c r="B4817" s="1" t="s">
        <v>309</v>
      </c>
      <c r="C4817" s="4">
        <v>3</v>
      </c>
      <c r="D4817" s="8">
        <v>1.92</v>
      </c>
      <c r="E4817" s="4">
        <v>0</v>
      </c>
      <c r="F4817" s="8">
        <v>0</v>
      </c>
      <c r="G4817" s="4">
        <v>3</v>
      </c>
      <c r="H4817" s="8">
        <v>5.66</v>
      </c>
      <c r="I4817" s="4">
        <v>0</v>
      </c>
    </row>
    <row r="4818" spans="1:9" x14ac:dyDescent="0.2">
      <c r="A4818" s="2">
        <v>14</v>
      </c>
      <c r="B4818" s="1" t="s">
        <v>354</v>
      </c>
      <c r="C4818" s="4">
        <v>3</v>
      </c>
      <c r="D4818" s="8">
        <v>1.92</v>
      </c>
      <c r="E4818" s="4">
        <v>2</v>
      </c>
      <c r="F4818" s="8">
        <v>2.33</v>
      </c>
      <c r="G4818" s="4">
        <v>0</v>
      </c>
      <c r="H4818" s="8">
        <v>0</v>
      </c>
      <c r="I4818" s="4">
        <v>1</v>
      </c>
    </row>
    <row r="4819" spans="1:9" x14ac:dyDescent="0.2">
      <c r="A4819" s="2">
        <v>14</v>
      </c>
      <c r="B4819" s="1" t="s">
        <v>295</v>
      </c>
      <c r="C4819" s="4">
        <v>3</v>
      </c>
      <c r="D4819" s="8">
        <v>1.92</v>
      </c>
      <c r="E4819" s="4">
        <v>1</v>
      </c>
      <c r="F4819" s="8">
        <v>1.1599999999999999</v>
      </c>
      <c r="G4819" s="4">
        <v>2</v>
      </c>
      <c r="H4819" s="8">
        <v>3.77</v>
      </c>
      <c r="I4819" s="4">
        <v>0</v>
      </c>
    </row>
    <row r="4820" spans="1:9" x14ac:dyDescent="0.2">
      <c r="A4820" s="2">
        <v>14</v>
      </c>
      <c r="B4820" s="1" t="s">
        <v>300</v>
      </c>
      <c r="C4820" s="4">
        <v>3</v>
      </c>
      <c r="D4820" s="8">
        <v>1.92</v>
      </c>
      <c r="E4820" s="4">
        <v>3</v>
      </c>
      <c r="F4820" s="8">
        <v>3.49</v>
      </c>
      <c r="G4820" s="4">
        <v>0</v>
      </c>
      <c r="H4820" s="8">
        <v>0</v>
      </c>
      <c r="I4820" s="4">
        <v>0</v>
      </c>
    </row>
    <row r="4821" spans="1:9" x14ac:dyDescent="0.2">
      <c r="A4821" s="2">
        <v>14</v>
      </c>
      <c r="B4821" s="1" t="s">
        <v>306</v>
      </c>
      <c r="C4821" s="4">
        <v>3</v>
      </c>
      <c r="D4821" s="8">
        <v>1.92</v>
      </c>
      <c r="E4821" s="4">
        <v>3</v>
      </c>
      <c r="F4821" s="8">
        <v>3.49</v>
      </c>
      <c r="G4821" s="4">
        <v>0</v>
      </c>
      <c r="H4821" s="8">
        <v>0</v>
      </c>
      <c r="I4821" s="4">
        <v>0</v>
      </c>
    </row>
    <row r="4822" spans="1:9" x14ac:dyDescent="0.2">
      <c r="A4822" s="1"/>
      <c r="C4822" s="4"/>
      <c r="D4822" s="8"/>
      <c r="E4822" s="4"/>
      <c r="F4822" s="8"/>
      <c r="G4822" s="4"/>
      <c r="H4822" s="8"/>
      <c r="I4822" s="4"/>
    </row>
    <row r="4823" spans="1:9" x14ac:dyDescent="0.2">
      <c r="A4823" s="1" t="s">
        <v>160</v>
      </c>
      <c r="C4823" s="4"/>
      <c r="D4823" s="8"/>
      <c r="E4823" s="4"/>
      <c r="F4823" s="8"/>
      <c r="G4823" s="4"/>
      <c r="H4823" s="8"/>
      <c r="I4823" s="4"/>
    </row>
    <row r="4824" spans="1:9" x14ac:dyDescent="0.2">
      <c r="A4824" s="2">
        <v>1</v>
      </c>
      <c r="B4824" s="1" t="s">
        <v>301</v>
      </c>
      <c r="C4824" s="4">
        <v>43</v>
      </c>
      <c r="D4824" s="8">
        <v>6.51</v>
      </c>
      <c r="E4824" s="4">
        <v>40</v>
      </c>
      <c r="F4824" s="8">
        <v>11.17</v>
      </c>
      <c r="G4824" s="4">
        <v>3</v>
      </c>
      <c r="H4824" s="8">
        <v>1.03</v>
      </c>
      <c r="I4824" s="4">
        <v>0</v>
      </c>
    </row>
    <row r="4825" spans="1:9" x14ac:dyDescent="0.2">
      <c r="A4825" s="2">
        <v>2</v>
      </c>
      <c r="B4825" s="1" t="s">
        <v>297</v>
      </c>
      <c r="C4825" s="4">
        <v>41</v>
      </c>
      <c r="D4825" s="8">
        <v>6.2</v>
      </c>
      <c r="E4825" s="4">
        <v>29</v>
      </c>
      <c r="F4825" s="8">
        <v>8.1</v>
      </c>
      <c r="G4825" s="4">
        <v>12</v>
      </c>
      <c r="H4825" s="8">
        <v>4.1100000000000003</v>
      </c>
      <c r="I4825" s="4">
        <v>0</v>
      </c>
    </row>
    <row r="4826" spans="1:9" x14ac:dyDescent="0.2">
      <c r="A4826" s="2">
        <v>3</v>
      </c>
      <c r="B4826" s="1" t="s">
        <v>304</v>
      </c>
      <c r="C4826" s="4">
        <v>30</v>
      </c>
      <c r="D4826" s="8">
        <v>4.54</v>
      </c>
      <c r="E4826" s="4">
        <v>28</v>
      </c>
      <c r="F4826" s="8">
        <v>7.82</v>
      </c>
      <c r="G4826" s="4">
        <v>2</v>
      </c>
      <c r="H4826" s="8">
        <v>0.68</v>
      </c>
      <c r="I4826" s="4">
        <v>0</v>
      </c>
    </row>
    <row r="4827" spans="1:9" x14ac:dyDescent="0.2">
      <c r="A4827" s="2">
        <v>4</v>
      </c>
      <c r="B4827" s="1" t="s">
        <v>303</v>
      </c>
      <c r="C4827" s="4">
        <v>25</v>
      </c>
      <c r="D4827" s="8">
        <v>3.78</v>
      </c>
      <c r="E4827" s="4">
        <v>24</v>
      </c>
      <c r="F4827" s="8">
        <v>6.7</v>
      </c>
      <c r="G4827" s="4">
        <v>1</v>
      </c>
      <c r="H4827" s="8">
        <v>0.34</v>
      </c>
      <c r="I4827" s="4">
        <v>0</v>
      </c>
    </row>
    <row r="4828" spans="1:9" x14ac:dyDescent="0.2">
      <c r="A4828" s="2">
        <v>5</v>
      </c>
      <c r="B4828" s="1" t="s">
        <v>300</v>
      </c>
      <c r="C4828" s="4">
        <v>23</v>
      </c>
      <c r="D4828" s="8">
        <v>3.48</v>
      </c>
      <c r="E4828" s="4">
        <v>21</v>
      </c>
      <c r="F4828" s="8">
        <v>5.87</v>
      </c>
      <c r="G4828" s="4">
        <v>2</v>
      </c>
      <c r="H4828" s="8">
        <v>0.68</v>
      </c>
      <c r="I4828" s="4">
        <v>0</v>
      </c>
    </row>
    <row r="4829" spans="1:9" x14ac:dyDescent="0.2">
      <c r="A4829" s="2">
        <v>6</v>
      </c>
      <c r="B4829" s="1" t="s">
        <v>295</v>
      </c>
      <c r="C4829" s="4">
        <v>17</v>
      </c>
      <c r="D4829" s="8">
        <v>2.57</v>
      </c>
      <c r="E4829" s="4">
        <v>10</v>
      </c>
      <c r="F4829" s="8">
        <v>2.79</v>
      </c>
      <c r="G4829" s="4">
        <v>7</v>
      </c>
      <c r="H4829" s="8">
        <v>2.4</v>
      </c>
      <c r="I4829" s="4">
        <v>0</v>
      </c>
    </row>
    <row r="4830" spans="1:9" x14ac:dyDescent="0.2">
      <c r="A4830" s="2">
        <v>7</v>
      </c>
      <c r="B4830" s="1" t="s">
        <v>299</v>
      </c>
      <c r="C4830" s="4">
        <v>16</v>
      </c>
      <c r="D4830" s="8">
        <v>2.42</v>
      </c>
      <c r="E4830" s="4">
        <v>10</v>
      </c>
      <c r="F4830" s="8">
        <v>2.79</v>
      </c>
      <c r="G4830" s="4">
        <v>6</v>
      </c>
      <c r="H4830" s="8">
        <v>2.0499999999999998</v>
      </c>
      <c r="I4830" s="4">
        <v>0</v>
      </c>
    </row>
    <row r="4831" spans="1:9" x14ac:dyDescent="0.2">
      <c r="A4831" s="2">
        <v>8</v>
      </c>
      <c r="B4831" s="1" t="s">
        <v>296</v>
      </c>
      <c r="C4831" s="4">
        <v>15</v>
      </c>
      <c r="D4831" s="8">
        <v>2.27</v>
      </c>
      <c r="E4831" s="4">
        <v>8</v>
      </c>
      <c r="F4831" s="8">
        <v>2.23</v>
      </c>
      <c r="G4831" s="4">
        <v>7</v>
      </c>
      <c r="H4831" s="8">
        <v>2.4</v>
      </c>
      <c r="I4831" s="4">
        <v>0</v>
      </c>
    </row>
    <row r="4832" spans="1:9" x14ac:dyDescent="0.2">
      <c r="A4832" s="2">
        <v>8</v>
      </c>
      <c r="B4832" s="1" t="s">
        <v>347</v>
      </c>
      <c r="C4832" s="4">
        <v>15</v>
      </c>
      <c r="D4832" s="8">
        <v>2.27</v>
      </c>
      <c r="E4832" s="4">
        <v>0</v>
      </c>
      <c r="F4832" s="8">
        <v>0</v>
      </c>
      <c r="G4832" s="4">
        <v>15</v>
      </c>
      <c r="H4832" s="8">
        <v>5.14</v>
      </c>
      <c r="I4832" s="4">
        <v>0</v>
      </c>
    </row>
    <row r="4833" spans="1:9" x14ac:dyDescent="0.2">
      <c r="A4833" s="2">
        <v>10</v>
      </c>
      <c r="B4833" s="1" t="s">
        <v>288</v>
      </c>
      <c r="C4833" s="4">
        <v>14</v>
      </c>
      <c r="D4833" s="8">
        <v>2.12</v>
      </c>
      <c r="E4833" s="4">
        <v>0</v>
      </c>
      <c r="F4833" s="8">
        <v>0</v>
      </c>
      <c r="G4833" s="4">
        <v>14</v>
      </c>
      <c r="H4833" s="8">
        <v>4.79</v>
      </c>
      <c r="I4833" s="4">
        <v>0</v>
      </c>
    </row>
    <row r="4834" spans="1:9" x14ac:dyDescent="0.2">
      <c r="A4834" s="2">
        <v>10</v>
      </c>
      <c r="B4834" s="1" t="s">
        <v>330</v>
      </c>
      <c r="C4834" s="4">
        <v>14</v>
      </c>
      <c r="D4834" s="8">
        <v>2.12</v>
      </c>
      <c r="E4834" s="4">
        <v>1</v>
      </c>
      <c r="F4834" s="8">
        <v>0.28000000000000003</v>
      </c>
      <c r="G4834" s="4">
        <v>13</v>
      </c>
      <c r="H4834" s="8">
        <v>4.45</v>
      </c>
      <c r="I4834" s="4">
        <v>0</v>
      </c>
    </row>
    <row r="4835" spans="1:9" x14ac:dyDescent="0.2">
      <c r="A4835" s="2">
        <v>12</v>
      </c>
      <c r="B4835" s="1" t="s">
        <v>289</v>
      </c>
      <c r="C4835" s="4">
        <v>13</v>
      </c>
      <c r="D4835" s="8">
        <v>1.97</v>
      </c>
      <c r="E4835" s="4">
        <v>1</v>
      </c>
      <c r="F4835" s="8">
        <v>0.28000000000000003</v>
      </c>
      <c r="G4835" s="4">
        <v>12</v>
      </c>
      <c r="H4835" s="8">
        <v>4.1100000000000003</v>
      </c>
      <c r="I4835" s="4">
        <v>0</v>
      </c>
    </row>
    <row r="4836" spans="1:9" x14ac:dyDescent="0.2">
      <c r="A4836" s="2">
        <v>13</v>
      </c>
      <c r="B4836" s="1" t="s">
        <v>333</v>
      </c>
      <c r="C4836" s="4">
        <v>12</v>
      </c>
      <c r="D4836" s="8">
        <v>1.82</v>
      </c>
      <c r="E4836" s="4">
        <v>11</v>
      </c>
      <c r="F4836" s="8">
        <v>3.07</v>
      </c>
      <c r="G4836" s="4">
        <v>1</v>
      </c>
      <c r="H4836" s="8">
        <v>0.34</v>
      </c>
      <c r="I4836" s="4">
        <v>0</v>
      </c>
    </row>
    <row r="4837" spans="1:9" x14ac:dyDescent="0.2">
      <c r="A4837" s="2">
        <v>13</v>
      </c>
      <c r="B4837" s="1" t="s">
        <v>342</v>
      </c>
      <c r="C4837" s="4">
        <v>12</v>
      </c>
      <c r="D4837" s="8">
        <v>1.82</v>
      </c>
      <c r="E4837" s="4">
        <v>5</v>
      </c>
      <c r="F4837" s="8">
        <v>1.4</v>
      </c>
      <c r="G4837" s="4">
        <v>7</v>
      </c>
      <c r="H4837" s="8">
        <v>2.4</v>
      </c>
      <c r="I4837" s="4">
        <v>0</v>
      </c>
    </row>
    <row r="4838" spans="1:9" x14ac:dyDescent="0.2">
      <c r="A4838" s="2">
        <v>15</v>
      </c>
      <c r="B4838" s="1" t="s">
        <v>293</v>
      </c>
      <c r="C4838" s="4">
        <v>11</v>
      </c>
      <c r="D4838" s="8">
        <v>1.66</v>
      </c>
      <c r="E4838" s="4">
        <v>4</v>
      </c>
      <c r="F4838" s="8">
        <v>1.1200000000000001</v>
      </c>
      <c r="G4838" s="4">
        <v>7</v>
      </c>
      <c r="H4838" s="8">
        <v>2.4</v>
      </c>
      <c r="I4838" s="4">
        <v>0</v>
      </c>
    </row>
    <row r="4839" spans="1:9" x14ac:dyDescent="0.2">
      <c r="A4839" s="2">
        <v>15</v>
      </c>
      <c r="B4839" s="1" t="s">
        <v>335</v>
      </c>
      <c r="C4839" s="4">
        <v>11</v>
      </c>
      <c r="D4839" s="8">
        <v>1.66</v>
      </c>
      <c r="E4839" s="4">
        <v>5</v>
      </c>
      <c r="F4839" s="8">
        <v>1.4</v>
      </c>
      <c r="G4839" s="4">
        <v>6</v>
      </c>
      <c r="H4839" s="8">
        <v>2.0499999999999998</v>
      </c>
      <c r="I4839" s="4">
        <v>0</v>
      </c>
    </row>
    <row r="4840" spans="1:9" x14ac:dyDescent="0.2">
      <c r="A4840" s="2">
        <v>17</v>
      </c>
      <c r="B4840" s="1" t="s">
        <v>324</v>
      </c>
      <c r="C4840" s="4">
        <v>10</v>
      </c>
      <c r="D4840" s="8">
        <v>1.51</v>
      </c>
      <c r="E4840" s="4">
        <v>2</v>
      </c>
      <c r="F4840" s="8">
        <v>0.56000000000000005</v>
      </c>
      <c r="G4840" s="4">
        <v>8</v>
      </c>
      <c r="H4840" s="8">
        <v>2.74</v>
      </c>
      <c r="I4840" s="4">
        <v>0</v>
      </c>
    </row>
    <row r="4841" spans="1:9" x14ac:dyDescent="0.2">
      <c r="A4841" s="2">
        <v>17</v>
      </c>
      <c r="B4841" s="1" t="s">
        <v>292</v>
      </c>
      <c r="C4841" s="4">
        <v>10</v>
      </c>
      <c r="D4841" s="8">
        <v>1.51</v>
      </c>
      <c r="E4841" s="4">
        <v>3</v>
      </c>
      <c r="F4841" s="8">
        <v>0.84</v>
      </c>
      <c r="G4841" s="4">
        <v>7</v>
      </c>
      <c r="H4841" s="8">
        <v>2.4</v>
      </c>
      <c r="I4841" s="4">
        <v>0</v>
      </c>
    </row>
    <row r="4842" spans="1:9" x14ac:dyDescent="0.2">
      <c r="A4842" s="2">
        <v>17</v>
      </c>
      <c r="B4842" s="1" t="s">
        <v>306</v>
      </c>
      <c r="C4842" s="4">
        <v>10</v>
      </c>
      <c r="D4842" s="8">
        <v>1.51</v>
      </c>
      <c r="E4842" s="4">
        <v>10</v>
      </c>
      <c r="F4842" s="8">
        <v>2.79</v>
      </c>
      <c r="G4842" s="4">
        <v>0</v>
      </c>
      <c r="H4842" s="8">
        <v>0</v>
      </c>
      <c r="I4842" s="4">
        <v>0</v>
      </c>
    </row>
    <row r="4843" spans="1:9" x14ac:dyDescent="0.2">
      <c r="A4843" s="2">
        <v>20</v>
      </c>
      <c r="B4843" s="1" t="s">
        <v>329</v>
      </c>
      <c r="C4843" s="4">
        <v>9</v>
      </c>
      <c r="D4843" s="8">
        <v>1.36</v>
      </c>
      <c r="E4843" s="4">
        <v>7</v>
      </c>
      <c r="F4843" s="8">
        <v>1.96</v>
      </c>
      <c r="G4843" s="4">
        <v>2</v>
      </c>
      <c r="H4843" s="8">
        <v>0.68</v>
      </c>
      <c r="I4843" s="4">
        <v>0</v>
      </c>
    </row>
    <row r="4844" spans="1:9" x14ac:dyDescent="0.2">
      <c r="A4844" s="1"/>
      <c r="C4844" s="4"/>
      <c r="D4844" s="8"/>
      <c r="E4844" s="4"/>
      <c r="F4844" s="8"/>
      <c r="G4844" s="4"/>
      <c r="H4844" s="8"/>
      <c r="I4844" s="4"/>
    </row>
    <row r="4845" spans="1:9" x14ac:dyDescent="0.2">
      <c r="A4845" s="1" t="s">
        <v>161</v>
      </c>
      <c r="C4845" s="4"/>
      <c r="D4845" s="8"/>
      <c r="E4845" s="4"/>
      <c r="F4845" s="8"/>
      <c r="G4845" s="4"/>
      <c r="H4845" s="8"/>
      <c r="I4845" s="4"/>
    </row>
    <row r="4846" spans="1:9" x14ac:dyDescent="0.2">
      <c r="A4846" s="2">
        <v>1</v>
      </c>
      <c r="B4846" s="1" t="s">
        <v>304</v>
      </c>
      <c r="C4846" s="4">
        <v>58</v>
      </c>
      <c r="D4846" s="8">
        <v>8.31</v>
      </c>
      <c r="E4846" s="4">
        <v>53</v>
      </c>
      <c r="F4846" s="8">
        <v>14.76</v>
      </c>
      <c r="G4846" s="4">
        <v>5</v>
      </c>
      <c r="H4846" s="8">
        <v>1.49</v>
      </c>
      <c r="I4846" s="4">
        <v>0</v>
      </c>
    </row>
    <row r="4847" spans="1:9" x14ac:dyDescent="0.2">
      <c r="A4847" s="2">
        <v>2</v>
      </c>
      <c r="B4847" s="1" t="s">
        <v>297</v>
      </c>
      <c r="C4847" s="4">
        <v>46</v>
      </c>
      <c r="D4847" s="8">
        <v>6.59</v>
      </c>
      <c r="E4847" s="4">
        <v>33</v>
      </c>
      <c r="F4847" s="8">
        <v>9.19</v>
      </c>
      <c r="G4847" s="4">
        <v>12</v>
      </c>
      <c r="H4847" s="8">
        <v>3.57</v>
      </c>
      <c r="I4847" s="4">
        <v>0</v>
      </c>
    </row>
    <row r="4848" spans="1:9" x14ac:dyDescent="0.2">
      <c r="A4848" s="2">
        <v>3</v>
      </c>
      <c r="B4848" s="1" t="s">
        <v>303</v>
      </c>
      <c r="C4848" s="4">
        <v>33</v>
      </c>
      <c r="D4848" s="8">
        <v>4.7300000000000004</v>
      </c>
      <c r="E4848" s="4">
        <v>33</v>
      </c>
      <c r="F4848" s="8">
        <v>9.19</v>
      </c>
      <c r="G4848" s="4">
        <v>0</v>
      </c>
      <c r="H4848" s="8">
        <v>0</v>
      </c>
      <c r="I4848" s="4">
        <v>0</v>
      </c>
    </row>
    <row r="4849" spans="1:9" x14ac:dyDescent="0.2">
      <c r="A4849" s="2">
        <v>4</v>
      </c>
      <c r="B4849" s="1" t="s">
        <v>288</v>
      </c>
      <c r="C4849" s="4">
        <v>19</v>
      </c>
      <c r="D4849" s="8">
        <v>2.72</v>
      </c>
      <c r="E4849" s="4">
        <v>3</v>
      </c>
      <c r="F4849" s="8">
        <v>0.84</v>
      </c>
      <c r="G4849" s="4">
        <v>16</v>
      </c>
      <c r="H4849" s="8">
        <v>4.76</v>
      </c>
      <c r="I4849" s="4">
        <v>0</v>
      </c>
    </row>
    <row r="4850" spans="1:9" x14ac:dyDescent="0.2">
      <c r="A4850" s="2">
        <v>4</v>
      </c>
      <c r="B4850" s="1" t="s">
        <v>305</v>
      </c>
      <c r="C4850" s="4">
        <v>19</v>
      </c>
      <c r="D4850" s="8">
        <v>2.72</v>
      </c>
      <c r="E4850" s="4">
        <v>18</v>
      </c>
      <c r="F4850" s="8">
        <v>5.01</v>
      </c>
      <c r="G4850" s="4">
        <v>1</v>
      </c>
      <c r="H4850" s="8">
        <v>0.3</v>
      </c>
      <c r="I4850" s="4">
        <v>0</v>
      </c>
    </row>
    <row r="4851" spans="1:9" x14ac:dyDescent="0.2">
      <c r="A4851" s="2">
        <v>4</v>
      </c>
      <c r="B4851" s="1" t="s">
        <v>306</v>
      </c>
      <c r="C4851" s="4">
        <v>19</v>
      </c>
      <c r="D4851" s="8">
        <v>2.72</v>
      </c>
      <c r="E4851" s="4">
        <v>19</v>
      </c>
      <c r="F4851" s="8">
        <v>5.29</v>
      </c>
      <c r="G4851" s="4">
        <v>0</v>
      </c>
      <c r="H4851" s="8">
        <v>0</v>
      </c>
      <c r="I4851" s="4">
        <v>0</v>
      </c>
    </row>
    <row r="4852" spans="1:9" x14ac:dyDescent="0.2">
      <c r="A4852" s="2">
        <v>7</v>
      </c>
      <c r="B4852" s="1" t="s">
        <v>299</v>
      </c>
      <c r="C4852" s="4">
        <v>18</v>
      </c>
      <c r="D4852" s="8">
        <v>2.58</v>
      </c>
      <c r="E4852" s="4">
        <v>17</v>
      </c>
      <c r="F4852" s="8">
        <v>4.74</v>
      </c>
      <c r="G4852" s="4">
        <v>1</v>
      </c>
      <c r="H4852" s="8">
        <v>0.3</v>
      </c>
      <c r="I4852" s="4">
        <v>0</v>
      </c>
    </row>
    <row r="4853" spans="1:9" x14ac:dyDescent="0.2">
      <c r="A4853" s="2">
        <v>8</v>
      </c>
      <c r="B4853" s="1" t="s">
        <v>328</v>
      </c>
      <c r="C4853" s="4">
        <v>17</v>
      </c>
      <c r="D4853" s="8">
        <v>2.44</v>
      </c>
      <c r="E4853" s="4">
        <v>3</v>
      </c>
      <c r="F4853" s="8">
        <v>0.84</v>
      </c>
      <c r="G4853" s="4">
        <v>14</v>
      </c>
      <c r="H4853" s="8">
        <v>4.17</v>
      </c>
      <c r="I4853" s="4">
        <v>0</v>
      </c>
    </row>
    <row r="4854" spans="1:9" x14ac:dyDescent="0.2">
      <c r="A4854" s="2">
        <v>9</v>
      </c>
      <c r="B4854" s="1" t="s">
        <v>298</v>
      </c>
      <c r="C4854" s="4">
        <v>14</v>
      </c>
      <c r="D4854" s="8">
        <v>2.0099999999999998</v>
      </c>
      <c r="E4854" s="4">
        <v>2</v>
      </c>
      <c r="F4854" s="8">
        <v>0.56000000000000005</v>
      </c>
      <c r="G4854" s="4">
        <v>12</v>
      </c>
      <c r="H4854" s="8">
        <v>3.57</v>
      </c>
      <c r="I4854" s="4">
        <v>0</v>
      </c>
    </row>
    <row r="4855" spans="1:9" x14ac:dyDescent="0.2">
      <c r="A4855" s="2">
        <v>10</v>
      </c>
      <c r="B4855" s="1" t="s">
        <v>333</v>
      </c>
      <c r="C4855" s="4">
        <v>13</v>
      </c>
      <c r="D4855" s="8">
        <v>1.86</v>
      </c>
      <c r="E4855" s="4">
        <v>5</v>
      </c>
      <c r="F4855" s="8">
        <v>1.39</v>
      </c>
      <c r="G4855" s="4">
        <v>8</v>
      </c>
      <c r="H4855" s="8">
        <v>2.38</v>
      </c>
      <c r="I4855" s="4">
        <v>0</v>
      </c>
    </row>
    <row r="4856" spans="1:9" x14ac:dyDescent="0.2">
      <c r="A4856" s="2">
        <v>10</v>
      </c>
      <c r="B4856" s="1" t="s">
        <v>308</v>
      </c>
      <c r="C4856" s="4">
        <v>13</v>
      </c>
      <c r="D4856" s="8">
        <v>1.86</v>
      </c>
      <c r="E4856" s="4">
        <v>10</v>
      </c>
      <c r="F4856" s="8">
        <v>2.79</v>
      </c>
      <c r="G4856" s="4">
        <v>3</v>
      </c>
      <c r="H4856" s="8">
        <v>0.89</v>
      </c>
      <c r="I4856" s="4">
        <v>0</v>
      </c>
    </row>
    <row r="4857" spans="1:9" x14ac:dyDescent="0.2">
      <c r="A4857" s="2">
        <v>12</v>
      </c>
      <c r="B4857" s="1" t="s">
        <v>327</v>
      </c>
      <c r="C4857" s="4">
        <v>12</v>
      </c>
      <c r="D4857" s="8">
        <v>1.72</v>
      </c>
      <c r="E4857" s="4">
        <v>5</v>
      </c>
      <c r="F4857" s="8">
        <v>1.39</v>
      </c>
      <c r="G4857" s="4">
        <v>7</v>
      </c>
      <c r="H4857" s="8">
        <v>2.08</v>
      </c>
      <c r="I4857" s="4">
        <v>0</v>
      </c>
    </row>
    <row r="4858" spans="1:9" x14ac:dyDescent="0.2">
      <c r="A4858" s="2">
        <v>12</v>
      </c>
      <c r="B4858" s="1" t="s">
        <v>307</v>
      </c>
      <c r="C4858" s="4">
        <v>12</v>
      </c>
      <c r="D4858" s="8">
        <v>1.72</v>
      </c>
      <c r="E4858" s="4">
        <v>6</v>
      </c>
      <c r="F4858" s="8">
        <v>1.67</v>
      </c>
      <c r="G4858" s="4">
        <v>6</v>
      </c>
      <c r="H4858" s="8">
        <v>1.79</v>
      </c>
      <c r="I4858" s="4">
        <v>0</v>
      </c>
    </row>
    <row r="4859" spans="1:9" x14ac:dyDescent="0.2">
      <c r="A4859" s="2">
        <v>14</v>
      </c>
      <c r="B4859" s="1" t="s">
        <v>293</v>
      </c>
      <c r="C4859" s="4">
        <v>11</v>
      </c>
      <c r="D4859" s="8">
        <v>1.58</v>
      </c>
      <c r="E4859" s="4">
        <v>5</v>
      </c>
      <c r="F4859" s="8">
        <v>1.39</v>
      </c>
      <c r="G4859" s="4">
        <v>6</v>
      </c>
      <c r="H4859" s="8">
        <v>1.79</v>
      </c>
      <c r="I4859" s="4">
        <v>0</v>
      </c>
    </row>
    <row r="4860" spans="1:9" x14ac:dyDescent="0.2">
      <c r="A4860" s="2">
        <v>15</v>
      </c>
      <c r="B4860" s="1" t="s">
        <v>289</v>
      </c>
      <c r="C4860" s="4">
        <v>10</v>
      </c>
      <c r="D4860" s="8">
        <v>1.43</v>
      </c>
      <c r="E4860" s="4">
        <v>0</v>
      </c>
      <c r="F4860" s="8">
        <v>0</v>
      </c>
      <c r="G4860" s="4">
        <v>10</v>
      </c>
      <c r="H4860" s="8">
        <v>2.98</v>
      </c>
      <c r="I4860" s="4">
        <v>0</v>
      </c>
    </row>
    <row r="4861" spans="1:9" x14ac:dyDescent="0.2">
      <c r="A4861" s="2">
        <v>15</v>
      </c>
      <c r="B4861" s="1" t="s">
        <v>290</v>
      </c>
      <c r="C4861" s="4">
        <v>10</v>
      </c>
      <c r="D4861" s="8">
        <v>1.43</v>
      </c>
      <c r="E4861" s="4">
        <v>2</v>
      </c>
      <c r="F4861" s="8">
        <v>0.56000000000000005</v>
      </c>
      <c r="G4861" s="4">
        <v>8</v>
      </c>
      <c r="H4861" s="8">
        <v>2.38</v>
      </c>
      <c r="I4861" s="4">
        <v>0</v>
      </c>
    </row>
    <row r="4862" spans="1:9" x14ac:dyDescent="0.2">
      <c r="A4862" s="2">
        <v>15</v>
      </c>
      <c r="B4862" s="1" t="s">
        <v>291</v>
      </c>
      <c r="C4862" s="4">
        <v>10</v>
      </c>
      <c r="D4862" s="8">
        <v>1.43</v>
      </c>
      <c r="E4862" s="4">
        <v>5</v>
      </c>
      <c r="F4862" s="8">
        <v>1.39</v>
      </c>
      <c r="G4862" s="4">
        <v>5</v>
      </c>
      <c r="H4862" s="8">
        <v>1.49</v>
      </c>
      <c r="I4862" s="4">
        <v>0</v>
      </c>
    </row>
    <row r="4863" spans="1:9" x14ac:dyDescent="0.2">
      <c r="A4863" s="2">
        <v>15</v>
      </c>
      <c r="B4863" s="1" t="s">
        <v>295</v>
      </c>
      <c r="C4863" s="4">
        <v>10</v>
      </c>
      <c r="D4863" s="8">
        <v>1.43</v>
      </c>
      <c r="E4863" s="4">
        <v>3</v>
      </c>
      <c r="F4863" s="8">
        <v>0.84</v>
      </c>
      <c r="G4863" s="4">
        <v>7</v>
      </c>
      <c r="H4863" s="8">
        <v>2.08</v>
      </c>
      <c r="I4863" s="4">
        <v>0</v>
      </c>
    </row>
    <row r="4864" spans="1:9" x14ac:dyDescent="0.2">
      <c r="A4864" s="2">
        <v>19</v>
      </c>
      <c r="B4864" s="1" t="s">
        <v>292</v>
      </c>
      <c r="C4864" s="4">
        <v>9</v>
      </c>
      <c r="D4864" s="8">
        <v>1.29</v>
      </c>
      <c r="E4864" s="4">
        <v>7</v>
      </c>
      <c r="F4864" s="8">
        <v>1.95</v>
      </c>
      <c r="G4864" s="4">
        <v>2</v>
      </c>
      <c r="H4864" s="8">
        <v>0.6</v>
      </c>
      <c r="I4864" s="4">
        <v>0</v>
      </c>
    </row>
    <row r="4865" spans="1:9" x14ac:dyDescent="0.2">
      <c r="A4865" s="2">
        <v>19</v>
      </c>
      <c r="B4865" s="1" t="s">
        <v>294</v>
      </c>
      <c r="C4865" s="4">
        <v>9</v>
      </c>
      <c r="D4865" s="8">
        <v>1.29</v>
      </c>
      <c r="E4865" s="4">
        <v>2</v>
      </c>
      <c r="F4865" s="8">
        <v>0.56000000000000005</v>
      </c>
      <c r="G4865" s="4">
        <v>7</v>
      </c>
      <c r="H4865" s="8">
        <v>2.08</v>
      </c>
      <c r="I4865" s="4">
        <v>0</v>
      </c>
    </row>
    <row r="4866" spans="1:9" x14ac:dyDescent="0.2">
      <c r="A4866" s="1"/>
      <c r="C4866" s="4"/>
      <c r="D4866" s="8"/>
      <c r="E4866" s="4"/>
      <c r="F4866" s="8"/>
      <c r="G4866" s="4"/>
      <c r="H4866" s="8"/>
      <c r="I4866" s="4"/>
    </row>
    <row r="4867" spans="1:9" x14ac:dyDescent="0.2">
      <c r="A4867" s="1" t="s">
        <v>162</v>
      </c>
      <c r="C4867" s="4"/>
      <c r="D4867" s="8"/>
      <c r="E4867" s="4"/>
      <c r="F4867" s="8"/>
      <c r="G4867" s="4"/>
      <c r="H4867" s="8"/>
      <c r="I4867" s="4"/>
    </row>
    <row r="4868" spans="1:9" x14ac:dyDescent="0.2">
      <c r="A4868" s="2">
        <v>1</v>
      </c>
      <c r="B4868" s="1" t="s">
        <v>297</v>
      </c>
      <c r="C4868" s="4">
        <v>10</v>
      </c>
      <c r="D4868" s="8">
        <v>7.75</v>
      </c>
      <c r="E4868" s="4">
        <v>9</v>
      </c>
      <c r="F4868" s="8">
        <v>12.68</v>
      </c>
      <c r="G4868" s="4">
        <v>1</v>
      </c>
      <c r="H4868" s="8">
        <v>1.79</v>
      </c>
      <c r="I4868" s="4">
        <v>0</v>
      </c>
    </row>
    <row r="4869" spans="1:9" x14ac:dyDescent="0.2">
      <c r="A4869" s="2">
        <v>2</v>
      </c>
      <c r="B4869" s="1" t="s">
        <v>288</v>
      </c>
      <c r="C4869" s="4">
        <v>7</v>
      </c>
      <c r="D4869" s="8">
        <v>5.43</v>
      </c>
      <c r="E4869" s="4">
        <v>1</v>
      </c>
      <c r="F4869" s="8">
        <v>1.41</v>
      </c>
      <c r="G4869" s="4">
        <v>6</v>
      </c>
      <c r="H4869" s="8">
        <v>10.71</v>
      </c>
      <c r="I4869" s="4">
        <v>0</v>
      </c>
    </row>
    <row r="4870" spans="1:9" x14ac:dyDescent="0.2">
      <c r="A4870" s="2">
        <v>2</v>
      </c>
      <c r="B4870" s="1" t="s">
        <v>303</v>
      </c>
      <c r="C4870" s="4">
        <v>7</v>
      </c>
      <c r="D4870" s="8">
        <v>5.43</v>
      </c>
      <c r="E4870" s="4">
        <v>7</v>
      </c>
      <c r="F4870" s="8">
        <v>9.86</v>
      </c>
      <c r="G4870" s="4">
        <v>0</v>
      </c>
      <c r="H4870" s="8">
        <v>0</v>
      </c>
      <c r="I4870" s="4">
        <v>0</v>
      </c>
    </row>
    <row r="4871" spans="1:9" x14ac:dyDescent="0.2">
      <c r="A4871" s="2">
        <v>4</v>
      </c>
      <c r="B4871" s="1" t="s">
        <v>289</v>
      </c>
      <c r="C4871" s="4">
        <v>4</v>
      </c>
      <c r="D4871" s="8">
        <v>3.1</v>
      </c>
      <c r="E4871" s="4">
        <v>2</v>
      </c>
      <c r="F4871" s="8">
        <v>2.82</v>
      </c>
      <c r="G4871" s="4">
        <v>2</v>
      </c>
      <c r="H4871" s="8">
        <v>3.57</v>
      </c>
      <c r="I4871" s="4">
        <v>0</v>
      </c>
    </row>
    <row r="4872" spans="1:9" x14ac:dyDescent="0.2">
      <c r="A4872" s="2">
        <v>4</v>
      </c>
      <c r="B4872" s="1" t="s">
        <v>290</v>
      </c>
      <c r="C4872" s="4">
        <v>4</v>
      </c>
      <c r="D4872" s="8">
        <v>3.1</v>
      </c>
      <c r="E4872" s="4">
        <v>1</v>
      </c>
      <c r="F4872" s="8">
        <v>1.41</v>
      </c>
      <c r="G4872" s="4">
        <v>3</v>
      </c>
      <c r="H4872" s="8">
        <v>5.36</v>
      </c>
      <c r="I4872" s="4">
        <v>0</v>
      </c>
    </row>
    <row r="4873" spans="1:9" x14ac:dyDescent="0.2">
      <c r="A4873" s="2">
        <v>4</v>
      </c>
      <c r="B4873" s="1" t="s">
        <v>372</v>
      </c>
      <c r="C4873" s="4">
        <v>4</v>
      </c>
      <c r="D4873" s="8">
        <v>3.1</v>
      </c>
      <c r="E4873" s="4">
        <v>0</v>
      </c>
      <c r="F4873" s="8">
        <v>0</v>
      </c>
      <c r="G4873" s="4">
        <v>4</v>
      </c>
      <c r="H4873" s="8">
        <v>7.14</v>
      </c>
      <c r="I4873" s="4">
        <v>0</v>
      </c>
    </row>
    <row r="4874" spans="1:9" x14ac:dyDescent="0.2">
      <c r="A4874" s="2">
        <v>4</v>
      </c>
      <c r="B4874" s="1" t="s">
        <v>330</v>
      </c>
      <c r="C4874" s="4">
        <v>4</v>
      </c>
      <c r="D4874" s="8">
        <v>3.1</v>
      </c>
      <c r="E4874" s="4">
        <v>0</v>
      </c>
      <c r="F4874" s="8">
        <v>0</v>
      </c>
      <c r="G4874" s="4">
        <v>4</v>
      </c>
      <c r="H4874" s="8">
        <v>7.14</v>
      </c>
      <c r="I4874" s="4">
        <v>0</v>
      </c>
    </row>
    <row r="4875" spans="1:9" x14ac:dyDescent="0.2">
      <c r="A4875" s="2">
        <v>4</v>
      </c>
      <c r="B4875" s="1" t="s">
        <v>299</v>
      </c>
      <c r="C4875" s="4">
        <v>4</v>
      </c>
      <c r="D4875" s="8">
        <v>3.1</v>
      </c>
      <c r="E4875" s="4">
        <v>4</v>
      </c>
      <c r="F4875" s="8">
        <v>5.63</v>
      </c>
      <c r="G4875" s="4">
        <v>0</v>
      </c>
      <c r="H4875" s="8">
        <v>0</v>
      </c>
      <c r="I4875" s="4">
        <v>0</v>
      </c>
    </row>
    <row r="4876" spans="1:9" x14ac:dyDescent="0.2">
      <c r="A4876" s="2">
        <v>4</v>
      </c>
      <c r="B4876" s="1" t="s">
        <v>302</v>
      </c>
      <c r="C4876" s="4">
        <v>4</v>
      </c>
      <c r="D4876" s="8">
        <v>3.1</v>
      </c>
      <c r="E4876" s="4">
        <v>4</v>
      </c>
      <c r="F4876" s="8">
        <v>5.63</v>
      </c>
      <c r="G4876" s="4">
        <v>0</v>
      </c>
      <c r="H4876" s="8">
        <v>0</v>
      </c>
      <c r="I4876" s="4">
        <v>0</v>
      </c>
    </row>
    <row r="4877" spans="1:9" x14ac:dyDescent="0.2">
      <c r="A4877" s="2">
        <v>4</v>
      </c>
      <c r="B4877" s="1" t="s">
        <v>304</v>
      </c>
      <c r="C4877" s="4">
        <v>4</v>
      </c>
      <c r="D4877" s="8">
        <v>3.1</v>
      </c>
      <c r="E4877" s="4">
        <v>4</v>
      </c>
      <c r="F4877" s="8">
        <v>5.63</v>
      </c>
      <c r="G4877" s="4">
        <v>0</v>
      </c>
      <c r="H4877" s="8">
        <v>0</v>
      </c>
      <c r="I4877" s="4">
        <v>0</v>
      </c>
    </row>
    <row r="4878" spans="1:9" x14ac:dyDescent="0.2">
      <c r="A4878" s="2">
        <v>11</v>
      </c>
      <c r="B4878" s="1" t="s">
        <v>328</v>
      </c>
      <c r="C4878" s="4">
        <v>3</v>
      </c>
      <c r="D4878" s="8">
        <v>2.33</v>
      </c>
      <c r="E4878" s="4">
        <v>2</v>
      </c>
      <c r="F4878" s="8">
        <v>2.82</v>
      </c>
      <c r="G4878" s="4">
        <v>1</v>
      </c>
      <c r="H4878" s="8">
        <v>1.79</v>
      </c>
      <c r="I4878" s="4">
        <v>0</v>
      </c>
    </row>
    <row r="4879" spans="1:9" x14ac:dyDescent="0.2">
      <c r="A4879" s="2">
        <v>11</v>
      </c>
      <c r="B4879" s="1" t="s">
        <v>353</v>
      </c>
      <c r="C4879" s="4">
        <v>3</v>
      </c>
      <c r="D4879" s="8">
        <v>2.33</v>
      </c>
      <c r="E4879" s="4">
        <v>3</v>
      </c>
      <c r="F4879" s="8">
        <v>4.2300000000000004</v>
      </c>
      <c r="G4879" s="4">
        <v>0</v>
      </c>
      <c r="H4879" s="8">
        <v>0</v>
      </c>
      <c r="I4879" s="4">
        <v>0</v>
      </c>
    </row>
    <row r="4880" spans="1:9" x14ac:dyDescent="0.2">
      <c r="A4880" s="2">
        <v>11</v>
      </c>
      <c r="B4880" s="1" t="s">
        <v>333</v>
      </c>
      <c r="C4880" s="4">
        <v>3</v>
      </c>
      <c r="D4880" s="8">
        <v>2.33</v>
      </c>
      <c r="E4880" s="4">
        <v>2</v>
      </c>
      <c r="F4880" s="8">
        <v>2.82</v>
      </c>
      <c r="G4880" s="4">
        <v>1</v>
      </c>
      <c r="H4880" s="8">
        <v>1.79</v>
      </c>
      <c r="I4880" s="4">
        <v>0</v>
      </c>
    </row>
    <row r="4881" spans="1:9" x14ac:dyDescent="0.2">
      <c r="A4881" s="2">
        <v>11</v>
      </c>
      <c r="B4881" s="1" t="s">
        <v>335</v>
      </c>
      <c r="C4881" s="4">
        <v>3</v>
      </c>
      <c r="D4881" s="8">
        <v>2.33</v>
      </c>
      <c r="E4881" s="4">
        <v>0</v>
      </c>
      <c r="F4881" s="8">
        <v>0</v>
      </c>
      <c r="G4881" s="4">
        <v>3</v>
      </c>
      <c r="H4881" s="8">
        <v>5.36</v>
      </c>
      <c r="I4881" s="4">
        <v>0</v>
      </c>
    </row>
    <row r="4882" spans="1:9" x14ac:dyDescent="0.2">
      <c r="A4882" s="2">
        <v>15</v>
      </c>
      <c r="B4882" s="1" t="s">
        <v>291</v>
      </c>
      <c r="C4882" s="4">
        <v>2</v>
      </c>
      <c r="D4882" s="8">
        <v>1.55</v>
      </c>
      <c r="E4882" s="4">
        <v>0</v>
      </c>
      <c r="F4882" s="8">
        <v>0</v>
      </c>
      <c r="G4882" s="4">
        <v>2</v>
      </c>
      <c r="H4882" s="8">
        <v>3.57</v>
      </c>
      <c r="I4882" s="4">
        <v>0</v>
      </c>
    </row>
    <row r="4883" spans="1:9" x14ac:dyDescent="0.2">
      <c r="A4883" s="2">
        <v>15</v>
      </c>
      <c r="B4883" s="1" t="s">
        <v>374</v>
      </c>
      <c r="C4883" s="4">
        <v>2</v>
      </c>
      <c r="D4883" s="8">
        <v>1.55</v>
      </c>
      <c r="E4883" s="4">
        <v>0</v>
      </c>
      <c r="F4883" s="8">
        <v>0</v>
      </c>
      <c r="G4883" s="4">
        <v>2</v>
      </c>
      <c r="H4883" s="8">
        <v>3.57</v>
      </c>
      <c r="I4883" s="4">
        <v>0</v>
      </c>
    </row>
    <row r="4884" spans="1:9" x14ac:dyDescent="0.2">
      <c r="A4884" s="2">
        <v>15</v>
      </c>
      <c r="B4884" s="1" t="s">
        <v>321</v>
      </c>
      <c r="C4884" s="4">
        <v>2</v>
      </c>
      <c r="D4884" s="8">
        <v>1.55</v>
      </c>
      <c r="E4884" s="4">
        <v>0</v>
      </c>
      <c r="F4884" s="8">
        <v>0</v>
      </c>
      <c r="G4884" s="4">
        <v>2</v>
      </c>
      <c r="H4884" s="8">
        <v>3.57</v>
      </c>
      <c r="I4884" s="4">
        <v>0</v>
      </c>
    </row>
    <row r="4885" spans="1:9" x14ac:dyDescent="0.2">
      <c r="A4885" s="2">
        <v>15</v>
      </c>
      <c r="B4885" s="1" t="s">
        <v>354</v>
      </c>
      <c r="C4885" s="4">
        <v>2</v>
      </c>
      <c r="D4885" s="8">
        <v>1.55</v>
      </c>
      <c r="E4885" s="4">
        <v>0</v>
      </c>
      <c r="F4885" s="8">
        <v>0</v>
      </c>
      <c r="G4885" s="4">
        <v>2</v>
      </c>
      <c r="H4885" s="8">
        <v>3.57</v>
      </c>
      <c r="I4885" s="4">
        <v>0</v>
      </c>
    </row>
    <row r="4886" spans="1:9" x14ac:dyDescent="0.2">
      <c r="A4886" s="2">
        <v>15</v>
      </c>
      <c r="B4886" s="1" t="s">
        <v>292</v>
      </c>
      <c r="C4886" s="4">
        <v>2</v>
      </c>
      <c r="D4886" s="8">
        <v>1.55</v>
      </c>
      <c r="E4886" s="4">
        <v>0</v>
      </c>
      <c r="F4886" s="8">
        <v>0</v>
      </c>
      <c r="G4886" s="4">
        <v>2</v>
      </c>
      <c r="H4886" s="8">
        <v>3.57</v>
      </c>
      <c r="I4886" s="4">
        <v>0</v>
      </c>
    </row>
    <row r="4887" spans="1:9" x14ac:dyDescent="0.2">
      <c r="A4887" s="2">
        <v>15</v>
      </c>
      <c r="B4887" s="1" t="s">
        <v>293</v>
      </c>
      <c r="C4887" s="4">
        <v>2</v>
      </c>
      <c r="D4887" s="8">
        <v>1.55</v>
      </c>
      <c r="E4887" s="4">
        <v>1</v>
      </c>
      <c r="F4887" s="8">
        <v>1.41</v>
      </c>
      <c r="G4887" s="4">
        <v>1</v>
      </c>
      <c r="H4887" s="8">
        <v>1.79</v>
      </c>
      <c r="I4887" s="4">
        <v>0</v>
      </c>
    </row>
    <row r="4888" spans="1:9" x14ac:dyDescent="0.2">
      <c r="A4888" s="2">
        <v>15</v>
      </c>
      <c r="B4888" s="1" t="s">
        <v>337</v>
      </c>
      <c r="C4888" s="4">
        <v>2</v>
      </c>
      <c r="D4888" s="8">
        <v>1.55</v>
      </c>
      <c r="E4888" s="4">
        <v>1</v>
      </c>
      <c r="F4888" s="8">
        <v>1.41</v>
      </c>
      <c r="G4888" s="4">
        <v>1</v>
      </c>
      <c r="H4888" s="8">
        <v>1.79</v>
      </c>
      <c r="I4888" s="4">
        <v>0</v>
      </c>
    </row>
    <row r="4889" spans="1:9" x14ac:dyDescent="0.2">
      <c r="A4889" s="2">
        <v>15</v>
      </c>
      <c r="B4889" s="1" t="s">
        <v>344</v>
      </c>
      <c r="C4889" s="4">
        <v>2</v>
      </c>
      <c r="D4889" s="8">
        <v>1.55</v>
      </c>
      <c r="E4889" s="4">
        <v>1</v>
      </c>
      <c r="F4889" s="8">
        <v>1.41</v>
      </c>
      <c r="G4889" s="4">
        <v>1</v>
      </c>
      <c r="H4889" s="8">
        <v>1.79</v>
      </c>
      <c r="I4889" s="4">
        <v>0</v>
      </c>
    </row>
    <row r="4890" spans="1:9" x14ac:dyDescent="0.2">
      <c r="A4890" s="2">
        <v>15</v>
      </c>
      <c r="B4890" s="1" t="s">
        <v>334</v>
      </c>
      <c r="C4890" s="4">
        <v>2</v>
      </c>
      <c r="D4890" s="8">
        <v>1.55</v>
      </c>
      <c r="E4890" s="4">
        <v>2</v>
      </c>
      <c r="F4890" s="8">
        <v>2.82</v>
      </c>
      <c r="G4890" s="4">
        <v>0</v>
      </c>
      <c r="H4890" s="8">
        <v>0</v>
      </c>
      <c r="I4890" s="4">
        <v>0</v>
      </c>
    </row>
    <row r="4891" spans="1:9" x14ac:dyDescent="0.2">
      <c r="A4891" s="2">
        <v>15</v>
      </c>
      <c r="B4891" s="1" t="s">
        <v>349</v>
      </c>
      <c r="C4891" s="4">
        <v>2</v>
      </c>
      <c r="D4891" s="8">
        <v>1.55</v>
      </c>
      <c r="E4891" s="4">
        <v>2</v>
      </c>
      <c r="F4891" s="8">
        <v>2.82</v>
      </c>
      <c r="G4891" s="4">
        <v>0</v>
      </c>
      <c r="H4891" s="8">
        <v>0</v>
      </c>
      <c r="I4891" s="4">
        <v>0</v>
      </c>
    </row>
    <row r="4892" spans="1:9" x14ac:dyDescent="0.2">
      <c r="A4892" s="2">
        <v>15</v>
      </c>
      <c r="B4892" s="1" t="s">
        <v>300</v>
      </c>
      <c r="C4892" s="4">
        <v>2</v>
      </c>
      <c r="D4892" s="8">
        <v>1.55</v>
      </c>
      <c r="E4892" s="4">
        <v>2</v>
      </c>
      <c r="F4892" s="8">
        <v>2.82</v>
      </c>
      <c r="G4892" s="4">
        <v>0</v>
      </c>
      <c r="H4892" s="8">
        <v>0</v>
      </c>
      <c r="I4892" s="4">
        <v>0</v>
      </c>
    </row>
    <row r="4893" spans="1:9" x14ac:dyDescent="0.2">
      <c r="A4893" s="2">
        <v>15</v>
      </c>
      <c r="B4893" s="1" t="s">
        <v>301</v>
      </c>
      <c r="C4893" s="4">
        <v>2</v>
      </c>
      <c r="D4893" s="8">
        <v>1.55</v>
      </c>
      <c r="E4893" s="4">
        <v>2</v>
      </c>
      <c r="F4893" s="8">
        <v>2.82</v>
      </c>
      <c r="G4893" s="4">
        <v>0</v>
      </c>
      <c r="H4893" s="8">
        <v>0</v>
      </c>
      <c r="I4893" s="4">
        <v>0</v>
      </c>
    </row>
    <row r="4894" spans="1:9" x14ac:dyDescent="0.2">
      <c r="A4894" s="2">
        <v>15</v>
      </c>
      <c r="B4894" s="1" t="s">
        <v>325</v>
      </c>
      <c r="C4894" s="4">
        <v>2</v>
      </c>
      <c r="D4894" s="8">
        <v>1.55</v>
      </c>
      <c r="E4894" s="4">
        <v>0</v>
      </c>
      <c r="F4894" s="8">
        <v>0</v>
      </c>
      <c r="G4894" s="4">
        <v>1</v>
      </c>
      <c r="H4894" s="8">
        <v>1.79</v>
      </c>
      <c r="I4894" s="4">
        <v>0</v>
      </c>
    </row>
    <row r="4895" spans="1:9" x14ac:dyDescent="0.2">
      <c r="A4895" s="2">
        <v>15</v>
      </c>
      <c r="B4895" s="1" t="s">
        <v>323</v>
      </c>
      <c r="C4895" s="4">
        <v>2</v>
      </c>
      <c r="D4895" s="8">
        <v>1.55</v>
      </c>
      <c r="E4895" s="4">
        <v>2</v>
      </c>
      <c r="F4895" s="8">
        <v>2.82</v>
      </c>
      <c r="G4895" s="4">
        <v>0</v>
      </c>
      <c r="H4895" s="8">
        <v>0</v>
      </c>
      <c r="I4895" s="4">
        <v>0</v>
      </c>
    </row>
    <row r="4896" spans="1:9" x14ac:dyDescent="0.2">
      <c r="A4896" s="2">
        <v>15</v>
      </c>
      <c r="B4896" s="1" t="s">
        <v>312</v>
      </c>
      <c r="C4896" s="4">
        <v>2</v>
      </c>
      <c r="D4896" s="8">
        <v>1.55</v>
      </c>
      <c r="E4896" s="4">
        <v>2</v>
      </c>
      <c r="F4896" s="8">
        <v>2.82</v>
      </c>
      <c r="G4896" s="4">
        <v>0</v>
      </c>
      <c r="H4896" s="8">
        <v>0</v>
      </c>
      <c r="I4896" s="4">
        <v>0</v>
      </c>
    </row>
    <row r="4897" spans="1:9" x14ac:dyDescent="0.2">
      <c r="A4897" s="2">
        <v>15</v>
      </c>
      <c r="B4897" s="1" t="s">
        <v>371</v>
      </c>
      <c r="C4897" s="4">
        <v>2</v>
      </c>
      <c r="D4897" s="8">
        <v>1.55</v>
      </c>
      <c r="E4897" s="4">
        <v>1</v>
      </c>
      <c r="F4897" s="8">
        <v>1.41</v>
      </c>
      <c r="G4897" s="4">
        <v>1</v>
      </c>
      <c r="H4897" s="8">
        <v>1.79</v>
      </c>
      <c r="I4897" s="4">
        <v>0</v>
      </c>
    </row>
    <row r="4898" spans="1:9" x14ac:dyDescent="0.2">
      <c r="A4898" s="1"/>
      <c r="C4898" s="4"/>
      <c r="D4898" s="8"/>
      <c r="E4898" s="4"/>
      <c r="F4898" s="8"/>
      <c r="G4898" s="4"/>
      <c r="H4898" s="8"/>
      <c r="I4898" s="4"/>
    </row>
    <row r="4899" spans="1:9" x14ac:dyDescent="0.2">
      <c r="A4899" s="1" t="s">
        <v>163</v>
      </c>
      <c r="C4899" s="4"/>
      <c r="D4899" s="8"/>
      <c r="E4899" s="4"/>
      <c r="F4899" s="8"/>
      <c r="G4899" s="4"/>
      <c r="H4899" s="8"/>
      <c r="I4899" s="4"/>
    </row>
    <row r="4900" spans="1:9" x14ac:dyDescent="0.2">
      <c r="A4900" s="2">
        <v>1</v>
      </c>
      <c r="B4900" s="1" t="s">
        <v>303</v>
      </c>
      <c r="C4900" s="4">
        <v>9</v>
      </c>
      <c r="D4900" s="8">
        <v>6</v>
      </c>
      <c r="E4900" s="4">
        <v>9</v>
      </c>
      <c r="F4900" s="8">
        <v>10.11</v>
      </c>
      <c r="G4900" s="4">
        <v>0</v>
      </c>
      <c r="H4900" s="8">
        <v>0</v>
      </c>
      <c r="I4900" s="4">
        <v>0</v>
      </c>
    </row>
    <row r="4901" spans="1:9" x14ac:dyDescent="0.2">
      <c r="A4901" s="2">
        <v>2</v>
      </c>
      <c r="B4901" s="1" t="s">
        <v>304</v>
      </c>
      <c r="C4901" s="4">
        <v>7</v>
      </c>
      <c r="D4901" s="8">
        <v>4.67</v>
      </c>
      <c r="E4901" s="4">
        <v>7</v>
      </c>
      <c r="F4901" s="8">
        <v>7.87</v>
      </c>
      <c r="G4901" s="4">
        <v>0</v>
      </c>
      <c r="H4901" s="8">
        <v>0</v>
      </c>
      <c r="I4901" s="4">
        <v>0</v>
      </c>
    </row>
    <row r="4902" spans="1:9" x14ac:dyDescent="0.2">
      <c r="A4902" s="2">
        <v>3</v>
      </c>
      <c r="B4902" s="1" t="s">
        <v>288</v>
      </c>
      <c r="C4902" s="4">
        <v>6</v>
      </c>
      <c r="D4902" s="8">
        <v>4</v>
      </c>
      <c r="E4902" s="4">
        <v>2</v>
      </c>
      <c r="F4902" s="8">
        <v>2.25</v>
      </c>
      <c r="G4902" s="4">
        <v>4</v>
      </c>
      <c r="H4902" s="8">
        <v>7.27</v>
      </c>
      <c r="I4902" s="4">
        <v>0</v>
      </c>
    </row>
    <row r="4903" spans="1:9" x14ac:dyDescent="0.2">
      <c r="A4903" s="2">
        <v>3</v>
      </c>
      <c r="B4903" s="1" t="s">
        <v>289</v>
      </c>
      <c r="C4903" s="4">
        <v>6</v>
      </c>
      <c r="D4903" s="8">
        <v>4</v>
      </c>
      <c r="E4903" s="4">
        <v>1</v>
      </c>
      <c r="F4903" s="8">
        <v>1.1200000000000001</v>
      </c>
      <c r="G4903" s="4">
        <v>5</v>
      </c>
      <c r="H4903" s="8">
        <v>9.09</v>
      </c>
      <c r="I4903" s="4">
        <v>0</v>
      </c>
    </row>
    <row r="4904" spans="1:9" x14ac:dyDescent="0.2">
      <c r="A4904" s="2">
        <v>3</v>
      </c>
      <c r="B4904" s="1" t="s">
        <v>335</v>
      </c>
      <c r="C4904" s="4">
        <v>6</v>
      </c>
      <c r="D4904" s="8">
        <v>4</v>
      </c>
      <c r="E4904" s="4">
        <v>3</v>
      </c>
      <c r="F4904" s="8">
        <v>3.37</v>
      </c>
      <c r="G4904" s="4">
        <v>3</v>
      </c>
      <c r="H4904" s="8">
        <v>5.45</v>
      </c>
      <c r="I4904" s="4">
        <v>0</v>
      </c>
    </row>
    <row r="4905" spans="1:9" x14ac:dyDescent="0.2">
      <c r="A4905" s="2">
        <v>3</v>
      </c>
      <c r="B4905" s="1" t="s">
        <v>302</v>
      </c>
      <c r="C4905" s="4">
        <v>6</v>
      </c>
      <c r="D4905" s="8">
        <v>4</v>
      </c>
      <c r="E4905" s="4">
        <v>4</v>
      </c>
      <c r="F4905" s="8">
        <v>4.49</v>
      </c>
      <c r="G4905" s="4">
        <v>2</v>
      </c>
      <c r="H4905" s="8">
        <v>3.64</v>
      </c>
      <c r="I4905" s="4">
        <v>0</v>
      </c>
    </row>
    <row r="4906" spans="1:9" x14ac:dyDescent="0.2">
      <c r="A4906" s="2">
        <v>7</v>
      </c>
      <c r="B4906" s="1" t="s">
        <v>339</v>
      </c>
      <c r="C4906" s="4">
        <v>5</v>
      </c>
      <c r="D4906" s="8">
        <v>3.33</v>
      </c>
      <c r="E4906" s="4">
        <v>0</v>
      </c>
      <c r="F4906" s="8">
        <v>0</v>
      </c>
      <c r="G4906" s="4">
        <v>5</v>
      </c>
      <c r="H4906" s="8">
        <v>9.09</v>
      </c>
      <c r="I4906" s="4">
        <v>0</v>
      </c>
    </row>
    <row r="4907" spans="1:9" x14ac:dyDescent="0.2">
      <c r="A4907" s="2">
        <v>7</v>
      </c>
      <c r="B4907" s="1" t="s">
        <v>299</v>
      </c>
      <c r="C4907" s="4">
        <v>5</v>
      </c>
      <c r="D4907" s="8">
        <v>3.33</v>
      </c>
      <c r="E4907" s="4">
        <v>4</v>
      </c>
      <c r="F4907" s="8">
        <v>4.49</v>
      </c>
      <c r="G4907" s="4">
        <v>1</v>
      </c>
      <c r="H4907" s="8">
        <v>1.82</v>
      </c>
      <c r="I4907" s="4">
        <v>0</v>
      </c>
    </row>
    <row r="4908" spans="1:9" x14ac:dyDescent="0.2">
      <c r="A4908" s="2">
        <v>9</v>
      </c>
      <c r="B4908" s="1" t="s">
        <v>334</v>
      </c>
      <c r="C4908" s="4">
        <v>4</v>
      </c>
      <c r="D4908" s="8">
        <v>2.67</v>
      </c>
      <c r="E4908" s="4">
        <v>3</v>
      </c>
      <c r="F4908" s="8">
        <v>3.37</v>
      </c>
      <c r="G4908" s="4">
        <v>1</v>
      </c>
      <c r="H4908" s="8">
        <v>1.82</v>
      </c>
      <c r="I4908" s="4">
        <v>0</v>
      </c>
    </row>
    <row r="4909" spans="1:9" x14ac:dyDescent="0.2">
      <c r="A4909" s="2">
        <v>10</v>
      </c>
      <c r="B4909" s="1" t="s">
        <v>332</v>
      </c>
      <c r="C4909" s="4">
        <v>3</v>
      </c>
      <c r="D4909" s="8">
        <v>2</v>
      </c>
      <c r="E4909" s="4">
        <v>2</v>
      </c>
      <c r="F4909" s="8">
        <v>2.25</v>
      </c>
      <c r="G4909" s="4">
        <v>1</v>
      </c>
      <c r="H4909" s="8">
        <v>1.82</v>
      </c>
      <c r="I4909" s="4">
        <v>0</v>
      </c>
    </row>
    <row r="4910" spans="1:9" x14ac:dyDescent="0.2">
      <c r="A4910" s="2">
        <v>10</v>
      </c>
      <c r="B4910" s="1" t="s">
        <v>294</v>
      </c>
      <c r="C4910" s="4">
        <v>3</v>
      </c>
      <c r="D4910" s="8">
        <v>2</v>
      </c>
      <c r="E4910" s="4">
        <v>1</v>
      </c>
      <c r="F4910" s="8">
        <v>1.1200000000000001</v>
      </c>
      <c r="G4910" s="4">
        <v>2</v>
      </c>
      <c r="H4910" s="8">
        <v>3.64</v>
      </c>
      <c r="I4910" s="4">
        <v>0</v>
      </c>
    </row>
    <row r="4911" spans="1:9" x14ac:dyDescent="0.2">
      <c r="A4911" s="2">
        <v>10</v>
      </c>
      <c r="B4911" s="1" t="s">
        <v>301</v>
      </c>
      <c r="C4911" s="4">
        <v>3</v>
      </c>
      <c r="D4911" s="8">
        <v>2</v>
      </c>
      <c r="E4911" s="4">
        <v>3</v>
      </c>
      <c r="F4911" s="8">
        <v>3.37</v>
      </c>
      <c r="G4911" s="4">
        <v>0</v>
      </c>
      <c r="H4911" s="8">
        <v>0</v>
      </c>
      <c r="I4911" s="4">
        <v>0</v>
      </c>
    </row>
    <row r="4912" spans="1:9" x14ac:dyDescent="0.2">
      <c r="A4912" s="2">
        <v>10</v>
      </c>
      <c r="B4912" s="1" t="s">
        <v>305</v>
      </c>
      <c r="C4912" s="4">
        <v>3</v>
      </c>
      <c r="D4912" s="8">
        <v>2</v>
      </c>
      <c r="E4912" s="4">
        <v>2</v>
      </c>
      <c r="F4912" s="8">
        <v>2.25</v>
      </c>
      <c r="G4912" s="4">
        <v>1</v>
      </c>
      <c r="H4912" s="8">
        <v>1.82</v>
      </c>
      <c r="I4912" s="4">
        <v>0</v>
      </c>
    </row>
    <row r="4913" spans="1:9" x14ac:dyDescent="0.2">
      <c r="A4913" s="2">
        <v>10</v>
      </c>
      <c r="B4913" s="1" t="s">
        <v>306</v>
      </c>
      <c r="C4913" s="4">
        <v>3</v>
      </c>
      <c r="D4913" s="8">
        <v>2</v>
      </c>
      <c r="E4913" s="4">
        <v>3</v>
      </c>
      <c r="F4913" s="8">
        <v>3.37</v>
      </c>
      <c r="G4913" s="4">
        <v>0</v>
      </c>
      <c r="H4913" s="8">
        <v>0</v>
      </c>
      <c r="I4913" s="4">
        <v>0</v>
      </c>
    </row>
    <row r="4914" spans="1:9" x14ac:dyDescent="0.2">
      <c r="A4914" s="2">
        <v>15</v>
      </c>
      <c r="B4914" s="1" t="s">
        <v>343</v>
      </c>
      <c r="C4914" s="4">
        <v>2</v>
      </c>
      <c r="D4914" s="8">
        <v>1.33</v>
      </c>
      <c r="E4914" s="4">
        <v>2</v>
      </c>
      <c r="F4914" s="8">
        <v>2.25</v>
      </c>
      <c r="G4914" s="4">
        <v>0</v>
      </c>
      <c r="H4914" s="8">
        <v>0</v>
      </c>
      <c r="I4914" s="4">
        <v>0</v>
      </c>
    </row>
    <row r="4915" spans="1:9" x14ac:dyDescent="0.2">
      <c r="A4915" s="2">
        <v>15</v>
      </c>
      <c r="B4915" s="1" t="s">
        <v>290</v>
      </c>
      <c r="C4915" s="4">
        <v>2</v>
      </c>
      <c r="D4915" s="8">
        <v>1.33</v>
      </c>
      <c r="E4915" s="4">
        <v>1</v>
      </c>
      <c r="F4915" s="8">
        <v>1.1200000000000001</v>
      </c>
      <c r="G4915" s="4">
        <v>1</v>
      </c>
      <c r="H4915" s="8">
        <v>1.82</v>
      </c>
      <c r="I4915" s="4">
        <v>0</v>
      </c>
    </row>
    <row r="4916" spans="1:9" x14ac:dyDescent="0.2">
      <c r="A4916" s="2">
        <v>15</v>
      </c>
      <c r="B4916" s="1" t="s">
        <v>413</v>
      </c>
      <c r="C4916" s="4">
        <v>2</v>
      </c>
      <c r="D4916" s="8">
        <v>1.33</v>
      </c>
      <c r="E4916" s="4">
        <v>1</v>
      </c>
      <c r="F4916" s="8">
        <v>1.1200000000000001</v>
      </c>
      <c r="G4916" s="4">
        <v>1</v>
      </c>
      <c r="H4916" s="8">
        <v>1.82</v>
      </c>
      <c r="I4916" s="4">
        <v>0</v>
      </c>
    </row>
    <row r="4917" spans="1:9" x14ac:dyDescent="0.2">
      <c r="A4917" s="2">
        <v>15</v>
      </c>
      <c r="B4917" s="1" t="s">
        <v>359</v>
      </c>
      <c r="C4917" s="4">
        <v>2</v>
      </c>
      <c r="D4917" s="8">
        <v>1.33</v>
      </c>
      <c r="E4917" s="4">
        <v>2</v>
      </c>
      <c r="F4917" s="8">
        <v>2.25</v>
      </c>
      <c r="G4917" s="4">
        <v>0</v>
      </c>
      <c r="H4917" s="8">
        <v>0</v>
      </c>
      <c r="I4917" s="4">
        <v>0</v>
      </c>
    </row>
    <row r="4918" spans="1:9" x14ac:dyDescent="0.2">
      <c r="A4918" s="2">
        <v>15</v>
      </c>
      <c r="B4918" s="1" t="s">
        <v>350</v>
      </c>
      <c r="C4918" s="4">
        <v>2</v>
      </c>
      <c r="D4918" s="8">
        <v>1.33</v>
      </c>
      <c r="E4918" s="4">
        <v>1</v>
      </c>
      <c r="F4918" s="8">
        <v>1.1200000000000001</v>
      </c>
      <c r="G4918" s="4">
        <v>1</v>
      </c>
      <c r="H4918" s="8">
        <v>1.82</v>
      </c>
      <c r="I4918" s="4">
        <v>0</v>
      </c>
    </row>
    <row r="4919" spans="1:9" x14ac:dyDescent="0.2">
      <c r="A4919" s="2">
        <v>15</v>
      </c>
      <c r="B4919" s="1" t="s">
        <v>324</v>
      </c>
      <c r="C4919" s="4">
        <v>2</v>
      </c>
      <c r="D4919" s="8">
        <v>1.33</v>
      </c>
      <c r="E4919" s="4">
        <v>2</v>
      </c>
      <c r="F4919" s="8">
        <v>2.25</v>
      </c>
      <c r="G4919" s="4">
        <v>0</v>
      </c>
      <c r="H4919" s="8">
        <v>0</v>
      </c>
      <c r="I4919" s="4">
        <v>0</v>
      </c>
    </row>
    <row r="4920" spans="1:9" x14ac:dyDescent="0.2">
      <c r="A4920" s="2">
        <v>15</v>
      </c>
      <c r="B4920" s="1" t="s">
        <v>400</v>
      </c>
      <c r="C4920" s="4">
        <v>2</v>
      </c>
      <c r="D4920" s="8">
        <v>1.33</v>
      </c>
      <c r="E4920" s="4">
        <v>2</v>
      </c>
      <c r="F4920" s="8">
        <v>2.25</v>
      </c>
      <c r="G4920" s="4">
        <v>0</v>
      </c>
      <c r="H4920" s="8">
        <v>0</v>
      </c>
      <c r="I4920" s="4">
        <v>0</v>
      </c>
    </row>
    <row r="4921" spans="1:9" x14ac:dyDescent="0.2">
      <c r="A4921" s="2">
        <v>15</v>
      </c>
      <c r="B4921" s="1" t="s">
        <v>330</v>
      </c>
      <c r="C4921" s="4">
        <v>2</v>
      </c>
      <c r="D4921" s="8">
        <v>1.33</v>
      </c>
      <c r="E4921" s="4">
        <v>0</v>
      </c>
      <c r="F4921" s="8">
        <v>0</v>
      </c>
      <c r="G4921" s="4">
        <v>2</v>
      </c>
      <c r="H4921" s="8">
        <v>3.64</v>
      </c>
      <c r="I4921" s="4">
        <v>0</v>
      </c>
    </row>
    <row r="4922" spans="1:9" x14ac:dyDescent="0.2">
      <c r="A4922" s="2">
        <v>15</v>
      </c>
      <c r="B4922" s="1" t="s">
        <v>295</v>
      </c>
      <c r="C4922" s="4">
        <v>2</v>
      </c>
      <c r="D4922" s="8">
        <v>1.33</v>
      </c>
      <c r="E4922" s="4">
        <v>1</v>
      </c>
      <c r="F4922" s="8">
        <v>1.1200000000000001</v>
      </c>
      <c r="G4922" s="4">
        <v>1</v>
      </c>
      <c r="H4922" s="8">
        <v>1.82</v>
      </c>
      <c r="I4922" s="4">
        <v>0</v>
      </c>
    </row>
    <row r="4923" spans="1:9" x14ac:dyDescent="0.2">
      <c r="A4923" s="2">
        <v>15</v>
      </c>
      <c r="B4923" s="1" t="s">
        <v>515</v>
      </c>
      <c r="C4923" s="4">
        <v>2</v>
      </c>
      <c r="D4923" s="8">
        <v>1.33</v>
      </c>
      <c r="E4923" s="4">
        <v>2</v>
      </c>
      <c r="F4923" s="8">
        <v>2.25</v>
      </c>
      <c r="G4923" s="4">
        <v>0</v>
      </c>
      <c r="H4923" s="8">
        <v>0</v>
      </c>
      <c r="I4923" s="4">
        <v>0</v>
      </c>
    </row>
    <row r="4924" spans="1:9" x14ac:dyDescent="0.2">
      <c r="A4924" s="2">
        <v>15</v>
      </c>
      <c r="B4924" s="1" t="s">
        <v>482</v>
      </c>
      <c r="C4924" s="4">
        <v>2</v>
      </c>
      <c r="D4924" s="8">
        <v>1.33</v>
      </c>
      <c r="E4924" s="4">
        <v>2</v>
      </c>
      <c r="F4924" s="8">
        <v>2.25</v>
      </c>
      <c r="G4924" s="4">
        <v>0</v>
      </c>
      <c r="H4924" s="8">
        <v>0</v>
      </c>
      <c r="I4924" s="4">
        <v>0</v>
      </c>
    </row>
    <row r="4925" spans="1:9" x14ac:dyDescent="0.2">
      <c r="A4925" s="2">
        <v>15</v>
      </c>
      <c r="B4925" s="1" t="s">
        <v>422</v>
      </c>
      <c r="C4925" s="4">
        <v>2</v>
      </c>
      <c r="D4925" s="8">
        <v>1.33</v>
      </c>
      <c r="E4925" s="4">
        <v>1</v>
      </c>
      <c r="F4925" s="8">
        <v>1.1200000000000001</v>
      </c>
      <c r="G4925" s="4">
        <v>1</v>
      </c>
      <c r="H4925" s="8">
        <v>1.82</v>
      </c>
      <c r="I4925" s="4">
        <v>0</v>
      </c>
    </row>
    <row r="4926" spans="1:9" x14ac:dyDescent="0.2">
      <c r="A4926" s="2">
        <v>15</v>
      </c>
      <c r="B4926" s="1" t="s">
        <v>352</v>
      </c>
      <c r="C4926" s="4">
        <v>2</v>
      </c>
      <c r="D4926" s="8">
        <v>1.33</v>
      </c>
      <c r="E4926" s="4">
        <v>1</v>
      </c>
      <c r="F4926" s="8">
        <v>1.1200000000000001</v>
      </c>
      <c r="G4926" s="4">
        <v>1</v>
      </c>
      <c r="H4926" s="8">
        <v>1.82</v>
      </c>
      <c r="I4926" s="4">
        <v>0</v>
      </c>
    </row>
    <row r="4927" spans="1:9" x14ac:dyDescent="0.2">
      <c r="A4927" s="2">
        <v>15</v>
      </c>
      <c r="B4927" s="1" t="s">
        <v>459</v>
      </c>
      <c r="C4927" s="4">
        <v>2</v>
      </c>
      <c r="D4927" s="8">
        <v>1.33</v>
      </c>
      <c r="E4927" s="4">
        <v>1</v>
      </c>
      <c r="F4927" s="8">
        <v>1.1200000000000001</v>
      </c>
      <c r="G4927" s="4">
        <v>0</v>
      </c>
      <c r="H4927" s="8">
        <v>0</v>
      </c>
      <c r="I4927" s="4">
        <v>0</v>
      </c>
    </row>
    <row r="4928" spans="1:9" x14ac:dyDescent="0.2">
      <c r="A4928" s="2">
        <v>15</v>
      </c>
      <c r="B4928" s="1" t="s">
        <v>341</v>
      </c>
      <c r="C4928" s="4">
        <v>2</v>
      </c>
      <c r="D4928" s="8">
        <v>1.33</v>
      </c>
      <c r="E4928" s="4">
        <v>0</v>
      </c>
      <c r="F4928" s="8">
        <v>0</v>
      </c>
      <c r="G4928" s="4">
        <v>0</v>
      </c>
      <c r="H4928" s="8">
        <v>0</v>
      </c>
      <c r="I4928" s="4">
        <v>0</v>
      </c>
    </row>
    <row r="4929" spans="1:9" x14ac:dyDescent="0.2">
      <c r="A4929" s="2">
        <v>15</v>
      </c>
      <c r="B4929" s="1" t="s">
        <v>370</v>
      </c>
      <c r="C4929" s="4">
        <v>2</v>
      </c>
      <c r="D4929" s="8">
        <v>1.33</v>
      </c>
      <c r="E4929" s="4">
        <v>0</v>
      </c>
      <c r="F4929" s="8">
        <v>0</v>
      </c>
      <c r="G4929" s="4">
        <v>1</v>
      </c>
      <c r="H4929" s="8">
        <v>1.82</v>
      </c>
      <c r="I4929" s="4">
        <v>0</v>
      </c>
    </row>
    <row r="4930" spans="1:9" x14ac:dyDescent="0.2">
      <c r="A4930" s="2">
        <v>15</v>
      </c>
      <c r="B4930" s="1" t="s">
        <v>371</v>
      </c>
      <c r="C4930" s="4">
        <v>2</v>
      </c>
      <c r="D4930" s="8">
        <v>1.33</v>
      </c>
      <c r="E4930" s="4">
        <v>1</v>
      </c>
      <c r="F4930" s="8">
        <v>1.1200000000000001</v>
      </c>
      <c r="G4930" s="4">
        <v>1</v>
      </c>
      <c r="H4930" s="8">
        <v>1.82</v>
      </c>
      <c r="I4930" s="4">
        <v>0</v>
      </c>
    </row>
    <row r="4931" spans="1:9" x14ac:dyDescent="0.2">
      <c r="A4931" s="1"/>
      <c r="C4931" s="4"/>
      <c r="D4931" s="8"/>
      <c r="E4931" s="4"/>
      <c r="F4931" s="8"/>
      <c r="G4931" s="4"/>
      <c r="H4931" s="8"/>
      <c r="I4931" s="4"/>
    </row>
    <row r="4932" spans="1:9" x14ac:dyDescent="0.2">
      <c r="A4932" s="1" t="s">
        <v>164</v>
      </c>
      <c r="C4932" s="4"/>
      <c r="D4932" s="8"/>
      <c r="E4932" s="4"/>
      <c r="F4932" s="8"/>
      <c r="G4932" s="4"/>
      <c r="H4932" s="8"/>
      <c r="I4932" s="4"/>
    </row>
    <row r="4933" spans="1:9" x14ac:dyDescent="0.2">
      <c r="A4933" s="2">
        <v>1</v>
      </c>
      <c r="B4933" s="1" t="s">
        <v>304</v>
      </c>
      <c r="C4933" s="4">
        <v>9</v>
      </c>
      <c r="D4933" s="8">
        <v>6.52</v>
      </c>
      <c r="E4933" s="4">
        <v>9</v>
      </c>
      <c r="F4933" s="8">
        <v>15</v>
      </c>
      <c r="G4933" s="4">
        <v>0</v>
      </c>
      <c r="H4933" s="8">
        <v>0</v>
      </c>
      <c r="I4933" s="4">
        <v>0</v>
      </c>
    </row>
    <row r="4934" spans="1:9" x14ac:dyDescent="0.2">
      <c r="A4934" s="2">
        <v>2</v>
      </c>
      <c r="B4934" s="1" t="s">
        <v>334</v>
      </c>
      <c r="C4934" s="4">
        <v>7</v>
      </c>
      <c r="D4934" s="8">
        <v>5.07</v>
      </c>
      <c r="E4934" s="4">
        <v>6</v>
      </c>
      <c r="F4934" s="8">
        <v>10</v>
      </c>
      <c r="G4934" s="4">
        <v>1</v>
      </c>
      <c r="H4934" s="8">
        <v>1.82</v>
      </c>
      <c r="I4934" s="4">
        <v>0</v>
      </c>
    </row>
    <row r="4935" spans="1:9" x14ac:dyDescent="0.2">
      <c r="A4935" s="2">
        <v>3</v>
      </c>
      <c r="B4935" s="1" t="s">
        <v>299</v>
      </c>
      <c r="C4935" s="4">
        <v>6</v>
      </c>
      <c r="D4935" s="8">
        <v>4.3499999999999996</v>
      </c>
      <c r="E4935" s="4">
        <v>3</v>
      </c>
      <c r="F4935" s="8">
        <v>5</v>
      </c>
      <c r="G4935" s="4">
        <v>3</v>
      </c>
      <c r="H4935" s="8">
        <v>5.45</v>
      </c>
      <c r="I4935" s="4">
        <v>0</v>
      </c>
    </row>
    <row r="4936" spans="1:9" x14ac:dyDescent="0.2">
      <c r="A4936" s="2">
        <v>3</v>
      </c>
      <c r="B4936" s="1" t="s">
        <v>341</v>
      </c>
      <c r="C4936" s="4">
        <v>6</v>
      </c>
      <c r="D4936" s="8">
        <v>4.3499999999999996</v>
      </c>
      <c r="E4936" s="4">
        <v>0</v>
      </c>
      <c r="F4936" s="8">
        <v>0</v>
      </c>
      <c r="G4936" s="4">
        <v>0</v>
      </c>
      <c r="H4936" s="8">
        <v>0</v>
      </c>
      <c r="I4936" s="4">
        <v>0</v>
      </c>
    </row>
    <row r="4937" spans="1:9" x14ac:dyDescent="0.2">
      <c r="A4937" s="2">
        <v>5</v>
      </c>
      <c r="B4937" s="1" t="s">
        <v>329</v>
      </c>
      <c r="C4937" s="4">
        <v>5</v>
      </c>
      <c r="D4937" s="8">
        <v>3.62</v>
      </c>
      <c r="E4937" s="4">
        <v>3</v>
      </c>
      <c r="F4937" s="8">
        <v>5</v>
      </c>
      <c r="G4937" s="4">
        <v>2</v>
      </c>
      <c r="H4937" s="8">
        <v>3.64</v>
      </c>
      <c r="I4937" s="4">
        <v>0</v>
      </c>
    </row>
    <row r="4938" spans="1:9" x14ac:dyDescent="0.2">
      <c r="A4938" s="2">
        <v>5</v>
      </c>
      <c r="B4938" s="1" t="s">
        <v>330</v>
      </c>
      <c r="C4938" s="4">
        <v>5</v>
      </c>
      <c r="D4938" s="8">
        <v>3.62</v>
      </c>
      <c r="E4938" s="4">
        <v>0</v>
      </c>
      <c r="F4938" s="8">
        <v>0</v>
      </c>
      <c r="G4938" s="4">
        <v>5</v>
      </c>
      <c r="H4938" s="8">
        <v>9.09</v>
      </c>
      <c r="I4938" s="4">
        <v>0</v>
      </c>
    </row>
    <row r="4939" spans="1:9" x14ac:dyDescent="0.2">
      <c r="A4939" s="2">
        <v>5</v>
      </c>
      <c r="B4939" s="1" t="s">
        <v>305</v>
      </c>
      <c r="C4939" s="4">
        <v>5</v>
      </c>
      <c r="D4939" s="8">
        <v>3.62</v>
      </c>
      <c r="E4939" s="4">
        <v>5</v>
      </c>
      <c r="F4939" s="8">
        <v>8.33</v>
      </c>
      <c r="G4939" s="4">
        <v>0</v>
      </c>
      <c r="H4939" s="8">
        <v>0</v>
      </c>
      <c r="I4939" s="4">
        <v>0</v>
      </c>
    </row>
    <row r="4940" spans="1:9" x14ac:dyDescent="0.2">
      <c r="A4940" s="2">
        <v>5</v>
      </c>
      <c r="B4940" s="1" t="s">
        <v>370</v>
      </c>
      <c r="C4940" s="4">
        <v>5</v>
      </c>
      <c r="D4940" s="8">
        <v>3.62</v>
      </c>
      <c r="E4940" s="4">
        <v>0</v>
      </c>
      <c r="F4940" s="8">
        <v>0</v>
      </c>
      <c r="G4940" s="4">
        <v>1</v>
      </c>
      <c r="H4940" s="8">
        <v>1.82</v>
      </c>
      <c r="I4940" s="4">
        <v>0</v>
      </c>
    </row>
    <row r="4941" spans="1:9" x14ac:dyDescent="0.2">
      <c r="A4941" s="2">
        <v>9</v>
      </c>
      <c r="B4941" s="1" t="s">
        <v>413</v>
      </c>
      <c r="C4941" s="4">
        <v>4</v>
      </c>
      <c r="D4941" s="8">
        <v>2.9</v>
      </c>
      <c r="E4941" s="4">
        <v>0</v>
      </c>
      <c r="F4941" s="8">
        <v>0</v>
      </c>
      <c r="G4941" s="4">
        <v>4</v>
      </c>
      <c r="H4941" s="8">
        <v>7.27</v>
      </c>
      <c r="I4941" s="4">
        <v>0</v>
      </c>
    </row>
    <row r="4942" spans="1:9" x14ac:dyDescent="0.2">
      <c r="A4942" s="2">
        <v>9</v>
      </c>
      <c r="B4942" s="1" t="s">
        <v>297</v>
      </c>
      <c r="C4942" s="4">
        <v>4</v>
      </c>
      <c r="D4942" s="8">
        <v>2.9</v>
      </c>
      <c r="E4942" s="4">
        <v>3</v>
      </c>
      <c r="F4942" s="8">
        <v>5</v>
      </c>
      <c r="G4942" s="4">
        <v>1</v>
      </c>
      <c r="H4942" s="8">
        <v>1.82</v>
      </c>
      <c r="I4942" s="4">
        <v>0</v>
      </c>
    </row>
    <row r="4943" spans="1:9" x14ac:dyDescent="0.2">
      <c r="A4943" s="2">
        <v>9</v>
      </c>
      <c r="B4943" s="1" t="s">
        <v>368</v>
      </c>
      <c r="C4943" s="4">
        <v>4</v>
      </c>
      <c r="D4943" s="8">
        <v>2.9</v>
      </c>
      <c r="E4943" s="4">
        <v>2</v>
      </c>
      <c r="F4943" s="8">
        <v>3.33</v>
      </c>
      <c r="G4943" s="4">
        <v>0</v>
      </c>
      <c r="H4943" s="8">
        <v>0</v>
      </c>
      <c r="I4943" s="4">
        <v>0</v>
      </c>
    </row>
    <row r="4944" spans="1:9" x14ac:dyDescent="0.2">
      <c r="A4944" s="2">
        <v>9</v>
      </c>
      <c r="B4944" s="1" t="s">
        <v>318</v>
      </c>
      <c r="C4944" s="4">
        <v>4</v>
      </c>
      <c r="D4944" s="8">
        <v>2.9</v>
      </c>
      <c r="E4944" s="4">
        <v>0</v>
      </c>
      <c r="F4944" s="8">
        <v>0</v>
      </c>
      <c r="G4944" s="4">
        <v>1</v>
      </c>
      <c r="H4944" s="8">
        <v>1.82</v>
      </c>
      <c r="I4944" s="4">
        <v>0</v>
      </c>
    </row>
    <row r="4945" spans="1:9" x14ac:dyDescent="0.2">
      <c r="A4945" s="2">
        <v>13</v>
      </c>
      <c r="B4945" s="1" t="s">
        <v>328</v>
      </c>
      <c r="C4945" s="4">
        <v>3</v>
      </c>
      <c r="D4945" s="8">
        <v>2.17</v>
      </c>
      <c r="E4945" s="4">
        <v>0</v>
      </c>
      <c r="F4945" s="8">
        <v>0</v>
      </c>
      <c r="G4945" s="4">
        <v>3</v>
      </c>
      <c r="H4945" s="8">
        <v>5.45</v>
      </c>
      <c r="I4945" s="4">
        <v>0</v>
      </c>
    </row>
    <row r="4946" spans="1:9" x14ac:dyDescent="0.2">
      <c r="A4946" s="2">
        <v>13</v>
      </c>
      <c r="B4946" s="1" t="s">
        <v>290</v>
      </c>
      <c r="C4946" s="4">
        <v>3</v>
      </c>
      <c r="D4946" s="8">
        <v>2.17</v>
      </c>
      <c r="E4946" s="4">
        <v>1</v>
      </c>
      <c r="F4946" s="8">
        <v>1.67</v>
      </c>
      <c r="G4946" s="4">
        <v>2</v>
      </c>
      <c r="H4946" s="8">
        <v>3.64</v>
      </c>
      <c r="I4946" s="4">
        <v>0</v>
      </c>
    </row>
    <row r="4947" spans="1:9" x14ac:dyDescent="0.2">
      <c r="A4947" s="2">
        <v>13</v>
      </c>
      <c r="B4947" s="1" t="s">
        <v>303</v>
      </c>
      <c r="C4947" s="4">
        <v>3</v>
      </c>
      <c r="D4947" s="8">
        <v>2.17</v>
      </c>
      <c r="E4947" s="4">
        <v>2</v>
      </c>
      <c r="F4947" s="8">
        <v>3.33</v>
      </c>
      <c r="G4947" s="4">
        <v>1</v>
      </c>
      <c r="H4947" s="8">
        <v>1.82</v>
      </c>
      <c r="I4947" s="4">
        <v>0</v>
      </c>
    </row>
    <row r="4948" spans="1:9" x14ac:dyDescent="0.2">
      <c r="A4948" s="2">
        <v>13</v>
      </c>
      <c r="B4948" s="1" t="s">
        <v>411</v>
      </c>
      <c r="C4948" s="4">
        <v>3</v>
      </c>
      <c r="D4948" s="8">
        <v>2.17</v>
      </c>
      <c r="E4948" s="4">
        <v>1</v>
      </c>
      <c r="F4948" s="8">
        <v>1.67</v>
      </c>
      <c r="G4948" s="4">
        <v>2</v>
      </c>
      <c r="H4948" s="8">
        <v>3.64</v>
      </c>
      <c r="I4948" s="4">
        <v>0</v>
      </c>
    </row>
    <row r="4949" spans="1:9" x14ac:dyDescent="0.2">
      <c r="A4949" s="2">
        <v>13</v>
      </c>
      <c r="B4949" s="1" t="s">
        <v>340</v>
      </c>
      <c r="C4949" s="4">
        <v>3</v>
      </c>
      <c r="D4949" s="8">
        <v>2.17</v>
      </c>
      <c r="E4949" s="4">
        <v>0</v>
      </c>
      <c r="F4949" s="8">
        <v>0</v>
      </c>
      <c r="G4949" s="4">
        <v>0</v>
      </c>
      <c r="H4949" s="8">
        <v>0</v>
      </c>
      <c r="I4949" s="4">
        <v>0</v>
      </c>
    </row>
    <row r="4950" spans="1:9" x14ac:dyDescent="0.2">
      <c r="A4950" s="2">
        <v>13</v>
      </c>
      <c r="B4950" s="1" t="s">
        <v>327</v>
      </c>
      <c r="C4950" s="4">
        <v>3</v>
      </c>
      <c r="D4950" s="8">
        <v>2.17</v>
      </c>
      <c r="E4950" s="4">
        <v>2</v>
      </c>
      <c r="F4950" s="8">
        <v>3.33</v>
      </c>
      <c r="G4950" s="4">
        <v>1</v>
      </c>
      <c r="H4950" s="8">
        <v>1.82</v>
      </c>
      <c r="I4950" s="4">
        <v>0</v>
      </c>
    </row>
    <row r="4951" spans="1:9" x14ac:dyDescent="0.2">
      <c r="A4951" s="2">
        <v>19</v>
      </c>
      <c r="B4951" s="1" t="s">
        <v>336</v>
      </c>
      <c r="C4951" s="4">
        <v>2</v>
      </c>
      <c r="D4951" s="8">
        <v>1.45</v>
      </c>
      <c r="E4951" s="4">
        <v>1</v>
      </c>
      <c r="F4951" s="8">
        <v>1.67</v>
      </c>
      <c r="G4951" s="4">
        <v>0</v>
      </c>
      <c r="H4951" s="8">
        <v>0</v>
      </c>
      <c r="I4951" s="4">
        <v>1</v>
      </c>
    </row>
    <row r="4952" spans="1:9" x14ac:dyDescent="0.2">
      <c r="A4952" s="2">
        <v>19</v>
      </c>
      <c r="B4952" s="1" t="s">
        <v>292</v>
      </c>
      <c r="C4952" s="4">
        <v>2</v>
      </c>
      <c r="D4952" s="8">
        <v>1.45</v>
      </c>
      <c r="E4952" s="4">
        <v>1</v>
      </c>
      <c r="F4952" s="8">
        <v>1.67</v>
      </c>
      <c r="G4952" s="4">
        <v>1</v>
      </c>
      <c r="H4952" s="8">
        <v>1.82</v>
      </c>
      <c r="I4952" s="4">
        <v>0</v>
      </c>
    </row>
    <row r="4953" spans="1:9" x14ac:dyDescent="0.2">
      <c r="A4953" s="2">
        <v>19</v>
      </c>
      <c r="B4953" s="1" t="s">
        <v>293</v>
      </c>
      <c r="C4953" s="4">
        <v>2</v>
      </c>
      <c r="D4953" s="8">
        <v>1.45</v>
      </c>
      <c r="E4953" s="4">
        <v>1</v>
      </c>
      <c r="F4953" s="8">
        <v>1.67</v>
      </c>
      <c r="G4953" s="4">
        <v>1</v>
      </c>
      <c r="H4953" s="8">
        <v>1.82</v>
      </c>
      <c r="I4953" s="4">
        <v>0</v>
      </c>
    </row>
    <row r="4954" spans="1:9" x14ac:dyDescent="0.2">
      <c r="A4954" s="2">
        <v>19</v>
      </c>
      <c r="B4954" s="1" t="s">
        <v>294</v>
      </c>
      <c r="C4954" s="4">
        <v>2</v>
      </c>
      <c r="D4954" s="8">
        <v>1.45</v>
      </c>
      <c r="E4954" s="4">
        <v>0</v>
      </c>
      <c r="F4954" s="8">
        <v>0</v>
      </c>
      <c r="G4954" s="4">
        <v>2</v>
      </c>
      <c r="H4954" s="8">
        <v>3.64</v>
      </c>
      <c r="I4954" s="4">
        <v>0</v>
      </c>
    </row>
    <row r="4955" spans="1:9" x14ac:dyDescent="0.2">
      <c r="A4955" s="2">
        <v>19</v>
      </c>
      <c r="B4955" s="1" t="s">
        <v>339</v>
      </c>
      <c r="C4955" s="4">
        <v>2</v>
      </c>
      <c r="D4955" s="8">
        <v>1.45</v>
      </c>
      <c r="E4955" s="4">
        <v>1</v>
      </c>
      <c r="F4955" s="8">
        <v>1.67</v>
      </c>
      <c r="G4955" s="4">
        <v>1</v>
      </c>
      <c r="H4955" s="8">
        <v>1.82</v>
      </c>
      <c r="I4955" s="4">
        <v>0</v>
      </c>
    </row>
    <row r="4956" spans="1:9" x14ac:dyDescent="0.2">
      <c r="A4956" s="2">
        <v>19</v>
      </c>
      <c r="B4956" s="1" t="s">
        <v>405</v>
      </c>
      <c r="C4956" s="4">
        <v>2</v>
      </c>
      <c r="D4956" s="8">
        <v>1.45</v>
      </c>
      <c r="E4956" s="4">
        <v>0</v>
      </c>
      <c r="F4956" s="8">
        <v>0</v>
      </c>
      <c r="G4956" s="4">
        <v>0</v>
      </c>
      <c r="H4956" s="8">
        <v>0</v>
      </c>
      <c r="I4956" s="4">
        <v>0</v>
      </c>
    </row>
    <row r="4957" spans="1:9" x14ac:dyDescent="0.2">
      <c r="A4957" s="2">
        <v>19</v>
      </c>
      <c r="B4957" s="1" t="s">
        <v>300</v>
      </c>
      <c r="C4957" s="4">
        <v>2</v>
      </c>
      <c r="D4957" s="8">
        <v>1.45</v>
      </c>
      <c r="E4957" s="4">
        <v>2</v>
      </c>
      <c r="F4957" s="8">
        <v>3.33</v>
      </c>
      <c r="G4957" s="4">
        <v>0</v>
      </c>
      <c r="H4957" s="8">
        <v>0</v>
      </c>
      <c r="I4957" s="4">
        <v>0</v>
      </c>
    </row>
    <row r="4958" spans="1:9" x14ac:dyDescent="0.2">
      <c r="A4958" s="2">
        <v>19</v>
      </c>
      <c r="B4958" s="1" t="s">
        <v>301</v>
      </c>
      <c r="C4958" s="4">
        <v>2</v>
      </c>
      <c r="D4958" s="8">
        <v>1.45</v>
      </c>
      <c r="E4958" s="4">
        <v>2</v>
      </c>
      <c r="F4958" s="8">
        <v>3.33</v>
      </c>
      <c r="G4958" s="4">
        <v>0</v>
      </c>
      <c r="H4958" s="8">
        <v>0</v>
      </c>
      <c r="I4958" s="4">
        <v>0</v>
      </c>
    </row>
    <row r="4959" spans="1:9" x14ac:dyDescent="0.2">
      <c r="A4959" s="2">
        <v>19</v>
      </c>
      <c r="B4959" s="1" t="s">
        <v>325</v>
      </c>
      <c r="C4959" s="4">
        <v>2</v>
      </c>
      <c r="D4959" s="8">
        <v>1.45</v>
      </c>
      <c r="E4959" s="4">
        <v>0</v>
      </c>
      <c r="F4959" s="8">
        <v>0</v>
      </c>
      <c r="G4959" s="4">
        <v>2</v>
      </c>
      <c r="H4959" s="8">
        <v>3.64</v>
      </c>
      <c r="I4959" s="4">
        <v>0</v>
      </c>
    </row>
    <row r="4960" spans="1:9" x14ac:dyDescent="0.2">
      <c r="A4960" s="2">
        <v>19</v>
      </c>
      <c r="B4960" s="1" t="s">
        <v>307</v>
      </c>
      <c r="C4960" s="4">
        <v>2</v>
      </c>
      <c r="D4960" s="8">
        <v>1.45</v>
      </c>
      <c r="E4960" s="4">
        <v>2</v>
      </c>
      <c r="F4960" s="8">
        <v>3.33</v>
      </c>
      <c r="G4960" s="4">
        <v>0</v>
      </c>
      <c r="H4960" s="8">
        <v>0</v>
      </c>
      <c r="I4960" s="4">
        <v>0</v>
      </c>
    </row>
    <row r="4961" spans="1:9" x14ac:dyDescent="0.2">
      <c r="A4961" s="1"/>
      <c r="C4961" s="4"/>
      <c r="D4961" s="8"/>
      <c r="E4961" s="4"/>
      <c r="F4961" s="8"/>
      <c r="G4961" s="4"/>
      <c r="H4961" s="8"/>
      <c r="I4961" s="4"/>
    </row>
    <row r="4962" spans="1:9" x14ac:dyDescent="0.2">
      <c r="A4962" s="1" t="s">
        <v>165</v>
      </c>
      <c r="C4962" s="4"/>
      <c r="D4962" s="8"/>
      <c r="E4962" s="4"/>
      <c r="F4962" s="8"/>
      <c r="G4962" s="4"/>
      <c r="H4962" s="8"/>
      <c r="I4962" s="4"/>
    </row>
    <row r="4963" spans="1:9" x14ac:dyDescent="0.2">
      <c r="A4963" s="2">
        <v>1</v>
      </c>
      <c r="B4963" s="1" t="s">
        <v>301</v>
      </c>
      <c r="C4963" s="4">
        <v>8</v>
      </c>
      <c r="D4963" s="8">
        <v>4.79</v>
      </c>
      <c r="E4963" s="4">
        <v>8</v>
      </c>
      <c r="F4963" s="8">
        <v>9.76</v>
      </c>
      <c r="G4963" s="4">
        <v>0</v>
      </c>
      <c r="H4963" s="8">
        <v>0</v>
      </c>
      <c r="I4963" s="4">
        <v>0</v>
      </c>
    </row>
    <row r="4964" spans="1:9" x14ac:dyDescent="0.2">
      <c r="A4964" s="2">
        <v>2</v>
      </c>
      <c r="B4964" s="1" t="s">
        <v>339</v>
      </c>
      <c r="C4964" s="4">
        <v>7</v>
      </c>
      <c r="D4964" s="8">
        <v>4.1900000000000004</v>
      </c>
      <c r="E4964" s="4">
        <v>7</v>
      </c>
      <c r="F4964" s="8">
        <v>8.5399999999999991</v>
      </c>
      <c r="G4964" s="4">
        <v>0</v>
      </c>
      <c r="H4964" s="8">
        <v>0</v>
      </c>
      <c r="I4964" s="4">
        <v>0</v>
      </c>
    </row>
    <row r="4965" spans="1:9" x14ac:dyDescent="0.2">
      <c r="A4965" s="2">
        <v>3</v>
      </c>
      <c r="B4965" s="1" t="s">
        <v>334</v>
      </c>
      <c r="C4965" s="4">
        <v>6</v>
      </c>
      <c r="D4965" s="8">
        <v>3.59</v>
      </c>
      <c r="E4965" s="4">
        <v>4</v>
      </c>
      <c r="F4965" s="8">
        <v>4.88</v>
      </c>
      <c r="G4965" s="4">
        <v>2</v>
      </c>
      <c r="H4965" s="8">
        <v>2.67</v>
      </c>
      <c r="I4965" s="4">
        <v>0</v>
      </c>
    </row>
    <row r="4966" spans="1:9" x14ac:dyDescent="0.2">
      <c r="A4966" s="2">
        <v>3</v>
      </c>
      <c r="B4966" s="1" t="s">
        <v>300</v>
      </c>
      <c r="C4966" s="4">
        <v>6</v>
      </c>
      <c r="D4966" s="8">
        <v>3.59</v>
      </c>
      <c r="E4966" s="4">
        <v>6</v>
      </c>
      <c r="F4966" s="8">
        <v>7.32</v>
      </c>
      <c r="G4966" s="4">
        <v>0</v>
      </c>
      <c r="H4966" s="8">
        <v>0</v>
      </c>
      <c r="I4966" s="4">
        <v>0</v>
      </c>
    </row>
    <row r="4967" spans="1:9" x14ac:dyDescent="0.2">
      <c r="A4967" s="2">
        <v>3</v>
      </c>
      <c r="B4967" s="1" t="s">
        <v>303</v>
      </c>
      <c r="C4967" s="4">
        <v>6</v>
      </c>
      <c r="D4967" s="8">
        <v>3.59</v>
      </c>
      <c r="E4967" s="4">
        <v>6</v>
      </c>
      <c r="F4967" s="8">
        <v>7.32</v>
      </c>
      <c r="G4967" s="4">
        <v>0</v>
      </c>
      <c r="H4967" s="8">
        <v>0</v>
      </c>
      <c r="I4967" s="4">
        <v>0</v>
      </c>
    </row>
    <row r="4968" spans="1:9" x14ac:dyDescent="0.2">
      <c r="A4968" s="2">
        <v>6</v>
      </c>
      <c r="B4968" s="1" t="s">
        <v>387</v>
      </c>
      <c r="C4968" s="4">
        <v>5</v>
      </c>
      <c r="D4968" s="8">
        <v>2.99</v>
      </c>
      <c r="E4968" s="4">
        <v>0</v>
      </c>
      <c r="F4968" s="8">
        <v>0</v>
      </c>
      <c r="G4968" s="4">
        <v>5</v>
      </c>
      <c r="H4968" s="8">
        <v>6.67</v>
      </c>
      <c r="I4968" s="4">
        <v>0</v>
      </c>
    </row>
    <row r="4969" spans="1:9" x14ac:dyDescent="0.2">
      <c r="A4969" s="2">
        <v>6</v>
      </c>
      <c r="B4969" s="1" t="s">
        <v>329</v>
      </c>
      <c r="C4969" s="4">
        <v>5</v>
      </c>
      <c r="D4969" s="8">
        <v>2.99</v>
      </c>
      <c r="E4969" s="4">
        <v>5</v>
      </c>
      <c r="F4969" s="8">
        <v>6.1</v>
      </c>
      <c r="G4969" s="4">
        <v>0</v>
      </c>
      <c r="H4969" s="8">
        <v>0</v>
      </c>
      <c r="I4969" s="4">
        <v>0</v>
      </c>
    </row>
    <row r="4970" spans="1:9" x14ac:dyDescent="0.2">
      <c r="A4970" s="2">
        <v>6</v>
      </c>
      <c r="B4970" s="1" t="s">
        <v>297</v>
      </c>
      <c r="C4970" s="4">
        <v>5</v>
      </c>
      <c r="D4970" s="8">
        <v>2.99</v>
      </c>
      <c r="E4970" s="4">
        <v>1</v>
      </c>
      <c r="F4970" s="8">
        <v>1.22</v>
      </c>
      <c r="G4970" s="4">
        <v>3</v>
      </c>
      <c r="H4970" s="8">
        <v>4</v>
      </c>
      <c r="I4970" s="4">
        <v>0</v>
      </c>
    </row>
    <row r="4971" spans="1:9" x14ac:dyDescent="0.2">
      <c r="A4971" s="2">
        <v>9</v>
      </c>
      <c r="B4971" s="1" t="s">
        <v>289</v>
      </c>
      <c r="C4971" s="4">
        <v>4</v>
      </c>
      <c r="D4971" s="8">
        <v>2.4</v>
      </c>
      <c r="E4971" s="4">
        <v>0</v>
      </c>
      <c r="F4971" s="8">
        <v>0</v>
      </c>
      <c r="G4971" s="4">
        <v>4</v>
      </c>
      <c r="H4971" s="8">
        <v>5.33</v>
      </c>
      <c r="I4971" s="4">
        <v>0</v>
      </c>
    </row>
    <row r="4972" spans="1:9" x14ac:dyDescent="0.2">
      <c r="A4972" s="2">
        <v>9</v>
      </c>
      <c r="B4972" s="1" t="s">
        <v>292</v>
      </c>
      <c r="C4972" s="4">
        <v>4</v>
      </c>
      <c r="D4972" s="8">
        <v>2.4</v>
      </c>
      <c r="E4972" s="4">
        <v>1</v>
      </c>
      <c r="F4972" s="8">
        <v>1.22</v>
      </c>
      <c r="G4972" s="4">
        <v>3</v>
      </c>
      <c r="H4972" s="8">
        <v>4</v>
      </c>
      <c r="I4972" s="4">
        <v>0</v>
      </c>
    </row>
    <row r="4973" spans="1:9" x14ac:dyDescent="0.2">
      <c r="A4973" s="2">
        <v>9</v>
      </c>
      <c r="B4973" s="1" t="s">
        <v>330</v>
      </c>
      <c r="C4973" s="4">
        <v>4</v>
      </c>
      <c r="D4973" s="8">
        <v>2.4</v>
      </c>
      <c r="E4973" s="4">
        <v>1</v>
      </c>
      <c r="F4973" s="8">
        <v>1.22</v>
      </c>
      <c r="G4973" s="4">
        <v>3</v>
      </c>
      <c r="H4973" s="8">
        <v>4</v>
      </c>
      <c r="I4973" s="4">
        <v>0</v>
      </c>
    </row>
    <row r="4974" spans="1:9" x14ac:dyDescent="0.2">
      <c r="A4974" s="2">
        <v>9</v>
      </c>
      <c r="B4974" s="1" t="s">
        <v>325</v>
      </c>
      <c r="C4974" s="4">
        <v>4</v>
      </c>
      <c r="D4974" s="8">
        <v>2.4</v>
      </c>
      <c r="E4974" s="4">
        <v>0</v>
      </c>
      <c r="F4974" s="8">
        <v>0</v>
      </c>
      <c r="G4974" s="4">
        <v>4</v>
      </c>
      <c r="H4974" s="8">
        <v>5.33</v>
      </c>
      <c r="I4974" s="4">
        <v>0</v>
      </c>
    </row>
    <row r="4975" spans="1:9" x14ac:dyDescent="0.2">
      <c r="A4975" s="2">
        <v>9</v>
      </c>
      <c r="B4975" s="1" t="s">
        <v>304</v>
      </c>
      <c r="C4975" s="4">
        <v>4</v>
      </c>
      <c r="D4975" s="8">
        <v>2.4</v>
      </c>
      <c r="E4975" s="4">
        <v>4</v>
      </c>
      <c r="F4975" s="8">
        <v>4.88</v>
      </c>
      <c r="G4975" s="4">
        <v>0</v>
      </c>
      <c r="H4975" s="8">
        <v>0</v>
      </c>
      <c r="I4975" s="4">
        <v>0</v>
      </c>
    </row>
    <row r="4976" spans="1:9" x14ac:dyDescent="0.2">
      <c r="A4976" s="2">
        <v>9</v>
      </c>
      <c r="B4976" s="1" t="s">
        <v>347</v>
      </c>
      <c r="C4976" s="4">
        <v>4</v>
      </c>
      <c r="D4976" s="8">
        <v>2.4</v>
      </c>
      <c r="E4976" s="4">
        <v>0</v>
      </c>
      <c r="F4976" s="8">
        <v>0</v>
      </c>
      <c r="G4976" s="4">
        <v>4</v>
      </c>
      <c r="H4976" s="8">
        <v>5.33</v>
      </c>
      <c r="I4976" s="4">
        <v>0</v>
      </c>
    </row>
    <row r="4977" spans="1:9" x14ac:dyDescent="0.2">
      <c r="A4977" s="2">
        <v>9</v>
      </c>
      <c r="B4977" s="1" t="s">
        <v>307</v>
      </c>
      <c r="C4977" s="4">
        <v>4</v>
      </c>
      <c r="D4977" s="8">
        <v>2.4</v>
      </c>
      <c r="E4977" s="4">
        <v>4</v>
      </c>
      <c r="F4977" s="8">
        <v>4.88</v>
      </c>
      <c r="G4977" s="4">
        <v>0</v>
      </c>
      <c r="H4977" s="8">
        <v>0</v>
      </c>
      <c r="I4977" s="4">
        <v>0</v>
      </c>
    </row>
    <row r="4978" spans="1:9" x14ac:dyDescent="0.2">
      <c r="A4978" s="2">
        <v>16</v>
      </c>
      <c r="B4978" s="1" t="s">
        <v>290</v>
      </c>
      <c r="C4978" s="4">
        <v>3</v>
      </c>
      <c r="D4978" s="8">
        <v>1.8</v>
      </c>
      <c r="E4978" s="4">
        <v>1</v>
      </c>
      <c r="F4978" s="8">
        <v>1.22</v>
      </c>
      <c r="G4978" s="4">
        <v>2</v>
      </c>
      <c r="H4978" s="8">
        <v>2.67</v>
      </c>
      <c r="I4978" s="4">
        <v>0</v>
      </c>
    </row>
    <row r="4979" spans="1:9" x14ac:dyDescent="0.2">
      <c r="A4979" s="2">
        <v>16</v>
      </c>
      <c r="B4979" s="1" t="s">
        <v>314</v>
      </c>
      <c r="C4979" s="4">
        <v>3</v>
      </c>
      <c r="D4979" s="8">
        <v>1.8</v>
      </c>
      <c r="E4979" s="4">
        <v>2</v>
      </c>
      <c r="F4979" s="8">
        <v>2.44</v>
      </c>
      <c r="G4979" s="4">
        <v>1</v>
      </c>
      <c r="H4979" s="8">
        <v>1.33</v>
      </c>
      <c r="I4979" s="4">
        <v>0</v>
      </c>
    </row>
    <row r="4980" spans="1:9" x14ac:dyDescent="0.2">
      <c r="A4980" s="2">
        <v>16</v>
      </c>
      <c r="B4980" s="1" t="s">
        <v>299</v>
      </c>
      <c r="C4980" s="4">
        <v>3</v>
      </c>
      <c r="D4980" s="8">
        <v>1.8</v>
      </c>
      <c r="E4980" s="4">
        <v>3</v>
      </c>
      <c r="F4980" s="8">
        <v>3.66</v>
      </c>
      <c r="G4980" s="4">
        <v>0</v>
      </c>
      <c r="H4980" s="8">
        <v>0</v>
      </c>
      <c r="I4980" s="4">
        <v>0</v>
      </c>
    </row>
    <row r="4981" spans="1:9" x14ac:dyDescent="0.2">
      <c r="A4981" s="2">
        <v>16</v>
      </c>
      <c r="B4981" s="1" t="s">
        <v>302</v>
      </c>
      <c r="C4981" s="4">
        <v>3</v>
      </c>
      <c r="D4981" s="8">
        <v>1.8</v>
      </c>
      <c r="E4981" s="4">
        <v>2</v>
      </c>
      <c r="F4981" s="8">
        <v>2.44</v>
      </c>
      <c r="G4981" s="4">
        <v>1</v>
      </c>
      <c r="H4981" s="8">
        <v>1.33</v>
      </c>
      <c r="I4981" s="4">
        <v>0</v>
      </c>
    </row>
    <row r="4982" spans="1:9" x14ac:dyDescent="0.2">
      <c r="A4982" s="2">
        <v>16</v>
      </c>
      <c r="B4982" s="1" t="s">
        <v>340</v>
      </c>
      <c r="C4982" s="4">
        <v>3</v>
      </c>
      <c r="D4982" s="8">
        <v>1.8</v>
      </c>
      <c r="E4982" s="4">
        <v>0</v>
      </c>
      <c r="F4982" s="8">
        <v>0</v>
      </c>
      <c r="G4982" s="4">
        <v>0</v>
      </c>
      <c r="H4982" s="8">
        <v>0</v>
      </c>
      <c r="I4982" s="4">
        <v>0</v>
      </c>
    </row>
    <row r="4983" spans="1:9" x14ac:dyDescent="0.2">
      <c r="A4983" s="1"/>
      <c r="C4983" s="4"/>
      <c r="D4983" s="8"/>
      <c r="E4983" s="4"/>
      <c r="F4983" s="8"/>
      <c r="G4983" s="4"/>
      <c r="H4983" s="8"/>
      <c r="I4983" s="4"/>
    </row>
    <row r="4984" spans="1:9" x14ac:dyDescent="0.2">
      <c r="A4984" s="1" t="s">
        <v>166</v>
      </c>
      <c r="C4984" s="4"/>
      <c r="D4984" s="8"/>
      <c r="E4984" s="4"/>
      <c r="F4984" s="8"/>
      <c r="G4984" s="4"/>
      <c r="H4984" s="8"/>
      <c r="I4984" s="4"/>
    </row>
    <row r="4985" spans="1:9" x14ac:dyDescent="0.2">
      <c r="A4985" s="2">
        <v>1</v>
      </c>
      <c r="B4985" s="1" t="s">
        <v>297</v>
      </c>
      <c r="C4985" s="4">
        <v>15</v>
      </c>
      <c r="D4985" s="8">
        <v>6</v>
      </c>
      <c r="E4985" s="4">
        <v>10</v>
      </c>
      <c r="F4985" s="8">
        <v>7.25</v>
      </c>
      <c r="G4985" s="4">
        <v>4</v>
      </c>
      <c r="H4985" s="8">
        <v>3.64</v>
      </c>
      <c r="I4985" s="4">
        <v>0</v>
      </c>
    </row>
    <row r="4986" spans="1:9" x14ac:dyDescent="0.2">
      <c r="A4986" s="2">
        <v>2</v>
      </c>
      <c r="B4986" s="1" t="s">
        <v>303</v>
      </c>
      <c r="C4986" s="4">
        <v>10</v>
      </c>
      <c r="D4986" s="8">
        <v>4</v>
      </c>
      <c r="E4986" s="4">
        <v>10</v>
      </c>
      <c r="F4986" s="8">
        <v>7.25</v>
      </c>
      <c r="G4986" s="4">
        <v>0</v>
      </c>
      <c r="H4986" s="8">
        <v>0</v>
      </c>
      <c r="I4986" s="4">
        <v>0</v>
      </c>
    </row>
    <row r="4987" spans="1:9" x14ac:dyDescent="0.2">
      <c r="A4987" s="2">
        <v>3</v>
      </c>
      <c r="B4987" s="1" t="s">
        <v>304</v>
      </c>
      <c r="C4987" s="4">
        <v>9</v>
      </c>
      <c r="D4987" s="8">
        <v>3.6</v>
      </c>
      <c r="E4987" s="4">
        <v>9</v>
      </c>
      <c r="F4987" s="8">
        <v>6.52</v>
      </c>
      <c r="G4987" s="4">
        <v>0</v>
      </c>
      <c r="H4987" s="8">
        <v>0</v>
      </c>
      <c r="I4987" s="4">
        <v>0</v>
      </c>
    </row>
    <row r="4988" spans="1:9" x14ac:dyDescent="0.2">
      <c r="A4988" s="2">
        <v>4</v>
      </c>
      <c r="B4988" s="1" t="s">
        <v>328</v>
      </c>
      <c r="C4988" s="4">
        <v>8</v>
      </c>
      <c r="D4988" s="8">
        <v>3.2</v>
      </c>
      <c r="E4988" s="4">
        <v>2</v>
      </c>
      <c r="F4988" s="8">
        <v>1.45</v>
      </c>
      <c r="G4988" s="4">
        <v>6</v>
      </c>
      <c r="H4988" s="8">
        <v>5.45</v>
      </c>
      <c r="I4988" s="4">
        <v>0</v>
      </c>
    </row>
    <row r="4989" spans="1:9" x14ac:dyDescent="0.2">
      <c r="A4989" s="2">
        <v>4</v>
      </c>
      <c r="B4989" s="1" t="s">
        <v>347</v>
      </c>
      <c r="C4989" s="4">
        <v>8</v>
      </c>
      <c r="D4989" s="8">
        <v>3.2</v>
      </c>
      <c r="E4989" s="4">
        <v>0</v>
      </c>
      <c r="F4989" s="8">
        <v>0</v>
      </c>
      <c r="G4989" s="4">
        <v>8</v>
      </c>
      <c r="H4989" s="8">
        <v>7.27</v>
      </c>
      <c r="I4989" s="4">
        <v>0</v>
      </c>
    </row>
    <row r="4990" spans="1:9" x14ac:dyDescent="0.2">
      <c r="A4990" s="2">
        <v>6</v>
      </c>
      <c r="B4990" s="1" t="s">
        <v>333</v>
      </c>
      <c r="C4990" s="4">
        <v>7</v>
      </c>
      <c r="D4990" s="8">
        <v>2.8</v>
      </c>
      <c r="E4990" s="4">
        <v>5</v>
      </c>
      <c r="F4990" s="8">
        <v>3.62</v>
      </c>
      <c r="G4990" s="4">
        <v>2</v>
      </c>
      <c r="H4990" s="8">
        <v>1.82</v>
      </c>
      <c r="I4990" s="4">
        <v>0</v>
      </c>
    </row>
    <row r="4991" spans="1:9" x14ac:dyDescent="0.2">
      <c r="A4991" s="2">
        <v>6</v>
      </c>
      <c r="B4991" s="1" t="s">
        <v>330</v>
      </c>
      <c r="C4991" s="4">
        <v>7</v>
      </c>
      <c r="D4991" s="8">
        <v>2.8</v>
      </c>
      <c r="E4991" s="4">
        <v>1</v>
      </c>
      <c r="F4991" s="8">
        <v>0.72</v>
      </c>
      <c r="G4991" s="4">
        <v>6</v>
      </c>
      <c r="H4991" s="8">
        <v>5.45</v>
      </c>
      <c r="I4991" s="4">
        <v>0</v>
      </c>
    </row>
    <row r="4992" spans="1:9" x14ac:dyDescent="0.2">
      <c r="A4992" s="2">
        <v>6</v>
      </c>
      <c r="B4992" s="1" t="s">
        <v>339</v>
      </c>
      <c r="C4992" s="4">
        <v>7</v>
      </c>
      <c r="D4992" s="8">
        <v>2.8</v>
      </c>
      <c r="E4992" s="4">
        <v>7</v>
      </c>
      <c r="F4992" s="8">
        <v>5.07</v>
      </c>
      <c r="G4992" s="4">
        <v>0</v>
      </c>
      <c r="H4992" s="8">
        <v>0</v>
      </c>
      <c r="I4992" s="4">
        <v>0</v>
      </c>
    </row>
    <row r="4993" spans="1:9" x14ac:dyDescent="0.2">
      <c r="A4993" s="2">
        <v>6</v>
      </c>
      <c r="B4993" s="1" t="s">
        <v>300</v>
      </c>
      <c r="C4993" s="4">
        <v>7</v>
      </c>
      <c r="D4993" s="8">
        <v>2.8</v>
      </c>
      <c r="E4993" s="4">
        <v>6</v>
      </c>
      <c r="F4993" s="8">
        <v>4.3499999999999996</v>
      </c>
      <c r="G4993" s="4">
        <v>1</v>
      </c>
      <c r="H4993" s="8">
        <v>0.91</v>
      </c>
      <c r="I4993" s="4">
        <v>0</v>
      </c>
    </row>
    <row r="4994" spans="1:9" x14ac:dyDescent="0.2">
      <c r="A4994" s="2">
        <v>6</v>
      </c>
      <c r="B4994" s="1" t="s">
        <v>302</v>
      </c>
      <c r="C4994" s="4">
        <v>7</v>
      </c>
      <c r="D4994" s="8">
        <v>2.8</v>
      </c>
      <c r="E4994" s="4">
        <v>7</v>
      </c>
      <c r="F4994" s="8">
        <v>5.07</v>
      </c>
      <c r="G4994" s="4">
        <v>0</v>
      </c>
      <c r="H4994" s="8">
        <v>0</v>
      </c>
      <c r="I4994" s="4">
        <v>0</v>
      </c>
    </row>
    <row r="4995" spans="1:9" x14ac:dyDescent="0.2">
      <c r="A4995" s="2">
        <v>11</v>
      </c>
      <c r="B4995" s="1" t="s">
        <v>290</v>
      </c>
      <c r="C4995" s="4">
        <v>6</v>
      </c>
      <c r="D4995" s="8">
        <v>2.4</v>
      </c>
      <c r="E4995" s="4">
        <v>3</v>
      </c>
      <c r="F4995" s="8">
        <v>2.17</v>
      </c>
      <c r="G4995" s="4">
        <v>3</v>
      </c>
      <c r="H4995" s="8">
        <v>2.73</v>
      </c>
      <c r="I4995" s="4">
        <v>0</v>
      </c>
    </row>
    <row r="4996" spans="1:9" x14ac:dyDescent="0.2">
      <c r="A4996" s="2">
        <v>11</v>
      </c>
      <c r="B4996" s="1" t="s">
        <v>301</v>
      </c>
      <c r="C4996" s="4">
        <v>6</v>
      </c>
      <c r="D4996" s="8">
        <v>2.4</v>
      </c>
      <c r="E4996" s="4">
        <v>6</v>
      </c>
      <c r="F4996" s="8">
        <v>4.3499999999999996</v>
      </c>
      <c r="G4996" s="4">
        <v>0</v>
      </c>
      <c r="H4996" s="8">
        <v>0</v>
      </c>
      <c r="I4996" s="4">
        <v>0</v>
      </c>
    </row>
    <row r="4997" spans="1:9" x14ac:dyDescent="0.2">
      <c r="A4997" s="2">
        <v>13</v>
      </c>
      <c r="B4997" s="1" t="s">
        <v>334</v>
      </c>
      <c r="C4997" s="4">
        <v>5</v>
      </c>
      <c r="D4997" s="8">
        <v>2</v>
      </c>
      <c r="E4997" s="4">
        <v>5</v>
      </c>
      <c r="F4997" s="8">
        <v>3.62</v>
      </c>
      <c r="G4997" s="4">
        <v>0</v>
      </c>
      <c r="H4997" s="8">
        <v>0</v>
      </c>
      <c r="I4997" s="4">
        <v>0</v>
      </c>
    </row>
    <row r="4998" spans="1:9" x14ac:dyDescent="0.2">
      <c r="A4998" s="2">
        <v>13</v>
      </c>
      <c r="B4998" s="1" t="s">
        <v>325</v>
      </c>
      <c r="C4998" s="4">
        <v>5</v>
      </c>
      <c r="D4998" s="8">
        <v>2</v>
      </c>
      <c r="E4998" s="4">
        <v>1</v>
      </c>
      <c r="F4998" s="8">
        <v>0.72</v>
      </c>
      <c r="G4998" s="4">
        <v>4</v>
      </c>
      <c r="H4998" s="8">
        <v>3.64</v>
      </c>
      <c r="I4998" s="4">
        <v>0</v>
      </c>
    </row>
    <row r="4999" spans="1:9" x14ac:dyDescent="0.2">
      <c r="A4999" s="2">
        <v>13</v>
      </c>
      <c r="B4999" s="1" t="s">
        <v>306</v>
      </c>
      <c r="C4999" s="4">
        <v>5</v>
      </c>
      <c r="D4999" s="8">
        <v>2</v>
      </c>
      <c r="E4999" s="4">
        <v>5</v>
      </c>
      <c r="F4999" s="8">
        <v>3.62</v>
      </c>
      <c r="G4999" s="4">
        <v>0</v>
      </c>
      <c r="H4999" s="8">
        <v>0</v>
      </c>
      <c r="I4999" s="4">
        <v>0</v>
      </c>
    </row>
    <row r="5000" spans="1:9" x14ac:dyDescent="0.2">
      <c r="A5000" s="2">
        <v>16</v>
      </c>
      <c r="B5000" s="1" t="s">
        <v>289</v>
      </c>
      <c r="C5000" s="4">
        <v>4</v>
      </c>
      <c r="D5000" s="8">
        <v>1.6</v>
      </c>
      <c r="E5000" s="4">
        <v>0</v>
      </c>
      <c r="F5000" s="8">
        <v>0</v>
      </c>
      <c r="G5000" s="4">
        <v>4</v>
      </c>
      <c r="H5000" s="8">
        <v>3.64</v>
      </c>
      <c r="I5000" s="4">
        <v>0</v>
      </c>
    </row>
    <row r="5001" spans="1:9" x14ac:dyDescent="0.2">
      <c r="A5001" s="2">
        <v>16</v>
      </c>
      <c r="B5001" s="1" t="s">
        <v>374</v>
      </c>
      <c r="C5001" s="4">
        <v>4</v>
      </c>
      <c r="D5001" s="8">
        <v>1.6</v>
      </c>
      <c r="E5001" s="4">
        <v>0</v>
      </c>
      <c r="F5001" s="8">
        <v>0</v>
      </c>
      <c r="G5001" s="4">
        <v>4</v>
      </c>
      <c r="H5001" s="8">
        <v>3.64</v>
      </c>
      <c r="I5001" s="4">
        <v>0</v>
      </c>
    </row>
    <row r="5002" spans="1:9" x14ac:dyDescent="0.2">
      <c r="A5002" s="2">
        <v>16</v>
      </c>
      <c r="B5002" s="1" t="s">
        <v>329</v>
      </c>
      <c r="C5002" s="4">
        <v>4</v>
      </c>
      <c r="D5002" s="8">
        <v>1.6</v>
      </c>
      <c r="E5002" s="4">
        <v>4</v>
      </c>
      <c r="F5002" s="8">
        <v>2.9</v>
      </c>
      <c r="G5002" s="4">
        <v>0</v>
      </c>
      <c r="H5002" s="8">
        <v>0</v>
      </c>
      <c r="I5002" s="4">
        <v>0</v>
      </c>
    </row>
    <row r="5003" spans="1:9" x14ac:dyDescent="0.2">
      <c r="A5003" s="2">
        <v>16</v>
      </c>
      <c r="B5003" s="1" t="s">
        <v>402</v>
      </c>
      <c r="C5003" s="4">
        <v>4</v>
      </c>
      <c r="D5003" s="8">
        <v>1.6</v>
      </c>
      <c r="E5003" s="4">
        <v>3</v>
      </c>
      <c r="F5003" s="8">
        <v>2.17</v>
      </c>
      <c r="G5003" s="4">
        <v>1</v>
      </c>
      <c r="H5003" s="8">
        <v>0.91</v>
      </c>
      <c r="I5003" s="4">
        <v>0</v>
      </c>
    </row>
    <row r="5004" spans="1:9" x14ac:dyDescent="0.2">
      <c r="A5004" s="2">
        <v>16</v>
      </c>
      <c r="B5004" s="1" t="s">
        <v>337</v>
      </c>
      <c r="C5004" s="4">
        <v>4</v>
      </c>
      <c r="D5004" s="8">
        <v>1.6</v>
      </c>
      <c r="E5004" s="4">
        <v>2</v>
      </c>
      <c r="F5004" s="8">
        <v>1.45</v>
      </c>
      <c r="G5004" s="4">
        <v>2</v>
      </c>
      <c r="H5004" s="8">
        <v>1.82</v>
      </c>
      <c r="I5004" s="4">
        <v>0</v>
      </c>
    </row>
    <row r="5005" spans="1:9" x14ac:dyDescent="0.2">
      <c r="A5005" s="2">
        <v>16</v>
      </c>
      <c r="B5005" s="1" t="s">
        <v>295</v>
      </c>
      <c r="C5005" s="4">
        <v>4</v>
      </c>
      <c r="D5005" s="8">
        <v>1.6</v>
      </c>
      <c r="E5005" s="4">
        <v>3</v>
      </c>
      <c r="F5005" s="8">
        <v>2.17</v>
      </c>
      <c r="G5005" s="4">
        <v>1</v>
      </c>
      <c r="H5005" s="8">
        <v>0.91</v>
      </c>
      <c r="I5005" s="4">
        <v>0</v>
      </c>
    </row>
    <row r="5006" spans="1:9" x14ac:dyDescent="0.2">
      <c r="A5006" s="2">
        <v>16</v>
      </c>
      <c r="B5006" s="1" t="s">
        <v>299</v>
      </c>
      <c r="C5006" s="4">
        <v>4</v>
      </c>
      <c r="D5006" s="8">
        <v>1.6</v>
      </c>
      <c r="E5006" s="4">
        <v>4</v>
      </c>
      <c r="F5006" s="8">
        <v>2.9</v>
      </c>
      <c r="G5006" s="4">
        <v>0</v>
      </c>
      <c r="H5006" s="8">
        <v>0</v>
      </c>
      <c r="I5006" s="4">
        <v>0</v>
      </c>
    </row>
    <row r="5007" spans="1:9" x14ac:dyDescent="0.2">
      <c r="A5007" s="2">
        <v>16</v>
      </c>
      <c r="B5007" s="1" t="s">
        <v>323</v>
      </c>
      <c r="C5007" s="4">
        <v>4</v>
      </c>
      <c r="D5007" s="8">
        <v>1.6</v>
      </c>
      <c r="E5007" s="4">
        <v>1</v>
      </c>
      <c r="F5007" s="8">
        <v>0.72</v>
      </c>
      <c r="G5007" s="4">
        <v>3</v>
      </c>
      <c r="H5007" s="8">
        <v>2.73</v>
      </c>
      <c r="I5007" s="4">
        <v>0</v>
      </c>
    </row>
    <row r="5008" spans="1:9" x14ac:dyDescent="0.2">
      <c r="A5008" s="2">
        <v>16</v>
      </c>
      <c r="B5008" s="1" t="s">
        <v>305</v>
      </c>
      <c r="C5008" s="4">
        <v>4</v>
      </c>
      <c r="D5008" s="8">
        <v>1.6</v>
      </c>
      <c r="E5008" s="4">
        <v>4</v>
      </c>
      <c r="F5008" s="8">
        <v>2.9</v>
      </c>
      <c r="G5008" s="4">
        <v>0</v>
      </c>
      <c r="H5008" s="8">
        <v>0</v>
      </c>
      <c r="I5008" s="4">
        <v>0</v>
      </c>
    </row>
    <row r="5009" spans="1:9" x14ac:dyDescent="0.2">
      <c r="A5009" s="2">
        <v>16</v>
      </c>
      <c r="B5009" s="1" t="s">
        <v>307</v>
      </c>
      <c r="C5009" s="4">
        <v>4</v>
      </c>
      <c r="D5009" s="8">
        <v>1.6</v>
      </c>
      <c r="E5009" s="4">
        <v>3</v>
      </c>
      <c r="F5009" s="8">
        <v>2.17</v>
      </c>
      <c r="G5009" s="4">
        <v>1</v>
      </c>
      <c r="H5009" s="8">
        <v>0.91</v>
      </c>
      <c r="I5009" s="4">
        <v>0</v>
      </c>
    </row>
    <row r="5010" spans="1:9" x14ac:dyDescent="0.2">
      <c r="A5010" s="1"/>
      <c r="C5010" s="4"/>
      <c r="D5010" s="8"/>
      <c r="E5010" s="4"/>
      <c r="F5010" s="8"/>
      <c r="G5010" s="4"/>
      <c r="H5010" s="8"/>
      <c r="I5010" s="4"/>
    </row>
    <row r="5011" spans="1:9" x14ac:dyDescent="0.2">
      <c r="A5011" s="1" t="s">
        <v>167</v>
      </c>
      <c r="C5011" s="4"/>
      <c r="D5011" s="8"/>
      <c r="E5011" s="4"/>
      <c r="F5011" s="8"/>
      <c r="G5011" s="4"/>
      <c r="H5011" s="8"/>
      <c r="I5011" s="4"/>
    </row>
    <row r="5012" spans="1:9" x14ac:dyDescent="0.2">
      <c r="A5012" s="2">
        <v>1</v>
      </c>
      <c r="B5012" s="1" t="s">
        <v>297</v>
      </c>
      <c r="C5012" s="4">
        <v>22</v>
      </c>
      <c r="D5012" s="8">
        <v>6.38</v>
      </c>
      <c r="E5012" s="4">
        <v>12</v>
      </c>
      <c r="F5012" s="8">
        <v>7.74</v>
      </c>
      <c r="G5012" s="4">
        <v>9</v>
      </c>
      <c r="H5012" s="8">
        <v>4.97</v>
      </c>
      <c r="I5012" s="4">
        <v>0</v>
      </c>
    </row>
    <row r="5013" spans="1:9" x14ac:dyDescent="0.2">
      <c r="A5013" s="2">
        <v>2</v>
      </c>
      <c r="B5013" s="1" t="s">
        <v>304</v>
      </c>
      <c r="C5013" s="4">
        <v>19</v>
      </c>
      <c r="D5013" s="8">
        <v>5.51</v>
      </c>
      <c r="E5013" s="4">
        <v>18</v>
      </c>
      <c r="F5013" s="8">
        <v>11.61</v>
      </c>
      <c r="G5013" s="4">
        <v>1</v>
      </c>
      <c r="H5013" s="8">
        <v>0.55000000000000004</v>
      </c>
      <c r="I5013" s="4">
        <v>0</v>
      </c>
    </row>
    <row r="5014" spans="1:9" x14ac:dyDescent="0.2">
      <c r="A5014" s="2">
        <v>3</v>
      </c>
      <c r="B5014" s="1" t="s">
        <v>303</v>
      </c>
      <c r="C5014" s="4">
        <v>14</v>
      </c>
      <c r="D5014" s="8">
        <v>4.0599999999999996</v>
      </c>
      <c r="E5014" s="4">
        <v>14</v>
      </c>
      <c r="F5014" s="8">
        <v>9.0299999999999994</v>
      </c>
      <c r="G5014" s="4">
        <v>0</v>
      </c>
      <c r="H5014" s="8">
        <v>0</v>
      </c>
      <c r="I5014" s="4">
        <v>0</v>
      </c>
    </row>
    <row r="5015" spans="1:9" x14ac:dyDescent="0.2">
      <c r="A5015" s="2">
        <v>4</v>
      </c>
      <c r="B5015" s="1" t="s">
        <v>350</v>
      </c>
      <c r="C5015" s="4">
        <v>9</v>
      </c>
      <c r="D5015" s="8">
        <v>2.61</v>
      </c>
      <c r="E5015" s="4">
        <v>0</v>
      </c>
      <c r="F5015" s="8">
        <v>0</v>
      </c>
      <c r="G5015" s="4">
        <v>9</v>
      </c>
      <c r="H5015" s="8">
        <v>4.97</v>
      </c>
      <c r="I5015" s="4">
        <v>0</v>
      </c>
    </row>
    <row r="5016" spans="1:9" x14ac:dyDescent="0.2">
      <c r="A5016" s="2">
        <v>4</v>
      </c>
      <c r="B5016" s="1" t="s">
        <v>302</v>
      </c>
      <c r="C5016" s="4">
        <v>9</v>
      </c>
      <c r="D5016" s="8">
        <v>2.61</v>
      </c>
      <c r="E5016" s="4">
        <v>9</v>
      </c>
      <c r="F5016" s="8">
        <v>5.81</v>
      </c>
      <c r="G5016" s="4">
        <v>0</v>
      </c>
      <c r="H5016" s="8">
        <v>0</v>
      </c>
      <c r="I5016" s="4">
        <v>0</v>
      </c>
    </row>
    <row r="5017" spans="1:9" x14ac:dyDescent="0.2">
      <c r="A5017" s="2">
        <v>4</v>
      </c>
      <c r="B5017" s="1" t="s">
        <v>307</v>
      </c>
      <c r="C5017" s="4">
        <v>9</v>
      </c>
      <c r="D5017" s="8">
        <v>2.61</v>
      </c>
      <c r="E5017" s="4">
        <v>6</v>
      </c>
      <c r="F5017" s="8">
        <v>3.87</v>
      </c>
      <c r="G5017" s="4">
        <v>3</v>
      </c>
      <c r="H5017" s="8">
        <v>1.66</v>
      </c>
      <c r="I5017" s="4">
        <v>0</v>
      </c>
    </row>
    <row r="5018" spans="1:9" x14ac:dyDescent="0.2">
      <c r="A5018" s="2">
        <v>7</v>
      </c>
      <c r="B5018" s="1" t="s">
        <v>288</v>
      </c>
      <c r="C5018" s="4">
        <v>7</v>
      </c>
      <c r="D5018" s="8">
        <v>2.0299999999999998</v>
      </c>
      <c r="E5018" s="4">
        <v>0</v>
      </c>
      <c r="F5018" s="8">
        <v>0</v>
      </c>
      <c r="G5018" s="4">
        <v>7</v>
      </c>
      <c r="H5018" s="8">
        <v>3.87</v>
      </c>
      <c r="I5018" s="4">
        <v>0</v>
      </c>
    </row>
    <row r="5019" spans="1:9" x14ac:dyDescent="0.2">
      <c r="A5019" s="2">
        <v>7</v>
      </c>
      <c r="B5019" s="1" t="s">
        <v>289</v>
      </c>
      <c r="C5019" s="4">
        <v>7</v>
      </c>
      <c r="D5019" s="8">
        <v>2.0299999999999998</v>
      </c>
      <c r="E5019" s="4">
        <v>0</v>
      </c>
      <c r="F5019" s="8">
        <v>0</v>
      </c>
      <c r="G5019" s="4">
        <v>7</v>
      </c>
      <c r="H5019" s="8">
        <v>3.87</v>
      </c>
      <c r="I5019" s="4">
        <v>0</v>
      </c>
    </row>
    <row r="5020" spans="1:9" x14ac:dyDescent="0.2">
      <c r="A5020" s="2">
        <v>7</v>
      </c>
      <c r="B5020" s="1" t="s">
        <v>333</v>
      </c>
      <c r="C5020" s="4">
        <v>7</v>
      </c>
      <c r="D5020" s="8">
        <v>2.0299999999999998</v>
      </c>
      <c r="E5020" s="4">
        <v>4</v>
      </c>
      <c r="F5020" s="8">
        <v>2.58</v>
      </c>
      <c r="G5020" s="4">
        <v>3</v>
      </c>
      <c r="H5020" s="8">
        <v>1.66</v>
      </c>
      <c r="I5020" s="4">
        <v>0</v>
      </c>
    </row>
    <row r="5021" spans="1:9" x14ac:dyDescent="0.2">
      <c r="A5021" s="2">
        <v>7</v>
      </c>
      <c r="B5021" s="1" t="s">
        <v>321</v>
      </c>
      <c r="C5021" s="4">
        <v>7</v>
      </c>
      <c r="D5021" s="8">
        <v>2.0299999999999998</v>
      </c>
      <c r="E5021" s="4">
        <v>0</v>
      </c>
      <c r="F5021" s="8">
        <v>0</v>
      </c>
      <c r="G5021" s="4">
        <v>7</v>
      </c>
      <c r="H5021" s="8">
        <v>3.87</v>
      </c>
      <c r="I5021" s="4">
        <v>0</v>
      </c>
    </row>
    <row r="5022" spans="1:9" x14ac:dyDescent="0.2">
      <c r="A5022" s="2">
        <v>7</v>
      </c>
      <c r="B5022" s="1" t="s">
        <v>293</v>
      </c>
      <c r="C5022" s="4">
        <v>7</v>
      </c>
      <c r="D5022" s="8">
        <v>2.0299999999999998</v>
      </c>
      <c r="E5022" s="4">
        <v>1</v>
      </c>
      <c r="F5022" s="8">
        <v>0.65</v>
      </c>
      <c r="G5022" s="4">
        <v>6</v>
      </c>
      <c r="H5022" s="8">
        <v>3.31</v>
      </c>
      <c r="I5022" s="4">
        <v>0</v>
      </c>
    </row>
    <row r="5023" spans="1:9" x14ac:dyDescent="0.2">
      <c r="A5023" s="2">
        <v>12</v>
      </c>
      <c r="B5023" s="1" t="s">
        <v>328</v>
      </c>
      <c r="C5023" s="4">
        <v>6</v>
      </c>
      <c r="D5023" s="8">
        <v>1.74</v>
      </c>
      <c r="E5023" s="4">
        <v>2</v>
      </c>
      <c r="F5023" s="8">
        <v>1.29</v>
      </c>
      <c r="G5023" s="4">
        <v>4</v>
      </c>
      <c r="H5023" s="8">
        <v>2.21</v>
      </c>
      <c r="I5023" s="4">
        <v>0</v>
      </c>
    </row>
    <row r="5024" spans="1:9" x14ac:dyDescent="0.2">
      <c r="A5024" s="2">
        <v>12</v>
      </c>
      <c r="B5024" s="1" t="s">
        <v>334</v>
      </c>
      <c r="C5024" s="4">
        <v>6</v>
      </c>
      <c r="D5024" s="8">
        <v>1.74</v>
      </c>
      <c r="E5024" s="4">
        <v>5</v>
      </c>
      <c r="F5024" s="8">
        <v>3.23</v>
      </c>
      <c r="G5024" s="4">
        <v>1</v>
      </c>
      <c r="H5024" s="8">
        <v>0.55000000000000004</v>
      </c>
      <c r="I5024" s="4">
        <v>0</v>
      </c>
    </row>
    <row r="5025" spans="1:9" x14ac:dyDescent="0.2">
      <c r="A5025" s="2">
        <v>12</v>
      </c>
      <c r="B5025" s="1" t="s">
        <v>371</v>
      </c>
      <c r="C5025" s="4">
        <v>6</v>
      </c>
      <c r="D5025" s="8">
        <v>1.74</v>
      </c>
      <c r="E5025" s="4">
        <v>3</v>
      </c>
      <c r="F5025" s="8">
        <v>1.94</v>
      </c>
      <c r="G5025" s="4">
        <v>3</v>
      </c>
      <c r="H5025" s="8">
        <v>1.66</v>
      </c>
      <c r="I5025" s="4">
        <v>0</v>
      </c>
    </row>
    <row r="5026" spans="1:9" x14ac:dyDescent="0.2">
      <c r="A5026" s="2">
        <v>15</v>
      </c>
      <c r="B5026" s="1" t="s">
        <v>516</v>
      </c>
      <c r="C5026" s="4">
        <v>5</v>
      </c>
      <c r="D5026" s="8">
        <v>1.45</v>
      </c>
      <c r="E5026" s="4">
        <v>0</v>
      </c>
      <c r="F5026" s="8">
        <v>0</v>
      </c>
      <c r="G5026" s="4">
        <v>5</v>
      </c>
      <c r="H5026" s="8">
        <v>2.76</v>
      </c>
      <c r="I5026" s="4">
        <v>0</v>
      </c>
    </row>
    <row r="5027" spans="1:9" x14ac:dyDescent="0.2">
      <c r="A5027" s="2">
        <v>15</v>
      </c>
      <c r="B5027" s="1" t="s">
        <v>330</v>
      </c>
      <c r="C5027" s="4">
        <v>5</v>
      </c>
      <c r="D5027" s="8">
        <v>1.45</v>
      </c>
      <c r="E5027" s="4">
        <v>3</v>
      </c>
      <c r="F5027" s="8">
        <v>1.94</v>
      </c>
      <c r="G5027" s="4">
        <v>2</v>
      </c>
      <c r="H5027" s="8">
        <v>1.1000000000000001</v>
      </c>
      <c r="I5027" s="4">
        <v>0</v>
      </c>
    </row>
    <row r="5028" spans="1:9" x14ac:dyDescent="0.2">
      <c r="A5028" s="2">
        <v>15</v>
      </c>
      <c r="B5028" s="1" t="s">
        <v>322</v>
      </c>
      <c r="C5028" s="4">
        <v>5</v>
      </c>
      <c r="D5028" s="8">
        <v>1.45</v>
      </c>
      <c r="E5028" s="4">
        <v>3</v>
      </c>
      <c r="F5028" s="8">
        <v>1.94</v>
      </c>
      <c r="G5028" s="4">
        <v>2</v>
      </c>
      <c r="H5028" s="8">
        <v>1.1000000000000001</v>
      </c>
      <c r="I5028" s="4">
        <v>0</v>
      </c>
    </row>
    <row r="5029" spans="1:9" x14ac:dyDescent="0.2">
      <c r="A5029" s="2">
        <v>15</v>
      </c>
      <c r="B5029" s="1" t="s">
        <v>415</v>
      </c>
      <c r="C5029" s="4">
        <v>5</v>
      </c>
      <c r="D5029" s="8">
        <v>1.45</v>
      </c>
      <c r="E5029" s="4">
        <v>0</v>
      </c>
      <c r="F5029" s="8">
        <v>0</v>
      </c>
      <c r="G5029" s="4">
        <v>5</v>
      </c>
      <c r="H5029" s="8">
        <v>2.76</v>
      </c>
      <c r="I5029" s="4">
        <v>0</v>
      </c>
    </row>
    <row r="5030" spans="1:9" x14ac:dyDescent="0.2">
      <c r="A5030" s="2">
        <v>15</v>
      </c>
      <c r="B5030" s="1" t="s">
        <v>299</v>
      </c>
      <c r="C5030" s="4">
        <v>5</v>
      </c>
      <c r="D5030" s="8">
        <v>1.45</v>
      </c>
      <c r="E5030" s="4">
        <v>3</v>
      </c>
      <c r="F5030" s="8">
        <v>1.94</v>
      </c>
      <c r="G5030" s="4">
        <v>2</v>
      </c>
      <c r="H5030" s="8">
        <v>1.1000000000000001</v>
      </c>
      <c r="I5030" s="4">
        <v>0</v>
      </c>
    </row>
    <row r="5031" spans="1:9" x14ac:dyDescent="0.2">
      <c r="A5031" s="2">
        <v>15</v>
      </c>
      <c r="B5031" s="1" t="s">
        <v>305</v>
      </c>
      <c r="C5031" s="4">
        <v>5</v>
      </c>
      <c r="D5031" s="8">
        <v>1.45</v>
      </c>
      <c r="E5031" s="4">
        <v>5</v>
      </c>
      <c r="F5031" s="8">
        <v>3.23</v>
      </c>
      <c r="G5031" s="4">
        <v>0</v>
      </c>
      <c r="H5031" s="8">
        <v>0</v>
      </c>
      <c r="I5031" s="4">
        <v>0</v>
      </c>
    </row>
    <row r="5032" spans="1:9" x14ac:dyDescent="0.2">
      <c r="A5032" s="2">
        <v>15</v>
      </c>
      <c r="B5032" s="1" t="s">
        <v>312</v>
      </c>
      <c r="C5032" s="4">
        <v>5</v>
      </c>
      <c r="D5032" s="8">
        <v>1.45</v>
      </c>
      <c r="E5032" s="4">
        <v>5</v>
      </c>
      <c r="F5032" s="8">
        <v>3.23</v>
      </c>
      <c r="G5032" s="4">
        <v>0</v>
      </c>
      <c r="H5032" s="8">
        <v>0</v>
      </c>
      <c r="I5032" s="4">
        <v>0</v>
      </c>
    </row>
    <row r="5033" spans="1:9" x14ac:dyDescent="0.2">
      <c r="A5033" s="1"/>
      <c r="C5033" s="4"/>
      <c r="D5033" s="8"/>
      <c r="E5033" s="4"/>
      <c r="F5033" s="8"/>
      <c r="G5033" s="4"/>
      <c r="H5033" s="8"/>
      <c r="I5033" s="4"/>
    </row>
    <row r="5034" spans="1:9" x14ac:dyDescent="0.2">
      <c r="A5034" s="1" t="s">
        <v>168</v>
      </c>
      <c r="C5034" s="4"/>
      <c r="D5034" s="8"/>
      <c r="E5034" s="4"/>
      <c r="F5034" s="8"/>
      <c r="G5034" s="4"/>
      <c r="H5034" s="8"/>
      <c r="I5034" s="4"/>
    </row>
    <row r="5035" spans="1:9" x14ac:dyDescent="0.2">
      <c r="A5035" s="2">
        <v>1</v>
      </c>
      <c r="B5035" s="1" t="s">
        <v>304</v>
      </c>
      <c r="C5035" s="4">
        <v>6</v>
      </c>
      <c r="D5035" s="8">
        <v>5.61</v>
      </c>
      <c r="E5035" s="4">
        <v>6</v>
      </c>
      <c r="F5035" s="8">
        <v>11.54</v>
      </c>
      <c r="G5035" s="4">
        <v>0</v>
      </c>
      <c r="H5035" s="8">
        <v>0</v>
      </c>
      <c r="I5035" s="4">
        <v>0</v>
      </c>
    </row>
    <row r="5036" spans="1:9" x14ac:dyDescent="0.2">
      <c r="A5036" s="2">
        <v>2</v>
      </c>
      <c r="B5036" s="1" t="s">
        <v>297</v>
      </c>
      <c r="C5036" s="4">
        <v>5</v>
      </c>
      <c r="D5036" s="8">
        <v>4.67</v>
      </c>
      <c r="E5036" s="4">
        <v>3</v>
      </c>
      <c r="F5036" s="8">
        <v>5.77</v>
      </c>
      <c r="G5036" s="4">
        <v>2</v>
      </c>
      <c r="H5036" s="8">
        <v>3.92</v>
      </c>
      <c r="I5036" s="4">
        <v>0</v>
      </c>
    </row>
    <row r="5037" spans="1:9" x14ac:dyDescent="0.2">
      <c r="A5037" s="2">
        <v>3</v>
      </c>
      <c r="B5037" s="1" t="s">
        <v>329</v>
      </c>
      <c r="C5037" s="4">
        <v>4</v>
      </c>
      <c r="D5037" s="8">
        <v>3.74</v>
      </c>
      <c r="E5037" s="4">
        <v>3</v>
      </c>
      <c r="F5037" s="8">
        <v>5.77</v>
      </c>
      <c r="G5037" s="4">
        <v>1</v>
      </c>
      <c r="H5037" s="8">
        <v>1.96</v>
      </c>
      <c r="I5037" s="4">
        <v>0</v>
      </c>
    </row>
    <row r="5038" spans="1:9" x14ac:dyDescent="0.2">
      <c r="A5038" s="2">
        <v>3</v>
      </c>
      <c r="B5038" s="1" t="s">
        <v>300</v>
      </c>
      <c r="C5038" s="4">
        <v>4</v>
      </c>
      <c r="D5038" s="8">
        <v>3.74</v>
      </c>
      <c r="E5038" s="4">
        <v>4</v>
      </c>
      <c r="F5038" s="8">
        <v>7.69</v>
      </c>
      <c r="G5038" s="4">
        <v>0</v>
      </c>
      <c r="H5038" s="8">
        <v>0</v>
      </c>
      <c r="I5038" s="4">
        <v>0</v>
      </c>
    </row>
    <row r="5039" spans="1:9" x14ac:dyDescent="0.2">
      <c r="A5039" s="2">
        <v>3</v>
      </c>
      <c r="B5039" s="1" t="s">
        <v>305</v>
      </c>
      <c r="C5039" s="4">
        <v>4</v>
      </c>
      <c r="D5039" s="8">
        <v>3.74</v>
      </c>
      <c r="E5039" s="4">
        <v>4</v>
      </c>
      <c r="F5039" s="8">
        <v>7.69</v>
      </c>
      <c r="G5039" s="4">
        <v>0</v>
      </c>
      <c r="H5039" s="8">
        <v>0</v>
      </c>
      <c r="I5039" s="4">
        <v>0</v>
      </c>
    </row>
    <row r="5040" spans="1:9" x14ac:dyDescent="0.2">
      <c r="A5040" s="2">
        <v>6</v>
      </c>
      <c r="B5040" s="1" t="s">
        <v>413</v>
      </c>
      <c r="C5040" s="4">
        <v>3</v>
      </c>
      <c r="D5040" s="8">
        <v>2.8</v>
      </c>
      <c r="E5040" s="4">
        <v>0</v>
      </c>
      <c r="F5040" s="8">
        <v>0</v>
      </c>
      <c r="G5040" s="4">
        <v>3</v>
      </c>
      <c r="H5040" s="8">
        <v>5.88</v>
      </c>
      <c r="I5040" s="4">
        <v>0</v>
      </c>
    </row>
    <row r="5041" spans="1:9" x14ac:dyDescent="0.2">
      <c r="A5041" s="2">
        <v>6</v>
      </c>
      <c r="B5041" s="1" t="s">
        <v>350</v>
      </c>
      <c r="C5041" s="4">
        <v>3</v>
      </c>
      <c r="D5041" s="8">
        <v>2.8</v>
      </c>
      <c r="E5041" s="4">
        <v>0</v>
      </c>
      <c r="F5041" s="8">
        <v>0</v>
      </c>
      <c r="G5041" s="4">
        <v>3</v>
      </c>
      <c r="H5041" s="8">
        <v>5.88</v>
      </c>
      <c r="I5041" s="4">
        <v>0</v>
      </c>
    </row>
    <row r="5042" spans="1:9" x14ac:dyDescent="0.2">
      <c r="A5042" s="2">
        <v>6</v>
      </c>
      <c r="B5042" s="1" t="s">
        <v>292</v>
      </c>
      <c r="C5042" s="4">
        <v>3</v>
      </c>
      <c r="D5042" s="8">
        <v>2.8</v>
      </c>
      <c r="E5042" s="4">
        <v>2</v>
      </c>
      <c r="F5042" s="8">
        <v>3.85</v>
      </c>
      <c r="G5042" s="4">
        <v>1</v>
      </c>
      <c r="H5042" s="8">
        <v>1.96</v>
      </c>
      <c r="I5042" s="4">
        <v>0</v>
      </c>
    </row>
    <row r="5043" spans="1:9" x14ac:dyDescent="0.2">
      <c r="A5043" s="2">
        <v>6</v>
      </c>
      <c r="B5043" s="1" t="s">
        <v>339</v>
      </c>
      <c r="C5043" s="4">
        <v>3</v>
      </c>
      <c r="D5043" s="8">
        <v>2.8</v>
      </c>
      <c r="E5043" s="4">
        <v>2</v>
      </c>
      <c r="F5043" s="8">
        <v>3.85</v>
      </c>
      <c r="G5043" s="4">
        <v>1</v>
      </c>
      <c r="H5043" s="8">
        <v>1.96</v>
      </c>
      <c r="I5043" s="4">
        <v>0</v>
      </c>
    </row>
    <row r="5044" spans="1:9" x14ac:dyDescent="0.2">
      <c r="A5044" s="2">
        <v>6</v>
      </c>
      <c r="B5044" s="1" t="s">
        <v>306</v>
      </c>
      <c r="C5044" s="4">
        <v>3</v>
      </c>
      <c r="D5044" s="8">
        <v>2.8</v>
      </c>
      <c r="E5044" s="4">
        <v>3</v>
      </c>
      <c r="F5044" s="8">
        <v>5.77</v>
      </c>
      <c r="G5044" s="4">
        <v>0</v>
      </c>
      <c r="H5044" s="8">
        <v>0</v>
      </c>
      <c r="I5044" s="4">
        <v>0</v>
      </c>
    </row>
    <row r="5045" spans="1:9" x14ac:dyDescent="0.2">
      <c r="A5045" s="2">
        <v>11</v>
      </c>
      <c r="B5045" s="1" t="s">
        <v>288</v>
      </c>
      <c r="C5045" s="4">
        <v>2</v>
      </c>
      <c r="D5045" s="8">
        <v>1.87</v>
      </c>
      <c r="E5045" s="4">
        <v>0</v>
      </c>
      <c r="F5045" s="8">
        <v>0</v>
      </c>
      <c r="G5045" s="4">
        <v>2</v>
      </c>
      <c r="H5045" s="8">
        <v>3.92</v>
      </c>
      <c r="I5045" s="4">
        <v>0</v>
      </c>
    </row>
    <row r="5046" spans="1:9" x14ac:dyDescent="0.2">
      <c r="A5046" s="2">
        <v>11</v>
      </c>
      <c r="B5046" s="1" t="s">
        <v>378</v>
      </c>
      <c r="C5046" s="4">
        <v>2</v>
      </c>
      <c r="D5046" s="8">
        <v>1.87</v>
      </c>
      <c r="E5046" s="4">
        <v>0</v>
      </c>
      <c r="F5046" s="8">
        <v>0</v>
      </c>
      <c r="G5046" s="4">
        <v>2</v>
      </c>
      <c r="H5046" s="8">
        <v>3.92</v>
      </c>
      <c r="I5046" s="4">
        <v>0</v>
      </c>
    </row>
    <row r="5047" spans="1:9" x14ac:dyDescent="0.2">
      <c r="A5047" s="2">
        <v>11</v>
      </c>
      <c r="B5047" s="1" t="s">
        <v>346</v>
      </c>
      <c r="C5047" s="4">
        <v>2</v>
      </c>
      <c r="D5047" s="8">
        <v>1.87</v>
      </c>
      <c r="E5047" s="4">
        <v>0</v>
      </c>
      <c r="F5047" s="8">
        <v>0</v>
      </c>
      <c r="G5047" s="4">
        <v>2</v>
      </c>
      <c r="H5047" s="8">
        <v>3.92</v>
      </c>
      <c r="I5047" s="4">
        <v>0</v>
      </c>
    </row>
    <row r="5048" spans="1:9" x14ac:dyDescent="0.2">
      <c r="A5048" s="2">
        <v>11</v>
      </c>
      <c r="B5048" s="1" t="s">
        <v>295</v>
      </c>
      <c r="C5048" s="4">
        <v>2</v>
      </c>
      <c r="D5048" s="8">
        <v>1.87</v>
      </c>
      <c r="E5048" s="4">
        <v>1</v>
      </c>
      <c r="F5048" s="8">
        <v>1.92</v>
      </c>
      <c r="G5048" s="4">
        <v>1</v>
      </c>
      <c r="H5048" s="8">
        <v>1.96</v>
      </c>
      <c r="I5048" s="4">
        <v>0</v>
      </c>
    </row>
    <row r="5049" spans="1:9" x14ac:dyDescent="0.2">
      <c r="A5049" s="2">
        <v>11</v>
      </c>
      <c r="B5049" s="1" t="s">
        <v>296</v>
      </c>
      <c r="C5049" s="4">
        <v>2</v>
      </c>
      <c r="D5049" s="8">
        <v>1.87</v>
      </c>
      <c r="E5049" s="4">
        <v>0</v>
      </c>
      <c r="F5049" s="8">
        <v>0</v>
      </c>
      <c r="G5049" s="4">
        <v>2</v>
      </c>
      <c r="H5049" s="8">
        <v>3.92</v>
      </c>
      <c r="I5049" s="4">
        <v>0</v>
      </c>
    </row>
    <row r="5050" spans="1:9" x14ac:dyDescent="0.2">
      <c r="A5050" s="2">
        <v>11</v>
      </c>
      <c r="B5050" s="1" t="s">
        <v>334</v>
      </c>
      <c r="C5050" s="4">
        <v>2</v>
      </c>
      <c r="D5050" s="8">
        <v>1.87</v>
      </c>
      <c r="E5050" s="4">
        <v>2</v>
      </c>
      <c r="F5050" s="8">
        <v>3.85</v>
      </c>
      <c r="G5050" s="4">
        <v>0</v>
      </c>
      <c r="H5050" s="8">
        <v>0</v>
      </c>
      <c r="I5050" s="4">
        <v>0</v>
      </c>
    </row>
    <row r="5051" spans="1:9" x14ac:dyDescent="0.2">
      <c r="A5051" s="2">
        <v>11</v>
      </c>
      <c r="B5051" s="1" t="s">
        <v>299</v>
      </c>
      <c r="C5051" s="4">
        <v>2</v>
      </c>
      <c r="D5051" s="8">
        <v>1.87</v>
      </c>
      <c r="E5051" s="4">
        <v>2</v>
      </c>
      <c r="F5051" s="8">
        <v>3.85</v>
      </c>
      <c r="G5051" s="4">
        <v>0</v>
      </c>
      <c r="H5051" s="8">
        <v>0</v>
      </c>
      <c r="I5051" s="4">
        <v>0</v>
      </c>
    </row>
    <row r="5052" spans="1:9" x14ac:dyDescent="0.2">
      <c r="A5052" s="2">
        <v>11</v>
      </c>
      <c r="B5052" s="1" t="s">
        <v>317</v>
      </c>
      <c r="C5052" s="4">
        <v>2</v>
      </c>
      <c r="D5052" s="8">
        <v>1.87</v>
      </c>
      <c r="E5052" s="4">
        <v>1</v>
      </c>
      <c r="F5052" s="8">
        <v>1.92</v>
      </c>
      <c r="G5052" s="4">
        <v>1</v>
      </c>
      <c r="H5052" s="8">
        <v>1.96</v>
      </c>
      <c r="I5052" s="4">
        <v>0</v>
      </c>
    </row>
    <row r="5053" spans="1:9" x14ac:dyDescent="0.2">
      <c r="A5053" s="2">
        <v>19</v>
      </c>
      <c r="B5053" s="1" t="s">
        <v>427</v>
      </c>
      <c r="C5053" s="4">
        <v>1</v>
      </c>
      <c r="D5053" s="8">
        <v>0.93</v>
      </c>
      <c r="E5053" s="4">
        <v>0</v>
      </c>
      <c r="F5053" s="8">
        <v>0</v>
      </c>
      <c r="G5053" s="4">
        <v>1</v>
      </c>
      <c r="H5053" s="8">
        <v>1.96</v>
      </c>
      <c r="I5053" s="4">
        <v>0</v>
      </c>
    </row>
    <row r="5054" spans="1:9" x14ac:dyDescent="0.2">
      <c r="A5054" s="2">
        <v>19</v>
      </c>
      <c r="B5054" s="1" t="s">
        <v>398</v>
      </c>
      <c r="C5054" s="4">
        <v>1</v>
      </c>
      <c r="D5054" s="8">
        <v>0.93</v>
      </c>
      <c r="E5054" s="4">
        <v>0</v>
      </c>
      <c r="F5054" s="8">
        <v>0</v>
      </c>
      <c r="G5054" s="4">
        <v>1</v>
      </c>
      <c r="H5054" s="8">
        <v>1.96</v>
      </c>
      <c r="I5054" s="4">
        <v>0</v>
      </c>
    </row>
    <row r="5055" spans="1:9" x14ac:dyDescent="0.2">
      <c r="A5055" s="2">
        <v>19</v>
      </c>
      <c r="B5055" s="1" t="s">
        <v>328</v>
      </c>
      <c r="C5055" s="4">
        <v>1</v>
      </c>
      <c r="D5055" s="8">
        <v>0.93</v>
      </c>
      <c r="E5055" s="4">
        <v>0</v>
      </c>
      <c r="F5055" s="8">
        <v>0</v>
      </c>
      <c r="G5055" s="4">
        <v>1</v>
      </c>
      <c r="H5055" s="8">
        <v>1.96</v>
      </c>
      <c r="I5055" s="4">
        <v>0</v>
      </c>
    </row>
    <row r="5056" spans="1:9" x14ac:dyDescent="0.2">
      <c r="A5056" s="2">
        <v>19</v>
      </c>
      <c r="B5056" s="1" t="s">
        <v>375</v>
      </c>
      <c r="C5056" s="4">
        <v>1</v>
      </c>
      <c r="D5056" s="8">
        <v>0.93</v>
      </c>
      <c r="E5056" s="4">
        <v>0</v>
      </c>
      <c r="F5056" s="8">
        <v>0</v>
      </c>
      <c r="G5056" s="4">
        <v>1</v>
      </c>
      <c r="H5056" s="8">
        <v>1.96</v>
      </c>
      <c r="I5056" s="4">
        <v>0</v>
      </c>
    </row>
    <row r="5057" spans="1:9" x14ac:dyDescent="0.2">
      <c r="A5057" s="2">
        <v>19</v>
      </c>
      <c r="B5057" s="1" t="s">
        <v>450</v>
      </c>
      <c r="C5057" s="4">
        <v>1</v>
      </c>
      <c r="D5057" s="8">
        <v>0.93</v>
      </c>
      <c r="E5057" s="4">
        <v>0</v>
      </c>
      <c r="F5057" s="8">
        <v>0</v>
      </c>
      <c r="G5057" s="4">
        <v>1</v>
      </c>
      <c r="H5057" s="8">
        <v>1.96</v>
      </c>
      <c r="I5057" s="4">
        <v>0</v>
      </c>
    </row>
    <row r="5058" spans="1:9" x14ac:dyDescent="0.2">
      <c r="A5058" s="2">
        <v>19</v>
      </c>
      <c r="B5058" s="1" t="s">
        <v>333</v>
      </c>
      <c r="C5058" s="4">
        <v>1</v>
      </c>
      <c r="D5058" s="8">
        <v>0.93</v>
      </c>
      <c r="E5058" s="4">
        <v>0</v>
      </c>
      <c r="F5058" s="8">
        <v>0</v>
      </c>
      <c r="G5058" s="4">
        <v>1</v>
      </c>
      <c r="H5058" s="8">
        <v>1.96</v>
      </c>
      <c r="I5058" s="4">
        <v>0</v>
      </c>
    </row>
    <row r="5059" spans="1:9" x14ac:dyDescent="0.2">
      <c r="A5059" s="2">
        <v>19</v>
      </c>
      <c r="B5059" s="1" t="s">
        <v>320</v>
      </c>
      <c r="C5059" s="4">
        <v>1</v>
      </c>
      <c r="D5059" s="8">
        <v>0.93</v>
      </c>
      <c r="E5059" s="4">
        <v>1</v>
      </c>
      <c r="F5059" s="8">
        <v>1.92</v>
      </c>
      <c r="G5059" s="4">
        <v>0</v>
      </c>
      <c r="H5059" s="8">
        <v>0</v>
      </c>
      <c r="I5059" s="4">
        <v>0</v>
      </c>
    </row>
    <row r="5060" spans="1:9" x14ac:dyDescent="0.2">
      <c r="A5060" s="2">
        <v>19</v>
      </c>
      <c r="B5060" s="1" t="s">
        <v>290</v>
      </c>
      <c r="C5060" s="4">
        <v>1</v>
      </c>
      <c r="D5060" s="8">
        <v>0.93</v>
      </c>
      <c r="E5060" s="4">
        <v>0</v>
      </c>
      <c r="F5060" s="8">
        <v>0</v>
      </c>
      <c r="G5060" s="4">
        <v>1</v>
      </c>
      <c r="H5060" s="8">
        <v>1.96</v>
      </c>
      <c r="I5060" s="4">
        <v>0</v>
      </c>
    </row>
    <row r="5061" spans="1:9" x14ac:dyDescent="0.2">
      <c r="A5061" s="2">
        <v>19</v>
      </c>
      <c r="B5061" s="1" t="s">
        <v>376</v>
      </c>
      <c r="C5061" s="4">
        <v>1</v>
      </c>
      <c r="D5061" s="8">
        <v>0.93</v>
      </c>
      <c r="E5061" s="4">
        <v>0</v>
      </c>
      <c r="F5061" s="8">
        <v>0</v>
      </c>
      <c r="G5061" s="4">
        <v>1</v>
      </c>
      <c r="H5061" s="8">
        <v>1.96</v>
      </c>
      <c r="I5061" s="4">
        <v>0</v>
      </c>
    </row>
    <row r="5062" spans="1:9" x14ac:dyDescent="0.2">
      <c r="A5062" s="2">
        <v>19</v>
      </c>
      <c r="B5062" s="1" t="s">
        <v>517</v>
      </c>
      <c r="C5062" s="4">
        <v>1</v>
      </c>
      <c r="D5062" s="8">
        <v>0.93</v>
      </c>
      <c r="E5062" s="4">
        <v>0</v>
      </c>
      <c r="F5062" s="8">
        <v>0</v>
      </c>
      <c r="G5062" s="4">
        <v>1</v>
      </c>
      <c r="H5062" s="8">
        <v>1.96</v>
      </c>
      <c r="I5062" s="4">
        <v>0</v>
      </c>
    </row>
    <row r="5063" spans="1:9" x14ac:dyDescent="0.2">
      <c r="A5063" s="2">
        <v>19</v>
      </c>
      <c r="B5063" s="1" t="s">
        <v>424</v>
      </c>
      <c r="C5063" s="4">
        <v>1</v>
      </c>
      <c r="D5063" s="8">
        <v>0.93</v>
      </c>
      <c r="E5063" s="4">
        <v>0</v>
      </c>
      <c r="F5063" s="8">
        <v>0</v>
      </c>
      <c r="G5063" s="4">
        <v>1</v>
      </c>
      <c r="H5063" s="8">
        <v>1.96</v>
      </c>
      <c r="I5063" s="4">
        <v>0</v>
      </c>
    </row>
    <row r="5064" spans="1:9" x14ac:dyDescent="0.2">
      <c r="A5064" s="2">
        <v>19</v>
      </c>
      <c r="B5064" s="1" t="s">
        <v>461</v>
      </c>
      <c r="C5064" s="4">
        <v>1</v>
      </c>
      <c r="D5064" s="8">
        <v>0.93</v>
      </c>
      <c r="E5064" s="4">
        <v>0</v>
      </c>
      <c r="F5064" s="8">
        <v>0</v>
      </c>
      <c r="G5064" s="4">
        <v>1</v>
      </c>
      <c r="H5064" s="8">
        <v>1.96</v>
      </c>
      <c r="I5064" s="4">
        <v>0</v>
      </c>
    </row>
    <row r="5065" spans="1:9" x14ac:dyDescent="0.2">
      <c r="A5065" s="2">
        <v>19</v>
      </c>
      <c r="B5065" s="1" t="s">
        <v>518</v>
      </c>
      <c r="C5065" s="4">
        <v>1</v>
      </c>
      <c r="D5065" s="8">
        <v>0.93</v>
      </c>
      <c r="E5065" s="4">
        <v>0</v>
      </c>
      <c r="F5065" s="8">
        <v>0</v>
      </c>
      <c r="G5065" s="4">
        <v>1</v>
      </c>
      <c r="H5065" s="8">
        <v>1.96</v>
      </c>
      <c r="I5065" s="4">
        <v>0</v>
      </c>
    </row>
    <row r="5066" spans="1:9" x14ac:dyDescent="0.2">
      <c r="A5066" s="2">
        <v>19</v>
      </c>
      <c r="B5066" s="1" t="s">
        <v>385</v>
      </c>
      <c r="C5066" s="4">
        <v>1</v>
      </c>
      <c r="D5066" s="8">
        <v>0.93</v>
      </c>
      <c r="E5066" s="4">
        <v>0</v>
      </c>
      <c r="F5066" s="8">
        <v>0</v>
      </c>
      <c r="G5066" s="4">
        <v>1</v>
      </c>
      <c r="H5066" s="8">
        <v>1.96</v>
      </c>
      <c r="I5066" s="4">
        <v>0</v>
      </c>
    </row>
    <row r="5067" spans="1:9" x14ac:dyDescent="0.2">
      <c r="A5067" s="2">
        <v>19</v>
      </c>
      <c r="B5067" s="1" t="s">
        <v>465</v>
      </c>
      <c r="C5067" s="4">
        <v>1</v>
      </c>
      <c r="D5067" s="8">
        <v>0.93</v>
      </c>
      <c r="E5067" s="4">
        <v>0</v>
      </c>
      <c r="F5067" s="8">
        <v>0</v>
      </c>
      <c r="G5067" s="4">
        <v>1</v>
      </c>
      <c r="H5067" s="8">
        <v>1.96</v>
      </c>
      <c r="I5067" s="4">
        <v>0</v>
      </c>
    </row>
    <row r="5068" spans="1:9" x14ac:dyDescent="0.2">
      <c r="A5068" s="2">
        <v>19</v>
      </c>
      <c r="B5068" s="1" t="s">
        <v>386</v>
      </c>
      <c r="C5068" s="4">
        <v>1</v>
      </c>
      <c r="D5068" s="8">
        <v>0.93</v>
      </c>
      <c r="E5068" s="4">
        <v>0</v>
      </c>
      <c r="F5068" s="8">
        <v>0</v>
      </c>
      <c r="G5068" s="4">
        <v>1</v>
      </c>
      <c r="H5068" s="8">
        <v>1.96</v>
      </c>
      <c r="I5068" s="4">
        <v>0</v>
      </c>
    </row>
    <row r="5069" spans="1:9" x14ac:dyDescent="0.2">
      <c r="A5069" s="2">
        <v>19</v>
      </c>
      <c r="B5069" s="1" t="s">
        <v>387</v>
      </c>
      <c r="C5069" s="4">
        <v>1</v>
      </c>
      <c r="D5069" s="8">
        <v>0.93</v>
      </c>
      <c r="E5069" s="4">
        <v>0</v>
      </c>
      <c r="F5069" s="8">
        <v>0</v>
      </c>
      <c r="G5069" s="4">
        <v>1</v>
      </c>
      <c r="H5069" s="8">
        <v>1.96</v>
      </c>
      <c r="I5069" s="4">
        <v>0</v>
      </c>
    </row>
    <row r="5070" spans="1:9" x14ac:dyDescent="0.2">
      <c r="A5070" s="2">
        <v>19</v>
      </c>
      <c r="B5070" s="1" t="s">
        <v>362</v>
      </c>
      <c r="C5070" s="4">
        <v>1</v>
      </c>
      <c r="D5070" s="8">
        <v>0.93</v>
      </c>
      <c r="E5070" s="4">
        <v>0</v>
      </c>
      <c r="F5070" s="8">
        <v>0</v>
      </c>
      <c r="G5070" s="4">
        <v>0</v>
      </c>
      <c r="H5070" s="8">
        <v>0</v>
      </c>
      <c r="I5070" s="4">
        <v>0</v>
      </c>
    </row>
    <row r="5071" spans="1:9" x14ac:dyDescent="0.2">
      <c r="A5071" s="2">
        <v>19</v>
      </c>
      <c r="B5071" s="1" t="s">
        <v>407</v>
      </c>
      <c r="C5071" s="4">
        <v>1</v>
      </c>
      <c r="D5071" s="8">
        <v>0.93</v>
      </c>
      <c r="E5071" s="4">
        <v>0</v>
      </c>
      <c r="F5071" s="8">
        <v>0</v>
      </c>
      <c r="G5071" s="4">
        <v>1</v>
      </c>
      <c r="H5071" s="8">
        <v>1.96</v>
      </c>
      <c r="I5071" s="4">
        <v>0</v>
      </c>
    </row>
    <row r="5072" spans="1:9" x14ac:dyDescent="0.2">
      <c r="A5072" s="2">
        <v>19</v>
      </c>
      <c r="B5072" s="1" t="s">
        <v>452</v>
      </c>
      <c r="C5072" s="4">
        <v>1</v>
      </c>
      <c r="D5072" s="8">
        <v>0.93</v>
      </c>
      <c r="E5072" s="4">
        <v>0</v>
      </c>
      <c r="F5072" s="8">
        <v>0</v>
      </c>
      <c r="G5072" s="4">
        <v>1</v>
      </c>
      <c r="H5072" s="8">
        <v>1.96</v>
      </c>
      <c r="I5072" s="4">
        <v>0</v>
      </c>
    </row>
    <row r="5073" spans="1:9" x14ac:dyDescent="0.2">
      <c r="A5073" s="2">
        <v>19</v>
      </c>
      <c r="B5073" s="1" t="s">
        <v>421</v>
      </c>
      <c r="C5073" s="4">
        <v>1</v>
      </c>
      <c r="D5073" s="8">
        <v>0.93</v>
      </c>
      <c r="E5073" s="4">
        <v>0</v>
      </c>
      <c r="F5073" s="8">
        <v>0</v>
      </c>
      <c r="G5073" s="4">
        <v>1</v>
      </c>
      <c r="H5073" s="8">
        <v>1.96</v>
      </c>
      <c r="I5073" s="4">
        <v>0</v>
      </c>
    </row>
    <row r="5074" spans="1:9" x14ac:dyDescent="0.2">
      <c r="A5074" s="2">
        <v>19</v>
      </c>
      <c r="B5074" s="1" t="s">
        <v>479</v>
      </c>
      <c r="C5074" s="4">
        <v>1</v>
      </c>
      <c r="D5074" s="8">
        <v>0.93</v>
      </c>
      <c r="E5074" s="4">
        <v>0</v>
      </c>
      <c r="F5074" s="8">
        <v>0</v>
      </c>
      <c r="G5074" s="4">
        <v>1</v>
      </c>
      <c r="H5074" s="8">
        <v>1.96</v>
      </c>
      <c r="I5074" s="4">
        <v>0</v>
      </c>
    </row>
    <row r="5075" spans="1:9" x14ac:dyDescent="0.2">
      <c r="A5075" s="2">
        <v>19</v>
      </c>
      <c r="B5075" s="1" t="s">
        <v>400</v>
      </c>
      <c r="C5075" s="4">
        <v>1</v>
      </c>
      <c r="D5075" s="8">
        <v>0.93</v>
      </c>
      <c r="E5075" s="4">
        <v>1</v>
      </c>
      <c r="F5075" s="8">
        <v>1.92</v>
      </c>
      <c r="G5075" s="4">
        <v>0</v>
      </c>
      <c r="H5075" s="8">
        <v>0</v>
      </c>
      <c r="I5075" s="4">
        <v>0</v>
      </c>
    </row>
    <row r="5076" spans="1:9" x14ac:dyDescent="0.2">
      <c r="A5076" s="2">
        <v>19</v>
      </c>
      <c r="B5076" s="1" t="s">
        <v>314</v>
      </c>
      <c r="C5076" s="4">
        <v>1</v>
      </c>
      <c r="D5076" s="8">
        <v>0.93</v>
      </c>
      <c r="E5076" s="4">
        <v>1</v>
      </c>
      <c r="F5076" s="8">
        <v>1.92</v>
      </c>
      <c r="G5076" s="4">
        <v>0</v>
      </c>
      <c r="H5076" s="8">
        <v>0</v>
      </c>
      <c r="I5076" s="4">
        <v>0</v>
      </c>
    </row>
    <row r="5077" spans="1:9" x14ac:dyDescent="0.2">
      <c r="A5077" s="2">
        <v>19</v>
      </c>
      <c r="B5077" s="1" t="s">
        <v>382</v>
      </c>
      <c r="C5077" s="4">
        <v>1</v>
      </c>
      <c r="D5077" s="8">
        <v>0.93</v>
      </c>
      <c r="E5077" s="4">
        <v>1</v>
      </c>
      <c r="F5077" s="8">
        <v>1.92</v>
      </c>
      <c r="G5077" s="4">
        <v>0</v>
      </c>
      <c r="H5077" s="8">
        <v>0</v>
      </c>
      <c r="I5077" s="4">
        <v>0</v>
      </c>
    </row>
    <row r="5078" spans="1:9" x14ac:dyDescent="0.2">
      <c r="A5078" s="2">
        <v>19</v>
      </c>
      <c r="B5078" s="1" t="s">
        <v>336</v>
      </c>
      <c r="C5078" s="4">
        <v>1</v>
      </c>
      <c r="D5078" s="8">
        <v>0.93</v>
      </c>
      <c r="E5078" s="4">
        <v>0</v>
      </c>
      <c r="F5078" s="8">
        <v>0</v>
      </c>
      <c r="G5078" s="4">
        <v>1</v>
      </c>
      <c r="H5078" s="8">
        <v>1.96</v>
      </c>
      <c r="I5078" s="4">
        <v>0</v>
      </c>
    </row>
    <row r="5079" spans="1:9" x14ac:dyDescent="0.2">
      <c r="A5079" s="2">
        <v>19</v>
      </c>
      <c r="B5079" s="1" t="s">
        <v>366</v>
      </c>
      <c r="C5079" s="4">
        <v>1</v>
      </c>
      <c r="D5079" s="8">
        <v>0.93</v>
      </c>
      <c r="E5079" s="4">
        <v>0</v>
      </c>
      <c r="F5079" s="8">
        <v>0</v>
      </c>
      <c r="G5079" s="4">
        <v>1</v>
      </c>
      <c r="H5079" s="8">
        <v>1.96</v>
      </c>
      <c r="I5079" s="4">
        <v>0</v>
      </c>
    </row>
    <row r="5080" spans="1:9" x14ac:dyDescent="0.2">
      <c r="A5080" s="2">
        <v>19</v>
      </c>
      <c r="B5080" s="1" t="s">
        <v>293</v>
      </c>
      <c r="C5080" s="4">
        <v>1</v>
      </c>
      <c r="D5080" s="8">
        <v>0.93</v>
      </c>
      <c r="E5080" s="4">
        <v>1</v>
      </c>
      <c r="F5080" s="8">
        <v>1.92</v>
      </c>
      <c r="G5080" s="4">
        <v>0</v>
      </c>
      <c r="H5080" s="8">
        <v>0</v>
      </c>
      <c r="I5080" s="4">
        <v>0</v>
      </c>
    </row>
    <row r="5081" spans="1:9" x14ac:dyDescent="0.2">
      <c r="A5081" s="2">
        <v>19</v>
      </c>
      <c r="B5081" s="1" t="s">
        <v>330</v>
      </c>
      <c r="C5081" s="4">
        <v>1</v>
      </c>
      <c r="D5081" s="8">
        <v>0.93</v>
      </c>
      <c r="E5081" s="4">
        <v>1</v>
      </c>
      <c r="F5081" s="8">
        <v>1.92</v>
      </c>
      <c r="G5081" s="4">
        <v>0</v>
      </c>
      <c r="H5081" s="8">
        <v>0</v>
      </c>
      <c r="I5081" s="4">
        <v>0</v>
      </c>
    </row>
    <row r="5082" spans="1:9" x14ac:dyDescent="0.2">
      <c r="A5082" s="2">
        <v>19</v>
      </c>
      <c r="B5082" s="1" t="s">
        <v>337</v>
      </c>
      <c r="C5082" s="4">
        <v>1</v>
      </c>
      <c r="D5082" s="8">
        <v>0.93</v>
      </c>
      <c r="E5082" s="4">
        <v>1</v>
      </c>
      <c r="F5082" s="8">
        <v>1.92</v>
      </c>
      <c r="G5082" s="4">
        <v>0</v>
      </c>
      <c r="H5082" s="8">
        <v>0</v>
      </c>
      <c r="I5082" s="4">
        <v>0</v>
      </c>
    </row>
    <row r="5083" spans="1:9" x14ac:dyDescent="0.2">
      <c r="A5083" s="2">
        <v>19</v>
      </c>
      <c r="B5083" s="1" t="s">
        <v>338</v>
      </c>
      <c r="C5083" s="4">
        <v>1</v>
      </c>
      <c r="D5083" s="8">
        <v>0.93</v>
      </c>
      <c r="E5083" s="4">
        <v>1</v>
      </c>
      <c r="F5083" s="8">
        <v>1.92</v>
      </c>
      <c r="G5083" s="4">
        <v>0</v>
      </c>
      <c r="H5083" s="8">
        <v>0</v>
      </c>
      <c r="I5083" s="4">
        <v>0</v>
      </c>
    </row>
    <row r="5084" spans="1:9" x14ac:dyDescent="0.2">
      <c r="A5084" s="2">
        <v>19</v>
      </c>
      <c r="B5084" s="1" t="s">
        <v>415</v>
      </c>
      <c r="C5084" s="4">
        <v>1</v>
      </c>
      <c r="D5084" s="8">
        <v>0.93</v>
      </c>
      <c r="E5084" s="4">
        <v>0</v>
      </c>
      <c r="F5084" s="8">
        <v>0</v>
      </c>
      <c r="G5084" s="4">
        <v>1</v>
      </c>
      <c r="H5084" s="8">
        <v>1.96</v>
      </c>
      <c r="I5084" s="4">
        <v>0</v>
      </c>
    </row>
    <row r="5085" spans="1:9" x14ac:dyDescent="0.2">
      <c r="A5085" s="2">
        <v>19</v>
      </c>
      <c r="B5085" s="1" t="s">
        <v>416</v>
      </c>
      <c r="C5085" s="4">
        <v>1</v>
      </c>
      <c r="D5085" s="8">
        <v>0.93</v>
      </c>
      <c r="E5085" s="4">
        <v>1</v>
      </c>
      <c r="F5085" s="8">
        <v>1.92</v>
      </c>
      <c r="G5085" s="4">
        <v>0</v>
      </c>
      <c r="H5085" s="8">
        <v>0</v>
      </c>
      <c r="I5085" s="4">
        <v>0</v>
      </c>
    </row>
    <row r="5086" spans="1:9" x14ac:dyDescent="0.2">
      <c r="A5086" s="2">
        <v>19</v>
      </c>
      <c r="B5086" s="1" t="s">
        <v>495</v>
      </c>
      <c r="C5086" s="4">
        <v>1</v>
      </c>
      <c r="D5086" s="8">
        <v>0.93</v>
      </c>
      <c r="E5086" s="4">
        <v>1</v>
      </c>
      <c r="F5086" s="8">
        <v>1.92</v>
      </c>
      <c r="G5086" s="4">
        <v>0</v>
      </c>
      <c r="H5086" s="8">
        <v>0</v>
      </c>
      <c r="I5086" s="4">
        <v>0</v>
      </c>
    </row>
    <row r="5087" spans="1:9" x14ac:dyDescent="0.2">
      <c r="A5087" s="2">
        <v>19</v>
      </c>
      <c r="B5087" s="1" t="s">
        <v>298</v>
      </c>
      <c r="C5087" s="4">
        <v>1</v>
      </c>
      <c r="D5087" s="8">
        <v>0.93</v>
      </c>
      <c r="E5087" s="4">
        <v>0</v>
      </c>
      <c r="F5087" s="8">
        <v>0</v>
      </c>
      <c r="G5087" s="4">
        <v>1</v>
      </c>
      <c r="H5087" s="8">
        <v>1.96</v>
      </c>
      <c r="I5087" s="4">
        <v>0</v>
      </c>
    </row>
    <row r="5088" spans="1:9" x14ac:dyDescent="0.2">
      <c r="A5088" s="2">
        <v>19</v>
      </c>
      <c r="B5088" s="1" t="s">
        <v>409</v>
      </c>
      <c r="C5088" s="4">
        <v>1</v>
      </c>
      <c r="D5088" s="8">
        <v>0.93</v>
      </c>
      <c r="E5088" s="4">
        <v>1</v>
      </c>
      <c r="F5088" s="8">
        <v>1.92</v>
      </c>
      <c r="G5088" s="4">
        <v>0</v>
      </c>
      <c r="H5088" s="8">
        <v>0</v>
      </c>
      <c r="I5088" s="4">
        <v>0</v>
      </c>
    </row>
    <row r="5089" spans="1:9" x14ac:dyDescent="0.2">
      <c r="A5089" s="2">
        <v>19</v>
      </c>
      <c r="B5089" s="1" t="s">
        <v>418</v>
      </c>
      <c r="C5089" s="4">
        <v>1</v>
      </c>
      <c r="D5089" s="8">
        <v>0.93</v>
      </c>
      <c r="E5089" s="4">
        <v>0</v>
      </c>
      <c r="F5089" s="8">
        <v>0</v>
      </c>
      <c r="G5089" s="4">
        <v>1</v>
      </c>
      <c r="H5089" s="8">
        <v>1.96</v>
      </c>
      <c r="I5089" s="4">
        <v>0</v>
      </c>
    </row>
    <row r="5090" spans="1:9" x14ac:dyDescent="0.2">
      <c r="A5090" s="2">
        <v>19</v>
      </c>
      <c r="B5090" s="1" t="s">
        <v>301</v>
      </c>
      <c r="C5090" s="4">
        <v>1</v>
      </c>
      <c r="D5090" s="8">
        <v>0.93</v>
      </c>
      <c r="E5090" s="4">
        <v>1</v>
      </c>
      <c r="F5090" s="8">
        <v>1.92</v>
      </c>
      <c r="G5090" s="4">
        <v>0</v>
      </c>
      <c r="H5090" s="8">
        <v>0</v>
      </c>
      <c r="I5090" s="4">
        <v>0</v>
      </c>
    </row>
    <row r="5091" spans="1:9" x14ac:dyDescent="0.2">
      <c r="A5091" s="2">
        <v>19</v>
      </c>
      <c r="B5091" s="1" t="s">
        <v>302</v>
      </c>
      <c r="C5091" s="4">
        <v>1</v>
      </c>
      <c r="D5091" s="8">
        <v>0.93</v>
      </c>
      <c r="E5091" s="4">
        <v>1</v>
      </c>
      <c r="F5091" s="8">
        <v>1.92</v>
      </c>
      <c r="G5091" s="4">
        <v>0</v>
      </c>
      <c r="H5091" s="8">
        <v>0</v>
      </c>
      <c r="I5091" s="4">
        <v>0</v>
      </c>
    </row>
    <row r="5092" spans="1:9" x14ac:dyDescent="0.2">
      <c r="A5092" s="2">
        <v>19</v>
      </c>
      <c r="B5092" s="1" t="s">
        <v>323</v>
      </c>
      <c r="C5092" s="4">
        <v>1</v>
      </c>
      <c r="D5092" s="8">
        <v>0.93</v>
      </c>
      <c r="E5092" s="4">
        <v>1</v>
      </c>
      <c r="F5092" s="8">
        <v>1.92</v>
      </c>
      <c r="G5092" s="4">
        <v>0</v>
      </c>
      <c r="H5092" s="8">
        <v>0</v>
      </c>
      <c r="I5092" s="4">
        <v>0</v>
      </c>
    </row>
    <row r="5093" spans="1:9" x14ac:dyDescent="0.2">
      <c r="A5093" s="2">
        <v>19</v>
      </c>
      <c r="B5093" s="1" t="s">
        <v>303</v>
      </c>
      <c r="C5093" s="4">
        <v>1</v>
      </c>
      <c r="D5093" s="8">
        <v>0.93</v>
      </c>
      <c r="E5093" s="4">
        <v>1</v>
      </c>
      <c r="F5093" s="8">
        <v>1.92</v>
      </c>
      <c r="G5093" s="4">
        <v>0</v>
      </c>
      <c r="H5093" s="8">
        <v>0</v>
      </c>
      <c r="I5093" s="4">
        <v>0</v>
      </c>
    </row>
    <row r="5094" spans="1:9" x14ac:dyDescent="0.2">
      <c r="A5094" s="2">
        <v>19</v>
      </c>
      <c r="B5094" s="1" t="s">
        <v>411</v>
      </c>
      <c r="C5094" s="4">
        <v>1</v>
      </c>
      <c r="D5094" s="8">
        <v>0.93</v>
      </c>
      <c r="E5094" s="4">
        <v>0</v>
      </c>
      <c r="F5094" s="8">
        <v>0</v>
      </c>
      <c r="G5094" s="4">
        <v>1</v>
      </c>
      <c r="H5094" s="8">
        <v>1.96</v>
      </c>
      <c r="I5094" s="4">
        <v>0</v>
      </c>
    </row>
    <row r="5095" spans="1:9" x14ac:dyDescent="0.2">
      <c r="A5095" s="2">
        <v>19</v>
      </c>
      <c r="B5095" s="1" t="s">
        <v>340</v>
      </c>
      <c r="C5095" s="4">
        <v>1</v>
      </c>
      <c r="D5095" s="8">
        <v>0.93</v>
      </c>
      <c r="E5095" s="4">
        <v>0</v>
      </c>
      <c r="F5095" s="8">
        <v>0</v>
      </c>
      <c r="G5095" s="4">
        <v>0</v>
      </c>
      <c r="H5095" s="8">
        <v>0</v>
      </c>
      <c r="I5095" s="4">
        <v>0</v>
      </c>
    </row>
    <row r="5096" spans="1:9" x14ac:dyDescent="0.2">
      <c r="A5096" s="2">
        <v>19</v>
      </c>
      <c r="B5096" s="1" t="s">
        <v>327</v>
      </c>
      <c r="C5096" s="4">
        <v>1</v>
      </c>
      <c r="D5096" s="8">
        <v>0.93</v>
      </c>
      <c r="E5096" s="4">
        <v>1</v>
      </c>
      <c r="F5096" s="8">
        <v>1.92</v>
      </c>
      <c r="G5096" s="4">
        <v>0</v>
      </c>
      <c r="H5096" s="8">
        <v>0</v>
      </c>
      <c r="I5096" s="4">
        <v>0</v>
      </c>
    </row>
    <row r="5097" spans="1:9" x14ac:dyDescent="0.2">
      <c r="A5097" s="2">
        <v>19</v>
      </c>
      <c r="B5097" s="1" t="s">
        <v>519</v>
      </c>
      <c r="C5097" s="4">
        <v>1</v>
      </c>
      <c r="D5097" s="8">
        <v>0.93</v>
      </c>
      <c r="E5097" s="4">
        <v>0</v>
      </c>
      <c r="F5097" s="8">
        <v>0</v>
      </c>
      <c r="G5097" s="4">
        <v>1</v>
      </c>
      <c r="H5097" s="8">
        <v>1.96</v>
      </c>
      <c r="I5097" s="4">
        <v>0</v>
      </c>
    </row>
    <row r="5098" spans="1:9" x14ac:dyDescent="0.2">
      <c r="A5098" s="2">
        <v>19</v>
      </c>
      <c r="B5098" s="1" t="s">
        <v>341</v>
      </c>
      <c r="C5098" s="4">
        <v>1</v>
      </c>
      <c r="D5098" s="8">
        <v>0.93</v>
      </c>
      <c r="E5098" s="4">
        <v>0</v>
      </c>
      <c r="F5098" s="8">
        <v>0</v>
      </c>
      <c r="G5098" s="4">
        <v>0</v>
      </c>
      <c r="H5098" s="8">
        <v>0</v>
      </c>
      <c r="I5098" s="4">
        <v>0</v>
      </c>
    </row>
    <row r="5099" spans="1:9" x14ac:dyDescent="0.2">
      <c r="A5099" s="2">
        <v>19</v>
      </c>
      <c r="B5099" s="1" t="s">
        <v>331</v>
      </c>
      <c r="C5099" s="4">
        <v>1</v>
      </c>
      <c r="D5099" s="8">
        <v>0.93</v>
      </c>
      <c r="E5099" s="4">
        <v>0</v>
      </c>
      <c r="F5099" s="8">
        <v>0</v>
      </c>
      <c r="G5099" s="4">
        <v>1</v>
      </c>
      <c r="H5099" s="8">
        <v>1.96</v>
      </c>
      <c r="I5099" s="4">
        <v>0</v>
      </c>
    </row>
    <row r="5100" spans="1:9" x14ac:dyDescent="0.2">
      <c r="A5100" s="2">
        <v>19</v>
      </c>
      <c r="B5100" s="1" t="s">
        <v>347</v>
      </c>
      <c r="C5100" s="4">
        <v>1</v>
      </c>
      <c r="D5100" s="8">
        <v>0.93</v>
      </c>
      <c r="E5100" s="4">
        <v>0</v>
      </c>
      <c r="F5100" s="8">
        <v>0</v>
      </c>
      <c r="G5100" s="4">
        <v>1</v>
      </c>
      <c r="H5100" s="8">
        <v>1.96</v>
      </c>
      <c r="I5100" s="4">
        <v>0</v>
      </c>
    </row>
    <row r="5101" spans="1:9" x14ac:dyDescent="0.2">
      <c r="A5101" s="2">
        <v>19</v>
      </c>
      <c r="B5101" s="1" t="s">
        <v>307</v>
      </c>
      <c r="C5101" s="4">
        <v>1</v>
      </c>
      <c r="D5101" s="8">
        <v>0.93</v>
      </c>
      <c r="E5101" s="4">
        <v>1</v>
      </c>
      <c r="F5101" s="8">
        <v>1.92</v>
      </c>
      <c r="G5101" s="4">
        <v>0</v>
      </c>
      <c r="H5101" s="8">
        <v>0</v>
      </c>
      <c r="I5101" s="4">
        <v>0</v>
      </c>
    </row>
    <row r="5102" spans="1:9" x14ac:dyDescent="0.2">
      <c r="A5102" s="2">
        <v>19</v>
      </c>
      <c r="B5102" s="1" t="s">
        <v>371</v>
      </c>
      <c r="C5102" s="4">
        <v>1</v>
      </c>
      <c r="D5102" s="8">
        <v>0.93</v>
      </c>
      <c r="E5102" s="4">
        <v>1</v>
      </c>
      <c r="F5102" s="8">
        <v>1.92</v>
      </c>
      <c r="G5102" s="4">
        <v>0</v>
      </c>
      <c r="H5102" s="8">
        <v>0</v>
      </c>
      <c r="I5102" s="4">
        <v>0</v>
      </c>
    </row>
    <row r="5103" spans="1:9" x14ac:dyDescent="0.2">
      <c r="A5103" s="2">
        <v>19</v>
      </c>
      <c r="B5103" s="1" t="s">
        <v>318</v>
      </c>
      <c r="C5103" s="4">
        <v>1</v>
      </c>
      <c r="D5103" s="8">
        <v>0.93</v>
      </c>
      <c r="E5103" s="4">
        <v>0</v>
      </c>
      <c r="F5103" s="8">
        <v>0</v>
      </c>
      <c r="G5103" s="4">
        <v>1</v>
      </c>
      <c r="H5103" s="8">
        <v>1.96</v>
      </c>
      <c r="I5103" s="4">
        <v>0</v>
      </c>
    </row>
    <row r="5104" spans="1:9" x14ac:dyDescent="0.2">
      <c r="A5104" s="2">
        <v>19</v>
      </c>
      <c r="B5104" s="1" t="s">
        <v>345</v>
      </c>
      <c r="C5104" s="4">
        <v>1</v>
      </c>
      <c r="D5104" s="8">
        <v>0.93</v>
      </c>
      <c r="E5104" s="4">
        <v>1</v>
      </c>
      <c r="F5104" s="8">
        <v>1.92</v>
      </c>
      <c r="G5104" s="4">
        <v>0</v>
      </c>
      <c r="H5104" s="8">
        <v>0</v>
      </c>
      <c r="I5104" s="4">
        <v>0</v>
      </c>
    </row>
    <row r="5105" spans="1:9" x14ac:dyDescent="0.2">
      <c r="A5105" s="2">
        <v>19</v>
      </c>
      <c r="B5105" s="1" t="s">
        <v>456</v>
      </c>
      <c r="C5105" s="4">
        <v>1</v>
      </c>
      <c r="D5105" s="8">
        <v>0.93</v>
      </c>
      <c r="E5105" s="4">
        <v>0</v>
      </c>
      <c r="F5105" s="8">
        <v>0</v>
      </c>
      <c r="G5105" s="4">
        <v>0</v>
      </c>
      <c r="H5105" s="8">
        <v>0</v>
      </c>
      <c r="I5105" s="4">
        <v>0</v>
      </c>
    </row>
    <row r="5106" spans="1:9" x14ac:dyDescent="0.2">
      <c r="A5106" s="1"/>
      <c r="C5106" s="4"/>
      <c r="D5106" s="8"/>
      <c r="E5106" s="4"/>
      <c r="F5106" s="8"/>
      <c r="G5106" s="4"/>
      <c r="H5106" s="8"/>
      <c r="I5106" s="4"/>
    </row>
    <row r="5107" spans="1:9" x14ac:dyDescent="0.2">
      <c r="A5107" s="1" t="s">
        <v>169</v>
      </c>
      <c r="C5107" s="4"/>
      <c r="D5107" s="8"/>
      <c r="E5107" s="4"/>
      <c r="F5107" s="8"/>
      <c r="G5107" s="4"/>
      <c r="H5107" s="8"/>
      <c r="I5107" s="4"/>
    </row>
    <row r="5108" spans="1:9" x14ac:dyDescent="0.2">
      <c r="A5108" s="2">
        <v>1</v>
      </c>
      <c r="B5108" s="1" t="s">
        <v>299</v>
      </c>
      <c r="C5108" s="4">
        <v>5</v>
      </c>
      <c r="D5108" s="8">
        <v>8.06</v>
      </c>
      <c r="E5108" s="4">
        <v>5</v>
      </c>
      <c r="F5108" s="8">
        <v>14.29</v>
      </c>
      <c r="G5108" s="4">
        <v>0</v>
      </c>
      <c r="H5108" s="8">
        <v>0</v>
      </c>
      <c r="I5108" s="4">
        <v>0</v>
      </c>
    </row>
    <row r="5109" spans="1:9" x14ac:dyDescent="0.2">
      <c r="A5109" s="2">
        <v>2</v>
      </c>
      <c r="B5109" s="1" t="s">
        <v>305</v>
      </c>
      <c r="C5109" s="4">
        <v>4</v>
      </c>
      <c r="D5109" s="8">
        <v>6.45</v>
      </c>
      <c r="E5109" s="4">
        <v>4</v>
      </c>
      <c r="F5109" s="8">
        <v>11.43</v>
      </c>
      <c r="G5109" s="4">
        <v>0</v>
      </c>
      <c r="H5109" s="8">
        <v>0</v>
      </c>
      <c r="I5109" s="4">
        <v>0</v>
      </c>
    </row>
    <row r="5110" spans="1:9" x14ac:dyDescent="0.2">
      <c r="A5110" s="2">
        <v>3</v>
      </c>
      <c r="B5110" s="1" t="s">
        <v>324</v>
      </c>
      <c r="C5110" s="4">
        <v>3</v>
      </c>
      <c r="D5110" s="8">
        <v>4.84</v>
      </c>
      <c r="E5110" s="4">
        <v>0</v>
      </c>
      <c r="F5110" s="8">
        <v>0</v>
      </c>
      <c r="G5110" s="4">
        <v>3</v>
      </c>
      <c r="H5110" s="8">
        <v>11.54</v>
      </c>
      <c r="I5110" s="4">
        <v>0</v>
      </c>
    </row>
    <row r="5111" spans="1:9" x14ac:dyDescent="0.2">
      <c r="A5111" s="2">
        <v>3</v>
      </c>
      <c r="B5111" s="1" t="s">
        <v>294</v>
      </c>
      <c r="C5111" s="4">
        <v>3</v>
      </c>
      <c r="D5111" s="8">
        <v>4.84</v>
      </c>
      <c r="E5111" s="4">
        <v>1</v>
      </c>
      <c r="F5111" s="8">
        <v>2.86</v>
      </c>
      <c r="G5111" s="4">
        <v>2</v>
      </c>
      <c r="H5111" s="8">
        <v>7.69</v>
      </c>
      <c r="I5111" s="4">
        <v>0</v>
      </c>
    </row>
    <row r="5112" spans="1:9" x14ac:dyDescent="0.2">
      <c r="A5112" s="2">
        <v>3</v>
      </c>
      <c r="B5112" s="1" t="s">
        <v>334</v>
      </c>
      <c r="C5112" s="4">
        <v>3</v>
      </c>
      <c r="D5112" s="8">
        <v>4.84</v>
      </c>
      <c r="E5112" s="4">
        <v>2</v>
      </c>
      <c r="F5112" s="8">
        <v>5.71</v>
      </c>
      <c r="G5112" s="4">
        <v>1</v>
      </c>
      <c r="H5112" s="8">
        <v>3.85</v>
      </c>
      <c r="I5112" s="4">
        <v>0</v>
      </c>
    </row>
    <row r="5113" spans="1:9" x14ac:dyDescent="0.2">
      <c r="A5113" s="2">
        <v>6</v>
      </c>
      <c r="B5113" s="1" t="s">
        <v>329</v>
      </c>
      <c r="C5113" s="4">
        <v>2</v>
      </c>
      <c r="D5113" s="8">
        <v>3.23</v>
      </c>
      <c r="E5113" s="4">
        <v>1</v>
      </c>
      <c r="F5113" s="8">
        <v>2.86</v>
      </c>
      <c r="G5113" s="4">
        <v>1</v>
      </c>
      <c r="H5113" s="8">
        <v>3.85</v>
      </c>
      <c r="I5113" s="4">
        <v>0</v>
      </c>
    </row>
    <row r="5114" spans="1:9" x14ac:dyDescent="0.2">
      <c r="A5114" s="2">
        <v>6</v>
      </c>
      <c r="B5114" s="1" t="s">
        <v>330</v>
      </c>
      <c r="C5114" s="4">
        <v>2</v>
      </c>
      <c r="D5114" s="8">
        <v>3.23</v>
      </c>
      <c r="E5114" s="4">
        <v>1</v>
      </c>
      <c r="F5114" s="8">
        <v>2.86</v>
      </c>
      <c r="G5114" s="4">
        <v>1</v>
      </c>
      <c r="H5114" s="8">
        <v>3.85</v>
      </c>
      <c r="I5114" s="4">
        <v>0</v>
      </c>
    </row>
    <row r="5115" spans="1:9" x14ac:dyDescent="0.2">
      <c r="A5115" s="2">
        <v>6</v>
      </c>
      <c r="B5115" s="1" t="s">
        <v>295</v>
      </c>
      <c r="C5115" s="4">
        <v>2</v>
      </c>
      <c r="D5115" s="8">
        <v>3.23</v>
      </c>
      <c r="E5115" s="4">
        <v>2</v>
      </c>
      <c r="F5115" s="8">
        <v>5.71</v>
      </c>
      <c r="G5115" s="4">
        <v>0</v>
      </c>
      <c r="H5115" s="8">
        <v>0</v>
      </c>
      <c r="I5115" s="4">
        <v>0</v>
      </c>
    </row>
    <row r="5116" spans="1:9" x14ac:dyDescent="0.2">
      <c r="A5116" s="2">
        <v>6</v>
      </c>
      <c r="B5116" s="1" t="s">
        <v>418</v>
      </c>
      <c r="C5116" s="4">
        <v>2</v>
      </c>
      <c r="D5116" s="8">
        <v>3.23</v>
      </c>
      <c r="E5116" s="4">
        <v>0</v>
      </c>
      <c r="F5116" s="8">
        <v>0</v>
      </c>
      <c r="G5116" s="4">
        <v>2</v>
      </c>
      <c r="H5116" s="8">
        <v>7.69</v>
      </c>
      <c r="I5116" s="4">
        <v>0</v>
      </c>
    </row>
    <row r="5117" spans="1:9" x14ac:dyDescent="0.2">
      <c r="A5117" s="2">
        <v>6</v>
      </c>
      <c r="B5117" s="1" t="s">
        <v>301</v>
      </c>
      <c r="C5117" s="4">
        <v>2</v>
      </c>
      <c r="D5117" s="8">
        <v>3.23</v>
      </c>
      <c r="E5117" s="4">
        <v>2</v>
      </c>
      <c r="F5117" s="8">
        <v>5.71</v>
      </c>
      <c r="G5117" s="4">
        <v>0</v>
      </c>
      <c r="H5117" s="8">
        <v>0</v>
      </c>
      <c r="I5117" s="4">
        <v>0</v>
      </c>
    </row>
    <row r="5118" spans="1:9" x14ac:dyDescent="0.2">
      <c r="A5118" s="2">
        <v>6</v>
      </c>
      <c r="B5118" s="1" t="s">
        <v>303</v>
      </c>
      <c r="C5118" s="4">
        <v>2</v>
      </c>
      <c r="D5118" s="8">
        <v>3.23</v>
      </c>
      <c r="E5118" s="4">
        <v>2</v>
      </c>
      <c r="F5118" s="8">
        <v>5.71</v>
      </c>
      <c r="G5118" s="4">
        <v>0</v>
      </c>
      <c r="H5118" s="8">
        <v>0</v>
      </c>
      <c r="I5118" s="4">
        <v>0</v>
      </c>
    </row>
    <row r="5119" spans="1:9" x14ac:dyDescent="0.2">
      <c r="A5119" s="2">
        <v>6</v>
      </c>
      <c r="B5119" s="1" t="s">
        <v>304</v>
      </c>
      <c r="C5119" s="4">
        <v>2</v>
      </c>
      <c r="D5119" s="8">
        <v>3.23</v>
      </c>
      <c r="E5119" s="4">
        <v>2</v>
      </c>
      <c r="F5119" s="8">
        <v>5.71</v>
      </c>
      <c r="G5119" s="4">
        <v>0</v>
      </c>
      <c r="H5119" s="8">
        <v>0</v>
      </c>
      <c r="I5119" s="4">
        <v>0</v>
      </c>
    </row>
    <row r="5120" spans="1:9" x14ac:dyDescent="0.2">
      <c r="A5120" s="2">
        <v>6</v>
      </c>
      <c r="B5120" s="1" t="s">
        <v>306</v>
      </c>
      <c r="C5120" s="4">
        <v>2</v>
      </c>
      <c r="D5120" s="8">
        <v>3.23</v>
      </c>
      <c r="E5120" s="4">
        <v>2</v>
      </c>
      <c r="F5120" s="8">
        <v>5.71</v>
      </c>
      <c r="G5120" s="4">
        <v>0</v>
      </c>
      <c r="H5120" s="8">
        <v>0</v>
      </c>
      <c r="I5120" s="4">
        <v>0</v>
      </c>
    </row>
    <row r="5121" spans="1:9" x14ac:dyDescent="0.2">
      <c r="A5121" s="2">
        <v>14</v>
      </c>
      <c r="B5121" s="1" t="s">
        <v>289</v>
      </c>
      <c r="C5121" s="4">
        <v>1</v>
      </c>
      <c r="D5121" s="8">
        <v>1.61</v>
      </c>
      <c r="E5121" s="4">
        <v>0</v>
      </c>
      <c r="F5121" s="8">
        <v>0</v>
      </c>
      <c r="G5121" s="4">
        <v>1</v>
      </c>
      <c r="H5121" s="8">
        <v>3.85</v>
      </c>
      <c r="I5121" s="4">
        <v>0</v>
      </c>
    </row>
    <row r="5122" spans="1:9" x14ac:dyDescent="0.2">
      <c r="A5122" s="2">
        <v>14</v>
      </c>
      <c r="B5122" s="1" t="s">
        <v>290</v>
      </c>
      <c r="C5122" s="4">
        <v>1</v>
      </c>
      <c r="D5122" s="8">
        <v>1.61</v>
      </c>
      <c r="E5122" s="4">
        <v>0</v>
      </c>
      <c r="F5122" s="8">
        <v>0</v>
      </c>
      <c r="G5122" s="4">
        <v>1</v>
      </c>
      <c r="H5122" s="8">
        <v>3.85</v>
      </c>
      <c r="I5122" s="4">
        <v>0</v>
      </c>
    </row>
    <row r="5123" spans="1:9" x14ac:dyDescent="0.2">
      <c r="A5123" s="2">
        <v>14</v>
      </c>
      <c r="B5123" s="1" t="s">
        <v>413</v>
      </c>
      <c r="C5123" s="4">
        <v>1</v>
      </c>
      <c r="D5123" s="8">
        <v>1.61</v>
      </c>
      <c r="E5123" s="4">
        <v>0</v>
      </c>
      <c r="F5123" s="8">
        <v>0</v>
      </c>
      <c r="G5123" s="4">
        <v>1</v>
      </c>
      <c r="H5123" s="8">
        <v>3.85</v>
      </c>
      <c r="I5123" s="4">
        <v>0</v>
      </c>
    </row>
    <row r="5124" spans="1:9" x14ac:dyDescent="0.2">
      <c r="A5124" s="2">
        <v>14</v>
      </c>
      <c r="B5124" s="1" t="s">
        <v>351</v>
      </c>
      <c r="C5124" s="4">
        <v>1</v>
      </c>
      <c r="D5124" s="8">
        <v>1.61</v>
      </c>
      <c r="E5124" s="4">
        <v>0</v>
      </c>
      <c r="F5124" s="8">
        <v>0</v>
      </c>
      <c r="G5124" s="4">
        <v>1</v>
      </c>
      <c r="H5124" s="8">
        <v>3.85</v>
      </c>
      <c r="I5124" s="4">
        <v>0</v>
      </c>
    </row>
    <row r="5125" spans="1:9" x14ac:dyDescent="0.2">
      <c r="A5125" s="2">
        <v>14</v>
      </c>
      <c r="B5125" s="1" t="s">
        <v>374</v>
      </c>
      <c r="C5125" s="4">
        <v>1</v>
      </c>
      <c r="D5125" s="8">
        <v>1.61</v>
      </c>
      <c r="E5125" s="4">
        <v>1</v>
      </c>
      <c r="F5125" s="8">
        <v>2.86</v>
      </c>
      <c r="G5125" s="4">
        <v>0</v>
      </c>
      <c r="H5125" s="8">
        <v>0</v>
      </c>
      <c r="I5125" s="4">
        <v>0</v>
      </c>
    </row>
    <row r="5126" spans="1:9" x14ac:dyDescent="0.2">
      <c r="A5126" s="2">
        <v>14</v>
      </c>
      <c r="B5126" s="1" t="s">
        <v>387</v>
      </c>
      <c r="C5126" s="4">
        <v>1</v>
      </c>
      <c r="D5126" s="8">
        <v>1.61</v>
      </c>
      <c r="E5126" s="4">
        <v>0</v>
      </c>
      <c r="F5126" s="8">
        <v>0</v>
      </c>
      <c r="G5126" s="4">
        <v>1</v>
      </c>
      <c r="H5126" s="8">
        <v>3.85</v>
      </c>
      <c r="I5126" s="4">
        <v>0</v>
      </c>
    </row>
    <row r="5127" spans="1:9" x14ac:dyDescent="0.2">
      <c r="A5127" s="2">
        <v>14</v>
      </c>
      <c r="B5127" s="1" t="s">
        <v>361</v>
      </c>
      <c r="C5127" s="4">
        <v>1</v>
      </c>
      <c r="D5127" s="8">
        <v>1.61</v>
      </c>
      <c r="E5127" s="4">
        <v>0</v>
      </c>
      <c r="F5127" s="8">
        <v>0</v>
      </c>
      <c r="G5127" s="4">
        <v>0</v>
      </c>
      <c r="H5127" s="8">
        <v>0</v>
      </c>
      <c r="I5127" s="4">
        <v>0</v>
      </c>
    </row>
    <row r="5128" spans="1:9" x14ac:dyDescent="0.2">
      <c r="A5128" s="2">
        <v>14</v>
      </c>
      <c r="B5128" s="1" t="s">
        <v>477</v>
      </c>
      <c r="C5128" s="4">
        <v>1</v>
      </c>
      <c r="D5128" s="8">
        <v>1.61</v>
      </c>
      <c r="E5128" s="4">
        <v>0</v>
      </c>
      <c r="F5128" s="8">
        <v>0</v>
      </c>
      <c r="G5128" s="4">
        <v>1</v>
      </c>
      <c r="H5128" s="8">
        <v>3.85</v>
      </c>
      <c r="I5128" s="4">
        <v>0</v>
      </c>
    </row>
    <row r="5129" spans="1:9" x14ac:dyDescent="0.2">
      <c r="A5129" s="2">
        <v>14</v>
      </c>
      <c r="B5129" s="1" t="s">
        <v>309</v>
      </c>
      <c r="C5129" s="4">
        <v>1</v>
      </c>
      <c r="D5129" s="8">
        <v>1.61</v>
      </c>
      <c r="E5129" s="4">
        <v>1</v>
      </c>
      <c r="F5129" s="8">
        <v>2.86</v>
      </c>
      <c r="G5129" s="4">
        <v>0</v>
      </c>
      <c r="H5129" s="8">
        <v>0</v>
      </c>
      <c r="I5129" s="4">
        <v>0</v>
      </c>
    </row>
    <row r="5130" spans="1:9" x14ac:dyDescent="0.2">
      <c r="A5130" s="2">
        <v>14</v>
      </c>
      <c r="B5130" s="1" t="s">
        <v>400</v>
      </c>
      <c r="C5130" s="4">
        <v>1</v>
      </c>
      <c r="D5130" s="8">
        <v>1.61</v>
      </c>
      <c r="E5130" s="4">
        <v>1</v>
      </c>
      <c r="F5130" s="8">
        <v>2.86</v>
      </c>
      <c r="G5130" s="4">
        <v>0</v>
      </c>
      <c r="H5130" s="8">
        <v>0</v>
      </c>
      <c r="I5130" s="4">
        <v>0</v>
      </c>
    </row>
    <row r="5131" spans="1:9" x14ac:dyDescent="0.2">
      <c r="A5131" s="2">
        <v>14</v>
      </c>
      <c r="B5131" s="1" t="s">
        <v>314</v>
      </c>
      <c r="C5131" s="4">
        <v>1</v>
      </c>
      <c r="D5131" s="8">
        <v>1.61</v>
      </c>
      <c r="E5131" s="4">
        <v>0</v>
      </c>
      <c r="F5131" s="8">
        <v>0</v>
      </c>
      <c r="G5131" s="4">
        <v>1</v>
      </c>
      <c r="H5131" s="8">
        <v>3.85</v>
      </c>
      <c r="I5131" s="4">
        <v>0</v>
      </c>
    </row>
    <row r="5132" spans="1:9" x14ac:dyDescent="0.2">
      <c r="A5132" s="2">
        <v>14</v>
      </c>
      <c r="B5132" s="1" t="s">
        <v>354</v>
      </c>
      <c r="C5132" s="4">
        <v>1</v>
      </c>
      <c r="D5132" s="8">
        <v>1.61</v>
      </c>
      <c r="E5132" s="4">
        <v>0</v>
      </c>
      <c r="F5132" s="8">
        <v>0</v>
      </c>
      <c r="G5132" s="4">
        <v>1</v>
      </c>
      <c r="H5132" s="8">
        <v>3.85</v>
      </c>
      <c r="I5132" s="4">
        <v>0</v>
      </c>
    </row>
    <row r="5133" spans="1:9" x14ac:dyDescent="0.2">
      <c r="A5133" s="2">
        <v>14</v>
      </c>
      <c r="B5133" s="1" t="s">
        <v>366</v>
      </c>
      <c r="C5133" s="4">
        <v>1</v>
      </c>
      <c r="D5133" s="8">
        <v>1.61</v>
      </c>
      <c r="E5133" s="4">
        <v>1</v>
      </c>
      <c r="F5133" s="8">
        <v>2.86</v>
      </c>
      <c r="G5133" s="4">
        <v>0</v>
      </c>
      <c r="H5133" s="8">
        <v>0</v>
      </c>
      <c r="I5133" s="4">
        <v>0</v>
      </c>
    </row>
    <row r="5134" spans="1:9" x14ac:dyDescent="0.2">
      <c r="A5134" s="2">
        <v>14</v>
      </c>
      <c r="B5134" s="1" t="s">
        <v>292</v>
      </c>
      <c r="C5134" s="4">
        <v>1</v>
      </c>
      <c r="D5134" s="8">
        <v>1.61</v>
      </c>
      <c r="E5134" s="4">
        <v>0</v>
      </c>
      <c r="F5134" s="8">
        <v>0</v>
      </c>
      <c r="G5134" s="4">
        <v>1</v>
      </c>
      <c r="H5134" s="8">
        <v>3.85</v>
      </c>
      <c r="I5134" s="4">
        <v>0</v>
      </c>
    </row>
    <row r="5135" spans="1:9" x14ac:dyDescent="0.2">
      <c r="A5135" s="2">
        <v>14</v>
      </c>
      <c r="B5135" s="1" t="s">
        <v>337</v>
      </c>
      <c r="C5135" s="4">
        <v>1</v>
      </c>
      <c r="D5135" s="8">
        <v>1.61</v>
      </c>
      <c r="E5135" s="4">
        <v>1</v>
      </c>
      <c r="F5135" s="8">
        <v>2.86</v>
      </c>
      <c r="G5135" s="4">
        <v>0</v>
      </c>
      <c r="H5135" s="8">
        <v>0</v>
      </c>
      <c r="I5135" s="4">
        <v>0</v>
      </c>
    </row>
    <row r="5136" spans="1:9" x14ac:dyDescent="0.2">
      <c r="A5136" s="2">
        <v>14</v>
      </c>
      <c r="B5136" s="1" t="s">
        <v>344</v>
      </c>
      <c r="C5136" s="4">
        <v>1</v>
      </c>
      <c r="D5136" s="8">
        <v>1.61</v>
      </c>
      <c r="E5136" s="4">
        <v>1</v>
      </c>
      <c r="F5136" s="8">
        <v>2.86</v>
      </c>
      <c r="G5136" s="4">
        <v>0</v>
      </c>
      <c r="H5136" s="8">
        <v>0</v>
      </c>
      <c r="I5136" s="4">
        <v>0</v>
      </c>
    </row>
    <row r="5137" spans="1:9" x14ac:dyDescent="0.2">
      <c r="A5137" s="2">
        <v>14</v>
      </c>
      <c r="B5137" s="1" t="s">
        <v>310</v>
      </c>
      <c r="C5137" s="4">
        <v>1</v>
      </c>
      <c r="D5137" s="8">
        <v>1.61</v>
      </c>
      <c r="E5137" s="4">
        <v>0</v>
      </c>
      <c r="F5137" s="8">
        <v>0</v>
      </c>
      <c r="G5137" s="4">
        <v>1</v>
      </c>
      <c r="H5137" s="8">
        <v>3.85</v>
      </c>
      <c r="I5137" s="4">
        <v>0</v>
      </c>
    </row>
    <row r="5138" spans="1:9" x14ac:dyDescent="0.2">
      <c r="A5138" s="2">
        <v>14</v>
      </c>
      <c r="B5138" s="1" t="s">
        <v>297</v>
      </c>
      <c r="C5138" s="4">
        <v>1</v>
      </c>
      <c r="D5138" s="8">
        <v>1.61</v>
      </c>
      <c r="E5138" s="4">
        <v>1</v>
      </c>
      <c r="F5138" s="8">
        <v>2.86</v>
      </c>
      <c r="G5138" s="4">
        <v>0</v>
      </c>
      <c r="H5138" s="8">
        <v>0</v>
      </c>
      <c r="I5138" s="4">
        <v>0</v>
      </c>
    </row>
    <row r="5139" spans="1:9" x14ac:dyDescent="0.2">
      <c r="A5139" s="2">
        <v>14</v>
      </c>
      <c r="B5139" s="1" t="s">
        <v>403</v>
      </c>
      <c r="C5139" s="4">
        <v>1</v>
      </c>
      <c r="D5139" s="8">
        <v>1.61</v>
      </c>
      <c r="E5139" s="4">
        <v>0</v>
      </c>
      <c r="F5139" s="8">
        <v>0</v>
      </c>
      <c r="G5139" s="4">
        <v>1</v>
      </c>
      <c r="H5139" s="8">
        <v>3.85</v>
      </c>
      <c r="I5139" s="4">
        <v>0</v>
      </c>
    </row>
    <row r="5140" spans="1:9" x14ac:dyDescent="0.2">
      <c r="A5140" s="2">
        <v>14</v>
      </c>
      <c r="B5140" s="1" t="s">
        <v>429</v>
      </c>
      <c r="C5140" s="4">
        <v>1</v>
      </c>
      <c r="D5140" s="8">
        <v>1.61</v>
      </c>
      <c r="E5140" s="4">
        <v>0</v>
      </c>
      <c r="F5140" s="8">
        <v>0</v>
      </c>
      <c r="G5140" s="4">
        <v>1</v>
      </c>
      <c r="H5140" s="8">
        <v>3.85</v>
      </c>
      <c r="I5140" s="4">
        <v>0</v>
      </c>
    </row>
    <row r="5141" spans="1:9" x14ac:dyDescent="0.2">
      <c r="A5141" s="2">
        <v>14</v>
      </c>
      <c r="B5141" s="1" t="s">
        <v>482</v>
      </c>
      <c r="C5141" s="4">
        <v>1</v>
      </c>
      <c r="D5141" s="8">
        <v>1.61</v>
      </c>
      <c r="E5141" s="4">
        <v>1</v>
      </c>
      <c r="F5141" s="8">
        <v>2.86</v>
      </c>
      <c r="G5141" s="4">
        <v>0</v>
      </c>
      <c r="H5141" s="8">
        <v>0</v>
      </c>
      <c r="I5141" s="4">
        <v>0</v>
      </c>
    </row>
    <row r="5142" spans="1:9" x14ac:dyDescent="0.2">
      <c r="A5142" s="2">
        <v>14</v>
      </c>
      <c r="B5142" s="1" t="s">
        <v>298</v>
      </c>
      <c r="C5142" s="4">
        <v>1</v>
      </c>
      <c r="D5142" s="8">
        <v>1.61</v>
      </c>
      <c r="E5142" s="4">
        <v>0</v>
      </c>
      <c r="F5142" s="8">
        <v>0</v>
      </c>
      <c r="G5142" s="4">
        <v>1</v>
      </c>
      <c r="H5142" s="8">
        <v>3.85</v>
      </c>
      <c r="I5142" s="4">
        <v>0</v>
      </c>
    </row>
    <row r="5143" spans="1:9" x14ac:dyDescent="0.2">
      <c r="A5143" s="2">
        <v>14</v>
      </c>
      <c r="B5143" s="1" t="s">
        <v>339</v>
      </c>
      <c r="C5143" s="4">
        <v>1</v>
      </c>
      <c r="D5143" s="8">
        <v>1.61</v>
      </c>
      <c r="E5143" s="4">
        <v>1</v>
      </c>
      <c r="F5143" s="8">
        <v>2.86</v>
      </c>
      <c r="G5143" s="4">
        <v>0</v>
      </c>
      <c r="H5143" s="8">
        <v>0</v>
      </c>
      <c r="I5143" s="4">
        <v>0</v>
      </c>
    </row>
    <row r="5144" spans="1:9" x14ac:dyDescent="0.2">
      <c r="A5144" s="2">
        <v>14</v>
      </c>
      <c r="B5144" s="1" t="s">
        <v>300</v>
      </c>
      <c r="C5144" s="4">
        <v>1</v>
      </c>
      <c r="D5144" s="8">
        <v>1.61</v>
      </c>
      <c r="E5144" s="4">
        <v>1</v>
      </c>
      <c r="F5144" s="8">
        <v>2.86</v>
      </c>
      <c r="G5144" s="4">
        <v>0</v>
      </c>
      <c r="H5144" s="8">
        <v>0</v>
      </c>
      <c r="I5144" s="4">
        <v>0</v>
      </c>
    </row>
    <row r="5145" spans="1:9" x14ac:dyDescent="0.2">
      <c r="A5145" s="2">
        <v>14</v>
      </c>
      <c r="B5145" s="1" t="s">
        <v>473</v>
      </c>
      <c r="C5145" s="4">
        <v>1</v>
      </c>
      <c r="D5145" s="8">
        <v>1.61</v>
      </c>
      <c r="E5145" s="4">
        <v>0</v>
      </c>
      <c r="F5145" s="8">
        <v>0</v>
      </c>
      <c r="G5145" s="4">
        <v>1</v>
      </c>
      <c r="H5145" s="8">
        <v>3.85</v>
      </c>
      <c r="I5145" s="4">
        <v>0</v>
      </c>
    </row>
    <row r="5146" spans="1:9" x14ac:dyDescent="0.2">
      <c r="A5146" s="2">
        <v>14</v>
      </c>
      <c r="B5146" s="1" t="s">
        <v>327</v>
      </c>
      <c r="C5146" s="4">
        <v>1</v>
      </c>
      <c r="D5146" s="8">
        <v>1.61</v>
      </c>
      <c r="E5146" s="4">
        <v>1</v>
      </c>
      <c r="F5146" s="8">
        <v>2.86</v>
      </c>
      <c r="G5146" s="4">
        <v>0</v>
      </c>
      <c r="H5146" s="8">
        <v>0</v>
      </c>
      <c r="I5146" s="4">
        <v>0</v>
      </c>
    </row>
    <row r="5147" spans="1:9" x14ac:dyDescent="0.2">
      <c r="A5147" s="2">
        <v>14</v>
      </c>
      <c r="B5147" s="1" t="s">
        <v>447</v>
      </c>
      <c r="C5147" s="4">
        <v>1</v>
      </c>
      <c r="D5147" s="8">
        <v>1.61</v>
      </c>
      <c r="E5147" s="4">
        <v>0</v>
      </c>
      <c r="F5147" s="8">
        <v>0</v>
      </c>
      <c r="G5147" s="4">
        <v>1</v>
      </c>
      <c r="H5147" s="8">
        <v>3.85</v>
      </c>
      <c r="I5147" s="4">
        <v>0</v>
      </c>
    </row>
    <row r="5148" spans="1:9" x14ac:dyDescent="0.2">
      <c r="A5148" s="2">
        <v>14</v>
      </c>
      <c r="B5148" s="1" t="s">
        <v>347</v>
      </c>
      <c r="C5148" s="4">
        <v>1</v>
      </c>
      <c r="D5148" s="8">
        <v>1.61</v>
      </c>
      <c r="E5148" s="4">
        <v>0</v>
      </c>
      <c r="F5148" s="8">
        <v>0</v>
      </c>
      <c r="G5148" s="4">
        <v>1</v>
      </c>
      <c r="H5148" s="8">
        <v>3.85</v>
      </c>
      <c r="I5148" s="4">
        <v>0</v>
      </c>
    </row>
    <row r="5149" spans="1:9" x14ac:dyDescent="0.2">
      <c r="A5149" s="1"/>
      <c r="C5149" s="4"/>
      <c r="D5149" s="8"/>
      <c r="E5149" s="4"/>
      <c r="F5149" s="8"/>
      <c r="G5149" s="4"/>
      <c r="H5149" s="8"/>
      <c r="I5149" s="4"/>
    </row>
    <row r="5150" spans="1:9" x14ac:dyDescent="0.2">
      <c r="A5150" s="1" t="s">
        <v>170</v>
      </c>
      <c r="C5150" s="4"/>
      <c r="D5150" s="8"/>
      <c r="E5150" s="4"/>
      <c r="F5150" s="8"/>
      <c r="G5150" s="4"/>
      <c r="H5150" s="8"/>
      <c r="I5150" s="4"/>
    </row>
    <row r="5151" spans="1:9" x14ac:dyDescent="0.2">
      <c r="A5151" s="2">
        <v>1</v>
      </c>
      <c r="B5151" s="1" t="s">
        <v>300</v>
      </c>
      <c r="C5151" s="4">
        <v>7</v>
      </c>
      <c r="D5151" s="8">
        <v>4.12</v>
      </c>
      <c r="E5151" s="4">
        <v>5</v>
      </c>
      <c r="F5151" s="8">
        <v>5.05</v>
      </c>
      <c r="G5151" s="4">
        <v>2</v>
      </c>
      <c r="H5151" s="8">
        <v>2.99</v>
      </c>
      <c r="I5151" s="4">
        <v>0</v>
      </c>
    </row>
    <row r="5152" spans="1:9" x14ac:dyDescent="0.2">
      <c r="A5152" s="2">
        <v>1</v>
      </c>
      <c r="B5152" s="1" t="s">
        <v>303</v>
      </c>
      <c r="C5152" s="4">
        <v>7</v>
      </c>
      <c r="D5152" s="8">
        <v>4.12</v>
      </c>
      <c r="E5152" s="4">
        <v>7</v>
      </c>
      <c r="F5152" s="8">
        <v>7.07</v>
      </c>
      <c r="G5152" s="4">
        <v>0</v>
      </c>
      <c r="H5152" s="8">
        <v>0</v>
      </c>
      <c r="I5152" s="4">
        <v>0</v>
      </c>
    </row>
    <row r="5153" spans="1:9" x14ac:dyDescent="0.2">
      <c r="A5153" s="2">
        <v>3</v>
      </c>
      <c r="B5153" s="1" t="s">
        <v>288</v>
      </c>
      <c r="C5153" s="4">
        <v>6</v>
      </c>
      <c r="D5153" s="8">
        <v>3.53</v>
      </c>
      <c r="E5153" s="4">
        <v>0</v>
      </c>
      <c r="F5153" s="8">
        <v>0</v>
      </c>
      <c r="G5153" s="4">
        <v>6</v>
      </c>
      <c r="H5153" s="8">
        <v>8.9600000000000009</v>
      </c>
      <c r="I5153" s="4">
        <v>0</v>
      </c>
    </row>
    <row r="5154" spans="1:9" x14ac:dyDescent="0.2">
      <c r="A5154" s="2">
        <v>3</v>
      </c>
      <c r="B5154" s="1" t="s">
        <v>301</v>
      </c>
      <c r="C5154" s="4">
        <v>6</v>
      </c>
      <c r="D5154" s="8">
        <v>3.53</v>
      </c>
      <c r="E5154" s="4">
        <v>5</v>
      </c>
      <c r="F5154" s="8">
        <v>5.05</v>
      </c>
      <c r="G5154" s="4">
        <v>1</v>
      </c>
      <c r="H5154" s="8">
        <v>1.49</v>
      </c>
      <c r="I5154" s="4">
        <v>0</v>
      </c>
    </row>
    <row r="5155" spans="1:9" x14ac:dyDescent="0.2">
      <c r="A5155" s="2">
        <v>5</v>
      </c>
      <c r="B5155" s="1" t="s">
        <v>297</v>
      </c>
      <c r="C5155" s="4">
        <v>5</v>
      </c>
      <c r="D5155" s="8">
        <v>2.94</v>
      </c>
      <c r="E5155" s="4">
        <v>4</v>
      </c>
      <c r="F5155" s="8">
        <v>4.04</v>
      </c>
      <c r="G5155" s="4">
        <v>1</v>
      </c>
      <c r="H5155" s="8">
        <v>1.49</v>
      </c>
      <c r="I5155" s="4">
        <v>0</v>
      </c>
    </row>
    <row r="5156" spans="1:9" x14ac:dyDescent="0.2">
      <c r="A5156" s="2">
        <v>5</v>
      </c>
      <c r="B5156" s="1" t="s">
        <v>299</v>
      </c>
      <c r="C5156" s="4">
        <v>5</v>
      </c>
      <c r="D5156" s="8">
        <v>2.94</v>
      </c>
      <c r="E5156" s="4">
        <v>5</v>
      </c>
      <c r="F5156" s="8">
        <v>5.05</v>
      </c>
      <c r="G5156" s="4">
        <v>0</v>
      </c>
      <c r="H5156" s="8">
        <v>0</v>
      </c>
      <c r="I5156" s="4">
        <v>0</v>
      </c>
    </row>
    <row r="5157" spans="1:9" x14ac:dyDescent="0.2">
      <c r="A5157" s="2">
        <v>5</v>
      </c>
      <c r="B5157" s="1" t="s">
        <v>304</v>
      </c>
      <c r="C5157" s="4">
        <v>5</v>
      </c>
      <c r="D5157" s="8">
        <v>2.94</v>
      </c>
      <c r="E5157" s="4">
        <v>5</v>
      </c>
      <c r="F5157" s="8">
        <v>5.05</v>
      </c>
      <c r="G5157" s="4">
        <v>0</v>
      </c>
      <c r="H5157" s="8">
        <v>0</v>
      </c>
      <c r="I5157" s="4">
        <v>0</v>
      </c>
    </row>
    <row r="5158" spans="1:9" x14ac:dyDescent="0.2">
      <c r="A5158" s="2">
        <v>8</v>
      </c>
      <c r="B5158" s="1" t="s">
        <v>289</v>
      </c>
      <c r="C5158" s="4">
        <v>4</v>
      </c>
      <c r="D5158" s="8">
        <v>2.35</v>
      </c>
      <c r="E5158" s="4">
        <v>0</v>
      </c>
      <c r="F5158" s="8">
        <v>0</v>
      </c>
      <c r="G5158" s="4">
        <v>4</v>
      </c>
      <c r="H5158" s="8">
        <v>5.97</v>
      </c>
      <c r="I5158" s="4">
        <v>0</v>
      </c>
    </row>
    <row r="5159" spans="1:9" x14ac:dyDescent="0.2">
      <c r="A5159" s="2">
        <v>8</v>
      </c>
      <c r="B5159" s="1" t="s">
        <v>292</v>
      </c>
      <c r="C5159" s="4">
        <v>4</v>
      </c>
      <c r="D5159" s="8">
        <v>2.35</v>
      </c>
      <c r="E5159" s="4">
        <v>3</v>
      </c>
      <c r="F5159" s="8">
        <v>3.03</v>
      </c>
      <c r="G5159" s="4">
        <v>1</v>
      </c>
      <c r="H5159" s="8">
        <v>1.49</v>
      </c>
      <c r="I5159" s="4">
        <v>0</v>
      </c>
    </row>
    <row r="5160" spans="1:9" x14ac:dyDescent="0.2">
      <c r="A5160" s="2">
        <v>8</v>
      </c>
      <c r="B5160" s="1" t="s">
        <v>337</v>
      </c>
      <c r="C5160" s="4">
        <v>4</v>
      </c>
      <c r="D5160" s="8">
        <v>2.35</v>
      </c>
      <c r="E5160" s="4">
        <v>3</v>
      </c>
      <c r="F5160" s="8">
        <v>3.03</v>
      </c>
      <c r="G5160" s="4">
        <v>1</v>
      </c>
      <c r="H5160" s="8">
        <v>1.49</v>
      </c>
      <c r="I5160" s="4">
        <v>0</v>
      </c>
    </row>
    <row r="5161" spans="1:9" x14ac:dyDescent="0.2">
      <c r="A5161" s="2">
        <v>8</v>
      </c>
      <c r="B5161" s="1" t="s">
        <v>295</v>
      </c>
      <c r="C5161" s="4">
        <v>4</v>
      </c>
      <c r="D5161" s="8">
        <v>2.35</v>
      </c>
      <c r="E5161" s="4">
        <v>4</v>
      </c>
      <c r="F5161" s="8">
        <v>4.04</v>
      </c>
      <c r="G5161" s="4">
        <v>0</v>
      </c>
      <c r="H5161" s="8">
        <v>0</v>
      </c>
      <c r="I5161" s="4">
        <v>0</v>
      </c>
    </row>
    <row r="5162" spans="1:9" x14ac:dyDescent="0.2">
      <c r="A5162" s="2">
        <v>8</v>
      </c>
      <c r="B5162" s="1" t="s">
        <v>305</v>
      </c>
      <c r="C5162" s="4">
        <v>4</v>
      </c>
      <c r="D5162" s="8">
        <v>2.35</v>
      </c>
      <c r="E5162" s="4">
        <v>4</v>
      </c>
      <c r="F5162" s="8">
        <v>4.04</v>
      </c>
      <c r="G5162" s="4">
        <v>0</v>
      </c>
      <c r="H5162" s="8">
        <v>0</v>
      </c>
      <c r="I5162" s="4">
        <v>0</v>
      </c>
    </row>
    <row r="5163" spans="1:9" x14ac:dyDescent="0.2">
      <c r="A5163" s="2">
        <v>8</v>
      </c>
      <c r="B5163" s="1" t="s">
        <v>306</v>
      </c>
      <c r="C5163" s="4">
        <v>4</v>
      </c>
      <c r="D5163" s="8">
        <v>2.35</v>
      </c>
      <c r="E5163" s="4">
        <v>3</v>
      </c>
      <c r="F5163" s="8">
        <v>3.03</v>
      </c>
      <c r="G5163" s="4">
        <v>1</v>
      </c>
      <c r="H5163" s="8">
        <v>1.49</v>
      </c>
      <c r="I5163" s="4">
        <v>0</v>
      </c>
    </row>
    <row r="5164" spans="1:9" x14ac:dyDescent="0.2">
      <c r="A5164" s="2">
        <v>14</v>
      </c>
      <c r="B5164" s="1" t="s">
        <v>328</v>
      </c>
      <c r="C5164" s="4">
        <v>3</v>
      </c>
      <c r="D5164" s="8">
        <v>1.76</v>
      </c>
      <c r="E5164" s="4">
        <v>3</v>
      </c>
      <c r="F5164" s="8">
        <v>3.03</v>
      </c>
      <c r="G5164" s="4">
        <v>0</v>
      </c>
      <c r="H5164" s="8">
        <v>0</v>
      </c>
      <c r="I5164" s="4">
        <v>0</v>
      </c>
    </row>
    <row r="5165" spans="1:9" x14ac:dyDescent="0.2">
      <c r="A5165" s="2">
        <v>14</v>
      </c>
      <c r="B5165" s="1" t="s">
        <v>290</v>
      </c>
      <c r="C5165" s="4">
        <v>3</v>
      </c>
      <c r="D5165" s="8">
        <v>1.76</v>
      </c>
      <c r="E5165" s="4">
        <v>2</v>
      </c>
      <c r="F5165" s="8">
        <v>2.02</v>
      </c>
      <c r="G5165" s="4">
        <v>1</v>
      </c>
      <c r="H5165" s="8">
        <v>1.49</v>
      </c>
      <c r="I5165" s="4">
        <v>0</v>
      </c>
    </row>
    <row r="5166" spans="1:9" x14ac:dyDescent="0.2">
      <c r="A5166" s="2">
        <v>14</v>
      </c>
      <c r="B5166" s="1" t="s">
        <v>291</v>
      </c>
      <c r="C5166" s="4">
        <v>3</v>
      </c>
      <c r="D5166" s="8">
        <v>1.76</v>
      </c>
      <c r="E5166" s="4">
        <v>2</v>
      </c>
      <c r="F5166" s="8">
        <v>2.02</v>
      </c>
      <c r="G5166" s="4">
        <v>1</v>
      </c>
      <c r="H5166" s="8">
        <v>1.49</v>
      </c>
      <c r="I5166" s="4">
        <v>0</v>
      </c>
    </row>
    <row r="5167" spans="1:9" x14ac:dyDescent="0.2">
      <c r="A5167" s="2">
        <v>14</v>
      </c>
      <c r="B5167" s="1" t="s">
        <v>314</v>
      </c>
      <c r="C5167" s="4">
        <v>3</v>
      </c>
      <c r="D5167" s="8">
        <v>1.76</v>
      </c>
      <c r="E5167" s="4">
        <v>2</v>
      </c>
      <c r="F5167" s="8">
        <v>2.02</v>
      </c>
      <c r="G5167" s="4">
        <v>1</v>
      </c>
      <c r="H5167" s="8">
        <v>1.49</v>
      </c>
      <c r="I5167" s="4">
        <v>0</v>
      </c>
    </row>
    <row r="5168" spans="1:9" x14ac:dyDescent="0.2">
      <c r="A5168" s="2">
        <v>14</v>
      </c>
      <c r="B5168" s="1" t="s">
        <v>329</v>
      </c>
      <c r="C5168" s="4">
        <v>3</v>
      </c>
      <c r="D5168" s="8">
        <v>1.76</v>
      </c>
      <c r="E5168" s="4">
        <v>3</v>
      </c>
      <c r="F5168" s="8">
        <v>3.03</v>
      </c>
      <c r="G5168" s="4">
        <v>0</v>
      </c>
      <c r="H5168" s="8">
        <v>0</v>
      </c>
      <c r="I5168" s="4">
        <v>0</v>
      </c>
    </row>
    <row r="5169" spans="1:9" x14ac:dyDescent="0.2">
      <c r="A5169" s="2">
        <v>14</v>
      </c>
      <c r="B5169" s="1" t="s">
        <v>335</v>
      </c>
      <c r="C5169" s="4">
        <v>3</v>
      </c>
      <c r="D5169" s="8">
        <v>1.76</v>
      </c>
      <c r="E5169" s="4">
        <v>3</v>
      </c>
      <c r="F5169" s="8">
        <v>3.03</v>
      </c>
      <c r="G5169" s="4">
        <v>0</v>
      </c>
      <c r="H5169" s="8">
        <v>0</v>
      </c>
      <c r="I5169" s="4">
        <v>0</v>
      </c>
    </row>
    <row r="5170" spans="1:9" x14ac:dyDescent="0.2">
      <c r="A5170" s="2">
        <v>14</v>
      </c>
      <c r="B5170" s="1" t="s">
        <v>330</v>
      </c>
      <c r="C5170" s="4">
        <v>3</v>
      </c>
      <c r="D5170" s="8">
        <v>1.76</v>
      </c>
      <c r="E5170" s="4">
        <v>0</v>
      </c>
      <c r="F5170" s="8">
        <v>0</v>
      </c>
      <c r="G5170" s="4">
        <v>3</v>
      </c>
      <c r="H5170" s="8">
        <v>4.4800000000000004</v>
      </c>
      <c r="I5170" s="4">
        <v>0</v>
      </c>
    </row>
    <row r="5171" spans="1:9" x14ac:dyDescent="0.2">
      <c r="A5171" s="2">
        <v>14</v>
      </c>
      <c r="B5171" s="1" t="s">
        <v>334</v>
      </c>
      <c r="C5171" s="4">
        <v>3</v>
      </c>
      <c r="D5171" s="8">
        <v>1.76</v>
      </c>
      <c r="E5171" s="4">
        <v>3</v>
      </c>
      <c r="F5171" s="8">
        <v>3.03</v>
      </c>
      <c r="G5171" s="4">
        <v>0</v>
      </c>
      <c r="H5171" s="8">
        <v>0</v>
      </c>
      <c r="I5171" s="4">
        <v>0</v>
      </c>
    </row>
    <row r="5172" spans="1:9" x14ac:dyDescent="0.2">
      <c r="A5172" s="2">
        <v>14</v>
      </c>
      <c r="B5172" s="1" t="s">
        <v>419</v>
      </c>
      <c r="C5172" s="4">
        <v>3</v>
      </c>
      <c r="D5172" s="8">
        <v>1.76</v>
      </c>
      <c r="E5172" s="4">
        <v>3</v>
      </c>
      <c r="F5172" s="8">
        <v>3.03</v>
      </c>
      <c r="G5172" s="4">
        <v>0</v>
      </c>
      <c r="H5172" s="8">
        <v>0</v>
      </c>
      <c r="I5172" s="4">
        <v>0</v>
      </c>
    </row>
    <row r="5173" spans="1:9" x14ac:dyDescent="0.2">
      <c r="A5173" s="2">
        <v>14</v>
      </c>
      <c r="B5173" s="1" t="s">
        <v>307</v>
      </c>
      <c r="C5173" s="4">
        <v>3</v>
      </c>
      <c r="D5173" s="8">
        <v>1.76</v>
      </c>
      <c r="E5173" s="4">
        <v>3</v>
      </c>
      <c r="F5173" s="8">
        <v>3.03</v>
      </c>
      <c r="G5173" s="4">
        <v>0</v>
      </c>
      <c r="H5173" s="8">
        <v>0</v>
      </c>
      <c r="I5173" s="4">
        <v>0</v>
      </c>
    </row>
    <row r="5174" spans="1:9" x14ac:dyDescent="0.2">
      <c r="A5174" s="1"/>
      <c r="C5174" s="4"/>
      <c r="D5174" s="8"/>
      <c r="E5174" s="4"/>
      <c r="F5174" s="8"/>
      <c r="G5174" s="4"/>
      <c r="H5174" s="8"/>
      <c r="I5174" s="4"/>
    </row>
    <row r="5175" spans="1:9" x14ac:dyDescent="0.2">
      <c r="A5175" s="1" t="s">
        <v>171</v>
      </c>
      <c r="C5175" s="4"/>
      <c r="D5175" s="8"/>
      <c r="E5175" s="4"/>
      <c r="F5175" s="8"/>
      <c r="G5175" s="4"/>
      <c r="H5175" s="8"/>
      <c r="I5175" s="4"/>
    </row>
    <row r="5176" spans="1:9" x14ac:dyDescent="0.2">
      <c r="A5176" s="2">
        <v>1</v>
      </c>
      <c r="B5176" s="1" t="s">
        <v>304</v>
      </c>
      <c r="C5176" s="4">
        <v>14</v>
      </c>
      <c r="D5176" s="8">
        <v>5.71</v>
      </c>
      <c r="E5176" s="4">
        <v>14</v>
      </c>
      <c r="F5176" s="8">
        <v>9.15</v>
      </c>
      <c r="G5176" s="4">
        <v>0</v>
      </c>
      <c r="H5176" s="8">
        <v>0</v>
      </c>
      <c r="I5176" s="4">
        <v>0</v>
      </c>
    </row>
    <row r="5177" spans="1:9" x14ac:dyDescent="0.2">
      <c r="A5177" s="2">
        <v>2</v>
      </c>
      <c r="B5177" s="1" t="s">
        <v>297</v>
      </c>
      <c r="C5177" s="4">
        <v>12</v>
      </c>
      <c r="D5177" s="8">
        <v>4.9000000000000004</v>
      </c>
      <c r="E5177" s="4">
        <v>11</v>
      </c>
      <c r="F5177" s="8">
        <v>7.19</v>
      </c>
      <c r="G5177" s="4">
        <v>1</v>
      </c>
      <c r="H5177" s="8">
        <v>1.22</v>
      </c>
      <c r="I5177" s="4">
        <v>0</v>
      </c>
    </row>
    <row r="5178" spans="1:9" x14ac:dyDescent="0.2">
      <c r="A5178" s="2">
        <v>3</v>
      </c>
      <c r="B5178" s="1" t="s">
        <v>303</v>
      </c>
      <c r="C5178" s="4">
        <v>10</v>
      </c>
      <c r="D5178" s="8">
        <v>4.08</v>
      </c>
      <c r="E5178" s="4">
        <v>10</v>
      </c>
      <c r="F5178" s="8">
        <v>6.54</v>
      </c>
      <c r="G5178" s="4">
        <v>0</v>
      </c>
      <c r="H5178" s="8">
        <v>0</v>
      </c>
      <c r="I5178" s="4">
        <v>0</v>
      </c>
    </row>
    <row r="5179" spans="1:9" x14ac:dyDescent="0.2">
      <c r="A5179" s="2">
        <v>4</v>
      </c>
      <c r="B5179" s="1" t="s">
        <v>289</v>
      </c>
      <c r="C5179" s="4">
        <v>8</v>
      </c>
      <c r="D5179" s="8">
        <v>3.27</v>
      </c>
      <c r="E5179" s="4">
        <v>4</v>
      </c>
      <c r="F5179" s="8">
        <v>2.61</v>
      </c>
      <c r="G5179" s="4">
        <v>4</v>
      </c>
      <c r="H5179" s="8">
        <v>4.88</v>
      </c>
      <c r="I5179" s="4">
        <v>0</v>
      </c>
    </row>
    <row r="5180" spans="1:9" x14ac:dyDescent="0.2">
      <c r="A5180" s="2">
        <v>4</v>
      </c>
      <c r="B5180" s="1" t="s">
        <v>328</v>
      </c>
      <c r="C5180" s="4">
        <v>8</v>
      </c>
      <c r="D5180" s="8">
        <v>3.27</v>
      </c>
      <c r="E5180" s="4">
        <v>7</v>
      </c>
      <c r="F5180" s="8">
        <v>4.58</v>
      </c>
      <c r="G5180" s="4">
        <v>1</v>
      </c>
      <c r="H5180" s="8">
        <v>1.22</v>
      </c>
      <c r="I5180" s="4">
        <v>0</v>
      </c>
    </row>
    <row r="5181" spans="1:9" x14ac:dyDescent="0.2">
      <c r="A5181" s="2">
        <v>4</v>
      </c>
      <c r="B5181" s="1" t="s">
        <v>299</v>
      </c>
      <c r="C5181" s="4">
        <v>8</v>
      </c>
      <c r="D5181" s="8">
        <v>3.27</v>
      </c>
      <c r="E5181" s="4">
        <v>6</v>
      </c>
      <c r="F5181" s="8">
        <v>3.92</v>
      </c>
      <c r="G5181" s="4">
        <v>2</v>
      </c>
      <c r="H5181" s="8">
        <v>2.44</v>
      </c>
      <c r="I5181" s="4">
        <v>0</v>
      </c>
    </row>
    <row r="5182" spans="1:9" x14ac:dyDescent="0.2">
      <c r="A5182" s="2">
        <v>4</v>
      </c>
      <c r="B5182" s="1" t="s">
        <v>301</v>
      </c>
      <c r="C5182" s="4">
        <v>8</v>
      </c>
      <c r="D5182" s="8">
        <v>3.27</v>
      </c>
      <c r="E5182" s="4">
        <v>8</v>
      </c>
      <c r="F5182" s="8">
        <v>5.23</v>
      </c>
      <c r="G5182" s="4">
        <v>0</v>
      </c>
      <c r="H5182" s="8">
        <v>0</v>
      </c>
      <c r="I5182" s="4">
        <v>0</v>
      </c>
    </row>
    <row r="5183" spans="1:9" x14ac:dyDescent="0.2">
      <c r="A5183" s="2">
        <v>8</v>
      </c>
      <c r="B5183" s="1" t="s">
        <v>292</v>
      </c>
      <c r="C5183" s="4">
        <v>5</v>
      </c>
      <c r="D5183" s="8">
        <v>2.04</v>
      </c>
      <c r="E5183" s="4">
        <v>3</v>
      </c>
      <c r="F5183" s="8">
        <v>1.96</v>
      </c>
      <c r="G5183" s="4">
        <v>2</v>
      </c>
      <c r="H5183" s="8">
        <v>2.44</v>
      </c>
      <c r="I5183" s="4">
        <v>0</v>
      </c>
    </row>
    <row r="5184" spans="1:9" x14ac:dyDescent="0.2">
      <c r="A5184" s="2">
        <v>8</v>
      </c>
      <c r="B5184" s="1" t="s">
        <v>335</v>
      </c>
      <c r="C5184" s="4">
        <v>5</v>
      </c>
      <c r="D5184" s="8">
        <v>2.04</v>
      </c>
      <c r="E5184" s="4">
        <v>3</v>
      </c>
      <c r="F5184" s="8">
        <v>1.96</v>
      </c>
      <c r="G5184" s="4">
        <v>2</v>
      </c>
      <c r="H5184" s="8">
        <v>2.44</v>
      </c>
      <c r="I5184" s="4">
        <v>0</v>
      </c>
    </row>
    <row r="5185" spans="1:9" x14ac:dyDescent="0.2">
      <c r="A5185" s="2">
        <v>8</v>
      </c>
      <c r="B5185" s="1" t="s">
        <v>337</v>
      </c>
      <c r="C5185" s="4">
        <v>5</v>
      </c>
      <c r="D5185" s="8">
        <v>2.04</v>
      </c>
      <c r="E5185" s="4">
        <v>5</v>
      </c>
      <c r="F5185" s="8">
        <v>3.27</v>
      </c>
      <c r="G5185" s="4">
        <v>0</v>
      </c>
      <c r="H5185" s="8">
        <v>0</v>
      </c>
      <c r="I5185" s="4">
        <v>0</v>
      </c>
    </row>
    <row r="5186" spans="1:9" x14ac:dyDescent="0.2">
      <c r="A5186" s="2">
        <v>8</v>
      </c>
      <c r="B5186" s="1" t="s">
        <v>295</v>
      </c>
      <c r="C5186" s="4">
        <v>5</v>
      </c>
      <c r="D5186" s="8">
        <v>2.04</v>
      </c>
      <c r="E5186" s="4">
        <v>4</v>
      </c>
      <c r="F5186" s="8">
        <v>2.61</v>
      </c>
      <c r="G5186" s="4">
        <v>1</v>
      </c>
      <c r="H5186" s="8">
        <v>1.22</v>
      </c>
      <c r="I5186" s="4">
        <v>0</v>
      </c>
    </row>
    <row r="5187" spans="1:9" x14ac:dyDescent="0.2">
      <c r="A5187" s="2">
        <v>8</v>
      </c>
      <c r="B5187" s="1" t="s">
        <v>300</v>
      </c>
      <c r="C5187" s="4">
        <v>5</v>
      </c>
      <c r="D5187" s="8">
        <v>2.04</v>
      </c>
      <c r="E5187" s="4">
        <v>4</v>
      </c>
      <c r="F5187" s="8">
        <v>2.61</v>
      </c>
      <c r="G5187" s="4">
        <v>1</v>
      </c>
      <c r="H5187" s="8">
        <v>1.22</v>
      </c>
      <c r="I5187" s="4">
        <v>0</v>
      </c>
    </row>
    <row r="5188" spans="1:9" x14ac:dyDescent="0.2">
      <c r="A5188" s="2">
        <v>13</v>
      </c>
      <c r="B5188" s="1" t="s">
        <v>288</v>
      </c>
      <c r="C5188" s="4">
        <v>4</v>
      </c>
      <c r="D5188" s="8">
        <v>1.63</v>
      </c>
      <c r="E5188" s="4">
        <v>0</v>
      </c>
      <c r="F5188" s="8">
        <v>0</v>
      </c>
      <c r="G5188" s="4">
        <v>4</v>
      </c>
      <c r="H5188" s="8">
        <v>4.88</v>
      </c>
      <c r="I5188" s="4">
        <v>0</v>
      </c>
    </row>
    <row r="5189" spans="1:9" x14ac:dyDescent="0.2">
      <c r="A5189" s="2">
        <v>13</v>
      </c>
      <c r="B5189" s="1" t="s">
        <v>290</v>
      </c>
      <c r="C5189" s="4">
        <v>4</v>
      </c>
      <c r="D5189" s="8">
        <v>1.63</v>
      </c>
      <c r="E5189" s="4">
        <v>0</v>
      </c>
      <c r="F5189" s="8">
        <v>0</v>
      </c>
      <c r="G5189" s="4">
        <v>4</v>
      </c>
      <c r="H5189" s="8">
        <v>4.88</v>
      </c>
      <c r="I5189" s="4">
        <v>0</v>
      </c>
    </row>
    <row r="5190" spans="1:9" x14ac:dyDescent="0.2">
      <c r="A5190" s="2">
        <v>13</v>
      </c>
      <c r="B5190" s="1" t="s">
        <v>342</v>
      </c>
      <c r="C5190" s="4">
        <v>4</v>
      </c>
      <c r="D5190" s="8">
        <v>1.63</v>
      </c>
      <c r="E5190" s="4">
        <v>2</v>
      </c>
      <c r="F5190" s="8">
        <v>1.31</v>
      </c>
      <c r="G5190" s="4">
        <v>2</v>
      </c>
      <c r="H5190" s="8">
        <v>2.44</v>
      </c>
      <c r="I5190" s="4">
        <v>0</v>
      </c>
    </row>
    <row r="5191" spans="1:9" x14ac:dyDescent="0.2">
      <c r="A5191" s="2">
        <v>13</v>
      </c>
      <c r="B5191" s="1" t="s">
        <v>314</v>
      </c>
      <c r="C5191" s="4">
        <v>4</v>
      </c>
      <c r="D5191" s="8">
        <v>1.63</v>
      </c>
      <c r="E5191" s="4">
        <v>2</v>
      </c>
      <c r="F5191" s="8">
        <v>1.31</v>
      </c>
      <c r="G5191" s="4">
        <v>2</v>
      </c>
      <c r="H5191" s="8">
        <v>2.44</v>
      </c>
      <c r="I5191" s="4">
        <v>0</v>
      </c>
    </row>
    <row r="5192" spans="1:9" x14ac:dyDescent="0.2">
      <c r="A5192" s="2">
        <v>13</v>
      </c>
      <c r="B5192" s="1" t="s">
        <v>329</v>
      </c>
      <c r="C5192" s="4">
        <v>4</v>
      </c>
      <c r="D5192" s="8">
        <v>1.63</v>
      </c>
      <c r="E5192" s="4">
        <v>3</v>
      </c>
      <c r="F5192" s="8">
        <v>1.96</v>
      </c>
      <c r="G5192" s="4">
        <v>1</v>
      </c>
      <c r="H5192" s="8">
        <v>1.22</v>
      </c>
      <c r="I5192" s="4">
        <v>0</v>
      </c>
    </row>
    <row r="5193" spans="1:9" x14ac:dyDescent="0.2">
      <c r="A5193" s="2">
        <v>13</v>
      </c>
      <c r="B5193" s="1" t="s">
        <v>409</v>
      </c>
      <c r="C5193" s="4">
        <v>4</v>
      </c>
      <c r="D5193" s="8">
        <v>1.63</v>
      </c>
      <c r="E5193" s="4">
        <v>3</v>
      </c>
      <c r="F5193" s="8">
        <v>1.96</v>
      </c>
      <c r="G5193" s="4">
        <v>1</v>
      </c>
      <c r="H5193" s="8">
        <v>1.22</v>
      </c>
      <c r="I5193" s="4">
        <v>0</v>
      </c>
    </row>
    <row r="5194" spans="1:9" x14ac:dyDescent="0.2">
      <c r="A5194" s="2">
        <v>13</v>
      </c>
      <c r="B5194" s="1" t="s">
        <v>339</v>
      </c>
      <c r="C5194" s="4">
        <v>4</v>
      </c>
      <c r="D5194" s="8">
        <v>1.63</v>
      </c>
      <c r="E5194" s="4">
        <v>3</v>
      </c>
      <c r="F5194" s="8">
        <v>1.96</v>
      </c>
      <c r="G5194" s="4">
        <v>1</v>
      </c>
      <c r="H5194" s="8">
        <v>1.22</v>
      </c>
      <c r="I5194" s="4">
        <v>0</v>
      </c>
    </row>
    <row r="5195" spans="1:9" x14ac:dyDescent="0.2">
      <c r="A5195" s="2">
        <v>13</v>
      </c>
      <c r="B5195" s="1" t="s">
        <v>334</v>
      </c>
      <c r="C5195" s="4">
        <v>4</v>
      </c>
      <c r="D5195" s="8">
        <v>1.63</v>
      </c>
      <c r="E5195" s="4">
        <v>3</v>
      </c>
      <c r="F5195" s="8">
        <v>1.96</v>
      </c>
      <c r="G5195" s="4">
        <v>1</v>
      </c>
      <c r="H5195" s="8">
        <v>1.22</v>
      </c>
      <c r="I5195" s="4">
        <v>0</v>
      </c>
    </row>
    <row r="5196" spans="1:9" x14ac:dyDescent="0.2">
      <c r="A5196" s="2">
        <v>13</v>
      </c>
      <c r="B5196" s="1" t="s">
        <v>306</v>
      </c>
      <c r="C5196" s="4">
        <v>4</v>
      </c>
      <c r="D5196" s="8">
        <v>1.63</v>
      </c>
      <c r="E5196" s="4">
        <v>3</v>
      </c>
      <c r="F5196" s="8">
        <v>1.96</v>
      </c>
      <c r="G5196" s="4">
        <v>1</v>
      </c>
      <c r="H5196" s="8">
        <v>1.22</v>
      </c>
      <c r="I5196" s="4">
        <v>0</v>
      </c>
    </row>
    <row r="5197" spans="1:9" x14ac:dyDescent="0.2">
      <c r="A5197" s="1"/>
      <c r="C5197" s="4"/>
      <c r="D5197" s="8"/>
      <c r="E5197" s="4"/>
      <c r="F5197" s="8"/>
      <c r="G5197" s="4"/>
      <c r="H5197" s="8"/>
      <c r="I5197" s="4"/>
    </row>
    <row r="5198" spans="1:9" x14ac:dyDescent="0.2">
      <c r="A5198" s="1" t="s">
        <v>172</v>
      </c>
      <c r="C5198" s="4"/>
      <c r="D5198" s="8"/>
      <c r="E5198" s="4"/>
      <c r="F5198" s="8"/>
      <c r="G5198" s="4"/>
      <c r="H5198" s="8"/>
      <c r="I5198" s="4"/>
    </row>
    <row r="5199" spans="1:9" x14ac:dyDescent="0.2">
      <c r="A5199" s="2">
        <v>1</v>
      </c>
      <c r="B5199" s="1" t="s">
        <v>304</v>
      </c>
      <c r="C5199" s="4">
        <v>38</v>
      </c>
      <c r="D5199" s="8">
        <v>7.1</v>
      </c>
      <c r="E5199" s="4">
        <v>37</v>
      </c>
      <c r="F5199" s="8">
        <v>13.91</v>
      </c>
      <c r="G5199" s="4">
        <v>1</v>
      </c>
      <c r="H5199" s="8">
        <v>0.4</v>
      </c>
      <c r="I5199" s="4">
        <v>0</v>
      </c>
    </row>
    <row r="5200" spans="1:9" x14ac:dyDescent="0.2">
      <c r="A5200" s="2">
        <v>2</v>
      </c>
      <c r="B5200" s="1" t="s">
        <v>288</v>
      </c>
      <c r="C5200" s="4">
        <v>26</v>
      </c>
      <c r="D5200" s="8">
        <v>4.8600000000000003</v>
      </c>
      <c r="E5200" s="4">
        <v>3</v>
      </c>
      <c r="F5200" s="8">
        <v>1.1299999999999999</v>
      </c>
      <c r="G5200" s="4">
        <v>23</v>
      </c>
      <c r="H5200" s="8">
        <v>9.24</v>
      </c>
      <c r="I5200" s="4">
        <v>0</v>
      </c>
    </row>
    <row r="5201" spans="1:9" x14ac:dyDescent="0.2">
      <c r="A5201" s="2">
        <v>3</v>
      </c>
      <c r="B5201" s="1" t="s">
        <v>303</v>
      </c>
      <c r="C5201" s="4">
        <v>20</v>
      </c>
      <c r="D5201" s="8">
        <v>3.74</v>
      </c>
      <c r="E5201" s="4">
        <v>19</v>
      </c>
      <c r="F5201" s="8">
        <v>7.14</v>
      </c>
      <c r="G5201" s="4">
        <v>1</v>
      </c>
      <c r="H5201" s="8">
        <v>0.4</v>
      </c>
      <c r="I5201" s="4">
        <v>0</v>
      </c>
    </row>
    <row r="5202" spans="1:9" x14ac:dyDescent="0.2">
      <c r="A5202" s="2">
        <v>3</v>
      </c>
      <c r="B5202" s="1" t="s">
        <v>306</v>
      </c>
      <c r="C5202" s="4">
        <v>20</v>
      </c>
      <c r="D5202" s="8">
        <v>3.74</v>
      </c>
      <c r="E5202" s="4">
        <v>19</v>
      </c>
      <c r="F5202" s="8">
        <v>7.14</v>
      </c>
      <c r="G5202" s="4">
        <v>1</v>
      </c>
      <c r="H5202" s="8">
        <v>0.4</v>
      </c>
      <c r="I5202" s="4">
        <v>0</v>
      </c>
    </row>
    <row r="5203" spans="1:9" x14ac:dyDescent="0.2">
      <c r="A5203" s="2">
        <v>5</v>
      </c>
      <c r="B5203" s="1" t="s">
        <v>297</v>
      </c>
      <c r="C5203" s="4">
        <v>18</v>
      </c>
      <c r="D5203" s="8">
        <v>3.36</v>
      </c>
      <c r="E5203" s="4">
        <v>12</v>
      </c>
      <c r="F5203" s="8">
        <v>4.51</v>
      </c>
      <c r="G5203" s="4">
        <v>5</v>
      </c>
      <c r="H5203" s="8">
        <v>2.0099999999999998</v>
      </c>
      <c r="I5203" s="4">
        <v>0</v>
      </c>
    </row>
    <row r="5204" spans="1:9" x14ac:dyDescent="0.2">
      <c r="A5204" s="2">
        <v>6</v>
      </c>
      <c r="B5204" s="1" t="s">
        <v>299</v>
      </c>
      <c r="C5204" s="4">
        <v>16</v>
      </c>
      <c r="D5204" s="8">
        <v>2.99</v>
      </c>
      <c r="E5204" s="4">
        <v>12</v>
      </c>
      <c r="F5204" s="8">
        <v>4.51</v>
      </c>
      <c r="G5204" s="4">
        <v>4</v>
      </c>
      <c r="H5204" s="8">
        <v>1.61</v>
      </c>
      <c r="I5204" s="4">
        <v>0</v>
      </c>
    </row>
    <row r="5205" spans="1:9" x14ac:dyDescent="0.2">
      <c r="A5205" s="2">
        <v>7</v>
      </c>
      <c r="B5205" s="1" t="s">
        <v>293</v>
      </c>
      <c r="C5205" s="4">
        <v>14</v>
      </c>
      <c r="D5205" s="8">
        <v>2.62</v>
      </c>
      <c r="E5205" s="4">
        <v>3</v>
      </c>
      <c r="F5205" s="8">
        <v>1.1299999999999999</v>
      </c>
      <c r="G5205" s="4">
        <v>11</v>
      </c>
      <c r="H5205" s="8">
        <v>4.42</v>
      </c>
      <c r="I5205" s="4">
        <v>0</v>
      </c>
    </row>
    <row r="5206" spans="1:9" x14ac:dyDescent="0.2">
      <c r="A5206" s="2">
        <v>7</v>
      </c>
      <c r="B5206" s="1" t="s">
        <v>305</v>
      </c>
      <c r="C5206" s="4">
        <v>14</v>
      </c>
      <c r="D5206" s="8">
        <v>2.62</v>
      </c>
      <c r="E5206" s="4">
        <v>12</v>
      </c>
      <c r="F5206" s="8">
        <v>4.51</v>
      </c>
      <c r="G5206" s="4">
        <v>2</v>
      </c>
      <c r="H5206" s="8">
        <v>0.8</v>
      </c>
      <c r="I5206" s="4">
        <v>0</v>
      </c>
    </row>
    <row r="5207" spans="1:9" x14ac:dyDescent="0.2">
      <c r="A5207" s="2">
        <v>9</v>
      </c>
      <c r="B5207" s="1" t="s">
        <v>334</v>
      </c>
      <c r="C5207" s="4">
        <v>13</v>
      </c>
      <c r="D5207" s="8">
        <v>2.4300000000000002</v>
      </c>
      <c r="E5207" s="4">
        <v>10</v>
      </c>
      <c r="F5207" s="8">
        <v>3.76</v>
      </c>
      <c r="G5207" s="4">
        <v>3</v>
      </c>
      <c r="H5207" s="8">
        <v>1.2</v>
      </c>
      <c r="I5207" s="4">
        <v>0</v>
      </c>
    </row>
    <row r="5208" spans="1:9" x14ac:dyDescent="0.2">
      <c r="A5208" s="2">
        <v>9</v>
      </c>
      <c r="B5208" s="1" t="s">
        <v>307</v>
      </c>
      <c r="C5208" s="4">
        <v>13</v>
      </c>
      <c r="D5208" s="8">
        <v>2.4300000000000002</v>
      </c>
      <c r="E5208" s="4">
        <v>8</v>
      </c>
      <c r="F5208" s="8">
        <v>3.01</v>
      </c>
      <c r="G5208" s="4">
        <v>5</v>
      </c>
      <c r="H5208" s="8">
        <v>2.0099999999999998</v>
      </c>
      <c r="I5208" s="4">
        <v>0</v>
      </c>
    </row>
    <row r="5209" spans="1:9" x14ac:dyDescent="0.2">
      <c r="A5209" s="2">
        <v>11</v>
      </c>
      <c r="B5209" s="1" t="s">
        <v>290</v>
      </c>
      <c r="C5209" s="4">
        <v>12</v>
      </c>
      <c r="D5209" s="8">
        <v>2.2400000000000002</v>
      </c>
      <c r="E5209" s="4">
        <v>4</v>
      </c>
      <c r="F5209" s="8">
        <v>1.5</v>
      </c>
      <c r="G5209" s="4">
        <v>8</v>
      </c>
      <c r="H5209" s="8">
        <v>3.21</v>
      </c>
      <c r="I5209" s="4">
        <v>0</v>
      </c>
    </row>
    <row r="5210" spans="1:9" x14ac:dyDescent="0.2">
      <c r="A5210" s="2">
        <v>12</v>
      </c>
      <c r="B5210" s="1" t="s">
        <v>295</v>
      </c>
      <c r="C5210" s="4">
        <v>11</v>
      </c>
      <c r="D5210" s="8">
        <v>2.06</v>
      </c>
      <c r="E5210" s="4">
        <v>3</v>
      </c>
      <c r="F5210" s="8">
        <v>1.1299999999999999</v>
      </c>
      <c r="G5210" s="4">
        <v>8</v>
      </c>
      <c r="H5210" s="8">
        <v>3.21</v>
      </c>
      <c r="I5210" s="4">
        <v>0</v>
      </c>
    </row>
    <row r="5211" spans="1:9" x14ac:dyDescent="0.2">
      <c r="A5211" s="2">
        <v>13</v>
      </c>
      <c r="B5211" s="1" t="s">
        <v>330</v>
      </c>
      <c r="C5211" s="4">
        <v>10</v>
      </c>
      <c r="D5211" s="8">
        <v>1.87</v>
      </c>
      <c r="E5211" s="4">
        <v>2</v>
      </c>
      <c r="F5211" s="8">
        <v>0.75</v>
      </c>
      <c r="G5211" s="4">
        <v>8</v>
      </c>
      <c r="H5211" s="8">
        <v>3.21</v>
      </c>
      <c r="I5211" s="4">
        <v>0</v>
      </c>
    </row>
    <row r="5212" spans="1:9" x14ac:dyDescent="0.2">
      <c r="A5212" s="2">
        <v>14</v>
      </c>
      <c r="B5212" s="1" t="s">
        <v>291</v>
      </c>
      <c r="C5212" s="4">
        <v>9</v>
      </c>
      <c r="D5212" s="8">
        <v>1.68</v>
      </c>
      <c r="E5212" s="4">
        <v>4</v>
      </c>
      <c r="F5212" s="8">
        <v>1.5</v>
      </c>
      <c r="G5212" s="4">
        <v>5</v>
      </c>
      <c r="H5212" s="8">
        <v>2.0099999999999998</v>
      </c>
      <c r="I5212" s="4">
        <v>0</v>
      </c>
    </row>
    <row r="5213" spans="1:9" x14ac:dyDescent="0.2">
      <c r="A5213" s="2">
        <v>14</v>
      </c>
      <c r="B5213" s="1" t="s">
        <v>302</v>
      </c>
      <c r="C5213" s="4">
        <v>9</v>
      </c>
      <c r="D5213" s="8">
        <v>1.68</v>
      </c>
      <c r="E5213" s="4">
        <v>9</v>
      </c>
      <c r="F5213" s="8">
        <v>3.38</v>
      </c>
      <c r="G5213" s="4">
        <v>0</v>
      </c>
      <c r="H5213" s="8">
        <v>0</v>
      </c>
      <c r="I5213" s="4">
        <v>0</v>
      </c>
    </row>
    <row r="5214" spans="1:9" x14ac:dyDescent="0.2">
      <c r="A5214" s="2">
        <v>16</v>
      </c>
      <c r="B5214" s="1" t="s">
        <v>289</v>
      </c>
      <c r="C5214" s="4">
        <v>8</v>
      </c>
      <c r="D5214" s="8">
        <v>1.5</v>
      </c>
      <c r="E5214" s="4">
        <v>1</v>
      </c>
      <c r="F5214" s="8">
        <v>0.38</v>
      </c>
      <c r="G5214" s="4">
        <v>7</v>
      </c>
      <c r="H5214" s="8">
        <v>2.81</v>
      </c>
      <c r="I5214" s="4">
        <v>0</v>
      </c>
    </row>
    <row r="5215" spans="1:9" x14ac:dyDescent="0.2">
      <c r="A5215" s="2">
        <v>16</v>
      </c>
      <c r="B5215" s="1" t="s">
        <v>298</v>
      </c>
      <c r="C5215" s="4">
        <v>8</v>
      </c>
      <c r="D5215" s="8">
        <v>1.5</v>
      </c>
      <c r="E5215" s="4">
        <v>3</v>
      </c>
      <c r="F5215" s="8">
        <v>1.1299999999999999</v>
      </c>
      <c r="G5215" s="4">
        <v>5</v>
      </c>
      <c r="H5215" s="8">
        <v>2.0099999999999998</v>
      </c>
      <c r="I5215" s="4">
        <v>0</v>
      </c>
    </row>
    <row r="5216" spans="1:9" x14ac:dyDescent="0.2">
      <c r="A5216" s="2">
        <v>18</v>
      </c>
      <c r="B5216" s="1" t="s">
        <v>329</v>
      </c>
      <c r="C5216" s="4">
        <v>7</v>
      </c>
      <c r="D5216" s="8">
        <v>1.31</v>
      </c>
      <c r="E5216" s="4">
        <v>5</v>
      </c>
      <c r="F5216" s="8">
        <v>1.88</v>
      </c>
      <c r="G5216" s="4">
        <v>2</v>
      </c>
      <c r="H5216" s="8">
        <v>0.8</v>
      </c>
      <c r="I5216" s="4">
        <v>0</v>
      </c>
    </row>
    <row r="5217" spans="1:9" x14ac:dyDescent="0.2">
      <c r="A5217" s="2">
        <v>18</v>
      </c>
      <c r="B5217" s="1" t="s">
        <v>294</v>
      </c>
      <c r="C5217" s="4">
        <v>7</v>
      </c>
      <c r="D5217" s="8">
        <v>1.31</v>
      </c>
      <c r="E5217" s="4">
        <v>5</v>
      </c>
      <c r="F5217" s="8">
        <v>1.88</v>
      </c>
      <c r="G5217" s="4">
        <v>2</v>
      </c>
      <c r="H5217" s="8">
        <v>0.8</v>
      </c>
      <c r="I5217" s="4">
        <v>0</v>
      </c>
    </row>
    <row r="5218" spans="1:9" x14ac:dyDescent="0.2">
      <c r="A5218" s="2">
        <v>18</v>
      </c>
      <c r="B5218" s="1" t="s">
        <v>340</v>
      </c>
      <c r="C5218" s="4">
        <v>7</v>
      </c>
      <c r="D5218" s="8">
        <v>1.31</v>
      </c>
      <c r="E5218" s="4">
        <v>0</v>
      </c>
      <c r="F5218" s="8">
        <v>0</v>
      </c>
      <c r="G5218" s="4">
        <v>1</v>
      </c>
      <c r="H5218" s="8">
        <v>0.4</v>
      </c>
      <c r="I5218" s="4">
        <v>0</v>
      </c>
    </row>
    <row r="5219" spans="1:9" x14ac:dyDescent="0.2">
      <c r="A5219" s="2">
        <v>18</v>
      </c>
      <c r="B5219" s="1" t="s">
        <v>341</v>
      </c>
      <c r="C5219" s="4">
        <v>7</v>
      </c>
      <c r="D5219" s="8">
        <v>1.31</v>
      </c>
      <c r="E5219" s="4">
        <v>0</v>
      </c>
      <c r="F5219" s="8">
        <v>0</v>
      </c>
      <c r="G5219" s="4">
        <v>0</v>
      </c>
      <c r="H5219" s="8">
        <v>0</v>
      </c>
      <c r="I5219" s="4">
        <v>0</v>
      </c>
    </row>
    <row r="5220" spans="1:9" x14ac:dyDescent="0.2">
      <c r="A5220" s="2">
        <v>18</v>
      </c>
      <c r="B5220" s="1" t="s">
        <v>331</v>
      </c>
      <c r="C5220" s="4">
        <v>7</v>
      </c>
      <c r="D5220" s="8">
        <v>1.31</v>
      </c>
      <c r="E5220" s="4">
        <v>0</v>
      </c>
      <c r="F5220" s="8">
        <v>0</v>
      </c>
      <c r="G5220" s="4">
        <v>7</v>
      </c>
      <c r="H5220" s="8">
        <v>2.81</v>
      </c>
      <c r="I5220" s="4">
        <v>0</v>
      </c>
    </row>
    <row r="5221" spans="1:9" x14ac:dyDescent="0.2">
      <c r="A5221" s="1"/>
      <c r="C5221" s="4"/>
      <c r="D5221" s="8"/>
      <c r="E5221" s="4"/>
      <c r="F5221" s="8"/>
      <c r="G5221" s="4"/>
      <c r="H5221" s="8"/>
      <c r="I5221" s="4"/>
    </row>
    <row r="5222" spans="1:9" x14ac:dyDescent="0.2">
      <c r="A5222" s="1" t="s">
        <v>173</v>
      </c>
      <c r="C5222" s="4"/>
      <c r="D5222" s="8"/>
      <c r="E5222" s="4"/>
      <c r="F5222" s="8"/>
      <c r="G5222" s="4"/>
      <c r="H5222" s="8"/>
      <c r="I5222" s="4"/>
    </row>
    <row r="5223" spans="1:9" x14ac:dyDescent="0.2">
      <c r="A5223" s="2">
        <v>1</v>
      </c>
      <c r="B5223" s="1" t="s">
        <v>297</v>
      </c>
      <c r="C5223" s="4">
        <v>11</v>
      </c>
      <c r="D5223" s="8">
        <v>5.14</v>
      </c>
      <c r="E5223" s="4">
        <v>10</v>
      </c>
      <c r="F5223" s="8">
        <v>8.1300000000000008</v>
      </c>
      <c r="G5223" s="4">
        <v>1</v>
      </c>
      <c r="H5223" s="8">
        <v>1.1599999999999999</v>
      </c>
      <c r="I5223" s="4">
        <v>0</v>
      </c>
    </row>
    <row r="5224" spans="1:9" x14ac:dyDescent="0.2">
      <c r="A5224" s="2">
        <v>1</v>
      </c>
      <c r="B5224" s="1" t="s">
        <v>304</v>
      </c>
      <c r="C5224" s="4">
        <v>11</v>
      </c>
      <c r="D5224" s="8">
        <v>5.14</v>
      </c>
      <c r="E5224" s="4">
        <v>11</v>
      </c>
      <c r="F5224" s="8">
        <v>8.94</v>
      </c>
      <c r="G5224" s="4">
        <v>0</v>
      </c>
      <c r="H5224" s="8">
        <v>0</v>
      </c>
      <c r="I5224" s="4">
        <v>0</v>
      </c>
    </row>
    <row r="5225" spans="1:9" x14ac:dyDescent="0.2">
      <c r="A5225" s="2">
        <v>3</v>
      </c>
      <c r="B5225" s="1" t="s">
        <v>303</v>
      </c>
      <c r="C5225" s="4">
        <v>7</v>
      </c>
      <c r="D5225" s="8">
        <v>3.27</v>
      </c>
      <c r="E5225" s="4">
        <v>7</v>
      </c>
      <c r="F5225" s="8">
        <v>5.69</v>
      </c>
      <c r="G5225" s="4">
        <v>0</v>
      </c>
      <c r="H5225" s="8">
        <v>0</v>
      </c>
      <c r="I5225" s="4">
        <v>0</v>
      </c>
    </row>
    <row r="5226" spans="1:9" x14ac:dyDescent="0.2">
      <c r="A5226" s="2">
        <v>3</v>
      </c>
      <c r="B5226" s="1" t="s">
        <v>305</v>
      </c>
      <c r="C5226" s="4">
        <v>7</v>
      </c>
      <c r="D5226" s="8">
        <v>3.27</v>
      </c>
      <c r="E5226" s="4">
        <v>7</v>
      </c>
      <c r="F5226" s="8">
        <v>5.69</v>
      </c>
      <c r="G5226" s="4">
        <v>0</v>
      </c>
      <c r="H5226" s="8">
        <v>0</v>
      </c>
      <c r="I5226" s="4">
        <v>0</v>
      </c>
    </row>
    <row r="5227" spans="1:9" x14ac:dyDescent="0.2">
      <c r="A5227" s="2">
        <v>5</v>
      </c>
      <c r="B5227" s="1" t="s">
        <v>335</v>
      </c>
      <c r="C5227" s="4">
        <v>6</v>
      </c>
      <c r="D5227" s="8">
        <v>2.8</v>
      </c>
      <c r="E5227" s="4">
        <v>2</v>
      </c>
      <c r="F5227" s="8">
        <v>1.63</v>
      </c>
      <c r="G5227" s="4">
        <v>4</v>
      </c>
      <c r="H5227" s="8">
        <v>4.6500000000000004</v>
      </c>
      <c r="I5227" s="4">
        <v>0</v>
      </c>
    </row>
    <row r="5228" spans="1:9" x14ac:dyDescent="0.2">
      <c r="A5228" s="2">
        <v>5</v>
      </c>
      <c r="B5228" s="1" t="s">
        <v>306</v>
      </c>
      <c r="C5228" s="4">
        <v>6</v>
      </c>
      <c r="D5228" s="8">
        <v>2.8</v>
      </c>
      <c r="E5228" s="4">
        <v>6</v>
      </c>
      <c r="F5228" s="8">
        <v>4.88</v>
      </c>
      <c r="G5228" s="4">
        <v>0</v>
      </c>
      <c r="H5228" s="8">
        <v>0</v>
      </c>
      <c r="I5228" s="4">
        <v>0</v>
      </c>
    </row>
    <row r="5229" spans="1:9" x14ac:dyDescent="0.2">
      <c r="A5229" s="2">
        <v>7</v>
      </c>
      <c r="B5229" s="1" t="s">
        <v>333</v>
      </c>
      <c r="C5229" s="4">
        <v>5</v>
      </c>
      <c r="D5229" s="8">
        <v>2.34</v>
      </c>
      <c r="E5229" s="4">
        <v>1</v>
      </c>
      <c r="F5229" s="8">
        <v>0.81</v>
      </c>
      <c r="G5229" s="4">
        <v>4</v>
      </c>
      <c r="H5229" s="8">
        <v>4.6500000000000004</v>
      </c>
      <c r="I5229" s="4">
        <v>0</v>
      </c>
    </row>
    <row r="5230" spans="1:9" x14ac:dyDescent="0.2">
      <c r="A5230" s="2">
        <v>7</v>
      </c>
      <c r="B5230" s="1" t="s">
        <v>332</v>
      </c>
      <c r="C5230" s="4">
        <v>5</v>
      </c>
      <c r="D5230" s="8">
        <v>2.34</v>
      </c>
      <c r="E5230" s="4">
        <v>1</v>
      </c>
      <c r="F5230" s="8">
        <v>0.81</v>
      </c>
      <c r="G5230" s="4">
        <v>4</v>
      </c>
      <c r="H5230" s="8">
        <v>4.6500000000000004</v>
      </c>
      <c r="I5230" s="4">
        <v>0</v>
      </c>
    </row>
    <row r="5231" spans="1:9" x14ac:dyDescent="0.2">
      <c r="A5231" s="2">
        <v>7</v>
      </c>
      <c r="B5231" s="1" t="s">
        <v>339</v>
      </c>
      <c r="C5231" s="4">
        <v>5</v>
      </c>
      <c r="D5231" s="8">
        <v>2.34</v>
      </c>
      <c r="E5231" s="4">
        <v>4</v>
      </c>
      <c r="F5231" s="8">
        <v>3.25</v>
      </c>
      <c r="G5231" s="4">
        <v>1</v>
      </c>
      <c r="H5231" s="8">
        <v>1.1599999999999999</v>
      </c>
      <c r="I5231" s="4">
        <v>0</v>
      </c>
    </row>
    <row r="5232" spans="1:9" x14ac:dyDescent="0.2">
      <c r="A5232" s="2">
        <v>7</v>
      </c>
      <c r="B5232" s="1" t="s">
        <v>299</v>
      </c>
      <c r="C5232" s="4">
        <v>5</v>
      </c>
      <c r="D5232" s="8">
        <v>2.34</v>
      </c>
      <c r="E5232" s="4">
        <v>4</v>
      </c>
      <c r="F5232" s="8">
        <v>3.25</v>
      </c>
      <c r="G5232" s="4">
        <v>1</v>
      </c>
      <c r="H5232" s="8">
        <v>1.1599999999999999</v>
      </c>
      <c r="I5232" s="4">
        <v>0</v>
      </c>
    </row>
    <row r="5233" spans="1:9" x14ac:dyDescent="0.2">
      <c r="A5233" s="2">
        <v>7</v>
      </c>
      <c r="B5233" s="1" t="s">
        <v>301</v>
      </c>
      <c r="C5233" s="4">
        <v>5</v>
      </c>
      <c r="D5233" s="8">
        <v>2.34</v>
      </c>
      <c r="E5233" s="4">
        <v>5</v>
      </c>
      <c r="F5233" s="8">
        <v>4.07</v>
      </c>
      <c r="G5233" s="4">
        <v>0</v>
      </c>
      <c r="H5233" s="8">
        <v>0</v>
      </c>
      <c r="I5233" s="4">
        <v>0</v>
      </c>
    </row>
    <row r="5234" spans="1:9" x14ac:dyDescent="0.2">
      <c r="A5234" s="2">
        <v>12</v>
      </c>
      <c r="B5234" s="1" t="s">
        <v>291</v>
      </c>
      <c r="C5234" s="4">
        <v>4</v>
      </c>
      <c r="D5234" s="8">
        <v>1.87</v>
      </c>
      <c r="E5234" s="4">
        <v>3</v>
      </c>
      <c r="F5234" s="8">
        <v>2.44</v>
      </c>
      <c r="G5234" s="4">
        <v>1</v>
      </c>
      <c r="H5234" s="8">
        <v>1.1599999999999999</v>
      </c>
      <c r="I5234" s="4">
        <v>0</v>
      </c>
    </row>
    <row r="5235" spans="1:9" x14ac:dyDescent="0.2">
      <c r="A5235" s="2">
        <v>12</v>
      </c>
      <c r="B5235" s="1" t="s">
        <v>329</v>
      </c>
      <c r="C5235" s="4">
        <v>4</v>
      </c>
      <c r="D5235" s="8">
        <v>1.87</v>
      </c>
      <c r="E5235" s="4">
        <v>3</v>
      </c>
      <c r="F5235" s="8">
        <v>2.44</v>
      </c>
      <c r="G5235" s="4">
        <v>1</v>
      </c>
      <c r="H5235" s="8">
        <v>1.1599999999999999</v>
      </c>
      <c r="I5235" s="4">
        <v>0</v>
      </c>
    </row>
    <row r="5236" spans="1:9" x14ac:dyDescent="0.2">
      <c r="A5236" s="2">
        <v>12</v>
      </c>
      <c r="B5236" s="1" t="s">
        <v>302</v>
      </c>
      <c r="C5236" s="4">
        <v>4</v>
      </c>
      <c r="D5236" s="8">
        <v>1.87</v>
      </c>
      <c r="E5236" s="4">
        <v>4</v>
      </c>
      <c r="F5236" s="8">
        <v>3.25</v>
      </c>
      <c r="G5236" s="4">
        <v>0</v>
      </c>
      <c r="H5236" s="8">
        <v>0</v>
      </c>
      <c r="I5236" s="4">
        <v>0</v>
      </c>
    </row>
    <row r="5237" spans="1:9" x14ac:dyDescent="0.2">
      <c r="A5237" s="2">
        <v>12</v>
      </c>
      <c r="B5237" s="1" t="s">
        <v>327</v>
      </c>
      <c r="C5237" s="4">
        <v>4</v>
      </c>
      <c r="D5237" s="8">
        <v>1.87</v>
      </c>
      <c r="E5237" s="4">
        <v>2</v>
      </c>
      <c r="F5237" s="8">
        <v>1.63</v>
      </c>
      <c r="G5237" s="4">
        <v>2</v>
      </c>
      <c r="H5237" s="8">
        <v>2.33</v>
      </c>
      <c r="I5237" s="4">
        <v>0</v>
      </c>
    </row>
    <row r="5238" spans="1:9" x14ac:dyDescent="0.2">
      <c r="A5238" s="2">
        <v>16</v>
      </c>
      <c r="B5238" s="1" t="s">
        <v>288</v>
      </c>
      <c r="C5238" s="4">
        <v>3</v>
      </c>
      <c r="D5238" s="8">
        <v>1.4</v>
      </c>
      <c r="E5238" s="4">
        <v>0</v>
      </c>
      <c r="F5238" s="8">
        <v>0</v>
      </c>
      <c r="G5238" s="4">
        <v>3</v>
      </c>
      <c r="H5238" s="8">
        <v>3.49</v>
      </c>
      <c r="I5238" s="4">
        <v>0</v>
      </c>
    </row>
    <row r="5239" spans="1:9" x14ac:dyDescent="0.2">
      <c r="A5239" s="2">
        <v>16</v>
      </c>
      <c r="B5239" s="1" t="s">
        <v>319</v>
      </c>
      <c r="C5239" s="4">
        <v>3</v>
      </c>
      <c r="D5239" s="8">
        <v>1.4</v>
      </c>
      <c r="E5239" s="4">
        <v>1</v>
      </c>
      <c r="F5239" s="8">
        <v>0.81</v>
      </c>
      <c r="G5239" s="4">
        <v>2</v>
      </c>
      <c r="H5239" s="8">
        <v>2.33</v>
      </c>
      <c r="I5239" s="4">
        <v>0</v>
      </c>
    </row>
    <row r="5240" spans="1:9" x14ac:dyDescent="0.2">
      <c r="A5240" s="2">
        <v>16</v>
      </c>
      <c r="B5240" s="1" t="s">
        <v>343</v>
      </c>
      <c r="C5240" s="4">
        <v>3</v>
      </c>
      <c r="D5240" s="8">
        <v>1.4</v>
      </c>
      <c r="E5240" s="4">
        <v>2</v>
      </c>
      <c r="F5240" s="8">
        <v>1.63</v>
      </c>
      <c r="G5240" s="4">
        <v>1</v>
      </c>
      <c r="H5240" s="8">
        <v>1.1599999999999999</v>
      </c>
      <c r="I5240" s="4">
        <v>0</v>
      </c>
    </row>
    <row r="5241" spans="1:9" x14ac:dyDescent="0.2">
      <c r="A5241" s="2">
        <v>16</v>
      </c>
      <c r="B5241" s="1" t="s">
        <v>290</v>
      </c>
      <c r="C5241" s="4">
        <v>3</v>
      </c>
      <c r="D5241" s="8">
        <v>1.4</v>
      </c>
      <c r="E5241" s="4">
        <v>1</v>
      </c>
      <c r="F5241" s="8">
        <v>0.81</v>
      </c>
      <c r="G5241" s="4">
        <v>2</v>
      </c>
      <c r="H5241" s="8">
        <v>2.33</v>
      </c>
      <c r="I5241" s="4">
        <v>0</v>
      </c>
    </row>
    <row r="5242" spans="1:9" x14ac:dyDescent="0.2">
      <c r="A5242" s="2">
        <v>16</v>
      </c>
      <c r="B5242" s="1" t="s">
        <v>314</v>
      </c>
      <c r="C5242" s="4">
        <v>3</v>
      </c>
      <c r="D5242" s="8">
        <v>1.4</v>
      </c>
      <c r="E5242" s="4">
        <v>2</v>
      </c>
      <c r="F5242" s="8">
        <v>1.63</v>
      </c>
      <c r="G5242" s="4">
        <v>1</v>
      </c>
      <c r="H5242" s="8">
        <v>1.1599999999999999</v>
      </c>
      <c r="I5242" s="4">
        <v>0</v>
      </c>
    </row>
    <row r="5243" spans="1:9" x14ac:dyDescent="0.2">
      <c r="A5243" s="2">
        <v>16</v>
      </c>
      <c r="B5243" s="1" t="s">
        <v>292</v>
      </c>
      <c r="C5243" s="4">
        <v>3</v>
      </c>
      <c r="D5243" s="8">
        <v>1.4</v>
      </c>
      <c r="E5243" s="4">
        <v>1</v>
      </c>
      <c r="F5243" s="8">
        <v>0.81</v>
      </c>
      <c r="G5243" s="4">
        <v>2</v>
      </c>
      <c r="H5243" s="8">
        <v>2.33</v>
      </c>
      <c r="I5243" s="4">
        <v>0</v>
      </c>
    </row>
    <row r="5244" spans="1:9" x14ac:dyDescent="0.2">
      <c r="A5244" s="2">
        <v>16</v>
      </c>
      <c r="B5244" s="1" t="s">
        <v>402</v>
      </c>
      <c r="C5244" s="4">
        <v>3</v>
      </c>
      <c r="D5244" s="8">
        <v>1.4</v>
      </c>
      <c r="E5244" s="4">
        <v>0</v>
      </c>
      <c r="F5244" s="8">
        <v>0</v>
      </c>
      <c r="G5244" s="4">
        <v>3</v>
      </c>
      <c r="H5244" s="8">
        <v>3.49</v>
      </c>
      <c r="I5244" s="4">
        <v>0</v>
      </c>
    </row>
    <row r="5245" spans="1:9" x14ac:dyDescent="0.2">
      <c r="A5245" s="2">
        <v>16</v>
      </c>
      <c r="B5245" s="1" t="s">
        <v>294</v>
      </c>
      <c r="C5245" s="4">
        <v>3</v>
      </c>
      <c r="D5245" s="8">
        <v>1.4</v>
      </c>
      <c r="E5245" s="4">
        <v>1</v>
      </c>
      <c r="F5245" s="8">
        <v>0.81</v>
      </c>
      <c r="G5245" s="4">
        <v>2</v>
      </c>
      <c r="H5245" s="8">
        <v>2.33</v>
      </c>
      <c r="I5245" s="4">
        <v>0</v>
      </c>
    </row>
    <row r="5246" spans="1:9" x14ac:dyDescent="0.2">
      <c r="A5246" s="2">
        <v>16</v>
      </c>
      <c r="B5246" s="1" t="s">
        <v>330</v>
      </c>
      <c r="C5246" s="4">
        <v>3</v>
      </c>
      <c r="D5246" s="8">
        <v>1.4</v>
      </c>
      <c r="E5246" s="4">
        <v>1</v>
      </c>
      <c r="F5246" s="8">
        <v>0.81</v>
      </c>
      <c r="G5246" s="4">
        <v>2</v>
      </c>
      <c r="H5246" s="8">
        <v>2.33</v>
      </c>
      <c r="I5246" s="4">
        <v>0</v>
      </c>
    </row>
    <row r="5247" spans="1:9" x14ac:dyDescent="0.2">
      <c r="A5247" s="2">
        <v>16</v>
      </c>
      <c r="B5247" s="1" t="s">
        <v>295</v>
      </c>
      <c r="C5247" s="4">
        <v>3</v>
      </c>
      <c r="D5247" s="8">
        <v>1.4</v>
      </c>
      <c r="E5247" s="4">
        <v>1</v>
      </c>
      <c r="F5247" s="8">
        <v>0.81</v>
      </c>
      <c r="G5247" s="4">
        <v>2</v>
      </c>
      <c r="H5247" s="8">
        <v>2.33</v>
      </c>
      <c r="I5247" s="4">
        <v>0</v>
      </c>
    </row>
    <row r="5248" spans="1:9" x14ac:dyDescent="0.2">
      <c r="A5248" s="2">
        <v>16</v>
      </c>
      <c r="B5248" s="1" t="s">
        <v>300</v>
      </c>
      <c r="C5248" s="4">
        <v>3</v>
      </c>
      <c r="D5248" s="8">
        <v>1.4</v>
      </c>
      <c r="E5248" s="4">
        <v>2</v>
      </c>
      <c r="F5248" s="8">
        <v>1.63</v>
      </c>
      <c r="G5248" s="4">
        <v>1</v>
      </c>
      <c r="H5248" s="8">
        <v>1.1599999999999999</v>
      </c>
      <c r="I5248" s="4">
        <v>0</v>
      </c>
    </row>
    <row r="5249" spans="1:9" x14ac:dyDescent="0.2">
      <c r="A5249" s="2">
        <v>16</v>
      </c>
      <c r="B5249" s="1" t="s">
        <v>340</v>
      </c>
      <c r="C5249" s="4">
        <v>3</v>
      </c>
      <c r="D5249" s="8">
        <v>1.4</v>
      </c>
      <c r="E5249" s="4">
        <v>0</v>
      </c>
      <c r="F5249" s="8">
        <v>0</v>
      </c>
      <c r="G5249" s="4">
        <v>0</v>
      </c>
      <c r="H5249" s="8">
        <v>0</v>
      </c>
      <c r="I5249" s="4">
        <v>0</v>
      </c>
    </row>
    <row r="5250" spans="1:9" x14ac:dyDescent="0.2">
      <c r="A5250" s="2">
        <v>16</v>
      </c>
      <c r="B5250" s="1" t="s">
        <v>341</v>
      </c>
      <c r="C5250" s="4">
        <v>3</v>
      </c>
      <c r="D5250" s="8">
        <v>1.4</v>
      </c>
      <c r="E5250" s="4">
        <v>0</v>
      </c>
      <c r="F5250" s="8">
        <v>0</v>
      </c>
      <c r="G5250" s="4">
        <v>2</v>
      </c>
      <c r="H5250" s="8">
        <v>2.33</v>
      </c>
      <c r="I5250" s="4">
        <v>0</v>
      </c>
    </row>
    <row r="5251" spans="1:9" x14ac:dyDescent="0.2">
      <c r="A5251" s="2">
        <v>16</v>
      </c>
      <c r="B5251" s="1" t="s">
        <v>371</v>
      </c>
      <c r="C5251" s="4">
        <v>3</v>
      </c>
      <c r="D5251" s="8">
        <v>1.4</v>
      </c>
      <c r="E5251" s="4">
        <v>2</v>
      </c>
      <c r="F5251" s="8">
        <v>1.63</v>
      </c>
      <c r="G5251" s="4">
        <v>1</v>
      </c>
      <c r="H5251" s="8">
        <v>1.1599999999999999</v>
      </c>
      <c r="I5251" s="4">
        <v>0</v>
      </c>
    </row>
    <row r="5252" spans="1:9" x14ac:dyDescent="0.2">
      <c r="A5252" s="1"/>
      <c r="C5252" s="4"/>
      <c r="D5252" s="8"/>
      <c r="E5252" s="4"/>
      <c r="F5252" s="8"/>
      <c r="G5252" s="4"/>
      <c r="H5252" s="8"/>
      <c r="I5252" s="4"/>
    </row>
    <row r="5253" spans="1:9" x14ac:dyDescent="0.2">
      <c r="A5253" s="1" t="s">
        <v>174</v>
      </c>
      <c r="C5253" s="4"/>
      <c r="D5253" s="8"/>
      <c r="E5253" s="4"/>
      <c r="F5253" s="8"/>
      <c r="G5253" s="4"/>
      <c r="H5253" s="8"/>
      <c r="I5253" s="4"/>
    </row>
    <row r="5254" spans="1:9" x14ac:dyDescent="0.2">
      <c r="A5254" s="2">
        <v>1</v>
      </c>
      <c r="B5254" s="1" t="s">
        <v>288</v>
      </c>
      <c r="C5254" s="4">
        <v>4</v>
      </c>
      <c r="D5254" s="8">
        <v>4.76</v>
      </c>
      <c r="E5254" s="4">
        <v>1</v>
      </c>
      <c r="F5254" s="8">
        <v>2.38</v>
      </c>
      <c r="G5254" s="4">
        <v>3</v>
      </c>
      <c r="H5254" s="8">
        <v>9.09</v>
      </c>
      <c r="I5254" s="4">
        <v>0</v>
      </c>
    </row>
    <row r="5255" spans="1:9" x14ac:dyDescent="0.2">
      <c r="A5255" s="2">
        <v>1</v>
      </c>
      <c r="B5255" s="1" t="s">
        <v>292</v>
      </c>
      <c r="C5255" s="4">
        <v>4</v>
      </c>
      <c r="D5255" s="8">
        <v>4.76</v>
      </c>
      <c r="E5255" s="4">
        <v>1</v>
      </c>
      <c r="F5255" s="8">
        <v>2.38</v>
      </c>
      <c r="G5255" s="4">
        <v>3</v>
      </c>
      <c r="H5255" s="8">
        <v>9.09</v>
      </c>
      <c r="I5255" s="4">
        <v>0</v>
      </c>
    </row>
    <row r="5256" spans="1:9" x14ac:dyDescent="0.2">
      <c r="A5256" s="2">
        <v>1</v>
      </c>
      <c r="B5256" s="1" t="s">
        <v>303</v>
      </c>
      <c r="C5256" s="4">
        <v>4</v>
      </c>
      <c r="D5256" s="8">
        <v>4.76</v>
      </c>
      <c r="E5256" s="4">
        <v>4</v>
      </c>
      <c r="F5256" s="8">
        <v>9.52</v>
      </c>
      <c r="G5256" s="4">
        <v>0</v>
      </c>
      <c r="H5256" s="8">
        <v>0</v>
      </c>
      <c r="I5256" s="4">
        <v>0</v>
      </c>
    </row>
    <row r="5257" spans="1:9" x14ac:dyDescent="0.2">
      <c r="A5257" s="2">
        <v>4</v>
      </c>
      <c r="B5257" s="1" t="s">
        <v>329</v>
      </c>
      <c r="C5257" s="4">
        <v>3</v>
      </c>
      <c r="D5257" s="8">
        <v>3.57</v>
      </c>
      <c r="E5257" s="4">
        <v>2</v>
      </c>
      <c r="F5257" s="8">
        <v>4.76</v>
      </c>
      <c r="G5257" s="4">
        <v>0</v>
      </c>
      <c r="H5257" s="8">
        <v>0</v>
      </c>
      <c r="I5257" s="4">
        <v>1</v>
      </c>
    </row>
    <row r="5258" spans="1:9" x14ac:dyDescent="0.2">
      <c r="A5258" s="2">
        <v>4</v>
      </c>
      <c r="B5258" s="1" t="s">
        <v>304</v>
      </c>
      <c r="C5258" s="4">
        <v>3</v>
      </c>
      <c r="D5258" s="8">
        <v>3.57</v>
      </c>
      <c r="E5258" s="4">
        <v>3</v>
      </c>
      <c r="F5258" s="8">
        <v>7.14</v>
      </c>
      <c r="G5258" s="4">
        <v>0</v>
      </c>
      <c r="H5258" s="8">
        <v>0</v>
      </c>
      <c r="I5258" s="4">
        <v>0</v>
      </c>
    </row>
    <row r="5259" spans="1:9" x14ac:dyDescent="0.2">
      <c r="A5259" s="2">
        <v>4</v>
      </c>
      <c r="B5259" s="1" t="s">
        <v>341</v>
      </c>
      <c r="C5259" s="4">
        <v>3</v>
      </c>
      <c r="D5259" s="8">
        <v>3.57</v>
      </c>
      <c r="E5259" s="4">
        <v>0</v>
      </c>
      <c r="F5259" s="8">
        <v>0</v>
      </c>
      <c r="G5259" s="4">
        <v>0</v>
      </c>
      <c r="H5259" s="8">
        <v>0</v>
      </c>
      <c r="I5259" s="4">
        <v>0</v>
      </c>
    </row>
    <row r="5260" spans="1:9" x14ac:dyDescent="0.2">
      <c r="A5260" s="2">
        <v>4</v>
      </c>
      <c r="B5260" s="1" t="s">
        <v>371</v>
      </c>
      <c r="C5260" s="4">
        <v>3</v>
      </c>
      <c r="D5260" s="8">
        <v>3.57</v>
      </c>
      <c r="E5260" s="4">
        <v>2</v>
      </c>
      <c r="F5260" s="8">
        <v>4.76</v>
      </c>
      <c r="G5260" s="4">
        <v>1</v>
      </c>
      <c r="H5260" s="8">
        <v>3.03</v>
      </c>
      <c r="I5260" s="4">
        <v>0</v>
      </c>
    </row>
    <row r="5261" spans="1:9" x14ac:dyDescent="0.2">
      <c r="A5261" s="2">
        <v>8</v>
      </c>
      <c r="B5261" s="1" t="s">
        <v>328</v>
      </c>
      <c r="C5261" s="4">
        <v>2</v>
      </c>
      <c r="D5261" s="8">
        <v>2.38</v>
      </c>
      <c r="E5261" s="4">
        <v>0</v>
      </c>
      <c r="F5261" s="8">
        <v>0</v>
      </c>
      <c r="G5261" s="4">
        <v>2</v>
      </c>
      <c r="H5261" s="8">
        <v>6.06</v>
      </c>
      <c r="I5261" s="4">
        <v>0</v>
      </c>
    </row>
    <row r="5262" spans="1:9" x14ac:dyDescent="0.2">
      <c r="A5262" s="2">
        <v>8</v>
      </c>
      <c r="B5262" s="1" t="s">
        <v>357</v>
      </c>
      <c r="C5262" s="4">
        <v>2</v>
      </c>
      <c r="D5262" s="8">
        <v>2.38</v>
      </c>
      <c r="E5262" s="4">
        <v>1</v>
      </c>
      <c r="F5262" s="8">
        <v>2.38</v>
      </c>
      <c r="G5262" s="4">
        <v>1</v>
      </c>
      <c r="H5262" s="8">
        <v>3.03</v>
      </c>
      <c r="I5262" s="4">
        <v>0</v>
      </c>
    </row>
    <row r="5263" spans="1:9" x14ac:dyDescent="0.2">
      <c r="A5263" s="2">
        <v>8</v>
      </c>
      <c r="B5263" s="1" t="s">
        <v>387</v>
      </c>
      <c r="C5263" s="4">
        <v>2</v>
      </c>
      <c r="D5263" s="8">
        <v>2.38</v>
      </c>
      <c r="E5263" s="4">
        <v>0</v>
      </c>
      <c r="F5263" s="8">
        <v>0</v>
      </c>
      <c r="G5263" s="4">
        <v>2</v>
      </c>
      <c r="H5263" s="8">
        <v>6.06</v>
      </c>
      <c r="I5263" s="4">
        <v>0</v>
      </c>
    </row>
    <row r="5264" spans="1:9" x14ac:dyDescent="0.2">
      <c r="A5264" s="2">
        <v>8</v>
      </c>
      <c r="B5264" s="1" t="s">
        <v>293</v>
      </c>
      <c r="C5264" s="4">
        <v>2</v>
      </c>
      <c r="D5264" s="8">
        <v>2.38</v>
      </c>
      <c r="E5264" s="4">
        <v>2</v>
      </c>
      <c r="F5264" s="8">
        <v>4.76</v>
      </c>
      <c r="G5264" s="4">
        <v>0</v>
      </c>
      <c r="H5264" s="8">
        <v>0</v>
      </c>
      <c r="I5264" s="4">
        <v>0</v>
      </c>
    </row>
    <row r="5265" spans="1:9" x14ac:dyDescent="0.2">
      <c r="A5265" s="2">
        <v>8</v>
      </c>
      <c r="B5265" s="1" t="s">
        <v>418</v>
      </c>
      <c r="C5265" s="4">
        <v>2</v>
      </c>
      <c r="D5265" s="8">
        <v>2.38</v>
      </c>
      <c r="E5265" s="4">
        <v>1</v>
      </c>
      <c r="F5265" s="8">
        <v>2.38</v>
      </c>
      <c r="G5265" s="4">
        <v>1</v>
      </c>
      <c r="H5265" s="8">
        <v>3.03</v>
      </c>
      <c r="I5265" s="4">
        <v>0</v>
      </c>
    </row>
    <row r="5266" spans="1:9" x14ac:dyDescent="0.2">
      <c r="A5266" s="2">
        <v>8</v>
      </c>
      <c r="B5266" s="1" t="s">
        <v>299</v>
      </c>
      <c r="C5266" s="4">
        <v>2</v>
      </c>
      <c r="D5266" s="8">
        <v>2.38</v>
      </c>
      <c r="E5266" s="4">
        <v>2</v>
      </c>
      <c r="F5266" s="8">
        <v>4.76</v>
      </c>
      <c r="G5266" s="4">
        <v>0</v>
      </c>
      <c r="H5266" s="8">
        <v>0</v>
      </c>
      <c r="I5266" s="4">
        <v>0</v>
      </c>
    </row>
    <row r="5267" spans="1:9" x14ac:dyDescent="0.2">
      <c r="A5267" s="2">
        <v>8</v>
      </c>
      <c r="B5267" s="1" t="s">
        <v>300</v>
      </c>
      <c r="C5267" s="4">
        <v>2</v>
      </c>
      <c r="D5267" s="8">
        <v>2.38</v>
      </c>
      <c r="E5267" s="4">
        <v>2</v>
      </c>
      <c r="F5267" s="8">
        <v>4.76</v>
      </c>
      <c r="G5267" s="4">
        <v>0</v>
      </c>
      <c r="H5267" s="8">
        <v>0</v>
      </c>
      <c r="I5267" s="4">
        <v>0</v>
      </c>
    </row>
    <row r="5268" spans="1:9" x14ac:dyDescent="0.2">
      <c r="A5268" s="2">
        <v>8</v>
      </c>
      <c r="B5268" s="1" t="s">
        <v>325</v>
      </c>
      <c r="C5268" s="4">
        <v>2</v>
      </c>
      <c r="D5268" s="8">
        <v>2.38</v>
      </c>
      <c r="E5268" s="4">
        <v>0</v>
      </c>
      <c r="F5268" s="8">
        <v>0</v>
      </c>
      <c r="G5268" s="4">
        <v>1</v>
      </c>
      <c r="H5268" s="8">
        <v>3.03</v>
      </c>
      <c r="I5268" s="4">
        <v>0</v>
      </c>
    </row>
    <row r="5269" spans="1:9" x14ac:dyDescent="0.2">
      <c r="A5269" s="2">
        <v>8</v>
      </c>
      <c r="B5269" s="1" t="s">
        <v>307</v>
      </c>
      <c r="C5269" s="4">
        <v>2</v>
      </c>
      <c r="D5269" s="8">
        <v>2.38</v>
      </c>
      <c r="E5269" s="4">
        <v>2</v>
      </c>
      <c r="F5269" s="8">
        <v>4.76</v>
      </c>
      <c r="G5269" s="4">
        <v>0</v>
      </c>
      <c r="H5269" s="8">
        <v>0</v>
      </c>
      <c r="I5269" s="4">
        <v>0</v>
      </c>
    </row>
    <row r="5270" spans="1:9" x14ac:dyDescent="0.2">
      <c r="A5270" s="2">
        <v>17</v>
      </c>
      <c r="B5270" s="1" t="s">
        <v>427</v>
      </c>
      <c r="C5270" s="4">
        <v>1</v>
      </c>
      <c r="D5270" s="8">
        <v>1.19</v>
      </c>
      <c r="E5270" s="4">
        <v>0</v>
      </c>
      <c r="F5270" s="8">
        <v>0</v>
      </c>
      <c r="G5270" s="4">
        <v>1</v>
      </c>
      <c r="H5270" s="8">
        <v>3.03</v>
      </c>
      <c r="I5270" s="4">
        <v>0</v>
      </c>
    </row>
    <row r="5271" spans="1:9" x14ac:dyDescent="0.2">
      <c r="A5271" s="2">
        <v>17</v>
      </c>
      <c r="B5271" s="1" t="s">
        <v>398</v>
      </c>
      <c r="C5271" s="4">
        <v>1</v>
      </c>
      <c r="D5271" s="8">
        <v>1.19</v>
      </c>
      <c r="E5271" s="4">
        <v>0</v>
      </c>
      <c r="F5271" s="8">
        <v>0</v>
      </c>
      <c r="G5271" s="4">
        <v>1</v>
      </c>
      <c r="H5271" s="8">
        <v>3.03</v>
      </c>
      <c r="I5271" s="4">
        <v>0</v>
      </c>
    </row>
    <row r="5272" spans="1:9" x14ac:dyDescent="0.2">
      <c r="A5272" s="2">
        <v>17</v>
      </c>
      <c r="B5272" s="1" t="s">
        <v>333</v>
      </c>
      <c r="C5272" s="4">
        <v>1</v>
      </c>
      <c r="D5272" s="8">
        <v>1.19</v>
      </c>
      <c r="E5272" s="4">
        <v>1</v>
      </c>
      <c r="F5272" s="8">
        <v>2.38</v>
      </c>
      <c r="G5272" s="4">
        <v>0</v>
      </c>
      <c r="H5272" s="8">
        <v>0</v>
      </c>
      <c r="I5272" s="4">
        <v>0</v>
      </c>
    </row>
    <row r="5273" spans="1:9" x14ac:dyDescent="0.2">
      <c r="A5273" s="2">
        <v>17</v>
      </c>
      <c r="B5273" s="1" t="s">
        <v>290</v>
      </c>
      <c r="C5273" s="4">
        <v>1</v>
      </c>
      <c r="D5273" s="8">
        <v>1.19</v>
      </c>
      <c r="E5273" s="4">
        <v>0</v>
      </c>
      <c r="F5273" s="8">
        <v>0</v>
      </c>
      <c r="G5273" s="4">
        <v>1</v>
      </c>
      <c r="H5273" s="8">
        <v>3.03</v>
      </c>
      <c r="I5273" s="4">
        <v>0</v>
      </c>
    </row>
    <row r="5274" spans="1:9" x14ac:dyDescent="0.2">
      <c r="A5274" s="2">
        <v>17</v>
      </c>
      <c r="B5274" s="1" t="s">
        <v>342</v>
      </c>
      <c r="C5274" s="4">
        <v>1</v>
      </c>
      <c r="D5274" s="8">
        <v>1.19</v>
      </c>
      <c r="E5274" s="4">
        <v>1</v>
      </c>
      <c r="F5274" s="8">
        <v>2.38</v>
      </c>
      <c r="G5274" s="4">
        <v>0</v>
      </c>
      <c r="H5274" s="8">
        <v>0</v>
      </c>
      <c r="I5274" s="4">
        <v>0</v>
      </c>
    </row>
    <row r="5275" spans="1:9" x14ac:dyDescent="0.2">
      <c r="A5275" s="2">
        <v>17</v>
      </c>
      <c r="B5275" s="1" t="s">
        <v>384</v>
      </c>
      <c r="C5275" s="4">
        <v>1</v>
      </c>
      <c r="D5275" s="8">
        <v>1.19</v>
      </c>
      <c r="E5275" s="4">
        <v>0</v>
      </c>
      <c r="F5275" s="8">
        <v>0</v>
      </c>
      <c r="G5275" s="4">
        <v>1</v>
      </c>
      <c r="H5275" s="8">
        <v>3.03</v>
      </c>
      <c r="I5275" s="4">
        <v>0</v>
      </c>
    </row>
    <row r="5276" spans="1:9" x14ac:dyDescent="0.2">
      <c r="A5276" s="2">
        <v>17</v>
      </c>
      <c r="B5276" s="1" t="s">
        <v>502</v>
      </c>
      <c r="C5276" s="4">
        <v>1</v>
      </c>
      <c r="D5276" s="8">
        <v>1.19</v>
      </c>
      <c r="E5276" s="4">
        <v>0</v>
      </c>
      <c r="F5276" s="8">
        <v>0</v>
      </c>
      <c r="G5276" s="4">
        <v>1</v>
      </c>
      <c r="H5276" s="8">
        <v>3.03</v>
      </c>
      <c r="I5276" s="4">
        <v>0</v>
      </c>
    </row>
    <row r="5277" spans="1:9" x14ac:dyDescent="0.2">
      <c r="A5277" s="2">
        <v>17</v>
      </c>
      <c r="B5277" s="1" t="s">
        <v>434</v>
      </c>
      <c r="C5277" s="4">
        <v>1</v>
      </c>
      <c r="D5277" s="8">
        <v>1.19</v>
      </c>
      <c r="E5277" s="4">
        <v>0</v>
      </c>
      <c r="F5277" s="8">
        <v>0</v>
      </c>
      <c r="G5277" s="4">
        <v>1</v>
      </c>
      <c r="H5277" s="8">
        <v>3.03</v>
      </c>
      <c r="I5277" s="4">
        <v>0</v>
      </c>
    </row>
    <row r="5278" spans="1:9" x14ac:dyDescent="0.2">
      <c r="A5278" s="2">
        <v>17</v>
      </c>
      <c r="B5278" s="1" t="s">
        <v>454</v>
      </c>
      <c r="C5278" s="4">
        <v>1</v>
      </c>
      <c r="D5278" s="8">
        <v>1.19</v>
      </c>
      <c r="E5278" s="4">
        <v>0</v>
      </c>
      <c r="F5278" s="8">
        <v>0</v>
      </c>
      <c r="G5278" s="4">
        <v>1</v>
      </c>
      <c r="H5278" s="8">
        <v>3.03</v>
      </c>
      <c r="I5278" s="4">
        <v>0</v>
      </c>
    </row>
    <row r="5279" spans="1:9" x14ac:dyDescent="0.2">
      <c r="A5279" s="2">
        <v>17</v>
      </c>
      <c r="B5279" s="1" t="s">
        <v>520</v>
      </c>
      <c r="C5279" s="4">
        <v>1</v>
      </c>
      <c r="D5279" s="8">
        <v>1.19</v>
      </c>
      <c r="E5279" s="4">
        <v>1</v>
      </c>
      <c r="F5279" s="8">
        <v>2.38</v>
      </c>
      <c r="G5279" s="4">
        <v>0</v>
      </c>
      <c r="H5279" s="8">
        <v>0</v>
      </c>
      <c r="I5279" s="4">
        <v>0</v>
      </c>
    </row>
    <row r="5280" spans="1:9" x14ac:dyDescent="0.2">
      <c r="A5280" s="2">
        <v>17</v>
      </c>
      <c r="B5280" s="1" t="s">
        <v>432</v>
      </c>
      <c r="C5280" s="4">
        <v>1</v>
      </c>
      <c r="D5280" s="8">
        <v>1.19</v>
      </c>
      <c r="E5280" s="4">
        <v>0</v>
      </c>
      <c r="F5280" s="8">
        <v>0</v>
      </c>
      <c r="G5280" s="4">
        <v>1</v>
      </c>
      <c r="H5280" s="8">
        <v>3.03</v>
      </c>
      <c r="I5280" s="4">
        <v>0</v>
      </c>
    </row>
    <row r="5281" spans="1:9" x14ac:dyDescent="0.2">
      <c r="A5281" s="2">
        <v>17</v>
      </c>
      <c r="B5281" s="1" t="s">
        <v>425</v>
      </c>
      <c r="C5281" s="4">
        <v>1</v>
      </c>
      <c r="D5281" s="8">
        <v>1.19</v>
      </c>
      <c r="E5281" s="4">
        <v>1</v>
      </c>
      <c r="F5281" s="8">
        <v>2.38</v>
      </c>
      <c r="G5281" s="4">
        <v>0</v>
      </c>
      <c r="H5281" s="8">
        <v>0</v>
      </c>
      <c r="I5281" s="4">
        <v>0</v>
      </c>
    </row>
    <row r="5282" spans="1:9" x14ac:dyDescent="0.2">
      <c r="A5282" s="2">
        <v>17</v>
      </c>
      <c r="B5282" s="1" t="s">
        <v>361</v>
      </c>
      <c r="C5282" s="4">
        <v>1</v>
      </c>
      <c r="D5282" s="8">
        <v>1.19</v>
      </c>
      <c r="E5282" s="4">
        <v>0</v>
      </c>
      <c r="F5282" s="8">
        <v>0</v>
      </c>
      <c r="G5282" s="4">
        <v>0</v>
      </c>
      <c r="H5282" s="8">
        <v>0</v>
      </c>
      <c r="I5282" s="4">
        <v>0</v>
      </c>
    </row>
    <row r="5283" spans="1:9" x14ac:dyDescent="0.2">
      <c r="A5283" s="2">
        <v>17</v>
      </c>
      <c r="B5283" s="1" t="s">
        <v>407</v>
      </c>
      <c r="C5283" s="4">
        <v>1</v>
      </c>
      <c r="D5283" s="8">
        <v>1.19</v>
      </c>
      <c r="E5283" s="4">
        <v>0</v>
      </c>
      <c r="F5283" s="8">
        <v>0</v>
      </c>
      <c r="G5283" s="4">
        <v>1</v>
      </c>
      <c r="H5283" s="8">
        <v>3.03</v>
      </c>
      <c r="I5283" s="4">
        <v>0</v>
      </c>
    </row>
    <row r="5284" spans="1:9" x14ac:dyDescent="0.2">
      <c r="A5284" s="2">
        <v>17</v>
      </c>
      <c r="B5284" s="1" t="s">
        <v>478</v>
      </c>
      <c r="C5284" s="4">
        <v>1</v>
      </c>
      <c r="D5284" s="8">
        <v>1.19</v>
      </c>
      <c r="E5284" s="4">
        <v>1</v>
      </c>
      <c r="F5284" s="8">
        <v>2.38</v>
      </c>
      <c r="G5284" s="4">
        <v>0</v>
      </c>
      <c r="H5284" s="8">
        <v>0</v>
      </c>
      <c r="I5284" s="4">
        <v>0</v>
      </c>
    </row>
    <row r="5285" spans="1:9" x14ac:dyDescent="0.2">
      <c r="A5285" s="2">
        <v>17</v>
      </c>
      <c r="B5285" s="1" t="s">
        <v>364</v>
      </c>
      <c r="C5285" s="4">
        <v>1</v>
      </c>
      <c r="D5285" s="8">
        <v>1.19</v>
      </c>
      <c r="E5285" s="4">
        <v>0</v>
      </c>
      <c r="F5285" s="8">
        <v>0</v>
      </c>
      <c r="G5285" s="4">
        <v>0</v>
      </c>
      <c r="H5285" s="8">
        <v>0</v>
      </c>
      <c r="I5285" s="4">
        <v>0</v>
      </c>
    </row>
    <row r="5286" spans="1:9" x14ac:dyDescent="0.2">
      <c r="A5286" s="2">
        <v>17</v>
      </c>
      <c r="B5286" s="1" t="s">
        <v>324</v>
      </c>
      <c r="C5286" s="4">
        <v>1</v>
      </c>
      <c r="D5286" s="8">
        <v>1.19</v>
      </c>
      <c r="E5286" s="4">
        <v>1</v>
      </c>
      <c r="F5286" s="8">
        <v>2.38</v>
      </c>
      <c r="G5286" s="4">
        <v>0</v>
      </c>
      <c r="H5286" s="8">
        <v>0</v>
      </c>
      <c r="I5286" s="4">
        <v>0</v>
      </c>
    </row>
    <row r="5287" spans="1:9" x14ac:dyDescent="0.2">
      <c r="A5287" s="2">
        <v>17</v>
      </c>
      <c r="B5287" s="1" t="s">
        <v>452</v>
      </c>
      <c r="C5287" s="4">
        <v>1</v>
      </c>
      <c r="D5287" s="8">
        <v>1.19</v>
      </c>
      <c r="E5287" s="4">
        <v>0</v>
      </c>
      <c r="F5287" s="8">
        <v>0</v>
      </c>
      <c r="G5287" s="4">
        <v>1</v>
      </c>
      <c r="H5287" s="8">
        <v>3.03</v>
      </c>
      <c r="I5287" s="4">
        <v>0</v>
      </c>
    </row>
    <row r="5288" spans="1:9" x14ac:dyDescent="0.2">
      <c r="A5288" s="2">
        <v>17</v>
      </c>
      <c r="B5288" s="1" t="s">
        <v>379</v>
      </c>
      <c r="C5288" s="4">
        <v>1</v>
      </c>
      <c r="D5288" s="8">
        <v>1.19</v>
      </c>
      <c r="E5288" s="4">
        <v>0</v>
      </c>
      <c r="F5288" s="8">
        <v>0</v>
      </c>
      <c r="G5288" s="4">
        <v>1</v>
      </c>
      <c r="H5288" s="8">
        <v>3.03</v>
      </c>
      <c r="I5288" s="4">
        <v>0</v>
      </c>
    </row>
    <row r="5289" spans="1:9" x14ac:dyDescent="0.2">
      <c r="A5289" s="2">
        <v>17</v>
      </c>
      <c r="B5289" s="1" t="s">
        <v>400</v>
      </c>
      <c r="C5289" s="4">
        <v>1</v>
      </c>
      <c r="D5289" s="8">
        <v>1.19</v>
      </c>
      <c r="E5289" s="4">
        <v>1</v>
      </c>
      <c r="F5289" s="8">
        <v>2.38</v>
      </c>
      <c r="G5289" s="4">
        <v>0</v>
      </c>
      <c r="H5289" s="8">
        <v>0</v>
      </c>
      <c r="I5289" s="4">
        <v>0</v>
      </c>
    </row>
    <row r="5290" spans="1:9" x14ac:dyDescent="0.2">
      <c r="A5290" s="2">
        <v>17</v>
      </c>
      <c r="B5290" s="1" t="s">
        <v>314</v>
      </c>
      <c r="C5290" s="4">
        <v>1</v>
      </c>
      <c r="D5290" s="8">
        <v>1.19</v>
      </c>
      <c r="E5290" s="4">
        <v>0</v>
      </c>
      <c r="F5290" s="8">
        <v>0</v>
      </c>
      <c r="G5290" s="4">
        <v>1</v>
      </c>
      <c r="H5290" s="8">
        <v>3.03</v>
      </c>
      <c r="I5290" s="4">
        <v>0</v>
      </c>
    </row>
    <row r="5291" spans="1:9" x14ac:dyDescent="0.2">
      <c r="A5291" s="2">
        <v>17</v>
      </c>
      <c r="B5291" s="1" t="s">
        <v>332</v>
      </c>
      <c r="C5291" s="4">
        <v>1</v>
      </c>
      <c r="D5291" s="8">
        <v>1.19</v>
      </c>
      <c r="E5291" s="4">
        <v>1</v>
      </c>
      <c r="F5291" s="8">
        <v>2.38</v>
      </c>
      <c r="G5291" s="4">
        <v>0</v>
      </c>
      <c r="H5291" s="8">
        <v>0</v>
      </c>
      <c r="I5291" s="4">
        <v>0</v>
      </c>
    </row>
    <row r="5292" spans="1:9" x14ac:dyDescent="0.2">
      <c r="A5292" s="2">
        <v>17</v>
      </c>
      <c r="B5292" s="1" t="s">
        <v>389</v>
      </c>
      <c r="C5292" s="4">
        <v>1</v>
      </c>
      <c r="D5292" s="8">
        <v>1.19</v>
      </c>
      <c r="E5292" s="4">
        <v>1</v>
      </c>
      <c r="F5292" s="8">
        <v>2.38</v>
      </c>
      <c r="G5292" s="4">
        <v>0</v>
      </c>
      <c r="H5292" s="8">
        <v>0</v>
      </c>
      <c r="I5292" s="4">
        <v>0</v>
      </c>
    </row>
    <row r="5293" spans="1:9" x14ac:dyDescent="0.2">
      <c r="A5293" s="2">
        <v>17</v>
      </c>
      <c r="B5293" s="1" t="s">
        <v>335</v>
      </c>
      <c r="C5293" s="4">
        <v>1</v>
      </c>
      <c r="D5293" s="8">
        <v>1.19</v>
      </c>
      <c r="E5293" s="4">
        <v>1</v>
      </c>
      <c r="F5293" s="8">
        <v>2.38</v>
      </c>
      <c r="G5293" s="4">
        <v>0</v>
      </c>
      <c r="H5293" s="8">
        <v>0</v>
      </c>
      <c r="I5293" s="4">
        <v>0</v>
      </c>
    </row>
    <row r="5294" spans="1:9" x14ac:dyDescent="0.2">
      <c r="A5294" s="2">
        <v>17</v>
      </c>
      <c r="B5294" s="1" t="s">
        <v>402</v>
      </c>
      <c r="C5294" s="4">
        <v>1</v>
      </c>
      <c r="D5294" s="8">
        <v>1.19</v>
      </c>
      <c r="E5294" s="4">
        <v>0</v>
      </c>
      <c r="F5294" s="8">
        <v>0</v>
      </c>
      <c r="G5294" s="4">
        <v>1</v>
      </c>
      <c r="H5294" s="8">
        <v>3.03</v>
      </c>
      <c r="I5294" s="4">
        <v>0</v>
      </c>
    </row>
    <row r="5295" spans="1:9" x14ac:dyDescent="0.2">
      <c r="A5295" s="2">
        <v>17</v>
      </c>
      <c r="B5295" s="1" t="s">
        <v>294</v>
      </c>
      <c r="C5295" s="4">
        <v>1</v>
      </c>
      <c r="D5295" s="8">
        <v>1.19</v>
      </c>
      <c r="E5295" s="4">
        <v>0</v>
      </c>
      <c r="F5295" s="8">
        <v>0</v>
      </c>
      <c r="G5295" s="4">
        <v>1</v>
      </c>
      <c r="H5295" s="8">
        <v>3.03</v>
      </c>
      <c r="I5295" s="4">
        <v>0</v>
      </c>
    </row>
    <row r="5296" spans="1:9" x14ac:dyDescent="0.2">
      <c r="A5296" s="2">
        <v>17</v>
      </c>
      <c r="B5296" s="1" t="s">
        <v>330</v>
      </c>
      <c r="C5296" s="4">
        <v>1</v>
      </c>
      <c r="D5296" s="8">
        <v>1.19</v>
      </c>
      <c r="E5296" s="4">
        <v>0</v>
      </c>
      <c r="F5296" s="8">
        <v>0</v>
      </c>
      <c r="G5296" s="4">
        <v>1</v>
      </c>
      <c r="H5296" s="8">
        <v>3.03</v>
      </c>
      <c r="I5296" s="4">
        <v>0</v>
      </c>
    </row>
    <row r="5297" spans="1:9" x14ac:dyDescent="0.2">
      <c r="A5297" s="2">
        <v>17</v>
      </c>
      <c r="B5297" s="1" t="s">
        <v>373</v>
      </c>
      <c r="C5297" s="4">
        <v>1</v>
      </c>
      <c r="D5297" s="8">
        <v>1.19</v>
      </c>
      <c r="E5297" s="4">
        <v>1</v>
      </c>
      <c r="F5297" s="8">
        <v>2.38</v>
      </c>
      <c r="G5297" s="4">
        <v>0</v>
      </c>
      <c r="H5297" s="8">
        <v>0</v>
      </c>
      <c r="I5297" s="4">
        <v>0</v>
      </c>
    </row>
    <row r="5298" spans="1:9" x14ac:dyDescent="0.2">
      <c r="A5298" s="2">
        <v>17</v>
      </c>
      <c r="B5298" s="1" t="s">
        <v>344</v>
      </c>
      <c r="C5298" s="4">
        <v>1</v>
      </c>
      <c r="D5298" s="8">
        <v>1.19</v>
      </c>
      <c r="E5298" s="4">
        <v>1</v>
      </c>
      <c r="F5298" s="8">
        <v>2.38</v>
      </c>
      <c r="G5298" s="4">
        <v>0</v>
      </c>
      <c r="H5298" s="8">
        <v>0</v>
      </c>
      <c r="I5298" s="4">
        <v>0</v>
      </c>
    </row>
    <row r="5299" spans="1:9" x14ac:dyDescent="0.2">
      <c r="A5299" s="2">
        <v>17</v>
      </c>
      <c r="B5299" s="1" t="s">
        <v>310</v>
      </c>
      <c r="C5299" s="4">
        <v>1</v>
      </c>
      <c r="D5299" s="8">
        <v>1.19</v>
      </c>
      <c r="E5299" s="4">
        <v>0</v>
      </c>
      <c r="F5299" s="8">
        <v>0</v>
      </c>
      <c r="G5299" s="4">
        <v>1</v>
      </c>
      <c r="H5299" s="8">
        <v>3.03</v>
      </c>
      <c r="I5299" s="4">
        <v>0</v>
      </c>
    </row>
    <row r="5300" spans="1:9" x14ac:dyDescent="0.2">
      <c r="A5300" s="2">
        <v>17</v>
      </c>
      <c r="B5300" s="1" t="s">
        <v>521</v>
      </c>
      <c r="C5300" s="4">
        <v>1</v>
      </c>
      <c r="D5300" s="8">
        <v>1.19</v>
      </c>
      <c r="E5300" s="4">
        <v>0</v>
      </c>
      <c r="F5300" s="8">
        <v>0</v>
      </c>
      <c r="G5300" s="4">
        <v>1</v>
      </c>
      <c r="H5300" s="8">
        <v>3.03</v>
      </c>
      <c r="I5300" s="4">
        <v>0</v>
      </c>
    </row>
    <row r="5301" spans="1:9" x14ac:dyDescent="0.2">
      <c r="A5301" s="2">
        <v>17</v>
      </c>
      <c r="B5301" s="1" t="s">
        <v>334</v>
      </c>
      <c r="C5301" s="4">
        <v>1</v>
      </c>
      <c r="D5301" s="8">
        <v>1.19</v>
      </c>
      <c r="E5301" s="4">
        <v>1</v>
      </c>
      <c r="F5301" s="8">
        <v>2.38</v>
      </c>
      <c r="G5301" s="4">
        <v>0</v>
      </c>
      <c r="H5301" s="8">
        <v>0</v>
      </c>
      <c r="I5301" s="4">
        <v>0</v>
      </c>
    </row>
    <row r="5302" spans="1:9" x14ac:dyDescent="0.2">
      <c r="A5302" s="2">
        <v>17</v>
      </c>
      <c r="B5302" s="1" t="s">
        <v>419</v>
      </c>
      <c r="C5302" s="4">
        <v>1</v>
      </c>
      <c r="D5302" s="8">
        <v>1.19</v>
      </c>
      <c r="E5302" s="4">
        <v>1</v>
      </c>
      <c r="F5302" s="8">
        <v>2.38</v>
      </c>
      <c r="G5302" s="4">
        <v>0</v>
      </c>
      <c r="H5302" s="8">
        <v>0</v>
      </c>
      <c r="I5302" s="4">
        <v>0</v>
      </c>
    </row>
    <row r="5303" spans="1:9" x14ac:dyDescent="0.2">
      <c r="A5303" s="2">
        <v>17</v>
      </c>
      <c r="B5303" s="1" t="s">
        <v>301</v>
      </c>
      <c r="C5303" s="4">
        <v>1</v>
      </c>
      <c r="D5303" s="8">
        <v>1.19</v>
      </c>
      <c r="E5303" s="4">
        <v>1</v>
      </c>
      <c r="F5303" s="8">
        <v>2.38</v>
      </c>
      <c r="G5303" s="4">
        <v>0</v>
      </c>
      <c r="H5303" s="8">
        <v>0</v>
      </c>
      <c r="I5303" s="4">
        <v>0</v>
      </c>
    </row>
    <row r="5304" spans="1:9" x14ac:dyDescent="0.2">
      <c r="A5304" s="2">
        <v>17</v>
      </c>
      <c r="B5304" s="1" t="s">
        <v>302</v>
      </c>
      <c r="C5304" s="4">
        <v>1</v>
      </c>
      <c r="D5304" s="8">
        <v>1.19</v>
      </c>
      <c r="E5304" s="4">
        <v>0</v>
      </c>
      <c r="F5304" s="8">
        <v>0</v>
      </c>
      <c r="G5304" s="4">
        <v>1</v>
      </c>
      <c r="H5304" s="8">
        <v>3.03</v>
      </c>
      <c r="I5304" s="4">
        <v>0</v>
      </c>
    </row>
    <row r="5305" spans="1:9" x14ac:dyDescent="0.2">
      <c r="A5305" s="2">
        <v>17</v>
      </c>
      <c r="B5305" s="1" t="s">
        <v>323</v>
      </c>
      <c r="C5305" s="4">
        <v>1</v>
      </c>
      <c r="D5305" s="8">
        <v>1.19</v>
      </c>
      <c r="E5305" s="4">
        <v>1</v>
      </c>
      <c r="F5305" s="8">
        <v>2.38</v>
      </c>
      <c r="G5305" s="4">
        <v>0</v>
      </c>
      <c r="H5305" s="8">
        <v>0</v>
      </c>
      <c r="I5305" s="4">
        <v>0</v>
      </c>
    </row>
    <row r="5306" spans="1:9" x14ac:dyDescent="0.2">
      <c r="A5306" s="2">
        <v>17</v>
      </c>
      <c r="B5306" s="1" t="s">
        <v>352</v>
      </c>
      <c r="C5306" s="4">
        <v>1</v>
      </c>
      <c r="D5306" s="8">
        <v>1.19</v>
      </c>
      <c r="E5306" s="4">
        <v>1</v>
      </c>
      <c r="F5306" s="8">
        <v>2.38</v>
      </c>
      <c r="G5306" s="4">
        <v>0</v>
      </c>
      <c r="H5306" s="8">
        <v>0</v>
      </c>
      <c r="I5306" s="4">
        <v>0</v>
      </c>
    </row>
    <row r="5307" spans="1:9" x14ac:dyDescent="0.2">
      <c r="A5307" s="2">
        <v>17</v>
      </c>
      <c r="B5307" s="1" t="s">
        <v>368</v>
      </c>
      <c r="C5307" s="4">
        <v>1</v>
      </c>
      <c r="D5307" s="8">
        <v>1.19</v>
      </c>
      <c r="E5307" s="4">
        <v>0</v>
      </c>
      <c r="F5307" s="8">
        <v>0</v>
      </c>
      <c r="G5307" s="4">
        <v>0</v>
      </c>
      <c r="H5307" s="8">
        <v>0</v>
      </c>
      <c r="I5307" s="4">
        <v>0</v>
      </c>
    </row>
    <row r="5308" spans="1:9" x14ac:dyDescent="0.2">
      <c r="A5308" s="2">
        <v>17</v>
      </c>
      <c r="B5308" s="1" t="s">
        <v>340</v>
      </c>
      <c r="C5308" s="4">
        <v>1</v>
      </c>
      <c r="D5308" s="8">
        <v>1.19</v>
      </c>
      <c r="E5308" s="4">
        <v>0</v>
      </c>
      <c r="F5308" s="8">
        <v>0</v>
      </c>
      <c r="G5308" s="4">
        <v>0</v>
      </c>
      <c r="H5308" s="8">
        <v>0</v>
      </c>
      <c r="I5308" s="4">
        <v>0</v>
      </c>
    </row>
    <row r="5309" spans="1:9" x14ac:dyDescent="0.2">
      <c r="A5309" s="2">
        <v>17</v>
      </c>
      <c r="B5309" s="1" t="s">
        <v>305</v>
      </c>
      <c r="C5309" s="4">
        <v>1</v>
      </c>
      <c r="D5309" s="8">
        <v>1.19</v>
      </c>
      <c r="E5309" s="4">
        <v>1</v>
      </c>
      <c r="F5309" s="8">
        <v>2.38</v>
      </c>
      <c r="G5309" s="4">
        <v>0</v>
      </c>
      <c r="H5309" s="8">
        <v>0</v>
      </c>
      <c r="I5309" s="4">
        <v>0</v>
      </c>
    </row>
    <row r="5310" spans="1:9" x14ac:dyDescent="0.2">
      <c r="A5310" s="2">
        <v>17</v>
      </c>
      <c r="B5310" s="1" t="s">
        <v>312</v>
      </c>
      <c r="C5310" s="4">
        <v>1</v>
      </c>
      <c r="D5310" s="8">
        <v>1.19</v>
      </c>
      <c r="E5310" s="4">
        <v>1</v>
      </c>
      <c r="F5310" s="8">
        <v>2.38</v>
      </c>
      <c r="G5310" s="4">
        <v>0</v>
      </c>
      <c r="H5310" s="8">
        <v>0</v>
      </c>
      <c r="I5310" s="4">
        <v>0</v>
      </c>
    </row>
    <row r="5311" spans="1:9" x14ac:dyDescent="0.2">
      <c r="A5311" s="2">
        <v>17</v>
      </c>
      <c r="B5311" s="1" t="s">
        <v>397</v>
      </c>
      <c r="C5311" s="4">
        <v>1</v>
      </c>
      <c r="D5311" s="8">
        <v>1.19</v>
      </c>
      <c r="E5311" s="4">
        <v>0</v>
      </c>
      <c r="F5311" s="8">
        <v>0</v>
      </c>
      <c r="G5311" s="4">
        <v>1</v>
      </c>
      <c r="H5311" s="8">
        <v>3.03</v>
      </c>
      <c r="I5311" s="4">
        <v>0</v>
      </c>
    </row>
    <row r="5312" spans="1:9" x14ac:dyDescent="0.2">
      <c r="A5312" s="1"/>
      <c r="C5312" s="4"/>
      <c r="D5312" s="8"/>
      <c r="E5312" s="4"/>
      <c r="F5312" s="8"/>
      <c r="G5312" s="4"/>
      <c r="H5312" s="8"/>
      <c r="I5312" s="4"/>
    </row>
    <row r="5313" spans="1:9" x14ac:dyDescent="0.2">
      <c r="A5313" s="1" t="s">
        <v>175</v>
      </c>
      <c r="C5313" s="4"/>
      <c r="D5313" s="8"/>
      <c r="E5313" s="4"/>
      <c r="F5313" s="8"/>
      <c r="G5313" s="4"/>
      <c r="H5313" s="8"/>
      <c r="I5313" s="4"/>
    </row>
    <row r="5314" spans="1:9" x14ac:dyDescent="0.2">
      <c r="A5314" s="2">
        <v>1</v>
      </c>
      <c r="B5314" s="1" t="s">
        <v>304</v>
      </c>
      <c r="C5314" s="4">
        <v>15</v>
      </c>
      <c r="D5314" s="8">
        <v>7.01</v>
      </c>
      <c r="E5314" s="4">
        <v>15</v>
      </c>
      <c r="F5314" s="8">
        <v>13.04</v>
      </c>
      <c r="G5314" s="4">
        <v>0</v>
      </c>
      <c r="H5314" s="8">
        <v>0</v>
      </c>
      <c r="I5314" s="4">
        <v>0</v>
      </c>
    </row>
    <row r="5315" spans="1:9" x14ac:dyDescent="0.2">
      <c r="A5315" s="2">
        <v>2</v>
      </c>
      <c r="B5315" s="1" t="s">
        <v>303</v>
      </c>
      <c r="C5315" s="4">
        <v>10</v>
      </c>
      <c r="D5315" s="8">
        <v>4.67</v>
      </c>
      <c r="E5315" s="4">
        <v>10</v>
      </c>
      <c r="F5315" s="8">
        <v>8.6999999999999993</v>
      </c>
      <c r="G5315" s="4">
        <v>0</v>
      </c>
      <c r="H5315" s="8">
        <v>0</v>
      </c>
      <c r="I5315" s="4">
        <v>0</v>
      </c>
    </row>
    <row r="5316" spans="1:9" x14ac:dyDescent="0.2">
      <c r="A5316" s="2">
        <v>3</v>
      </c>
      <c r="B5316" s="1" t="s">
        <v>330</v>
      </c>
      <c r="C5316" s="4">
        <v>9</v>
      </c>
      <c r="D5316" s="8">
        <v>4.21</v>
      </c>
      <c r="E5316" s="4">
        <v>1</v>
      </c>
      <c r="F5316" s="8">
        <v>0.87</v>
      </c>
      <c r="G5316" s="4">
        <v>8</v>
      </c>
      <c r="H5316" s="8">
        <v>9.09</v>
      </c>
      <c r="I5316" s="4">
        <v>0</v>
      </c>
    </row>
    <row r="5317" spans="1:9" x14ac:dyDescent="0.2">
      <c r="A5317" s="2">
        <v>4</v>
      </c>
      <c r="B5317" s="1" t="s">
        <v>288</v>
      </c>
      <c r="C5317" s="4">
        <v>7</v>
      </c>
      <c r="D5317" s="8">
        <v>3.27</v>
      </c>
      <c r="E5317" s="4">
        <v>1</v>
      </c>
      <c r="F5317" s="8">
        <v>0.87</v>
      </c>
      <c r="G5317" s="4">
        <v>6</v>
      </c>
      <c r="H5317" s="8">
        <v>6.82</v>
      </c>
      <c r="I5317" s="4">
        <v>0</v>
      </c>
    </row>
    <row r="5318" spans="1:9" x14ac:dyDescent="0.2">
      <c r="A5318" s="2">
        <v>4</v>
      </c>
      <c r="B5318" s="1" t="s">
        <v>297</v>
      </c>
      <c r="C5318" s="4">
        <v>7</v>
      </c>
      <c r="D5318" s="8">
        <v>3.27</v>
      </c>
      <c r="E5318" s="4">
        <v>5</v>
      </c>
      <c r="F5318" s="8">
        <v>4.3499999999999996</v>
      </c>
      <c r="G5318" s="4">
        <v>2</v>
      </c>
      <c r="H5318" s="8">
        <v>2.27</v>
      </c>
      <c r="I5318" s="4">
        <v>0</v>
      </c>
    </row>
    <row r="5319" spans="1:9" x14ac:dyDescent="0.2">
      <c r="A5319" s="2">
        <v>6</v>
      </c>
      <c r="B5319" s="1" t="s">
        <v>299</v>
      </c>
      <c r="C5319" s="4">
        <v>6</v>
      </c>
      <c r="D5319" s="8">
        <v>2.8</v>
      </c>
      <c r="E5319" s="4">
        <v>6</v>
      </c>
      <c r="F5319" s="8">
        <v>5.22</v>
      </c>
      <c r="G5319" s="4">
        <v>0</v>
      </c>
      <c r="H5319" s="8">
        <v>0</v>
      </c>
      <c r="I5319" s="4">
        <v>0</v>
      </c>
    </row>
    <row r="5320" spans="1:9" x14ac:dyDescent="0.2">
      <c r="A5320" s="2">
        <v>6</v>
      </c>
      <c r="B5320" s="1" t="s">
        <v>305</v>
      </c>
      <c r="C5320" s="4">
        <v>6</v>
      </c>
      <c r="D5320" s="8">
        <v>2.8</v>
      </c>
      <c r="E5320" s="4">
        <v>5</v>
      </c>
      <c r="F5320" s="8">
        <v>4.3499999999999996</v>
      </c>
      <c r="G5320" s="4">
        <v>0</v>
      </c>
      <c r="H5320" s="8">
        <v>0</v>
      </c>
      <c r="I5320" s="4">
        <v>0</v>
      </c>
    </row>
    <row r="5321" spans="1:9" x14ac:dyDescent="0.2">
      <c r="A5321" s="2">
        <v>8</v>
      </c>
      <c r="B5321" s="1" t="s">
        <v>350</v>
      </c>
      <c r="C5321" s="4">
        <v>5</v>
      </c>
      <c r="D5321" s="8">
        <v>2.34</v>
      </c>
      <c r="E5321" s="4">
        <v>2</v>
      </c>
      <c r="F5321" s="8">
        <v>1.74</v>
      </c>
      <c r="G5321" s="4">
        <v>3</v>
      </c>
      <c r="H5321" s="8">
        <v>3.41</v>
      </c>
      <c r="I5321" s="4">
        <v>0</v>
      </c>
    </row>
    <row r="5322" spans="1:9" x14ac:dyDescent="0.2">
      <c r="A5322" s="2">
        <v>8</v>
      </c>
      <c r="B5322" s="1" t="s">
        <v>292</v>
      </c>
      <c r="C5322" s="4">
        <v>5</v>
      </c>
      <c r="D5322" s="8">
        <v>2.34</v>
      </c>
      <c r="E5322" s="4">
        <v>2</v>
      </c>
      <c r="F5322" s="8">
        <v>1.74</v>
      </c>
      <c r="G5322" s="4">
        <v>1</v>
      </c>
      <c r="H5322" s="8">
        <v>1.1399999999999999</v>
      </c>
      <c r="I5322" s="4">
        <v>2</v>
      </c>
    </row>
    <row r="5323" spans="1:9" x14ac:dyDescent="0.2">
      <c r="A5323" s="2">
        <v>8</v>
      </c>
      <c r="B5323" s="1" t="s">
        <v>306</v>
      </c>
      <c r="C5323" s="4">
        <v>5</v>
      </c>
      <c r="D5323" s="8">
        <v>2.34</v>
      </c>
      <c r="E5323" s="4">
        <v>5</v>
      </c>
      <c r="F5323" s="8">
        <v>4.3499999999999996</v>
      </c>
      <c r="G5323" s="4">
        <v>0</v>
      </c>
      <c r="H5323" s="8">
        <v>0</v>
      </c>
      <c r="I5323" s="4">
        <v>0</v>
      </c>
    </row>
    <row r="5324" spans="1:9" x14ac:dyDescent="0.2">
      <c r="A5324" s="2">
        <v>11</v>
      </c>
      <c r="B5324" s="1" t="s">
        <v>314</v>
      </c>
      <c r="C5324" s="4">
        <v>4</v>
      </c>
      <c r="D5324" s="8">
        <v>1.87</v>
      </c>
      <c r="E5324" s="4">
        <v>2</v>
      </c>
      <c r="F5324" s="8">
        <v>1.74</v>
      </c>
      <c r="G5324" s="4">
        <v>2</v>
      </c>
      <c r="H5324" s="8">
        <v>2.27</v>
      </c>
      <c r="I5324" s="4">
        <v>0</v>
      </c>
    </row>
    <row r="5325" spans="1:9" x14ac:dyDescent="0.2">
      <c r="A5325" s="2">
        <v>11</v>
      </c>
      <c r="B5325" s="1" t="s">
        <v>329</v>
      </c>
      <c r="C5325" s="4">
        <v>4</v>
      </c>
      <c r="D5325" s="8">
        <v>1.87</v>
      </c>
      <c r="E5325" s="4">
        <v>3</v>
      </c>
      <c r="F5325" s="8">
        <v>2.61</v>
      </c>
      <c r="G5325" s="4">
        <v>1</v>
      </c>
      <c r="H5325" s="8">
        <v>1.1399999999999999</v>
      </c>
      <c r="I5325" s="4">
        <v>0</v>
      </c>
    </row>
    <row r="5326" spans="1:9" x14ac:dyDescent="0.2">
      <c r="A5326" s="2">
        <v>11</v>
      </c>
      <c r="B5326" s="1" t="s">
        <v>335</v>
      </c>
      <c r="C5326" s="4">
        <v>4</v>
      </c>
      <c r="D5326" s="8">
        <v>1.87</v>
      </c>
      <c r="E5326" s="4">
        <v>2</v>
      </c>
      <c r="F5326" s="8">
        <v>1.74</v>
      </c>
      <c r="G5326" s="4">
        <v>2</v>
      </c>
      <c r="H5326" s="8">
        <v>2.27</v>
      </c>
      <c r="I5326" s="4">
        <v>0</v>
      </c>
    </row>
    <row r="5327" spans="1:9" x14ac:dyDescent="0.2">
      <c r="A5327" s="2">
        <v>11</v>
      </c>
      <c r="B5327" s="1" t="s">
        <v>295</v>
      </c>
      <c r="C5327" s="4">
        <v>4</v>
      </c>
      <c r="D5327" s="8">
        <v>1.87</v>
      </c>
      <c r="E5327" s="4">
        <v>2</v>
      </c>
      <c r="F5327" s="8">
        <v>1.74</v>
      </c>
      <c r="G5327" s="4">
        <v>2</v>
      </c>
      <c r="H5327" s="8">
        <v>2.27</v>
      </c>
      <c r="I5327" s="4">
        <v>0</v>
      </c>
    </row>
    <row r="5328" spans="1:9" x14ac:dyDescent="0.2">
      <c r="A5328" s="2">
        <v>11</v>
      </c>
      <c r="B5328" s="1" t="s">
        <v>334</v>
      </c>
      <c r="C5328" s="4">
        <v>4</v>
      </c>
      <c r="D5328" s="8">
        <v>1.87</v>
      </c>
      <c r="E5328" s="4">
        <v>4</v>
      </c>
      <c r="F5328" s="8">
        <v>3.48</v>
      </c>
      <c r="G5328" s="4">
        <v>0</v>
      </c>
      <c r="H5328" s="8">
        <v>0</v>
      </c>
      <c r="I5328" s="4">
        <v>0</v>
      </c>
    </row>
    <row r="5329" spans="1:9" x14ac:dyDescent="0.2">
      <c r="A5329" s="2">
        <v>11</v>
      </c>
      <c r="B5329" s="1" t="s">
        <v>302</v>
      </c>
      <c r="C5329" s="4">
        <v>4</v>
      </c>
      <c r="D5329" s="8">
        <v>1.87</v>
      </c>
      <c r="E5329" s="4">
        <v>3</v>
      </c>
      <c r="F5329" s="8">
        <v>2.61</v>
      </c>
      <c r="G5329" s="4">
        <v>1</v>
      </c>
      <c r="H5329" s="8">
        <v>1.1399999999999999</v>
      </c>
      <c r="I5329" s="4">
        <v>0</v>
      </c>
    </row>
    <row r="5330" spans="1:9" x14ac:dyDescent="0.2">
      <c r="A5330" s="2">
        <v>11</v>
      </c>
      <c r="B5330" s="1" t="s">
        <v>340</v>
      </c>
      <c r="C5330" s="4">
        <v>4</v>
      </c>
      <c r="D5330" s="8">
        <v>1.87</v>
      </c>
      <c r="E5330" s="4">
        <v>0</v>
      </c>
      <c r="F5330" s="8">
        <v>0</v>
      </c>
      <c r="G5330" s="4">
        <v>0</v>
      </c>
      <c r="H5330" s="8">
        <v>0</v>
      </c>
      <c r="I5330" s="4">
        <v>0</v>
      </c>
    </row>
    <row r="5331" spans="1:9" x14ac:dyDescent="0.2">
      <c r="A5331" s="2">
        <v>18</v>
      </c>
      <c r="B5331" s="1" t="s">
        <v>319</v>
      </c>
      <c r="C5331" s="4">
        <v>3</v>
      </c>
      <c r="D5331" s="8">
        <v>1.4</v>
      </c>
      <c r="E5331" s="4">
        <v>1</v>
      </c>
      <c r="F5331" s="8">
        <v>0.87</v>
      </c>
      <c r="G5331" s="4">
        <v>2</v>
      </c>
      <c r="H5331" s="8">
        <v>2.27</v>
      </c>
      <c r="I5331" s="4">
        <v>0</v>
      </c>
    </row>
    <row r="5332" spans="1:9" x14ac:dyDescent="0.2">
      <c r="A5332" s="2">
        <v>18</v>
      </c>
      <c r="B5332" s="1" t="s">
        <v>333</v>
      </c>
      <c r="C5332" s="4">
        <v>3</v>
      </c>
      <c r="D5332" s="8">
        <v>1.4</v>
      </c>
      <c r="E5332" s="4">
        <v>3</v>
      </c>
      <c r="F5332" s="8">
        <v>2.61</v>
      </c>
      <c r="G5332" s="4">
        <v>0</v>
      </c>
      <c r="H5332" s="8">
        <v>0</v>
      </c>
      <c r="I5332" s="4">
        <v>0</v>
      </c>
    </row>
    <row r="5333" spans="1:9" x14ac:dyDescent="0.2">
      <c r="A5333" s="2">
        <v>18</v>
      </c>
      <c r="B5333" s="1" t="s">
        <v>309</v>
      </c>
      <c r="C5333" s="4">
        <v>3</v>
      </c>
      <c r="D5333" s="8">
        <v>1.4</v>
      </c>
      <c r="E5333" s="4">
        <v>0</v>
      </c>
      <c r="F5333" s="8">
        <v>0</v>
      </c>
      <c r="G5333" s="4">
        <v>3</v>
      </c>
      <c r="H5333" s="8">
        <v>3.41</v>
      </c>
      <c r="I5333" s="4">
        <v>0</v>
      </c>
    </row>
    <row r="5334" spans="1:9" x14ac:dyDescent="0.2">
      <c r="A5334" s="2">
        <v>18</v>
      </c>
      <c r="B5334" s="1" t="s">
        <v>337</v>
      </c>
      <c r="C5334" s="4">
        <v>3</v>
      </c>
      <c r="D5334" s="8">
        <v>1.4</v>
      </c>
      <c r="E5334" s="4">
        <v>1</v>
      </c>
      <c r="F5334" s="8">
        <v>0.87</v>
      </c>
      <c r="G5334" s="4">
        <v>2</v>
      </c>
      <c r="H5334" s="8">
        <v>2.27</v>
      </c>
      <c r="I5334" s="4">
        <v>0</v>
      </c>
    </row>
    <row r="5335" spans="1:9" x14ac:dyDescent="0.2">
      <c r="A5335" s="1"/>
      <c r="C5335" s="4"/>
      <c r="D5335" s="8"/>
      <c r="E5335" s="4"/>
      <c r="F5335" s="8"/>
      <c r="G5335" s="4"/>
      <c r="H5335" s="8"/>
      <c r="I5335" s="4"/>
    </row>
    <row r="5336" spans="1:9" x14ac:dyDescent="0.2">
      <c r="A5336" s="1" t="s">
        <v>176</v>
      </c>
      <c r="C5336" s="4"/>
      <c r="D5336" s="8"/>
      <c r="E5336" s="4"/>
      <c r="F5336" s="8"/>
      <c r="G5336" s="4"/>
      <c r="H5336" s="8"/>
      <c r="I5336" s="4"/>
    </row>
    <row r="5337" spans="1:9" x14ac:dyDescent="0.2">
      <c r="A5337" s="2">
        <v>1</v>
      </c>
      <c r="B5337" s="1" t="s">
        <v>301</v>
      </c>
      <c r="C5337" s="4">
        <v>13</v>
      </c>
      <c r="D5337" s="8">
        <v>6.57</v>
      </c>
      <c r="E5337" s="4">
        <v>13</v>
      </c>
      <c r="F5337" s="8">
        <v>12.5</v>
      </c>
      <c r="G5337" s="4">
        <v>0</v>
      </c>
      <c r="H5337" s="8">
        <v>0</v>
      </c>
      <c r="I5337" s="4">
        <v>0</v>
      </c>
    </row>
    <row r="5338" spans="1:9" x14ac:dyDescent="0.2">
      <c r="A5338" s="2">
        <v>2</v>
      </c>
      <c r="B5338" s="1" t="s">
        <v>297</v>
      </c>
      <c r="C5338" s="4">
        <v>12</v>
      </c>
      <c r="D5338" s="8">
        <v>6.06</v>
      </c>
      <c r="E5338" s="4">
        <v>11</v>
      </c>
      <c r="F5338" s="8">
        <v>10.58</v>
      </c>
      <c r="G5338" s="4">
        <v>1</v>
      </c>
      <c r="H5338" s="8">
        <v>1.1399999999999999</v>
      </c>
      <c r="I5338" s="4">
        <v>0</v>
      </c>
    </row>
    <row r="5339" spans="1:9" x14ac:dyDescent="0.2">
      <c r="A5339" s="2">
        <v>2</v>
      </c>
      <c r="B5339" s="1" t="s">
        <v>304</v>
      </c>
      <c r="C5339" s="4">
        <v>12</v>
      </c>
      <c r="D5339" s="8">
        <v>6.06</v>
      </c>
      <c r="E5339" s="4">
        <v>12</v>
      </c>
      <c r="F5339" s="8">
        <v>11.54</v>
      </c>
      <c r="G5339" s="4">
        <v>0</v>
      </c>
      <c r="H5339" s="8">
        <v>0</v>
      </c>
      <c r="I5339" s="4">
        <v>0</v>
      </c>
    </row>
    <row r="5340" spans="1:9" x14ac:dyDescent="0.2">
      <c r="A5340" s="2">
        <v>4</v>
      </c>
      <c r="B5340" s="1" t="s">
        <v>300</v>
      </c>
      <c r="C5340" s="4">
        <v>7</v>
      </c>
      <c r="D5340" s="8">
        <v>3.54</v>
      </c>
      <c r="E5340" s="4">
        <v>7</v>
      </c>
      <c r="F5340" s="8">
        <v>6.73</v>
      </c>
      <c r="G5340" s="4">
        <v>0</v>
      </c>
      <c r="H5340" s="8">
        <v>0</v>
      </c>
      <c r="I5340" s="4">
        <v>0</v>
      </c>
    </row>
    <row r="5341" spans="1:9" x14ac:dyDescent="0.2">
      <c r="A5341" s="2">
        <v>4</v>
      </c>
      <c r="B5341" s="1" t="s">
        <v>306</v>
      </c>
      <c r="C5341" s="4">
        <v>7</v>
      </c>
      <c r="D5341" s="8">
        <v>3.54</v>
      </c>
      <c r="E5341" s="4">
        <v>7</v>
      </c>
      <c r="F5341" s="8">
        <v>6.73</v>
      </c>
      <c r="G5341" s="4">
        <v>0</v>
      </c>
      <c r="H5341" s="8">
        <v>0</v>
      </c>
      <c r="I5341" s="4">
        <v>0</v>
      </c>
    </row>
    <row r="5342" spans="1:9" x14ac:dyDescent="0.2">
      <c r="A5342" s="2">
        <v>6</v>
      </c>
      <c r="B5342" s="1" t="s">
        <v>339</v>
      </c>
      <c r="C5342" s="4">
        <v>6</v>
      </c>
      <c r="D5342" s="8">
        <v>3.03</v>
      </c>
      <c r="E5342" s="4">
        <v>3</v>
      </c>
      <c r="F5342" s="8">
        <v>2.88</v>
      </c>
      <c r="G5342" s="4">
        <v>3</v>
      </c>
      <c r="H5342" s="8">
        <v>3.41</v>
      </c>
      <c r="I5342" s="4">
        <v>0</v>
      </c>
    </row>
    <row r="5343" spans="1:9" x14ac:dyDescent="0.2">
      <c r="A5343" s="2">
        <v>6</v>
      </c>
      <c r="B5343" s="1" t="s">
        <v>303</v>
      </c>
      <c r="C5343" s="4">
        <v>6</v>
      </c>
      <c r="D5343" s="8">
        <v>3.03</v>
      </c>
      <c r="E5343" s="4">
        <v>6</v>
      </c>
      <c r="F5343" s="8">
        <v>5.77</v>
      </c>
      <c r="G5343" s="4">
        <v>0</v>
      </c>
      <c r="H5343" s="8">
        <v>0</v>
      </c>
      <c r="I5343" s="4">
        <v>0</v>
      </c>
    </row>
    <row r="5344" spans="1:9" x14ac:dyDescent="0.2">
      <c r="A5344" s="2">
        <v>8</v>
      </c>
      <c r="B5344" s="1" t="s">
        <v>288</v>
      </c>
      <c r="C5344" s="4">
        <v>5</v>
      </c>
      <c r="D5344" s="8">
        <v>2.5299999999999998</v>
      </c>
      <c r="E5344" s="4">
        <v>1</v>
      </c>
      <c r="F5344" s="8">
        <v>0.96</v>
      </c>
      <c r="G5344" s="4">
        <v>4</v>
      </c>
      <c r="H5344" s="8">
        <v>4.55</v>
      </c>
      <c r="I5344" s="4">
        <v>0</v>
      </c>
    </row>
    <row r="5345" spans="1:9" x14ac:dyDescent="0.2">
      <c r="A5345" s="2">
        <v>8</v>
      </c>
      <c r="B5345" s="1" t="s">
        <v>335</v>
      </c>
      <c r="C5345" s="4">
        <v>5</v>
      </c>
      <c r="D5345" s="8">
        <v>2.5299999999999998</v>
      </c>
      <c r="E5345" s="4">
        <v>1</v>
      </c>
      <c r="F5345" s="8">
        <v>0.96</v>
      </c>
      <c r="G5345" s="4">
        <v>4</v>
      </c>
      <c r="H5345" s="8">
        <v>4.55</v>
      </c>
      <c r="I5345" s="4">
        <v>0</v>
      </c>
    </row>
    <row r="5346" spans="1:9" x14ac:dyDescent="0.2">
      <c r="A5346" s="2">
        <v>10</v>
      </c>
      <c r="B5346" s="1" t="s">
        <v>293</v>
      </c>
      <c r="C5346" s="4">
        <v>4</v>
      </c>
      <c r="D5346" s="8">
        <v>2.02</v>
      </c>
      <c r="E5346" s="4">
        <v>2</v>
      </c>
      <c r="F5346" s="8">
        <v>1.92</v>
      </c>
      <c r="G5346" s="4">
        <v>2</v>
      </c>
      <c r="H5346" s="8">
        <v>2.27</v>
      </c>
      <c r="I5346" s="4">
        <v>0</v>
      </c>
    </row>
    <row r="5347" spans="1:9" x14ac:dyDescent="0.2">
      <c r="A5347" s="2">
        <v>10</v>
      </c>
      <c r="B5347" s="1" t="s">
        <v>299</v>
      </c>
      <c r="C5347" s="4">
        <v>4</v>
      </c>
      <c r="D5347" s="8">
        <v>2.02</v>
      </c>
      <c r="E5347" s="4">
        <v>4</v>
      </c>
      <c r="F5347" s="8">
        <v>3.85</v>
      </c>
      <c r="G5347" s="4">
        <v>0</v>
      </c>
      <c r="H5347" s="8">
        <v>0</v>
      </c>
      <c r="I5347" s="4">
        <v>0</v>
      </c>
    </row>
    <row r="5348" spans="1:9" x14ac:dyDescent="0.2">
      <c r="A5348" s="2">
        <v>12</v>
      </c>
      <c r="B5348" s="1" t="s">
        <v>333</v>
      </c>
      <c r="C5348" s="4">
        <v>3</v>
      </c>
      <c r="D5348" s="8">
        <v>1.52</v>
      </c>
      <c r="E5348" s="4">
        <v>3</v>
      </c>
      <c r="F5348" s="8">
        <v>2.88</v>
      </c>
      <c r="G5348" s="4">
        <v>0</v>
      </c>
      <c r="H5348" s="8">
        <v>0</v>
      </c>
      <c r="I5348" s="4">
        <v>0</v>
      </c>
    </row>
    <row r="5349" spans="1:9" x14ac:dyDescent="0.2">
      <c r="A5349" s="2">
        <v>12</v>
      </c>
      <c r="B5349" s="1" t="s">
        <v>291</v>
      </c>
      <c r="C5349" s="4">
        <v>3</v>
      </c>
      <c r="D5349" s="8">
        <v>1.52</v>
      </c>
      <c r="E5349" s="4">
        <v>0</v>
      </c>
      <c r="F5349" s="8">
        <v>0</v>
      </c>
      <c r="G5349" s="4">
        <v>3</v>
      </c>
      <c r="H5349" s="8">
        <v>3.41</v>
      </c>
      <c r="I5349" s="4">
        <v>0</v>
      </c>
    </row>
    <row r="5350" spans="1:9" x14ac:dyDescent="0.2">
      <c r="A5350" s="2">
        <v>12</v>
      </c>
      <c r="B5350" s="1" t="s">
        <v>314</v>
      </c>
      <c r="C5350" s="4">
        <v>3</v>
      </c>
      <c r="D5350" s="8">
        <v>1.52</v>
      </c>
      <c r="E5350" s="4">
        <v>1</v>
      </c>
      <c r="F5350" s="8">
        <v>0.96</v>
      </c>
      <c r="G5350" s="4">
        <v>2</v>
      </c>
      <c r="H5350" s="8">
        <v>2.27</v>
      </c>
      <c r="I5350" s="4">
        <v>0</v>
      </c>
    </row>
    <row r="5351" spans="1:9" x14ac:dyDescent="0.2">
      <c r="A5351" s="2">
        <v>12</v>
      </c>
      <c r="B5351" s="1" t="s">
        <v>294</v>
      </c>
      <c r="C5351" s="4">
        <v>3</v>
      </c>
      <c r="D5351" s="8">
        <v>1.52</v>
      </c>
      <c r="E5351" s="4">
        <v>2</v>
      </c>
      <c r="F5351" s="8">
        <v>1.92</v>
      </c>
      <c r="G5351" s="4">
        <v>1</v>
      </c>
      <c r="H5351" s="8">
        <v>1.1399999999999999</v>
      </c>
      <c r="I5351" s="4">
        <v>0</v>
      </c>
    </row>
    <row r="5352" spans="1:9" x14ac:dyDescent="0.2">
      <c r="A5352" s="2">
        <v>12</v>
      </c>
      <c r="B5352" s="1" t="s">
        <v>330</v>
      </c>
      <c r="C5352" s="4">
        <v>3</v>
      </c>
      <c r="D5352" s="8">
        <v>1.52</v>
      </c>
      <c r="E5352" s="4">
        <v>0</v>
      </c>
      <c r="F5352" s="8">
        <v>0</v>
      </c>
      <c r="G5352" s="4">
        <v>3</v>
      </c>
      <c r="H5352" s="8">
        <v>3.41</v>
      </c>
      <c r="I5352" s="4">
        <v>0</v>
      </c>
    </row>
    <row r="5353" spans="1:9" x14ac:dyDescent="0.2">
      <c r="A5353" s="2">
        <v>12</v>
      </c>
      <c r="B5353" s="1" t="s">
        <v>337</v>
      </c>
      <c r="C5353" s="4">
        <v>3</v>
      </c>
      <c r="D5353" s="8">
        <v>1.52</v>
      </c>
      <c r="E5353" s="4">
        <v>1</v>
      </c>
      <c r="F5353" s="8">
        <v>0.96</v>
      </c>
      <c r="G5353" s="4">
        <v>2</v>
      </c>
      <c r="H5353" s="8">
        <v>2.27</v>
      </c>
      <c r="I5353" s="4">
        <v>0</v>
      </c>
    </row>
    <row r="5354" spans="1:9" x14ac:dyDescent="0.2">
      <c r="A5354" s="2">
        <v>12</v>
      </c>
      <c r="B5354" s="1" t="s">
        <v>295</v>
      </c>
      <c r="C5354" s="4">
        <v>3</v>
      </c>
      <c r="D5354" s="8">
        <v>1.52</v>
      </c>
      <c r="E5354" s="4">
        <v>1</v>
      </c>
      <c r="F5354" s="8">
        <v>0.96</v>
      </c>
      <c r="G5354" s="4">
        <v>2</v>
      </c>
      <c r="H5354" s="8">
        <v>2.27</v>
      </c>
      <c r="I5354" s="4">
        <v>0</v>
      </c>
    </row>
    <row r="5355" spans="1:9" x14ac:dyDescent="0.2">
      <c r="A5355" s="2">
        <v>12</v>
      </c>
      <c r="B5355" s="1" t="s">
        <v>311</v>
      </c>
      <c r="C5355" s="4">
        <v>3</v>
      </c>
      <c r="D5355" s="8">
        <v>1.52</v>
      </c>
      <c r="E5355" s="4">
        <v>0</v>
      </c>
      <c r="F5355" s="8">
        <v>0</v>
      </c>
      <c r="G5355" s="4">
        <v>3</v>
      </c>
      <c r="H5355" s="8">
        <v>3.41</v>
      </c>
      <c r="I5355" s="4">
        <v>0</v>
      </c>
    </row>
    <row r="5356" spans="1:9" x14ac:dyDescent="0.2">
      <c r="A5356" s="2">
        <v>12</v>
      </c>
      <c r="B5356" s="1" t="s">
        <v>298</v>
      </c>
      <c r="C5356" s="4">
        <v>3</v>
      </c>
      <c r="D5356" s="8">
        <v>1.52</v>
      </c>
      <c r="E5356" s="4">
        <v>1</v>
      </c>
      <c r="F5356" s="8">
        <v>0.96</v>
      </c>
      <c r="G5356" s="4">
        <v>2</v>
      </c>
      <c r="H5356" s="8">
        <v>2.27</v>
      </c>
      <c r="I5356" s="4">
        <v>0</v>
      </c>
    </row>
    <row r="5357" spans="1:9" x14ac:dyDescent="0.2">
      <c r="A5357" s="2">
        <v>12</v>
      </c>
      <c r="B5357" s="1" t="s">
        <v>302</v>
      </c>
      <c r="C5357" s="4">
        <v>3</v>
      </c>
      <c r="D5357" s="8">
        <v>1.52</v>
      </c>
      <c r="E5357" s="4">
        <v>1</v>
      </c>
      <c r="F5357" s="8">
        <v>0.96</v>
      </c>
      <c r="G5357" s="4">
        <v>2</v>
      </c>
      <c r="H5357" s="8">
        <v>2.27</v>
      </c>
      <c r="I5357" s="4">
        <v>0</v>
      </c>
    </row>
    <row r="5358" spans="1:9" x14ac:dyDescent="0.2">
      <c r="A5358" s="2">
        <v>12</v>
      </c>
      <c r="B5358" s="1" t="s">
        <v>305</v>
      </c>
      <c r="C5358" s="4">
        <v>3</v>
      </c>
      <c r="D5358" s="8">
        <v>1.52</v>
      </c>
      <c r="E5358" s="4">
        <v>3</v>
      </c>
      <c r="F5358" s="8">
        <v>2.88</v>
      </c>
      <c r="G5358" s="4">
        <v>0</v>
      </c>
      <c r="H5358" s="8">
        <v>0</v>
      </c>
      <c r="I5358" s="4">
        <v>0</v>
      </c>
    </row>
    <row r="5359" spans="1:9" x14ac:dyDescent="0.2">
      <c r="A5359" s="2">
        <v>12</v>
      </c>
      <c r="B5359" s="1" t="s">
        <v>307</v>
      </c>
      <c r="C5359" s="4">
        <v>3</v>
      </c>
      <c r="D5359" s="8">
        <v>1.52</v>
      </c>
      <c r="E5359" s="4">
        <v>1</v>
      </c>
      <c r="F5359" s="8">
        <v>0.96</v>
      </c>
      <c r="G5359" s="4">
        <v>2</v>
      </c>
      <c r="H5359" s="8">
        <v>2.27</v>
      </c>
      <c r="I5359" s="4">
        <v>0</v>
      </c>
    </row>
    <row r="5360" spans="1:9" x14ac:dyDescent="0.2">
      <c r="A5360" s="1"/>
      <c r="C5360" s="4"/>
      <c r="D5360" s="8"/>
      <c r="E5360" s="4"/>
      <c r="F5360" s="8"/>
      <c r="G5360" s="4"/>
      <c r="H5360" s="8"/>
      <c r="I5360" s="4"/>
    </row>
    <row r="5361" spans="1:9" x14ac:dyDescent="0.2">
      <c r="A5361" s="1" t="s">
        <v>177</v>
      </c>
      <c r="C5361" s="4"/>
      <c r="D5361" s="8"/>
      <c r="E5361" s="4"/>
      <c r="F5361" s="8"/>
      <c r="G5361" s="4"/>
      <c r="H5361" s="8"/>
      <c r="I5361" s="4"/>
    </row>
    <row r="5362" spans="1:9" x14ac:dyDescent="0.2">
      <c r="A5362" s="2">
        <v>1</v>
      </c>
      <c r="B5362" s="1" t="s">
        <v>297</v>
      </c>
      <c r="C5362" s="4">
        <v>3</v>
      </c>
      <c r="D5362" s="8">
        <v>4.55</v>
      </c>
      <c r="E5362" s="4">
        <v>1</v>
      </c>
      <c r="F5362" s="8">
        <v>3.13</v>
      </c>
      <c r="G5362" s="4">
        <v>2</v>
      </c>
      <c r="H5362" s="8">
        <v>6.67</v>
      </c>
      <c r="I5362" s="4">
        <v>0</v>
      </c>
    </row>
    <row r="5363" spans="1:9" x14ac:dyDescent="0.2">
      <c r="A5363" s="2">
        <v>1</v>
      </c>
      <c r="B5363" s="1" t="s">
        <v>300</v>
      </c>
      <c r="C5363" s="4">
        <v>3</v>
      </c>
      <c r="D5363" s="8">
        <v>4.55</v>
      </c>
      <c r="E5363" s="4">
        <v>3</v>
      </c>
      <c r="F5363" s="8">
        <v>9.3800000000000008</v>
      </c>
      <c r="G5363" s="4">
        <v>0</v>
      </c>
      <c r="H5363" s="8">
        <v>0</v>
      </c>
      <c r="I5363" s="4">
        <v>0</v>
      </c>
    </row>
    <row r="5364" spans="1:9" x14ac:dyDescent="0.2">
      <c r="A5364" s="2">
        <v>1</v>
      </c>
      <c r="B5364" s="1" t="s">
        <v>325</v>
      </c>
      <c r="C5364" s="4">
        <v>3</v>
      </c>
      <c r="D5364" s="8">
        <v>4.55</v>
      </c>
      <c r="E5364" s="4">
        <v>0</v>
      </c>
      <c r="F5364" s="8">
        <v>0</v>
      </c>
      <c r="G5364" s="4">
        <v>3</v>
      </c>
      <c r="H5364" s="8">
        <v>10</v>
      </c>
      <c r="I5364" s="4">
        <v>0</v>
      </c>
    </row>
    <row r="5365" spans="1:9" x14ac:dyDescent="0.2">
      <c r="A5365" s="2">
        <v>1</v>
      </c>
      <c r="B5365" s="1" t="s">
        <v>303</v>
      </c>
      <c r="C5365" s="4">
        <v>3</v>
      </c>
      <c r="D5365" s="8">
        <v>4.55</v>
      </c>
      <c r="E5365" s="4">
        <v>3</v>
      </c>
      <c r="F5365" s="8">
        <v>9.3800000000000008</v>
      </c>
      <c r="G5365" s="4">
        <v>0</v>
      </c>
      <c r="H5365" s="8">
        <v>0</v>
      </c>
      <c r="I5365" s="4">
        <v>0</v>
      </c>
    </row>
    <row r="5366" spans="1:9" x14ac:dyDescent="0.2">
      <c r="A5366" s="2">
        <v>5</v>
      </c>
      <c r="B5366" s="1" t="s">
        <v>328</v>
      </c>
      <c r="C5366" s="4">
        <v>2</v>
      </c>
      <c r="D5366" s="8">
        <v>3.03</v>
      </c>
      <c r="E5366" s="4">
        <v>1</v>
      </c>
      <c r="F5366" s="8">
        <v>3.13</v>
      </c>
      <c r="G5366" s="4">
        <v>1</v>
      </c>
      <c r="H5366" s="8">
        <v>3.33</v>
      </c>
      <c r="I5366" s="4">
        <v>0</v>
      </c>
    </row>
    <row r="5367" spans="1:9" x14ac:dyDescent="0.2">
      <c r="A5367" s="2">
        <v>5</v>
      </c>
      <c r="B5367" s="1" t="s">
        <v>354</v>
      </c>
      <c r="C5367" s="4">
        <v>2</v>
      </c>
      <c r="D5367" s="8">
        <v>3.03</v>
      </c>
      <c r="E5367" s="4">
        <v>0</v>
      </c>
      <c r="F5367" s="8">
        <v>0</v>
      </c>
      <c r="G5367" s="4">
        <v>2</v>
      </c>
      <c r="H5367" s="8">
        <v>6.67</v>
      </c>
      <c r="I5367" s="4">
        <v>0</v>
      </c>
    </row>
    <row r="5368" spans="1:9" x14ac:dyDescent="0.2">
      <c r="A5368" s="2">
        <v>5</v>
      </c>
      <c r="B5368" s="1" t="s">
        <v>337</v>
      </c>
      <c r="C5368" s="4">
        <v>2</v>
      </c>
      <c r="D5368" s="8">
        <v>3.03</v>
      </c>
      <c r="E5368" s="4">
        <v>0</v>
      </c>
      <c r="F5368" s="8">
        <v>0</v>
      </c>
      <c r="G5368" s="4">
        <v>2</v>
      </c>
      <c r="H5368" s="8">
        <v>6.67</v>
      </c>
      <c r="I5368" s="4">
        <v>0</v>
      </c>
    </row>
    <row r="5369" spans="1:9" x14ac:dyDescent="0.2">
      <c r="A5369" s="2">
        <v>5</v>
      </c>
      <c r="B5369" s="1" t="s">
        <v>301</v>
      </c>
      <c r="C5369" s="4">
        <v>2</v>
      </c>
      <c r="D5369" s="8">
        <v>3.03</v>
      </c>
      <c r="E5369" s="4">
        <v>2</v>
      </c>
      <c r="F5369" s="8">
        <v>6.25</v>
      </c>
      <c r="G5369" s="4">
        <v>0</v>
      </c>
      <c r="H5369" s="8">
        <v>0</v>
      </c>
      <c r="I5369" s="4">
        <v>0</v>
      </c>
    </row>
    <row r="5370" spans="1:9" x14ac:dyDescent="0.2">
      <c r="A5370" s="2">
        <v>5</v>
      </c>
      <c r="B5370" s="1" t="s">
        <v>305</v>
      </c>
      <c r="C5370" s="4">
        <v>2</v>
      </c>
      <c r="D5370" s="8">
        <v>3.03</v>
      </c>
      <c r="E5370" s="4">
        <v>2</v>
      </c>
      <c r="F5370" s="8">
        <v>6.25</v>
      </c>
      <c r="G5370" s="4">
        <v>0</v>
      </c>
      <c r="H5370" s="8">
        <v>0</v>
      </c>
      <c r="I5370" s="4">
        <v>0</v>
      </c>
    </row>
    <row r="5371" spans="1:9" x14ac:dyDescent="0.2">
      <c r="A5371" s="2">
        <v>5</v>
      </c>
      <c r="B5371" s="1" t="s">
        <v>371</v>
      </c>
      <c r="C5371" s="4">
        <v>2</v>
      </c>
      <c r="D5371" s="8">
        <v>3.03</v>
      </c>
      <c r="E5371" s="4">
        <v>2</v>
      </c>
      <c r="F5371" s="8">
        <v>6.25</v>
      </c>
      <c r="G5371" s="4">
        <v>0</v>
      </c>
      <c r="H5371" s="8">
        <v>0</v>
      </c>
      <c r="I5371" s="4">
        <v>0</v>
      </c>
    </row>
    <row r="5372" spans="1:9" x14ac:dyDescent="0.2">
      <c r="A5372" s="2">
        <v>11</v>
      </c>
      <c r="B5372" s="1" t="s">
        <v>288</v>
      </c>
      <c r="C5372" s="4">
        <v>1</v>
      </c>
      <c r="D5372" s="8">
        <v>1.52</v>
      </c>
      <c r="E5372" s="4">
        <v>0</v>
      </c>
      <c r="F5372" s="8">
        <v>0</v>
      </c>
      <c r="G5372" s="4">
        <v>1</v>
      </c>
      <c r="H5372" s="8">
        <v>3.33</v>
      </c>
      <c r="I5372" s="4">
        <v>0</v>
      </c>
    </row>
    <row r="5373" spans="1:9" x14ac:dyDescent="0.2">
      <c r="A5373" s="2">
        <v>11</v>
      </c>
      <c r="B5373" s="1" t="s">
        <v>398</v>
      </c>
      <c r="C5373" s="4">
        <v>1</v>
      </c>
      <c r="D5373" s="8">
        <v>1.52</v>
      </c>
      <c r="E5373" s="4">
        <v>0</v>
      </c>
      <c r="F5373" s="8">
        <v>0</v>
      </c>
      <c r="G5373" s="4">
        <v>1</v>
      </c>
      <c r="H5373" s="8">
        <v>3.33</v>
      </c>
      <c r="I5373" s="4">
        <v>0</v>
      </c>
    </row>
    <row r="5374" spans="1:9" x14ac:dyDescent="0.2">
      <c r="A5374" s="2">
        <v>11</v>
      </c>
      <c r="B5374" s="1" t="s">
        <v>289</v>
      </c>
      <c r="C5374" s="4">
        <v>1</v>
      </c>
      <c r="D5374" s="8">
        <v>1.52</v>
      </c>
      <c r="E5374" s="4">
        <v>0</v>
      </c>
      <c r="F5374" s="8">
        <v>0</v>
      </c>
      <c r="G5374" s="4">
        <v>1</v>
      </c>
      <c r="H5374" s="8">
        <v>3.33</v>
      </c>
      <c r="I5374" s="4">
        <v>0</v>
      </c>
    </row>
    <row r="5375" spans="1:9" x14ac:dyDescent="0.2">
      <c r="A5375" s="2">
        <v>11</v>
      </c>
      <c r="B5375" s="1" t="s">
        <v>375</v>
      </c>
      <c r="C5375" s="4">
        <v>1</v>
      </c>
      <c r="D5375" s="8">
        <v>1.52</v>
      </c>
      <c r="E5375" s="4">
        <v>0</v>
      </c>
      <c r="F5375" s="8">
        <v>0</v>
      </c>
      <c r="G5375" s="4">
        <v>1</v>
      </c>
      <c r="H5375" s="8">
        <v>3.33</v>
      </c>
      <c r="I5375" s="4">
        <v>0</v>
      </c>
    </row>
    <row r="5376" spans="1:9" x14ac:dyDescent="0.2">
      <c r="A5376" s="2">
        <v>11</v>
      </c>
      <c r="B5376" s="1" t="s">
        <v>290</v>
      </c>
      <c r="C5376" s="4">
        <v>1</v>
      </c>
      <c r="D5376" s="8">
        <v>1.52</v>
      </c>
      <c r="E5376" s="4">
        <v>0</v>
      </c>
      <c r="F5376" s="8">
        <v>0</v>
      </c>
      <c r="G5376" s="4">
        <v>1</v>
      </c>
      <c r="H5376" s="8">
        <v>3.33</v>
      </c>
      <c r="I5376" s="4">
        <v>0</v>
      </c>
    </row>
    <row r="5377" spans="1:9" x14ac:dyDescent="0.2">
      <c r="A5377" s="2">
        <v>11</v>
      </c>
      <c r="B5377" s="1" t="s">
        <v>413</v>
      </c>
      <c r="C5377" s="4">
        <v>1</v>
      </c>
      <c r="D5377" s="8">
        <v>1.52</v>
      </c>
      <c r="E5377" s="4">
        <v>0</v>
      </c>
      <c r="F5377" s="8">
        <v>0</v>
      </c>
      <c r="G5377" s="4">
        <v>0</v>
      </c>
      <c r="H5377" s="8">
        <v>0</v>
      </c>
      <c r="I5377" s="4">
        <v>1</v>
      </c>
    </row>
    <row r="5378" spans="1:9" x14ac:dyDescent="0.2">
      <c r="A5378" s="2">
        <v>11</v>
      </c>
      <c r="B5378" s="1" t="s">
        <v>394</v>
      </c>
      <c r="C5378" s="4">
        <v>1</v>
      </c>
      <c r="D5378" s="8">
        <v>1.52</v>
      </c>
      <c r="E5378" s="4">
        <v>0</v>
      </c>
      <c r="F5378" s="8">
        <v>0</v>
      </c>
      <c r="G5378" s="4">
        <v>1</v>
      </c>
      <c r="H5378" s="8">
        <v>3.33</v>
      </c>
      <c r="I5378" s="4">
        <v>0</v>
      </c>
    </row>
    <row r="5379" spans="1:9" x14ac:dyDescent="0.2">
      <c r="A5379" s="2">
        <v>11</v>
      </c>
      <c r="B5379" s="1" t="s">
        <v>511</v>
      </c>
      <c r="C5379" s="4">
        <v>1</v>
      </c>
      <c r="D5379" s="8">
        <v>1.52</v>
      </c>
      <c r="E5379" s="4">
        <v>1</v>
      </c>
      <c r="F5379" s="8">
        <v>3.13</v>
      </c>
      <c r="G5379" s="4">
        <v>0</v>
      </c>
      <c r="H5379" s="8">
        <v>0</v>
      </c>
      <c r="I5379" s="4">
        <v>0</v>
      </c>
    </row>
    <row r="5380" spans="1:9" x14ac:dyDescent="0.2">
      <c r="A5380" s="2">
        <v>11</v>
      </c>
      <c r="B5380" s="1" t="s">
        <v>522</v>
      </c>
      <c r="C5380" s="4">
        <v>1</v>
      </c>
      <c r="D5380" s="8">
        <v>1.52</v>
      </c>
      <c r="E5380" s="4">
        <v>0</v>
      </c>
      <c r="F5380" s="8">
        <v>0</v>
      </c>
      <c r="G5380" s="4">
        <v>1</v>
      </c>
      <c r="H5380" s="8">
        <v>3.33</v>
      </c>
      <c r="I5380" s="4">
        <v>0</v>
      </c>
    </row>
    <row r="5381" spans="1:9" x14ac:dyDescent="0.2">
      <c r="A5381" s="2">
        <v>11</v>
      </c>
      <c r="B5381" s="1" t="s">
        <v>451</v>
      </c>
      <c r="C5381" s="4">
        <v>1</v>
      </c>
      <c r="D5381" s="8">
        <v>1.52</v>
      </c>
      <c r="E5381" s="4">
        <v>0</v>
      </c>
      <c r="F5381" s="8">
        <v>0</v>
      </c>
      <c r="G5381" s="4">
        <v>1</v>
      </c>
      <c r="H5381" s="8">
        <v>3.33</v>
      </c>
      <c r="I5381" s="4">
        <v>0</v>
      </c>
    </row>
    <row r="5382" spans="1:9" x14ac:dyDescent="0.2">
      <c r="A5382" s="2">
        <v>11</v>
      </c>
      <c r="B5382" s="1" t="s">
        <v>387</v>
      </c>
      <c r="C5382" s="4">
        <v>1</v>
      </c>
      <c r="D5382" s="8">
        <v>1.52</v>
      </c>
      <c r="E5382" s="4">
        <v>0</v>
      </c>
      <c r="F5382" s="8">
        <v>0</v>
      </c>
      <c r="G5382" s="4">
        <v>1</v>
      </c>
      <c r="H5382" s="8">
        <v>3.33</v>
      </c>
      <c r="I5382" s="4">
        <v>0</v>
      </c>
    </row>
    <row r="5383" spans="1:9" x14ac:dyDescent="0.2">
      <c r="A5383" s="2">
        <v>11</v>
      </c>
      <c r="B5383" s="1" t="s">
        <v>361</v>
      </c>
      <c r="C5383" s="4">
        <v>1</v>
      </c>
      <c r="D5383" s="8">
        <v>1.52</v>
      </c>
      <c r="E5383" s="4">
        <v>0</v>
      </c>
      <c r="F5383" s="8">
        <v>0</v>
      </c>
      <c r="G5383" s="4">
        <v>0</v>
      </c>
      <c r="H5383" s="8">
        <v>0</v>
      </c>
      <c r="I5383" s="4">
        <v>0</v>
      </c>
    </row>
    <row r="5384" spans="1:9" x14ac:dyDescent="0.2">
      <c r="A5384" s="2">
        <v>11</v>
      </c>
      <c r="B5384" s="1" t="s">
        <v>408</v>
      </c>
      <c r="C5384" s="4">
        <v>1</v>
      </c>
      <c r="D5384" s="8">
        <v>1.52</v>
      </c>
      <c r="E5384" s="4">
        <v>1</v>
      </c>
      <c r="F5384" s="8">
        <v>3.13</v>
      </c>
      <c r="G5384" s="4">
        <v>0</v>
      </c>
      <c r="H5384" s="8">
        <v>0</v>
      </c>
      <c r="I5384" s="4">
        <v>0</v>
      </c>
    </row>
    <row r="5385" spans="1:9" x14ac:dyDescent="0.2">
      <c r="A5385" s="2">
        <v>11</v>
      </c>
      <c r="B5385" s="1" t="s">
        <v>324</v>
      </c>
      <c r="C5385" s="4">
        <v>1</v>
      </c>
      <c r="D5385" s="8">
        <v>1.52</v>
      </c>
      <c r="E5385" s="4">
        <v>1</v>
      </c>
      <c r="F5385" s="8">
        <v>3.13</v>
      </c>
      <c r="G5385" s="4">
        <v>0</v>
      </c>
      <c r="H5385" s="8">
        <v>0</v>
      </c>
      <c r="I5385" s="4">
        <v>0</v>
      </c>
    </row>
    <row r="5386" spans="1:9" x14ac:dyDescent="0.2">
      <c r="A5386" s="2">
        <v>11</v>
      </c>
      <c r="B5386" s="1" t="s">
        <v>321</v>
      </c>
      <c r="C5386" s="4">
        <v>1</v>
      </c>
      <c r="D5386" s="8">
        <v>1.52</v>
      </c>
      <c r="E5386" s="4">
        <v>0</v>
      </c>
      <c r="F5386" s="8">
        <v>0</v>
      </c>
      <c r="G5386" s="4">
        <v>1</v>
      </c>
      <c r="H5386" s="8">
        <v>3.33</v>
      </c>
      <c r="I5386" s="4">
        <v>0</v>
      </c>
    </row>
    <row r="5387" spans="1:9" x14ac:dyDescent="0.2">
      <c r="A5387" s="2">
        <v>11</v>
      </c>
      <c r="B5387" s="1" t="s">
        <v>421</v>
      </c>
      <c r="C5387" s="4">
        <v>1</v>
      </c>
      <c r="D5387" s="8">
        <v>1.52</v>
      </c>
      <c r="E5387" s="4">
        <v>0</v>
      </c>
      <c r="F5387" s="8">
        <v>0</v>
      </c>
      <c r="G5387" s="4">
        <v>1</v>
      </c>
      <c r="H5387" s="8">
        <v>3.33</v>
      </c>
      <c r="I5387" s="4">
        <v>0</v>
      </c>
    </row>
    <row r="5388" spans="1:9" x14ac:dyDescent="0.2">
      <c r="A5388" s="2">
        <v>11</v>
      </c>
      <c r="B5388" s="1" t="s">
        <v>314</v>
      </c>
      <c r="C5388" s="4">
        <v>1</v>
      </c>
      <c r="D5388" s="8">
        <v>1.52</v>
      </c>
      <c r="E5388" s="4">
        <v>0</v>
      </c>
      <c r="F5388" s="8">
        <v>0</v>
      </c>
      <c r="G5388" s="4">
        <v>1</v>
      </c>
      <c r="H5388" s="8">
        <v>3.33</v>
      </c>
      <c r="I5388" s="4">
        <v>0</v>
      </c>
    </row>
    <row r="5389" spans="1:9" x14ac:dyDescent="0.2">
      <c r="A5389" s="2">
        <v>11</v>
      </c>
      <c r="B5389" s="1" t="s">
        <v>329</v>
      </c>
      <c r="C5389" s="4">
        <v>1</v>
      </c>
      <c r="D5389" s="8">
        <v>1.52</v>
      </c>
      <c r="E5389" s="4">
        <v>1</v>
      </c>
      <c r="F5389" s="8">
        <v>3.13</v>
      </c>
      <c r="G5389" s="4">
        <v>0</v>
      </c>
      <c r="H5389" s="8">
        <v>0</v>
      </c>
      <c r="I5389" s="4">
        <v>0</v>
      </c>
    </row>
    <row r="5390" spans="1:9" x14ac:dyDescent="0.2">
      <c r="A5390" s="2">
        <v>11</v>
      </c>
      <c r="B5390" s="1" t="s">
        <v>292</v>
      </c>
      <c r="C5390" s="4">
        <v>1</v>
      </c>
      <c r="D5390" s="8">
        <v>1.52</v>
      </c>
      <c r="E5390" s="4">
        <v>1</v>
      </c>
      <c r="F5390" s="8">
        <v>3.13</v>
      </c>
      <c r="G5390" s="4">
        <v>0</v>
      </c>
      <c r="H5390" s="8">
        <v>0</v>
      </c>
      <c r="I5390" s="4">
        <v>0</v>
      </c>
    </row>
    <row r="5391" spans="1:9" x14ac:dyDescent="0.2">
      <c r="A5391" s="2">
        <v>11</v>
      </c>
      <c r="B5391" s="1" t="s">
        <v>294</v>
      </c>
      <c r="C5391" s="4">
        <v>1</v>
      </c>
      <c r="D5391" s="8">
        <v>1.52</v>
      </c>
      <c r="E5391" s="4">
        <v>0</v>
      </c>
      <c r="F5391" s="8">
        <v>0</v>
      </c>
      <c r="G5391" s="4">
        <v>1</v>
      </c>
      <c r="H5391" s="8">
        <v>3.33</v>
      </c>
      <c r="I5391" s="4">
        <v>0</v>
      </c>
    </row>
    <row r="5392" spans="1:9" x14ac:dyDescent="0.2">
      <c r="A5392" s="2">
        <v>11</v>
      </c>
      <c r="B5392" s="1" t="s">
        <v>372</v>
      </c>
      <c r="C5392" s="4">
        <v>1</v>
      </c>
      <c r="D5392" s="8">
        <v>1.52</v>
      </c>
      <c r="E5392" s="4">
        <v>1</v>
      </c>
      <c r="F5392" s="8">
        <v>3.13</v>
      </c>
      <c r="G5392" s="4">
        <v>0</v>
      </c>
      <c r="H5392" s="8">
        <v>0</v>
      </c>
      <c r="I5392" s="4">
        <v>0</v>
      </c>
    </row>
    <row r="5393" spans="1:9" x14ac:dyDescent="0.2">
      <c r="A5393" s="2">
        <v>11</v>
      </c>
      <c r="B5393" s="1" t="s">
        <v>295</v>
      </c>
      <c r="C5393" s="4">
        <v>1</v>
      </c>
      <c r="D5393" s="8">
        <v>1.52</v>
      </c>
      <c r="E5393" s="4">
        <v>1</v>
      </c>
      <c r="F5393" s="8">
        <v>3.13</v>
      </c>
      <c r="G5393" s="4">
        <v>0</v>
      </c>
      <c r="H5393" s="8">
        <v>0</v>
      </c>
      <c r="I5393" s="4">
        <v>0</v>
      </c>
    </row>
    <row r="5394" spans="1:9" x14ac:dyDescent="0.2">
      <c r="A5394" s="2">
        <v>11</v>
      </c>
      <c r="B5394" s="1" t="s">
        <v>426</v>
      </c>
      <c r="C5394" s="4">
        <v>1</v>
      </c>
      <c r="D5394" s="8">
        <v>1.52</v>
      </c>
      <c r="E5394" s="4">
        <v>0</v>
      </c>
      <c r="F5394" s="8">
        <v>0</v>
      </c>
      <c r="G5394" s="4">
        <v>1</v>
      </c>
      <c r="H5394" s="8">
        <v>3.33</v>
      </c>
      <c r="I5394" s="4">
        <v>0</v>
      </c>
    </row>
    <row r="5395" spans="1:9" x14ac:dyDescent="0.2">
      <c r="A5395" s="2">
        <v>11</v>
      </c>
      <c r="B5395" s="1" t="s">
        <v>310</v>
      </c>
      <c r="C5395" s="4">
        <v>1</v>
      </c>
      <c r="D5395" s="8">
        <v>1.52</v>
      </c>
      <c r="E5395" s="4">
        <v>0</v>
      </c>
      <c r="F5395" s="8">
        <v>0</v>
      </c>
      <c r="G5395" s="4">
        <v>1</v>
      </c>
      <c r="H5395" s="8">
        <v>3.33</v>
      </c>
      <c r="I5395" s="4">
        <v>0</v>
      </c>
    </row>
    <row r="5396" spans="1:9" x14ac:dyDescent="0.2">
      <c r="A5396" s="2">
        <v>11</v>
      </c>
      <c r="B5396" s="1" t="s">
        <v>415</v>
      </c>
      <c r="C5396" s="4">
        <v>1</v>
      </c>
      <c r="D5396" s="8">
        <v>1.52</v>
      </c>
      <c r="E5396" s="4">
        <v>0</v>
      </c>
      <c r="F5396" s="8">
        <v>0</v>
      </c>
      <c r="G5396" s="4">
        <v>1</v>
      </c>
      <c r="H5396" s="8">
        <v>3.33</v>
      </c>
      <c r="I5396" s="4">
        <v>0</v>
      </c>
    </row>
    <row r="5397" spans="1:9" x14ac:dyDescent="0.2">
      <c r="A5397" s="2">
        <v>11</v>
      </c>
      <c r="B5397" s="1" t="s">
        <v>383</v>
      </c>
      <c r="C5397" s="4">
        <v>1</v>
      </c>
      <c r="D5397" s="8">
        <v>1.52</v>
      </c>
      <c r="E5397" s="4">
        <v>1</v>
      </c>
      <c r="F5397" s="8">
        <v>3.13</v>
      </c>
      <c r="G5397" s="4">
        <v>0</v>
      </c>
      <c r="H5397" s="8">
        <v>0</v>
      </c>
      <c r="I5397" s="4">
        <v>0</v>
      </c>
    </row>
    <row r="5398" spans="1:9" x14ac:dyDescent="0.2">
      <c r="A5398" s="2">
        <v>11</v>
      </c>
      <c r="B5398" s="1" t="s">
        <v>482</v>
      </c>
      <c r="C5398" s="4">
        <v>1</v>
      </c>
      <c r="D5398" s="8">
        <v>1.52</v>
      </c>
      <c r="E5398" s="4">
        <v>1</v>
      </c>
      <c r="F5398" s="8">
        <v>3.13</v>
      </c>
      <c r="G5398" s="4">
        <v>0</v>
      </c>
      <c r="H5398" s="8">
        <v>0</v>
      </c>
      <c r="I5398" s="4">
        <v>0</v>
      </c>
    </row>
    <row r="5399" spans="1:9" x14ac:dyDescent="0.2">
      <c r="A5399" s="2">
        <v>11</v>
      </c>
      <c r="B5399" s="1" t="s">
        <v>298</v>
      </c>
      <c r="C5399" s="4">
        <v>1</v>
      </c>
      <c r="D5399" s="8">
        <v>1.52</v>
      </c>
      <c r="E5399" s="4">
        <v>0</v>
      </c>
      <c r="F5399" s="8">
        <v>0</v>
      </c>
      <c r="G5399" s="4">
        <v>1</v>
      </c>
      <c r="H5399" s="8">
        <v>3.33</v>
      </c>
      <c r="I5399" s="4">
        <v>0</v>
      </c>
    </row>
    <row r="5400" spans="1:9" x14ac:dyDescent="0.2">
      <c r="A5400" s="2">
        <v>11</v>
      </c>
      <c r="B5400" s="1" t="s">
        <v>422</v>
      </c>
      <c r="C5400" s="4">
        <v>1</v>
      </c>
      <c r="D5400" s="8">
        <v>1.52</v>
      </c>
      <c r="E5400" s="4">
        <v>1</v>
      </c>
      <c r="F5400" s="8">
        <v>3.13</v>
      </c>
      <c r="G5400" s="4">
        <v>0</v>
      </c>
      <c r="H5400" s="8">
        <v>0</v>
      </c>
      <c r="I5400" s="4">
        <v>0</v>
      </c>
    </row>
    <row r="5401" spans="1:9" x14ac:dyDescent="0.2">
      <c r="A5401" s="2">
        <v>11</v>
      </c>
      <c r="B5401" s="1" t="s">
        <v>334</v>
      </c>
      <c r="C5401" s="4">
        <v>1</v>
      </c>
      <c r="D5401" s="8">
        <v>1.52</v>
      </c>
      <c r="E5401" s="4">
        <v>1</v>
      </c>
      <c r="F5401" s="8">
        <v>3.13</v>
      </c>
      <c r="G5401" s="4">
        <v>0</v>
      </c>
      <c r="H5401" s="8">
        <v>0</v>
      </c>
      <c r="I5401" s="4">
        <v>0</v>
      </c>
    </row>
    <row r="5402" spans="1:9" x14ac:dyDescent="0.2">
      <c r="A5402" s="2">
        <v>11</v>
      </c>
      <c r="B5402" s="1" t="s">
        <v>299</v>
      </c>
      <c r="C5402" s="4">
        <v>1</v>
      </c>
      <c r="D5402" s="8">
        <v>1.52</v>
      </c>
      <c r="E5402" s="4">
        <v>1</v>
      </c>
      <c r="F5402" s="8">
        <v>3.13</v>
      </c>
      <c r="G5402" s="4">
        <v>0</v>
      </c>
      <c r="H5402" s="8">
        <v>0</v>
      </c>
      <c r="I5402" s="4">
        <v>0</v>
      </c>
    </row>
    <row r="5403" spans="1:9" x14ac:dyDescent="0.2">
      <c r="A5403" s="2">
        <v>11</v>
      </c>
      <c r="B5403" s="1" t="s">
        <v>419</v>
      </c>
      <c r="C5403" s="4">
        <v>1</v>
      </c>
      <c r="D5403" s="8">
        <v>1.52</v>
      </c>
      <c r="E5403" s="4">
        <v>1</v>
      </c>
      <c r="F5403" s="8">
        <v>3.13</v>
      </c>
      <c r="G5403" s="4">
        <v>0</v>
      </c>
      <c r="H5403" s="8">
        <v>0</v>
      </c>
      <c r="I5403" s="4">
        <v>0</v>
      </c>
    </row>
    <row r="5404" spans="1:9" x14ac:dyDescent="0.2">
      <c r="A5404" s="2">
        <v>11</v>
      </c>
      <c r="B5404" s="1" t="s">
        <v>349</v>
      </c>
      <c r="C5404" s="4">
        <v>1</v>
      </c>
      <c r="D5404" s="8">
        <v>1.52</v>
      </c>
      <c r="E5404" s="4">
        <v>1</v>
      </c>
      <c r="F5404" s="8">
        <v>3.13</v>
      </c>
      <c r="G5404" s="4">
        <v>0</v>
      </c>
      <c r="H5404" s="8">
        <v>0</v>
      </c>
      <c r="I5404" s="4">
        <v>0</v>
      </c>
    </row>
    <row r="5405" spans="1:9" x14ac:dyDescent="0.2">
      <c r="A5405" s="2">
        <v>11</v>
      </c>
      <c r="B5405" s="1" t="s">
        <v>423</v>
      </c>
      <c r="C5405" s="4">
        <v>1</v>
      </c>
      <c r="D5405" s="8">
        <v>1.52</v>
      </c>
      <c r="E5405" s="4">
        <v>1</v>
      </c>
      <c r="F5405" s="8">
        <v>3.13</v>
      </c>
      <c r="G5405" s="4">
        <v>0</v>
      </c>
      <c r="H5405" s="8">
        <v>0</v>
      </c>
      <c r="I5405" s="4">
        <v>0</v>
      </c>
    </row>
    <row r="5406" spans="1:9" x14ac:dyDescent="0.2">
      <c r="A5406" s="2">
        <v>11</v>
      </c>
      <c r="B5406" s="1" t="s">
        <v>323</v>
      </c>
      <c r="C5406" s="4">
        <v>1</v>
      </c>
      <c r="D5406" s="8">
        <v>1.52</v>
      </c>
      <c r="E5406" s="4">
        <v>0</v>
      </c>
      <c r="F5406" s="8">
        <v>0</v>
      </c>
      <c r="G5406" s="4">
        <v>1</v>
      </c>
      <c r="H5406" s="8">
        <v>3.33</v>
      </c>
      <c r="I5406" s="4">
        <v>0</v>
      </c>
    </row>
    <row r="5407" spans="1:9" x14ac:dyDescent="0.2">
      <c r="A5407" s="2">
        <v>11</v>
      </c>
      <c r="B5407" s="1" t="s">
        <v>304</v>
      </c>
      <c r="C5407" s="4">
        <v>1</v>
      </c>
      <c r="D5407" s="8">
        <v>1.52</v>
      </c>
      <c r="E5407" s="4">
        <v>1</v>
      </c>
      <c r="F5407" s="8">
        <v>3.13</v>
      </c>
      <c r="G5407" s="4">
        <v>0</v>
      </c>
      <c r="H5407" s="8">
        <v>0</v>
      </c>
      <c r="I5407" s="4">
        <v>0</v>
      </c>
    </row>
    <row r="5408" spans="1:9" x14ac:dyDescent="0.2">
      <c r="A5408" s="2">
        <v>11</v>
      </c>
      <c r="B5408" s="1" t="s">
        <v>391</v>
      </c>
      <c r="C5408" s="4">
        <v>1</v>
      </c>
      <c r="D5408" s="8">
        <v>1.52</v>
      </c>
      <c r="E5408" s="4">
        <v>0</v>
      </c>
      <c r="F5408" s="8">
        <v>0</v>
      </c>
      <c r="G5408" s="4">
        <v>1</v>
      </c>
      <c r="H5408" s="8">
        <v>3.33</v>
      </c>
      <c r="I5408" s="4">
        <v>0</v>
      </c>
    </row>
    <row r="5409" spans="1:9" x14ac:dyDescent="0.2">
      <c r="A5409" s="2">
        <v>11</v>
      </c>
      <c r="B5409" s="1" t="s">
        <v>312</v>
      </c>
      <c r="C5409" s="4">
        <v>1</v>
      </c>
      <c r="D5409" s="8">
        <v>1.52</v>
      </c>
      <c r="E5409" s="4">
        <v>1</v>
      </c>
      <c r="F5409" s="8">
        <v>3.13</v>
      </c>
      <c r="G5409" s="4">
        <v>0</v>
      </c>
      <c r="H5409" s="8">
        <v>0</v>
      </c>
      <c r="I5409" s="4">
        <v>0</v>
      </c>
    </row>
    <row r="5410" spans="1:9" x14ac:dyDescent="0.2">
      <c r="A5410" s="2">
        <v>11</v>
      </c>
      <c r="B5410" s="1" t="s">
        <v>306</v>
      </c>
      <c r="C5410" s="4">
        <v>1</v>
      </c>
      <c r="D5410" s="8">
        <v>1.52</v>
      </c>
      <c r="E5410" s="4">
        <v>1</v>
      </c>
      <c r="F5410" s="8">
        <v>3.13</v>
      </c>
      <c r="G5410" s="4">
        <v>0</v>
      </c>
      <c r="H5410" s="8">
        <v>0</v>
      </c>
      <c r="I5410" s="4">
        <v>0</v>
      </c>
    </row>
    <row r="5411" spans="1:9" x14ac:dyDescent="0.2">
      <c r="A5411" s="2">
        <v>11</v>
      </c>
      <c r="B5411" s="1" t="s">
        <v>341</v>
      </c>
      <c r="C5411" s="4">
        <v>1</v>
      </c>
      <c r="D5411" s="8">
        <v>1.52</v>
      </c>
      <c r="E5411" s="4">
        <v>0</v>
      </c>
      <c r="F5411" s="8">
        <v>0</v>
      </c>
      <c r="G5411" s="4">
        <v>0</v>
      </c>
      <c r="H5411" s="8">
        <v>0</v>
      </c>
      <c r="I5411" s="4">
        <v>0</v>
      </c>
    </row>
    <row r="5412" spans="1:9" x14ac:dyDescent="0.2">
      <c r="A5412" s="2">
        <v>11</v>
      </c>
      <c r="B5412" s="1" t="s">
        <v>331</v>
      </c>
      <c r="C5412" s="4">
        <v>1</v>
      </c>
      <c r="D5412" s="8">
        <v>1.52</v>
      </c>
      <c r="E5412" s="4">
        <v>0</v>
      </c>
      <c r="F5412" s="8">
        <v>0</v>
      </c>
      <c r="G5412" s="4">
        <v>0</v>
      </c>
      <c r="H5412" s="8">
        <v>0</v>
      </c>
      <c r="I5412" s="4">
        <v>0</v>
      </c>
    </row>
    <row r="5413" spans="1:9" x14ac:dyDescent="0.2">
      <c r="A5413" s="2">
        <v>11</v>
      </c>
      <c r="B5413" s="1" t="s">
        <v>523</v>
      </c>
      <c r="C5413" s="4">
        <v>1</v>
      </c>
      <c r="D5413" s="8">
        <v>1.52</v>
      </c>
      <c r="E5413" s="4">
        <v>0</v>
      </c>
      <c r="F5413" s="8">
        <v>0</v>
      </c>
      <c r="G5413" s="4">
        <v>1</v>
      </c>
      <c r="H5413" s="8">
        <v>3.33</v>
      </c>
      <c r="I5413" s="4">
        <v>0</v>
      </c>
    </row>
    <row r="5414" spans="1:9" x14ac:dyDescent="0.2">
      <c r="A5414" s="1"/>
      <c r="C5414" s="4"/>
      <c r="D5414" s="8"/>
      <c r="E5414" s="4"/>
      <c r="F5414" s="8"/>
      <c r="G5414" s="4"/>
      <c r="H5414" s="8"/>
      <c r="I5414" s="4"/>
    </row>
    <row r="5415" spans="1:9" x14ac:dyDescent="0.2">
      <c r="A5415" s="1" t="s">
        <v>178</v>
      </c>
      <c r="C5415" s="4"/>
      <c r="D5415" s="8"/>
      <c r="E5415" s="4"/>
      <c r="F5415" s="8"/>
      <c r="G5415" s="4"/>
      <c r="H5415" s="8"/>
      <c r="I5415" s="4"/>
    </row>
    <row r="5416" spans="1:9" x14ac:dyDescent="0.2">
      <c r="A5416" s="2">
        <v>1</v>
      </c>
      <c r="B5416" s="1" t="s">
        <v>297</v>
      </c>
      <c r="C5416" s="4">
        <v>6</v>
      </c>
      <c r="D5416" s="8">
        <v>4.17</v>
      </c>
      <c r="E5416" s="4">
        <v>5</v>
      </c>
      <c r="F5416" s="8">
        <v>6.58</v>
      </c>
      <c r="G5416" s="4">
        <v>0</v>
      </c>
      <c r="H5416" s="8">
        <v>0</v>
      </c>
      <c r="I5416" s="4">
        <v>0</v>
      </c>
    </row>
    <row r="5417" spans="1:9" x14ac:dyDescent="0.2">
      <c r="A5417" s="2">
        <v>2</v>
      </c>
      <c r="B5417" s="1" t="s">
        <v>288</v>
      </c>
      <c r="C5417" s="4">
        <v>5</v>
      </c>
      <c r="D5417" s="8">
        <v>3.47</v>
      </c>
      <c r="E5417" s="4">
        <v>0</v>
      </c>
      <c r="F5417" s="8">
        <v>0</v>
      </c>
      <c r="G5417" s="4">
        <v>5</v>
      </c>
      <c r="H5417" s="8">
        <v>8.33</v>
      </c>
      <c r="I5417" s="4">
        <v>0</v>
      </c>
    </row>
    <row r="5418" spans="1:9" x14ac:dyDescent="0.2">
      <c r="A5418" s="2">
        <v>2</v>
      </c>
      <c r="B5418" s="1" t="s">
        <v>292</v>
      </c>
      <c r="C5418" s="4">
        <v>5</v>
      </c>
      <c r="D5418" s="8">
        <v>3.47</v>
      </c>
      <c r="E5418" s="4">
        <v>2</v>
      </c>
      <c r="F5418" s="8">
        <v>2.63</v>
      </c>
      <c r="G5418" s="4">
        <v>3</v>
      </c>
      <c r="H5418" s="8">
        <v>5</v>
      </c>
      <c r="I5418" s="4">
        <v>0</v>
      </c>
    </row>
    <row r="5419" spans="1:9" x14ac:dyDescent="0.2">
      <c r="A5419" s="2">
        <v>2</v>
      </c>
      <c r="B5419" s="1" t="s">
        <v>337</v>
      </c>
      <c r="C5419" s="4">
        <v>5</v>
      </c>
      <c r="D5419" s="8">
        <v>3.47</v>
      </c>
      <c r="E5419" s="4">
        <v>2</v>
      </c>
      <c r="F5419" s="8">
        <v>2.63</v>
      </c>
      <c r="G5419" s="4">
        <v>3</v>
      </c>
      <c r="H5419" s="8">
        <v>5</v>
      </c>
      <c r="I5419" s="4">
        <v>0</v>
      </c>
    </row>
    <row r="5420" spans="1:9" x14ac:dyDescent="0.2">
      <c r="A5420" s="2">
        <v>2</v>
      </c>
      <c r="B5420" s="1" t="s">
        <v>339</v>
      </c>
      <c r="C5420" s="4">
        <v>5</v>
      </c>
      <c r="D5420" s="8">
        <v>3.47</v>
      </c>
      <c r="E5420" s="4">
        <v>5</v>
      </c>
      <c r="F5420" s="8">
        <v>6.58</v>
      </c>
      <c r="G5420" s="4">
        <v>0</v>
      </c>
      <c r="H5420" s="8">
        <v>0</v>
      </c>
      <c r="I5420" s="4">
        <v>0</v>
      </c>
    </row>
    <row r="5421" spans="1:9" x14ac:dyDescent="0.2">
      <c r="A5421" s="2">
        <v>2</v>
      </c>
      <c r="B5421" s="1" t="s">
        <v>334</v>
      </c>
      <c r="C5421" s="4">
        <v>5</v>
      </c>
      <c r="D5421" s="8">
        <v>3.47</v>
      </c>
      <c r="E5421" s="4">
        <v>4</v>
      </c>
      <c r="F5421" s="8">
        <v>5.26</v>
      </c>
      <c r="G5421" s="4">
        <v>1</v>
      </c>
      <c r="H5421" s="8">
        <v>1.67</v>
      </c>
      <c r="I5421" s="4">
        <v>0</v>
      </c>
    </row>
    <row r="5422" spans="1:9" x14ac:dyDescent="0.2">
      <c r="A5422" s="2">
        <v>2</v>
      </c>
      <c r="B5422" s="1" t="s">
        <v>300</v>
      </c>
      <c r="C5422" s="4">
        <v>5</v>
      </c>
      <c r="D5422" s="8">
        <v>3.47</v>
      </c>
      <c r="E5422" s="4">
        <v>5</v>
      </c>
      <c r="F5422" s="8">
        <v>6.58</v>
      </c>
      <c r="G5422" s="4">
        <v>0</v>
      </c>
      <c r="H5422" s="8">
        <v>0</v>
      </c>
      <c r="I5422" s="4">
        <v>0</v>
      </c>
    </row>
    <row r="5423" spans="1:9" x14ac:dyDescent="0.2">
      <c r="A5423" s="2">
        <v>2</v>
      </c>
      <c r="B5423" s="1" t="s">
        <v>303</v>
      </c>
      <c r="C5423" s="4">
        <v>5</v>
      </c>
      <c r="D5423" s="8">
        <v>3.47</v>
      </c>
      <c r="E5423" s="4">
        <v>5</v>
      </c>
      <c r="F5423" s="8">
        <v>6.58</v>
      </c>
      <c r="G5423" s="4">
        <v>0</v>
      </c>
      <c r="H5423" s="8">
        <v>0</v>
      </c>
      <c r="I5423" s="4">
        <v>0</v>
      </c>
    </row>
    <row r="5424" spans="1:9" x14ac:dyDescent="0.2">
      <c r="A5424" s="2">
        <v>9</v>
      </c>
      <c r="B5424" s="1" t="s">
        <v>295</v>
      </c>
      <c r="C5424" s="4">
        <v>4</v>
      </c>
      <c r="D5424" s="8">
        <v>2.78</v>
      </c>
      <c r="E5424" s="4">
        <v>2</v>
      </c>
      <c r="F5424" s="8">
        <v>2.63</v>
      </c>
      <c r="G5424" s="4">
        <v>2</v>
      </c>
      <c r="H5424" s="8">
        <v>3.33</v>
      </c>
      <c r="I5424" s="4">
        <v>0</v>
      </c>
    </row>
    <row r="5425" spans="1:9" x14ac:dyDescent="0.2">
      <c r="A5425" s="2">
        <v>9</v>
      </c>
      <c r="B5425" s="1" t="s">
        <v>301</v>
      </c>
      <c r="C5425" s="4">
        <v>4</v>
      </c>
      <c r="D5425" s="8">
        <v>2.78</v>
      </c>
      <c r="E5425" s="4">
        <v>4</v>
      </c>
      <c r="F5425" s="8">
        <v>5.26</v>
      </c>
      <c r="G5425" s="4">
        <v>0</v>
      </c>
      <c r="H5425" s="8">
        <v>0</v>
      </c>
      <c r="I5425" s="4">
        <v>0</v>
      </c>
    </row>
    <row r="5426" spans="1:9" x14ac:dyDescent="0.2">
      <c r="A5426" s="2">
        <v>9</v>
      </c>
      <c r="B5426" s="1" t="s">
        <v>304</v>
      </c>
      <c r="C5426" s="4">
        <v>4</v>
      </c>
      <c r="D5426" s="8">
        <v>2.78</v>
      </c>
      <c r="E5426" s="4">
        <v>4</v>
      </c>
      <c r="F5426" s="8">
        <v>5.26</v>
      </c>
      <c r="G5426" s="4">
        <v>0</v>
      </c>
      <c r="H5426" s="8">
        <v>0</v>
      </c>
      <c r="I5426" s="4">
        <v>0</v>
      </c>
    </row>
    <row r="5427" spans="1:9" x14ac:dyDescent="0.2">
      <c r="A5427" s="2">
        <v>12</v>
      </c>
      <c r="B5427" s="1" t="s">
        <v>291</v>
      </c>
      <c r="C5427" s="4">
        <v>3</v>
      </c>
      <c r="D5427" s="8">
        <v>2.08</v>
      </c>
      <c r="E5427" s="4">
        <v>2</v>
      </c>
      <c r="F5427" s="8">
        <v>2.63</v>
      </c>
      <c r="G5427" s="4">
        <v>1</v>
      </c>
      <c r="H5427" s="8">
        <v>1.67</v>
      </c>
      <c r="I5427" s="4">
        <v>0</v>
      </c>
    </row>
    <row r="5428" spans="1:9" x14ac:dyDescent="0.2">
      <c r="A5428" s="2">
        <v>12</v>
      </c>
      <c r="B5428" s="1" t="s">
        <v>350</v>
      </c>
      <c r="C5428" s="4">
        <v>3</v>
      </c>
      <c r="D5428" s="8">
        <v>2.08</v>
      </c>
      <c r="E5428" s="4">
        <v>1</v>
      </c>
      <c r="F5428" s="8">
        <v>1.32</v>
      </c>
      <c r="G5428" s="4">
        <v>2</v>
      </c>
      <c r="H5428" s="8">
        <v>3.33</v>
      </c>
      <c r="I5428" s="4">
        <v>0</v>
      </c>
    </row>
    <row r="5429" spans="1:9" x14ac:dyDescent="0.2">
      <c r="A5429" s="2">
        <v>12</v>
      </c>
      <c r="B5429" s="1" t="s">
        <v>335</v>
      </c>
      <c r="C5429" s="4">
        <v>3</v>
      </c>
      <c r="D5429" s="8">
        <v>2.08</v>
      </c>
      <c r="E5429" s="4">
        <v>1</v>
      </c>
      <c r="F5429" s="8">
        <v>1.32</v>
      </c>
      <c r="G5429" s="4">
        <v>2</v>
      </c>
      <c r="H5429" s="8">
        <v>3.33</v>
      </c>
      <c r="I5429" s="4">
        <v>0</v>
      </c>
    </row>
    <row r="5430" spans="1:9" x14ac:dyDescent="0.2">
      <c r="A5430" s="2">
        <v>12</v>
      </c>
      <c r="B5430" s="1" t="s">
        <v>330</v>
      </c>
      <c r="C5430" s="4">
        <v>3</v>
      </c>
      <c r="D5430" s="8">
        <v>2.08</v>
      </c>
      <c r="E5430" s="4">
        <v>0</v>
      </c>
      <c r="F5430" s="8">
        <v>0</v>
      </c>
      <c r="G5430" s="4">
        <v>3</v>
      </c>
      <c r="H5430" s="8">
        <v>5</v>
      </c>
      <c r="I5430" s="4">
        <v>0</v>
      </c>
    </row>
    <row r="5431" spans="1:9" x14ac:dyDescent="0.2">
      <c r="A5431" s="2">
        <v>12</v>
      </c>
      <c r="B5431" s="1" t="s">
        <v>299</v>
      </c>
      <c r="C5431" s="4">
        <v>3</v>
      </c>
      <c r="D5431" s="8">
        <v>2.08</v>
      </c>
      <c r="E5431" s="4">
        <v>3</v>
      </c>
      <c r="F5431" s="8">
        <v>3.95</v>
      </c>
      <c r="G5431" s="4">
        <v>0</v>
      </c>
      <c r="H5431" s="8">
        <v>0</v>
      </c>
      <c r="I5431" s="4">
        <v>0</v>
      </c>
    </row>
    <row r="5432" spans="1:9" x14ac:dyDescent="0.2">
      <c r="A5432" s="2">
        <v>12</v>
      </c>
      <c r="B5432" s="1" t="s">
        <v>340</v>
      </c>
      <c r="C5432" s="4">
        <v>3</v>
      </c>
      <c r="D5432" s="8">
        <v>2.08</v>
      </c>
      <c r="E5432" s="4">
        <v>0</v>
      </c>
      <c r="F5432" s="8">
        <v>0</v>
      </c>
      <c r="G5432" s="4">
        <v>0</v>
      </c>
      <c r="H5432" s="8">
        <v>0</v>
      </c>
      <c r="I5432" s="4">
        <v>0</v>
      </c>
    </row>
    <row r="5433" spans="1:9" x14ac:dyDescent="0.2">
      <c r="A5433" s="2">
        <v>12</v>
      </c>
      <c r="B5433" s="1" t="s">
        <v>307</v>
      </c>
      <c r="C5433" s="4">
        <v>3</v>
      </c>
      <c r="D5433" s="8">
        <v>2.08</v>
      </c>
      <c r="E5433" s="4">
        <v>2</v>
      </c>
      <c r="F5433" s="8">
        <v>2.63</v>
      </c>
      <c r="G5433" s="4">
        <v>1</v>
      </c>
      <c r="H5433" s="8">
        <v>1.67</v>
      </c>
      <c r="I5433" s="4">
        <v>0</v>
      </c>
    </row>
    <row r="5434" spans="1:9" x14ac:dyDescent="0.2">
      <c r="A5434" s="2">
        <v>19</v>
      </c>
      <c r="B5434" s="1" t="s">
        <v>328</v>
      </c>
      <c r="C5434" s="4">
        <v>2</v>
      </c>
      <c r="D5434" s="8">
        <v>1.39</v>
      </c>
      <c r="E5434" s="4">
        <v>2</v>
      </c>
      <c r="F5434" s="8">
        <v>2.63</v>
      </c>
      <c r="G5434" s="4">
        <v>0</v>
      </c>
      <c r="H5434" s="8">
        <v>0</v>
      </c>
      <c r="I5434" s="4">
        <v>0</v>
      </c>
    </row>
    <row r="5435" spans="1:9" x14ac:dyDescent="0.2">
      <c r="A5435" s="2">
        <v>19</v>
      </c>
      <c r="B5435" s="1" t="s">
        <v>353</v>
      </c>
      <c r="C5435" s="4">
        <v>2</v>
      </c>
      <c r="D5435" s="8">
        <v>1.39</v>
      </c>
      <c r="E5435" s="4">
        <v>1</v>
      </c>
      <c r="F5435" s="8">
        <v>1.32</v>
      </c>
      <c r="G5435" s="4">
        <v>1</v>
      </c>
      <c r="H5435" s="8">
        <v>1.67</v>
      </c>
      <c r="I5435" s="4">
        <v>0</v>
      </c>
    </row>
    <row r="5436" spans="1:9" x14ac:dyDescent="0.2">
      <c r="A5436" s="2">
        <v>19</v>
      </c>
      <c r="B5436" s="1" t="s">
        <v>290</v>
      </c>
      <c r="C5436" s="4">
        <v>2</v>
      </c>
      <c r="D5436" s="8">
        <v>1.39</v>
      </c>
      <c r="E5436" s="4">
        <v>1</v>
      </c>
      <c r="F5436" s="8">
        <v>1.32</v>
      </c>
      <c r="G5436" s="4">
        <v>1</v>
      </c>
      <c r="H5436" s="8">
        <v>1.67</v>
      </c>
      <c r="I5436" s="4">
        <v>0</v>
      </c>
    </row>
    <row r="5437" spans="1:9" x14ac:dyDescent="0.2">
      <c r="A5437" s="2">
        <v>19</v>
      </c>
      <c r="B5437" s="1" t="s">
        <v>385</v>
      </c>
      <c r="C5437" s="4">
        <v>2</v>
      </c>
      <c r="D5437" s="8">
        <v>1.39</v>
      </c>
      <c r="E5437" s="4">
        <v>0</v>
      </c>
      <c r="F5437" s="8">
        <v>0</v>
      </c>
      <c r="G5437" s="4">
        <v>2</v>
      </c>
      <c r="H5437" s="8">
        <v>3.33</v>
      </c>
      <c r="I5437" s="4">
        <v>0</v>
      </c>
    </row>
    <row r="5438" spans="1:9" x14ac:dyDescent="0.2">
      <c r="A5438" s="2">
        <v>19</v>
      </c>
      <c r="B5438" s="1" t="s">
        <v>314</v>
      </c>
      <c r="C5438" s="4">
        <v>2</v>
      </c>
      <c r="D5438" s="8">
        <v>1.39</v>
      </c>
      <c r="E5438" s="4">
        <v>1</v>
      </c>
      <c r="F5438" s="8">
        <v>1.32</v>
      </c>
      <c r="G5438" s="4">
        <v>1</v>
      </c>
      <c r="H5438" s="8">
        <v>1.67</v>
      </c>
      <c r="I5438" s="4">
        <v>0</v>
      </c>
    </row>
    <row r="5439" spans="1:9" x14ac:dyDescent="0.2">
      <c r="A5439" s="2">
        <v>19</v>
      </c>
      <c r="B5439" s="1" t="s">
        <v>382</v>
      </c>
      <c r="C5439" s="4">
        <v>2</v>
      </c>
      <c r="D5439" s="8">
        <v>1.39</v>
      </c>
      <c r="E5439" s="4">
        <v>0</v>
      </c>
      <c r="F5439" s="8">
        <v>0</v>
      </c>
      <c r="G5439" s="4">
        <v>2</v>
      </c>
      <c r="H5439" s="8">
        <v>3.33</v>
      </c>
      <c r="I5439" s="4">
        <v>0</v>
      </c>
    </row>
    <row r="5440" spans="1:9" x14ac:dyDescent="0.2">
      <c r="A5440" s="2">
        <v>19</v>
      </c>
      <c r="B5440" s="1" t="s">
        <v>354</v>
      </c>
      <c r="C5440" s="4">
        <v>2</v>
      </c>
      <c r="D5440" s="8">
        <v>1.39</v>
      </c>
      <c r="E5440" s="4">
        <v>0</v>
      </c>
      <c r="F5440" s="8">
        <v>0</v>
      </c>
      <c r="G5440" s="4">
        <v>2</v>
      </c>
      <c r="H5440" s="8">
        <v>3.33</v>
      </c>
      <c r="I5440" s="4">
        <v>0</v>
      </c>
    </row>
    <row r="5441" spans="1:9" x14ac:dyDescent="0.2">
      <c r="A5441" s="2">
        <v>19</v>
      </c>
      <c r="B5441" s="1" t="s">
        <v>329</v>
      </c>
      <c r="C5441" s="4">
        <v>2</v>
      </c>
      <c r="D5441" s="8">
        <v>1.39</v>
      </c>
      <c r="E5441" s="4">
        <v>2</v>
      </c>
      <c r="F5441" s="8">
        <v>2.63</v>
      </c>
      <c r="G5441" s="4">
        <v>0</v>
      </c>
      <c r="H5441" s="8">
        <v>0</v>
      </c>
      <c r="I5441" s="4">
        <v>0</v>
      </c>
    </row>
    <row r="5442" spans="1:9" x14ac:dyDescent="0.2">
      <c r="A5442" s="2">
        <v>19</v>
      </c>
      <c r="B5442" s="1" t="s">
        <v>344</v>
      </c>
      <c r="C5442" s="4">
        <v>2</v>
      </c>
      <c r="D5442" s="8">
        <v>1.39</v>
      </c>
      <c r="E5442" s="4">
        <v>1</v>
      </c>
      <c r="F5442" s="8">
        <v>1.32</v>
      </c>
      <c r="G5442" s="4">
        <v>1</v>
      </c>
      <c r="H5442" s="8">
        <v>1.67</v>
      </c>
      <c r="I5442" s="4">
        <v>0</v>
      </c>
    </row>
    <row r="5443" spans="1:9" x14ac:dyDescent="0.2">
      <c r="A5443" s="2">
        <v>19</v>
      </c>
      <c r="B5443" s="1" t="s">
        <v>415</v>
      </c>
      <c r="C5443" s="4">
        <v>2</v>
      </c>
      <c r="D5443" s="8">
        <v>1.39</v>
      </c>
      <c r="E5443" s="4">
        <v>0</v>
      </c>
      <c r="F5443" s="8">
        <v>0</v>
      </c>
      <c r="G5443" s="4">
        <v>2</v>
      </c>
      <c r="H5443" s="8">
        <v>3.33</v>
      </c>
      <c r="I5443" s="4">
        <v>0</v>
      </c>
    </row>
    <row r="5444" spans="1:9" x14ac:dyDescent="0.2">
      <c r="A5444" s="2">
        <v>19</v>
      </c>
      <c r="B5444" s="1" t="s">
        <v>302</v>
      </c>
      <c r="C5444" s="4">
        <v>2</v>
      </c>
      <c r="D5444" s="8">
        <v>1.39</v>
      </c>
      <c r="E5444" s="4">
        <v>1</v>
      </c>
      <c r="F5444" s="8">
        <v>1.32</v>
      </c>
      <c r="G5444" s="4">
        <v>1</v>
      </c>
      <c r="H5444" s="8">
        <v>1.67</v>
      </c>
      <c r="I5444" s="4">
        <v>0</v>
      </c>
    </row>
    <row r="5445" spans="1:9" x14ac:dyDescent="0.2">
      <c r="A5445" s="2">
        <v>19</v>
      </c>
      <c r="B5445" s="1" t="s">
        <v>305</v>
      </c>
      <c r="C5445" s="4">
        <v>2</v>
      </c>
      <c r="D5445" s="8">
        <v>1.39</v>
      </c>
      <c r="E5445" s="4">
        <v>2</v>
      </c>
      <c r="F5445" s="8">
        <v>2.63</v>
      </c>
      <c r="G5445" s="4">
        <v>0</v>
      </c>
      <c r="H5445" s="8">
        <v>0</v>
      </c>
      <c r="I5445" s="4">
        <v>0</v>
      </c>
    </row>
    <row r="5446" spans="1:9" x14ac:dyDescent="0.2">
      <c r="A5446" s="2">
        <v>19</v>
      </c>
      <c r="B5446" s="1" t="s">
        <v>306</v>
      </c>
      <c r="C5446" s="4">
        <v>2</v>
      </c>
      <c r="D5446" s="8">
        <v>1.39</v>
      </c>
      <c r="E5446" s="4">
        <v>1</v>
      </c>
      <c r="F5446" s="8">
        <v>1.32</v>
      </c>
      <c r="G5446" s="4">
        <v>1</v>
      </c>
      <c r="H5446" s="8">
        <v>1.67</v>
      </c>
      <c r="I5446" s="4">
        <v>0</v>
      </c>
    </row>
    <row r="5447" spans="1:9" x14ac:dyDescent="0.2">
      <c r="A5447" s="2">
        <v>19</v>
      </c>
      <c r="B5447" s="1" t="s">
        <v>331</v>
      </c>
      <c r="C5447" s="4">
        <v>2</v>
      </c>
      <c r="D5447" s="8">
        <v>1.39</v>
      </c>
      <c r="E5447" s="4">
        <v>0</v>
      </c>
      <c r="F5447" s="8">
        <v>0</v>
      </c>
      <c r="G5447" s="4">
        <v>1</v>
      </c>
      <c r="H5447" s="8">
        <v>1.67</v>
      </c>
      <c r="I5447" s="4">
        <v>0</v>
      </c>
    </row>
    <row r="5448" spans="1:9" x14ac:dyDescent="0.2">
      <c r="A5448" s="1"/>
      <c r="C5448" s="4"/>
      <c r="D5448" s="8"/>
      <c r="E5448" s="4"/>
      <c r="F5448" s="8"/>
      <c r="G5448" s="4"/>
      <c r="H5448" s="8"/>
      <c r="I5448" s="4"/>
    </row>
    <row r="5449" spans="1:9" x14ac:dyDescent="0.2">
      <c r="A5449" s="1" t="s">
        <v>179</v>
      </c>
      <c r="C5449" s="4"/>
      <c r="D5449" s="8"/>
      <c r="E5449" s="4"/>
      <c r="F5449" s="8"/>
      <c r="G5449" s="4"/>
      <c r="H5449" s="8"/>
      <c r="I5449" s="4"/>
    </row>
    <row r="5450" spans="1:9" x14ac:dyDescent="0.2">
      <c r="A5450" s="2">
        <v>1</v>
      </c>
      <c r="B5450" s="1" t="s">
        <v>297</v>
      </c>
      <c r="C5450" s="4">
        <v>37</v>
      </c>
      <c r="D5450" s="8">
        <v>6.69</v>
      </c>
      <c r="E5450" s="4">
        <v>30</v>
      </c>
      <c r="F5450" s="8">
        <v>12</v>
      </c>
      <c r="G5450" s="4">
        <v>6</v>
      </c>
      <c r="H5450" s="8">
        <v>2.02</v>
      </c>
      <c r="I5450" s="4">
        <v>0</v>
      </c>
    </row>
    <row r="5451" spans="1:9" x14ac:dyDescent="0.2">
      <c r="A5451" s="2">
        <v>2</v>
      </c>
      <c r="B5451" s="1" t="s">
        <v>304</v>
      </c>
      <c r="C5451" s="4">
        <v>30</v>
      </c>
      <c r="D5451" s="8">
        <v>5.42</v>
      </c>
      <c r="E5451" s="4">
        <v>28</v>
      </c>
      <c r="F5451" s="8">
        <v>11.2</v>
      </c>
      <c r="G5451" s="4">
        <v>2</v>
      </c>
      <c r="H5451" s="8">
        <v>0.67</v>
      </c>
      <c r="I5451" s="4">
        <v>0</v>
      </c>
    </row>
    <row r="5452" spans="1:9" x14ac:dyDescent="0.2">
      <c r="A5452" s="2">
        <v>3</v>
      </c>
      <c r="B5452" s="1" t="s">
        <v>314</v>
      </c>
      <c r="C5452" s="4">
        <v>20</v>
      </c>
      <c r="D5452" s="8">
        <v>3.62</v>
      </c>
      <c r="E5452" s="4">
        <v>2</v>
      </c>
      <c r="F5452" s="8">
        <v>0.8</v>
      </c>
      <c r="G5452" s="4">
        <v>18</v>
      </c>
      <c r="H5452" s="8">
        <v>6.06</v>
      </c>
      <c r="I5452" s="4">
        <v>0</v>
      </c>
    </row>
    <row r="5453" spans="1:9" x14ac:dyDescent="0.2">
      <c r="A5453" s="2">
        <v>4</v>
      </c>
      <c r="B5453" s="1" t="s">
        <v>303</v>
      </c>
      <c r="C5453" s="4">
        <v>19</v>
      </c>
      <c r="D5453" s="8">
        <v>3.44</v>
      </c>
      <c r="E5453" s="4">
        <v>17</v>
      </c>
      <c r="F5453" s="8">
        <v>6.8</v>
      </c>
      <c r="G5453" s="4">
        <v>2</v>
      </c>
      <c r="H5453" s="8">
        <v>0.67</v>
      </c>
      <c r="I5453" s="4">
        <v>0</v>
      </c>
    </row>
    <row r="5454" spans="1:9" x14ac:dyDescent="0.2">
      <c r="A5454" s="2">
        <v>5</v>
      </c>
      <c r="B5454" s="1" t="s">
        <v>307</v>
      </c>
      <c r="C5454" s="4">
        <v>18</v>
      </c>
      <c r="D5454" s="8">
        <v>3.25</v>
      </c>
      <c r="E5454" s="4">
        <v>9</v>
      </c>
      <c r="F5454" s="8">
        <v>3.6</v>
      </c>
      <c r="G5454" s="4">
        <v>9</v>
      </c>
      <c r="H5454" s="8">
        <v>3.03</v>
      </c>
      <c r="I5454" s="4">
        <v>0</v>
      </c>
    </row>
    <row r="5455" spans="1:9" x14ac:dyDescent="0.2">
      <c r="A5455" s="2">
        <v>6</v>
      </c>
      <c r="B5455" s="1" t="s">
        <v>290</v>
      </c>
      <c r="C5455" s="4">
        <v>15</v>
      </c>
      <c r="D5455" s="8">
        <v>2.71</v>
      </c>
      <c r="E5455" s="4">
        <v>5</v>
      </c>
      <c r="F5455" s="8">
        <v>2</v>
      </c>
      <c r="G5455" s="4">
        <v>10</v>
      </c>
      <c r="H5455" s="8">
        <v>3.37</v>
      </c>
      <c r="I5455" s="4">
        <v>0</v>
      </c>
    </row>
    <row r="5456" spans="1:9" x14ac:dyDescent="0.2">
      <c r="A5456" s="2">
        <v>7</v>
      </c>
      <c r="B5456" s="1" t="s">
        <v>328</v>
      </c>
      <c r="C5456" s="4">
        <v>14</v>
      </c>
      <c r="D5456" s="8">
        <v>2.5299999999999998</v>
      </c>
      <c r="E5456" s="4">
        <v>4</v>
      </c>
      <c r="F5456" s="8">
        <v>1.6</v>
      </c>
      <c r="G5456" s="4">
        <v>10</v>
      </c>
      <c r="H5456" s="8">
        <v>3.37</v>
      </c>
      <c r="I5456" s="4">
        <v>0</v>
      </c>
    </row>
    <row r="5457" spans="1:9" x14ac:dyDescent="0.2">
      <c r="A5457" s="2">
        <v>7</v>
      </c>
      <c r="B5457" s="1" t="s">
        <v>305</v>
      </c>
      <c r="C5457" s="4">
        <v>14</v>
      </c>
      <c r="D5457" s="8">
        <v>2.5299999999999998</v>
      </c>
      <c r="E5457" s="4">
        <v>12</v>
      </c>
      <c r="F5457" s="8">
        <v>4.8</v>
      </c>
      <c r="G5457" s="4">
        <v>2</v>
      </c>
      <c r="H5457" s="8">
        <v>0.67</v>
      </c>
      <c r="I5457" s="4">
        <v>0</v>
      </c>
    </row>
    <row r="5458" spans="1:9" x14ac:dyDescent="0.2">
      <c r="A5458" s="2">
        <v>9</v>
      </c>
      <c r="B5458" s="1" t="s">
        <v>289</v>
      </c>
      <c r="C5458" s="4">
        <v>12</v>
      </c>
      <c r="D5458" s="8">
        <v>2.17</v>
      </c>
      <c r="E5458" s="4">
        <v>2</v>
      </c>
      <c r="F5458" s="8">
        <v>0.8</v>
      </c>
      <c r="G5458" s="4">
        <v>10</v>
      </c>
      <c r="H5458" s="8">
        <v>3.37</v>
      </c>
      <c r="I5458" s="4">
        <v>0</v>
      </c>
    </row>
    <row r="5459" spans="1:9" x14ac:dyDescent="0.2">
      <c r="A5459" s="2">
        <v>10</v>
      </c>
      <c r="B5459" s="1" t="s">
        <v>333</v>
      </c>
      <c r="C5459" s="4">
        <v>11</v>
      </c>
      <c r="D5459" s="8">
        <v>1.99</v>
      </c>
      <c r="E5459" s="4">
        <v>4</v>
      </c>
      <c r="F5459" s="8">
        <v>1.6</v>
      </c>
      <c r="G5459" s="4">
        <v>7</v>
      </c>
      <c r="H5459" s="8">
        <v>2.36</v>
      </c>
      <c r="I5459" s="4">
        <v>0</v>
      </c>
    </row>
    <row r="5460" spans="1:9" x14ac:dyDescent="0.2">
      <c r="A5460" s="2">
        <v>10</v>
      </c>
      <c r="B5460" s="1" t="s">
        <v>308</v>
      </c>
      <c r="C5460" s="4">
        <v>11</v>
      </c>
      <c r="D5460" s="8">
        <v>1.99</v>
      </c>
      <c r="E5460" s="4">
        <v>2</v>
      </c>
      <c r="F5460" s="8">
        <v>0.8</v>
      </c>
      <c r="G5460" s="4">
        <v>9</v>
      </c>
      <c r="H5460" s="8">
        <v>3.03</v>
      </c>
      <c r="I5460" s="4">
        <v>0</v>
      </c>
    </row>
    <row r="5461" spans="1:9" x14ac:dyDescent="0.2">
      <c r="A5461" s="2">
        <v>10</v>
      </c>
      <c r="B5461" s="1" t="s">
        <v>306</v>
      </c>
      <c r="C5461" s="4">
        <v>11</v>
      </c>
      <c r="D5461" s="8">
        <v>1.99</v>
      </c>
      <c r="E5461" s="4">
        <v>9</v>
      </c>
      <c r="F5461" s="8">
        <v>3.6</v>
      </c>
      <c r="G5461" s="4">
        <v>2</v>
      </c>
      <c r="H5461" s="8">
        <v>0.67</v>
      </c>
      <c r="I5461" s="4">
        <v>0</v>
      </c>
    </row>
    <row r="5462" spans="1:9" x14ac:dyDescent="0.2">
      <c r="A5462" s="2">
        <v>13</v>
      </c>
      <c r="B5462" s="1" t="s">
        <v>320</v>
      </c>
      <c r="C5462" s="4">
        <v>10</v>
      </c>
      <c r="D5462" s="8">
        <v>1.81</v>
      </c>
      <c r="E5462" s="4">
        <v>6</v>
      </c>
      <c r="F5462" s="8">
        <v>2.4</v>
      </c>
      <c r="G5462" s="4">
        <v>4</v>
      </c>
      <c r="H5462" s="8">
        <v>1.35</v>
      </c>
      <c r="I5462" s="4">
        <v>0</v>
      </c>
    </row>
    <row r="5463" spans="1:9" x14ac:dyDescent="0.2">
      <c r="A5463" s="2">
        <v>13</v>
      </c>
      <c r="B5463" s="1" t="s">
        <v>299</v>
      </c>
      <c r="C5463" s="4">
        <v>10</v>
      </c>
      <c r="D5463" s="8">
        <v>1.81</v>
      </c>
      <c r="E5463" s="4">
        <v>10</v>
      </c>
      <c r="F5463" s="8">
        <v>4</v>
      </c>
      <c r="G5463" s="4">
        <v>0</v>
      </c>
      <c r="H5463" s="8">
        <v>0</v>
      </c>
      <c r="I5463" s="4">
        <v>0</v>
      </c>
    </row>
    <row r="5464" spans="1:9" x14ac:dyDescent="0.2">
      <c r="A5464" s="2">
        <v>15</v>
      </c>
      <c r="B5464" s="1" t="s">
        <v>374</v>
      </c>
      <c r="C5464" s="4">
        <v>9</v>
      </c>
      <c r="D5464" s="8">
        <v>1.63</v>
      </c>
      <c r="E5464" s="4">
        <v>6</v>
      </c>
      <c r="F5464" s="8">
        <v>2.4</v>
      </c>
      <c r="G5464" s="4">
        <v>3</v>
      </c>
      <c r="H5464" s="8">
        <v>1.01</v>
      </c>
      <c r="I5464" s="4">
        <v>0</v>
      </c>
    </row>
    <row r="5465" spans="1:9" x14ac:dyDescent="0.2">
      <c r="A5465" s="2">
        <v>15</v>
      </c>
      <c r="B5465" s="1" t="s">
        <v>293</v>
      </c>
      <c r="C5465" s="4">
        <v>9</v>
      </c>
      <c r="D5465" s="8">
        <v>1.63</v>
      </c>
      <c r="E5465" s="4">
        <v>3</v>
      </c>
      <c r="F5465" s="8">
        <v>1.2</v>
      </c>
      <c r="G5465" s="4">
        <v>6</v>
      </c>
      <c r="H5465" s="8">
        <v>2.02</v>
      </c>
      <c r="I5465" s="4">
        <v>0</v>
      </c>
    </row>
    <row r="5466" spans="1:9" x14ac:dyDescent="0.2">
      <c r="A5466" s="2">
        <v>15</v>
      </c>
      <c r="B5466" s="1" t="s">
        <v>300</v>
      </c>
      <c r="C5466" s="4">
        <v>9</v>
      </c>
      <c r="D5466" s="8">
        <v>1.63</v>
      </c>
      <c r="E5466" s="4">
        <v>8</v>
      </c>
      <c r="F5466" s="8">
        <v>3.2</v>
      </c>
      <c r="G5466" s="4">
        <v>1</v>
      </c>
      <c r="H5466" s="8">
        <v>0.34</v>
      </c>
      <c r="I5466" s="4">
        <v>0</v>
      </c>
    </row>
    <row r="5467" spans="1:9" x14ac:dyDescent="0.2">
      <c r="A5467" s="2">
        <v>18</v>
      </c>
      <c r="B5467" s="1" t="s">
        <v>319</v>
      </c>
      <c r="C5467" s="4">
        <v>8</v>
      </c>
      <c r="D5467" s="8">
        <v>1.45</v>
      </c>
      <c r="E5467" s="4">
        <v>2</v>
      </c>
      <c r="F5467" s="8">
        <v>0.8</v>
      </c>
      <c r="G5467" s="4">
        <v>6</v>
      </c>
      <c r="H5467" s="8">
        <v>2.02</v>
      </c>
      <c r="I5467" s="4">
        <v>0</v>
      </c>
    </row>
    <row r="5468" spans="1:9" x14ac:dyDescent="0.2">
      <c r="A5468" s="2">
        <v>18</v>
      </c>
      <c r="B5468" s="1" t="s">
        <v>291</v>
      </c>
      <c r="C5468" s="4">
        <v>8</v>
      </c>
      <c r="D5468" s="8">
        <v>1.45</v>
      </c>
      <c r="E5468" s="4">
        <v>3</v>
      </c>
      <c r="F5468" s="8">
        <v>1.2</v>
      </c>
      <c r="G5468" s="4">
        <v>5</v>
      </c>
      <c r="H5468" s="8">
        <v>1.68</v>
      </c>
      <c r="I5468" s="4">
        <v>0</v>
      </c>
    </row>
    <row r="5469" spans="1:9" x14ac:dyDescent="0.2">
      <c r="A5469" s="2">
        <v>18</v>
      </c>
      <c r="B5469" s="1" t="s">
        <v>309</v>
      </c>
      <c r="C5469" s="4">
        <v>8</v>
      </c>
      <c r="D5469" s="8">
        <v>1.45</v>
      </c>
      <c r="E5469" s="4">
        <v>0</v>
      </c>
      <c r="F5469" s="8">
        <v>0</v>
      </c>
      <c r="G5469" s="4">
        <v>8</v>
      </c>
      <c r="H5469" s="8">
        <v>2.69</v>
      </c>
      <c r="I5469" s="4">
        <v>0</v>
      </c>
    </row>
    <row r="5470" spans="1:9" x14ac:dyDescent="0.2">
      <c r="A5470" s="2">
        <v>18</v>
      </c>
      <c r="B5470" s="1" t="s">
        <v>330</v>
      </c>
      <c r="C5470" s="4">
        <v>8</v>
      </c>
      <c r="D5470" s="8">
        <v>1.45</v>
      </c>
      <c r="E5470" s="4">
        <v>2</v>
      </c>
      <c r="F5470" s="8">
        <v>0.8</v>
      </c>
      <c r="G5470" s="4">
        <v>6</v>
      </c>
      <c r="H5470" s="8">
        <v>2.02</v>
      </c>
      <c r="I5470" s="4">
        <v>0</v>
      </c>
    </row>
    <row r="5471" spans="1:9" x14ac:dyDescent="0.2">
      <c r="A5471" s="1"/>
      <c r="C5471" s="4"/>
      <c r="D5471" s="8"/>
      <c r="E5471" s="4"/>
      <c r="F5471" s="8"/>
      <c r="G5471" s="4"/>
      <c r="H5471" s="8"/>
      <c r="I5471" s="4"/>
    </row>
    <row r="5472" spans="1:9" x14ac:dyDescent="0.2">
      <c r="A5472" s="1" t="s">
        <v>180</v>
      </c>
      <c r="C5472" s="4"/>
      <c r="D5472" s="8"/>
      <c r="E5472" s="4"/>
      <c r="F5472" s="8"/>
      <c r="G5472" s="4"/>
      <c r="H5472" s="8"/>
      <c r="I5472" s="4"/>
    </row>
    <row r="5473" spans="1:9" x14ac:dyDescent="0.2">
      <c r="A5473" s="2">
        <v>1</v>
      </c>
      <c r="B5473" s="1" t="s">
        <v>297</v>
      </c>
      <c r="C5473" s="4">
        <v>18</v>
      </c>
      <c r="D5473" s="8">
        <v>6.25</v>
      </c>
      <c r="E5473" s="4">
        <v>15</v>
      </c>
      <c r="F5473" s="8">
        <v>10.07</v>
      </c>
      <c r="G5473" s="4">
        <v>3</v>
      </c>
      <c r="H5473" s="8">
        <v>2.44</v>
      </c>
      <c r="I5473" s="4">
        <v>0</v>
      </c>
    </row>
    <row r="5474" spans="1:9" x14ac:dyDescent="0.2">
      <c r="A5474" s="2">
        <v>2</v>
      </c>
      <c r="B5474" s="1" t="s">
        <v>304</v>
      </c>
      <c r="C5474" s="4">
        <v>14</v>
      </c>
      <c r="D5474" s="8">
        <v>4.8600000000000003</v>
      </c>
      <c r="E5474" s="4">
        <v>13</v>
      </c>
      <c r="F5474" s="8">
        <v>8.7200000000000006</v>
      </c>
      <c r="G5474" s="4">
        <v>1</v>
      </c>
      <c r="H5474" s="8">
        <v>0.81</v>
      </c>
      <c r="I5474" s="4">
        <v>0</v>
      </c>
    </row>
    <row r="5475" spans="1:9" x14ac:dyDescent="0.2">
      <c r="A5475" s="2">
        <v>3</v>
      </c>
      <c r="B5475" s="1" t="s">
        <v>303</v>
      </c>
      <c r="C5475" s="4">
        <v>12</v>
      </c>
      <c r="D5475" s="8">
        <v>4.17</v>
      </c>
      <c r="E5475" s="4">
        <v>12</v>
      </c>
      <c r="F5475" s="8">
        <v>8.0500000000000007</v>
      </c>
      <c r="G5475" s="4">
        <v>0</v>
      </c>
      <c r="H5475" s="8">
        <v>0</v>
      </c>
      <c r="I5475" s="4">
        <v>0</v>
      </c>
    </row>
    <row r="5476" spans="1:9" x14ac:dyDescent="0.2">
      <c r="A5476" s="2">
        <v>4</v>
      </c>
      <c r="B5476" s="1" t="s">
        <v>295</v>
      </c>
      <c r="C5476" s="4">
        <v>11</v>
      </c>
      <c r="D5476" s="8">
        <v>3.82</v>
      </c>
      <c r="E5476" s="4">
        <v>5</v>
      </c>
      <c r="F5476" s="8">
        <v>3.36</v>
      </c>
      <c r="G5476" s="4">
        <v>6</v>
      </c>
      <c r="H5476" s="8">
        <v>4.88</v>
      </c>
      <c r="I5476" s="4">
        <v>0</v>
      </c>
    </row>
    <row r="5477" spans="1:9" x14ac:dyDescent="0.2">
      <c r="A5477" s="2">
        <v>5</v>
      </c>
      <c r="B5477" s="1" t="s">
        <v>301</v>
      </c>
      <c r="C5477" s="4">
        <v>9</v>
      </c>
      <c r="D5477" s="8">
        <v>3.13</v>
      </c>
      <c r="E5477" s="4">
        <v>9</v>
      </c>
      <c r="F5477" s="8">
        <v>6.04</v>
      </c>
      <c r="G5477" s="4">
        <v>0</v>
      </c>
      <c r="H5477" s="8">
        <v>0</v>
      </c>
      <c r="I5477" s="4">
        <v>0</v>
      </c>
    </row>
    <row r="5478" spans="1:9" x14ac:dyDescent="0.2">
      <c r="A5478" s="2">
        <v>6</v>
      </c>
      <c r="B5478" s="1" t="s">
        <v>292</v>
      </c>
      <c r="C5478" s="4">
        <v>8</v>
      </c>
      <c r="D5478" s="8">
        <v>2.78</v>
      </c>
      <c r="E5478" s="4">
        <v>2</v>
      </c>
      <c r="F5478" s="8">
        <v>1.34</v>
      </c>
      <c r="G5478" s="4">
        <v>6</v>
      </c>
      <c r="H5478" s="8">
        <v>4.88</v>
      </c>
      <c r="I5478" s="4">
        <v>0</v>
      </c>
    </row>
    <row r="5479" spans="1:9" x14ac:dyDescent="0.2">
      <c r="A5479" s="2">
        <v>7</v>
      </c>
      <c r="B5479" s="1" t="s">
        <v>324</v>
      </c>
      <c r="C5479" s="4">
        <v>7</v>
      </c>
      <c r="D5479" s="8">
        <v>2.4300000000000002</v>
      </c>
      <c r="E5479" s="4">
        <v>1</v>
      </c>
      <c r="F5479" s="8">
        <v>0.67</v>
      </c>
      <c r="G5479" s="4">
        <v>6</v>
      </c>
      <c r="H5479" s="8">
        <v>4.88</v>
      </c>
      <c r="I5479" s="4">
        <v>0</v>
      </c>
    </row>
    <row r="5480" spans="1:9" x14ac:dyDescent="0.2">
      <c r="A5480" s="2">
        <v>8</v>
      </c>
      <c r="B5480" s="1" t="s">
        <v>288</v>
      </c>
      <c r="C5480" s="4">
        <v>6</v>
      </c>
      <c r="D5480" s="8">
        <v>2.08</v>
      </c>
      <c r="E5480" s="4">
        <v>1</v>
      </c>
      <c r="F5480" s="8">
        <v>0.67</v>
      </c>
      <c r="G5480" s="4">
        <v>5</v>
      </c>
      <c r="H5480" s="8">
        <v>4.07</v>
      </c>
      <c r="I5480" s="4">
        <v>0</v>
      </c>
    </row>
    <row r="5481" spans="1:9" x14ac:dyDescent="0.2">
      <c r="A5481" s="2">
        <v>8</v>
      </c>
      <c r="B5481" s="1" t="s">
        <v>342</v>
      </c>
      <c r="C5481" s="4">
        <v>6</v>
      </c>
      <c r="D5481" s="8">
        <v>2.08</v>
      </c>
      <c r="E5481" s="4">
        <v>0</v>
      </c>
      <c r="F5481" s="8">
        <v>0</v>
      </c>
      <c r="G5481" s="4">
        <v>6</v>
      </c>
      <c r="H5481" s="8">
        <v>4.88</v>
      </c>
      <c r="I5481" s="4">
        <v>0</v>
      </c>
    </row>
    <row r="5482" spans="1:9" x14ac:dyDescent="0.2">
      <c r="A5482" s="2">
        <v>8</v>
      </c>
      <c r="B5482" s="1" t="s">
        <v>357</v>
      </c>
      <c r="C5482" s="4">
        <v>6</v>
      </c>
      <c r="D5482" s="8">
        <v>2.08</v>
      </c>
      <c r="E5482" s="4">
        <v>4</v>
      </c>
      <c r="F5482" s="8">
        <v>2.68</v>
      </c>
      <c r="G5482" s="4">
        <v>2</v>
      </c>
      <c r="H5482" s="8">
        <v>1.63</v>
      </c>
      <c r="I5482" s="4">
        <v>0</v>
      </c>
    </row>
    <row r="5483" spans="1:9" x14ac:dyDescent="0.2">
      <c r="A5483" s="2">
        <v>8</v>
      </c>
      <c r="B5483" s="1" t="s">
        <v>293</v>
      </c>
      <c r="C5483" s="4">
        <v>6</v>
      </c>
      <c r="D5483" s="8">
        <v>2.08</v>
      </c>
      <c r="E5483" s="4">
        <v>4</v>
      </c>
      <c r="F5483" s="8">
        <v>2.68</v>
      </c>
      <c r="G5483" s="4">
        <v>2</v>
      </c>
      <c r="H5483" s="8">
        <v>1.63</v>
      </c>
      <c r="I5483" s="4">
        <v>0</v>
      </c>
    </row>
    <row r="5484" spans="1:9" x14ac:dyDescent="0.2">
      <c r="A5484" s="2">
        <v>8</v>
      </c>
      <c r="B5484" s="1" t="s">
        <v>335</v>
      </c>
      <c r="C5484" s="4">
        <v>6</v>
      </c>
      <c r="D5484" s="8">
        <v>2.08</v>
      </c>
      <c r="E5484" s="4">
        <v>0</v>
      </c>
      <c r="F5484" s="8">
        <v>0</v>
      </c>
      <c r="G5484" s="4">
        <v>6</v>
      </c>
      <c r="H5484" s="8">
        <v>4.88</v>
      </c>
      <c r="I5484" s="4">
        <v>0</v>
      </c>
    </row>
    <row r="5485" spans="1:9" x14ac:dyDescent="0.2">
      <c r="A5485" s="2">
        <v>8</v>
      </c>
      <c r="B5485" s="1" t="s">
        <v>330</v>
      </c>
      <c r="C5485" s="4">
        <v>6</v>
      </c>
      <c r="D5485" s="8">
        <v>2.08</v>
      </c>
      <c r="E5485" s="4">
        <v>1</v>
      </c>
      <c r="F5485" s="8">
        <v>0.67</v>
      </c>
      <c r="G5485" s="4">
        <v>5</v>
      </c>
      <c r="H5485" s="8">
        <v>4.07</v>
      </c>
      <c r="I5485" s="4">
        <v>0</v>
      </c>
    </row>
    <row r="5486" spans="1:9" x14ac:dyDescent="0.2">
      <c r="A5486" s="2">
        <v>14</v>
      </c>
      <c r="B5486" s="1" t="s">
        <v>289</v>
      </c>
      <c r="C5486" s="4">
        <v>5</v>
      </c>
      <c r="D5486" s="8">
        <v>1.74</v>
      </c>
      <c r="E5486" s="4">
        <v>1</v>
      </c>
      <c r="F5486" s="8">
        <v>0.67</v>
      </c>
      <c r="G5486" s="4">
        <v>4</v>
      </c>
      <c r="H5486" s="8">
        <v>3.25</v>
      </c>
      <c r="I5486" s="4">
        <v>0</v>
      </c>
    </row>
    <row r="5487" spans="1:9" x14ac:dyDescent="0.2">
      <c r="A5487" s="2">
        <v>14</v>
      </c>
      <c r="B5487" s="1" t="s">
        <v>329</v>
      </c>
      <c r="C5487" s="4">
        <v>5</v>
      </c>
      <c r="D5487" s="8">
        <v>1.74</v>
      </c>
      <c r="E5487" s="4">
        <v>2</v>
      </c>
      <c r="F5487" s="8">
        <v>1.34</v>
      </c>
      <c r="G5487" s="4">
        <v>3</v>
      </c>
      <c r="H5487" s="8">
        <v>2.44</v>
      </c>
      <c r="I5487" s="4">
        <v>0</v>
      </c>
    </row>
    <row r="5488" spans="1:9" x14ac:dyDescent="0.2">
      <c r="A5488" s="2">
        <v>14</v>
      </c>
      <c r="B5488" s="1" t="s">
        <v>334</v>
      </c>
      <c r="C5488" s="4">
        <v>5</v>
      </c>
      <c r="D5488" s="8">
        <v>1.74</v>
      </c>
      <c r="E5488" s="4">
        <v>5</v>
      </c>
      <c r="F5488" s="8">
        <v>3.36</v>
      </c>
      <c r="G5488" s="4">
        <v>0</v>
      </c>
      <c r="H5488" s="8">
        <v>0</v>
      </c>
      <c r="I5488" s="4">
        <v>0</v>
      </c>
    </row>
    <row r="5489" spans="1:9" x14ac:dyDescent="0.2">
      <c r="A5489" s="2">
        <v>14</v>
      </c>
      <c r="B5489" s="1" t="s">
        <v>299</v>
      </c>
      <c r="C5489" s="4">
        <v>5</v>
      </c>
      <c r="D5489" s="8">
        <v>1.74</v>
      </c>
      <c r="E5489" s="4">
        <v>5</v>
      </c>
      <c r="F5489" s="8">
        <v>3.36</v>
      </c>
      <c r="G5489" s="4">
        <v>0</v>
      </c>
      <c r="H5489" s="8">
        <v>0</v>
      </c>
      <c r="I5489" s="4">
        <v>0</v>
      </c>
    </row>
    <row r="5490" spans="1:9" x14ac:dyDescent="0.2">
      <c r="A5490" s="2">
        <v>14</v>
      </c>
      <c r="B5490" s="1" t="s">
        <v>300</v>
      </c>
      <c r="C5490" s="4">
        <v>5</v>
      </c>
      <c r="D5490" s="8">
        <v>1.74</v>
      </c>
      <c r="E5490" s="4">
        <v>5</v>
      </c>
      <c r="F5490" s="8">
        <v>3.36</v>
      </c>
      <c r="G5490" s="4">
        <v>0</v>
      </c>
      <c r="H5490" s="8">
        <v>0</v>
      </c>
      <c r="I5490" s="4">
        <v>0</v>
      </c>
    </row>
    <row r="5491" spans="1:9" x14ac:dyDescent="0.2">
      <c r="A5491" s="2">
        <v>14</v>
      </c>
      <c r="B5491" s="1" t="s">
        <v>340</v>
      </c>
      <c r="C5491" s="4">
        <v>5</v>
      </c>
      <c r="D5491" s="8">
        <v>1.74</v>
      </c>
      <c r="E5491" s="4">
        <v>0</v>
      </c>
      <c r="F5491" s="8">
        <v>0</v>
      </c>
      <c r="G5491" s="4">
        <v>0</v>
      </c>
      <c r="H5491" s="8">
        <v>0</v>
      </c>
      <c r="I5491" s="4">
        <v>0</v>
      </c>
    </row>
    <row r="5492" spans="1:9" x14ac:dyDescent="0.2">
      <c r="A5492" s="2">
        <v>14</v>
      </c>
      <c r="B5492" s="1" t="s">
        <v>307</v>
      </c>
      <c r="C5492" s="4">
        <v>5</v>
      </c>
      <c r="D5492" s="8">
        <v>1.74</v>
      </c>
      <c r="E5492" s="4">
        <v>4</v>
      </c>
      <c r="F5492" s="8">
        <v>2.68</v>
      </c>
      <c r="G5492" s="4">
        <v>1</v>
      </c>
      <c r="H5492" s="8">
        <v>0.81</v>
      </c>
      <c r="I5492" s="4">
        <v>0</v>
      </c>
    </row>
    <row r="5493" spans="1:9" x14ac:dyDescent="0.2">
      <c r="A5493" s="1"/>
      <c r="C5493" s="4"/>
      <c r="D5493" s="8"/>
      <c r="E5493" s="4"/>
      <c r="F5493" s="8"/>
      <c r="G5493" s="4"/>
      <c r="H5493" s="8"/>
      <c r="I5493" s="4"/>
    </row>
    <row r="5494" spans="1:9" x14ac:dyDescent="0.2">
      <c r="A5494" s="1" t="s">
        <v>181</v>
      </c>
      <c r="C5494" s="4"/>
      <c r="D5494" s="8"/>
      <c r="E5494" s="4"/>
      <c r="F5494" s="8"/>
      <c r="G5494" s="4"/>
      <c r="H5494" s="8"/>
      <c r="I5494" s="4"/>
    </row>
    <row r="5495" spans="1:9" x14ac:dyDescent="0.2">
      <c r="A5495" s="2">
        <v>1</v>
      </c>
      <c r="B5495" s="1" t="s">
        <v>303</v>
      </c>
      <c r="C5495" s="4">
        <v>8</v>
      </c>
      <c r="D5495" s="8">
        <v>5.44</v>
      </c>
      <c r="E5495" s="4">
        <v>8</v>
      </c>
      <c r="F5495" s="8">
        <v>8.99</v>
      </c>
      <c r="G5495" s="4">
        <v>0</v>
      </c>
      <c r="H5495" s="8">
        <v>0</v>
      </c>
      <c r="I5495" s="4">
        <v>0</v>
      </c>
    </row>
    <row r="5496" spans="1:9" x14ac:dyDescent="0.2">
      <c r="A5496" s="2">
        <v>1</v>
      </c>
      <c r="B5496" s="1" t="s">
        <v>304</v>
      </c>
      <c r="C5496" s="4">
        <v>8</v>
      </c>
      <c r="D5496" s="8">
        <v>5.44</v>
      </c>
      <c r="E5496" s="4">
        <v>8</v>
      </c>
      <c r="F5496" s="8">
        <v>8.99</v>
      </c>
      <c r="G5496" s="4">
        <v>0</v>
      </c>
      <c r="H5496" s="8">
        <v>0</v>
      </c>
      <c r="I5496" s="4">
        <v>0</v>
      </c>
    </row>
    <row r="5497" spans="1:9" x14ac:dyDescent="0.2">
      <c r="A5497" s="2">
        <v>3</v>
      </c>
      <c r="B5497" s="1" t="s">
        <v>339</v>
      </c>
      <c r="C5497" s="4">
        <v>7</v>
      </c>
      <c r="D5497" s="8">
        <v>4.76</v>
      </c>
      <c r="E5497" s="4">
        <v>6</v>
      </c>
      <c r="F5497" s="8">
        <v>6.74</v>
      </c>
      <c r="G5497" s="4">
        <v>1</v>
      </c>
      <c r="H5497" s="8">
        <v>2.17</v>
      </c>
      <c r="I5497" s="4">
        <v>0</v>
      </c>
    </row>
    <row r="5498" spans="1:9" x14ac:dyDescent="0.2">
      <c r="A5498" s="2">
        <v>3</v>
      </c>
      <c r="B5498" s="1" t="s">
        <v>301</v>
      </c>
      <c r="C5498" s="4">
        <v>7</v>
      </c>
      <c r="D5498" s="8">
        <v>4.76</v>
      </c>
      <c r="E5498" s="4">
        <v>7</v>
      </c>
      <c r="F5498" s="8">
        <v>7.87</v>
      </c>
      <c r="G5498" s="4">
        <v>0</v>
      </c>
      <c r="H5498" s="8">
        <v>0</v>
      </c>
      <c r="I5498" s="4">
        <v>0</v>
      </c>
    </row>
    <row r="5499" spans="1:9" x14ac:dyDescent="0.2">
      <c r="A5499" s="2">
        <v>5</v>
      </c>
      <c r="B5499" s="1" t="s">
        <v>357</v>
      </c>
      <c r="C5499" s="4">
        <v>6</v>
      </c>
      <c r="D5499" s="8">
        <v>4.08</v>
      </c>
      <c r="E5499" s="4">
        <v>6</v>
      </c>
      <c r="F5499" s="8">
        <v>6.74</v>
      </c>
      <c r="G5499" s="4">
        <v>0</v>
      </c>
      <c r="H5499" s="8">
        <v>0</v>
      </c>
      <c r="I5499" s="4">
        <v>0</v>
      </c>
    </row>
    <row r="5500" spans="1:9" x14ac:dyDescent="0.2">
      <c r="A5500" s="2">
        <v>5</v>
      </c>
      <c r="B5500" s="1" t="s">
        <v>330</v>
      </c>
      <c r="C5500" s="4">
        <v>6</v>
      </c>
      <c r="D5500" s="8">
        <v>4.08</v>
      </c>
      <c r="E5500" s="4">
        <v>0</v>
      </c>
      <c r="F5500" s="8">
        <v>0</v>
      </c>
      <c r="G5500" s="4">
        <v>6</v>
      </c>
      <c r="H5500" s="8">
        <v>13.04</v>
      </c>
      <c r="I5500" s="4">
        <v>0</v>
      </c>
    </row>
    <row r="5501" spans="1:9" x14ac:dyDescent="0.2">
      <c r="A5501" s="2">
        <v>5</v>
      </c>
      <c r="B5501" s="1" t="s">
        <v>341</v>
      </c>
      <c r="C5501" s="4">
        <v>6</v>
      </c>
      <c r="D5501" s="8">
        <v>4.08</v>
      </c>
      <c r="E5501" s="4">
        <v>0</v>
      </c>
      <c r="F5501" s="8">
        <v>0</v>
      </c>
      <c r="G5501" s="4">
        <v>0</v>
      </c>
      <c r="H5501" s="8">
        <v>0</v>
      </c>
      <c r="I5501" s="4">
        <v>0</v>
      </c>
    </row>
    <row r="5502" spans="1:9" x14ac:dyDescent="0.2">
      <c r="A5502" s="2">
        <v>8</v>
      </c>
      <c r="B5502" s="1" t="s">
        <v>292</v>
      </c>
      <c r="C5502" s="4">
        <v>5</v>
      </c>
      <c r="D5502" s="8">
        <v>3.4</v>
      </c>
      <c r="E5502" s="4">
        <v>4</v>
      </c>
      <c r="F5502" s="8">
        <v>4.49</v>
      </c>
      <c r="G5502" s="4">
        <v>1</v>
      </c>
      <c r="H5502" s="8">
        <v>2.17</v>
      </c>
      <c r="I5502" s="4">
        <v>0</v>
      </c>
    </row>
    <row r="5503" spans="1:9" x14ac:dyDescent="0.2">
      <c r="A5503" s="2">
        <v>9</v>
      </c>
      <c r="B5503" s="1" t="s">
        <v>413</v>
      </c>
      <c r="C5503" s="4">
        <v>4</v>
      </c>
      <c r="D5503" s="8">
        <v>2.72</v>
      </c>
      <c r="E5503" s="4">
        <v>1</v>
      </c>
      <c r="F5503" s="8">
        <v>1.1200000000000001</v>
      </c>
      <c r="G5503" s="4">
        <v>3</v>
      </c>
      <c r="H5503" s="8">
        <v>6.52</v>
      </c>
      <c r="I5503" s="4">
        <v>0</v>
      </c>
    </row>
    <row r="5504" spans="1:9" x14ac:dyDescent="0.2">
      <c r="A5504" s="2">
        <v>9</v>
      </c>
      <c r="B5504" s="1" t="s">
        <v>384</v>
      </c>
      <c r="C5504" s="4">
        <v>4</v>
      </c>
      <c r="D5504" s="8">
        <v>2.72</v>
      </c>
      <c r="E5504" s="4">
        <v>0</v>
      </c>
      <c r="F5504" s="8">
        <v>0</v>
      </c>
      <c r="G5504" s="4">
        <v>4</v>
      </c>
      <c r="H5504" s="8">
        <v>8.6999999999999993</v>
      </c>
      <c r="I5504" s="4">
        <v>0</v>
      </c>
    </row>
    <row r="5505" spans="1:9" x14ac:dyDescent="0.2">
      <c r="A5505" s="2">
        <v>9</v>
      </c>
      <c r="B5505" s="1" t="s">
        <v>324</v>
      </c>
      <c r="C5505" s="4">
        <v>4</v>
      </c>
      <c r="D5505" s="8">
        <v>2.72</v>
      </c>
      <c r="E5505" s="4">
        <v>1</v>
      </c>
      <c r="F5505" s="8">
        <v>1.1200000000000001</v>
      </c>
      <c r="G5505" s="4">
        <v>3</v>
      </c>
      <c r="H5505" s="8">
        <v>6.52</v>
      </c>
      <c r="I5505" s="4">
        <v>0</v>
      </c>
    </row>
    <row r="5506" spans="1:9" x14ac:dyDescent="0.2">
      <c r="A5506" s="2">
        <v>9</v>
      </c>
      <c r="B5506" s="1" t="s">
        <v>295</v>
      </c>
      <c r="C5506" s="4">
        <v>4</v>
      </c>
      <c r="D5506" s="8">
        <v>2.72</v>
      </c>
      <c r="E5506" s="4">
        <v>3</v>
      </c>
      <c r="F5506" s="8">
        <v>3.37</v>
      </c>
      <c r="G5506" s="4">
        <v>1</v>
      </c>
      <c r="H5506" s="8">
        <v>2.17</v>
      </c>
      <c r="I5506" s="4">
        <v>0</v>
      </c>
    </row>
    <row r="5507" spans="1:9" x14ac:dyDescent="0.2">
      <c r="A5507" s="2">
        <v>13</v>
      </c>
      <c r="B5507" s="1" t="s">
        <v>375</v>
      </c>
      <c r="C5507" s="4">
        <v>3</v>
      </c>
      <c r="D5507" s="8">
        <v>2.04</v>
      </c>
      <c r="E5507" s="4">
        <v>1</v>
      </c>
      <c r="F5507" s="8">
        <v>1.1200000000000001</v>
      </c>
      <c r="G5507" s="4">
        <v>2</v>
      </c>
      <c r="H5507" s="8">
        <v>4.3499999999999996</v>
      </c>
      <c r="I5507" s="4">
        <v>0</v>
      </c>
    </row>
    <row r="5508" spans="1:9" x14ac:dyDescent="0.2">
      <c r="A5508" s="2">
        <v>13</v>
      </c>
      <c r="B5508" s="1" t="s">
        <v>354</v>
      </c>
      <c r="C5508" s="4">
        <v>3</v>
      </c>
      <c r="D5508" s="8">
        <v>2.04</v>
      </c>
      <c r="E5508" s="4">
        <v>1</v>
      </c>
      <c r="F5508" s="8">
        <v>1.1200000000000001</v>
      </c>
      <c r="G5508" s="4">
        <v>2</v>
      </c>
      <c r="H5508" s="8">
        <v>4.3499999999999996</v>
      </c>
      <c r="I5508" s="4">
        <v>0</v>
      </c>
    </row>
    <row r="5509" spans="1:9" x14ac:dyDescent="0.2">
      <c r="A5509" s="2">
        <v>13</v>
      </c>
      <c r="B5509" s="1" t="s">
        <v>422</v>
      </c>
      <c r="C5509" s="4">
        <v>3</v>
      </c>
      <c r="D5509" s="8">
        <v>2.04</v>
      </c>
      <c r="E5509" s="4">
        <v>3</v>
      </c>
      <c r="F5509" s="8">
        <v>3.37</v>
      </c>
      <c r="G5509" s="4">
        <v>0</v>
      </c>
      <c r="H5509" s="8">
        <v>0</v>
      </c>
      <c r="I5509" s="4">
        <v>0</v>
      </c>
    </row>
    <row r="5510" spans="1:9" x14ac:dyDescent="0.2">
      <c r="A5510" s="2">
        <v>13</v>
      </c>
      <c r="B5510" s="1" t="s">
        <v>334</v>
      </c>
      <c r="C5510" s="4">
        <v>3</v>
      </c>
      <c r="D5510" s="8">
        <v>2.04</v>
      </c>
      <c r="E5510" s="4">
        <v>3</v>
      </c>
      <c r="F5510" s="8">
        <v>3.37</v>
      </c>
      <c r="G5510" s="4">
        <v>0</v>
      </c>
      <c r="H5510" s="8">
        <v>0</v>
      </c>
      <c r="I5510" s="4">
        <v>0</v>
      </c>
    </row>
    <row r="5511" spans="1:9" x14ac:dyDescent="0.2">
      <c r="A5511" s="2">
        <v>13</v>
      </c>
      <c r="B5511" s="1" t="s">
        <v>368</v>
      </c>
      <c r="C5511" s="4">
        <v>3</v>
      </c>
      <c r="D5511" s="8">
        <v>2.04</v>
      </c>
      <c r="E5511" s="4">
        <v>1</v>
      </c>
      <c r="F5511" s="8">
        <v>1.1200000000000001</v>
      </c>
      <c r="G5511" s="4">
        <v>0</v>
      </c>
      <c r="H5511" s="8">
        <v>0</v>
      </c>
      <c r="I5511" s="4">
        <v>0</v>
      </c>
    </row>
    <row r="5512" spans="1:9" x14ac:dyDescent="0.2">
      <c r="A5512" s="2">
        <v>13</v>
      </c>
      <c r="B5512" s="1" t="s">
        <v>370</v>
      </c>
      <c r="C5512" s="4">
        <v>3</v>
      </c>
      <c r="D5512" s="8">
        <v>2.04</v>
      </c>
      <c r="E5512" s="4">
        <v>0</v>
      </c>
      <c r="F5512" s="8">
        <v>0</v>
      </c>
      <c r="G5512" s="4">
        <v>1</v>
      </c>
      <c r="H5512" s="8">
        <v>2.17</v>
      </c>
      <c r="I5512" s="4">
        <v>0</v>
      </c>
    </row>
    <row r="5513" spans="1:9" x14ac:dyDescent="0.2">
      <c r="A5513" s="2">
        <v>19</v>
      </c>
      <c r="B5513" s="1" t="s">
        <v>288</v>
      </c>
      <c r="C5513" s="4">
        <v>2</v>
      </c>
      <c r="D5513" s="8">
        <v>1.36</v>
      </c>
      <c r="E5513" s="4">
        <v>0</v>
      </c>
      <c r="F5513" s="8">
        <v>0</v>
      </c>
      <c r="G5513" s="4">
        <v>2</v>
      </c>
      <c r="H5513" s="8">
        <v>4.3499999999999996</v>
      </c>
      <c r="I5513" s="4">
        <v>0</v>
      </c>
    </row>
    <row r="5514" spans="1:9" x14ac:dyDescent="0.2">
      <c r="A5514" s="2">
        <v>19</v>
      </c>
      <c r="B5514" s="1" t="s">
        <v>328</v>
      </c>
      <c r="C5514" s="4">
        <v>2</v>
      </c>
      <c r="D5514" s="8">
        <v>1.36</v>
      </c>
      <c r="E5514" s="4">
        <v>2</v>
      </c>
      <c r="F5514" s="8">
        <v>2.25</v>
      </c>
      <c r="G5514" s="4">
        <v>0</v>
      </c>
      <c r="H5514" s="8">
        <v>0</v>
      </c>
      <c r="I5514" s="4">
        <v>0</v>
      </c>
    </row>
    <row r="5515" spans="1:9" x14ac:dyDescent="0.2">
      <c r="A5515" s="2">
        <v>19</v>
      </c>
      <c r="B5515" s="1" t="s">
        <v>332</v>
      </c>
      <c r="C5515" s="4">
        <v>2</v>
      </c>
      <c r="D5515" s="8">
        <v>1.36</v>
      </c>
      <c r="E5515" s="4">
        <v>2</v>
      </c>
      <c r="F5515" s="8">
        <v>2.25</v>
      </c>
      <c r="G5515" s="4">
        <v>0</v>
      </c>
      <c r="H5515" s="8">
        <v>0</v>
      </c>
      <c r="I5515" s="4">
        <v>0</v>
      </c>
    </row>
    <row r="5516" spans="1:9" x14ac:dyDescent="0.2">
      <c r="A5516" s="2">
        <v>19</v>
      </c>
      <c r="B5516" s="1" t="s">
        <v>337</v>
      </c>
      <c r="C5516" s="4">
        <v>2</v>
      </c>
      <c r="D5516" s="8">
        <v>1.36</v>
      </c>
      <c r="E5516" s="4">
        <v>1</v>
      </c>
      <c r="F5516" s="8">
        <v>1.1200000000000001</v>
      </c>
      <c r="G5516" s="4">
        <v>1</v>
      </c>
      <c r="H5516" s="8">
        <v>2.17</v>
      </c>
      <c r="I5516" s="4">
        <v>0</v>
      </c>
    </row>
    <row r="5517" spans="1:9" x14ac:dyDescent="0.2">
      <c r="A5517" s="2">
        <v>19</v>
      </c>
      <c r="B5517" s="1" t="s">
        <v>322</v>
      </c>
      <c r="C5517" s="4">
        <v>2</v>
      </c>
      <c r="D5517" s="8">
        <v>1.36</v>
      </c>
      <c r="E5517" s="4">
        <v>0</v>
      </c>
      <c r="F5517" s="8">
        <v>0</v>
      </c>
      <c r="G5517" s="4">
        <v>2</v>
      </c>
      <c r="H5517" s="8">
        <v>4.3499999999999996</v>
      </c>
      <c r="I5517" s="4">
        <v>0</v>
      </c>
    </row>
    <row r="5518" spans="1:9" x14ac:dyDescent="0.2">
      <c r="A5518" s="2">
        <v>19</v>
      </c>
      <c r="B5518" s="1" t="s">
        <v>297</v>
      </c>
      <c r="C5518" s="4">
        <v>2</v>
      </c>
      <c r="D5518" s="8">
        <v>1.36</v>
      </c>
      <c r="E5518" s="4">
        <v>2</v>
      </c>
      <c r="F5518" s="8">
        <v>2.25</v>
      </c>
      <c r="G5518" s="4">
        <v>0</v>
      </c>
      <c r="H5518" s="8">
        <v>0</v>
      </c>
      <c r="I5518" s="4">
        <v>0</v>
      </c>
    </row>
    <row r="5519" spans="1:9" x14ac:dyDescent="0.2">
      <c r="A5519" s="2">
        <v>19</v>
      </c>
      <c r="B5519" s="1" t="s">
        <v>299</v>
      </c>
      <c r="C5519" s="4">
        <v>2</v>
      </c>
      <c r="D5519" s="8">
        <v>1.36</v>
      </c>
      <c r="E5519" s="4">
        <v>1</v>
      </c>
      <c r="F5519" s="8">
        <v>1.1200000000000001</v>
      </c>
      <c r="G5519" s="4">
        <v>1</v>
      </c>
      <c r="H5519" s="8">
        <v>2.17</v>
      </c>
      <c r="I5519" s="4">
        <v>0</v>
      </c>
    </row>
    <row r="5520" spans="1:9" x14ac:dyDescent="0.2">
      <c r="A5520" s="2">
        <v>19</v>
      </c>
      <c r="B5520" s="1" t="s">
        <v>349</v>
      </c>
      <c r="C5520" s="4">
        <v>2</v>
      </c>
      <c r="D5520" s="8">
        <v>1.36</v>
      </c>
      <c r="E5520" s="4">
        <v>2</v>
      </c>
      <c r="F5520" s="8">
        <v>2.25</v>
      </c>
      <c r="G5520" s="4">
        <v>0</v>
      </c>
      <c r="H5520" s="8">
        <v>0</v>
      </c>
      <c r="I5520" s="4">
        <v>0</v>
      </c>
    </row>
    <row r="5521" spans="1:9" x14ac:dyDescent="0.2">
      <c r="A5521" s="2">
        <v>19</v>
      </c>
      <c r="B5521" s="1" t="s">
        <v>300</v>
      </c>
      <c r="C5521" s="4">
        <v>2</v>
      </c>
      <c r="D5521" s="8">
        <v>1.36</v>
      </c>
      <c r="E5521" s="4">
        <v>2</v>
      </c>
      <c r="F5521" s="8">
        <v>2.25</v>
      </c>
      <c r="G5521" s="4">
        <v>0</v>
      </c>
      <c r="H5521" s="8">
        <v>0</v>
      </c>
      <c r="I5521" s="4">
        <v>0</v>
      </c>
    </row>
    <row r="5522" spans="1:9" x14ac:dyDescent="0.2">
      <c r="A5522" s="2">
        <v>19</v>
      </c>
      <c r="B5522" s="1" t="s">
        <v>302</v>
      </c>
      <c r="C5522" s="4">
        <v>2</v>
      </c>
      <c r="D5522" s="8">
        <v>1.36</v>
      </c>
      <c r="E5522" s="4">
        <v>2</v>
      </c>
      <c r="F5522" s="8">
        <v>2.25</v>
      </c>
      <c r="G5522" s="4">
        <v>0</v>
      </c>
      <c r="H5522" s="8">
        <v>0</v>
      </c>
      <c r="I5522" s="4">
        <v>0</v>
      </c>
    </row>
    <row r="5523" spans="1:9" x14ac:dyDescent="0.2">
      <c r="A5523" s="2">
        <v>19</v>
      </c>
      <c r="B5523" s="1" t="s">
        <v>323</v>
      </c>
      <c r="C5523" s="4">
        <v>2</v>
      </c>
      <c r="D5523" s="8">
        <v>1.36</v>
      </c>
      <c r="E5523" s="4">
        <v>2</v>
      </c>
      <c r="F5523" s="8">
        <v>2.25</v>
      </c>
      <c r="G5523" s="4">
        <v>0</v>
      </c>
      <c r="H5523" s="8">
        <v>0</v>
      </c>
      <c r="I5523" s="4">
        <v>0</v>
      </c>
    </row>
    <row r="5524" spans="1:9" x14ac:dyDescent="0.2">
      <c r="A5524" s="2">
        <v>19</v>
      </c>
      <c r="B5524" s="1" t="s">
        <v>411</v>
      </c>
      <c r="C5524" s="4">
        <v>2</v>
      </c>
      <c r="D5524" s="8">
        <v>1.36</v>
      </c>
      <c r="E5524" s="4">
        <v>1</v>
      </c>
      <c r="F5524" s="8">
        <v>1.1200000000000001</v>
      </c>
      <c r="G5524" s="4">
        <v>0</v>
      </c>
      <c r="H5524" s="8">
        <v>0</v>
      </c>
      <c r="I5524" s="4">
        <v>0</v>
      </c>
    </row>
    <row r="5525" spans="1:9" x14ac:dyDescent="0.2">
      <c r="A5525" s="2">
        <v>19</v>
      </c>
      <c r="B5525" s="1" t="s">
        <v>305</v>
      </c>
      <c r="C5525" s="4">
        <v>2</v>
      </c>
      <c r="D5525" s="8">
        <v>1.36</v>
      </c>
      <c r="E5525" s="4">
        <v>2</v>
      </c>
      <c r="F5525" s="8">
        <v>2.25</v>
      </c>
      <c r="G5525" s="4">
        <v>0</v>
      </c>
      <c r="H5525" s="8">
        <v>0</v>
      </c>
      <c r="I5525" s="4">
        <v>0</v>
      </c>
    </row>
    <row r="5526" spans="1:9" x14ac:dyDescent="0.2">
      <c r="A5526" s="2">
        <v>19</v>
      </c>
      <c r="B5526" s="1" t="s">
        <v>306</v>
      </c>
      <c r="C5526" s="4">
        <v>2</v>
      </c>
      <c r="D5526" s="8">
        <v>1.36</v>
      </c>
      <c r="E5526" s="4">
        <v>2</v>
      </c>
      <c r="F5526" s="8">
        <v>2.25</v>
      </c>
      <c r="G5526" s="4">
        <v>0</v>
      </c>
      <c r="H5526" s="8">
        <v>0</v>
      </c>
      <c r="I5526" s="4">
        <v>0</v>
      </c>
    </row>
    <row r="5527" spans="1:9" x14ac:dyDescent="0.2">
      <c r="A5527" s="1"/>
      <c r="C5527" s="4"/>
      <c r="D5527" s="8"/>
      <c r="E5527" s="4"/>
      <c r="F5527" s="8"/>
      <c r="G5527" s="4"/>
      <c r="H5527" s="8"/>
      <c r="I5527" s="4"/>
    </row>
    <row r="5528" spans="1:9" x14ac:dyDescent="0.2">
      <c r="A5528" s="1" t="s">
        <v>182</v>
      </c>
      <c r="C5528" s="4"/>
      <c r="D5528" s="8"/>
      <c r="E5528" s="4"/>
      <c r="F5528" s="8"/>
      <c r="G5528" s="4"/>
      <c r="H5528" s="8"/>
      <c r="I5528" s="4"/>
    </row>
    <row r="5529" spans="1:9" x14ac:dyDescent="0.2">
      <c r="A5529" s="2">
        <v>1</v>
      </c>
      <c r="B5529" s="1" t="s">
        <v>297</v>
      </c>
      <c r="C5529" s="4">
        <v>11</v>
      </c>
      <c r="D5529" s="8">
        <v>5.05</v>
      </c>
      <c r="E5529" s="4">
        <v>10</v>
      </c>
      <c r="F5529" s="8">
        <v>9.01</v>
      </c>
      <c r="G5529" s="4">
        <v>1</v>
      </c>
      <c r="H5529" s="8">
        <v>1.04</v>
      </c>
      <c r="I5529" s="4">
        <v>0</v>
      </c>
    </row>
    <row r="5530" spans="1:9" x14ac:dyDescent="0.2">
      <c r="A5530" s="2">
        <v>1</v>
      </c>
      <c r="B5530" s="1" t="s">
        <v>299</v>
      </c>
      <c r="C5530" s="4">
        <v>11</v>
      </c>
      <c r="D5530" s="8">
        <v>5.05</v>
      </c>
      <c r="E5530" s="4">
        <v>10</v>
      </c>
      <c r="F5530" s="8">
        <v>9.01</v>
      </c>
      <c r="G5530" s="4">
        <v>1</v>
      </c>
      <c r="H5530" s="8">
        <v>1.04</v>
      </c>
      <c r="I5530" s="4">
        <v>0</v>
      </c>
    </row>
    <row r="5531" spans="1:9" x14ac:dyDescent="0.2">
      <c r="A5531" s="2">
        <v>3</v>
      </c>
      <c r="B5531" s="1" t="s">
        <v>300</v>
      </c>
      <c r="C5531" s="4">
        <v>9</v>
      </c>
      <c r="D5531" s="8">
        <v>4.13</v>
      </c>
      <c r="E5531" s="4">
        <v>9</v>
      </c>
      <c r="F5531" s="8">
        <v>8.11</v>
      </c>
      <c r="G5531" s="4">
        <v>0</v>
      </c>
      <c r="H5531" s="8">
        <v>0</v>
      </c>
      <c r="I5531" s="4">
        <v>0</v>
      </c>
    </row>
    <row r="5532" spans="1:9" x14ac:dyDescent="0.2">
      <c r="A5532" s="2">
        <v>4</v>
      </c>
      <c r="B5532" s="1" t="s">
        <v>303</v>
      </c>
      <c r="C5532" s="4">
        <v>8</v>
      </c>
      <c r="D5532" s="8">
        <v>3.67</v>
      </c>
      <c r="E5532" s="4">
        <v>7</v>
      </c>
      <c r="F5532" s="8">
        <v>6.31</v>
      </c>
      <c r="G5532" s="4">
        <v>1</v>
      </c>
      <c r="H5532" s="8">
        <v>1.04</v>
      </c>
      <c r="I5532" s="4">
        <v>0</v>
      </c>
    </row>
    <row r="5533" spans="1:9" x14ac:dyDescent="0.2">
      <c r="A5533" s="2">
        <v>5</v>
      </c>
      <c r="B5533" s="1" t="s">
        <v>289</v>
      </c>
      <c r="C5533" s="4">
        <v>7</v>
      </c>
      <c r="D5533" s="8">
        <v>3.21</v>
      </c>
      <c r="E5533" s="4">
        <v>0</v>
      </c>
      <c r="F5533" s="8">
        <v>0</v>
      </c>
      <c r="G5533" s="4">
        <v>7</v>
      </c>
      <c r="H5533" s="8">
        <v>7.29</v>
      </c>
      <c r="I5533" s="4">
        <v>0</v>
      </c>
    </row>
    <row r="5534" spans="1:9" x14ac:dyDescent="0.2">
      <c r="A5534" s="2">
        <v>5</v>
      </c>
      <c r="B5534" s="1" t="s">
        <v>330</v>
      </c>
      <c r="C5534" s="4">
        <v>7</v>
      </c>
      <c r="D5534" s="8">
        <v>3.21</v>
      </c>
      <c r="E5534" s="4">
        <v>1</v>
      </c>
      <c r="F5534" s="8">
        <v>0.9</v>
      </c>
      <c r="G5534" s="4">
        <v>6</v>
      </c>
      <c r="H5534" s="8">
        <v>6.25</v>
      </c>
      <c r="I5534" s="4">
        <v>0</v>
      </c>
    </row>
    <row r="5535" spans="1:9" x14ac:dyDescent="0.2">
      <c r="A5535" s="2">
        <v>7</v>
      </c>
      <c r="B5535" s="1" t="s">
        <v>304</v>
      </c>
      <c r="C5535" s="4">
        <v>6</v>
      </c>
      <c r="D5535" s="8">
        <v>2.75</v>
      </c>
      <c r="E5535" s="4">
        <v>6</v>
      </c>
      <c r="F5535" s="8">
        <v>5.41</v>
      </c>
      <c r="G5535" s="4">
        <v>0</v>
      </c>
      <c r="H5535" s="8">
        <v>0</v>
      </c>
      <c r="I5535" s="4">
        <v>0</v>
      </c>
    </row>
    <row r="5536" spans="1:9" x14ac:dyDescent="0.2">
      <c r="A5536" s="2">
        <v>7</v>
      </c>
      <c r="B5536" s="1" t="s">
        <v>340</v>
      </c>
      <c r="C5536" s="4">
        <v>6</v>
      </c>
      <c r="D5536" s="8">
        <v>2.75</v>
      </c>
      <c r="E5536" s="4">
        <v>0</v>
      </c>
      <c r="F5536" s="8">
        <v>0</v>
      </c>
      <c r="G5536" s="4">
        <v>0</v>
      </c>
      <c r="H5536" s="8">
        <v>0</v>
      </c>
      <c r="I5536" s="4">
        <v>0</v>
      </c>
    </row>
    <row r="5537" spans="1:9" x14ac:dyDescent="0.2">
      <c r="A5537" s="2">
        <v>9</v>
      </c>
      <c r="B5537" s="1" t="s">
        <v>329</v>
      </c>
      <c r="C5537" s="4">
        <v>5</v>
      </c>
      <c r="D5537" s="8">
        <v>2.29</v>
      </c>
      <c r="E5537" s="4">
        <v>4</v>
      </c>
      <c r="F5537" s="8">
        <v>3.6</v>
      </c>
      <c r="G5537" s="4">
        <v>1</v>
      </c>
      <c r="H5537" s="8">
        <v>1.04</v>
      </c>
      <c r="I5537" s="4">
        <v>0</v>
      </c>
    </row>
    <row r="5538" spans="1:9" x14ac:dyDescent="0.2">
      <c r="A5538" s="2">
        <v>9</v>
      </c>
      <c r="B5538" s="1" t="s">
        <v>292</v>
      </c>
      <c r="C5538" s="4">
        <v>5</v>
      </c>
      <c r="D5538" s="8">
        <v>2.29</v>
      </c>
      <c r="E5538" s="4">
        <v>3</v>
      </c>
      <c r="F5538" s="8">
        <v>2.7</v>
      </c>
      <c r="G5538" s="4">
        <v>2</v>
      </c>
      <c r="H5538" s="8">
        <v>2.08</v>
      </c>
      <c r="I5538" s="4">
        <v>0</v>
      </c>
    </row>
    <row r="5539" spans="1:9" x14ac:dyDescent="0.2">
      <c r="A5539" s="2">
        <v>9</v>
      </c>
      <c r="B5539" s="1" t="s">
        <v>337</v>
      </c>
      <c r="C5539" s="4">
        <v>5</v>
      </c>
      <c r="D5539" s="8">
        <v>2.29</v>
      </c>
      <c r="E5539" s="4">
        <v>5</v>
      </c>
      <c r="F5539" s="8">
        <v>4.5</v>
      </c>
      <c r="G5539" s="4">
        <v>0</v>
      </c>
      <c r="H5539" s="8">
        <v>0</v>
      </c>
      <c r="I5539" s="4">
        <v>0</v>
      </c>
    </row>
    <row r="5540" spans="1:9" x14ac:dyDescent="0.2">
      <c r="A5540" s="2">
        <v>9</v>
      </c>
      <c r="B5540" s="1" t="s">
        <v>334</v>
      </c>
      <c r="C5540" s="4">
        <v>5</v>
      </c>
      <c r="D5540" s="8">
        <v>2.29</v>
      </c>
      <c r="E5540" s="4">
        <v>5</v>
      </c>
      <c r="F5540" s="8">
        <v>4.5</v>
      </c>
      <c r="G5540" s="4">
        <v>0</v>
      </c>
      <c r="H5540" s="8">
        <v>0</v>
      </c>
      <c r="I5540" s="4">
        <v>0</v>
      </c>
    </row>
    <row r="5541" spans="1:9" x14ac:dyDescent="0.2">
      <c r="A5541" s="2">
        <v>9</v>
      </c>
      <c r="B5541" s="1" t="s">
        <v>323</v>
      </c>
      <c r="C5541" s="4">
        <v>5</v>
      </c>
      <c r="D5541" s="8">
        <v>2.29</v>
      </c>
      <c r="E5541" s="4">
        <v>3</v>
      </c>
      <c r="F5541" s="8">
        <v>2.7</v>
      </c>
      <c r="G5541" s="4">
        <v>2</v>
      </c>
      <c r="H5541" s="8">
        <v>2.08</v>
      </c>
      <c r="I5541" s="4">
        <v>0</v>
      </c>
    </row>
    <row r="5542" spans="1:9" x14ac:dyDescent="0.2">
      <c r="A5542" s="2">
        <v>9</v>
      </c>
      <c r="B5542" s="1" t="s">
        <v>371</v>
      </c>
      <c r="C5542" s="4">
        <v>5</v>
      </c>
      <c r="D5542" s="8">
        <v>2.29</v>
      </c>
      <c r="E5542" s="4">
        <v>3</v>
      </c>
      <c r="F5542" s="8">
        <v>2.7</v>
      </c>
      <c r="G5542" s="4">
        <v>2</v>
      </c>
      <c r="H5542" s="8">
        <v>2.08</v>
      </c>
      <c r="I5542" s="4">
        <v>0</v>
      </c>
    </row>
    <row r="5543" spans="1:9" x14ac:dyDescent="0.2">
      <c r="A5543" s="2">
        <v>15</v>
      </c>
      <c r="B5543" s="1" t="s">
        <v>288</v>
      </c>
      <c r="C5543" s="4">
        <v>4</v>
      </c>
      <c r="D5543" s="8">
        <v>1.83</v>
      </c>
      <c r="E5543" s="4">
        <v>1</v>
      </c>
      <c r="F5543" s="8">
        <v>0.9</v>
      </c>
      <c r="G5543" s="4">
        <v>3</v>
      </c>
      <c r="H5543" s="8">
        <v>3.13</v>
      </c>
      <c r="I5543" s="4">
        <v>0</v>
      </c>
    </row>
    <row r="5544" spans="1:9" x14ac:dyDescent="0.2">
      <c r="A5544" s="2">
        <v>15</v>
      </c>
      <c r="B5544" s="1" t="s">
        <v>290</v>
      </c>
      <c r="C5544" s="4">
        <v>4</v>
      </c>
      <c r="D5544" s="8">
        <v>1.83</v>
      </c>
      <c r="E5544" s="4">
        <v>2</v>
      </c>
      <c r="F5544" s="8">
        <v>1.8</v>
      </c>
      <c r="G5544" s="4">
        <v>2</v>
      </c>
      <c r="H5544" s="8">
        <v>2.08</v>
      </c>
      <c r="I5544" s="4">
        <v>0</v>
      </c>
    </row>
    <row r="5545" spans="1:9" x14ac:dyDescent="0.2">
      <c r="A5545" s="2">
        <v>15</v>
      </c>
      <c r="B5545" s="1" t="s">
        <v>309</v>
      </c>
      <c r="C5545" s="4">
        <v>4</v>
      </c>
      <c r="D5545" s="8">
        <v>1.83</v>
      </c>
      <c r="E5545" s="4">
        <v>0</v>
      </c>
      <c r="F5545" s="8">
        <v>0</v>
      </c>
      <c r="G5545" s="4">
        <v>4</v>
      </c>
      <c r="H5545" s="8">
        <v>4.17</v>
      </c>
      <c r="I5545" s="4">
        <v>0</v>
      </c>
    </row>
    <row r="5546" spans="1:9" x14ac:dyDescent="0.2">
      <c r="A5546" s="2">
        <v>15</v>
      </c>
      <c r="B5546" s="1" t="s">
        <v>301</v>
      </c>
      <c r="C5546" s="4">
        <v>4</v>
      </c>
      <c r="D5546" s="8">
        <v>1.83</v>
      </c>
      <c r="E5546" s="4">
        <v>4</v>
      </c>
      <c r="F5546" s="8">
        <v>3.6</v>
      </c>
      <c r="G5546" s="4">
        <v>0</v>
      </c>
      <c r="H5546" s="8">
        <v>0</v>
      </c>
      <c r="I5546" s="4">
        <v>0</v>
      </c>
    </row>
    <row r="5547" spans="1:9" x14ac:dyDescent="0.2">
      <c r="A5547" s="2">
        <v>15</v>
      </c>
      <c r="B5547" s="1" t="s">
        <v>302</v>
      </c>
      <c r="C5547" s="4">
        <v>4</v>
      </c>
      <c r="D5547" s="8">
        <v>1.83</v>
      </c>
      <c r="E5547" s="4">
        <v>4</v>
      </c>
      <c r="F5547" s="8">
        <v>3.6</v>
      </c>
      <c r="G5547" s="4">
        <v>0</v>
      </c>
      <c r="H5547" s="8">
        <v>0</v>
      </c>
      <c r="I5547" s="4">
        <v>0</v>
      </c>
    </row>
    <row r="5548" spans="1:9" x14ac:dyDescent="0.2">
      <c r="A5548" s="2">
        <v>15</v>
      </c>
      <c r="B5548" s="1" t="s">
        <v>307</v>
      </c>
      <c r="C5548" s="4">
        <v>4</v>
      </c>
      <c r="D5548" s="8">
        <v>1.83</v>
      </c>
      <c r="E5548" s="4">
        <v>3</v>
      </c>
      <c r="F5548" s="8">
        <v>2.7</v>
      </c>
      <c r="G5548" s="4">
        <v>1</v>
      </c>
      <c r="H5548" s="8">
        <v>1.04</v>
      </c>
      <c r="I5548" s="4">
        <v>0</v>
      </c>
    </row>
    <row r="5549" spans="1:9" x14ac:dyDescent="0.2">
      <c r="A5549" s="1"/>
      <c r="C5549" s="4"/>
      <c r="D5549" s="8"/>
      <c r="E5549" s="4"/>
      <c r="F5549" s="8"/>
      <c r="G5549" s="4"/>
      <c r="H5549" s="8"/>
      <c r="I5549" s="4"/>
    </row>
    <row r="5550" spans="1:9" x14ac:dyDescent="0.2">
      <c r="A5550" s="1" t="s">
        <v>183</v>
      </c>
      <c r="C5550" s="4"/>
      <c r="D5550" s="8"/>
      <c r="E5550" s="4"/>
      <c r="F5550" s="8"/>
      <c r="G5550" s="4"/>
      <c r="H5550" s="8"/>
      <c r="I5550" s="4"/>
    </row>
    <row r="5551" spans="1:9" x14ac:dyDescent="0.2">
      <c r="A5551" s="2">
        <v>1</v>
      </c>
      <c r="B5551" s="1" t="s">
        <v>339</v>
      </c>
      <c r="C5551" s="4">
        <v>22</v>
      </c>
      <c r="D5551" s="8">
        <v>7.64</v>
      </c>
      <c r="E5551" s="4">
        <v>13</v>
      </c>
      <c r="F5551" s="8">
        <v>8.5500000000000007</v>
      </c>
      <c r="G5551" s="4">
        <v>9</v>
      </c>
      <c r="H5551" s="8">
        <v>7.32</v>
      </c>
      <c r="I5551" s="4">
        <v>0</v>
      </c>
    </row>
    <row r="5552" spans="1:9" x14ac:dyDescent="0.2">
      <c r="A5552" s="2">
        <v>2</v>
      </c>
      <c r="B5552" s="1" t="s">
        <v>295</v>
      </c>
      <c r="C5552" s="4">
        <v>17</v>
      </c>
      <c r="D5552" s="8">
        <v>5.9</v>
      </c>
      <c r="E5552" s="4">
        <v>13</v>
      </c>
      <c r="F5552" s="8">
        <v>8.5500000000000007</v>
      </c>
      <c r="G5552" s="4">
        <v>4</v>
      </c>
      <c r="H5552" s="8">
        <v>3.25</v>
      </c>
      <c r="I5552" s="4">
        <v>0</v>
      </c>
    </row>
    <row r="5553" spans="1:9" x14ac:dyDescent="0.2">
      <c r="A5553" s="2">
        <v>3</v>
      </c>
      <c r="B5553" s="1" t="s">
        <v>304</v>
      </c>
      <c r="C5553" s="4">
        <v>15</v>
      </c>
      <c r="D5553" s="8">
        <v>5.21</v>
      </c>
      <c r="E5553" s="4">
        <v>14</v>
      </c>
      <c r="F5553" s="8">
        <v>9.2100000000000009</v>
      </c>
      <c r="G5553" s="4">
        <v>1</v>
      </c>
      <c r="H5553" s="8">
        <v>0.81</v>
      </c>
      <c r="I5553" s="4">
        <v>0</v>
      </c>
    </row>
    <row r="5554" spans="1:9" x14ac:dyDescent="0.2">
      <c r="A5554" s="2">
        <v>4</v>
      </c>
      <c r="B5554" s="1" t="s">
        <v>301</v>
      </c>
      <c r="C5554" s="4">
        <v>14</v>
      </c>
      <c r="D5554" s="8">
        <v>4.8600000000000003</v>
      </c>
      <c r="E5554" s="4">
        <v>13</v>
      </c>
      <c r="F5554" s="8">
        <v>8.5500000000000007</v>
      </c>
      <c r="G5554" s="4">
        <v>1</v>
      </c>
      <c r="H5554" s="8">
        <v>0.81</v>
      </c>
      <c r="I5554" s="4">
        <v>0</v>
      </c>
    </row>
    <row r="5555" spans="1:9" x14ac:dyDescent="0.2">
      <c r="A5555" s="2">
        <v>5</v>
      </c>
      <c r="B5555" s="1" t="s">
        <v>300</v>
      </c>
      <c r="C5555" s="4">
        <v>11</v>
      </c>
      <c r="D5555" s="8">
        <v>3.82</v>
      </c>
      <c r="E5555" s="4">
        <v>9</v>
      </c>
      <c r="F5555" s="8">
        <v>5.92</v>
      </c>
      <c r="G5555" s="4">
        <v>2</v>
      </c>
      <c r="H5555" s="8">
        <v>1.63</v>
      </c>
      <c r="I5555" s="4">
        <v>0</v>
      </c>
    </row>
    <row r="5556" spans="1:9" x14ac:dyDescent="0.2">
      <c r="A5556" s="2">
        <v>6</v>
      </c>
      <c r="B5556" s="1" t="s">
        <v>299</v>
      </c>
      <c r="C5556" s="4">
        <v>10</v>
      </c>
      <c r="D5556" s="8">
        <v>3.47</v>
      </c>
      <c r="E5556" s="4">
        <v>8</v>
      </c>
      <c r="F5556" s="8">
        <v>5.26</v>
      </c>
      <c r="G5556" s="4">
        <v>2</v>
      </c>
      <c r="H5556" s="8">
        <v>1.63</v>
      </c>
      <c r="I5556" s="4">
        <v>0</v>
      </c>
    </row>
    <row r="5557" spans="1:9" x14ac:dyDescent="0.2">
      <c r="A5557" s="2">
        <v>6</v>
      </c>
      <c r="B5557" s="1" t="s">
        <v>303</v>
      </c>
      <c r="C5557" s="4">
        <v>10</v>
      </c>
      <c r="D5557" s="8">
        <v>3.47</v>
      </c>
      <c r="E5557" s="4">
        <v>10</v>
      </c>
      <c r="F5557" s="8">
        <v>6.58</v>
      </c>
      <c r="G5557" s="4">
        <v>0</v>
      </c>
      <c r="H5557" s="8">
        <v>0</v>
      </c>
      <c r="I5557" s="4">
        <v>0</v>
      </c>
    </row>
    <row r="5558" spans="1:9" x14ac:dyDescent="0.2">
      <c r="A5558" s="2">
        <v>8</v>
      </c>
      <c r="B5558" s="1" t="s">
        <v>364</v>
      </c>
      <c r="C5558" s="4">
        <v>7</v>
      </c>
      <c r="D5558" s="8">
        <v>2.4300000000000002</v>
      </c>
      <c r="E5558" s="4">
        <v>0</v>
      </c>
      <c r="F5558" s="8">
        <v>0</v>
      </c>
      <c r="G5558" s="4">
        <v>6</v>
      </c>
      <c r="H5558" s="8">
        <v>4.88</v>
      </c>
      <c r="I5558" s="4">
        <v>0</v>
      </c>
    </row>
    <row r="5559" spans="1:9" x14ac:dyDescent="0.2">
      <c r="A5559" s="2">
        <v>8</v>
      </c>
      <c r="B5559" s="1" t="s">
        <v>302</v>
      </c>
      <c r="C5559" s="4">
        <v>7</v>
      </c>
      <c r="D5559" s="8">
        <v>2.4300000000000002</v>
      </c>
      <c r="E5559" s="4">
        <v>6</v>
      </c>
      <c r="F5559" s="8">
        <v>3.95</v>
      </c>
      <c r="G5559" s="4">
        <v>1</v>
      </c>
      <c r="H5559" s="8">
        <v>0.81</v>
      </c>
      <c r="I5559" s="4">
        <v>0</v>
      </c>
    </row>
    <row r="5560" spans="1:9" x14ac:dyDescent="0.2">
      <c r="A5560" s="2">
        <v>10</v>
      </c>
      <c r="B5560" s="1" t="s">
        <v>297</v>
      </c>
      <c r="C5560" s="4">
        <v>6</v>
      </c>
      <c r="D5560" s="8">
        <v>2.08</v>
      </c>
      <c r="E5560" s="4">
        <v>2</v>
      </c>
      <c r="F5560" s="8">
        <v>1.32</v>
      </c>
      <c r="G5560" s="4">
        <v>3</v>
      </c>
      <c r="H5560" s="8">
        <v>2.44</v>
      </c>
      <c r="I5560" s="4">
        <v>0</v>
      </c>
    </row>
    <row r="5561" spans="1:9" x14ac:dyDescent="0.2">
      <c r="A5561" s="2">
        <v>10</v>
      </c>
      <c r="B5561" s="1" t="s">
        <v>411</v>
      </c>
      <c r="C5561" s="4">
        <v>6</v>
      </c>
      <c r="D5561" s="8">
        <v>2.08</v>
      </c>
      <c r="E5561" s="4">
        <v>5</v>
      </c>
      <c r="F5561" s="8">
        <v>3.29</v>
      </c>
      <c r="G5561" s="4">
        <v>1</v>
      </c>
      <c r="H5561" s="8">
        <v>0.81</v>
      </c>
      <c r="I5561" s="4">
        <v>0</v>
      </c>
    </row>
    <row r="5562" spans="1:9" x14ac:dyDescent="0.2">
      <c r="A5562" s="2">
        <v>12</v>
      </c>
      <c r="B5562" s="1" t="s">
        <v>293</v>
      </c>
      <c r="C5562" s="4">
        <v>5</v>
      </c>
      <c r="D5562" s="8">
        <v>1.74</v>
      </c>
      <c r="E5562" s="4">
        <v>0</v>
      </c>
      <c r="F5562" s="8">
        <v>0</v>
      </c>
      <c r="G5562" s="4">
        <v>5</v>
      </c>
      <c r="H5562" s="8">
        <v>4.07</v>
      </c>
      <c r="I5562" s="4">
        <v>0</v>
      </c>
    </row>
    <row r="5563" spans="1:9" x14ac:dyDescent="0.2">
      <c r="A5563" s="2">
        <v>12</v>
      </c>
      <c r="B5563" s="1" t="s">
        <v>334</v>
      </c>
      <c r="C5563" s="4">
        <v>5</v>
      </c>
      <c r="D5563" s="8">
        <v>1.74</v>
      </c>
      <c r="E5563" s="4">
        <v>4</v>
      </c>
      <c r="F5563" s="8">
        <v>2.63</v>
      </c>
      <c r="G5563" s="4">
        <v>1</v>
      </c>
      <c r="H5563" s="8">
        <v>0.81</v>
      </c>
      <c r="I5563" s="4">
        <v>0</v>
      </c>
    </row>
    <row r="5564" spans="1:9" x14ac:dyDescent="0.2">
      <c r="A5564" s="2">
        <v>12</v>
      </c>
      <c r="B5564" s="1" t="s">
        <v>318</v>
      </c>
      <c r="C5564" s="4">
        <v>5</v>
      </c>
      <c r="D5564" s="8">
        <v>1.74</v>
      </c>
      <c r="E5564" s="4">
        <v>0</v>
      </c>
      <c r="F5564" s="8">
        <v>0</v>
      </c>
      <c r="G5564" s="4">
        <v>5</v>
      </c>
      <c r="H5564" s="8">
        <v>4.07</v>
      </c>
      <c r="I5564" s="4">
        <v>0</v>
      </c>
    </row>
    <row r="5565" spans="1:9" x14ac:dyDescent="0.2">
      <c r="A5565" s="2">
        <v>15</v>
      </c>
      <c r="B5565" s="1" t="s">
        <v>346</v>
      </c>
      <c r="C5565" s="4">
        <v>4</v>
      </c>
      <c r="D5565" s="8">
        <v>1.39</v>
      </c>
      <c r="E5565" s="4">
        <v>0</v>
      </c>
      <c r="F5565" s="8">
        <v>0</v>
      </c>
      <c r="G5565" s="4">
        <v>4</v>
      </c>
      <c r="H5565" s="8">
        <v>3.25</v>
      </c>
      <c r="I5565" s="4">
        <v>0</v>
      </c>
    </row>
    <row r="5566" spans="1:9" x14ac:dyDescent="0.2">
      <c r="A5566" s="2">
        <v>15</v>
      </c>
      <c r="B5566" s="1" t="s">
        <v>329</v>
      </c>
      <c r="C5566" s="4">
        <v>4</v>
      </c>
      <c r="D5566" s="8">
        <v>1.39</v>
      </c>
      <c r="E5566" s="4">
        <v>2</v>
      </c>
      <c r="F5566" s="8">
        <v>1.32</v>
      </c>
      <c r="G5566" s="4">
        <v>2</v>
      </c>
      <c r="H5566" s="8">
        <v>1.63</v>
      </c>
      <c r="I5566" s="4">
        <v>0</v>
      </c>
    </row>
    <row r="5567" spans="1:9" x14ac:dyDescent="0.2">
      <c r="A5567" s="2">
        <v>15</v>
      </c>
      <c r="B5567" s="1" t="s">
        <v>292</v>
      </c>
      <c r="C5567" s="4">
        <v>4</v>
      </c>
      <c r="D5567" s="8">
        <v>1.39</v>
      </c>
      <c r="E5567" s="4">
        <v>2</v>
      </c>
      <c r="F5567" s="8">
        <v>1.32</v>
      </c>
      <c r="G5567" s="4">
        <v>2</v>
      </c>
      <c r="H5567" s="8">
        <v>1.63</v>
      </c>
      <c r="I5567" s="4">
        <v>0</v>
      </c>
    </row>
    <row r="5568" spans="1:9" x14ac:dyDescent="0.2">
      <c r="A5568" s="2">
        <v>15</v>
      </c>
      <c r="B5568" s="1" t="s">
        <v>335</v>
      </c>
      <c r="C5568" s="4">
        <v>4</v>
      </c>
      <c r="D5568" s="8">
        <v>1.39</v>
      </c>
      <c r="E5568" s="4">
        <v>1</v>
      </c>
      <c r="F5568" s="8">
        <v>0.66</v>
      </c>
      <c r="G5568" s="4">
        <v>3</v>
      </c>
      <c r="H5568" s="8">
        <v>2.44</v>
      </c>
      <c r="I5568" s="4">
        <v>0</v>
      </c>
    </row>
    <row r="5569" spans="1:9" x14ac:dyDescent="0.2">
      <c r="A5569" s="2">
        <v>15</v>
      </c>
      <c r="B5569" s="1" t="s">
        <v>294</v>
      </c>
      <c r="C5569" s="4">
        <v>4</v>
      </c>
      <c r="D5569" s="8">
        <v>1.39</v>
      </c>
      <c r="E5569" s="4">
        <v>2</v>
      </c>
      <c r="F5569" s="8">
        <v>1.32</v>
      </c>
      <c r="G5569" s="4">
        <v>2</v>
      </c>
      <c r="H5569" s="8">
        <v>1.63</v>
      </c>
      <c r="I5569" s="4">
        <v>0</v>
      </c>
    </row>
    <row r="5570" spans="1:9" x14ac:dyDescent="0.2">
      <c r="A5570" s="2">
        <v>15</v>
      </c>
      <c r="B5570" s="1" t="s">
        <v>419</v>
      </c>
      <c r="C5570" s="4">
        <v>4</v>
      </c>
      <c r="D5570" s="8">
        <v>1.39</v>
      </c>
      <c r="E5570" s="4">
        <v>4</v>
      </c>
      <c r="F5570" s="8">
        <v>2.63</v>
      </c>
      <c r="G5570" s="4">
        <v>0</v>
      </c>
      <c r="H5570" s="8">
        <v>0</v>
      </c>
      <c r="I5570" s="4">
        <v>0</v>
      </c>
    </row>
    <row r="5571" spans="1:9" x14ac:dyDescent="0.2">
      <c r="A5571" s="2">
        <v>15</v>
      </c>
      <c r="B5571" s="1" t="s">
        <v>347</v>
      </c>
      <c r="C5571" s="4">
        <v>4</v>
      </c>
      <c r="D5571" s="8">
        <v>1.39</v>
      </c>
      <c r="E5571" s="4">
        <v>0</v>
      </c>
      <c r="F5571" s="8">
        <v>0</v>
      </c>
      <c r="G5571" s="4">
        <v>4</v>
      </c>
      <c r="H5571" s="8">
        <v>3.25</v>
      </c>
      <c r="I5571" s="4">
        <v>0</v>
      </c>
    </row>
    <row r="5572" spans="1:9" x14ac:dyDescent="0.2">
      <c r="A5572" s="1"/>
      <c r="C5572" s="4"/>
      <c r="D5572" s="8"/>
      <c r="E5572" s="4"/>
      <c r="F5572" s="8"/>
      <c r="G5572" s="4"/>
      <c r="H5572" s="8"/>
      <c r="I5572" s="4"/>
    </row>
    <row r="5573" spans="1:9" x14ac:dyDescent="0.2">
      <c r="A5573" s="1" t="s">
        <v>184</v>
      </c>
      <c r="C5573" s="4"/>
      <c r="D5573" s="8"/>
      <c r="E5573" s="4"/>
      <c r="F5573" s="8"/>
      <c r="G5573" s="4"/>
      <c r="H5573" s="8"/>
      <c r="I5573" s="4"/>
    </row>
    <row r="5574" spans="1:9" x14ac:dyDescent="0.2">
      <c r="A5574" s="2">
        <v>1</v>
      </c>
      <c r="B5574" s="1" t="s">
        <v>299</v>
      </c>
      <c r="C5574" s="4">
        <v>5</v>
      </c>
      <c r="D5574" s="8">
        <v>8.6199999999999992</v>
      </c>
      <c r="E5574" s="4">
        <v>4</v>
      </c>
      <c r="F5574" s="8">
        <v>18.18</v>
      </c>
      <c r="G5574" s="4">
        <v>1</v>
      </c>
      <c r="H5574" s="8">
        <v>3.03</v>
      </c>
      <c r="I5574" s="4">
        <v>0</v>
      </c>
    </row>
    <row r="5575" spans="1:9" x14ac:dyDescent="0.2">
      <c r="A5575" s="2">
        <v>2</v>
      </c>
      <c r="B5575" s="1" t="s">
        <v>339</v>
      </c>
      <c r="C5575" s="4">
        <v>4</v>
      </c>
      <c r="D5575" s="8">
        <v>6.9</v>
      </c>
      <c r="E5575" s="4">
        <v>2</v>
      </c>
      <c r="F5575" s="8">
        <v>9.09</v>
      </c>
      <c r="G5575" s="4">
        <v>2</v>
      </c>
      <c r="H5575" s="8">
        <v>6.06</v>
      </c>
      <c r="I5575" s="4">
        <v>0</v>
      </c>
    </row>
    <row r="5576" spans="1:9" x14ac:dyDescent="0.2">
      <c r="A5576" s="2">
        <v>3</v>
      </c>
      <c r="B5576" s="1" t="s">
        <v>302</v>
      </c>
      <c r="C5576" s="4">
        <v>3</v>
      </c>
      <c r="D5576" s="8">
        <v>5.17</v>
      </c>
      <c r="E5576" s="4">
        <v>2</v>
      </c>
      <c r="F5576" s="8">
        <v>9.09</v>
      </c>
      <c r="G5576" s="4">
        <v>1</v>
      </c>
      <c r="H5576" s="8">
        <v>3.03</v>
      </c>
      <c r="I5576" s="4">
        <v>0</v>
      </c>
    </row>
    <row r="5577" spans="1:9" x14ac:dyDescent="0.2">
      <c r="A5577" s="2">
        <v>4</v>
      </c>
      <c r="B5577" s="1" t="s">
        <v>288</v>
      </c>
      <c r="C5577" s="4">
        <v>2</v>
      </c>
      <c r="D5577" s="8">
        <v>3.45</v>
      </c>
      <c r="E5577" s="4">
        <v>0</v>
      </c>
      <c r="F5577" s="8">
        <v>0</v>
      </c>
      <c r="G5577" s="4">
        <v>2</v>
      </c>
      <c r="H5577" s="8">
        <v>6.06</v>
      </c>
      <c r="I5577" s="4">
        <v>0</v>
      </c>
    </row>
    <row r="5578" spans="1:9" x14ac:dyDescent="0.2">
      <c r="A5578" s="2">
        <v>4</v>
      </c>
      <c r="B5578" s="1" t="s">
        <v>378</v>
      </c>
      <c r="C5578" s="4">
        <v>2</v>
      </c>
      <c r="D5578" s="8">
        <v>3.45</v>
      </c>
      <c r="E5578" s="4">
        <v>0</v>
      </c>
      <c r="F5578" s="8">
        <v>0</v>
      </c>
      <c r="G5578" s="4">
        <v>2</v>
      </c>
      <c r="H5578" s="8">
        <v>6.06</v>
      </c>
      <c r="I5578" s="4">
        <v>0</v>
      </c>
    </row>
    <row r="5579" spans="1:9" x14ac:dyDescent="0.2">
      <c r="A5579" s="2">
        <v>4</v>
      </c>
      <c r="B5579" s="1" t="s">
        <v>324</v>
      </c>
      <c r="C5579" s="4">
        <v>2</v>
      </c>
      <c r="D5579" s="8">
        <v>3.45</v>
      </c>
      <c r="E5579" s="4">
        <v>0</v>
      </c>
      <c r="F5579" s="8">
        <v>0</v>
      </c>
      <c r="G5579" s="4">
        <v>2</v>
      </c>
      <c r="H5579" s="8">
        <v>6.06</v>
      </c>
      <c r="I5579" s="4">
        <v>0</v>
      </c>
    </row>
    <row r="5580" spans="1:9" x14ac:dyDescent="0.2">
      <c r="A5580" s="2">
        <v>4</v>
      </c>
      <c r="B5580" s="1" t="s">
        <v>372</v>
      </c>
      <c r="C5580" s="4">
        <v>2</v>
      </c>
      <c r="D5580" s="8">
        <v>3.45</v>
      </c>
      <c r="E5580" s="4">
        <v>0</v>
      </c>
      <c r="F5580" s="8">
        <v>0</v>
      </c>
      <c r="G5580" s="4">
        <v>2</v>
      </c>
      <c r="H5580" s="8">
        <v>6.06</v>
      </c>
      <c r="I5580" s="4">
        <v>0</v>
      </c>
    </row>
    <row r="5581" spans="1:9" x14ac:dyDescent="0.2">
      <c r="A5581" s="2">
        <v>4</v>
      </c>
      <c r="B5581" s="1" t="s">
        <v>334</v>
      </c>
      <c r="C5581" s="4">
        <v>2</v>
      </c>
      <c r="D5581" s="8">
        <v>3.45</v>
      </c>
      <c r="E5581" s="4">
        <v>2</v>
      </c>
      <c r="F5581" s="8">
        <v>9.09</v>
      </c>
      <c r="G5581" s="4">
        <v>0</v>
      </c>
      <c r="H5581" s="8">
        <v>0</v>
      </c>
      <c r="I5581" s="4">
        <v>0</v>
      </c>
    </row>
    <row r="5582" spans="1:9" x14ac:dyDescent="0.2">
      <c r="A5582" s="2">
        <v>4</v>
      </c>
      <c r="B5582" s="1" t="s">
        <v>304</v>
      </c>
      <c r="C5582" s="4">
        <v>2</v>
      </c>
      <c r="D5582" s="8">
        <v>3.45</v>
      </c>
      <c r="E5582" s="4">
        <v>2</v>
      </c>
      <c r="F5582" s="8">
        <v>9.09</v>
      </c>
      <c r="G5582" s="4">
        <v>0</v>
      </c>
      <c r="H5582" s="8">
        <v>0</v>
      </c>
      <c r="I5582" s="4">
        <v>0</v>
      </c>
    </row>
    <row r="5583" spans="1:9" x14ac:dyDescent="0.2">
      <c r="A5583" s="2">
        <v>4</v>
      </c>
      <c r="B5583" s="1" t="s">
        <v>352</v>
      </c>
      <c r="C5583" s="4">
        <v>2</v>
      </c>
      <c r="D5583" s="8">
        <v>3.45</v>
      </c>
      <c r="E5583" s="4">
        <v>0</v>
      </c>
      <c r="F5583" s="8">
        <v>0</v>
      </c>
      <c r="G5583" s="4">
        <v>2</v>
      </c>
      <c r="H5583" s="8">
        <v>6.06</v>
      </c>
      <c r="I5583" s="4">
        <v>0</v>
      </c>
    </row>
    <row r="5584" spans="1:9" x14ac:dyDescent="0.2">
      <c r="A5584" s="2">
        <v>4</v>
      </c>
      <c r="B5584" s="1" t="s">
        <v>305</v>
      </c>
      <c r="C5584" s="4">
        <v>2</v>
      </c>
      <c r="D5584" s="8">
        <v>3.45</v>
      </c>
      <c r="E5584" s="4">
        <v>2</v>
      </c>
      <c r="F5584" s="8">
        <v>9.09</v>
      </c>
      <c r="G5584" s="4">
        <v>0</v>
      </c>
      <c r="H5584" s="8">
        <v>0</v>
      </c>
      <c r="I5584" s="4">
        <v>0</v>
      </c>
    </row>
    <row r="5585" spans="1:9" x14ac:dyDescent="0.2">
      <c r="A5585" s="2">
        <v>12</v>
      </c>
      <c r="B5585" s="1" t="s">
        <v>427</v>
      </c>
      <c r="C5585" s="4">
        <v>1</v>
      </c>
      <c r="D5585" s="8">
        <v>1.72</v>
      </c>
      <c r="E5585" s="4">
        <v>0</v>
      </c>
      <c r="F5585" s="8">
        <v>0</v>
      </c>
      <c r="G5585" s="4">
        <v>1</v>
      </c>
      <c r="H5585" s="8">
        <v>3.03</v>
      </c>
      <c r="I5585" s="4">
        <v>0</v>
      </c>
    </row>
    <row r="5586" spans="1:9" x14ac:dyDescent="0.2">
      <c r="A5586" s="2">
        <v>12</v>
      </c>
      <c r="B5586" s="1" t="s">
        <v>289</v>
      </c>
      <c r="C5586" s="4">
        <v>1</v>
      </c>
      <c r="D5586" s="8">
        <v>1.72</v>
      </c>
      <c r="E5586" s="4">
        <v>1</v>
      </c>
      <c r="F5586" s="8">
        <v>4.55</v>
      </c>
      <c r="G5586" s="4">
        <v>0</v>
      </c>
      <c r="H5586" s="8">
        <v>0</v>
      </c>
      <c r="I5586" s="4">
        <v>0</v>
      </c>
    </row>
    <row r="5587" spans="1:9" x14ac:dyDescent="0.2">
      <c r="A5587" s="2">
        <v>12</v>
      </c>
      <c r="B5587" s="1" t="s">
        <v>413</v>
      </c>
      <c r="C5587" s="4">
        <v>1</v>
      </c>
      <c r="D5587" s="8">
        <v>1.72</v>
      </c>
      <c r="E5587" s="4">
        <v>0</v>
      </c>
      <c r="F5587" s="8">
        <v>0</v>
      </c>
      <c r="G5587" s="4">
        <v>1</v>
      </c>
      <c r="H5587" s="8">
        <v>3.03</v>
      </c>
      <c r="I5587" s="4">
        <v>0</v>
      </c>
    </row>
    <row r="5588" spans="1:9" x14ac:dyDescent="0.2">
      <c r="A5588" s="2">
        <v>12</v>
      </c>
      <c r="B5588" s="1" t="s">
        <v>384</v>
      </c>
      <c r="C5588" s="4">
        <v>1</v>
      </c>
      <c r="D5588" s="8">
        <v>1.72</v>
      </c>
      <c r="E5588" s="4">
        <v>0</v>
      </c>
      <c r="F5588" s="8">
        <v>0</v>
      </c>
      <c r="G5588" s="4">
        <v>1</v>
      </c>
      <c r="H5588" s="8">
        <v>3.03</v>
      </c>
      <c r="I5588" s="4">
        <v>0</v>
      </c>
    </row>
    <row r="5589" spans="1:9" x14ac:dyDescent="0.2">
      <c r="A5589" s="2">
        <v>12</v>
      </c>
      <c r="B5589" s="1" t="s">
        <v>361</v>
      </c>
      <c r="C5589" s="4">
        <v>1</v>
      </c>
      <c r="D5589" s="8">
        <v>1.72</v>
      </c>
      <c r="E5589" s="4">
        <v>0</v>
      </c>
      <c r="F5589" s="8">
        <v>0</v>
      </c>
      <c r="G5589" s="4">
        <v>0</v>
      </c>
      <c r="H5589" s="8">
        <v>0</v>
      </c>
      <c r="I5589" s="4">
        <v>0</v>
      </c>
    </row>
    <row r="5590" spans="1:9" x14ac:dyDescent="0.2">
      <c r="A5590" s="2">
        <v>12</v>
      </c>
      <c r="B5590" s="1" t="s">
        <v>524</v>
      </c>
      <c r="C5590" s="4">
        <v>1</v>
      </c>
      <c r="D5590" s="8">
        <v>1.72</v>
      </c>
      <c r="E5590" s="4">
        <v>0</v>
      </c>
      <c r="F5590" s="8">
        <v>0</v>
      </c>
      <c r="G5590" s="4">
        <v>1</v>
      </c>
      <c r="H5590" s="8">
        <v>3.03</v>
      </c>
      <c r="I5590" s="4">
        <v>0</v>
      </c>
    </row>
    <row r="5591" spans="1:9" x14ac:dyDescent="0.2">
      <c r="A5591" s="2">
        <v>12</v>
      </c>
      <c r="B5591" s="1" t="s">
        <v>364</v>
      </c>
      <c r="C5591" s="4">
        <v>1</v>
      </c>
      <c r="D5591" s="8">
        <v>1.72</v>
      </c>
      <c r="E5591" s="4">
        <v>0</v>
      </c>
      <c r="F5591" s="8">
        <v>0</v>
      </c>
      <c r="G5591" s="4">
        <v>1</v>
      </c>
      <c r="H5591" s="8">
        <v>3.03</v>
      </c>
      <c r="I5591" s="4">
        <v>0</v>
      </c>
    </row>
    <row r="5592" spans="1:9" x14ac:dyDescent="0.2">
      <c r="A5592" s="2">
        <v>12</v>
      </c>
      <c r="B5592" s="1" t="s">
        <v>346</v>
      </c>
      <c r="C5592" s="4">
        <v>1</v>
      </c>
      <c r="D5592" s="8">
        <v>1.72</v>
      </c>
      <c r="E5592" s="4">
        <v>0</v>
      </c>
      <c r="F5592" s="8">
        <v>0</v>
      </c>
      <c r="G5592" s="4">
        <v>1</v>
      </c>
      <c r="H5592" s="8">
        <v>3.03</v>
      </c>
      <c r="I5592" s="4">
        <v>0</v>
      </c>
    </row>
    <row r="5593" spans="1:9" x14ac:dyDescent="0.2">
      <c r="A5593" s="2">
        <v>12</v>
      </c>
      <c r="B5593" s="1" t="s">
        <v>314</v>
      </c>
      <c r="C5593" s="4">
        <v>1</v>
      </c>
      <c r="D5593" s="8">
        <v>1.72</v>
      </c>
      <c r="E5593" s="4">
        <v>1</v>
      </c>
      <c r="F5593" s="8">
        <v>4.55</v>
      </c>
      <c r="G5593" s="4">
        <v>0</v>
      </c>
      <c r="H5593" s="8">
        <v>0</v>
      </c>
      <c r="I5593" s="4">
        <v>0</v>
      </c>
    </row>
    <row r="5594" spans="1:9" x14ac:dyDescent="0.2">
      <c r="A5594" s="2">
        <v>12</v>
      </c>
      <c r="B5594" s="1" t="s">
        <v>354</v>
      </c>
      <c r="C5594" s="4">
        <v>1</v>
      </c>
      <c r="D5594" s="8">
        <v>1.72</v>
      </c>
      <c r="E5594" s="4">
        <v>0</v>
      </c>
      <c r="F5594" s="8">
        <v>0</v>
      </c>
      <c r="G5594" s="4">
        <v>1</v>
      </c>
      <c r="H5594" s="8">
        <v>3.03</v>
      </c>
      <c r="I5594" s="4">
        <v>0</v>
      </c>
    </row>
    <row r="5595" spans="1:9" x14ac:dyDescent="0.2">
      <c r="A5595" s="2">
        <v>12</v>
      </c>
      <c r="B5595" s="1" t="s">
        <v>336</v>
      </c>
      <c r="C5595" s="4">
        <v>1</v>
      </c>
      <c r="D5595" s="8">
        <v>1.72</v>
      </c>
      <c r="E5595" s="4">
        <v>0</v>
      </c>
      <c r="F5595" s="8">
        <v>0</v>
      </c>
      <c r="G5595" s="4">
        <v>1</v>
      </c>
      <c r="H5595" s="8">
        <v>3.03</v>
      </c>
      <c r="I5595" s="4">
        <v>0</v>
      </c>
    </row>
    <row r="5596" spans="1:9" x14ac:dyDescent="0.2">
      <c r="A5596" s="2">
        <v>12</v>
      </c>
      <c r="B5596" s="1" t="s">
        <v>292</v>
      </c>
      <c r="C5596" s="4">
        <v>1</v>
      </c>
      <c r="D5596" s="8">
        <v>1.72</v>
      </c>
      <c r="E5596" s="4">
        <v>1</v>
      </c>
      <c r="F5596" s="8">
        <v>4.55</v>
      </c>
      <c r="G5596" s="4">
        <v>0</v>
      </c>
      <c r="H5596" s="8">
        <v>0</v>
      </c>
      <c r="I5596" s="4">
        <v>0</v>
      </c>
    </row>
    <row r="5597" spans="1:9" x14ac:dyDescent="0.2">
      <c r="A5597" s="2">
        <v>12</v>
      </c>
      <c r="B5597" s="1" t="s">
        <v>293</v>
      </c>
      <c r="C5597" s="4">
        <v>1</v>
      </c>
      <c r="D5597" s="8">
        <v>1.72</v>
      </c>
      <c r="E5597" s="4">
        <v>0</v>
      </c>
      <c r="F5597" s="8">
        <v>0</v>
      </c>
      <c r="G5597" s="4">
        <v>1</v>
      </c>
      <c r="H5597" s="8">
        <v>3.03</v>
      </c>
      <c r="I5597" s="4">
        <v>0</v>
      </c>
    </row>
    <row r="5598" spans="1:9" x14ac:dyDescent="0.2">
      <c r="A5598" s="2">
        <v>12</v>
      </c>
      <c r="B5598" s="1" t="s">
        <v>330</v>
      </c>
      <c r="C5598" s="4">
        <v>1</v>
      </c>
      <c r="D5598" s="8">
        <v>1.72</v>
      </c>
      <c r="E5598" s="4">
        <v>0</v>
      </c>
      <c r="F5598" s="8">
        <v>0</v>
      </c>
      <c r="G5598" s="4">
        <v>1</v>
      </c>
      <c r="H5598" s="8">
        <v>3.03</v>
      </c>
      <c r="I5598" s="4">
        <v>0</v>
      </c>
    </row>
    <row r="5599" spans="1:9" x14ac:dyDescent="0.2">
      <c r="A5599" s="2">
        <v>12</v>
      </c>
      <c r="B5599" s="1" t="s">
        <v>295</v>
      </c>
      <c r="C5599" s="4">
        <v>1</v>
      </c>
      <c r="D5599" s="8">
        <v>1.72</v>
      </c>
      <c r="E5599" s="4">
        <v>1</v>
      </c>
      <c r="F5599" s="8">
        <v>4.55</v>
      </c>
      <c r="G5599" s="4">
        <v>0</v>
      </c>
      <c r="H5599" s="8">
        <v>0</v>
      </c>
      <c r="I5599" s="4">
        <v>0</v>
      </c>
    </row>
    <row r="5600" spans="1:9" x14ac:dyDescent="0.2">
      <c r="A5600" s="2">
        <v>12</v>
      </c>
      <c r="B5600" s="1" t="s">
        <v>296</v>
      </c>
      <c r="C5600" s="4">
        <v>1</v>
      </c>
      <c r="D5600" s="8">
        <v>1.72</v>
      </c>
      <c r="E5600" s="4">
        <v>0</v>
      </c>
      <c r="F5600" s="8">
        <v>0</v>
      </c>
      <c r="G5600" s="4">
        <v>1</v>
      </c>
      <c r="H5600" s="8">
        <v>3.03</v>
      </c>
      <c r="I5600" s="4">
        <v>0</v>
      </c>
    </row>
    <row r="5601" spans="1:9" x14ac:dyDescent="0.2">
      <c r="A5601" s="2">
        <v>12</v>
      </c>
      <c r="B5601" s="1" t="s">
        <v>403</v>
      </c>
      <c r="C5601" s="4">
        <v>1</v>
      </c>
      <c r="D5601" s="8">
        <v>1.72</v>
      </c>
      <c r="E5601" s="4">
        <v>0</v>
      </c>
      <c r="F5601" s="8">
        <v>0</v>
      </c>
      <c r="G5601" s="4">
        <v>1</v>
      </c>
      <c r="H5601" s="8">
        <v>3.03</v>
      </c>
      <c r="I5601" s="4">
        <v>0</v>
      </c>
    </row>
    <row r="5602" spans="1:9" x14ac:dyDescent="0.2">
      <c r="A5602" s="2">
        <v>12</v>
      </c>
      <c r="B5602" s="1" t="s">
        <v>495</v>
      </c>
      <c r="C5602" s="4">
        <v>1</v>
      </c>
      <c r="D5602" s="8">
        <v>1.72</v>
      </c>
      <c r="E5602" s="4">
        <v>0</v>
      </c>
      <c r="F5602" s="8">
        <v>0</v>
      </c>
      <c r="G5602" s="4">
        <v>1</v>
      </c>
      <c r="H5602" s="8">
        <v>3.03</v>
      </c>
      <c r="I5602" s="4">
        <v>0</v>
      </c>
    </row>
    <row r="5603" spans="1:9" x14ac:dyDescent="0.2">
      <c r="A5603" s="2">
        <v>12</v>
      </c>
      <c r="B5603" s="1" t="s">
        <v>429</v>
      </c>
      <c r="C5603" s="4">
        <v>1</v>
      </c>
      <c r="D5603" s="8">
        <v>1.72</v>
      </c>
      <c r="E5603" s="4">
        <v>0</v>
      </c>
      <c r="F5603" s="8">
        <v>0</v>
      </c>
      <c r="G5603" s="4">
        <v>1</v>
      </c>
      <c r="H5603" s="8">
        <v>3.03</v>
      </c>
      <c r="I5603" s="4">
        <v>0</v>
      </c>
    </row>
    <row r="5604" spans="1:9" x14ac:dyDescent="0.2">
      <c r="A5604" s="2">
        <v>12</v>
      </c>
      <c r="B5604" s="1" t="s">
        <v>300</v>
      </c>
      <c r="C5604" s="4">
        <v>1</v>
      </c>
      <c r="D5604" s="8">
        <v>1.72</v>
      </c>
      <c r="E5604" s="4">
        <v>1</v>
      </c>
      <c r="F5604" s="8">
        <v>4.55</v>
      </c>
      <c r="G5604" s="4">
        <v>0</v>
      </c>
      <c r="H5604" s="8">
        <v>0</v>
      </c>
      <c r="I5604" s="4">
        <v>0</v>
      </c>
    </row>
    <row r="5605" spans="1:9" x14ac:dyDescent="0.2">
      <c r="A5605" s="2">
        <v>12</v>
      </c>
      <c r="B5605" s="1" t="s">
        <v>303</v>
      </c>
      <c r="C5605" s="4">
        <v>1</v>
      </c>
      <c r="D5605" s="8">
        <v>1.72</v>
      </c>
      <c r="E5605" s="4">
        <v>1</v>
      </c>
      <c r="F5605" s="8">
        <v>4.55</v>
      </c>
      <c r="G5605" s="4">
        <v>0</v>
      </c>
      <c r="H5605" s="8">
        <v>0</v>
      </c>
      <c r="I5605" s="4">
        <v>0</v>
      </c>
    </row>
    <row r="5606" spans="1:9" x14ac:dyDescent="0.2">
      <c r="A5606" s="2">
        <v>12</v>
      </c>
      <c r="B5606" s="1" t="s">
        <v>391</v>
      </c>
      <c r="C5606" s="4">
        <v>1</v>
      </c>
      <c r="D5606" s="8">
        <v>1.72</v>
      </c>
      <c r="E5606" s="4">
        <v>0</v>
      </c>
      <c r="F5606" s="8">
        <v>0</v>
      </c>
      <c r="G5606" s="4">
        <v>1</v>
      </c>
      <c r="H5606" s="8">
        <v>3.03</v>
      </c>
      <c r="I5606" s="4">
        <v>0</v>
      </c>
    </row>
    <row r="5607" spans="1:9" x14ac:dyDescent="0.2">
      <c r="A5607" s="2">
        <v>12</v>
      </c>
      <c r="B5607" s="1" t="s">
        <v>459</v>
      </c>
      <c r="C5607" s="4">
        <v>1</v>
      </c>
      <c r="D5607" s="8">
        <v>1.72</v>
      </c>
      <c r="E5607" s="4">
        <v>0</v>
      </c>
      <c r="F5607" s="8">
        <v>0</v>
      </c>
      <c r="G5607" s="4">
        <v>1</v>
      </c>
      <c r="H5607" s="8">
        <v>3.03</v>
      </c>
      <c r="I5607" s="4">
        <v>0</v>
      </c>
    </row>
    <row r="5608" spans="1:9" x14ac:dyDescent="0.2">
      <c r="A5608" s="2">
        <v>12</v>
      </c>
      <c r="B5608" s="1" t="s">
        <v>411</v>
      </c>
      <c r="C5608" s="4">
        <v>1</v>
      </c>
      <c r="D5608" s="8">
        <v>1.72</v>
      </c>
      <c r="E5608" s="4">
        <v>0</v>
      </c>
      <c r="F5608" s="8">
        <v>0</v>
      </c>
      <c r="G5608" s="4">
        <v>1</v>
      </c>
      <c r="H5608" s="8">
        <v>3.03</v>
      </c>
      <c r="I5608" s="4">
        <v>0</v>
      </c>
    </row>
    <row r="5609" spans="1:9" x14ac:dyDescent="0.2">
      <c r="A5609" s="2">
        <v>12</v>
      </c>
      <c r="B5609" s="1" t="s">
        <v>340</v>
      </c>
      <c r="C5609" s="4">
        <v>1</v>
      </c>
      <c r="D5609" s="8">
        <v>1.72</v>
      </c>
      <c r="E5609" s="4">
        <v>0</v>
      </c>
      <c r="F5609" s="8">
        <v>0</v>
      </c>
      <c r="G5609" s="4">
        <v>0</v>
      </c>
      <c r="H5609" s="8">
        <v>0</v>
      </c>
      <c r="I5609" s="4">
        <v>0</v>
      </c>
    </row>
    <row r="5610" spans="1:9" x14ac:dyDescent="0.2">
      <c r="A5610" s="2">
        <v>12</v>
      </c>
      <c r="B5610" s="1" t="s">
        <v>312</v>
      </c>
      <c r="C5610" s="4">
        <v>1</v>
      </c>
      <c r="D5610" s="8">
        <v>1.72</v>
      </c>
      <c r="E5610" s="4">
        <v>1</v>
      </c>
      <c r="F5610" s="8">
        <v>4.55</v>
      </c>
      <c r="G5610" s="4">
        <v>0</v>
      </c>
      <c r="H5610" s="8">
        <v>0</v>
      </c>
      <c r="I5610" s="4">
        <v>0</v>
      </c>
    </row>
    <row r="5611" spans="1:9" x14ac:dyDescent="0.2">
      <c r="A5611" s="2">
        <v>12</v>
      </c>
      <c r="B5611" s="1" t="s">
        <v>306</v>
      </c>
      <c r="C5611" s="4">
        <v>1</v>
      </c>
      <c r="D5611" s="8">
        <v>1.72</v>
      </c>
      <c r="E5611" s="4">
        <v>0</v>
      </c>
      <c r="F5611" s="8">
        <v>0</v>
      </c>
      <c r="G5611" s="4">
        <v>1</v>
      </c>
      <c r="H5611" s="8">
        <v>3.03</v>
      </c>
      <c r="I5611" s="4">
        <v>0</v>
      </c>
    </row>
    <row r="5612" spans="1:9" x14ac:dyDescent="0.2">
      <c r="A5612" s="2">
        <v>12</v>
      </c>
      <c r="B5612" s="1" t="s">
        <v>331</v>
      </c>
      <c r="C5612" s="4">
        <v>1</v>
      </c>
      <c r="D5612" s="8">
        <v>1.72</v>
      </c>
      <c r="E5612" s="4">
        <v>0</v>
      </c>
      <c r="F5612" s="8">
        <v>0</v>
      </c>
      <c r="G5612" s="4">
        <v>0</v>
      </c>
      <c r="H5612" s="8">
        <v>0</v>
      </c>
      <c r="I5612" s="4">
        <v>0</v>
      </c>
    </row>
    <row r="5613" spans="1:9" x14ac:dyDescent="0.2">
      <c r="A5613" s="2">
        <v>12</v>
      </c>
      <c r="B5613" s="1" t="s">
        <v>369</v>
      </c>
      <c r="C5613" s="4">
        <v>1</v>
      </c>
      <c r="D5613" s="8">
        <v>1.72</v>
      </c>
      <c r="E5613" s="4">
        <v>0</v>
      </c>
      <c r="F5613" s="8">
        <v>0</v>
      </c>
      <c r="G5613" s="4">
        <v>1</v>
      </c>
      <c r="H5613" s="8">
        <v>3.03</v>
      </c>
      <c r="I5613" s="4">
        <v>0</v>
      </c>
    </row>
    <row r="5614" spans="1:9" x14ac:dyDescent="0.2">
      <c r="A5614" s="2">
        <v>12</v>
      </c>
      <c r="B5614" s="1" t="s">
        <v>371</v>
      </c>
      <c r="C5614" s="4">
        <v>1</v>
      </c>
      <c r="D5614" s="8">
        <v>1.72</v>
      </c>
      <c r="E5614" s="4">
        <v>1</v>
      </c>
      <c r="F5614" s="8">
        <v>4.55</v>
      </c>
      <c r="G5614" s="4">
        <v>0</v>
      </c>
      <c r="H5614" s="8">
        <v>0</v>
      </c>
      <c r="I5614" s="4">
        <v>0</v>
      </c>
    </row>
    <row r="5615" spans="1:9" x14ac:dyDescent="0.2">
      <c r="A5615" s="1"/>
      <c r="C5615" s="4"/>
      <c r="D5615" s="8"/>
      <c r="E5615" s="4"/>
      <c r="F5615" s="8"/>
      <c r="G5615" s="4"/>
      <c r="H5615" s="8"/>
      <c r="I5615" s="4"/>
    </row>
    <row r="5616" spans="1:9" x14ac:dyDescent="0.2">
      <c r="A5616" s="1" t="s">
        <v>185</v>
      </c>
      <c r="C5616" s="4"/>
      <c r="D5616" s="8"/>
      <c r="E5616" s="4"/>
      <c r="F5616" s="8"/>
      <c r="G5616" s="4"/>
      <c r="H5616" s="8"/>
      <c r="I5616" s="4"/>
    </row>
    <row r="5617" spans="1:9" x14ac:dyDescent="0.2">
      <c r="A5617" s="2">
        <v>1</v>
      </c>
      <c r="B5617" s="1" t="s">
        <v>304</v>
      </c>
      <c r="C5617" s="4">
        <v>18</v>
      </c>
      <c r="D5617" s="8">
        <v>8.74</v>
      </c>
      <c r="E5617" s="4">
        <v>16</v>
      </c>
      <c r="F5617" s="8">
        <v>16.489999999999998</v>
      </c>
      <c r="G5617" s="4">
        <v>2</v>
      </c>
      <c r="H5617" s="8">
        <v>1.9</v>
      </c>
      <c r="I5617" s="4">
        <v>0</v>
      </c>
    </row>
    <row r="5618" spans="1:9" x14ac:dyDescent="0.2">
      <c r="A5618" s="2">
        <v>2</v>
      </c>
      <c r="B5618" s="1" t="s">
        <v>303</v>
      </c>
      <c r="C5618" s="4">
        <v>10</v>
      </c>
      <c r="D5618" s="8">
        <v>4.8499999999999996</v>
      </c>
      <c r="E5618" s="4">
        <v>9</v>
      </c>
      <c r="F5618" s="8">
        <v>9.2799999999999994</v>
      </c>
      <c r="G5618" s="4">
        <v>1</v>
      </c>
      <c r="H5618" s="8">
        <v>0.95</v>
      </c>
      <c r="I5618" s="4">
        <v>0</v>
      </c>
    </row>
    <row r="5619" spans="1:9" x14ac:dyDescent="0.2">
      <c r="A5619" s="2">
        <v>3</v>
      </c>
      <c r="B5619" s="1" t="s">
        <v>342</v>
      </c>
      <c r="C5619" s="4">
        <v>7</v>
      </c>
      <c r="D5619" s="8">
        <v>3.4</v>
      </c>
      <c r="E5619" s="4">
        <v>2</v>
      </c>
      <c r="F5619" s="8">
        <v>2.06</v>
      </c>
      <c r="G5619" s="4">
        <v>5</v>
      </c>
      <c r="H5619" s="8">
        <v>4.76</v>
      </c>
      <c r="I5619" s="4">
        <v>0</v>
      </c>
    </row>
    <row r="5620" spans="1:9" x14ac:dyDescent="0.2">
      <c r="A5620" s="2">
        <v>3</v>
      </c>
      <c r="B5620" s="1" t="s">
        <v>330</v>
      </c>
      <c r="C5620" s="4">
        <v>7</v>
      </c>
      <c r="D5620" s="8">
        <v>3.4</v>
      </c>
      <c r="E5620" s="4">
        <v>0</v>
      </c>
      <c r="F5620" s="8">
        <v>0</v>
      </c>
      <c r="G5620" s="4">
        <v>7</v>
      </c>
      <c r="H5620" s="8">
        <v>6.67</v>
      </c>
      <c r="I5620" s="4">
        <v>0</v>
      </c>
    </row>
    <row r="5621" spans="1:9" x14ac:dyDescent="0.2">
      <c r="A5621" s="2">
        <v>3</v>
      </c>
      <c r="B5621" s="1" t="s">
        <v>368</v>
      </c>
      <c r="C5621" s="4">
        <v>7</v>
      </c>
      <c r="D5621" s="8">
        <v>3.4</v>
      </c>
      <c r="E5621" s="4">
        <v>0</v>
      </c>
      <c r="F5621" s="8">
        <v>0</v>
      </c>
      <c r="G5621" s="4">
        <v>7</v>
      </c>
      <c r="H5621" s="8">
        <v>6.67</v>
      </c>
      <c r="I5621" s="4">
        <v>0</v>
      </c>
    </row>
    <row r="5622" spans="1:9" x14ac:dyDescent="0.2">
      <c r="A5622" s="2">
        <v>6</v>
      </c>
      <c r="B5622" s="1" t="s">
        <v>288</v>
      </c>
      <c r="C5622" s="4">
        <v>6</v>
      </c>
      <c r="D5622" s="8">
        <v>2.91</v>
      </c>
      <c r="E5622" s="4">
        <v>0</v>
      </c>
      <c r="F5622" s="8">
        <v>0</v>
      </c>
      <c r="G5622" s="4">
        <v>6</v>
      </c>
      <c r="H5622" s="8">
        <v>5.71</v>
      </c>
      <c r="I5622" s="4">
        <v>0</v>
      </c>
    </row>
    <row r="5623" spans="1:9" x14ac:dyDescent="0.2">
      <c r="A5623" s="2">
        <v>6</v>
      </c>
      <c r="B5623" s="1" t="s">
        <v>300</v>
      </c>
      <c r="C5623" s="4">
        <v>6</v>
      </c>
      <c r="D5623" s="8">
        <v>2.91</v>
      </c>
      <c r="E5623" s="4">
        <v>6</v>
      </c>
      <c r="F5623" s="8">
        <v>6.19</v>
      </c>
      <c r="G5623" s="4">
        <v>0</v>
      </c>
      <c r="H5623" s="8">
        <v>0</v>
      </c>
      <c r="I5623" s="4">
        <v>0</v>
      </c>
    </row>
    <row r="5624" spans="1:9" x14ac:dyDescent="0.2">
      <c r="A5624" s="2">
        <v>8</v>
      </c>
      <c r="B5624" s="1" t="s">
        <v>413</v>
      </c>
      <c r="C5624" s="4">
        <v>5</v>
      </c>
      <c r="D5624" s="8">
        <v>2.4300000000000002</v>
      </c>
      <c r="E5624" s="4">
        <v>0</v>
      </c>
      <c r="F5624" s="8">
        <v>0</v>
      </c>
      <c r="G5624" s="4">
        <v>5</v>
      </c>
      <c r="H5624" s="8">
        <v>4.76</v>
      </c>
      <c r="I5624" s="4">
        <v>0</v>
      </c>
    </row>
    <row r="5625" spans="1:9" x14ac:dyDescent="0.2">
      <c r="A5625" s="2">
        <v>8</v>
      </c>
      <c r="B5625" s="1" t="s">
        <v>350</v>
      </c>
      <c r="C5625" s="4">
        <v>5</v>
      </c>
      <c r="D5625" s="8">
        <v>2.4300000000000002</v>
      </c>
      <c r="E5625" s="4">
        <v>2</v>
      </c>
      <c r="F5625" s="8">
        <v>2.06</v>
      </c>
      <c r="G5625" s="4">
        <v>3</v>
      </c>
      <c r="H5625" s="8">
        <v>2.86</v>
      </c>
      <c r="I5625" s="4">
        <v>0</v>
      </c>
    </row>
    <row r="5626" spans="1:9" x14ac:dyDescent="0.2">
      <c r="A5626" s="2">
        <v>8</v>
      </c>
      <c r="B5626" s="1" t="s">
        <v>301</v>
      </c>
      <c r="C5626" s="4">
        <v>5</v>
      </c>
      <c r="D5626" s="8">
        <v>2.4300000000000002</v>
      </c>
      <c r="E5626" s="4">
        <v>5</v>
      </c>
      <c r="F5626" s="8">
        <v>5.15</v>
      </c>
      <c r="G5626" s="4">
        <v>0</v>
      </c>
      <c r="H5626" s="8">
        <v>0</v>
      </c>
      <c r="I5626" s="4">
        <v>0</v>
      </c>
    </row>
    <row r="5627" spans="1:9" x14ac:dyDescent="0.2">
      <c r="A5627" s="2">
        <v>11</v>
      </c>
      <c r="B5627" s="1" t="s">
        <v>290</v>
      </c>
      <c r="C5627" s="4">
        <v>4</v>
      </c>
      <c r="D5627" s="8">
        <v>1.94</v>
      </c>
      <c r="E5627" s="4">
        <v>0</v>
      </c>
      <c r="F5627" s="8">
        <v>0</v>
      </c>
      <c r="G5627" s="4">
        <v>4</v>
      </c>
      <c r="H5627" s="8">
        <v>3.81</v>
      </c>
      <c r="I5627" s="4">
        <v>0</v>
      </c>
    </row>
    <row r="5628" spans="1:9" x14ac:dyDescent="0.2">
      <c r="A5628" s="2">
        <v>11</v>
      </c>
      <c r="B5628" s="1" t="s">
        <v>293</v>
      </c>
      <c r="C5628" s="4">
        <v>4</v>
      </c>
      <c r="D5628" s="8">
        <v>1.94</v>
      </c>
      <c r="E5628" s="4">
        <v>2</v>
      </c>
      <c r="F5628" s="8">
        <v>2.06</v>
      </c>
      <c r="G5628" s="4">
        <v>2</v>
      </c>
      <c r="H5628" s="8">
        <v>1.9</v>
      </c>
      <c r="I5628" s="4">
        <v>0</v>
      </c>
    </row>
    <row r="5629" spans="1:9" x14ac:dyDescent="0.2">
      <c r="A5629" s="2">
        <v>11</v>
      </c>
      <c r="B5629" s="1" t="s">
        <v>295</v>
      </c>
      <c r="C5629" s="4">
        <v>4</v>
      </c>
      <c r="D5629" s="8">
        <v>1.94</v>
      </c>
      <c r="E5629" s="4">
        <v>3</v>
      </c>
      <c r="F5629" s="8">
        <v>3.09</v>
      </c>
      <c r="G5629" s="4">
        <v>1</v>
      </c>
      <c r="H5629" s="8">
        <v>0.95</v>
      </c>
      <c r="I5629" s="4">
        <v>0</v>
      </c>
    </row>
    <row r="5630" spans="1:9" x14ac:dyDescent="0.2">
      <c r="A5630" s="2">
        <v>11</v>
      </c>
      <c r="B5630" s="1" t="s">
        <v>299</v>
      </c>
      <c r="C5630" s="4">
        <v>4</v>
      </c>
      <c r="D5630" s="8">
        <v>1.94</v>
      </c>
      <c r="E5630" s="4">
        <v>4</v>
      </c>
      <c r="F5630" s="8">
        <v>4.12</v>
      </c>
      <c r="G5630" s="4">
        <v>0</v>
      </c>
      <c r="H5630" s="8">
        <v>0</v>
      </c>
      <c r="I5630" s="4">
        <v>0</v>
      </c>
    </row>
    <row r="5631" spans="1:9" x14ac:dyDescent="0.2">
      <c r="A5631" s="2">
        <v>11</v>
      </c>
      <c r="B5631" s="1" t="s">
        <v>305</v>
      </c>
      <c r="C5631" s="4">
        <v>4</v>
      </c>
      <c r="D5631" s="8">
        <v>1.94</v>
      </c>
      <c r="E5631" s="4">
        <v>4</v>
      </c>
      <c r="F5631" s="8">
        <v>4.12</v>
      </c>
      <c r="G5631" s="4">
        <v>0</v>
      </c>
      <c r="H5631" s="8">
        <v>0</v>
      </c>
      <c r="I5631" s="4">
        <v>0</v>
      </c>
    </row>
    <row r="5632" spans="1:9" x14ac:dyDescent="0.2">
      <c r="A5632" s="2">
        <v>16</v>
      </c>
      <c r="B5632" s="1" t="s">
        <v>346</v>
      </c>
      <c r="C5632" s="4">
        <v>3</v>
      </c>
      <c r="D5632" s="8">
        <v>1.46</v>
      </c>
      <c r="E5632" s="4">
        <v>0</v>
      </c>
      <c r="F5632" s="8">
        <v>0</v>
      </c>
      <c r="G5632" s="4">
        <v>3</v>
      </c>
      <c r="H5632" s="8">
        <v>2.86</v>
      </c>
      <c r="I5632" s="4">
        <v>0</v>
      </c>
    </row>
    <row r="5633" spans="1:9" x14ac:dyDescent="0.2">
      <c r="A5633" s="2">
        <v>16</v>
      </c>
      <c r="B5633" s="1" t="s">
        <v>354</v>
      </c>
      <c r="C5633" s="4">
        <v>3</v>
      </c>
      <c r="D5633" s="8">
        <v>1.46</v>
      </c>
      <c r="E5633" s="4">
        <v>2</v>
      </c>
      <c r="F5633" s="8">
        <v>2.06</v>
      </c>
      <c r="G5633" s="4">
        <v>1</v>
      </c>
      <c r="H5633" s="8">
        <v>0.95</v>
      </c>
      <c r="I5633" s="4">
        <v>0</v>
      </c>
    </row>
    <row r="5634" spans="1:9" x14ac:dyDescent="0.2">
      <c r="A5634" s="2">
        <v>16</v>
      </c>
      <c r="B5634" s="1" t="s">
        <v>344</v>
      </c>
      <c r="C5634" s="4">
        <v>3</v>
      </c>
      <c r="D5634" s="8">
        <v>1.46</v>
      </c>
      <c r="E5634" s="4">
        <v>0</v>
      </c>
      <c r="F5634" s="8">
        <v>0</v>
      </c>
      <c r="G5634" s="4">
        <v>3</v>
      </c>
      <c r="H5634" s="8">
        <v>2.86</v>
      </c>
      <c r="I5634" s="4">
        <v>0</v>
      </c>
    </row>
    <row r="5635" spans="1:9" x14ac:dyDescent="0.2">
      <c r="A5635" s="2">
        <v>16</v>
      </c>
      <c r="B5635" s="1" t="s">
        <v>334</v>
      </c>
      <c r="C5635" s="4">
        <v>3</v>
      </c>
      <c r="D5635" s="8">
        <v>1.46</v>
      </c>
      <c r="E5635" s="4">
        <v>2</v>
      </c>
      <c r="F5635" s="8">
        <v>2.06</v>
      </c>
      <c r="G5635" s="4">
        <v>1</v>
      </c>
      <c r="H5635" s="8">
        <v>0.95</v>
      </c>
      <c r="I5635" s="4">
        <v>0</v>
      </c>
    </row>
    <row r="5636" spans="1:9" x14ac:dyDescent="0.2">
      <c r="A5636" s="2">
        <v>16</v>
      </c>
      <c r="B5636" s="1" t="s">
        <v>419</v>
      </c>
      <c r="C5636" s="4">
        <v>3</v>
      </c>
      <c r="D5636" s="8">
        <v>1.46</v>
      </c>
      <c r="E5636" s="4">
        <v>2</v>
      </c>
      <c r="F5636" s="8">
        <v>2.06</v>
      </c>
      <c r="G5636" s="4">
        <v>1</v>
      </c>
      <c r="H5636" s="8">
        <v>0.95</v>
      </c>
      <c r="I5636" s="4">
        <v>0</v>
      </c>
    </row>
    <row r="5637" spans="1:9" x14ac:dyDescent="0.2">
      <c r="A5637" s="2">
        <v>16</v>
      </c>
      <c r="B5637" s="1" t="s">
        <v>302</v>
      </c>
      <c r="C5637" s="4">
        <v>3</v>
      </c>
      <c r="D5637" s="8">
        <v>1.46</v>
      </c>
      <c r="E5637" s="4">
        <v>3</v>
      </c>
      <c r="F5637" s="8">
        <v>3.09</v>
      </c>
      <c r="G5637" s="4">
        <v>0</v>
      </c>
      <c r="H5637" s="8">
        <v>0</v>
      </c>
      <c r="I5637" s="4">
        <v>0</v>
      </c>
    </row>
    <row r="5638" spans="1:9" x14ac:dyDescent="0.2">
      <c r="A5638" s="2">
        <v>16</v>
      </c>
      <c r="B5638" s="1" t="s">
        <v>323</v>
      </c>
      <c r="C5638" s="4">
        <v>3</v>
      </c>
      <c r="D5638" s="8">
        <v>1.46</v>
      </c>
      <c r="E5638" s="4">
        <v>2</v>
      </c>
      <c r="F5638" s="8">
        <v>2.06</v>
      </c>
      <c r="G5638" s="4">
        <v>1</v>
      </c>
      <c r="H5638" s="8">
        <v>0.95</v>
      </c>
      <c r="I5638" s="4">
        <v>0</v>
      </c>
    </row>
    <row r="5639" spans="1:9" x14ac:dyDescent="0.2">
      <c r="A5639" s="2">
        <v>16</v>
      </c>
      <c r="B5639" s="1" t="s">
        <v>391</v>
      </c>
      <c r="C5639" s="4">
        <v>3</v>
      </c>
      <c r="D5639" s="8">
        <v>1.46</v>
      </c>
      <c r="E5639" s="4">
        <v>2</v>
      </c>
      <c r="F5639" s="8">
        <v>2.06</v>
      </c>
      <c r="G5639" s="4">
        <v>1</v>
      </c>
      <c r="H5639" s="8">
        <v>0.95</v>
      </c>
      <c r="I5639" s="4">
        <v>0</v>
      </c>
    </row>
    <row r="5640" spans="1:9" x14ac:dyDescent="0.2">
      <c r="A5640" s="2">
        <v>16</v>
      </c>
      <c r="B5640" s="1" t="s">
        <v>307</v>
      </c>
      <c r="C5640" s="4">
        <v>3</v>
      </c>
      <c r="D5640" s="8">
        <v>1.46</v>
      </c>
      <c r="E5640" s="4">
        <v>2</v>
      </c>
      <c r="F5640" s="8">
        <v>2.06</v>
      </c>
      <c r="G5640" s="4">
        <v>1</v>
      </c>
      <c r="H5640" s="8">
        <v>0.95</v>
      </c>
      <c r="I5640" s="4">
        <v>0</v>
      </c>
    </row>
    <row r="5641" spans="1:9" x14ac:dyDescent="0.2">
      <c r="A5641" s="1"/>
      <c r="C5641" s="4"/>
      <c r="D5641" s="8"/>
      <c r="E5641" s="4"/>
      <c r="F5641" s="8"/>
      <c r="G5641" s="4"/>
      <c r="H5641" s="8"/>
      <c r="I5641" s="4"/>
    </row>
    <row r="5642" spans="1:9" x14ac:dyDescent="0.2">
      <c r="A5642" s="1" t="s">
        <v>186</v>
      </c>
      <c r="C5642" s="4"/>
      <c r="D5642" s="8"/>
      <c r="E5642" s="4"/>
      <c r="F5642" s="8"/>
      <c r="G5642" s="4"/>
      <c r="H5642" s="8"/>
      <c r="I5642" s="4"/>
    </row>
    <row r="5643" spans="1:9" x14ac:dyDescent="0.2">
      <c r="A5643" s="2">
        <v>1</v>
      </c>
      <c r="B5643" s="1" t="s">
        <v>297</v>
      </c>
      <c r="C5643" s="4">
        <v>33</v>
      </c>
      <c r="D5643" s="8">
        <v>9.5399999999999991</v>
      </c>
      <c r="E5643" s="4">
        <v>29</v>
      </c>
      <c r="F5643" s="8">
        <v>15.68</v>
      </c>
      <c r="G5643" s="4">
        <v>4</v>
      </c>
      <c r="H5643" s="8">
        <v>2.84</v>
      </c>
      <c r="I5643" s="4">
        <v>0</v>
      </c>
    </row>
    <row r="5644" spans="1:9" x14ac:dyDescent="0.2">
      <c r="A5644" s="2">
        <v>2</v>
      </c>
      <c r="B5644" s="1" t="s">
        <v>303</v>
      </c>
      <c r="C5644" s="4">
        <v>15</v>
      </c>
      <c r="D5644" s="8">
        <v>4.34</v>
      </c>
      <c r="E5644" s="4">
        <v>15</v>
      </c>
      <c r="F5644" s="8">
        <v>8.11</v>
      </c>
      <c r="G5644" s="4">
        <v>0</v>
      </c>
      <c r="H5644" s="8">
        <v>0</v>
      </c>
      <c r="I5644" s="4">
        <v>0</v>
      </c>
    </row>
    <row r="5645" spans="1:9" x14ac:dyDescent="0.2">
      <c r="A5645" s="2">
        <v>3</v>
      </c>
      <c r="B5645" s="1" t="s">
        <v>304</v>
      </c>
      <c r="C5645" s="4">
        <v>13</v>
      </c>
      <c r="D5645" s="8">
        <v>3.76</v>
      </c>
      <c r="E5645" s="4">
        <v>13</v>
      </c>
      <c r="F5645" s="8">
        <v>7.03</v>
      </c>
      <c r="G5645" s="4">
        <v>0</v>
      </c>
      <c r="H5645" s="8">
        <v>0</v>
      </c>
      <c r="I5645" s="4">
        <v>0</v>
      </c>
    </row>
    <row r="5646" spans="1:9" x14ac:dyDescent="0.2">
      <c r="A5646" s="2">
        <v>4</v>
      </c>
      <c r="B5646" s="1" t="s">
        <v>330</v>
      </c>
      <c r="C5646" s="4">
        <v>12</v>
      </c>
      <c r="D5646" s="8">
        <v>3.47</v>
      </c>
      <c r="E5646" s="4">
        <v>1</v>
      </c>
      <c r="F5646" s="8">
        <v>0.54</v>
      </c>
      <c r="G5646" s="4">
        <v>11</v>
      </c>
      <c r="H5646" s="8">
        <v>7.8</v>
      </c>
      <c r="I5646" s="4">
        <v>0</v>
      </c>
    </row>
    <row r="5647" spans="1:9" x14ac:dyDescent="0.2">
      <c r="A5647" s="2">
        <v>4</v>
      </c>
      <c r="B5647" s="1" t="s">
        <v>301</v>
      </c>
      <c r="C5647" s="4">
        <v>12</v>
      </c>
      <c r="D5647" s="8">
        <v>3.47</v>
      </c>
      <c r="E5647" s="4">
        <v>11</v>
      </c>
      <c r="F5647" s="8">
        <v>5.95</v>
      </c>
      <c r="G5647" s="4">
        <v>1</v>
      </c>
      <c r="H5647" s="8">
        <v>0.71</v>
      </c>
      <c r="I5647" s="4">
        <v>0</v>
      </c>
    </row>
    <row r="5648" spans="1:9" x14ac:dyDescent="0.2">
      <c r="A5648" s="2">
        <v>6</v>
      </c>
      <c r="B5648" s="1" t="s">
        <v>289</v>
      </c>
      <c r="C5648" s="4">
        <v>11</v>
      </c>
      <c r="D5648" s="8">
        <v>3.18</v>
      </c>
      <c r="E5648" s="4">
        <v>0</v>
      </c>
      <c r="F5648" s="8">
        <v>0</v>
      </c>
      <c r="G5648" s="4">
        <v>11</v>
      </c>
      <c r="H5648" s="8">
        <v>7.8</v>
      </c>
      <c r="I5648" s="4">
        <v>0</v>
      </c>
    </row>
    <row r="5649" spans="1:9" x14ac:dyDescent="0.2">
      <c r="A5649" s="2">
        <v>6</v>
      </c>
      <c r="B5649" s="1" t="s">
        <v>334</v>
      </c>
      <c r="C5649" s="4">
        <v>11</v>
      </c>
      <c r="D5649" s="8">
        <v>3.18</v>
      </c>
      <c r="E5649" s="4">
        <v>10</v>
      </c>
      <c r="F5649" s="8">
        <v>5.41</v>
      </c>
      <c r="G5649" s="4">
        <v>1</v>
      </c>
      <c r="H5649" s="8">
        <v>0.71</v>
      </c>
      <c r="I5649" s="4">
        <v>0</v>
      </c>
    </row>
    <row r="5650" spans="1:9" x14ac:dyDescent="0.2">
      <c r="A5650" s="2">
        <v>8</v>
      </c>
      <c r="B5650" s="1" t="s">
        <v>300</v>
      </c>
      <c r="C5650" s="4">
        <v>9</v>
      </c>
      <c r="D5650" s="8">
        <v>2.6</v>
      </c>
      <c r="E5650" s="4">
        <v>8</v>
      </c>
      <c r="F5650" s="8">
        <v>4.32</v>
      </c>
      <c r="G5650" s="4">
        <v>1</v>
      </c>
      <c r="H5650" s="8">
        <v>0.71</v>
      </c>
      <c r="I5650" s="4">
        <v>0</v>
      </c>
    </row>
    <row r="5651" spans="1:9" x14ac:dyDescent="0.2">
      <c r="A5651" s="2">
        <v>9</v>
      </c>
      <c r="B5651" s="1" t="s">
        <v>378</v>
      </c>
      <c r="C5651" s="4">
        <v>8</v>
      </c>
      <c r="D5651" s="8">
        <v>2.31</v>
      </c>
      <c r="E5651" s="4">
        <v>0</v>
      </c>
      <c r="F5651" s="8">
        <v>0</v>
      </c>
      <c r="G5651" s="4">
        <v>8</v>
      </c>
      <c r="H5651" s="8">
        <v>5.67</v>
      </c>
      <c r="I5651" s="4">
        <v>0</v>
      </c>
    </row>
    <row r="5652" spans="1:9" x14ac:dyDescent="0.2">
      <c r="A5652" s="2">
        <v>9</v>
      </c>
      <c r="B5652" s="1" t="s">
        <v>307</v>
      </c>
      <c r="C5652" s="4">
        <v>8</v>
      </c>
      <c r="D5652" s="8">
        <v>2.31</v>
      </c>
      <c r="E5652" s="4">
        <v>7</v>
      </c>
      <c r="F5652" s="8">
        <v>3.78</v>
      </c>
      <c r="G5652" s="4">
        <v>1</v>
      </c>
      <c r="H5652" s="8">
        <v>0.71</v>
      </c>
      <c r="I5652" s="4">
        <v>0</v>
      </c>
    </row>
    <row r="5653" spans="1:9" x14ac:dyDescent="0.2">
      <c r="A5653" s="2">
        <v>11</v>
      </c>
      <c r="B5653" s="1" t="s">
        <v>309</v>
      </c>
      <c r="C5653" s="4">
        <v>7</v>
      </c>
      <c r="D5653" s="8">
        <v>2.02</v>
      </c>
      <c r="E5653" s="4">
        <v>1</v>
      </c>
      <c r="F5653" s="8">
        <v>0.54</v>
      </c>
      <c r="G5653" s="4">
        <v>6</v>
      </c>
      <c r="H5653" s="8">
        <v>4.26</v>
      </c>
      <c r="I5653" s="4">
        <v>0</v>
      </c>
    </row>
    <row r="5654" spans="1:9" x14ac:dyDescent="0.2">
      <c r="A5654" s="2">
        <v>11</v>
      </c>
      <c r="B5654" s="1" t="s">
        <v>292</v>
      </c>
      <c r="C5654" s="4">
        <v>7</v>
      </c>
      <c r="D5654" s="8">
        <v>2.02</v>
      </c>
      <c r="E5654" s="4">
        <v>4</v>
      </c>
      <c r="F5654" s="8">
        <v>2.16</v>
      </c>
      <c r="G5654" s="4">
        <v>3</v>
      </c>
      <c r="H5654" s="8">
        <v>2.13</v>
      </c>
      <c r="I5654" s="4">
        <v>0</v>
      </c>
    </row>
    <row r="5655" spans="1:9" x14ac:dyDescent="0.2">
      <c r="A5655" s="2">
        <v>11</v>
      </c>
      <c r="B5655" s="1" t="s">
        <v>341</v>
      </c>
      <c r="C5655" s="4">
        <v>7</v>
      </c>
      <c r="D5655" s="8">
        <v>2.02</v>
      </c>
      <c r="E5655" s="4">
        <v>0</v>
      </c>
      <c r="F5655" s="8">
        <v>0</v>
      </c>
      <c r="G5655" s="4">
        <v>1</v>
      </c>
      <c r="H5655" s="8">
        <v>0.71</v>
      </c>
      <c r="I5655" s="4">
        <v>0</v>
      </c>
    </row>
    <row r="5656" spans="1:9" x14ac:dyDescent="0.2">
      <c r="A5656" s="2">
        <v>14</v>
      </c>
      <c r="B5656" s="1" t="s">
        <v>288</v>
      </c>
      <c r="C5656" s="4">
        <v>6</v>
      </c>
      <c r="D5656" s="8">
        <v>1.73</v>
      </c>
      <c r="E5656" s="4">
        <v>0</v>
      </c>
      <c r="F5656" s="8">
        <v>0</v>
      </c>
      <c r="G5656" s="4">
        <v>6</v>
      </c>
      <c r="H5656" s="8">
        <v>4.26</v>
      </c>
      <c r="I5656" s="4">
        <v>0</v>
      </c>
    </row>
    <row r="5657" spans="1:9" x14ac:dyDescent="0.2">
      <c r="A5657" s="2">
        <v>14</v>
      </c>
      <c r="B5657" s="1" t="s">
        <v>328</v>
      </c>
      <c r="C5657" s="4">
        <v>6</v>
      </c>
      <c r="D5657" s="8">
        <v>1.73</v>
      </c>
      <c r="E5657" s="4">
        <v>3</v>
      </c>
      <c r="F5657" s="8">
        <v>1.62</v>
      </c>
      <c r="G5657" s="4">
        <v>3</v>
      </c>
      <c r="H5657" s="8">
        <v>2.13</v>
      </c>
      <c r="I5657" s="4">
        <v>0</v>
      </c>
    </row>
    <row r="5658" spans="1:9" x14ac:dyDescent="0.2">
      <c r="A5658" s="2">
        <v>14</v>
      </c>
      <c r="B5658" s="1" t="s">
        <v>295</v>
      </c>
      <c r="C5658" s="4">
        <v>6</v>
      </c>
      <c r="D5658" s="8">
        <v>1.73</v>
      </c>
      <c r="E5658" s="4">
        <v>2</v>
      </c>
      <c r="F5658" s="8">
        <v>1.08</v>
      </c>
      <c r="G5658" s="4">
        <v>4</v>
      </c>
      <c r="H5658" s="8">
        <v>2.84</v>
      </c>
      <c r="I5658" s="4">
        <v>0</v>
      </c>
    </row>
    <row r="5659" spans="1:9" x14ac:dyDescent="0.2">
      <c r="A5659" s="2">
        <v>14</v>
      </c>
      <c r="B5659" s="1" t="s">
        <v>305</v>
      </c>
      <c r="C5659" s="4">
        <v>6</v>
      </c>
      <c r="D5659" s="8">
        <v>1.73</v>
      </c>
      <c r="E5659" s="4">
        <v>6</v>
      </c>
      <c r="F5659" s="8">
        <v>3.24</v>
      </c>
      <c r="G5659" s="4">
        <v>0</v>
      </c>
      <c r="H5659" s="8">
        <v>0</v>
      </c>
      <c r="I5659" s="4">
        <v>0</v>
      </c>
    </row>
    <row r="5660" spans="1:9" x14ac:dyDescent="0.2">
      <c r="A5660" s="2">
        <v>18</v>
      </c>
      <c r="B5660" s="1" t="s">
        <v>342</v>
      </c>
      <c r="C5660" s="4">
        <v>5</v>
      </c>
      <c r="D5660" s="8">
        <v>1.45</v>
      </c>
      <c r="E5660" s="4">
        <v>1</v>
      </c>
      <c r="F5660" s="8">
        <v>0.54</v>
      </c>
      <c r="G5660" s="4">
        <v>4</v>
      </c>
      <c r="H5660" s="8">
        <v>2.84</v>
      </c>
      <c r="I5660" s="4">
        <v>0</v>
      </c>
    </row>
    <row r="5661" spans="1:9" x14ac:dyDescent="0.2">
      <c r="A5661" s="2">
        <v>18</v>
      </c>
      <c r="B5661" s="1" t="s">
        <v>324</v>
      </c>
      <c r="C5661" s="4">
        <v>5</v>
      </c>
      <c r="D5661" s="8">
        <v>1.45</v>
      </c>
      <c r="E5661" s="4">
        <v>4</v>
      </c>
      <c r="F5661" s="8">
        <v>2.16</v>
      </c>
      <c r="G5661" s="4">
        <v>1</v>
      </c>
      <c r="H5661" s="8">
        <v>0.71</v>
      </c>
      <c r="I5661" s="4">
        <v>0</v>
      </c>
    </row>
    <row r="5662" spans="1:9" x14ac:dyDescent="0.2">
      <c r="A5662" s="2">
        <v>18</v>
      </c>
      <c r="B5662" s="1" t="s">
        <v>339</v>
      </c>
      <c r="C5662" s="4">
        <v>5</v>
      </c>
      <c r="D5662" s="8">
        <v>1.45</v>
      </c>
      <c r="E5662" s="4">
        <v>3</v>
      </c>
      <c r="F5662" s="8">
        <v>1.62</v>
      </c>
      <c r="G5662" s="4">
        <v>2</v>
      </c>
      <c r="H5662" s="8">
        <v>1.42</v>
      </c>
      <c r="I5662" s="4">
        <v>0</v>
      </c>
    </row>
    <row r="5663" spans="1:9" x14ac:dyDescent="0.2">
      <c r="A5663" s="2">
        <v>18</v>
      </c>
      <c r="B5663" s="1" t="s">
        <v>299</v>
      </c>
      <c r="C5663" s="4">
        <v>5</v>
      </c>
      <c r="D5663" s="8">
        <v>1.45</v>
      </c>
      <c r="E5663" s="4">
        <v>5</v>
      </c>
      <c r="F5663" s="8">
        <v>2.7</v>
      </c>
      <c r="G5663" s="4">
        <v>0</v>
      </c>
      <c r="H5663" s="8">
        <v>0</v>
      </c>
      <c r="I5663" s="4">
        <v>0</v>
      </c>
    </row>
    <row r="5664" spans="1:9" x14ac:dyDescent="0.2">
      <c r="A5664" s="2">
        <v>18</v>
      </c>
      <c r="B5664" s="1" t="s">
        <v>302</v>
      </c>
      <c r="C5664" s="4">
        <v>5</v>
      </c>
      <c r="D5664" s="8">
        <v>1.45</v>
      </c>
      <c r="E5664" s="4">
        <v>4</v>
      </c>
      <c r="F5664" s="8">
        <v>2.16</v>
      </c>
      <c r="G5664" s="4">
        <v>1</v>
      </c>
      <c r="H5664" s="8">
        <v>0.71</v>
      </c>
      <c r="I5664" s="4">
        <v>0</v>
      </c>
    </row>
    <row r="5665" spans="1:9" x14ac:dyDescent="0.2">
      <c r="A5665" s="1"/>
      <c r="C5665" s="4"/>
      <c r="D5665" s="8"/>
      <c r="E5665" s="4"/>
      <c r="F5665" s="8"/>
      <c r="G5665" s="4"/>
      <c r="H5665" s="8"/>
      <c r="I5665" s="4"/>
    </row>
    <row r="5666" spans="1:9" x14ac:dyDescent="0.2">
      <c r="A5666" s="1" t="s">
        <v>187</v>
      </c>
      <c r="C5666" s="4"/>
      <c r="D5666" s="8"/>
      <c r="E5666" s="4"/>
      <c r="F5666" s="8"/>
      <c r="G5666" s="4"/>
      <c r="H5666" s="8"/>
      <c r="I5666" s="4"/>
    </row>
    <row r="5667" spans="1:9" x14ac:dyDescent="0.2">
      <c r="A5667" s="2">
        <v>1</v>
      </c>
      <c r="B5667" s="1" t="s">
        <v>297</v>
      </c>
      <c r="C5667" s="4">
        <v>55</v>
      </c>
      <c r="D5667" s="8">
        <v>6.67</v>
      </c>
      <c r="E5667" s="4">
        <v>43</v>
      </c>
      <c r="F5667" s="8">
        <v>9.25</v>
      </c>
      <c r="G5667" s="4">
        <v>11</v>
      </c>
      <c r="H5667" s="8">
        <v>3.15</v>
      </c>
      <c r="I5667" s="4">
        <v>0</v>
      </c>
    </row>
    <row r="5668" spans="1:9" x14ac:dyDescent="0.2">
      <c r="A5668" s="2">
        <v>2</v>
      </c>
      <c r="B5668" s="1" t="s">
        <v>304</v>
      </c>
      <c r="C5668" s="4">
        <v>45</v>
      </c>
      <c r="D5668" s="8">
        <v>5.45</v>
      </c>
      <c r="E5668" s="4">
        <v>42</v>
      </c>
      <c r="F5668" s="8">
        <v>9.0299999999999994</v>
      </c>
      <c r="G5668" s="4">
        <v>3</v>
      </c>
      <c r="H5668" s="8">
        <v>0.86</v>
      </c>
      <c r="I5668" s="4">
        <v>0</v>
      </c>
    </row>
    <row r="5669" spans="1:9" x14ac:dyDescent="0.2">
      <c r="A5669" s="2">
        <v>3</v>
      </c>
      <c r="B5669" s="1" t="s">
        <v>301</v>
      </c>
      <c r="C5669" s="4">
        <v>40</v>
      </c>
      <c r="D5669" s="8">
        <v>4.8499999999999996</v>
      </c>
      <c r="E5669" s="4">
        <v>40</v>
      </c>
      <c r="F5669" s="8">
        <v>8.6</v>
      </c>
      <c r="G5669" s="4">
        <v>0</v>
      </c>
      <c r="H5669" s="8">
        <v>0</v>
      </c>
      <c r="I5669" s="4">
        <v>0</v>
      </c>
    </row>
    <row r="5670" spans="1:9" x14ac:dyDescent="0.2">
      <c r="A5670" s="2">
        <v>4</v>
      </c>
      <c r="B5670" s="1" t="s">
        <v>303</v>
      </c>
      <c r="C5670" s="4">
        <v>33</v>
      </c>
      <c r="D5670" s="8">
        <v>4</v>
      </c>
      <c r="E5670" s="4">
        <v>33</v>
      </c>
      <c r="F5670" s="8">
        <v>7.1</v>
      </c>
      <c r="G5670" s="4">
        <v>0</v>
      </c>
      <c r="H5670" s="8">
        <v>0</v>
      </c>
      <c r="I5670" s="4">
        <v>0</v>
      </c>
    </row>
    <row r="5671" spans="1:9" x14ac:dyDescent="0.2">
      <c r="A5671" s="2">
        <v>5</v>
      </c>
      <c r="B5671" s="1" t="s">
        <v>293</v>
      </c>
      <c r="C5671" s="4">
        <v>26</v>
      </c>
      <c r="D5671" s="8">
        <v>3.15</v>
      </c>
      <c r="E5671" s="4">
        <v>13</v>
      </c>
      <c r="F5671" s="8">
        <v>2.8</v>
      </c>
      <c r="G5671" s="4">
        <v>13</v>
      </c>
      <c r="H5671" s="8">
        <v>3.72</v>
      </c>
      <c r="I5671" s="4">
        <v>0</v>
      </c>
    </row>
    <row r="5672" spans="1:9" x14ac:dyDescent="0.2">
      <c r="A5672" s="2">
        <v>6</v>
      </c>
      <c r="B5672" s="1" t="s">
        <v>300</v>
      </c>
      <c r="C5672" s="4">
        <v>21</v>
      </c>
      <c r="D5672" s="8">
        <v>2.5499999999999998</v>
      </c>
      <c r="E5672" s="4">
        <v>20</v>
      </c>
      <c r="F5672" s="8">
        <v>4.3</v>
      </c>
      <c r="G5672" s="4">
        <v>1</v>
      </c>
      <c r="H5672" s="8">
        <v>0.28999999999999998</v>
      </c>
      <c r="I5672" s="4">
        <v>0</v>
      </c>
    </row>
    <row r="5673" spans="1:9" x14ac:dyDescent="0.2">
      <c r="A5673" s="2">
        <v>7</v>
      </c>
      <c r="B5673" s="1" t="s">
        <v>306</v>
      </c>
      <c r="C5673" s="4">
        <v>18</v>
      </c>
      <c r="D5673" s="8">
        <v>2.1800000000000002</v>
      </c>
      <c r="E5673" s="4">
        <v>17</v>
      </c>
      <c r="F5673" s="8">
        <v>3.66</v>
      </c>
      <c r="G5673" s="4">
        <v>1</v>
      </c>
      <c r="H5673" s="8">
        <v>0.28999999999999998</v>
      </c>
      <c r="I5673" s="4">
        <v>0</v>
      </c>
    </row>
    <row r="5674" spans="1:9" x14ac:dyDescent="0.2">
      <c r="A5674" s="2">
        <v>8</v>
      </c>
      <c r="B5674" s="1" t="s">
        <v>328</v>
      </c>
      <c r="C5674" s="4">
        <v>17</v>
      </c>
      <c r="D5674" s="8">
        <v>2.06</v>
      </c>
      <c r="E5674" s="4">
        <v>4</v>
      </c>
      <c r="F5674" s="8">
        <v>0.86</v>
      </c>
      <c r="G5674" s="4">
        <v>13</v>
      </c>
      <c r="H5674" s="8">
        <v>3.72</v>
      </c>
      <c r="I5674" s="4">
        <v>0</v>
      </c>
    </row>
    <row r="5675" spans="1:9" x14ac:dyDescent="0.2">
      <c r="A5675" s="2">
        <v>8</v>
      </c>
      <c r="B5675" s="1" t="s">
        <v>290</v>
      </c>
      <c r="C5675" s="4">
        <v>17</v>
      </c>
      <c r="D5675" s="8">
        <v>2.06</v>
      </c>
      <c r="E5675" s="4">
        <v>3</v>
      </c>
      <c r="F5675" s="8">
        <v>0.65</v>
      </c>
      <c r="G5675" s="4">
        <v>14</v>
      </c>
      <c r="H5675" s="8">
        <v>4.01</v>
      </c>
      <c r="I5675" s="4">
        <v>0</v>
      </c>
    </row>
    <row r="5676" spans="1:9" x14ac:dyDescent="0.2">
      <c r="A5676" s="2">
        <v>8</v>
      </c>
      <c r="B5676" s="1" t="s">
        <v>299</v>
      </c>
      <c r="C5676" s="4">
        <v>17</v>
      </c>
      <c r="D5676" s="8">
        <v>2.06</v>
      </c>
      <c r="E5676" s="4">
        <v>14</v>
      </c>
      <c r="F5676" s="8">
        <v>3.01</v>
      </c>
      <c r="G5676" s="4">
        <v>3</v>
      </c>
      <c r="H5676" s="8">
        <v>0.86</v>
      </c>
      <c r="I5676" s="4">
        <v>0</v>
      </c>
    </row>
    <row r="5677" spans="1:9" x14ac:dyDescent="0.2">
      <c r="A5677" s="2">
        <v>11</v>
      </c>
      <c r="B5677" s="1" t="s">
        <v>302</v>
      </c>
      <c r="C5677" s="4">
        <v>15</v>
      </c>
      <c r="D5677" s="8">
        <v>1.82</v>
      </c>
      <c r="E5677" s="4">
        <v>11</v>
      </c>
      <c r="F5677" s="8">
        <v>2.37</v>
      </c>
      <c r="G5677" s="4">
        <v>4</v>
      </c>
      <c r="H5677" s="8">
        <v>1.1499999999999999</v>
      </c>
      <c r="I5677" s="4">
        <v>0</v>
      </c>
    </row>
    <row r="5678" spans="1:9" x14ac:dyDescent="0.2">
      <c r="A5678" s="2">
        <v>11</v>
      </c>
      <c r="B5678" s="1" t="s">
        <v>305</v>
      </c>
      <c r="C5678" s="4">
        <v>15</v>
      </c>
      <c r="D5678" s="8">
        <v>1.82</v>
      </c>
      <c r="E5678" s="4">
        <v>14</v>
      </c>
      <c r="F5678" s="8">
        <v>3.01</v>
      </c>
      <c r="G5678" s="4">
        <v>1</v>
      </c>
      <c r="H5678" s="8">
        <v>0.28999999999999998</v>
      </c>
      <c r="I5678" s="4">
        <v>0</v>
      </c>
    </row>
    <row r="5679" spans="1:9" x14ac:dyDescent="0.2">
      <c r="A5679" s="2">
        <v>13</v>
      </c>
      <c r="B5679" s="1" t="s">
        <v>289</v>
      </c>
      <c r="C5679" s="4">
        <v>13</v>
      </c>
      <c r="D5679" s="8">
        <v>1.58</v>
      </c>
      <c r="E5679" s="4">
        <v>3</v>
      </c>
      <c r="F5679" s="8">
        <v>0.65</v>
      </c>
      <c r="G5679" s="4">
        <v>10</v>
      </c>
      <c r="H5679" s="8">
        <v>2.87</v>
      </c>
      <c r="I5679" s="4">
        <v>0</v>
      </c>
    </row>
    <row r="5680" spans="1:9" x14ac:dyDescent="0.2">
      <c r="A5680" s="2">
        <v>14</v>
      </c>
      <c r="B5680" s="1" t="s">
        <v>309</v>
      </c>
      <c r="C5680" s="4">
        <v>12</v>
      </c>
      <c r="D5680" s="8">
        <v>1.45</v>
      </c>
      <c r="E5680" s="4">
        <v>1</v>
      </c>
      <c r="F5680" s="8">
        <v>0.22</v>
      </c>
      <c r="G5680" s="4">
        <v>11</v>
      </c>
      <c r="H5680" s="8">
        <v>3.15</v>
      </c>
      <c r="I5680" s="4">
        <v>0</v>
      </c>
    </row>
    <row r="5681" spans="1:9" x14ac:dyDescent="0.2">
      <c r="A5681" s="2">
        <v>14</v>
      </c>
      <c r="B5681" s="1" t="s">
        <v>335</v>
      </c>
      <c r="C5681" s="4">
        <v>12</v>
      </c>
      <c r="D5681" s="8">
        <v>1.45</v>
      </c>
      <c r="E5681" s="4">
        <v>7</v>
      </c>
      <c r="F5681" s="8">
        <v>1.51</v>
      </c>
      <c r="G5681" s="4">
        <v>5</v>
      </c>
      <c r="H5681" s="8">
        <v>1.43</v>
      </c>
      <c r="I5681" s="4">
        <v>0</v>
      </c>
    </row>
    <row r="5682" spans="1:9" x14ac:dyDescent="0.2">
      <c r="A5682" s="2">
        <v>16</v>
      </c>
      <c r="B5682" s="1" t="s">
        <v>329</v>
      </c>
      <c r="C5682" s="4">
        <v>11</v>
      </c>
      <c r="D5682" s="8">
        <v>1.33</v>
      </c>
      <c r="E5682" s="4">
        <v>6</v>
      </c>
      <c r="F5682" s="8">
        <v>1.29</v>
      </c>
      <c r="G5682" s="4">
        <v>5</v>
      </c>
      <c r="H5682" s="8">
        <v>1.43</v>
      </c>
      <c r="I5682" s="4">
        <v>0</v>
      </c>
    </row>
    <row r="5683" spans="1:9" x14ac:dyDescent="0.2">
      <c r="A5683" s="2">
        <v>17</v>
      </c>
      <c r="B5683" s="1" t="s">
        <v>292</v>
      </c>
      <c r="C5683" s="4">
        <v>10</v>
      </c>
      <c r="D5683" s="8">
        <v>1.21</v>
      </c>
      <c r="E5683" s="4">
        <v>5</v>
      </c>
      <c r="F5683" s="8">
        <v>1.08</v>
      </c>
      <c r="G5683" s="4">
        <v>5</v>
      </c>
      <c r="H5683" s="8">
        <v>1.43</v>
      </c>
      <c r="I5683" s="4">
        <v>0</v>
      </c>
    </row>
    <row r="5684" spans="1:9" x14ac:dyDescent="0.2">
      <c r="A5684" s="2">
        <v>17</v>
      </c>
      <c r="B5684" s="1" t="s">
        <v>330</v>
      </c>
      <c r="C5684" s="4">
        <v>10</v>
      </c>
      <c r="D5684" s="8">
        <v>1.21</v>
      </c>
      <c r="E5684" s="4">
        <v>1</v>
      </c>
      <c r="F5684" s="8">
        <v>0.22</v>
      </c>
      <c r="G5684" s="4">
        <v>9</v>
      </c>
      <c r="H5684" s="8">
        <v>2.58</v>
      </c>
      <c r="I5684" s="4">
        <v>0</v>
      </c>
    </row>
    <row r="5685" spans="1:9" x14ac:dyDescent="0.2">
      <c r="A5685" s="2">
        <v>17</v>
      </c>
      <c r="B5685" s="1" t="s">
        <v>344</v>
      </c>
      <c r="C5685" s="4">
        <v>10</v>
      </c>
      <c r="D5685" s="8">
        <v>1.21</v>
      </c>
      <c r="E5685" s="4">
        <v>2</v>
      </c>
      <c r="F5685" s="8">
        <v>0.43</v>
      </c>
      <c r="G5685" s="4">
        <v>8</v>
      </c>
      <c r="H5685" s="8">
        <v>2.29</v>
      </c>
      <c r="I5685" s="4">
        <v>0</v>
      </c>
    </row>
    <row r="5686" spans="1:9" x14ac:dyDescent="0.2">
      <c r="A5686" s="2">
        <v>17</v>
      </c>
      <c r="B5686" s="1" t="s">
        <v>296</v>
      </c>
      <c r="C5686" s="4">
        <v>10</v>
      </c>
      <c r="D5686" s="8">
        <v>1.21</v>
      </c>
      <c r="E5686" s="4">
        <v>7</v>
      </c>
      <c r="F5686" s="8">
        <v>1.51</v>
      </c>
      <c r="G5686" s="4">
        <v>3</v>
      </c>
      <c r="H5686" s="8">
        <v>0.86</v>
      </c>
      <c r="I5686" s="4">
        <v>0</v>
      </c>
    </row>
    <row r="5687" spans="1:9" x14ac:dyDescent="0.2">
      <c r="A5687" s="1"/>
      <c r="C5687" s="4"/>
      <c r="D5687" s="8"/>
      <c r="E5687" s="4"/>
      <c r="F5687" s="8"/>
      <c r="G5687" s="4"/>
      <c r="H5687" s="8"/>
      <c r="I5687" s="4"/>
    </row>
    <row r="5688" spans="1:9" x14ac:dyDescent="0.2">
      <c r="A5688" s="1" t="s">
        <v>188</v>
      </c>
      <c r="C5688" s="4"/>
      <c r="D5688" s="8"/>
      <c r="E5688" s="4"/>
      <c r="F5688" s="8"/>
      <c r="G5688" s="4"/>
      <c r="H5688" s="8"/>
      <c r="I5688" s="4"/>
    </row>
    <row r="5689" spans="1:9" x14ac:dyDescent="0.2">
      <c r="A5689" s="2">
        <v>1</v>
      </c>
      <c r="B5689" s="1" t="s">
        <v>297</v>
      </c>
      <c r="C5689" s="4">
        <v>8</v>
      </c>
      <c r="D5689" s="8">
        <v>5.44</v>
      </c>
      <c r="E5689" s="4">
        <v>7</v>
      </c>
      <c r="F5689" s="8">
        <v>8.86</v>
      </c>
      <c r="G5689" s="4">
        <v>0</v>
      </c>
      <c r="H5689" s="8">
        <v>0</v>
      </c>
      <c r="I5689" s="4">
        <v>0</v>
      </c>
    </row>
    <row r="5690" spans="1:9" x14ac:dyDescent="0.2">
      <c r="A5690" s="2">
        <v>1</v>
      </c>
      <c r="B5690" s="1" t="s">
        <v>300</v>
      </c>
      <c r="C5690" s="4">
        <v>8</v>
      </c>
      <c r="D5690" s="8">
        <v>5.44</v>
      </c>
      <c r="E5690" s="4">
        <v>8</v>
      </c>
      <c r="F5690" s="8">
        <v>10.130000000000001</v>
      </c>
      <c r="G5690" s="4">
        <v>0</v>
      </c>
      <c r="H5690" s="8">
        <v>0</v>
      </c>
      <c r="I5690" s="4">
        <v>0</v>
      </c>
    </row>
    <row r="5691" spans="1:9" x14ac:dyDescent="0.2">
      <c r="A5691" s="2">
        <v>3</v>
      </c>
      <c r="B5691" s="1" t="s">
        <v>301</v>
      </c>
      <c r="C5691" s="4">
        <v>6</v>
      </c>
      <c r="D5691" s="8">
        <v>4.08</v>
      </c>
      <c r="E5691" s="4">
        <v>6</v>
      </c>
      <c r="F5691" s="8">
        <v>7.59</v>
      </c>
      <c r="G5691" s="4">
        <v>0</v>
      </c>
      <c r="H5691" s="8">
        <v>0</v>
      </c>
      <c r="I5691" s="4">
        <v>0</v>
      </c>
    </row>
    <row r="5692" spans="1:9" x14ac:dyDescent="0.2">
      <c r="A5692" s="2">
        <v>4</v>
      </c>
      <c r="B5692" s="1" t="s">
        <v>342</v>
      </c>
      <c r="C5692" s="4">
        <v>5</v>
      </c>
      <c r="D5692" s="8">
        <v>3.4</v>
      </c>
      <c r="E5692" s="4">
        <v>0</v>
      </c>
      <c r="F5692" s="8">
        <v>0</v>
      </c>
      <c r="G5692" s="4">
        <v>5</v>
      </c>
      <c r="H5692" s="8">
        <v>9.26</v>
      </c>
      <c r="I5692" s="4">
        <v>0</v>
      </c>
    </row>
    <row r="5693" spans="1:9" x14ac:dyDescent="0.2">
      <c r="A5693" s="2">
        <v>4</v>
      </c>
      <c r="B5693" s="1" t="s">
        <v>339</v>
      </c>
      <c r="C5693" s="4">
        <v>5</v>
      </c>
      <c r="D5693" s="8">
        <v>3.4</v>
      </c>
      <c r="E5693" s="4">
        <v>5</v>
      </c>
      <c r="F5693" s="8">
        <v>6.33</v>
      </c>
      <c r="G5693" s="4">
        <v>0</v>
      </c>
      <c r="H5693" s="8">
        <v>0</v>
      </c>
      <c r="I5693" s="4">
        <v>0</v>
      </c>
    </row>
    <row r="5694" spans="1:9" x14ac:dyDescent="0.2">
      <c r="A5694" s="2">
        <v>6</v>
      </c>
      <c r="B5694" s="1" t="s">
        <v>328</v>
      </c>
      <c r="C5694" s="4">
        <v>4</v>
      </c>
      <c r="D5694" s="8">
        <v>2.72</v>
      </c>
      <c r="E5694" s="4">
        <v>2</v>
      </c>
      <c r="F5694" s="8">
        <v>2.5299999999999998</v>
      </c>
      <c r="G5694" s="4">
        <v>2</v>
      </c>
      <c r="H5694" s="8">
        <v>3.7</v>
      </c>
      <c r="I5694" s="4">
        <v>0</v>
      </c>
    </row>
    <row r="5695" spans="1:9" x14ac:dyDescent="0.2">
      <c r="A5695" s="2">
        <v>6</v>
      </c>
      <c r="B5695" s="1" t="s">
        <v>292</v>
      </c>
      <c r="C5695" s="4">
        <v>4</v>
      </c>
      <c r="D5695" s="8">
        <v>2.72</v>
      </c>
      <c r="E5695" s="4">
        <v>2</v>
      </c>
      <c r="F5695" s="8">
        <v>2.5299999999999998</v>
      </c>
      <c r="G5695" s="4">
        <v>2</v>
      </c>
      <c r="H5695" s="8">
        <v>3.7</v>
      </c>
      <c r="I5695" s="4">
        <v>0</v>
      </c>
    </row>
    <row r="5696" spans="1:9" x14ac:dyDescent="0.2">
      <c r="A5696" s="2">
        <v>6</v>
      </c>
      <c r="B5696" s="1" t="s">
        <v>335</v>
      </c>
      <c r="C5696" s="4">
        <v>4</v>
      </c>
      <c r="D5696" s="8">
        <v>2.72</v>
      </c>
      <c r="E5696" s="4">
        <v>3</v>
      </c>
      <c r="F5696" s="8">
        <v>3.8</v>
      </c>
      <c r="G5696" s="4">
        <v>1</v>
      </c>
      <c r="H5696" s="8">
        <v>1.85</v>
      </c>
      <c r="I5696" s="4">
        <v>0</v>
      </c>
    </row>
    <row r="5697" spans="1:9" x14ac:dyDescent="0.2">
      <c r="A5697" s="2">
        <v>6</v>
      </c>
      <c r="B5697" s="1" t="s">
        <v>330</v>
      </c>
      <c r="C5697" s="4">
        <v>4</v>
      </c>
      <c r="D5697" s="8">
        <v>2.72</v>
      </c>
      <c r="E5697" s="4">
        <v>1</v>
      </c>
      <c r="F5697" s="8">
        <v>1.27</v>
      </c>
      <c r="G5697" s="4">
        <v>3</v>
      </c>
      <c r="H5697" s="8">
        <v>5.56</v>
      </c>
      <c r="I5697" s="4">
        <v>0</v>
      </c>
    </row>
    <row r="5698" spans="1:9" x14ac:dyDescent="0.2">
      <c r="A5698" s="2">
        <v>6</v>
      </c>
      <c r="B5698" s="1" t="s">
        <v>303</v>
      </c>
      <c r="C5698" s="4">
        <v>4</v>
      </c>
      <c r="D5698" s="8">
        <v>2.72</v>
      </c>
      <c r="E5698" s="4">
        <v>4</v>
      </c>
      <c r="F5698" s="8">
        <v>5.0599999999999996</v>
      </c>
      <c r="G5698" s="4">
        <v>0</v>
      </c>
      <c r="H5698" s="8">
        <v>0</v>
      </c>
      <c r="I5698" s="4">
        <v>0</v>
      </c>
    </row>
    <row r="5699" spans="1:9" x14ac:dyDescent="0.2">
      <c r="A5699" s="2">
        <v>6</v>
      </c>
      <c r="B5699" s="1" t="s">
        <v>341</v>
      </c>
      <c r="C5699" s="4">
        <v>4</v>
      </c>
      <c r="D5699" s="8">
        <v>2.72</v>
      </c>
      <c r="E5699" s="4">
        <v>0</v>
      </c>
      <c r="F5699" s="8">
        <v>0</v>
      </c>
      <c r="G5699" s="4">
        <v>0</v>
      </c>
      <c r="H5699" s="8">
        <v>0</v>
      </c>
      <c r="I5699" s="4">
        <v>0</v>
      </c>
    </row>
    <row r="5700" spans="1:9" x14ac:dyDescent="0.2">
      <c r="A5700" s="2">
        <v>12</v>
      </c>
      <c r="B5700" s="1" t="s">
        <v>288</v>
      </c>
      <c r="C5700" s="4">
        <v>3</v>
      </c>
      <c r="D5700" s="8">
        <v>2.04</v>
      </c>
      <c r="E5700" s="4">
        <v>0</v>
      </c>
      <c r="F5700" s="8">
        <v>0</v>
      </c>
      <c r="G5700" s="4">
        <v>3</v>
      </c>
      <c r="H5700" s="8">
        <v>5.56</v>
      </c>
      <c r="I5700" s="4">
        <v>0</v>
      </c>
    </row>
    <row r="5701" spans="1:9" x14ac:dyDescent="0.2">
      <c r="A5701" s="2">
        <v>12</v>
      </c>
      <c r="B5701" s="1" t="s">
        <v>320</v>
      </c>
      <c r="C5701" s="4">
        <v>3</v>
      </c>
      <c r="D5701" s="8">
        <v>2.04</v>
      </c>
      <c r="E5701" s="4">
        <v>2</v>
      </c>
      <c r="F5701" s="8">
        <v>2.5299999999999998</v>
      </c>
      <c r="G5701" s="4">
        <v>1</v>
      </c>
      <c r="H5701" s="8">
        <v>1.85</v>
      </c>
      <c r="I5701" s="4">
        <v>0</v>
      </c>
    </row>
    <row r="5702" spans="1:9" x14ac:dyDescent="0.2">
      <c r="A5702" s="2">
        <v>12</v>
      </c>
      <c r="B5702" s="1" t="s">
        <v>291</v>
      </c>
      <c r="C5702" s="4">
        <v>3</v>
      </c>
      <c r="D5702" s="8">
        <v>2.04</v>
      </c>
      <c r="E5702" s="4">
        <v>0</v>
      </c>
      <c r="F5702" s="8">
        <v>0</v>
      </c>
      <c r="G5702" s="4">
        <v>3</v>
      </c>
      <c r="H5702" s="8">
        <v>5.56</v>
      </c>
      <c r="I5702" s="4">
        <v>0</v>
      </c>
    </row>
    <row r="5703" spans="1:9" x14ac:dyDescent="0.2">
      <c r="A5703" s="2">
        <v>12</v>
      </c>
      <c r="B5703" s="1" t="s">
        <v>329</v>
      </c>
      <c r="C5703" s="4">
        <v>3</v>
      </c>
      <c r="D5703" s="8">
        <v>2.04</v>
      </c>
      <c r="E5703" s="4">
        <v>3</v>
      </c>
      <c r="F5703" s="8">
        <v>3.8</v>
      </c>
      <c r="G5703" s="4">
        <v>0</v>
      </c>
      <c r="H5703" s="8">
        <v>0</v>
      </c>
      <c r="I5703" s="4">
        <v>0</v>
      </c>
    </row>
    <row r="5704" spans="1:9" x14ac:dyDescent="0.2">
      <c r="A5704" s="2">
        <v>12</v>
      </c>
      <c r="B5704" s="1" t="s">
        <v>422</v>
      </c>
      <c r="C5704" s="4">
        <v>3</v>
      </c>
      <c r="D5704" s="8">
        <v>2.04</v>
      </c>
      <c r="E5704" s="4">
        <v>3</v>
      </c>
      <c r="F5704" s="8">
        <v>3.8</v>
      </c>
      <c r="G5704" s="4">
        <v>0</v>
      </c>
      <c r="H5704" s="8">
        <v>0</v>
      </c>
      <c r="I5704" s="4">
        <v>0</v>
      </c>
    </row>
    <row r="5705" spans="1:9" x14ac:dyDescent="0.2">
      <c r="A5705" s="2">
        <v>12</v>
      </c>
      <c r="B5705" s="1" t="s">
        <v>334</v>
      </c>
      <c r="C5705" s="4">
        <v>3</v>
      </c>
      <c r="D5705" s="8">
        <v>2.04</v>
      </c>
      <c r="E5705" s="4">
        <v>3</v>
      </c>
      <c r="F5705" s="8">
        <v>3.8</v>
      </c>
      <c r="G5705" s="4">
        <v>0</v>
      </c>
      <c r="H5705" s="8">
        <v>0</v>
      </c>
      <c r="I5705" s="4">
        <v>0</v>
      </c>
    </row>
    <row r="5706" spans="1:9" x14ac:dyDescent="0.2">
      <c r="A5706" s="2">
        <v>12</v>
      </c>
      <c r="B5706" s="1" t="s">
        <v>304</v>
      </c>
      <c r="C5706" s="4">
        <v>3</v>
      </c>
      <c r="D5706" s="8">
        <v>2.04</v>
      </c>
      <c r="E5706" s="4">
        <v>3</v>
      </c>
      <c r="F5706" s="8">
        <v>3.8</v>
      </c>
      <c r="G5706" s="4">
        <v>0</v>
      </c>
      <c r="H5706" s="8">
        <v>0</v>
      </c>
      <c r="I5706" s="4">
        <v>0</v>
      </c>
    </row>
    <row r="5707" spans="1:9" x14ac:dyDescent="0.2">
      <c r="A5707" s="2">
        <v>12</v>
      </c>
      <c r="B5707" s="1" t="s">
        <v>340</v>
      </c>
      <c r="C5707" s="4">
        <v>3</v>
      </c>
      <c r="D5707" s="8">
        <v>2.04</v>
      </c>
      <c r="E5707" s="4">
        <v>0</v>
      </c>
      <c r="F5707" s="8">
        <v>0</v>
      </c>
      <c r="G5707" s="4">
        <v>0</v>
      </c>
      <c r="H5707" s="8">
        <v>0</v>
      </c>
      <c r="I5707" s="4">
        <v>0</v>
      </c>
    </row>
    <row r="5708" spans="1:9" x14ac:dyDescent="0.2">
      <c r="A5708" s="2">
        <v>20</v>
      </c>
      <c r="B5708" s="1" t="s">
        <v>333</v>
      </c>
      <c r="C5708" s="4">
        <v>2</v>
      </c>
      <c r="D5708" s="8">
        <v>1.36</v>
      </c>
      <c r="E5708" s="4">
        <v>1</v>
      </c>
      <c r="F5708" s="8">
        <v>1.27</v>
      </c>
      <c r="G5708" s="4">
        <v>1</v>
      </c>
      <c r="H5708" s="8">
        <v>1.85</v>
      </c>
      <c r="I5708" s="4">
        <v>0</v>
      </c>
    </row>
    <row r="5709" spans="1:9" x14ac:dyDescent="0.2">
      <c r="A5709" s="2">
        <v>20</v>
      </c>
      <c r="B5709" s="1" t="s">
        <v>290</v>
      </c>
      <c r="C5709" s="4">
        <v>2</v>
      </c>
      <c r="D5709" s="8">
        <v>1.36</v>
      </c>
      <c r="E5709" s="4">
        <v>0</v>
      </c>
      <c r="F5709" s="8">
        <v>0</v>
      </c>
      <c r="G5709" s="4">
        <v>2</v>
      </c>
      <c r="H5709" s="8">
        <v>3.7</v>
      </c>
      <c r="I5709" s="4">
        <v>0</v>
      </c>
    </row>
    <row r="5710" spans="1:9" x14ac:dyDescent="0.2">
      <c r="A5710" s="2">
        <v>20</v>
      </c>
      <c r="B5710" s="1" t="s">
        <v>378</v>
      </c>
      <c r="C5710" s="4">
        <v>2</v>
      </c>
      <c r="D5710" s="8">
        <v>1.36</v>
      </c>
      <c r="E5710" s="4">
        <v>0</v>
      </c>
      <c r="F5710" s="8">
        <v>0</v>
      </c>
      <c r="G5710" s="4">
        <v>2</v>
      </c>
      <c r="H5710" s="8">
        <v>3.7</v>
      </c>
      <c r="I5710" s="4">
        <v>0</v>
      </c>
    </row>
    <row r="5711" spans="1:9" x14ac:dyDescent="0.2">
      <c r="A5711" s="2">
        <v>20</v>
      </c>
      <c r="B5711" s="1" t="s">
        <v>309</v>
      </c>
      <c r="C5711" s="4">
        <v>2</v>
      </c>
      <c r="D5711" s="8">
        <v>1.36</v>
      </c>
      <c r="E5711" s="4">
        <v>0</v>
      </c>
      <c r="F5711" s="8">
        <v>0</v>
      </c>
      <c r="G5711" s="4">
        <v>2</v>
      </c>
      <c r="H5711" s="8">
        <v>3.7</v>
      </c>
      <c r="I5711" s="4">
        <v>0</v>
      </c>
    </row>
    <row r="5712" spans="1:9" x14ac:dyDescent="0.2">
      <c r="A5712" s="2">
        <v>20</v>
      </c>
      <c r="B5712" s="1" t="s">
        <v>332</v>
      </c>
      <c r="C5712" s="4">
        <v>2</v>
      </c>
      <c r="D5712" s="8">
        <v>1.36</v>
      </c>
      <c r="E5712" s="4">
        <v>1</v>
      </c>
      <c r="F5712" s="8">
        <v>1.27</v>
      </c>
      <c r="G5712" s="4">
        <v>1</v>
      </c>
      <c r="H5712" s="8">
        <v>1.85</v>
      </c>
      <c r="I5712" s="4">
        <v>0</v>
      </c>
    </row>
    <row r="5713" spans="1:9" x14ac:dyDescent="0.2">
      <c r="A5713" s="2">
        <v>20</v>
      </c>
      <c r="B5713" s="1" t="s">
        <v>295</v>
      </c>
      <c r="C5713" s="4">
        <v>2</v>
      </c>
      <c r="D5713" s="8">
        <v>1.36</v>
      </c>
      <c r="E5713" s="4">
        <v>2</v>
      </c>
      <c r="F5713" s="8">
        <v>2.5299999999999998</v>
      </c>
      <c r="G5713" s="4">
        <v>0</v>
      </c>
      <c r="H5713" s="8">
        <v>0</v>
      </c>
      <c r="I5713" s="4">
        <v>0</v>
      </c>
    </row>
    <row r="5714" spans="1:9" x14ac:dyDescent="0.2">
      <c r="A5714" s="2">
        <v>20</v>
      </c>
      <c r="B5714" s="1" t="s">
        <v>403</v>
      </c>
      <c r="C5714" s="4">
        <v>2</v>
      </c>
      <c r="D5714" s="8">
        <v>1.36</v>
      </c>
      <c r="E5714" s="4">
        <v>0</v>
      </c>
      <c r="F5714" s="8">
        <v>0</v>
      </c>
      <c r="G5714" s="4">
        <v>2</v>
      </c>
      <c r="H5714" s="8">
        <v>3.7</v>
      </c>
      <c r="I5714" s="4">
        <v>0</v>
      </c>
    </row>
    <row r="5715" spans="1:9" x14ac:dyDescent="0.2">
      <c r="A5715" s="2">
        <v>20</v>
      </c>
      <c r="B5715" s="1" t="s">
        <v>299</v>
      </c>
      <c r="C5715" s="4">
        <v>2</v>
      </c>
      <c r="D5715" s="8">
        <v>1.36</v>
      </c>
      <c r="E5715" s="4">
        <v>2</v>
      </c>
      <c r="F5715" s="8">
        <v>2.5299999999999998</v>
      </c>
      <c r="G5715" s="4">
        <v>0</v>
      </c>
      <c r="H5715" s="8">
        <v>0</v>
      </c>
      <c r="I5715" s="4">
        <v>0</v>
      </c>
    </row>
    <row r="5716" spans="1:9" x14ac:dyDescent="0.2">
      <c r="A5716" s="2">
        <v>20</v>
      </c>
      <c r="B5716" s="1" t="s">
        <v>305</v>
      </c>
      <c r="C5716" s="4">
        <v>2</v>
      </c>
      <c r="D5716" s="8">
        <v>1.36</v>
      </c>
      <c r="E5716" s="4">
        <v>1</v>
      </c>
      <c r="F5716" s="8">
        <v>1.27</v>
      </c>
      <c r="G5716" s="4">
        <v>1</v>
      </c>
      <c r="H5716" s="8">
        <v>1.85</v>
      </c>
      <c r="I5716" s="4">
        <v>0</v>
      </c>
    </row>
    <row r="5717" spans="1:9" x14ac:dyDescent="0.2">
      <c r="A5717" s="2">
        <v>20</v>
      </c>
      <c r="B5717" s="1" t="s">
        <v>306</v>
      </c>
      <c r="C5717" s="4">
        <v>2</v>
      </c>
      <c r="D5717" s="8">
        <v>1.36</v>
      </c>
      <c r="E5717" s="4">
        <v>2</v>
      </c>
      <c r="F5717" s="8">
        <v>2.5299999999999998</v>
      </c>
      <c r="G5717" s="4">
        <v>0</v>
      </c>
      <c r="H5717" s="8">
        <v>0</v>
      </c>
      <c r="I5717" s="4">
        <v>0</v>
      </c>
    </row>
    <row r="5718" spans="1:9" x14ac:dyDescent="0.2">
      <c r="A5718" s="2">
        <v>20</v>
      </c>
      <c r="B5718" s="1" t="s">
        <v>370</v>
      </c>
      <c r="C5718" s="4">
        <v>2</v>
      </c>
      <c r="D5718" s="8">
        <v>1.36</v>
      </c>
      <c r="E5718" s="4">
        <v>0</v>
      </c>
      <c r="F5718" s="8">
        <v>0</v>
      </c>
      <c r="G5718" s="4">
        <v>0</v>
      </c>
      <c r="H5718" s="8">
        <v>0</v>
      </c>
      <c r="I5718" s="4">
        <v>0</v>
      </c>
    </row>
    <row r="5719" spans="1:9" x14ac:dyDescent="0.2">
      <c r="A5719" s="2">
        <v>20</v>
      </c>
      <c r="B5719" s="1" t="s">
        <v>371</v>
      </c>
      <c r="C5719" s="4">
        <v>2</v>
      </c>
      <c r="D5719" s="8">
        <v>1.36</v>
      </c>
      <c r="E5719" s="4">
        <v>2</v>
      </c>
      <c r="F5719" s="8">
        <v>2.5299999999999998</v>
      </c>
      <c r="G5719" s="4">
        <v>0</v>
      </c>
      <c r="H5719" s="8">
        <v>0</v>
      </c>
      <c r="I5719" s="4">
        <v>0</v>
      </c>
    </row>
    <row r="5720" spans="1:9" x14ac:dyDescent="0.2">
      <c r="A5720" s="1"/>
      <c r="C5720" s="4"/>
      <c r="D5720" s="8"/>
      <c r="E5720" s="4"/>
      <c r="F5720" s="8"/>
      <c r="G5720" s="4"/>
      <c r="H5720" s="8"/>
      <c r="I5720" s="4"/>
    </row>
    <row r="5721" spans="1:9" x14ac:dyDescent="0.2">
      <c r="A5721" s="1" t="s">
        <v>189</v>
      </c>
      <c r="C5721" s="4"/>
      <c r="D5721" s="8"/>
      <c r="E5721" s="4"/>
      <c r="F5721" s="8"/>
      <c r="G5721" s="4"/>
      <c r="H5721" s="8"/>
      <c r="I5721" s="4"/>
    </row>
    <row r="5722" spans="1:9" x14ac:dyDescent="0.2">
      <c r="A5722" s="2">
        <v>1</v>
      </c>
      <c r="B5722" s="1" t="s">
        <v>297</v>
      </c>
      <c r="C5722" s="4">
        <v>21</v>
      </c>
      <c r="D5722" s="8">
        <v>12.21</v>
      </c>
      <c r="E5722" s="4">
        <v>14</v>
      </c>
      <c r="F5722" s="8">
        <v>16.28</v>
      </c>
      <c r="G5722" s="4">
        <v>7</v>
      </c>
      <c r="H5722" s="8">
        <v>8.5399999999999991</v>
      </c>
      <c r="I5722" s="4">
        <v>0</v>
      </c>
    </row>
    <row r="5723" spans="1:9" x14ac:dyDescent="0.2">
      <c r="A5723" s="2">
        <v>2</v>
      </c>
      <c r="B5723" s="1" t="s">
        <v>342</v>
      </c>
      <c r="C5723" s="4">
        <v>12</v>
      </c>
      <c r="D5723" s="8">
        <v>6.98</v>
      </c>
      <c r="E5723" s="4">
        <v>4</v>
      </c>
      <c r="F5723" s="8">
        <v>4.6500000000000004</v>
      </c>
      <c r="G5723" s="4">
        <v>8</v>
      </c>
      <c r="H5723" s="8">
        <v>9.76</v>
      </c>
      <c r="I5723" s="4">
        <v>0</v>
      </c>
    </row>
    <row r="5724" spans="1:9" x14ac:dyDescent="0.2">
      <c r="A5724" s="2">
        <v>3</v>
      </c>
      <c r="B5724" s="1" t="s">
        <v>339</v>
      </c>
      <c r="C5724" s="4">
        <v>9</v>
      </c>
      <c r="D5724" s="8">
        <v>5.23</v>
      </c>
      <c r="E5724" s="4">
        <v>5</v>
      </c>
      <c r="F5724" s="8">
        <v>5.81</v>
      </c>
      <c r="G5724" s="4">
        <v>4</v>
      </c>
      <c r="H5724" s="8">
        <v>4.88</v>
      </c>
      <c r="I5724" s="4">
        <v>0</v>
      </c>
    </row>
    <row r="5725" spans="1:9" x14ac:dyDescent="0.2">
      <c r="A5725" s="2">
        <v>3</v>
      </c>
      <c r="B5725" s="1" t="s">
        <v>301</v>
      </c>
      <c r="C5725" s="4">
        <v>9</v>
      </c>
      <c r="D5725" s="8">
        <v>5.23</v>
      </c>
      <c r="E5725" s="4">
        <v>9</v>
      </c>
      <c r="F5725" s="8">
        <v>10.47</v>
      </c>
      <c r="G5725" s="4">
        <v>0</v>
      </c>
      <c r="H5725" s="8">
        <v>0</v>
      </c>
      <c r="I5725" s="4">
        <v>0</v>
      </c>
    </row>
    <row r="5726" spans="1:9" x14ac:dyDescent="0.2">
      <c r="A5726" s="2">
        <v>3</v>
      </c>
      <c r="B5726" s="1" t="s">
        <v>304</v>
      </c>
      <c r="C5726" s="4">
        <v>9</v>
      </c>
      <c r="D5726" s="8">
        <v>5.23</v>
      </c>
      <c r="E5726" s="4">
        <v>8</v>
      </c>
      <c r="F5726" s="8">
        <v>9.3000000000000007</v>
      </c>
      <c r="G5726" s="4">
        <v>1</v>
      </c>
      <c r="H5726" s="8">
        <v>1.22</v>
      </c>
      <c r="I5726" s="4">
        <v>0</v>
      </c>
    </row>
    <row r="5727" spans="1:9" x14ac:dyDescent="0.2">
      <c r="A5727" s="2">
        <v>6</v>
      </c>
      <c r="B5727" s="1" t="s">
        <v>292</v>
      </c>
      <c r="C5727" s="4">
        <v>6</v>
      </c>
      <c r="D5727" s="8">
        <v>3.49</v>
      </c>
      <c r="E5727" s="4">
        <v>4</v>
      </c>
      <c r="F5727" s="8">
        <v>4.6500000000000004</v>
      </c>
      <c r="G5727" s="4">
        <v>2</v>
      </c>
      <c r="H5727" s="8">
        <v>2.44</v>
      </c>
      <c r="I5727" s="4">
        <v>0</v>
      </c>
    </row>
    <row r="5728" spans="1:9" x14ac:dyDescent="0.2">
      <c r="A5728" s="2">
        <v>7</v>
      </c>
      <c r="B5728" s="1" t="s">
        <v>300</v>
      </c>
      <c r="C5728" s="4">
        <v>5</v>
      </c>
      <c r="D5728" s="8">
        <v>2.91</v>
      </c>
      <c r="E5728" s="4">
        <v>5</v>
      </c>
      <c r="F5728" s="8">
        <v>5.81</v>
      </c>
      <c r="G5728" s="4">
        <v>0</v>
      </c>
      <c r="H5728" s="8">
        <v>0</v>
      </c>
      <c r="I5728" s="4">
        <v>0</v>
      </c>
    </row>
    <row r="5729" spans="1:9" x14ac:dyDescent="0.2">
      <c r="A5729" s="2">
        <v>7</v>
      </c>
      <c r="B5729" s="1" t="s">
        <v>303</v>
      </c>
      <c r="C5729" s="4">
        <v>5</v>
      </c>
      <c r="D5729" s="8">
        <v>2.91</v>
      </c>
      <c r="E5729" s="4">
        <v>5</v>
      </c>
      <c r="F5729" s="8">
        <v>5.81</v>
      </c>
      <c r="G5729" s="4">
        <v>0</v>
      </c>
      <c r="H5729" s="8">
        <v>0</v>
      </c>
      <c r="I5729" s="4">
        <v>0</v>
      </c>
    </row>
    <row r="5730" spans="1:9" x14ac:dyDescent="0.2">
      <c r="A5730" s="2">
        <v>9</v>
      </c>
      <c r="B5730" s="1" t="s">
        <v>314</v>
      </c>
      <c r="C5730" s="4">
        <v>4</v>
      </c>
      <c r="D5730" s="8">
        <v>2.33</v>
      </c>
      <c r="E5730" s="4">
        <v>2</v>
      </c>
      <c r="F5730" s="8">
        <v>2.33</v>
      </c>
      <c r="G5730" s="4">
        <v>2</v>
      </c>
      <c r="H5730" s="8">
        <v>2.44</v>
      </c>
      <c r="I5730" s="4">
        <v>0</v>
      </c>
    </row>
    <row r="5731" spans="1:9" x14ac:dyDescent="0.2">
      <c r="A5731" s="2">
        <v>9</v>
      </c>
      <c r="B5731" s="1" t="s">
        <v>334</v>
      </c>
      <c r="C5731" s="4">
        <v>4</v>
      </c>
      <c r="D5731" s="8">
        <v>2.33</v>
      </c>
      <c r="E5731" s="4">
        <v>4</v>
      </c>
      <c r="F5731" s="8">
        <v>4.6500000000000004</v>
      </c>
      <c r="G5731" s="4">
        <v>0</v>
      </c>
      <c r="H5731" s="8">
        <v>0</v>
      </c>
      <c r="I5731" s="4">
        <v>0</v>
      </c>
    </row>
    <row r="5732" spans="1:9" x14ac:dyDescent="0.2">
      <c r="A5732" s="2">
        <v>11</v>
      </c>
      <c r="B5732" s="1" t="s">
        <v>333</v>
      </c>
      <c r="C5732" s="4">
        <v>3</v>
      </c>
      <c r="D5732" s="8">
        <v>1.74</v>
      </c>
      <c r="E5732" s="4">
        <v>2</v>
      </c>
      <c r="F5732" s="8">
        <v>2.33</v>
      </c>
      <c r="G5732" s="4">
        <v>1</v>
      </c>
      <c r="H5732" s="8">
        <v>1.22</v>
      </c>
      <c r="I5732" s="4">
        <v>0</v>
      </c>
    </row>
    <row r="5733" spans="1:9" x14ac:dyDescent="0.2">
      <c r="A5733" s="2">
        <v>11</v>
      </c>
      <c r="B5733" s="1" t="s">
        <v>324</v>
      </c>
      <c r="C5733" s="4">
        <v>3</v>
      </c>
      <c r="D5733" s="8">
        <v>1.74</v>
      </c>
      <c r="E5733" s="4">
        <v>1</v>
      </c>
      <c r="F5733" s="8">
        <v>1.1599999999999999</v>
      </c>
      <c r="G5733" s="4">
        <v>2</v>
      </c>
      <c r="H5733" s="8">
        <v>2.44</v>
      </c>
      <c r="I5733" s="4">
        <v>0</v>
      </c>
    </row>
    <row r="5734" spans="1:9" x14ac:dyDescent="0.2">
      <c r="A5734" s="2">
        <v>11</v>
      </c>
      <c r="B5734" s="1" t="s">
        <v>330</v>
      </c>
      <c r="C5734" s="4">
        <v>3</v>
      </c>
      <c r="D5734" s="8">
        <v>1.74</v>
      </c>
      <c r="E5734" s="4">
        <v>1</v>
      </c>
      <c r="F5734" s="8">
        <v>1.1599999999999999</v>
      </c>
      <c r="G5734" s="4">
        <v>2</v>
      </c>
      <c r="H5734" s="8">
        <v>2.44</v>
      </c>
      <c r="I5734" s="4">
        <v>0</v>
      </c>
    </row>
    <row r="5735" spans="1:9" x14ac:dyDescent="0.2">
      <c r="A5735" s="2">
        <v>11</v>
      </c>
      <c r="B5735" s="1" t="s">
        <v>296</v>
      </c>
      <c r="C5735" s="4">
        <v>3</v>
      </c>
      <c r="D5735" s="8">
        <v>1.74</v>
      </c>
      <c r="E5735" s="4">
        <v>1</v>
      </c>
      <c r="F5735" s="8">
        <v>1.1599999999999999</v>
      </c>
      <c r="G5735" s="4">
        <v>2</v>
      </c>
      <c r="H5735" s="8">
        <v>2.44</v>
      </c>
      <c r="I5735" s="4">
        <v>0</v>
      </c>
    </row>
    <row r="5736" spans="1:9" x14ac:dyDescent="0.2">
      <c r="A5736" s="2">
        <v>11</v>
      </c>
      <c r="B5736" s="1" t="s">
        <v>302</v>
      </c>
      <c r="C5736" s="4">
        <v>3</v>
      </c>
      <c r="D5736" s="8">
        <v>1.74</v>
      </c>
      <c r="E5736" s="4">
        <v>3</v>
      </c>
      <c r="F5736" s="8">
        <v>3.49</v>
      </c>
      <c r="G5736" s="4">
        <v>0</v>
      </c>
      <c r="H5736" s="8">
        <v>0</v>
      </c>
      <c r="I5736" s="4">
        <v>0</v>
      </c>
    </row>
    <row r="5737" spans="1:9" x14ac:dyDescent="0.2">
      <c r="A5737" s="2">
        <v>11</v>
      </c>
      <c r="B5737" s="1" t="s">
        <v>306</v>
      </c>
      <c r="C5737" s="4">
        <v>3</v>
      </c>
      <c r="D5737" s="8">
        <v>1.74</v>
      </c>
      <c r="E5737" s="4">
        <v>3</v>
      </c>
      <c r="F5737" s="8">
        <v>3.49</v>
      </c>
      <c r="G5737" s="4">
        <v>0</v>
      </c>
      <c r="H5737" s="8">
        <v>0</v>
      </c>
      <c r="I5737" s="4">
        <v>0</v>
      </c>
    </row>
    <row r="5738" spans="1:9" x14ac:dyDescent="0.2">
      <c r="A5738" s="2">
        <v>17</v>
      </c>
      <c r="B5738" s="1" t="s">
        <v>289</v>
      </c>
      <c r="C5738" s="4">
        <v>2</v>
      </c>
      <c r="D5738" s="8">
        <v>1.1599999999999999</v>
      </c>
      <c r="E5738" s="4">
        <v>0</v>
      </c>
      <c r="F5738" s="8">
        <v>0</v>
      </c>
      <c r="G5738" s="4">
        <v>2</v>
      </c>
      <c r="H5738" s="8">
        <v>2.44</v>
      </c>
      <c r="I5738" s="4">
        <v>0</v>
      </c>
    </row>
    <row r="5739" spans="1:9" x14ac:dyDescent="0.2">
      <c r="A5739" s="2">
        <v>17</v>
      </c>
      <c r="B5739" s="1" t="s">
        <v>525</v>
      </c>
      <c r="C5739" s="4">
        <v>2</v>
      </c>
      <c r="D5739" s="8">
        <v>1.1599999999999999</v>
      </c>
      <c r="E5739" s="4">
        <v>0</v>
      </c>
      <c r="F5739" s="8">
        <v>0</v>
      </c>
      <c r="G5739" s="4">
        <v>2</v>
      </c>
      <c r="H5739" s="8">
        <v>2.44</v>
      </c>
      <c r="I5739" s="4">
        <v>0</v>
      </c>
    </row>
    <row r="5740" spans="1:9" x14ac:dyDescent="0.2">
      <c r="A5740" s="2">
        <v>17</v>
      </c>
      <c r="B5740" s="1" t="s">
        <v>357</v>
      </c>
      <c r="C5740" s="4">
        <v>2</v>
      </c>
      <c r="D5740" s="8">
        <v>1.1599999999999999</v>
      </c>
      <c r="E5740" s="4">
        <v>0</v>
      </c>
      <c r="F5740" s="8">
        <v>0</v>
      </c>
      <c r="G5740" s="4">
        <v>2</v>
      </c>
      <c r="H5740" s="8">
        <v>2.44</v>
      </c>
      <c r="I5740" s="4">
        <v>0</v>
      </c>
    </row>
    <row r="5741" spans="1:9" x14ac:dyDescent="0.2">
      <c r="A5741" s="2">
        <v>17</v>
      </c>
      <c r="B5741" s="1" t="s">
        <v>364</v>
      </c>
      <c r="C5741" s="4">
        <v>2</v>
      </c>
      <c r="D5741" s="8">
        <v>1.1599999999999999</v>
      </c>
      <c r="E5741" s="4">
        <v>0</v>
      </c>
      <c r="F5741" s="8">
        <v>0</v>
      </c>
      <c r="G5741" s="4">
        <v>2</v>
      </c>
      <c r="H5741" s="8">
        <v>2.44</v>
      </c>
      <c r="I5741" s="4">
        <v>0</v>
      </c>
    </row>
    <row r="5742" spans="1:9" x14ac:dyDescent="0.2">
      <c r="A5742" s="2">
        <v>17</v>
      </c>
      <c r="B5742" s="1" t="s">
        <v>441</v>
      </c>
      <c r="C5742" s="4">
        <v>2</v>
      </c>
      <c r="D5742" s="8">
        <v>1.1599999999999999</v>
      </c>
      <c r="E5742" s="4">
        <v>0</v>
      </c>
      <c r="F5742" s="8">
        <v>0</v>
      </c>
      <c r="G5742" s="4">
        <v>2</v>
      </c>
      <c r="H5742" s="8">
        <v>2.44</v>
      </c>
      <c r="I5742" s="4">
        <v>0</v>
      </c>
    </row>
    <row r="5743" spans="1:9" x14ac:dyDescent="0.2">
      <c r="A5743" s="2">
        <v>17</v>
      </c>
      <c r="B5743" s="1" t="s">
        <v>354</v>
      </c>
      <c r="C5743" s="4">
        <v>2</v>
      </c>
      <c r="D5743" s="8">
        <v>1.1599999999999999</v>
      </c>
      <c r="E5743" s="4">
        <v>0</v>
      </c>
      <c r="F5743" s="8">
        <v>0</v>
      </c>
      <c r="G5743" s="4">
        <v>2</v>
      </c>
      <c r="H5743" s="8">
        <v>2.44</v>
      </c>
      <c r="I5743" s="4">
        <v>0</v>
      </c>
    </row>
    <row r="5744" spans="1:9" x14ac:dyDescent="0.2">
      <c r="A5744" s="2">
        <v>17</v>
      </c>
      <c r="B5744" s="1" t="s">
        <v>332</v>
      </c>
      <c r="C5744" s="4">
        <v>2</v>
      </c>
      <c r="D5744" s="8">
        <v>1.1599999999999999</v>
      </c>
      <c r="E5744" s="4">
        <v>1</v>
      </c>
      <c r="F5744" s="8">
        <v>1.1599999999999999</v>
      </c>
      <c r="G5744" s="4">
        <v>1</v>
      </c>
      <c r="H5744" s="8">
        <v>1.22</v>
      </c>
      <c r="I5744" s="4">
        <v>0</v>
      </c>
    </row>
    <row r="5745" spans="1:9" x14ac:dyDescent="0.2">
      <c r="A5745" s="2">
        <v>17</v>
      </c>
      <c r="B5745" s="1" t="s">
        <v>294</v>
      </c>
      <c r="C5745" s="4">
        <v>2</v>
      </c>
      <c r="D5745" s="8">
        <v>1.1599999999999999</v>
      </c>
      <c r="E5745" s="4">
        <v>0</v>
      </c>
      <c r="F5745" s="8">
        <v>0</v>
      </c>
      <c r="G5745" s="4">
        <v>2</v>
      </c>
      <c r="H5745" s="8">
        <v>2.44</v>
      </c>
      <c r="I5745" s="4">
        <v>0</v>
      </c>
    </row>
    <row r="5746" spans="1:9" x14ac:dyDescent="0.2">
      <c r="A5746" s="2">
        <v>17</v>
      </c>
      <c r="B5746" s="1" t="s">
        <v>295</v>
      </c>
      <c r="C5746" s="4">
        <v>2</v>
      </c>
      <c r="D5746" s="8">
        <v>1.1599999999999999</v>
      </c>
      <c r="E5746" s="4">
        <v>1</v>
      </c>
      <c r="F5746" s="8">
        <v>1.1599999999999999</v>
      </c>
      <c r="G5746" s="4">
        <v>1</v>
      </c>
      <c r="H5746" s="8">
        <v>1.22</v>
      </c>
      <c r="I5746" s="4">
        <v>0</v>
      </c>
    </row>
    <row r="5747" spans="1:9" x14ac:dyDescent="0.2">
      <c r="A5747" s="2">
        <v>17</v>
      </c>
      <c r="B5747" s="1" t="s">
        <v>311</v>
      </c>
      <c r="C5747" s="4">
        <v>2</v>
      </c>
      <c r="D5747" s="8">
        <v>1.1599999999999999</v>
      </c>
      <c r="E5747" s="4">
        <v>1</v>
      </c>
      <c r="F5747" s="8">
        <v>1.1599999999999999</v>
      </c>
      <c r="G5747" s="4">
        <v>1</v>
      </c>
      <c r="H5747" s="8">
        <v>1.22</v>
      </c>
      <c r="I5747" s="4">
        <v>0</v>
      </c>
    </row>
    <row r="5748" spans="1:9" x14ac:dyDescent="0.2">
      <c r="A5748" s="2">
        <v>17</v>
      </c>
      <c r="B5748" s="1" t="s">
        <v>419</v>
      </c>
      <c r="C5748" s="4">
        <v>2</v>
      </c>
      <c r="D5748" s="8">
        <v>1.1599999999999999</v>
      </c>
      <c r="E5748" s="4">
        <v>2</v>
      </c>
      <c r="F5748" s="8">
        <v>2.33</v>
      </c>
      <c r="G5748" s="4">
        <v>0</v>
      </c>
      <c r="H5748" s="8">
        <v>0</v>
      </c>
      <c r="I5748" s="4">
        <v>0</v>
      </c>
    </row>
    <row r="5749" spans="1:9" x14ac:dyDescent="0.2">
      <c r="A5749" s="2">
        <v>17</v>
      </c>
      <c r="B5749" s="1" t="s">
        <v>397</v>
      </c>
      <c r="C5749" s="4">
        <v>2</v>
      </c>
      <c r="D5749" s="8">
        <v>1.1599999999999999</v>
      </c>
      <c r="E5749" s="4">
        <v>0</v>
      </c>
      <c r="F5749" s="8">
        <v>0</v>
      </c>
      <c r="G5749" s="4">
        <v>2</v>
      </c>
      <c r="H5749" s="8">
        <v>2.44</v>
      </c>
      <c r="I5749" s="4">
        <v>0</v>
      </c>
    </row>
    <row r="5750" spans="1:9" x14ac:dyDescent="0.2">
      <c r="A5750" s="2">
        <v>17</v>
      </c>
      <c r="B5750" s="1" t="s">
        <v>307</v>
      </c>
      <c r="C5750" s="4">
        <v>2</v>
      </c>
      <c r="D5750" s="8">
        <v>1.1599999999999999</v>
      </c>
      <c r="E5750" s="4">
        <v>2</v>
      </c>
      <c r="F5750" s="8">
        <v>2.33</v>
      </c>
      <c r="G5750" s="4">
        <v>0</v>
      </c>
      <c r="H5750" s="8">
        <v>0</v>
      </c>
      <c r="I5750" s="4">
        <v>0</v>
      </c>
    </row>
    <row r="5751" spans="1:9" x14ac:dyDescent="0.2">
      <c r="A5751" s="2">
        <v>17</v>
      </c>
      <c r="B5751" s="1" t="s">
        <v>371</v>
      </c>
      <c r="C5751" s="4">
        <v>2</v>
      </c>
      <c r="D5751" s="8">
        <v>1.1599999999999999</v>
      </c>
      <c r="E5751" s="4">
        <v>0</v>
      </c>
      <c r="F5751" s="8">
        <v>0</v>
      </c>
      <c r="G5751" s="4">
        <v>2</v>
      </c>
      <c r="H5751" s="8">
        <v>2.44</v>
      </c>
      <c r="I5751" s="4">
        <v>0</v>
      </c>
    </row>
    <row r="5752" spans="1:9" x14ac:dyDescent="0.2">
      <c r="A5752" s="1"/>
      <c r="C5752" s="4"/>
      <c r="D5752" s="8"/>
      <c r="E5752" s="4"/>
      <c r="F5752" s="8"/>
      <c r="G5752" s="4"/>
      <c r="H5752" s="8"/>
      <c r="I5752" s="4"/>
    </row>
  </sheetData>
  <phoneticPr fontId="1"/>
  <pageMargins left="0.70866141732283505" right="0.70866141732283505" top="0.74803149606299202" bottom="0.74803149606299202" header="0.31496062992126" footer="0.31496062992126"/>
  <pageSetup paperSize="12" fitToHeight="0" orientation="portrait" r:id="rId2"/>
  <headerFooter>
    <oddHeader>&amp;C自治体別 事業所数 産業小分類トップ２０</oddHeader>
    <oddFooter>&amp;C&amp;P /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4C88F-C5C3-404A-9650-B2ED4DD40845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0.1</v>
      </c>
      <c r="E5" s="12">
        <v>0</v>
      </c>
      <c r="F5" s="8">
        <v>0</v>
      </c>
      <c r="G5" s="12">
        <v>1</v>
      </c>
      <c r="H5" s="8">
        <v>0.22</v>
      </c>
      <c r="I5" s="12">
        <v>0</v>
      </c>
    </row>
    <row r="6" spans="2:9" ht="15" customHeight="1" x14ac:dyDescent="0.2">
      <c r="B6" t="s">
        <v>191</v>
      </c>
      <c r="C6" s="12">
        <v>136</v>
      </c>
      <c r="D6" s="8">
        <v>13.44</v>
      </c>
      <c r="E6" s="12">
        <v>31</v>
      </c>
      <c r="F6" s="8">
        <v>5.94</v>
      </c>
      <c r="G6" s="12">
        <v>105</v>
      </c>
      <c r="H6" s="8">
        <v>22.78</v>
      </c>
      <c r="I6" s="12">
        <v>0</v>
      </c>
    </row>
    <row r="7" spans="2:9" ht="15" customHeight="1" x14ac:dyDescent="0.2">
      <c r="B7" t="s">
        <v>192</v>
      </c>
      <c r="C7" s="12">
        <v>41</v>
      </c>
      <c r="D7" s="8">
        <v>4.05</v>
      </c>
      <c r="E7" s="12">
        <v>9</v>
      </c>
      <c r="F7" s="8">
        <v>1.72</v>
      </c>
      <c r="G7" s="12">
        <v>32</v>
      </c>
      <c r="H7" s="8">
        <v>6.94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0.1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3</v>
      </c>
      <c r="D9" s="8">
        <v>0.3</v>
      </c>
      <c r="E9" s="12">
        <v>0</v>
      </c>
      <c r="F9" s="8">
        <v>0</v>
      </c>
      <c r="G9" s="12">
        <v>3</v>
      </c>
      <c r="H9" s="8">
        <v>0.65</v>
      </c>
      <c r="I9" s="12">
        <v>0</v>
      </c>
    </row>
    <row r="10" spans="2:9" ht="15" customHeight="1" x14ac:dyDescent="0.2">
      <c r="B10" t="s">
        <v>195</v>
      </c>
      <c r="C10" s="12">
        <v>13</v>
      </c>
      <c r="D10" s="8">
        <v>1.28</v>
      </c>
      <c r="E10" s="12">
        <v>4</v>
      </c>
      <c r="F10" s="8">
        <v>0.77</v>
      </c>
      <c r="G10" s="12">
        <v>9</v>
      </c>
      <c r="H10" s="8">
        <v>1.95</v>
      </c>
      <c r="I10" s="12">
        <v>0</v>
      </c>
    </row>
    <row r="11" spans="2:9" ht="15" customHeight="1" x14ac:dyDescent="0.2">
      <c r="B11" t="s">
        <v>196</v>
      </c>
      <c r="C11" s="12">
        <v>213</v>
      </c>
      <c r="D11" s="8">
        <v>21.05</v>
      </c>
      <c r="E11" s="12">
        <v>69</v>
      </c>
      <c r="F11" s="8">
        <v>13.22</v>
      </c>
      <c r="G11" s="12">
        <v>144</v>
      </c>
      <c r="H11" s="8">
        <v>31.24</v>
      </c>
      <c r="I11" s="12">
        <v>0</v>
      </c>
    </row>
    <row r="12" spans="2:9" ht="15" customHeight="1" x14ac:dyDescent="0.2">
      <c r="B12" t="s">
        <v>197</v>
      </c>
      <c r="C12" s="12">
        <v>10</v>
      </c>
      <c r="D12" s="8">
        <v>0.99</v>
      </c>
      <c r="E12" s="12">
        <v>3</v>
      </c>
      <c r="F12" s="8">
        <v>0.56999999999999995</v>
      </c>
      <c r="G12" s="12">
        <v>7</v>
      </c>
      <c r="H12" s="8">
        <v>1.52</v>
      </c>
      <c r="I12" s="12">
        <v>0</v>
      </c>
    </row>
    <row r="13" spans="2:9" ht="15" customHeight="1" x14ac:dyDescent="0.2">
      <c r="B13" t="s">
        <v>198</v>
      </c>
      <c r="C13" s="12">
        <v>79</v>
      </c>
      <c r="D13" s="8">
        <v>7.81</v>
      </c>
      <c r="E13" s="12">
        <v>43</v>
      </c>
      <c r="F13" s="8">
        <v>8.24</v>
      </c>
      <c r="G13" s="12">
        <v>36</v>
      </c>
      <c r="H13" s="8">
        <v>7.81</v>
      </c>
      <c r="I13" s="12">
        <v>0</v>
      </c>
    </row>
    <row r="14" spans="2:9" ht="15" customHeight="1" x14ac:dyDescent="0.2">
      <c r="B14" t="s">
        <v>199</v>
      </c>
      <c r="C14" s="12">
        <v>40</v>
      </c>
      <c r="D14" s="8">
        <v>3.95</v>
      </c>
      <c r="E14" s="12">
        <v>24</v>
      </c>
      <c r="F14" s="8">
        <v>4.5999999999999996</v>
      </c>
      <c r="G14" s="12">
        <v>15</v>
      </c>
      <c r="H14" s="8">
        <v>3.25</v>
      </c>
      <c r="I14" s="12">
        <v>0</v>
      </c>
    </row>
    <row r="15" spans="2:9" ht="15" customHeight="1" x14ac:dyDescent="0.2">
      <c r="B15" t="s">
        <v>200</v>
      </c>
      <c r="C15" s="12">
        <v>177</v>
      </c>
      <c r="D15" s="8">
        <v>17.489999999999998</v>
      </c>
      <c r="E15" s="12">
        <v>140</v>
      </c>
      <c r="F15" s="8">
        <v>26.82</v>
      </c>
      <c r="G15" s="12">
        <v>37</v>
      </c>
      <c r="H15" s="8">
        <v>8.0299999999999994</v>
      </c>
      <c r="I15" s="12">
        <v>0</v>
      </c>
    </row>
    <row r="16" spans="2:9" ht="15" customHeight="1" x14ac:dyDescent="0.2">
      <c r="B16" t="s">
        <v>201</v>
      </c>
      <c r="C16" s="12">
        <v>153</v>
      </c>
      <c r="D16" s="8">
        <v>15.12</v>
      </c>
      <c r="E16" s="12">
        <v>125</v>
      </c>
      <c r="F16" s="8">
        <v>23.95</v>
      </c>
      <c r="G16" s="12">
        <v>25</v>
      </c>
      <c r="H16" s="8">
        <v>5.42</v>
      </c>
      <c r="I16" s="12">
        <v>0</v>
      </c>
    </row>
    <row r="17" spans="2:9" ht="15" customHeight="1" x14ac:dyDescent="0.2">
      <c r="B17" t="s">
        <v>202</v>
      </c>
      <c r="C17" s="12">
        <v>33</v>
      </c>
      <c r="D17" s="8">
        <v>3.26</v>
      </c>
      <c r="E17" s="12">
        <v>21</v>
      </c>
      <c r="F17" s="8">
        <v>4.0199999999999996</v>
      </c>
      <c r="G17" s="12">
        <v>8</v>
      </c>
      <c r="H17" s="8">
        <v>1.74</v>
      </c>
      <c r="I17" s="12">
        <v>0</v>
      </c>
    </row>
    <row r="18" spans="2:9" ht="15" customHeight="1" x14ac:dyDescent="0.2">
      <c r="B18" t="s">
        <v>203</v>
      </c>
      <c r="C18" s="12">
        <v>57</v>
      </c>
      <c r="D18" s="8">
        <v>5.63</v>
      </c>
      <c r="E18" s="12">
        <v>35</v>
      </c>
      <c r="F18" s="8">
        <v>6.7</v>
      </c>
      <c r="G18" s="12">
        <v>17</v>
      </c>
      <c r="H18" s="8">
        <v>3.69</v>
      </c>
      <c r="I18" s="12">
        <v>0</v>
      </c>
    </row>
    <row r="19" spans="2:9" ht="15" customHeight="1" x14ac:dyDescent="0.2">
      <c r="B19" t="s">
        <v>204</v>
      </c>
      <c r="C19" s="12">
        <v>55</v>
      </c>
      <c r="D19" s="8">
        <v>5.43</v>
      </c>
      <c r="E19" s="12">
        <v>18</v>
      </c>
      <c r="F19" s="8">
        <v>3.45</v>
      </c>
      <c r="G19" s="12">
        <v>22</v>
      </c>
      <c r="H19" s="8">
        <v>4.7699999999999996</v>
      </c>
      <c r="I19" s="12">
        <v>13</v>
      </c>
    </row>
    <row r="20" spans="2:9" ht="15" customHeight="1" x14ac:dyDescent="0.2">
      <c r="B20" s="9" t="s">
        <v>529</v>
      </c>
      <c r="C20" s="12">
        <f>SUM(LTBL_01225[総数／事業所数])</f>
        <v>1012</v>
      </c>
      <c r="E20" s="12">
        <f>SUBTOTAL(109,LTBL_01225[個人／事業所数])</f>
        <v>522</v>
      </c>
      <c r="G20" s="12">
        <f>SUBTOTAL(109,LTBL_01225[法人／事業所数])</f>
        <v>461</v>
      </c>
      <c r="I20" s="12">
        <f>SUBTOTAL(109,LTBL_01225[法人以外の団体／事業所数])</f>
        <v>13</v>
      </c>
    </row>
    <row r="21" spans="2:9" ht="15" customHeight="1" x14ac:dyDescent="0.2">
      <c r="E21" s="11">
        <f>LTBL_01225[[#Totals],[個人／事業所数]]/LTBL_01225[[#Totals],[総数／事業所数]]</f>
        <v>0.51581027667984192</v>
      </c>
      <c r="G21" s="11">
        <f>LTBL_01225[[#Totals],[法人／事業所数]]/LTBL_01225[[#Totals],[総数／事業所数]]</f>
        <v>0.45553359683794464</v>
      </c>
      <c r="I21" s="11">
        <f>LTBL_01225[[#Totals],[法人以外の団体／事業所数]]/LTBL_01225[[#Totals],[総数／事業所数]]</f>
        <v>1.2845849802371542E-2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166</v>
      </c>
      <c r="D24" s="8">
        <v>16.399999999999999</v>
      </c>
      <c r="E24" s="12">
        <v>136</v>
      </c>
      <c r="F24" s="8">
        <v>26.05</v>
      </c>
      <c r="G24" s="12">
        <v>30</v>
      </c>
      <c r="H24" s="8">
        <v>6.51</v>
      </c>
      <c r="I24" s="12">
        <v>0</v>
      </c>
    </row>
    <row r="25" spans="2:9" ht="15" customHeight="1" x14ac:dyDescent="0.2">
      <c r="B25" t="s">
        <v>228</v>
      </c>
      <c r="C25" s="12">
        <v>132</v>
      </c>
      <c r="D25" s="8">
        <v>13.04</v>
      </c>
      <c r="E25" s="12">
        <v>116</v>
      </c>
      <c r="F25" s="8">
        <v>22.22</v>
      </c>
      <c r="G25" s="12">
        <v>16</v>
      </c>
      <c r="H25" s="8">
        <v>3.47</v>
      </c>
      <c r="I25" s="12">
        <v>0</v>
      </c>
    </row>
    <row r="26" spans="2:9" ht="15" customHeight="1" x14ac:dyDescent="0.2">
      <c r="B26" t="s">
        <v>224</v>
      </c>
      <c r="C26" s="12">
        <v>67</v>
      </c>
      <c r="D26" s="8">
        <v>6.62</v>
      </c>
      <c r="E26" s="12">
        <v>43</v>
      </c>
      <c r="F26" s="8">
        <v>8.24</v>
      </c>
      <c r="G26" s="12">
        <v>24</v>
      </c>
      <c r="H26" s="8">
        <v>5.21</v>
      </c>
      <c r="I26" s="12">
        <v>0</v>
      </c>
    </row>
    <row r="27" spans="2:9" ht="15" customHeight="1" x14ac:dyDescent="0.2">
      <c r="B27" t="s">
        <v>223</v>
      </c>
      <c r="C27" s="12">
        <v>63</v>
      </c>
      <c r="D27" s="8">
        <v>6.23</v>
      </c>
      <c r="E27" s="12">
        <v>21</v>
      </c>
      <c r="F27" s="8">
        <v>4.0199999999999996</v>
      </c>
      <c r="G27" s="12">
        <v>42</v>
      </c>
      <c r="H27" s="8">
        <v>9.11</v>
      </c>
      <c r="I27" s="12">
        <v>0</v>
      </c>
    </row>
    <row r="28" spans="2:9" ht="15" customHeight="1" x14ac:dyDescent="0.2">
      <c r="B28" t="s">
        <v>214</v>
      </c>
      <c r="C28" s="12">
        <v>49</v>
      </c>
      <c r="D28" s="8">
        <v>4.84</v>
      </c>
      <c r="E28" s="12">
        <v>21</v>
      </c>
      <c r="F28" s="8">
        <v>4.0199999999999996</v>
      </c>
      <c r="G28" s="12">
        <v>28</v>
      </c>
      <c r="H28" s="8">
        <v>6.07</v>
      </c>
      <c r="I28" s="12">
        <v>0</v>
      </c>
    </row>
    <row r="29" spans="2:9" ht="15" customHeight="1" x14ac:dyDescent="0.2">
      <c r="B29" t="s">
        <v>213</v>
      </c>
      <c r="C29" s="12">
        <v>48</v>
      </c>
      <c r="D29" s="8">
        <v>4.74</v>
      </c>
      <c r="E29" s="12">
        <v>5</v>
      </c>
      <c r="F29" s="8">
        <v>0.96</v>
      </c>
      <c r="G29" s="12">
        <v>43</v>
      </c>
      <c r="H29" s="8">
        <v>9.33</v>
      </c>
      <c r="I29" s="12">
        <v>0</v>
      </c>
    </row>
    <row r="30" spans="2:9" ht="15" customHeight="1" x14ac:dyDescent="0.2">
      <c r="B30" t="s">
        <v>231</v>
      </c>
      <c r="C30" s="12">
        <v>43</v>
      </c>
      <c r="D30" s="8">
        <v>4.25</v>
      </c>
      <c r="E30" s="12">
        <v>35</v>
      </c>
      <c r="F30" s="8">
        <v>6.7</v>
      </c>
      <c r="G30" s="12">
        <v>8</v>
      </c>
      <c r="H30" s="8">
        <v>1.74</v>
      </c>
      <c r="I30" s="12">
        <v>0</v>
      </c>
    </row>
    <row r="31" spans="2:9" ht="15" customHeight="1" x14ac:dyDescent="0.2">
      <c r="B31" t="s">
        <v>215</v>
      </c>
      <c r="C31" s="12">
        <v>39</v>
      </c>
      <c r="D31" s="8">
        <v>3.85</v>
      </c>
      <c r="E31" s="12">
        <v>5</v>
      </c>
      <c r="F31" s="8">
        <v>0.96</v>
      </c>
      <c r="G31" s="12">
        <v>34</v>
      </c>
      <c r="H31" s="8">
        <v>7.38</v>
      </c>
      <c r="I31" s="12">
        <v>0</v>
      </c>
    </row>
    <row r="32" spans="2:9" ht="15" customHeight="1" x14ac:dyDescent="0.2">
      <c r="B32" t="s">
        <v>222</v>
      </c>
      <c r="C32" s="12">
        <v>35</v>
      </c>
      <c r="D32" s="8">
        <v>3.46</v>
      </c>
      <c r="E32" s="12">
        <v>17</v>
      </c>
      <c r="F32" s="8">
        <v>3.26</v>
      </c>
      <c r="G32" s="12">
        <v>18</v>
      </c>
      <c r="H32" s="8">
        <v>3.9</v>
      </c>
      <c r="I32" s="12">
        <v>0</v>
      </c>
    </row>
    <row r="33" spans="2:9" ht="15" customHeight="1" x14ac:dyDescent="0.2">
      <c r="B33" t="s">
        <v>230</v>
      </c>
      <c r="C33" s="12">
        <v>33</v>
      </c>
      <c r="D33" s="8">
        <v>3.26</v>
      </c>
      <c r="E33" s="12">
        <v>21</v>
      </c>
      <c r="F33" s="8">
        <v>4.0199999999999996</v>
      </c>
      <c r="G33" s="12">
        <v>8</v>
      </c>
      <c r="H33" s="8">
        <v>1.74</v>
      </c>
      <c r="I33" s="12">
        <v>0</v>
      </c>
    </row>
    <row r="34" spans="2:9" ht="15" customHeight="1" x14ac:dyDescent="0.2">
      <c r="B34" t="s">
        <v>220</v>
      </c>
      <c r="C34" s="12">
        <v>31</v>
      </c>
      <c r="D34" s="8">
        <v>3.06</v>
      </c>
      <c r="E34" s="12">
        <v>9</v>
      </c>
      <c r="F34" s="8">
        <v>1.72</v>
      </c>
      <c r="G34" s="12">
        <v>22</v>
      </c>
      <c r="H34" s="8">
        <v>4.7699999999999996</v>
      </c>
      <c r="I34" s="12">
        <v>0</v>
      </c>
    </row>
    <row r="35" spans="2:9" ht="15" customHeight="1" x14ac:dyDescent="0.2">
      <c r="B35" t="s">
        <v>221</v>
      </c>
      <c r="C35" s="12">
        <v>27</v>
      </c>
      <c r="D35" s="8">
        <v>2.67</v>
      </c>
      <c r="E35" s="12">
        <v>14</v>
      </c>
      <c r="F35" s="8">
        <v>2.68</v>
      </c>
      <c r="G35" s="12">
        <v>13</v>
      </c>
      <c r="H35" s="8">
        <v>2.82</v>
      </c>
      <c r="I35" s="12">
        <v>0</v>
      </c>
    </row>
    <row r="36" spans="2:9" ht="15" customHeight="1" x14ac:dyDescent="0.2">
      <c r="B36" t="s">
        <v>225</v>
      </c>
      <c r="C36" s="12">
        <v>22</v>
      </c>
      <c r="D36" s="8">
        <v>2.17</v>
      </c>
      <c r="E36" s="12">
        <v>18</v>
      </c>
      <c r="F36" s="8">
        <v>3.45</v>
      </c>
      <c r="G36" s="12">
        <v>4</v>
      </c>
      <c r="H36" s="8">
        <v>0.87</v>
      </c>
      <c r="I36" s="12">
        <v>0</v>
      </c>
    </row>
    <row r="37" spans="2:9" ht="15" customHeight="1" x14ac:dyDescent="0.2">
      <c r="B37" t="s">
        <v>217</v>
      </c>
      <c r="C37" s="12">
        <v>20</v>
      </c>
      <c r="D37" s="8">
        <v>1.98</v>
      </c>
      <c r="E37" s="12">
        <v>3</v>
      </c>
      <c r="F37" s="8">
        <v>0.56999999999999995</v>
      </c>
      <c r="G37" s="12">
        <v>17</v>
      </c>
      <c r="H37" s="8">
        <v>3.69</v>
      </c>
      <c r="I37" s="12">
        <v>0</v>
      </c>
    </row>
    <row r="38" spans="2:9" ht="15" customHeight="1" x14ac:dyDescent="0.2">
      <c r="B38" t="s">
        <v>250</v>
      </c>
      <c r="C38" s="12">
        <v>17</v>
      </c>
      <c r="D38" s="8">
        <v>1.68</v>
      </c>
      <c r="E38" s="12">
        <v>0</v>
      </c>
      <c r="F38" s="8">
        <v>0</v>
      </c>
      <c r="G38" s="12">
        <v>5</v>
      </c>
      <c r="H38" s="8">
        <v>1.08</v>
      </c>
      <c r="I38" s="12">
        <v>11</v>
      </c>
    </row>
    <row r="39" spans="2:9" ht="15" customHeight="1" x14ac:dyDescent="0.2">
      <c r="B39" t="s">
        <v>226</v>
      </c>
      <c r="C39" s="12">
        <v>16</v>
      </c>
      <c r="D39" s="8">
        <v>1.58</v>
      </c>
      <c r="E39" s="12">
        <v>6</v>
      </c>
      <c r="F39" s="8">
        <v>1.1499999999999999</v>
      </c>
      <c r="G39" s="12">
        <v>9</v>
      </c>
      <c r="H39" s="8">
        <v>1.95</v>
      </c>
      <c r="I39" s="12">
        <v>0</v>
      </c>
    </row>
    <row r="40" spans="2:9" ht="15" customHeight="1" x14ac:dyDescent="0.2">
      <c r="B40" t="s">
        <v>229</v>
      </c>
      <c r="C40" s="12">
        <v>16</v>
      </c>
      <c r="D40" s="8">
        <v>1.58</v>
      </c>
      <c r="E40" s="12">
        <v>6</v>
      </c>
      <c r="F40" s="8">
        <v>1.1499999999999999</v>
      </c>
      <c r="G40" s="12">
        <v>7</v>
      </c>
      <c r="H40" s="8">
        <v>1.52</v>
      </c>
      <c r="I40" s="12">
        <v>0</v>
      </c>
    </row>
    <row r="41" spans="2:9" ht="15" customHeight="1" x14ac:dyDescent="0.2">
      <c r="B41" t="s">
        <v>232</v>
      </c>
      <c r="C41" s="12">
        <v>14</v>
      </c>
      <c r="D41" s="8">
        <v>1.38</v>
      </c>
      <c r="E41" s="12">
        <v>0</v>
      </c>
      <c r="F41" s="8">
        <v>0</v>
      </c>
      <c r="G41" s="12">
        <v>9</v>
      </c>
      <c r="H41" s="8">
        <v>1.95</v>
      </c>
      <c r="I41" s="12">
        <v>0</v>
      </c>
    </row>
    <row r="42" spans="2:9" ht="15" customHeight="1" x14ac:dyDescent="0.2">
      <c r="B42" t="s">
        <v>218</v>
      </c>
      <c r="C42" s="12">
        <v>13</v>
      </c>
      <c r="D42" s="8">
        <v>1.28</v>
      </c>
      <c r="E42" s="12">
        <v>0</v>
      </c>
      <c r="F42" s="8">
        <v>0</v>
      </c>
      <c r="G42" s="12">
        <v>13</v>
      </c>
      <c r="H42" s="8">
        <v>2.82</v>
      </c>
      <c r="I42" s="12">
        <v>0</v>
      </c>
    </row>
    <row r="43" spans="2:9" ht="15" customHeight="1" x14ac:dyDescent="0.2">
      <c r="B43" t="s">
        <v>240</v>
      </c>
      <c r="C43" s="12">
        <v>13</v>
      </c>
      <c r="D43" s="8">
        <v>1.28</v>
      </c>
      <c r="E43" s="12">
        <v>8</v>
      </c>
      <c r="F43" s="8">
        <v>1.53</v>
      </c>
      <c r="G43" s="12">
        <v>5</v>
      </c>
      <c r="H43" s="8">
        <v>1.08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65</v>
      </c>
      <c r="D47" s="8">
        <v>6.42</v>
      </c>
      <c r="E47" s="12">
        <v>63</v>
      </c>
      <c r="F47" s="8">
        <v>12.07</v>
      </c>
      <c r="G47" s="12">
        <v>2</v>
      </c>
      <c r="H47" s="8">
        <v>0.43</v>
      </c>
      <c r="I47" s="12">
        <v>0</v>
      </c>
    </row>
    <row r="48" spans="2:9" ht="15" customHeight="1" x14ac:dyDescent="0.2">
      <c r="B48" t="s">
        <v>301</v>
      </c>
      <c r="C48" s="12">
        <v>62</v>
      </c>
      <c r="D48" s="8">
        <v>6.13</v>
      </c>
      <c r="E48" s="12">
        <v>54</v>
      </c>
      <c r="F48" s="8">
        <v>10.34</v>
      </c>
      <c r="G48" s="12">
        <v>8</v>
      </c>
      <c r="H48" s="8">
        <v>1.74</v>
      </c>
      <c r="I48" s="12">
        <v>0</v>
      </c>
    </row>
    <row r="49" spans="2:9" ht="15" customHeight="1" x14ac:dyDescent="0.2">
      <c r="B49" t="s">
        <v>297</v>
      </c>
      <c r="C49" s="12">
        <v>52</v>
      </c>
      <c r="D49" s="8">
        <v>5.14</v>
      </c>
      <c r="E49" s="12">
        <v>40</v>
      </c>
      <c r="F49" s="8">
        <v>7.66</v>
      </c>
      <c r="G49" s="12">
        <v>12</v>
      </c>
      <c r="H49" s="8">
        <v>2.6</v>
      </c>
      <c r="I49" s="12">
        <v>0</v>
      </c>
    </row>
    <row r="50" spans="2:9" ht="15" customHeight="1" x14ac:dyDescent="0.2">
      <c r="B50" t="s">
        <v>303</v>
      </c>
      <c r="C50" s="12">
        <v>51</v>
      </c>
      <c r="D50" s="8">
        <v>5.04</v>
      </c>
      <c r="E50" s="12">
        <v>46</v>
      </c>
      <c r="F50" s="8">
        <v>8.81</v>
      </c>
      <c r="G50" s="12">
        <v>5</v>
      </c>
      <c r="H50" s="8">
        <v>1.08</v>
      </c>
      <c r="I50" s="12">
        <v>0</v>
      </c>
    </row>
    <row r="51" spans="2:9" ht="15" customHeight="1" x14ac:dyDescent="0.2">
      <c r="B51" t="s">
        <v>300</v>
      </c>
      <c r="C51" s="12">
        <v>34</v>
      </c>
      <c r="D51" s="8">
        <v>3.36</v>
      </c>
      <c r="E51" s="12">
        <v>29</v>
      </c>
      <c r="F51" s="8">
        <v>5.56</v>
      </c>
      <c r="G51" s="12">
        <v>5</v>
      </c>
      <c r="H51" s="8">
        <v>1.08</v>
      </c>
      <c r="I51" s="12">
        <v>0</v>
      </c>
    </row>
    <row r="52" spans="2:9" ht="15" customHeight="1" x14ac:dyDescent="0.2">
      <c r="B52" t="s">
        <v>299</v>
      </c>
      <c r="C52" s="12">
        <v>31</v>
      </c>
      <c r="D52" s="8">
        <v>3.06</v>
      </c>
      <c r="E52" s="12">
        <v>22</v>
      </c>
      <c r="F52" s="8">
        <v>4.21</v>
      </c>
      <c r="G52" s="12">
        <v>9</v>
      </c>
      <c r="H52" s="8">
        <v>1.95</v>
      </c>
      <c r="I52" s="12">
        <v>0</v>
      </c>
    </row>
    <row r="53" spans="2:9" ht="15" customHeight="1" x14ac:dyDescent="0.2">
      <c r="B53" t="s">
        <v>306</v>
      </c>
      <c r="C53" s="12">
        <v>28</v>
      </c>
      <c r="D53" s="8">
        <v>2.77</v>
      </c>
      <c r="E53" s="12">
        <v>22</v>
      </c>
      <c r="F53" s="8">
        <v>4.21</v>
      </c>
      <c r="G53" s="12">
        <v>6</v>
      </c>
      <c r="H53" s="8">
        <v>1.3</v>
      </c>
      <c r="I53" s="12">
        <v>0</v>
      </c>
    </row>
    <row r="54" spans="2:9" ht="15" customHeight="1" x14ac:dyDescent="0.2">
      <c r="B54" t="s">
        <v>295</v>
      </c>
      <c r="C54" s="12">
        <v>24</v>
      </c>
      <c r="D54" s="8">
        <v>2.37</v>
      </c>
      <c r="E54" s="12">
        <v>7</v>
      </c>
      <c r="F54" s="8">
        <v>1.34</v>
      </c>
      <c r="G54" s="12">
        <v>17</v>
      </c>
      <c r="H54" s="8">
        <v>3.69</v>
      </c>
      <c r="I54" s="12">
        <v>0</v>
      </c>
    </row>
    <row r="55" spans="2:9" ht="15" customHeight="1" x14ac:dyDescent="0.2">
      <c r="B55" t="s">
        <v>314</v>
      </c>
      <c r="C55" s="12">
        <v>23</v>
      </c>
      <c r="D55" s="8">
        <v>2.27</v>
      </c>
      <c r="E55" s="12">
        <v>6</v>
      </c>
      <c r="F55" s="8">
        <v>1.1499999999999999</v>
      </c>
      <c r="G55" s="12">
        <v>17</v>
      </c>
      <c r="H55" s="8">
        <v>3.69</v>
      </c>
      <c r="I55" s="12">
        <v>0</v>
      </c>
    </row>
    <row r="56" spans="2:9" ht="15" customHeight="1" x14ac:dyDescent="0.2">
      <c r="B56" t="s">
        <v>305</v>
      </c>
      <c r="C56" s="12">
        <v>21</v>
      </c>
      <c r="D56" s="8">
        <v>2.08</v>
      </c>
      <c r="E56" s="12">
        <v>18</v>
      </c>
      <c r="F56" s="8">
        <v>3.45</v>
      </c>
      <c r="G56" s="12">
        <v>2</v>
      </c>
      <c r="H56" s="8">
        <v>0.43</v>
      </c>
      <c r="I56" s="12">
        <v>0</v>
      </c>
    </row>
    <row r="57" spans="2:9" ht="15" customHeight="1" x14ac:dyDescent="0.2">
      <c r="B57" t="s">
        <v>335</v>
      </c>
      <c r="C57" s="12">
        <v>18</v>
      </c>
      <c r="D57" s="8">
        <v>1.78</v>
      </c>
      <c r="E57" s="12">
        <v>10</v>
      </c>
      <c r="F57" s="8">
        <v>1.92</v>
      </c>
      <c r="G57" s="12">
        <v>8</v>
      </c>
      <c r="H57" s="8">
        <v>1.74</v>
      </c>
      <c r="I57" s="12">
        <v>0</v>
      </c>
    </row>
    <row r="58" spans="2:9" ht="15" customHeight="1" x14ac:dyDescent="0.2">
      <c r="B58" t="s">
        <v>291</v>
      </c>
      <c r="C58" s="12">
        <v>16</v>
      </c>
      <c r="D58" s="8">
        <v>1.58</v>
      </c>
      <c r="E58" s="12">
        <v>2</v>
      </c>
      <c r="F58" s="8">
        <v>0.38</v>
      </c>
      <c r="G58" s="12">
        <v>14</v>
      </c>
      <c r="H58" s="8">
        <v>3.04</v>
      </c>
      <c r="I58" s="12">
        <v>0</v>
      </c>
    </row>
    <row r="59" spans="2:9" ht="15" customHeight="1" x14ac:dyDescent="0.2">
      <c r="B59" t="s">
        <v>294</v>
      </c>
      <c r="C59" s="12">
        <v>16</v>
      </c>
      <c r="D59" s="8">
        <v>1.58</v>
      </c>
      <c r="E59" s="12">
        <v>5</v>
      </c>
      <c r="F59" s="8">
        <v>0.96</v>
      </c>
      <c r="G59" s="12">
        <v>11</v>
      </c>
      <c r="H59" s="8">
        <v>2.39</v>
      </c>
      <c r="I59" s="12">
        <v>0</v>
      </c>
    </row>
    <row r="60" spans="2:9" ht="15" customHeight="1" x14ac:dyDescent="0.2">
      <c r="B60" t="s">
        <v>302</v>
      </c>
      <c r="C60" s="12">
        <v>16</v>
      </c>
      <c r="D60" s="8">
        <v>1.58</v>
      </c>
      <c r="E60" s="12">
        <v>14</v>
      </c>
      <c r="F60" s="8">
        <v>2.68</v>
      </c>
      <c r="G60" s="12">
        <v>2</v>
      </c>
      <c r="H60" s="8">
        <v>0.43</v>
      </c>
      <c r="I60" s="12">
        <v>0</v>
      </c>
    </row>
    <row r="61" spans="2:9" ht="15" customHeight="1" x14ac:dyDescent="0.2">
      <c r="B61" t="s">
        <v>345</v>
      </c>
      <c r="C61" s="12">
        <v>16</v>
      </c>
      <c r="D61" s="8">
        <v>1.58</v>
      </c>
      <c r="E61" s="12">
        <v>0</v>
      </c>
      <c r="F61" s="8">
        <v>0</v>
      </c>
      <c r="G61" s="12">
        <v>5</v>
      </c>
      <c r="H61" s="8">
        <v>1.08</v>
      </c>
      <c r="I61" s="12">
        <v>11</v>
      </c>
    </row>
    <row r="62" spans="2:9" ht="15" customHeight="1" x14ac:dyDescent="0.2">
      <c r="B62" t="s">
        <v>293</v>
      </c>
      <c r="C62" s="12">
        <v>15</v>
      </c>
      <c r="D62" s="8">
        <v>1.48</v>
      </c>
      <c r="E62" s="12">
        <v>6</v>
      </c>
      <c r="F62" s="8">
        <v>1.1499999999999999</v>
      </c>
      <c r="G62" s="12">
        <v>9</v>
      </c>
      <c r="H62" s="8">
        <v>1.95</v>
      </c>
      <c r="I62" s="12">
        <v>0</v>
      </c>
    </row>
    <row r="63" spans="2:9" ht="15" customHeight="1" x14ac:dyDescent="0.2">
      <c r="B63" t="s">
        <v>289</v>
      </c>
      <c r="C63" s="12">
        <v>13</v>
      </c>
      <c r="D63" s="8">
        <v>1.28</v>
      </c>
      <c r="E63" s="12">
        <v>1</v>
      </c>
      <c r="F63" s="8">
        <v>0.19</v>
      </c>
      <c r="G63" s="12">
        <v>12</v>
      </c>
      <c r="H63" s="8">
        <v>2.6</v>
      </c>
      <c r="I63" s="12">
        <v>0</v>
      </c>
    </row>
    <row r="64" spans="2:9" ht="15" customHeight="1" x14ac:dyDescent="0.2">
      <c r="B64" t="s">
        <v>333</v>
      </c>
      <c r="C64" s="12">
        <v>13</v>
      </c>
      <c r="D64" s="8">
        <v>1.28</v>
      </c>
      <c r="E64" s="12">
        <v>6</v>
      </c>
      <c r="F64" s="8">
        <v>1.1499999999999999</v>
      </c>
      <c r="G64" s="12">
        <v>7</v>
      </c>
      <c r="H64" s="8">
        <v>1.52</v>
      </c>
      <c r="I64" s="12">
        <v>0</v>
      </c>
    </row>
    <row r="65" spans="2:9" ht="15" customHeight="1" x14ac:dyDescent="0.2">
      <c r="B65" t="s">
        <v>290</v>
      </c>
      <c r="C65" s="12">
        <v>13</v>
      </c>
      <c r="D65" s="8">
        <v>1.28</v>
      </c>
      <c r="E65" s="12">
        <v>3</v>
      </c>
      <c r="F65" s="8">
        <v>0.56999999999999995</v>
      </c>
      <c r="G65" s="12">
        <v>10</v>
      </c>
      <c r="H65" s="8">
        <v>2.17</v>
      </c>
      <c r="I65" s="12">
        <v>0</v>
      </c>
    </row>
    <row r="66" spans="2:9" ht="15" customHeight="1" x14ac:dyDescent="0.2">
      <c r="B66" t="s">
        <v>334</v>
      </c>
      <c r="C66" s="12">
        <v>13</v>
      </c>
      <c r="D66" s="8">
        <v>1.28</v>
      </c>
      <c r="E66" s="12">
        <v>10</v>
      </c>
      <c r="F66" s="8">
        <v>1.92</v>
      </c>
      <c r="G66" s="12">
        <v>3</v>
      </c>
      <c r="H66" s="8">
        <v>0.65</v>
      </c>
      <c r="I66" s="12">
        <v>0</v>
      </c>
    </row>
    <row r="67" spans="2:9" ht="15" customHeight="1" x14ac:dyDescent="0.2">
      <c r="B67" t="s">
        <v>307</v>
      </c>
      <c r="C67" s="12">
        <v>13</v>
      </c>
      <c r="D67" s="8">
        <v>1.28</v>
      </c>
      <c r="E67" s="12">
        <v>8</v>
      </c>
      <c r="F67" s="8">
        <v>1.53</v>
      </c>
      <c r="G67" s="12">
        <v>5</v>
      </c>
      <c r="H67" s="8">
        <v>1.08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D1345-FF22-4AE0-AF1D-4DF1E54C5875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0.24</v>
      </c>
      <c r="E5" s="12">
        <v>0</v>
      </c>
      <c r="F5" s="8">
        <v>0</v>
      </c>
      <c r="G5" s="12">
        <v>1</v>
      </c>
      <c r="H5" s="8">
        <v>0.56000000000000005</v>
      </c>
      <c r="I5" s="12">
        <v>0</v>
      </c>
    </row>
    <row r="6" spans="2:9" ht="15" customHeight="1" x14ac:dyDescent="0.2">
      <c r="B6" t="s">
        <v>191</v>
      </c>
      <c r="C6" s="12">
        <v>56</v>
      </c>
      <c r="D6" s="8">
        <v>13.46</v>
      </c>
      <c r="E6" s="12">
        <v>12</v>
      </c>
      <c r="F6" s="8">
        <v>5.31</v>
      </c>
      <c r="G6" s="12">
        <v>44</v>
      </c>
      <c r="H6" s="8">
        <v>24.72</v>
      </c>
      <c r="I6" s="12">
        <v>0</v>
      </c>
    </row>
    <row r="7" spans="2:9" ht="15" customHeight="1" x14ac:dyDescent="0.2">
      <c r="B7" t="s">
        <v>192</v>
      </c>
      <c r="C7" s="12">
        <v>16</v>
      </c>
      <c r="D7" s="8">
        <v>3.85</v>
      </c>
      <c r="E7" s="12">
        <v>6</v>
      </c>
      <c r="F7" s="8">
        <v>2.65</v>
      </c>
      <c r="G7" s="12">
        <v>10</v>
      </c>
      <c r="H7" s="8">
        <v>5.62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0.48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0.48</v>
      </c>
      <c r="E9" s="12">
        <v>0</v>
      </c>
      <c r="F9" s="8">
        <v>0</v>
      </c>
      <c r="G9" s="12">
        <v>2</v>
      </c>
      <c r="H9" s="8">
        <v>1.1200000000000001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1.2</v>
      </c>
      <c r="E10" s="12">
        <v>1</v>
      </c>
      <c r="F10" s="8">
        <v>0.44</v>
      </c>
      <c r="G10" s="12">
        <v>3</v>
      </c>
      <c r="H10" s="8">
        <v>1.69</v>
      </c>
      <c r="I10" s="12">
        <v>1</v>
      </c>
    </row>
    <row r="11" spans="2:9" ht="15" customHeight="1" x14ac:dyDescent="0.2">
      <c r="B11" t="s">
        <v>196</v>
      </c>
      <c r="C11" s="12">
        <v>85</v>
      </c>
      <c r="D11" s="8">
        <v>20.43</v>
      </c>
      <c r="E11" s="12">
        <v>34</v>
      </c>
      <c r="F11" s="8">
        <v>15.04</v>
      </c>
      <c r="G11" s="12">
        <v>51</v>
      </c>
      <c r="H11" s="8">
        <v>28.65</v>
      </c>
      <c r="I11" s="12">
        <v>0</v>
      </c>
    </row>
    <row r="12" spans="2:9" ht="15" customHeight="1" x14ac:dyDescent="0.2">
      <c r="B12" t="s">
        <v>197</v>
      </c>
      <c r="C12" s="12">
        <v>3</v>
      </c>
      <c r="D12" s="8">
        <v>0.72</v>
      </c>
      <c r="E12" s="12">
        <v>1</v>
      </c>
      <c r="F12" s="8">
        <v>0.44</v>
      </c>
      <c r="G12" s="12">
        <v>2</v>
      </c>
      <c r="H12" s="8">
        <v>1.1200000000000001</v>
      </c>
      <c r="I12" s="12">
        <v>0</v>
      </c>
    </row>
    <row r="13" spans="2:9" ht="15" customHeight="1" x14ac:dyDescent="0.2">
      <c r="B13" t="s">
        <v>198</v>
      </c>
      <c r="C13" s="12">
        <v>32</v>
      </c>
      <c r="D13" s="8">
        <v>7.69</v>
      </c>
      <c r="E13" s="12">
        <v>16</v>
      </c>
      <c r="F13" s="8">
        <v>7.08</v>
      </c>
      <c r="G13" s="12">
        <v>15</v>
      </c>
      <c r="H13" s="8">
        <v>8.43</v>
      </c>
      <c r="I13" s="12">
        <v>0</v>
      </c>
    </row>
    <row r="14" spans="2:9" ht="15" customHeight="1" x14ac:dyDescent="0.2">
      <c r="B14" t="s">
        <v>199</v>
      </c>
      <c r="C14" s="12">
        <v>16</v>
      </c>
      <c r="D14" s="8">
        <v>3.85</v>
      </c>
      <c r="E14" s="12">
        <v>7</v>
      </c>
      <c r="F14" s="8">
        <v>3.1</v>
      </c>
      <c r="G14" s="12">
        <v>9</v>
      </c>
      <c r="H14" s="8">
        <v>5.0599999999999996</v>
      </c>
      <c r="I14" s="12">
        <v>0</v>
      </c>
    </row>
    <row r="15" spans="2:9" ht="15" customHeight="1" x14ac:dyDescent="0.2">
      <c r="B15" t="s">
        <v>200</v>
      </c>
      <c r="C15" s="12">
        <v>86</v>
      </c>
      <c r="D15" s="8">
        <v>20.67</v>
      </c>
      <c r="E15" s="12">
        <v>74</v>
      </c>
      <c r="F15" s="8">
        <v>32.74</v>
      </c>
      <c r="G15" s="12">
        <v>12</v>
      </c>
      <c r="H15" s="8">
        <v>6.74</v>
      </c>
      <c r="I15" s="12">
        <v>0</v>
      </c>
    </row>
    <row r="16" spans="2:9" ht="15" customHeight="1" x14ac:dyDescent="0.2">
      <c r="B16" t="s">
        <v>201</v>
      </c>
      <c r="C16" s="12">
        <v>58</v>
      </c>
      <c r="D16" s="8">
        <v>13.94</v>
      </c>
      <c r="E16" s="12">
        <v>49</v>
      </c>
      <c r="F16" s="8">
        <v>21.68</v>
      </c>
      <c r="G16" s="12">
        <v>9</v>
      </c>
      <c r="H16" s="8">
        <v>5.0599999999999996</v>
      </c>
      <c r="I16" s="12">
        <v>0</v>
      </c>
    </row>
    <row r="17" spans="2:9" ht="15" customHeight="1" x14ac:dyDescent="0.2">
      <c r="B17" t="s">
        <v>202</v>
      </c>
      <c r="C17" s="12">
        <v>12</v>
      </c>
      <c r="D17" s="8">
        <v>2.88</v>
      </c>
      <c r="E17" s="12">
        <v>11</v>
      </c>
      <c r="F17" s="8">
        <v>4.87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27</v>
      </c>
      <c r="D18" s="8">
        <v>6.49</v>
      </c>
      <c r="E18" s="12">
        <v>12</v>
      </c>
      <c r="F18" s="8">
        <v>5.31</v>
      </c>
      <c r="G18" s="12">
        <v>11</v>
      </c>
      <c r="H18" s="8">
        <v>6.18</v>
      </c>
      <c r="I18" s="12">
        <v>0</v>
      </c>
    </row>
    <row r="19" spans="2:9" ht="15" customHeight="1" x14ac:dyDescent="0.2">
      <c r="B19" t="s">
        <v>204</v>
      </c>
      <c r="C19" s="12">
        <v>15</v>
      </c>
      <c r="D19" s="8">
        <v>3.61</v>
      </c>
      <c r="E19" s="12">
        <v>3</v>
      </c>
      <c r="F19" s="8">
        <v>1.33</v>
      </c>
      <c r="G19" s="12">
        <v>9</v>
      </c>
      <c r="H19" s="8">
        <v>5.0599999999999996</v>
      </c>
      <c r="I19" s="12">
        <v>2</v>
      </c>
    </row>
    <row r="20" spans="2:9" ht="15" customHeight="1" x14ac:dyDescent="0.2">
      <c r="B20" s="9" t="s">
        <v>529</v>
      </c>
      <c r="C20" s="12">
        <f>SUM(LTBL_01226[総数／事業所数])</f>
        <v>416</v>
      </c>
      <c r="E20" s="12">
        <f>SUBTOTAL(109,LTBL_01226[個人／事業所数])</f>
        <v>226</v>
      </c>
      <c r="G20" s="12">
        <f>SUBTOTAL(109,LTBL_01226[法人／事業所数])</f>
        <v>178</v>
      </c>
      <c r="I20" s="12">
        <f>SUBTOTAL(109,LTBL_01226[法人以外の団体／事業所数])</f>
        <v>3</v>
      </c>
    </row>
    <row r="21" spans="2:9" ht="15" customHeight="1" x14ac:dyDescent="0.2">
      <c r="E21" s="11">
        <f>LTBL_01226[[#Totals],[個人／事業所数]]/LTBL_01226[[#Totals],[総数／事業所数]]</f>
        <v>0.54326923076923073</v>
      </c>
      <c r="G21" s="11">
        <f>LTBL_01226[[#Totals],[法人／事業所数]]/LTBL_01226[[#Totals],[総数／事業所数]]</f>
        <v>0.42788461538461536</v>
      </c>
      <c r="I21" s="11">
        <f>LTBL_01226[[#Totals],[法人以外の団体／事業所数]]/LTBL_01226[[#Totals],[総数／事業所数]]</f>
        <v>7.2115384615384619E-3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76</v>
      </c>
      <c r="D24" s="8">
        <v>18.27</v>
      </c>
      <c r="E24" s="12">
        <v>67</v>
      </c>
      <c r="F24" s="8">
        <v>29.65</v>
      </c>
      <c r="G24" s="12">
        <v>9</v>
      </c>
      <c r="H24" s="8">
        <v>5.0599999999999996</v>
      </c>
      <c r="I24" s="12">
        <v>0</v>
      </c>
    </row>
    <row r="25" spans="2:9" ht="15" customHeight="1" x14ac:dyDescent="0.2">
      <c r="B25" t="s">
        <v>228</v>
      </c>
      <c r="C25" s="12">
        <v>48</v>
      </c>
      <c r="D25" s="8">
        <v>11.54</v>
      </c>
      <c r="E25" s="12">
        <v>41</v>
      </c>
      <c r="F25" s="8">
        <v>18.14</v>
      </c>
      <c r="G25" s="12">
        <v>7</v>
      </c>
      <c r="H25" s="8">
        <v>3.93</v>
      </c>
      <c r="I25" s="12">
        <v>0</v>
      </c>
    </row>
    <row r="26" spans="2:9" ht="15" customHeight="1" x14ac:dyDescent="0.2">
      <c r="B26" t="s">
        <v>223</v>
      </c>
      <c r="C26" s="12">
        <v>31</v>
      </c>
      <c r="D26" s="8">
        <v>7.45</v>
      </c>
      <c r="E26" s="12">
        <v>13</v>
      </c>
      <c r="F26" s="8">
        <v>5.75</v>
      </c>
      <c r="G26" s="12">
        <v>18</v>
      </c>
      <c r="H26" s="8">
        <v>10.11</v>
      </c>
      <c r="I26" s="12">
        <v>0</v>
      </c>
    </row>
    <row r="27" spans="2:9" ht="15" customHeight="1" x14ac:dyDescent="0.2">
      <c r="B27" t="s">
        <v>214</v>
      </c>
      <c r="C27" s="12">
        <v>25</v>
      </c>
      <c r="D27" s="8">
        <v>6.01</v>
      </c>
      <c r="E27" s="12">
        <v>4</v>
      </c>
      <c r="F27" s="8">
        <v>1.77</v>
      </c>
      <c r="G27" s="12">
        <v>21</v>
      </c>
      <c r="H27" s="8">
        <v>11.8</v>
      </c>
      <c r="I27" s="12">
        <v>0</v>
      </c>
    </row>
    <row r="28" spans="2:9" ht="15" customHeight="1" x14ac:dyDescent="0.2">
      <c r="B28" t="s">
        <v>224</v>
      </c>
      <c r="C28" s="12">
        <v>25</v>
      </c>
      <c r="D28" s="8">
        <v>6.01</v>
      </c>
      <c r="E28" s="12">
        <v>14</v>
      </c>
      <c r="F28" s="8">
        <v>6.19</v>
      </c>
      <c r="G28" s="12">
        <v>10</v>
      </c>
      <c r="H28" s="8">
        <v>5.62</v>
      </c>
      <c r="I28" s="12">
        <v>0</v>
      </c>
    </row>
    <row r="29" spans="2:9" ht="15" customHeight="1" x14ac:dyDescent="0.2">
      <c r="B29" t="s">
        <v>213</v>
      </c>
      <c r="C29" s="12">
        <v>20</v>
      </c>
      <c r="D29" s="8">
        <v>4.8099999999999996</v>
      </c>
      <c r="E29" s="12">
        <v>5</v>
      </c>
      <c r="F29" s="8">
        <v>2.21</v>
      </c>
      <c r="G29" s="12">
        <v>15</v>
      </c>
      <c r="H29" s="8">
        <v>8.43</v>
      </c>
      <c r="I29" s="12">
        <v>0</v>
      </c>
    </row>
    <row r="30" spans="2:9" ht="15" customHeight="1" x14ac:dyDescent="0.2">
      <c r="B30" t="s">
        <v>221</v>
      </c>
      <c r="C30" s="12">
        <v>14</v>
      </c>
      <c r="D30" s="8">
        <v>3.37</v>
      </c>
      <c r="E30" s="12">
        <v>8</v>
      </c>
      <c r="F30" s="8">
        <v>3.54</v>
      </c>
      <c r="G30" s="12">
        <v>6</v>
      </c>
      <c r="H30" s="8">
        <v>3.37</v>
      </c>
      <c r="I30" s="12">
        <v>0</v>
      </c>
    </row>
    <row r="31" spans="2:9" ht="15" customHeight="1" x14ac:dyDescent="0.2">
      <c r="B31" t="s">
        <v>232</v>
      </c>
      <c r="C31" s="12">
        <v>14</v>
      </c>
      <c r="D31" s="8">
        <v>3.37</v>
      </c>
      <c r="E31" s="12">
        <v>0</v>
      </c>
      <c r="F31" s="8">
        <v>0</v>
      </c>
      <c r="G31" s="12">
        <v>10</v>
      </c>
      <c r="H31" s="8">
        <v>5.62</v>
      </c>
      <c r="I31" s="12">
        <v>0</v>
      </c>
    </row>
    <row r="32" spans="2:9" ht="15" customHeight="1" x14ac:dyDescent="0.2">
      <c r="B32" t="s">
        <v>231</v>
      </c>
      <c r="C32" s="12">
        <v>13</v>
      </c>
      <c r="D32" s="8">
        <v>3.13</v>
      </c>
      <c r="E32" s="12">
        <v>12</v>
      </c>
      <c r="F32" s="8">
        <v>5.31</v>
      </c>
      <c r="G32" s="12">
        <v>1</v>
      </c>
      <c r="H32" s="8">
        <v>0.56000000000000005</v>
      </c>
      <c r="I32" s="12">
        <v>0</v>
      </c>
    </row>
    <row r="33" spans="2:9" ht="15" customHeight="1" x14ac:dyDescent="0.2">
      <c r="B33" t="s">
        <v>230</v>
      </c>
      <c r="C33" s="12">
        <v>12</v>
      </c>
      <c r="D33" s="8">
        <v>2.88</v>
      </c>
      <c r="E33" s="12">
        <v>11</v>
      </c>
      <c r="F33" s="8">
        <v>4.87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215</v>
      </c>
      <c r="C34" s="12">
        <v>11</v>
      </c>
      <c r="D34" s="8">
        <v>2.64</v>
      </c>
      <c r="E34" s="12">
        <v>3</v>
      </c>
      <c r="F34" s="8">
        <v>1.33</v>
      </c>
      <c r="G34" s="12">
        <v>8</v>
      </c>
      <c r="H34" s="8">
        <v>4.49</v>
      </c>
      <c r="I34" s="12">
        <v>0</v>
      </c>
    </row>
    <row r="35" spans="2:9" ht="15" customHeight="1" x14ac:dyDescent="0.2">
      <c r="B35" t="s">
        <v>222</v>
      </c>
      <c r="C35" s="12">
        <v>11</v>
      </c>
      <c r="D35" s="8">
        <v>2.64</v>
      </c>
      <c r="E35" s="12">
        <v>5</v>
      </c>
      <c r="F35" s="8">
        <v>2.21</v>
      </c>
      <c r="G35" s="12">
        <v>6</v>
      </c>
      <c r="H35" s="8">
        <v>3.37</v>
      </c>
      <c r="I35" s="12">
        <v>0</v>
      </c>
    </row>
    <row r="36" spans="2:9" ht="15" customHeight="1" x14ac:dyDescent="0.2">
      <c r="B36" t="s">
        <v>225</v>
      </c>
      <c r="C36" s="12">
        <v>10</v>
      </c>
      <c r="D36" s="8">
        <v>2.4</v>
      </c>
      <c r="E36" s="12">
        <v>6</v>
      </c>
      <c r="F36" s="8">
        <v>2.65</v>
      </c>
      <c r="G36" s="12">
        <v>4</v>
      </c>
      <c r="H36" s="8">
        <v>2.25</v>
      </c>
      <c r="I36" s="12">
        <v>0</v>
      </c>
    </row>
    <row r="37" spans="2:9" ht="15" customHeight="1" x14ac:dyDescent="0.2">
      <c r="B37" t="s">
        <v>243</v>
      </c>
      <c r="C37" s="12">
        <v>9</v>
      </c>
      <c r="D37" s="8">
        <v>2.16</v>
      </c>
      <c r="E37" s="12">
        <v>6</v>
      </c>
      <c r="F37" s="8">
        <v>2.65</v>
      </c>
      <c r="G37" s="12">
        <v>3</v>
      </c>
      <c r="H37" s="8">
        <v>1.69</v>
      </c>
      <c r="I37" s="12">
        <v>0</v>
      </c>
    </row>
    <row r="38" spans="2:9" ht="15" customHeight="1" x14ac:dyDescent="0.2">
      <c r="B38" t="s">
        <v>240</v>
      </c>
      <c r="C38" s="12">
        <v>8</v>
      </c>
      <c r="D38" s="8">
        <v>1.92</v>
      </c>
      <c r="E38" s="12">
        <v>3</v>
      </c>
      <c r="F38" s="8">
        <v>1.33</v>
      </c>
      <c r="G38" s="12">
        <v>5</v>
      </c>
      <c r="H38" s="8">
        <v>2.81</v>
      </c>
      <c r="I38" s="12">
        <v>0</v>
      </c>
    </row>
    <row r="39" spans="2:9" ht="15" customHeight="1" x14ac:dyDescent="0.2">
      <c r="B39" t="s">
        <v>229</v>
      </c>
      <c r="C39" s="12">
        <v>7</v>
      </c>
      <c r="D39" s="8">
        <v>1.68</v>
      </c>
      <c r="E39" s="12">
        <v>5</v>
      </c>
      <c r="F39" s="8">
        <v>2.21</v>
      </c>
      <c r="G39" s="12">
        <v>2</v>
      </c>
      <c r="H39" s="8">
        <v>1.1200000000000001</v>
      </c>
      <c r="I39" s="12">
        <v>0</v>
      </c>
    </row>
    <row r="40" spans="2:9" ht="15" customHeight="1" x14ac:dyDescent="0.2">
      <c r="B40" t="s">
        <v>220</v>
      </c>
      <c r="C40" s="12">
        <v>6</v>
      </c>
      <c r="D40" s="8">
        <v>1.44</v>
      </c>
      <c r="E40" s="12">
        <v>2</v>
      </c>
      <c r="F40" s="8">
        <v>0.88</v>
      </c>
      <c r="G40" s="12">
        <v>4</v>
      </c>
      <c r="H40" s="8">
        <v>2.25</v>
      </c>
      <c r="I40" s="12">
        <v>0</v>
      </c>
    </row>
    <row r="41" spans="2:9" ht="15" customHeight="1" x14ac:dyDescent="0.2">
      <c r="B41" t="s">
        <v>236</v>
      </c>
      <c r="C41" s="12">
        <v>6</v>
      </c>
      <c r="D41" s="8">
        <v>1.44</v>
      </c>
      <c r="E41" s="12">
        <v>3</v>
      </c>
      <c r="F41" s="8">
        <v>1.33</v>
      </c>
      <c r="G41" s="12">
        <v>3</v>
      </c>
      <c r="H41" s="8">
        <v>1.69</v>
      </c>
      <c r="I41" s="12">
        <v>0</v>
      </c>
    </row>
    <row r="42" spans="2:9" ht="15" customHeight="1" x14ac:dyDescent="0.2">
      <c r="B42" t="s">
        <v>226</v>
      </c>
      <c r="C42" s="12">
        <v>6</v>
      </c>
      <c r="D42" s="8">
        <v>1.44</v>
      </c>
      <c r="E42" s="12">
        <v>1</v>
      </c>
      <c r="F42" s="8">
        <v>0.44</v>
      </c>
      <c r="G42" s="12">
        <v>5</v>
      </c>
      <c r="H42" s="8">
        <v>2.81</v>
      </c>
      <c r="I42" s="12">
        <v>0</v>
      </c>
    </row>
    <row r="43" spans="2:9" ht="15" customHeight="1" x14ac:dyDescent="0.2">
      <c r="B43" t="s">
        <v>216</v>
      </c>
      <c r="C43" s="12">
        <v>5</v>
      </c>
      <c r="D43" s="8">
        <v>1.2</v>
      </c>
      <c r="E43" s="12">
        <v>1</v>
      </c>
      <c r="F43" s="8">
        <v>0.44</v>
      </c>
      <c r="G43" s="12">
        <v>4</v>
      </c>
      <c r="H43" s="8">
        <v>2.25</v>
      </c>
      <c r="I43" s="12">
        <v>0</v>
      </c>
    </row>
    <row r="44" spans="2:9" ht="15" customHeight="1" x14ac:dyDescent="0.2">
      <c r="B44" t="s">
        <v>219</v>
      </c>
      <c r="C44" s="12">
        <v>5</v>
      </c>
      <c r="D44" s="8">
        <v>1.2</v>
      </c>
      <c r="E44" s="12">
        <v>1</v>
      </c>
      <c r="F44" s="8">
        <v>0.44</v>
      </c>
      <c r="G44" s="12">
        <v>4</v>
      </c>
      <c r="H44" s="8">
        <v>2.25</v>
      </c>
      <c r="I44" s="12">
        <v>0</v>
      </c>
    </row>
    <row r="45" spans="2:9" ht="15" customHeight="1" x14ac:dyDescent="0.2">
      <c r="B45" t="s">
        <v>246</v>
      </c>
      <c r="C45" s="12">
        <v>5</v>
      </c>
      <c r="D45" s="8">
        <v>1.2</v>
      </c>
      <c r="E45" s="12">
        <v>2</v>
      </c>
      <c r="F45" s="8">
        <v>0.88</v>
      </c>
      <c r="G45" s="12">
        <v>3</v>
      </c>
      <c r="H45" s="8">
        <v>1.69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301</v>
      </c>
      <c r="C49" s="12">
        <v>28</v>
      </c>
      <c r="D49" s="8">
        <v>6.73</v>
      </c>
      <c r="E49" s="12">
        <v>28</v>
      </c>
      <c r="F49" s="8">
        <v>12.39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304</v>
      </c>
      <c r="C50" s="12">
        <v>22</v>
      </c>
      <c r="D50" s="8">
        <v>5.29</v>
      </c>
      <c r="E50" s="12">
        <v>19</v>
      </c>
      <c r="F50" s="8">
        <v>8.41</v>
      </c>
      <c r="G50" s="12">
        <v>3</v>
      </c>
      <c r="H50" s="8">
        <v>1.69</v>
      </c>
      <c r="I50" s="12">
        <v>0</v>
      </c>
    </row>
    <row r="51" spans="2:9" ht="15" customHeight="1" x14ac:dyDescent="0.2">
      <c r="B51" t="s">
        <v>297</v>
      </c>
      <c r="C51" s="12">
        <v>20</v>
      </c>
      <c r="D51" s="8">
        <v>4.8099999999999996</v>
      </c>
      <c r="E51" s="12">
        <v>13</v>
      </c>
      <c r="F51" s="8">
        <v>5.75</v>
      </c>
      <c r="G51" s="12">
        <v>6</v>
      </c>
      <c r="H51" s="8">
        <v>3.37</v>
      </c>
      <c r="I51" s="12">
        <v>0</v>
      </c>
    </row>
    <row r="52" spans="2:9" ht="15" customHeight="1" x14ac:dyDescent="0.2">
      <c r="B52" t="s">
        <v>303</v>
      </c>
      <c r="C52" s="12">
        <v>17</v>
      </c>
      <c r="D52" s="8">
        <v>4.09</v>
      </c>
      <c r="E52" s="12">
        <v>16</v>
      </c>
      <c r="F52" s="8">
        <v>7.08</v>
      </c>
      <c r="G52" s="12">
        <v>1</v>
      </c>
      <c r="H52" s="8">
        <v>0.56000000000000005</v>
      </c>
      <c r="I52" s="12">
        <v>0</v>
      </c>
    </row>
    <row r="53" spans="2:9" ht="15" customHeight="1" x14ac:dyDescent="0.2">
      <c r="B53" t="s">
        <v>299</v>
      </c>
      <c r="C53" s="12">
        <v>16</v>
      </c>
      <c r="D53" s="8">
        <v>3.85</v>
      </c>
      <c r="E53" s="12">
        <v>13</v>
      </c>
      <c r="F53" s="8">
        <v>5.75</v>
      </c>
      <c r="G53" s="12">
        <v>3</v>
      </c>
      <c r="H53" s="8">
        <v>1.69</v>
      </c>
      <c r="I53" s="12">
        <v>0</v>
      </c>
    </row>
    <row r="54" spans="2:9" ht="15" customHeight="1" x14ac:dyDescent="0.2">
      <c r="B54" t="s">
        <v>302</v>
      </c>
      <c r="C54" s="12">
        <v>11</v>
      </c>
      <c r="D54" s="8">
        <v>2.64</v>
      </c>
      <c r="E54" s="12">
        <v>10</v>
      </c>
      <c r="F54" s="8">
        <v>4.42</v>
      </c>
      <c r="G54" s="12">
        <v>1</v>
      </c>
      <c r="H54" s="8">
        <v>0.56000000000000005</v>
      </c>
      <c r="I54" s="12">
        <v>0</v>
      </c>
    </row>
    <row r="55" spans="2:9" ht="15" customHeight="1" x14ac:dyDescent="0.2">
      <c r="B55" t="s">
        <v>319</v>
      </c>
      <c r="C55" s="12">
        <v>8</v>
      </c>
      <c r="D55" s="8">
        <v>1.92</v>
      </c>
      <c r="E55" s="12">
        <v>3</v>
      </c>
      <c r="F55" s="8">
        <v>1.33</v>
      </c>
      <c r="G55" s="12">
        <v>5</v>
      </c>
      <c r="H55" s="8">
        <v>2.81</v>
      </c>
      <c r="I55" s="12">
        <v>0</v>
      </c>
    </row>
    <row r="56" spans="2:9" ht="15" customHeight="1" x14ac:dyDescent="0.2">
      <c r="B56" t="s">
        <v>333</v>
      </c>
      <c r="C56" s="12">
        <v>8</v>
      </c>
      <c r="D56" s="8">
        <v>1.92</v>
      </c>
      <c r="E56" s="12">
        <v>2</v>
      </c>
      <c r="F56" s="8">
        <v>0.88</v>
      </c>
      <c r="G56" s="12">
        <v>6</v>
      </c>
      <c r="H56" s="8">
        <v>3.37</v>
      </c>
      <c r="I56" s="12">
        <v>0</v>
      </c>
    </row>
    <row r="57" spans="2:9" ht="15" customHeight="1" x14ac:dyDescent="0.2">
      <c r="B57" t="s">
        <v>295</v>
      </c>
      <c r="C57" s="12">
        <v>8</v>
      </c>
      <c r="D57" s="8">
        <v>1.92</v>
      </c>
      <c r="E57" s="12">
        <v>5</v>
      </c>
      <c r="F57" s="8">
        <v>2.21</v>
      </c>
      <c r="G57" s="12">
        <v>3</v>
      </c>
      <c r="H57" s="8">
        <v>1.69</v>
      </c>
      <c r="I57" s="12">
        <v>0</v>
      </c>
    </row>
    <row r="58" spans="2:9" ht="15" customHeight="1" x14ac:dyDescent="0.2">
      <c r="B58" t="s">
        <v>300</v>
      </c>
      <c r="C58" s="12">
        <v>8</v>
      </c>
      <c r="D58" s="8">
        <v>1.92</v>
      </c>
      <c r="E58" s="12">
        <v>7</v>
      </c>
      <c r="F58" s="8">
        <v>3.1</v>
      </c>
      <c r="G58" s="12">
        <v>1</v>
      </c>
      <c r="H58" s="8">
        <v>0.56000000000000005</v>
      </c>
      <c r="I58" s="12">
        <v>0</v>
      </c>
    </row>
    <row r="59" spans="2:9" ht="15" customHeight="1" x14ac:dyDescent="0.2">
      <c r="B59" t="s">
        <v>306</v>
      </c>
      <c r="C59" s="12">
        <v>8</v>
      </c>
      <c r="D59" s="8">
        <v>1.92</v>
      </c>
      <c r="E59" s="12">
        <v>7</v>
      </c>
      <c r="F59" s="8">
        <v>3.1</v>
      </c>
      <c r="G59" s="12">
        <v>1</v>
      </c>
      <c r="H59" s="8">
        <v>0.56000000000000005</v>
      </c>
      <c r="I59" s="12">
        <v>0</v>
      </c>
    </row>
    <row r="60" spans="2:9" ht="15" customHeight="1" x14ac:dyDescent="0.2">
      <c r="B60" t="s">
        <v>290</v>
      </c>
      <c r="C60" s="12">
        <v>7</v>
      </c>
      <c r="D60" s="8">
        <v>1.68</v>
      </c>
      <c r="E60" s="12">
        <v>2</v>
      </c>
      <c r="F60" s="8">
        <v>0.88</v>
      </c>
      <c r="G60" s="12">
        <v>5</v>
      </c>
      <c r="H60" s="8">
        <v>2.81</v>
      </c>
      <c r="I60" s="12">
        <v>0</v>
      </c>
    </row>
    <row r="61" spans="2:9" ht="15" customHeight="1" x14ac:dyDescent="0.2">
      <c r="B61" t="s">
        <v>293</v>
      </c>
      <c r="C61" s="12">
        <v>7</v>
      </c>
      <c r="D61" s="8">
        <v>1.68</v>
      </c>
      <c r="E61" s="12">
        <v>3</v>
      </c>
      <c r="F61" s="8">
        <v>1.33</v>
      </c>
      <c r="G61" s="12">
        <v>4</v>
      </c>
      <c r="H61" s="8">
        <v>2.25</v>
      </c>
      <c r="I61" s="12">
        <v>0</v>
      </c>
    </row>
    <row r="62" spans="2:9" ht="15" customHeight="1" x14ac:dyDescent="0.2">
      <c r="B62" t="s">
        <v>339</v>
      </c>
      <c r="C62" s="12">
        <v>7</v>
      </c>
      <c r="D62" s="8">
        <v>1.68</v>
      </c>
      <c r="E62" s="12">
        <v>5</v>
      </c>
      <c r="F62" s="8">
        <v>2.21</v>
      </c>
      <c r="G62" s="12">
        <v>2</v>
      </c>
      <c r="H62" s="8">
        <v>1.1200000000000001</v>
      </c>
      <c r="I62" s="12">
        <v>0</v>
      </c>
    </row>
    <row r="63" spans="2:9" ht="15" customHeight="1" x14ac:dyDescent="0.2">
      <c r="B63" t="s">
        <v>334</v>
      </c>
      <c r="C63" s="12">
        <v>7</v>
      </c>
      <c r="D63" s="8">
        <v>1.68</v>
      </c>
      <c r="E63" s="12">
        <v>3</v>
      </c>
      <c r="F63" s="8">
        <v>1.33</v>
      </c>
      <c r="G63" s="12">
        <v>4</v>
      </c>
      <c r="H63" s="8">
        <v>2.25</v>
      </c>
      <c r="I63" s="12">
        <v>0</v>
      </c>
    </row>
    <row r="64" spans="2:9" ht="15" customHeight="1" x14ac:dyDescent="0.2">
      <c r="B64" t="s">
        <v>307</v>
      </c>
      <c r="C64" s="12">
        <v>7</v>
      </c>
      <c r="D64" s="8">
        <v>1.68</v>
      </c>
      <c r="E64" s="12">
        <v>3</v>
      </c>
      <c r="F64" s="8">
        <v>1.33</v>
      </c>
      <c r="G64" s="12">
        <v>4</v>
      </c>
      <c r="H64" s="8">
        <v>2.25</v>
      </c>
      <c r="I64" s="12">
        <v>0</v>
      </c>
    </row>
    <row r="65" spans="2:9" ht="15" customHeight="1" x14ac:dyDescent="0.2">
      <c r="B65" t="s">
        <v>288</v>
      </c>
      <c r="C65" s="12">
        <v>6</v>
      </c>
      <c r="D65" s="8">
        <v>1.44</v>
      </c>
      <c r="E65" s="12">
        <v>1</v>
      </c>
      <c r="F65" s="8">
        <v>0.44</v>
      </c>
      <c r="G65" s="12">
        <v>5</v>
      </c>
      <c r="H65" s="8">
        <v>2.81</v>
      </c>
      <c r="I65" s="12">
        <v>0</v>
      </c>
    </row>
    <row r="66" spans="2:9" ht="15" customHeight="1" x14ac:dyDescent="0.2">
      <c r="B66" t="s">
        <v>330</v>
      </c>
      <c r="C66" s="12">
        <v>6</v>
      </c>
      <c r="D66" s="8">
        <v>1.44</v>
      </c>
      <c r="E66" s="12">
        <v>1</v>
      </c>
      <c r="F66" s="8">
        <v>0.44</v>
      </c>
      <c r="G66" s="12">
        <v>5</v>
      </c>
      <c r="H66" s="8">
        <v>2.81</v>
      </c>
      <c r="I66" s="12">
        <v>0</v>
      </c>
    </row>
    <row r="67" spans="2:9" ht="15" customHeight="1" x14ac:dyDescent="0.2">
      <c r="B67" t="s">
        <v>323</v>
      </c>
      <c r="C67" s="12">
        <v>6</v>
      </c>
      <c r="D67" s="8">
        <v>1.44</v>
      </c>
      <c r="E67" s="12">
        <v>3</v>
      </c>
      <c r="F67" s="8">
        <v>1.33</v>
      </c>
      <c r="G67" s="12">
        <v>3</v>
      </c>
      <c r="H67" s="8">
        <v>1.69</v>
      </c>
      <c r="I67" s="12">
        <v>0</v>
      </c>
    </row>
    <row r="68" spans="2:9" ht="15" customHeight="1" x14ac:dyDescent="0.2">
      <c r="B68" t="s">
        <v>352</v>
      </c>
      <c r="C68" s="12">
        <v>6</v>
      </c>
      <c r="D68" s="8">
        <v>1.44</v>
      </c>
      <c r="E68" s="12">
        <v>5</v>
      </c>
      <c r="F68" s="8">
        <v>2.21</v>
      </c>
      <c r="G68" s="12">
        <v>1</v>
      </c>
      <c r="H68" s="8">
        <v>0.56000000000000005</v>
      </c>
      <c r="I68" s="12">
        <v>0</v>
      </c>
    </row>
    <row r="69" spans="2:9" ht="15" customHeight="1" x14ac:dyDescent="0.2">
      <c r="B69" t="s">
        <v>327</v>
      </c>
      <c r="C69" s="12">
        <v>6</v>
      </c>
      <c r="D69" s="8">
        <v>1.44</v>
      </c>
      <c r="E69" s="12">
        <v>6</v>
      </c>
      <c r="F69" s="8">
        <v>2.65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341</v>
      </c>
      <c r="C70" s="12">
        <v>6</v>
      </c>
      <c r="D70" s="8">
        <v>1.44</v>
      </c>
      <c r="E70" s="12">
        <v>0</v>
      </c>
      <c r="F70" s="8">
        <v>0</v>
      </c>
      <c r="G70" s="12">
        <v>2</v>
      </c>
      <c r="H70" s="8">
        <v>1.1200000000000001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DF7B-8EC5-4C50-8053-D9F097B081E8}">
  <sheetPr>
    <pageSetUpPr fitToPage="1"/>
  </sheetPr>
  <dimension ref="B2:I10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569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11</v>
      </c>
      <c r="D6" s="8">
        <v>16.420000000000002</v>
      </c>
      <c r="E6" s="12">
        <v>3</v>
      </c>
      <c r="F6" s="8">
        <v>9.09</v>
      </c>
      <c r="G6" s="12">
        <v>8</v>
      </c>
      <c r="H6" s="8">
        <v>33.33</v>
      </c>
      <c r="I6" s="12">
        <v>0</v>
      </c>
    </row>
    <row r="7" spans="2:9" ht="15" customHeight="1" x14ac:dyDescent="0.2">
      <c r="B7" t="s">
        <v>192</v>
      </c>
      <c r="C7" s="12">
        <v>2</v>
      </c>
      <c r="D7" s="8">
        <v>2.99</v>
      </c>
      <c r="E7" s="12">
        <v>1</v>
      </c>
      <c r="F7" s="8">
        <v>3.03</v>
      </c>
      <c r="G7" s="12">
        <v>1</v>
      </c>
      <c r="H7" s="8">
        <v>4.17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2.99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1.49</v>
      </c>
      <c r="E9" s="12">
        <v>0</v>
      </c>
      <c r="F9" s="8">
        <v>0</v>
      </c>
      <c r="G9" s="12">
        <v>1</v>
      </c>
      <c r="H9" s="8">
        <v>4.17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2.99</v>
      </c>
      <c r="E10" s="12">
        <v>0</v>
      </c>
      <c r="F10" s="8">
        <v>0</v>
      </c>
      <c r="G10" s="12">
        <v>1</v>
      </c>
      <c r="H10" s="8">
        <v>4.17</v>
      </c>
      <c r="I10" s="12">
        <v>0</v>
      </c>
    </row>
    <row r="11" spans="2:9" ht="15" customHeight="1" x14ac:dyDescent="0.2">
      <c r="B11" t="s">
        <v>196</v>
      </c>
      <c r="C11" s="12">
        <v>16</v>
      </c>
      <c r="D11" s="8">
        <v>23.88</v>
      </c>
      <c r="E11" s="12">
        <v>11</v>
      </c>
      <c r="F11" s="8">
        <v>33.33</v>
      </c>
      <c r="G11" s="12">
        <v>5</v>
      </c>
      <c r="H11" s="8">
        <v>20.83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1.49</v>
      </c>
      <c r="E12" s="12">
        <v>0</v>
      </c>
      <c r="F12" s="8">
        <v>0</v>
      </c>
      <c r="G12" s="12">
        <v>1</v>
      </c>
      <c r="H12" s="8">
        <v>4.17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2.99</v>
      </c>
      <c r="E13" s="12">
        <v>0</v>
      </c>
      <c r="F13" s="8">
        <v>0</v>
      </c>
      <c r="G13" s="12">
        <v>1</v>
      </c>
      <c r="H13" s="8">
        <v>4.17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5</v>
      </c>
      <c r="D15" s="8">
        <v>7.46</v>
      </c>
      <c r="E15" s="12">
        <v>4</v>
      </c>
      <c r="F15" s="8">
        <v>12.12</v>
      </c>
      <c r="G15" s="12">
        <v>1</v>
      </c>
      <c r="H15" s="8">
        <v>4.17</v>
      </c>
      <c r="I15" s="12">
        <v>0</v>
      </c>
    </row>
    <row r="16" spans="2:9" ht="15" customHeight="1" x14ac:dyDescent="0.2">
      <c r="B16" t="s">
        <v>201</v>
      </c>
      <c r="C16" s="12">
        <v>9</v>
      </c>
      <c r="D16" s="8">
        <v>13.43</v>
      </c>
      <c r="E16" s="12">
        <v>8</v>
      </c>
      <c r="F16" s="8">
        <v>24.24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5.97</v>
      </c>
      <c r="E17" s="12">
        <v>2</v>
      </c>
      <c r="F17" s="8">
        <v>6.06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7</v>
      </c>
      <c r="D18" s="8">
        <v>10.45</v>
      </c>
      <c r="E18" s="12">
        <v>2</v>
      </c>
      <c r="F18" s="8">
        <v>6.06</v>
      </c>
      <c r="G18" s="12">
        <v>3</v>
      </c>
      <c r="H18" s="8">
        <v>12.5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7.46</v>
      </c>
      <c r="E19" s="12">
        <v>2</v>
      </c>
      <c r="F19" s="8">
        <v>6.06</v>
      </c>
      <c r="G19" s="12">
        <v>2</v>
      </c>
      <c r="H19" s="8">
        <v>8.33</v>
      </c>
      <c r="I19" s="12">
        <v>0</v>
      </c>
    </row>
    <row r="20" spans="2:9" ht="15" customHeight="1" x14ac:dyDescent="0.2">
      <c r="B20" s="9" t="s">
        <v>529</v>
      </c>
      <c r="C20" s="12">
        <f>SUM(LTBL_01227[総数／事業所数])</f>
        <v>67</v>
      </c>
      <c r="E20" s="12">
        <f>SUBTOTAL(109,LTBL_01227[個人／事業所数])</f>
        <v>33</v>
      </c>
      <c r="G20" s="12">
        <f>SUBTOTAL(109,LTBL_01227[法人／事業所数])</f>
        <v>24</v>
      </c>
      <c r="I20" s="12">
        <f>SUBTOTAL(109,LTBL_01227[法人以外の団体／事業所数])</f>
        <v>0</v>
      </c>
    </row>
    <row r="21" spans="2:9" ht="15" customHeight="1" x14ac:dyDescent="0.2">
      <c r="E21" s="11">
        <f>LTBL_01227[[#Totals],[個人／事業所数]]/LTBL_01227[[#Totals],[総数／事業所数]]</f>
        <v>0.4925373134328358</v>
      </c>
      <c r="G21" s="11">
        <f>LTBL_01227[[#Totals],[法人／事業所数]]/LTBL_01227[[#Totals],[総数／事業所数]]</f>
        <v>0.35820895522388058</v>
      </c>
      <c r="I21" s="11">
        <f>LTBL_01227[[#Totals],[法人以外の団体／事業所数]]/LTBL_01227[[#Totals],[総数／事業所数]]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9</v>
      </c>
      <c r="D24" s="8">
        <v>13.43</v>
      </c>
      <c r="E24" s="12">
        <v>6</v>
      </c>
      <c r="F24" s="8">
        <v>18.18</v>
      </c>
      <c r="G24" s="12">
        <v>3</v>
      </c>
      <c r="H24" s="8">
        <v>12.5</v>
      </c>
      <c r="I24" s="12">
        <v>0</v>
      </c>
    </row>
    <row r="25" spans="2:9" ht="15" customHeight="1" x14ac:dyDescent="0.2">
      <c r="B25" t="s">
        <v>228</v>
      </c>
      <c r="C25" s="12">
        <v>7</v>
      </c>
      <c r="D25" s="8">
        <v>10.45</v>
      </c>
      <c r="E25" s="12">
        <v>7</v>
      </c>
      <c r="F25" s="8">
        <v>21.21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213</v>
      </c>
      <c r="C26" s="12">
        <v>5</v>
      </c>
      <c r="D26" s="8">
        <v>7.46</v>
      </c>
      <c r="E26" s="12">
        <v>0</v>
      </c>
      <c r="F26" s="8">
        <v>0</v>
      </c>
      <c r="G26" s="12">
        <v>5</v>
      </c>
      <c r="H26" s="8">
        <v>20.83</v>
      </c>
      <c r="I26" s="12">
        <v>0</v>
      </c>
    </row>
    <row r="27" spans="2:9" ht="15" customHeight="1" x14ac:dyDescent="0.2">
      <c r="B27" t="s">
        <v>232</v>
      </c>
      <c r="C27" s="12">
        <v>5</v>
      </c>
      <c r="D27" s="8">
        <v>7.46</v>
      </c>
      <c r="E27" s="12">
        <v>0</v>
      </c>
      <c r="F27" s="8">
        <v>0</v>
      </c>
      <c r="G27" s="12">
        <v>3</v>
      </c>
      <c r="H27" s="8">
        <v>12.5</v>
      </c>
      <c r="I27" s="12">
        <v>0</v>
      </c>
    </row>
    <row r="28" spans="2:9" ht="15" customHeight="1" x14ac:dyDescent="0.2">
      <c r="B28" t="s">
        <v>230</v>
      </c>
      <c r="C28" s="12">
        <v>4</v>
      </c>
      <c r="D28" s="8">
        <v>5.97</v>
      </c>
      <c r="E28" s="12">
        <v>2</v>
      </c>
      <c r="F28" s="8">
        <v>6.06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214</v>
      </c>
      <c r="C29" s="12">
        <v>3</v>
      </c>
      <c r="D29" s="8">
        <v>4.4800000000000004</v>
      </c>
      <c r="E29" s="12">
        <v>2</v>
      </c>
      <c r="F29" s="8">
        <v>6.06</v>
      </c>
      <c r="G29" s="12">
        <v>1</v>
      </c>
      <c r="H29" s="8">
        <v>4.17</v>
      </c>
      <c r="I29" s="12">
        <v>0</v>
      </c>
    </row>
    <row r="30" spans="2:9" ht="15" customHeight="1" x14ac:dyDescent="0.2">
      <c r="B30" t="s">
        <v>215</v>
      </c>
      <c r="C30" s="12">
        <v>3</v>
      </c>
      <c r="D30" s="8">
        <v>4.4800000000000004</v>
      </c>
      <c r="E30" s="12">
        <v>1</v>
      </c>
      <c r="F30" s="8">
        <v>3.03</v>
      </c>
      <c r="G30" s="12">
        <v>2</v>
      </c>
      <c r="H30" s="8">
        <v>8.33</v>
      </c>
      <c r="I30" s="12">
        <v>0</v>
      </c>
    </row>
    <row r="31" spans="2:9" ht="15" customHeight="1" x14ac:dyDescent="0.2">
      <c r="B31" t="s">
        <v>227</v>
      </c>
      <c r="C31" s="12">
        <v>3</v>
      </c>
      <c r="D31" s="8">
        <v>4.4800000000000004</v>
      </c>
      <c r="E31" s="12">
        <v>3</v>
      </c>
      <c r="F31" s="8">
        <v>9.09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255</v>
      </c>
      <c r="C32" s="12">
        <v>2</v>
      </c>
      <c r="D32" s="8">
        <v>2.99</v>
      </c>
      <c r="E32" s="12">
        <v>0</v>
      </c>
      <c r="F32" s="8">
        <v>0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220</v>
      </c>
      <c r="C33" s="12">
        <v>2</v>
      </c>
      <c r="D33" s="8">
        <v>2.99</v>
      </c>
      <c r="E33" s="12">
        <v>1</v>
      </c>
      <c r="F33" s="8">
        <v>3.03</v>
      </c>
      <c r="G33" s="12">
        <v>1</v>
      </c>
      <c r="H33" s="8">
        <v>4.17</v>
      </c>
      <c r="I33" s="12">
        <v>0</v>
      </c>
    </row>
    <row r="34" spans="2:9" ht="15" customHeight="1" x14ac:dyDescent="0.2">
      <c r="B34" t="s">
        <v>221</v>
      </c>
      <c r="C34" s="12">
        <v>2</v>
      </c>
      <c r="D34" s="8">
        <v>2.99</v>
      </c>
      <c r="E34" s="12">
        <v>1</v>
      </c>
      <c r="F34" s="8">
        <v>3.03</v>
      </c>
      <c r="G34" s="12">
        <v>1</v>
      </c>
      <c r="H34" s="8">
        <v>4.17</v>
      </c>
      <c r="I34" s="12">
        <v>0</v>
      </c>
    </row>
    <row r="35" spans="2:9" ht="15" customHeight="1" x14ac:dyDescent="0.2">
      <c r="B35" t="s">
        <v>222</v>
      </c>
      <c r="C35" s="12">
        <v>2</v>
      </c>
      <c r="D35" s="8">
        <v>2.99</v>
      </c>
      <c r="E35" s="12">
        <v>2</v>
      </c>
      <c r="F35" s="8">
        <v>6.06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224</v>
      </c>
      <c r="C36" s="12">
        <v>2</v>
      </c>
      <c r="D36" s="8">
        <v>2.99</v>
      </c>
      <c r="E36" s="12">
        <v>0</v>
      </c>
      <c r="F36" s="8">
        <v>0</v>
      </c>
      <c r="G36" s="12">
        <v>1</v>
      </c>
      <c r="H36" s="8">
        <v>4.17</v>
      </c>
      <c r="I36" s="12">
        <v>0</v>
      </c>
    </row>
    <row r="37" spans="2:9" ht="15" customHeight="1" x14ac:dyDescent="0.2">
      <c r="B37" t="s">
        <v>243</v>
      </c>
      <c r="C37" s="12">
        <v>2</v>
      </c>
      <c r="D37" s="8">
        <v>2.99</v>
      </c>
      <c r="E37" s="12">
        <v>1</v>
      </c>
      <c r="F37" s="8">
        <v>3.03</v>
      </c>
      <c r="G37" s="12">
        <v>1</v>
      </c>
      <c r="H37" s="8">
        <v>4.17</v>
      </c>
      <c r="I37" s="12">
        <v>0</v>
      </c>
    </row>
    <row r="38" spans="2:9" ht="15" customHeight="1" x14ac:dyDescent="0.2">
      <c r="B38" t="s">
        <v>231</v>
      </c>
      <c r="C38" s="12">
        <v>2</v>
      </c>
      <c r="D38" s="8">
        <v>2.99</v>
      </c>
      <c r="E38" s="12">
        <v>2</v>
      </c>
      <c r="F38" s="8">
        <v>6.06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249</v>
      </c>
      <c r="C39" s="12">
        <v>2</v>
      </c>
      <c r="D39" s="8">
        <v>2.99</v>
      </c>
      <c r="E39" s="12">
        <v>0</v>
      </c>
      <c r="F39" s="8">
        <v>0</v>
      </c>
      <c r="G39" s="12">
        <v>1</v>
      </c>
      <c r="H39" s="8">
        <v>4.17</v>
      </c>
      <c r="I39" s="12">
        <v>0</v>
      </c>
    </row>
    <row r="40" spans="2:9" ht="15" customHeight="1" x14ac:dyDescent="0.2">
      <c r="B40" t="s">
        <v>258</v>
      </c>
      <c r="C40" s="12">
        <v>1</v>
      </c>
      <c r="D40" s="8">
        <v>1.49</v>
      </c>
      <c r="E40" s="12">
        <v>1</v>
      </c>
      <c r="F40" s="8">
        <v>3.03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259</v>
      </c>
      <c r="C41" s="12">
        <v>1</v>
      </c>
      <c r="D41" s="8">
        <v>1.49</v>
      </c>
      <c r="E41" s="12">
        <v>0</v>
      </c>
      <c r="F41" s="8">
        <v>0</v>
      </c>
      <c r="G41" s="12">
        <v>1</v>
      </c>
      <c r="H41" s="8">
        <v>4.17</v>
      </c>
      <c r="I41" s="12">
        <v>0</v>
      </c>
    </row>
    <row r="42" spans="2:9" ht="15" customHeight="1" x14ac:dyDescent="0.2">
      <c r="B42" t="s">
        <v>235</v>
      </c>
      <c r="C42" s="12">
        <v>1</v>
      </c>
      <c r="D42" s="8">
        <v>1.49</v>
      </c>
      <c r="E42" s="12">
        <v>0</v>
      </c>
      <c r="F42" s="8">
        <v>0</v>
      </c>
      <c r="G42" s="12">
        <v>1</v>
      </c>
      <c r="H42" s="8">
        <v>4.17</v>
      </c>
      <c r="I42" s="12">
        <v>0</v>
      </c>
    </row>
    <row r="43" spans="2:9" ht="15" customHeight="1" x14ac:dyDescent="0.2">
      <c r="B43" t="s">
        <v>260</v>
      </c>
      <c r="C43" s="12">
        <v>1</v>
      </c>
      <c r="D43" s="8">
        <v>1.49</v>
      </c>
      <c r="E43" s="12">
        <v>0</v>
      </c>
      <c r="F43" s="8">
        <v>0</v>
      </c>
      <c r="G43" s="12">
        <v>1</v>
      </c>
      <c r="H43" s="8">
        <v>4.17</v>
      </c>
      <c r="I43" s="12">
        <v>0</v>
      </c>
    </row>
    <row r="44" spans="2:9" ht="15" customHeight="1" x14ac:dyDescent="0.2">
      <c r="B44" t="s">
        <v>261</v>
      </c>
      <c r="C44" s="12">
        <v>1</v>
      </c>
      <c r="D44" s="8">
        <v>1.49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236</v>
      </c>
      <c r="C45" s="12">
        <v>1</v>
      </c>
      <c r="D45" s="8">
        <v>1.49</v>
      </c>
      <c r="E45" s="12">
        <v>1</v>
      </c>
      <c r="F45" s="8">
        <v>3.03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237</v>
      </c>
      <c r="C46" s="12">
        <v>1</v>
      </c>
      <c r="D46" s="8">
        <v>1.49</v>
      </c>
      <c r="E46" s="12">
        <v>0</v>
      </c>
      <c r="F46" s="8">
        <v>0</v>
      </c>
      <c r="G46" s="12">
        <v>1</v>
      </c>
      <c r="H46" s="8">
        <v>4.17</v>
      </c>
      <c r="I46" s="12">
        <v>0</v>
      </c>
    </row>
    <row r="47" spans="2:9" ht="15" customHeight="1" x14ac:dyDescent="0.2">
      <c r="B47" t="s">
        <v>229</v>
      </c>
      <c r="C47" s="12">
        <v>1</v>
      </c>
      <c r="D47" s="8">
        <v>1.49</v>
      </c>
      <c r="E47" s="12">
        <v>1</v>
      </c>
      <c r="F47" s="8">
        <v>3.03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247</v>
      </c>
      <c r="C48" s="12">
        <v>1</v>
      </c>
      <c r="D48" s="8">
        <v>1.49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240</v>
      </c>
      <c r="C49" s="12">
        <v>1</v>
      </c>
      <c r="D49" s="8">
        <v>1.49</v>
      </c>
      <c r="E49" s="12">
        <v>1</v>
      </c>
      <c r="F49" s="8">
        <v>3.03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242</v>
      </c>
      <c r="C50" s="12">
        <v>1</v>
      </c>
      <c r="D50" s="8">
        <v>1.49</v>
      </c>
      <c r="E50" s="12">
        <v>1</v>
      </c>
      <c r="F50" s="8">
        <v>3.03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234</v>
      </c>
      <c r="C51" s="12">
        <v>1</v>
      </c>
      <c r="D51" s="8">
        <v>1.49</v>
      </c>
      <c r="E51" s="12">
        <v>0</v>
      </c>
      <c r="F51" s="8">
        <v>0</v>
      </c>
      <c r="G51" s="12">
        <v>1</v>
      </c>
      <c r="H51" s="8">
        <v>4.17</v>
      </c>
      <c r="I51" s="12">
        <v>0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304</v>
      </c>
      <c r="C55" s="12">
        <v>5</v>
      </c>
      <c r="D55" s="8">
        <v>7.46</v>
      </c>
      <c r="E55" s="12">
        <v>5</v>
      </c>
      <c r="F55" s="8">
        <v>15.15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330</v>
      </c>
      <c r="C56" s="12">
        <v>3</v>
      </c>
      <c r="D56" s="8">
        <v>4.4800000000000004</v>
      </c>
      <c r="E56" s="12">
        <v>1</v>
      </c>
      <c r="F56" s="8">
        <v>3.03</v>
      </c>
      <c r="G56" s="12">
        <v>2</v>
      </c>
      <c r="H56" s="8">
        <v>8.33</v>
      </c>
      <c r="I56" s="12">
        <v>0</v>
      </c>
    </row>
    <row r="57" spans="2:9" ht="15" customHeight="1" x14ac:dyDescent="0.2">
      <c r="B57" t="s">
        <v>295</v>
      </c>
      <c r="C57" s="12">
        <v>3</v>
      </c>
      <c r="D57" s="8">
        <v>4.4800000000000004</v>
      </c>
      <c r="E57" s="12">
        <v>3</v>
      </c>
      <c r="F57" s="8">
        <v>9.09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288</v>
      </c>
      <c r="C58" s="12">
        <v>2</v>
      </c>
      <c r="D58" s="8">
        <v>2.99</v>
      </c>
      <c r="E58" s="12">
        <v>0</v>
      </c>
      <c r="F58" s="8">
        <v>0</v>
      </c>
      <c r="G58" s="12">
        <v>2</v>
      </c>
      <c r="H58" s="8">
        <v>8.33</v>
      </c>
      <c r="I58" s="12">
        <v>0</v>
      </c>
    </row>
    <row r="59" spans="2:9" ht="15" customHeight="1" x14ac:dyDescent="0.2">
      <c r="B59" t="s">
        <v>289</v>
      </c>
      <c r="C59" s="12">
        <v>2</v>
      </c>
      <c r="D59" s="8">
        <v>2.99</v>
      </c>
      <c r="E59" s="12">
        <v>0</v>
      </c>
      <c r="F59" s="8">
        <v>0</v>
      </c>
      <c r="G59" s="12">
        <v>2</v>
      </c>
      <c r="H59" s="8">
        <v>8.33</v>
      </c>
      <c r="I59" s="12">
        <v>0</v>
      </c>
    </row>
    <row r="60" spans="2:9" ht="15" customHeight="1" x14ac:dyDescent="0.2">
      <c r="B60" t="s">
        <v>291</v>
      </c>
      <c r="C60" s="12">
        <v>2</v>
      </c>
      <c r="D60" s="8">
        <v>2.99</v>
      </c>
      <c r="E60" s="12">
        <v>1</v>
      </c>
      <c r="F60" s="8">
        <v>3.03</v>
      </c>
      <c r="G60" s="12">
        <v>1</v>
      </c>
      <c r="H60" s="8">
        <v>4.17</v>
      </c>
      <c r="I60" s="12">
        <v>0</v>
      </c>
    </row>
    <row r="61" spans="2:9" ht="15" customHeight="1" x14ac:dyDescent="0.2">
      <c r="B61" t="s">
        <v>335</v>
      </c>
      <c r="C61" s="12">
        <v>2</v>
      </c>
      <c r="D61" s="8">
        <v>2.99</v>
      </c>
      <c r="E61" s="12">
        <v>2</v>
      </c>
      <c r="F61" s="8">
        <v>6.06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338</v>
      </c>
      <c r="C62" s="12">
        <v>2</v>
      </c>
      <c r="D62" s="8">
        <v>2.99</v>
      </c>
      <c r="E62" s="12">
        <v>2</v>
      </c>
      <c r="F62" s="8">
        <v>6.06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339</v>
      </c>
      <c r="C63" s="12">
        <v>2</v>
      </c>
      <c r="D63" s="8">
        <v>2.99</v>
      </c>
      <c r="E63" s="12">
        <v>1</v>
      </c>
      <c r="F63" s="8">
        <v>3.03</v>
      </c>
      <c r="G63" s="12">
        <v>1</v>
      </c>
      <c r="H63" s="8">
        <v>4.17</v>
      </c>
      <c r="I63" s="12">
        <v>0</v>
      </c>
    </row>
    <row r="64" spans="2:9" ht="15" customHeight="1" x14ac:dyDescent="0.2">
      <c r="B64" t="s">
        <v>301</v>
      </c>
      <c r="C64" s="12">
        <v>2</v>
      </c>
      <c r="D64" s="8">
        <v>2.99</v>
      </c>
      <c r="E64" s="12">
        <v>2</v>
      </c>
      <c r="F64" s="8">
        <v>6.06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303</v>
      </c>
      <c r="C65" s="12">
        <v>2</v>
      </c>
      <c r="D65" s="8">
        <v>2.99</v>
      </c>
      <c r="E65" s="12">
        <v>2</v>
      </c>
      <c r="F65" s="8">
        <v>6.06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340</v>
      </c>
      <c r="C66" s="12">
        <v>2</v>
      </c>
      <c r="D66" s="8">
        <v>2.99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305</v>
      </c>
      <c r="C67" s="12">
        <v>2</v>
      </c>
      <c r="D67" s="8">
        <v>2.99</v>
      </c>
      <c r="E67" s="12">
        <v>2</v>
      </c>
      <c r="F67" s="8">
        <v>6.06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341</v>
      </c>
      <c r="C68" s="12">
        <v>2</v>
      </c>
      <c r="D68" s="8">
        <v>2.99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369</v>
      </c>
      <c r="C69" s="12">
        <v>2</v>
      </c>
      <c r="D69" s="8">
        <v>2.99</v>
      </c>
      <c r="E69" s="12">
        <v>0</v>
      </c>
      <c r="F69" s="8">
        <v>0</v>
      </c>
      <c r="G69" s="12">
        <v>2</v>
      </c>
      <c r="H69" s="8">
        <v>8.33</v>
      </c>
      <c r="I69" s="12">
        <v>0</v>
      </c>
    </row>
    <row r="70" spans="2:9" ht="15" customHeight="1" x14ac:dyDescent="0.2">
      <c r="B70" t="s">
        <v>370</v>
      </c>
      <c r="C70" s="12">
        <v>2</v>
      </c>
      <c r="D70" s="8">
        <v>2.99</v>
      </c>
      <c r="E70" s="12">
        <v>0</v>
      </c>
      <c r="F70" s="8">
        <v>0</v>
      </c>
      <c r="G70" s="12">
        <v>1</v>
      </c>
      <c r="H70" s="8">
        <v>4.17</v>
      </c>
      <c r="I70" s="12">
        <v>0</v>
      </c>
    </row>
    <row r="71" spans="2:9" ht="15" customHeight="1" x14ac:dyDescent="0.2">
      <c r="B71" t="s">
        <v>328</v>
      </c>
      <c r="C71" s="12">
        <v>1</v>
      </c>
      <c r="D71" s="8">
        <v>1.49</v>
      </c>
      <c r="E71" s="12">
        <v>0</v>
      </c>
      <c r="F71" s="8">
        <v>0</v>
      </c>
      <c r="G71" s="12">
        <v>1</v>
      </c>
      <c r="H71" s="8">
        <v>4.17</v>
      </c>
      <c r="I71" s="12">
        <v>0</v>
      </c>
    </row>
    <row r="72" spans="2:9" ht="15" customHeight="1" x14ac:dyDescent="0.2">
      <c r="B72" t="s">
        <v>353</v>
      </c>
      <c r="C72" s="12">
        <v>1</v>
      </c>
      <c r="D72" s="8">
        <v>1.49</v>
      </c>
      <c r="E72" s="12">
        <v>1</v>
      </c>
      <c r="F72" s="8">
        <v>3.03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343</v>
      </c>
      <c r="C73" s="12">
        <v>1</v>
      </c>
      <c r="D73" s="8">
        <v>1.49</v>
      </c>
      <c r="E73" s="12">
        <v>1</v>
      </c>
      <c r="F73" s="8">
        <v>3.03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333</v>
      </c>
      <c r="C74" s="12">
        <v>1</v>
      </c>
      <c r="D74" s="8">
        <v>1.49</v>
      </c>
      <c r="E74" s="12">
        <v>0</v>
      </c>
      <c r="F74" s="8">
        <v>0</v>
      </c>
      <c r="G74" s="12">
        <v>1</v>
      </c>
      <c r="H74" s="8">
        <v>4.17</v>
      </c>
      <c r="I74" s="12">
        <v>0</v>
      </c>
    </row>
    <row r="75" spans="2:9" ht="15" customHeight="1" x14ac:dyDescent="0.2">
      <c r="B75" t="s">
        <v>290</v>
      </c>
      <c r="C75" s="12">
        <v>1</v>
      </c>
      <c r="D75" s="8">
        <v>1.49</v>
      </c>
      <c r="E75" s="12">
        <v>0</v>
      </c>
      <c r="F75" s="8">
        <v>0</v>
      </c>
      <c r="G75" s="12">
        <v>1</v>
      </c>
      <c r="H75" s="8">
        <v>4.17</v>
      </c>
      <c r="I75" s="12">
        <v>0</v>
      </c>
    </row>
    <row r="76" spans="2:9" ht="15" customHeight="1" x14ac:dyDescent="0.2">
      <c r="B76" t="s">
        <v>359</v>
      </c>
      <c r="C76" s="12">
        <v>1</v>
      </c>
      <c r="D76" s="8">
        <v>1.49</v>
      </c>
      <c r="E76" s="12">
        <v>1</v>
      </c>
      <c r="F76" s="8">
        <v>3.03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360</v>
      </c>
      <c r="C77" s="12">
        <v>1</v>
      </c>
      <c r="D77" s="8">
        <v>1.49</v>
      </c>
      <c r="E77" s="12">
        <v>0</v>
      </c>
      <c r="F77" s="8">
        <v>0</v>
      </c>
      <c r="G77" s="12">
        <v>1</v>
      </c>
      <c r="H77" s="8">
        <v>4.17</v>
      </c>
      <c r="I77" s="12">
        <v>0</v>
      </c>
    </row>
    <row r="78" spans="2:9" ht="15" customHeight="1" x14ac:dyDescent="0.2">
      <c r="B78" t="s">
        <v>361</v>
      </c>
      <c r="C78" s="12">
        <v>1</v>
      </c>
      <c r="D78" s="8">
        <v>1.49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362</v>
      </c>
      <c r="C79" s="12">
        <v>1</v>
      </c>
      <c r="D79" s="8">
        <v>1.49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313</v>
      </c>
      <c r="C80" s="12">
        <v>1</v>
      </c>
      <c r="D80" s="8">
        <v>1.49</v>
      </c>
      <c r="E80" s="12">
        <v>0</v>
      </c>
      <c r="F80" s="8">
        <v>0</v>
      </c>
      <c r="G80" s="12">
        <v>1</v>
      </c>
      <c r="H80" s="8">
        <v>4.17</v>
      </c>
      <c r="I80" s="12">
        <v>0</v>
      </c>
    </row>
    <row r="81" spans="2:9" ht="15" customHeight="1" x14ac:dyDescent="0.2">
      <c r="B81" t="s">
        <v>363</v>
      </c>
      <c r="C81" s="12">
        <v>1</v>
      </c>
      <c r="D81" s="8">
        <v>1.49</v>
      </c>
      <c r="E81" s="12">
        <v>0</v>
      </c>
      <c r="F81" s="8">
        <v>0</v>
      </c>
      <c r="G81" s="12">
        <v>1</v>
      </c>
      <c r="H81" s="8">
        <v>4.17</v>
      </c>
      <c r="I81" s="12">
        <v>0</v>
      </c>
    </row>
    <row r="82" spans="2:9" ht="15" customHeight="1" x14ac:dyDescent="0.2">
      <c r="B82" t="s">
        <v>364</v>
      </c>
      <c r="C82" s="12">
        <v>1</v>
      </c>
      <c r="D82" s="8">
        <v>1.49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314</v>
      </c>
      <c r="C83" s="12">
        <v>1</v>
      </c>
      <c r="D83" s="8">
        <v>1.49</v>
      </c>
      <c r="E83" s="12">
        <v>1</v>
      </c>
      <c r="F83" s="8">
        <v>3.03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365</v>
      </c>
      <c r="C84" s="12">
        <v>1</v>
      </c>
      <c r="D84" s="8">
        <v>1.49</v>
      </c>
      <c r="E84" s="12">
        <v>0</v>
      </c>
      <c r="F84" s="8">
        <v>0</v>
      </c>
      <c r="G84" s="12">
        <v>1</v>
      </c>
      <c r="H84" s="8">
        <v>4.17</v>
      </c>
      <c r="I84" s="12">
        <v>0</v>
      </c>
    </row>
    <row r="85" spans="2:9" ht="15" customHeight="1" x14ac:dyDescent="0.2">
      <c r="B85" t="s">
        <v>366</v>
      </c>
      <c r="C85" s="12">
        <v>1</v>
      </c>
      <c r="D85" s="8">
        <v>1.49</v>
      </c>
      <c r="E85" s="12">
        <v>1</v>
      </c>
      <c r="F85" s="8">
        <v>3.03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332</v>
      </c>
      <c r="C86" s="12">
        <v>1</v>
      </c>
      <c r="D86" s="8">
        <v>1.49</v>
      </c>
      <c r="E86" s="12">
        <v>0</v>
      </c>
      <c r="F86" s="8">
        <v>0</v>
      </c>
      <c r="G86" s="12">
        <v>1</v>
      </c>
      <c r="H86" s="8">
        <v>4.17</v>
      </c>
      <c r="I86" s="12">
        <v>0</v>
      </c>
    </row>
    <row r="87" spans="2:9" ht="15" customHeight="1" x14ac:dyDescent="0.2">
      <c r="B87" t="s">
        <v>337</v>
      </c>
      <c r="C87" s="12">
        <v>1</v>
      </c>
      <c r="D87" s="8">
        <v>1.49</v>
      </c>
      <c r="E87" s="12">
        <v>0</v>
      </c>
      <c r="F87" s="8">
        <v>0</v>
      </c>
      <c r="G87" s="12">
        <v>1</v>
      </c>
      <c r="H87" s="8">
        <v>4.17</v>
      </c>
      <c r="I87" s="12">
        <v>0</v>
      </c>
    </row>
    <row r="88" spans="2:9" ht="15" customHeight="1" x14ac:dyDescent="0.2">
      <c r="B88" t="s">
        <v>344</v>
      </c>
      <c r="C88" s="12">
        <v>1</v>
      </c>
      <c r="D88" s="8">
        <v>1.49</v>
      </c>
      <c r="E88" s="12">
        <v>1</v>
      </c>
      <c r="F88" s="8">
        <v>3.03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322</v>
      </c>
      <c r="C89" s="12">
        <v>1</v>
      </c>
      <c r="D89" s="8">
        <v>1.49</v>
      </c>
      <c r="E89" s="12">
        <v>0</v>
      </c>
      <c r="F89" s="8">
        <v>0</v>
      </c>
      <c r="G89" s="12">
        <v>1</v>
      </c>
      <c r="H89" s="8">
        <v>4.17</v>
      </c>
      <c r="I89" s="12">
        <v>0</v>
      </c>
    </row>
    <row r="90" spans="2:9" ht="15" customHeight="1" x14ac:dyDescent="0.2">
      <c r="B90" t="s">
        <v>297</v>
      </c>
      <c r="C90" s="12">
        <v>1</v>
      </c>
      <c r="D90" s="8">
        <v>1.49</v>
      </c>
      <c r="E90" s="12">
        <v>0</v>
      </c>
      <c r="F90" s="8">
        <v>0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367</v>
      </c>
      <c r="C91" s="12">
        <v>1</v>
      </c>
      <c r="D91" s="8">
        <v>1.49</v>
      </c>
      <c r="E91" s="12">
        <v>0</v>
      </c>
      <c r="F91" s="8">
        <v>0</v>
      </c>
      <c r="G91" s="12">
        <v>1</v>
      </c>
      <c r="H91" s="8">
        <v>4.17</v>
      </c>
      <c r="I91" s="12">
        <v>0</v>
      </c>
    </row>
    <row r="92" spans="2:9" ht="15" customHeight="1" x14ac:dyDescent="0.2">
      <c r="B92" t="s">
        <v>300</v>
      </c>
      <c r="C92" s="12">
        <v>1</v>
      </c>
      <c r="D92" s="8">
        <v>1.49</v>
      </c>
      <c r="E92" s="12">
        <v>1</v>
      </c>
      <c r="F92" s="8">
        <v>3.03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352</v>
      </c>
      <c r="C93" s="12">
        <v>1</v>
      </c>
      <c r="D93" s="8">
        <v>1.49</v>
      </c>
      <c r="E93" s="12">
        <v>1</v>
      </c>
      <c r="F93" s="8">
        <v>3.03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368</v>
      </c>
      <c r="C94" s="12">
        <v>1</v>
      </c>
      <c r="D94" s="8">
        <v>1.49</v>
      </c>
      <c r="E94" s="12">
        <v>0</v>
      </c>
      <c r="F94" s="8">
        <v>0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312</v>
      </c>
      <c r="C95" s="12">
        <v>1</v>
      </c>
      <c r="D95" s="8">
        <v>1.49</v>
      </c>
      <c r="E95" s="12">
        <v>1</v>
      </c>
      <c r="F95" s="8">
        <v>3.03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306</v>
      </c>
      <c r="C96" s="12">
        <v>1</v>
      </c>
      <c r="D96" s="8">
        <v>1.49</v>
      </c>
      <c r="E96" s="12">
        <v>1</v>
      </c>
      <c r="F96" s="8">
        <v>3.03</v>
      </c>
      <c r="G96" s="12">
        <v>0</v>
      </c>
      <c r="H96" s="8">
        <v>0</v>
      </c>
      <c r="I96" s="12">
        <v>0</v>
      </c>
    </row>
    <row r="97" spans="2:9" ht="15" customHeight="1" x14ac:dyDescent="0.2">
      <c r="B97" t="s">
        <v>331</v>
      </c>
      <c r="C97" s="12">
        <v>1</v>
      </c>
      <c r="D97" s="8">
        <v>1.49</v>
      </c>
      <c r="E97" s="12">
        <v>0</v>
      </c>
      <c r="F97" s="8">
        <v>0</v>
      </c>
      <c r="G97" s="12">
        <v>1</v>
      </c>
      <c r="H97" s="8">
        <v>4.17</v>
      </c>
      <c r="I97" s="12">
        <v>0</v>
      </c>
    </row>
    <row r="98" spans="2:9" ht="15" customHeight="1" x14ac:dyDescent="0.2">
      <c r="B98" t="s">
        <v>307</v>
      </c>
      <c r="C98" s="12">
        <v>1</v>
      </c>
      <c r="D98" s="8">
        <v>1.49</v>
      </c>
      <c r="E98" s="12">
        <v>1</v>
      </c>
      <c r="F98" s="8">
        <v>3.03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371</v>
      </c>
      <c r="C99" s="12">
        <v>1</v>
      </c>
      <c r="D99" s="8">
        <v>1.49</v>
      </c>
      <c r="E99" s="12">
        <v>1</v>
      </c>
      <c r="F99" s="8">
        <v>3.03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348</v>
      </c>
      <c r="C100" s="12">
        <v>1</v>
      </c>
      <c r="D100" s="8">
        <v>1.49</v>
      </c>
      <c r="E100" s="12">
        <v>0</v>
      </c>
      <c r="F100" s="8">
        <v>0</v>
      </c>
      <c r="G100" s="12">
        <v>1</v>
      </c>
      <c r="H100" s="8">
        <v>4.17</v>
      </c>
      <c r="I100" s="12">
        <v>0</v>
      </c>
    </row>
    <row r="102" spans="2:9" ht="15" customHeight="1" x14ac:dyDescent="0.2">
      <c r="B10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28C21-0237-4174-B866-367102D7E6DD}">
  <sheetPr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56</v>
      </c>
      <c r="D6" s="8">
        <v>10.39</v>
      </c>
      <c r="E6" s="12">
        <v>20</v>
      </c>
      <c r="F6" s="8">
        <v>6.73</v>
      </c>
      <c r="G6" s="12">
        <v>36</v>
      </c>
      <c r="H6" s="8">
        <v>15.32</v>
      </c>
      <c r="I6" s="12">
        <v>0</v>
      </c>
    </row>
    <row r="7" spans="2:9" ht="15" customHeight="1" x14ac:dyDescent="0.2">
      <c r="B7" t="s">
        <v>192</v>
      </c>
      <c r="C7" s="12">
        <v>27</v>
      </c>
      <c r="D7" s="8">
        <v>5.01</v>
      </c>
      <c r="E7" s="12">
        <v>6</v>
      </c>
      <c r="F7" s="8">
        <v>2.02</v>
      </c>
      <c r="G7" s="12">
        <v>21</v>
      </c>
      <c r="H7" s="8">
        <v>8.94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0.37</v>
      </c>
      <c r="E8" s="12">
        <v>0</v>
      </c>
      <c r="F8" s="8">
        <v>0</v>
      </c>
      <c r="G8" s="12">
        <v>2</v>
      </c>
      <c r="H8" s="8">
        <v>0.85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0.37</v>
      </c>
      <c r="E9" s="12">
        <v>0</v>
      </c>
      <c r="F9" s="8">
        <v>0</v>
      </c>
      <c r="G9" s="12">
        <v>1</v>
      </c>
      <c r="H9" s="8">
        <v>0.43</v>
      </c>
      <c r="I9" s="12">
        <v>1</v>
      </c>
    </row>
    <row r="10" spans="2:9" ht="15" customHeight="1" x14ac:dyDescent="0.2">
      <c r="B10" t="s">
        <v>195</v>
      </c>
      <c r="C10" s="12">
        <v>7</v>
      </c>
      <c r="D10" s="8">
        <v>1.3</v>
      </c>
      <c r="E10" s="12">
        <v>1</v>
      </c>
      <c r="F10" s="8">
        <v>0.34</v>
      </c>
      <c r="G10" s="12">
        <v>6</v>
      </c>
      <c r="H10" s="8">
        <v>2.5499999999999998</v>
      </c>
      <c r="I10" s="12">
        <v>0</v>
      </c>
    </row>
    <row r="11" spans="2:9" ht="15" customHeight="1" x14ac:dyDescent="0.2">
      <c r="B11" t="s">
        <v>196</v>
      </c>
      <c r="C11" s="12">
        <v>141</v>
      </c>
      <c r="D11" s="8">
        <v>26.16</v>
      </c>
      <c r="E11" s="12">
        <v>64</v>
      </c>
      <c r="F11" s="8">
        <v>21.55</v>
      </c>
      <c r="G11" s="12">
        <v>77</v>
      </c>
      <c r="H11" s="8">
        <v>32.770000000000003</v>
      </c>
      <c r="I11" s="12">
        <v>0</v>
      </c>
    </row>
    <row r="12" spans="2:9" ht="15" customHeight="1" x14ac:dyDescent="0.2">
      <c r="B12" t="s">
        <v>197</v>
      </c>
      <c r="C12" s="12">
        <v>5</v>
      </c>
      <c r="D12" s="8">
        <v>0.93</v>
      </c>
      <c r="E12" s="12">
        <v>1</v>
      </c>
      <c r="F12" s="8">
        <v>0.34</v>
      </c>
      <c r="G12" s="12">
        <v>4</v>
      </c>
      <c r="H12" s="8">
        <v>1.7</v>
      </c>
      <c r="I12" s="12">
        <v>0</v>
      </c>
    </row>
    <row r="13" spans="2:9" ht="15" customHeight="1" x14ac:dyDescent="0.2">
      <c r="B13" t="s">
        <v>198</v>
      </c>
      <c r="C13" s="12">
        <v>47</v>
      </c>
      <c r="D13" s="8">
        <v>8.7200000000000006</v>
      </c>
      <c r="E13" s="12">
        <v>29</v>
      </c>
      <c r="F13" s="8">
        <v>9.76</v>
      </c>
      <c r="G13" s="12">
        <v>18</v>
      </c>
      <c r="H13" s="8">
        <v>7.66</v>
      </c>
      <c r="I13" s="12">
        <v>0</v>
      </c>
    </row>
    <row r="14" spans="2:9" ht="15" customHeight="1" x14ac:dyDescent="0.2">
      <c r="B14" t="s">
        <v>199</v>
      </c>
      <c r="C14" s="12">
        <v>22</v>
      </c>
      <c r="D14" s="8">
        <v>4.08</v>
      </c>
      <c r="E14" s="12">
        <v>10</v>
      </c>
      <c r="F14" s="8">
        <v>3.37</v>
      </c>
      <c r="G14" s="12">
        <v>12</v>
      </c>
      <c r="H14" s="8">
        <v>5.1100000000000003</v>
      </c>
      <c r="I14" s="12">
        <v>0</v>
      </c>
    </row>
    <row r="15" spans="2:9" ht="15" customHeight="1" x14ac:dyDescent="0.2">
      <c r="B15" t="s">
        <v>200</v>
      </c>
      <c r="C15" s="12">
        <v>95</v>
      </c>
      <c r="D15" s="8">
        <v>17.63</v>
      </c>
      <c r="E15" s="12">
        <v>73</v>
      </c>
      <c r="F15" s="8">
        <v>24.58</v>
      </c>
      <c r="G15" s="12">
        <v>21</v>
      </c>
      <c r="H15" s="8">
        <v>8.94</v>
      </c>
      <c r="I15" s="12">
        <v>0</v>
      </c>
    </row>
    <row r="16" spans="2:9" ht="15" customHeight="1" x14ac:dyDescent="0.2">
      <c r="B16" t="s">
        <v>201</v>
      </c>
      <c r="C16" s="12">
        <v>87</v>
      </c>
      <c r="D16" s="8">
        <v>16.14</v>
      </c>
      <c r="E16" s="12">
        <v>71</v>
      </c>
      <c r="F16" s="8">
        <v>23.91</v>
      </c>
      <c r="G16" s="12">
        <v>16</v>
      </c>
      <c r="H16" s="8">
        <v>6.81</v>
      </c>
      <c r="I16" s="12">
        <v>0</v>
      </c>
    </row>
    <row r="17" spans="2:9" ht="15" customHeight="1" x14ac:dyDescent="0.2">
      <c r="B17" t="s">
        <v>202</v>
      </c>
      <c r="C17" s="12">
        <v>10</v>
      </c>
      <c r="D17" s="8">
        <v>1.86</v>
      </c>
      <c r="E17" s="12">
        <v>5</v>
      </c>
      <c r="F17" s="8">
        <v>1.68</v>
      </c>
      <c r="G17" s="12">
        <v>4</v>
      </c>
      <c r="H17" s="8">
        <v>1.7</v>
      </c>
      <c r="I17" s="12">
        <v>0</v>
      </c>
    </row>
    <row r="18" spans="2:9" ht="15" customHeight="1" x14ac:dyDescent="0.2">
      <c r="B18" t="s">
        <v>203</v>
      </c>
      <c r="C18" s="12">
        <v>24</v>
      </c>
      <c r="D18" s="8">
        <v>4.45</v>
      </c>
      <c r="E18" s="12">
        <v>15</v>
      </c>
      <c r="F18" s="8">
        <v>5.05</v>
      </c>
      <c r="G18" s="12">
        <v>7</v>
      </c>
      <c r="H18" s="8">
        <v>2.98</v>
      </c>
      <c r="I18" s="12">
        <v>0</v>
      </c>
    </row>
    <row r="19" spans="2:9" ht="15" customHeight="1" x14ac:dyDescent="0.2">
      <c r="B19" t="s">
        <v>204</v>
      </c>
      <c r="C19" s="12">
        <v>14</v>
      </c>
      <c r="D19" s="8">
        <v>2.6</v>
      </c>
      <c r="E19" s="12">
        <v>2</v>
      </c>
      <c r="F19" s="8">
        <v>0.67</v>
      </c>
      <c r="G19" s="12">
        <v>10</v>
      </c>
      <c r="H19" s="8">
        <v>4.26</v>
      </c>
      <c r="I19" s="12">
        <v>1</v>
      </c>
    </row>
    <row r="20" spans="2:9" ht="15" customHeight="1" x14ac:dyDescent="0.2">
      <c r="B20" s="9" t="s">
        <v>529</v>
      </c>
      <c r="C20" s="12">
        <f>SUM(LTBL_01228[総数／事業所数])</f>
        <v>539</v>
      </c>
      <c r="E20" s="12">
        <f>SUBTOTAL(109,LTBL_01228[個人／事業所数])</f>
        <v>297</v>
      </c>
      <c r="G20" s="12">
        <f>SUBTOTAL(109,LTBL_01228[法人／事業所数])</f>
        <v>235</v>
      </c>
      <c r="I20" s="12">
        <f>SUBTOTAL(109,LTBL_01228[法人以外の団体／事業所数])</f>
        <v>2</v>
      </c>
    </row>
    <row r="21" spans="2:9" ht="15" customHeight="1" x14ac:dyDescent="0.2">
      <c r="E21" s="11">
        <f>LTBL_01228[[#Totals],[個人／事業所数]]/LTBL_01228[[#Totals],[総数／事業所数]]</f>
        <v>0.55102040816326525</v>
      </c>
      <c r="G21" s="11">
        <f>LTBL_01228[[#Totals],[法人／事業所数]]/LTBL_01228[[#Totals],[総数／事業所数]]</f>
        <v>0.4359925788497217</v>
      </c>
      <c r="I21" s="11">
        <f>LTBL_01228[[#Totals],[法人以外の団体／事業所数]]/LTBL_01228[[#Totals],[総数／事業所数]]</f>
        <v>3.7105751391465678E-3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83</v>
      </c>
      <c r="D24" s="8">
        <v>15.4</v>
      </c>
      <c r="E24" s="12">
        <v>70</v>
      </c>
      <c r="F24" s="8">
        <v>23.57</v>
      </c>
      <c r="G24" s="12">
        <v>13</v>
      </c>
      <c r="H24" s="8">
        <v>5.53</v>
      </c>
      <c r="I24" s="12">
        <v>0</v>
      </c>
    </row>
    <row r="25" spans="2:9" ht="15" customHeight="1" x14ac:dyDescent="0.2">
      <c r="B25" t="s">
        <v>228</v>
      </c>
      <c r="C25" s="12">
        <v>73</v>
      </c>
      <c r="D25" s="8">
        <v>13.54</v>
      </c>
      <c r="E25" s="12">
        <v>66</v>
      </c>
      <c r="F25" s="8">
        <v>22.22</v>
      </c>
      <c r="G25" s="12">
        <v>7</v>
      </c>
      <c r="H25" s="8">
        <v>2.98</v>
      </c>
      <c r="I25" s="12">
        <v>0</v>
      </c>
    </row>
    <row r="26" spans="2:9" ht="15" customHeight="1" x14ac:dyDescent="0.2">
      <c r="B26" t="s">
        <v>223</v>
      </c>
      <c r="C26" s="12">
        <v>44</v>
      </c>
      <c r="D26" s="8">
        <v>8.16</v>
      </c>
      <c r="E26" s="12">
        <v>16</v>
      </c>
      <c r="F26" s="8">
        <v>5.39</v>
      </c>
      <c r="G26" s="12">
        <v>28</v>
      </c>
      <c r="H26" s="8">
        <v>11.91</v>
      </c>
      <c r="I26" s="12">
        <v>0</v>
      </c>
    </row>
    <row r="27" spans="2:9" ht="15" customHeight="1" x14ac:dyDescent="0.2">
      <c r="B27" t="s">
        <v>224</v>
      </c>
      <c r="C27" s="12">
        <v>41</v>
      </c>
      <c r="D27" s="8">
        <v>7.61</v>
      </c>
      <c r="E27" s="12">
        <v>28</v>
      </c>
      <c r="F27" s="8">
        <v>9.43</v>
      </c>
      <c r="G27" s="12">
        <v>13</v>
      </c>
      <c r="H27" s="8">
        <v>5.53</v>
      </c>
      <c r="I27" s="12">
        <v>0</v>
      </c>
    </row>
    <row r="28" spans="2:9" ht="15" customHeight="1" x14ac:dyDescent="0.2">
      <c r="B28" t="s">
        <v>221</v>
      </c>
      <c r="C28" s="12">
        <v>39</v>
      </c>
      <c r="D28" s="8">
        <v>7.24</v>
      </c>
      <c r="E28" s="12">
        <v>24</v>
      </c>
      <c r="F28" s="8">
        <v>8.08</v>
      </c>
      <c r="G28" s="12">
        <v>15</v>
      </c>
      <c r="H28" s="8">
        <v>6.38</v>
      </c>
      <c r="I28" s="12">
        <v>0</v>
      </c>
    </row>
    <row r="29" spans="2:9" ht="15" customHeight="1" x14ac:dyDescent="0.2">
      <c r="B29" t="s">
        <v>213</v>
      </c>
      <c r="C29" s="12">
        <v>29</v>
      </c>
      <c r="D29" s="8">
        <v>5.38</v>
      </c>
      <c r="E29" s="12">
        <v>9</v>
      </c>
      <c r="F29" s="8">
        <v>3.03</v>
      </c>
      <c r="G29" s="12">
        <v>20</v>
      </c>
      <c r="H29" s="8">
        <v>8.51</v>
      </c>
      <c r="I29" s="12">
        <v>0</v>
      </c>
    </row>
    <row r="30" spans="2:9" ht="15" customHeight="1" x14ac:dyDescent="0.2">
      <c r="B30" t="s">
        <v>222</v>
      </c>
      <c r="C30" s="12">
        <v>21</v>
      </c>
      <c r="D30" s="8">
        <v>3.9</v>
      </c>
      <c r="E30" s="12">
        <v>9</v>
      </c>
      <c r="F30" s="8">
        <v>3.03</v>
      </c>
      <c r="G30" s="12">
        <v>12</v>
      </c>
      <c r="H30" s="8">
        <v>5.1100000000000003</v>
      </c>
      <c r="I30" s="12">
        <v>0</v>
      </c>
    </row>
    <row r="31" spans="2:9" ht="15" customHeight="1" x14ac:dyDescent="0.2">
      <c r="B31" t="s">
        <v>214</v>
      </c>
      <c r="C31" s="12">
        <v>16</v>
      </c>
      <c r="D31" s="8">
        <v>2.97</v>
      </c>
      <c r="E31" s="12">
        <v>6</v>
      </c>
      <c r="F31" s="8">
        <v>2.02</v>
      </c>
      <c r="G31" s="12">
        <v>10</v>
      </c>
      <c r="H31" s="8">
        <v>4.26</v>
      </c>
      <c r="I31" s="12">
        <v>0</v>
      </c>
    </row>
    <row r="32" spans="2:9" ht="15" customHeight="1" x14ac:dyDescent="0.2">
      <c r="B32" t="s">
        <v>231</v>
      </c>
      <c r="C32" s="12">
        <v>16</v>
      </c>
      <c r="D32" s="8">
        <v>2.97</v>
      </c>
      <c r="E32" s="12">
        <v>15</v>
      </c>
      <c r="F32" s="8">
        <v>5.05</v>
      </c>
      <c r="G32" s="12">
        <v>1</v>
      </c>
      <c r="H32" s="8">
        <v>0.43</v>
      </c>
      <c r="I32" s="12">
        <v>0</v>
      </c>
    </row>
    <row r="33" spans="2:9" ht="15" customHeight="1" x14ac:dyDescent="0.2">
      <c r="B33" t="s">
        <v>220</v>
      </c>
      <c r="C33" s="12">
        <v>13</v>
      </c>
      <c r="D33" s="8">
        <v>2.41</v>
      </c>
      <c r="E33" s="12">
        <v>5</v>
      </c>
      <c r="F33" s="8">
        <v>1.68</v>
      </c>
      <c r="G33" s="12">
        <v>8</v>
      </c>
      <c r="H33" s="8">
        <v>3.4</v>
      </c>
      <c r="I33" s="12">
        <v>0</v>
      </c>
    </row>
    <row r="34" spans="2:9" ht="15" customHeight="1" x14ac:dyDescent="0.2">
      <c r="B34" t="s">
        <v>215</v>
      </c>
      <c r="C34" s="12">
        <v>11</v>
      </c>
      <c r="D34" s="8">
        <v>2.04</v>
      </c>
      <c r="E34" s="12">
        <v>5</v>
      </c>
      <c r="F34" s="8">
        <v>1.68</v>
      </c>
      <c r="G34" s="12">
        <v>6</v>
      </c>
      <c r="H34" s="8">
        <v>2.5499999999999998</v>
      </c>
      <c r="I34" s="12">
        <v>0</v>
      </c>
    </row>
    <row r="35" spans="2:9" ht="15" customHeight="1" x14ac:dyDescent="0.2">
      <c r="B35" t="s">
        <v>226</v>
      </c>
      <c r="C35" s="12">
        <v>11</v>
      </c>
      <c r="D35" s="8">
        <v>2.04</v>
      </c>
      <c r="E35" s="12">
        <v>2</v>
      </c>
      <c r="F35" s="8">
        <v>0.67</v>
      </c>
      <c r="G35" s="12">
        <v>9</v>
      </c>
      <c r="H35" s="8">
        <v>3.83</v>
      </c>
      <c r="I35" s="12">
        <v>0</v>
      </c>
    </row>
    <row r="36" spans="2:9" ht="15" customHeight="1" x14ac:dyDescent="0.2">
      <c r="B36" t="s">
        <v>243</v>
      </c>
      <c r="C36" s="12">
        <v>10</v>
      </c>
      <c r="D36" s="8">
        <v>1.86</v>
      </c>
      <c r="E36" s="12">
        <v>3</v>
      </c>
      <c r="F36" s="8">
        <v>1.01</v>
      </c>
      <c r="G36" s="12">
        <v>7</v>
      </c>
      <c r="H36" s="8">
        <v>2.98</v>
      </c>
      <c r="I36" s="12">
        <v>0</v>
      </c>
    </row>
    <row r="37" spans="2:9" ht="15" customHeight="1" x14ac:dyDescent="0.2">
      <c r="B37" t="s">
        <v>230</v>
      </c>
      <c r="C37" s="12">
        <v>10</v>
      </c>
      <c r="D37" s="8">
        <v>1.86</v>
      </c>
      <c r="E37" s="12">
        <v>5</v>
      </c>
      <c r="F37" s="8">
        <v>1.68</v>
      </c>
      <c r="G37" s="12">
        <v>4</v>
      </c>
      <c r="H37" s="8">
        <v>1.7</v>
      </c>
      <c r="I37" s="12">
        <v>0</v>
      </c>
    </row>
    <row r="38" spans="2:9" ht="15" customHeight="1" x14ac:dyDescent="0.2">
      <c r="B38" t="s">
        <v>217</v>
      </c>
      <c r="C38" s="12">
        <v>9</v>
      </c>
      <c r="D38" s="8">
        <v>1.67</v>
      </c>
      <c r="E38" s="12">
        <v>3</v>
      </c>
      <c r="F38" s="8">
        <v>1.01</v>
      </c>
      <c r="G38" s="12">
        <v>6</v>
      </c>
      <c r="H38" s="8">
        <v>2.5499999999999998</v>
      </c>
      <c r="I38" s="12">
        <v>0</v>
      </c>
    </row>
    <row r="39" spans="2:9" ht="15" customHeight="1" x14ac:dyDescent="0.2">
      <c r="B39" t="s">
        <v>225</v>
      </c>
      <c r="C39" s="12">
        <v>9</v>
      </c>
      <c r="D39" s="8">
        <v>1.67</v>
      </c>
      <c r="E39" s="12">
        <v>8</v>
      </c>
      <c r="F39" s="8">
        <v>2.69</v>
      </c>
      <c r="G39" s="12">
        <v>1</v>
      </c>
      <c r="H39" s="8">
        <v>0.43</v>
      </c>
      <c r="I39" s="12">
        <v>0</v>
      </c>
    </row>
    <row r="40" spans="2:9" ht="15" customHeight="1" x14ac:dyDescent="0.2">
      <c r="B40" t="s">
        <v>229</v>
      </c>
      <c r="C40" s="12">
        <v>8</v>
      </c>
      <c r="D40" s="8">
        <v>1.48</v>
      </c>
      <c r="E40" s="12">
        <v>4</v>
      </c>
      <c r="F40" s="8">
        <v>1.35</v>
      </c>
      <c r="G40" s="12">
        <v>4</v>
      </c>
      <c r="H40" s="8">
        <v>1.7</v>
      </c>
      <c r="I40" s="12">
        <v>0</v>
      </c>
    </row>
    <row r="41" spans="2:9" ht="15" customHeight="1" x14ac:dyDescent="0.2">
      <c r="B41" t="s">
        <v>232</v>
      </c>
      <c r="C41" s="12">
        <v>8</v>
      </c>
      <c r="D41" s="8">
        <v>1.48</v>
      </c>
      <c r="E41" s="12">
        <v>0</v>
      </c>
      <c r="F41" s="8">
        <v>0</v>
      </c>
      <c r="G41" s="12">
        <v>6</v>
      </c>
      <c r="H41" s="8">
        <v>2.5499999999999998</v>
      </c>
      <c r="I41" s="12">
        <v>0</v>
      </c>
    </row>
    <row r="42" spans="2:9" ht="15" customHeight="1" x14ac:dyDescent="0.2">
      <c r="B42" t="s">
        <v>247</v>
      </c>
      <c r="C42" s="12">
        <v>6</v>
      </c>
      <c r="D42" s="8">
        <v>1.1100000000000001</v>
      </c>
      <c r="E42" s="12">
        <v>1</v>
      </c>
      <c r="F42" s="8">
        <v>0.34</v>
      </c>
      <c r="G42" s="12">
        <v>5</v>
      </c>
      <c r="H42" s="8">
        <v>2.13</v>
      </c>
      <c r="I42" s="12">
        <v>0</v>
      </c>
    </row>
    <row r="43" spans="2:9" ht="15" customHeight="1" x14ac:dyDescent="0.2">
      <c r="B43" t="s">
        <v>254</v>
      </c>
      <c r="C43" s="12">
        <v>5</v>
      </c>
      <c r="D43" s="8">
        <v>0.93</v>
      </c>
      <c r="E43" s="12">
        <v>0</v>
      </c>
      <c r="F43" s="8">
        <v>0</v>
      </c>
      <c r="G43" s="12">
        <v>5</v>
      </c>
      <c r="H43" s="8">
        <v>2.13</v>
      </c>
      <c r="I43" s="12">
        <v>0</v>
      </c>
    </row>
    <row r="44" spans="2:9" ht="15" customHeight="1" x14ac:dyDescent="0.2">
      <c r="B44" t="s">
        <v>237</v>
      </c>
      <c r="C44" s="12">
        <v>5</v>
      </c>
      <c r="D44" s="8">
        <v>0.93</v>
      </c>
      <c r="E44" s="12">
        <v>1</v>
      </c>
      <c r="F44" s="8">
        <v>0.34</v>
      </c>
      <c r="G44" s="12">
        <v>4</v>
      </c>
      <c r="H44" s="8">
        <v>1.7</v>
      </c>
      <c r="I44" s="12">
        <v>0</v>
      </c>
    </row>
    <row r="45" spans="2:9" ht="15" customHeight="1" x14ac:dyDescent="0.2">
      <c r="B45" t="s">
        <v>234</v>
      </c>
      <c r="C45" s="12">
        <v>5</v>
      </c>
      <c r="D45" s="8">
        <v>0.93</v>
      </c>
      <c r="E45" s="12">
        <v>1</v>
      </c>
      <c r="F45" s="8">
        <v>0.34</v>
      </c>
      <c r="G45" s="12">
        <v>3</v>
      </c>
      <c r="H45" s="8">
        <v>1.28</v>
      </c>
      <c r="I45" s="12">
        <v>1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304</v>
      </c>
      <c r="C49" s="12">
        <v>37</v>
      </c>
      <c r="D49" s="8">
        <v>6.86</v>
      </c>
      <c r="E49" s="12">
        <v>35</v>
      </c>
      <c r="F49" s="8">
        <v>11.78</v>
      </c>
      <c r="G49" s="12">
        <v>2</v>
      </c>
      <c r="H49" s="8">
        <v>0.85</v>
      </c>
      <c r="I49" s="12">
        <v>0</v>
      </c>
    </row>
    <row r="50" spans="2:9" ht="15" customHeight="1" x14ac:dyDescent="0.2">
      <c r="B50" t="s">
        <v>297</v>
      </c>
      <c r="C50" s="12">
        <v>36</v>
      </c>
      <c r="D50" s="8">
        <v>6.68</v>
      </c>
      <c r="E50" s="12">
        <v>26</v>
      </c>
      <c r="F50" s="8">
        <v>8.75</v>
      </c>
      <c r="G50" s="12">
        <v>10</v>
      </c>
      <c r="H50" s="8">
        <v>4.26</v>
      </c>
      <c r="I50" s="12">
        <v>0</v>
      </c>
    </row>
    <row r="51" spans="2:9" ht="15" customHeight="1" x14ac:dyDescent="0.2">
      <c r="B51" t="s">
        <v>303</v>
      </c>
      <c r="C51" s="12">
        <v>28</v>
      </c>
      <c r="D51" s="8">
        <v>5.19</v>
      </c>
      <c r="E51" s="12">
        <v>28</v>
      </c>
      <c r="F51" s="8">
        <v>9.43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301</v>
      </c>
      <c r="C52" s="12">
        <v>26</v>
      </c>
      <c r="D52" s="8">
        <v>4.82</v>
      </c>
      <c r="E52" s="12">
        <v>25</v>
      </c>
      <c r="F52" s="8">
        <v>8.42</v>
      </c>
      <c r="G52" s="12">
        <v>1</v>
      </c>
      <c r="H52" s="8">
        <v>0.43</v>
      </c>
      <c r="I52" s="12">
        <v>0</v>
      </c>
    </row>
    <row r="53" spans="2:9" ht="15" customHeight="1" x14ac:dyDescent="0.2">
      <c r="B53" t="s">
        <v>299</v>
      </c>
      <c r="C53" s="12">
        <v>19</v>
      </c>
      <c r="D53" s="8">
        <v>3.53</v>
      </c>
      <c r="E53" s="12">
        <v>16</v>
      </c>
      <c r="F53" s="8">
        <v>5.39</v>
      </c>
      <c r="G53" s="12">
        <v>3</v>
      </c>
      <c r="H53" s="8">
        <v>1.28</v>
      </c>
      <c r="I53" s="12">
        <v>0</v>
      </c>
    </row>
    <row r="54" spans="2:9" ht="15" customHeight="1" x14ac:dyDescent="0.2">
      <c r="B54" t="s">
        <v>292</v>
      </c>
      <c r="C54" s="12">
        <v>14</v>
      </c>
      <c r="D54" s="8">
        <v>2.6</v>
      </c>
      <c r="E54" s="12">
        <v>10</v>
      </c>
      <c r="F54" s="8">
        <v>3.37</v>
      </c>
      <c r="G54" s="12">
        <v>4</v>
      </c>
      <c r="H54" s="8">
        <v>1.7</v>
      </c>
      <c r="I54" s="12">
        <v>0</v>
      </c>
    </row>
    <row r="55" spans="2:9" ht="15" customHeight="1" x14ac:dyDescent="0.2">
      <c r="B55" t="s">
        <v>293</v>
      </c>
      <c r="C55" s="12">
        <v>12</v>
      </c>
      <c r="D55" s="8">
        <v>2.23</v>
      </c>
      <c r="E55" s="12">
        <v>4</v>
      </c>
      <c r="F55" s="8">
        <v>1.35</v>
      </c>
      <c r="G55" s="12">
        <v>8</v>
      </c>
      <c r="H55" s="8">
        <v>3.4</v>
      </c>
      <c r="I55" s="12">
        <v>0</v>
      </c>
    </row>
    <row r="56" spans="2:9" ht="15" customHeight="1" x14ac:dyDescent="0.2">
      <c r="B56" t="s">
        <v>300</v>
      </c>
      <c r="C56" s="12">
        <v>11</v>
      </c>
      <c r="D56" s="8">
        <v>2.04</v>
      </c>
      <c r="E56" s="12">
        <v>9</v>
      </c>
      <c r="F56" s="8">
        <v>3.03</v>
      </c>
      <c r="G56" s="12">
        <v>2</v>
      </c>
      <c r="H56" s="8">
        <v>0.85</v>
      </c>
      <c r="I56" s="12">
        <v>0</v>
      </c>
    </row>
    <row r="57" spans="2:9" ht="15" customHeight="1" x14ac:dyDescent="0.2">
      <c r="B57" t="s">
        <v>302</v>
      </c>
      <c r="C57" s="12">
        <v>11</v>
      </c>
      <c r="D57" s="8">
        <v>2.04</v>
      </c>
      <c r="E57" s="12">
        <v>9</v>
      </c>
      <c r="F57" s="8">
        <v>3.03</v>
      </c>
      <c r="G57" s="12">
        <v>2</v>
      </c>
      <c r="H57" s="8">
        <v>0.85</v>
      </c>
      <c r="I57" s="12">
        <v>0</v>
      </c>
    </row>
    <row r="58" spans="2:9" ht="15" customHeight="1" x14ac:dyDescent="0.2">
      <c r="B58" t="s">
        <v>328</v>
      </c>
      <c r="C58" s="12">
        <v>10</v>
      </c>
      <c r="D58" s="8">
        <v>1.86</v>
      </c>
      <c r="E58" s="12">
        <v>5</v>
      </c>
      <c r="F58" s="8">
        <v>1.68</v>
      </c>
      <c r="G58" s="12">
        <v>5</v>
      </c>
      <c r="H58" s="8">
        <v>2.13</v>
      </c>
      <c r="I58" s="12">
        <v>0</v>
      </c>
    </row>
    <row r="59" spans="2:9" ht="15" customHeight="1" x14ac:dyDescent="0.2">
      <c r="B59" t="s">
        <v>329</v>
      </c>
      <c r="C59" s="12">
        <v>10</v>
      </c>
      <c r="D59" s="8">
        <v>1.86</v>
      </c>
      <c r="E59" s="12">
        <v>7</v>
      </c>
      <c r="F59" s="8">
        <v>2.36</v>
      </c>
      <c r="G59" s="12">
        <v>3</v>
      </c>
      <c r="H59" s="8">
        <v>1.28</v>
      </c>
      <c r="I59" s="12">
        <v>0</v>
      </c>
    </row>
    <row r="60" spans="2:9" ht="15" customHeight="1" x14ac:dyDescent="0.2">
      <c r="B60" t="s">
        <v>306</v>
      </c>
      <c r="C60" s="12">
        <v>10</v>
      </c>
      <c r="D60" s="8">
        <v>1.86</v>
      </c>
      <c r="E60" s="12">
        <v>10</v>
      </c>
      <c r="F60" s="8">
        <v>3.37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288</v>
      </c>
      <c r="C61" s="12">
        <v>9</v>
      </c>
      <c r="D61" s="8">
        <v>1.67</v>
      </c>
      <c r="E61" s="12">
        <v>2</v>
      </c>
      <c r="F61" s="8">
        <v>0.67</v>
      </c>
      <c r="G61" s="12">
        <v>7</v>
      </c>
      <c r="H61" s="8">
        <v>2.98</v>
      </c>
      <c r="I61" s="12">
        <v>0</v>
      </c>
    </row>
    <row r="62" spans="2:9" ht="15" customHeight="1" x14ac:dyDescent="0.2">
      <c r="B62" t="s">
        <v>314</v>
      </c>
      <c r="C62" s="12">
        <v>9</v>
      </c>
      <c r="D62" s="8">
        <v>1.67</v>
      </c>
      <c r="E62" s="12">
        <v>3</v>
      </c>
      <c r="F62" s="8">
        <v>1.01</v>
      </c>
      <c r="G62" s="12">
        <v>6</v>
      </c>
      <c r="H62" s="8">
        <v>2.5499999999999998</v>
      </c>
      <c r="I62" s="12">
        <v>0</v>
      </c>
    </row>
    <row r="63" spans="2:9" ht="15" customHeight="1" x14ac:dyDescent="0.2">
      <c r="B63" t="s">
        <v>294</v>
      </c>
      <c r="C63" s="12">
        <v>9</v>
      </c>
      <c r="D63" s="8">
        <v>1.67</v>
      </c>
      <c r="E63" s="12">
        <v>2</v>
      </c>
      <c r="F63" s="8">
        <v>0.67</v>
      </c>
      <c r="G63" s="12">
        <v>7</v>
      </c>
      <c r="H63" s="8">
        <v>2.98</v>
      </c>
      <c r="I63" s="12">
        <v>0</v>
      </c>
    </row>
    <row r="64" spans="2:9" ht="15" customHeight="1" x14ac:dyDescent="0.2">
      <c r="B64" t="s">
        <v>295</v>
      </c>
      <c r="C64" s="12">
        <v>8</v>
      </c>
      <c r="D64" s="8">
        <v>1.48</v>
      </c>
      <c r="E64" s="12">
        <v>3</v>
      </c>
      <c r="F64" s="8">
        <v>1.01</v>
      </c>
      <c r="G64" s="12">
        <v>5</v>
      </c>
      <c r="H64" s="8">
        <v>2.13</v>
      </c>
      <c r="I64" s="12">
        <v>0</v>
      </c>
    </row>
    <row r="65" spans="2:9" ht="15" customHeight="1" x14ac:dyDescent="0.2">
      <c r="B65" t="s">
        <v>333</v>
      </c>
      <c r="C65" s="12">
        <v>7</v>
      </c>
      <c r="D65" s="8">
        <v>1.3</v>
      </c>
      <c r="E65" s="12">
        <v>2</v>
      </c>
      <c r="F65" s="8">
        <v>0.67</v>
      </c>
      <c r="G65" s="12">
        <v>5</v>
      </c>
      <c r="H65" s="8">
        <v>2.13</v>
      </c>
      <c r="I65" s="12">
        <v>0</v>
      </c>
    </row>
    <row r="66" spans="2:9" ht="15" customHeight="1" x14ac:dyDescent="0.2">
      <c r="B66" t="s">
        <v>335</v>
      </c>
      <c r="C66" s="12">
        <v>7</v>
      </c>
      <c r="D66" s="8">
        <v>1.3</v>
      </c>
      <c r="E66" s="12">
        <v>3</v>
      </c>
      <c r="F66" s="8">
        <v>1.01</v>
      </c>
      <c r="G66" s="12">
        <v>4</v>
      </c>
      <c r="H66" s="8">
        <v>1.7</v>
      </c>
      <c r="I66" s="12">
        <v>0</v>
      </c>
    </row>
    <row r="67" spans="2:9" ht="15" customHeight="1" x14ac:dyDescent="0.2">
      <c r="B67" t="s">
        <v>346</v>
      </c>
      <c r="C67" s="12">
        <v>6</v>
      </c>
      <c r="D67" s="8">
        <v>1.1100000000000001</v>
      </c>
      <c r="E67" s="12">
        <v>1</v>
      </c>
      <c r="F67" s="8">
        <v>0.34</v>
      </c>
      <c r="G67" s="12">
        <v>5</v>
      </c>
      <c r="H67" s="8">
        <v>2.13</v>
      </c>
      <c r="I67" s="12">
        <v>0</v>
      </c>
    </row>
    <row r="68" spans="2:9" ht="15" customHeight="1" x14ac:dyDescent="0.2">
      <c r="B68" t="s">
        <v>372</v>
      </c>
      <c r="C68" s="12">
        <v>6</v>
      </c>
      <c r="D68" s="8">
        <v>1.1100000000000001</v>
      </c>
      <c r="E68" s="12">
        <v>2</v>
      </c>
      <c r="F68" s="8">
        <v>0.67</v>
      </c>
      <c r="G68" s="12">
        <v>4</v>
      </c>
      <c r="H68" s="8">
        <v>1.7</v>
      </c>
      <c r="I68" s="12">
        <v>0</v>
      </c>
    </row>
    <row r="69" spans="2:9" ht="15" customHeight="1" x14ac:dyDescent="0.2">
      <c r="B69" t="s">
        <v>330</v>
      </c>
      <c r="C69" s="12">
        <v>6</v>
      </c>
      <c r="D69" s="8">
        <v>1.1100000000000001</v>
      </c>
      <c r="E69" s="12">
        <v>0</v>
      </c>
      <c r="F69" s="8">
        <v>0</v>
      </c>
      <c r="G69" s="12">
        <v>6</v>
      </c>
      <c r="H69" s="8">
        <v>2.5499999999999998</v>
      </c>
      <c r="I69" s="12">
        <v>0</v>
      </c>
    </row>
    <row r="70" spans="2:9" ht="15" customHeight="1" x14ac:dyDescent="0.2">
      <c r="B70" t="s">
        <v>337</v>
      </c>
      <c r="C70" s="12">
        <v>6</v>
      </c>
      <c r="D70" s="8">
        <v>1.1100000000000001</v>
      </c>
      <c r="E70" s="12">
        <v>3</v>
      </c>
      <c r="F70" s="8">
        <v>1.01</v>
      </c>
      <c r="G70" s="12">
        <v>3</v>
      </c>
      <c r="H70" s="8">
        <v>1.28</v>
      </c>
      <c r="I70" s="12">
        <v>0</v>
      </c>
    </row>
    <row r="71" spans="2:9" ht="15" customHeight="1" x14ac:dyDescent="0.2">
      <c r="B71" t="s">
        <v>339</v>
      </c>
      <c r="C71" s="12">
        <v>6</v>
      </c>
      <c r="D71" s="8">
        <v>1.1100000000000001</v>
      </c>
      <c r="E71" s="12">
        <v>2</v>
      </c>
      <c r="F71" s="8">
        <v>0.67</v>
      </c>
      <c r="G71" s="12">
        <v>4</v>
      </c>
      <c r="H71" s="8">
        <v>1.7</v>
      </c>
      <c r="I71" s="12">
        <v>0</v>
      </c>
    </row>
    <row r="72" spans="2:9" ht="15" customHeight="1" x14ac:dyDescent="0.2">
      <c r="B72" t="s">
        <v>323</v>
      </c>
      <c r="C72" s="12">
        <v>6</v>
      </c>
      <c r="D72" s="8">
        <v>1.1100000000000001</v>
      </c>
      <c r="E72" s="12">
        <v>1</v>
      </c>
      <c r="F72" s="8">
        <v>0.34</v>
      </c>
      <c r="G72" s="12">
        <v>5</v>
      </c>
      <c r="H72" s="8">
        <v>2.13</v>
      </c>
      <c r="I72" s="12">
        <v>0</v>
      </c>
    </row>
    <row r="73" spans="2:9" ht="15" customHeight="1" x14ac:dyDescent="0.2">
      <c r="B73" t="s">
        <v>327</v>
      </c>
      <c r="C73" s="12">
        <v>6</v>
      </c>
      <c r="D73" s="8">
        <v>1.1100000000000001</v>
      </c>
      <c r="E73" s="12">
        <v>4</v>
      </c>
      <c r="F73" s="8">
        <v>1.35</v>
      </c>
      <c r="G73" s="12">
        <v>2</v>
      </c>
      <c r="H73" s="8">
        <v>0.85</v>
      </c>
      <c r="I73" s="12">
        <v>0</v>
      </c>
    </row>
    <row r="74" spans="2:9" ht="15" customHeight="1" x14ac:dyDescent="0.2">
      <c r="B74" t="s">
        <v>312</v>
      </c>
      <c r="C74" s="12">
        <v>6</v>
      </c>
      <c r="D74" s="8">
        <v>1.1100000000000001</v>
      </c>
      <c r="E74" s="12">
        <v>5</v>
      </c>
      <c r="F74" s="8">
        <v>1.68</v>
      </c>
      <c r="G74" s="12">
        <v>1</v>
      </c>
      <c r="H74" s="8">
        <v>0.43</v>
      </c>
      <c r="I74" s="12">
        <v>0</v>
      </c>
    </row>
    <row r="76" spans="2:9" ht="15" customHeight="1" x14ac:dyDescent="0.2">
      <c r="B7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471BD-220E-4B4D-9A74-6CD32D12419B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47</v>
      </c>
      <c r="D6" s="8">
        <v>7.33</v>
      </c>
      <c r="E6" s="12">
        <v>22</v>
      </c>
      <c r="F6" s="8">
        <v>5.84</v>
      </c>
      <c r="G6" s="12">
        <v>25</v>
      </c>
      <c r="H6" s="8">
        <v>9.8800000000000008</v>
      </c>
      <c r="I6" s="12">
        <v>0</v>
      </c>
    </row>
    <row r="7" spans="2:9" ht="15" customHeight="1" x14ac:dyDescent="0.2">
      <c r="B7" t="s">
        <v>192</v>
      </c>
      <c r="C7" s="12">
        <v>30</v>
      </c>
      <c r="D7" s="8">
        <v>4.68</v>
      </c>
      <c r="E7" s="12">
        <v>6</v>
      </c>
      <c r="F7" s="8">
        <v>1.59</v>
      </c>
      <c r="G7" s="12">
        <v>24</v>
      </c>
      <c r="H7" s="8">
        <v>9.49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0.16</v>
      </c>
      <c r="E8" s="12">
        <v>0</v>
      </c>
      <c r="F8" s="8">
        <v>0</v>
      </c>
      <c r="G8" s="12">
        <v>1</v>
      </c>
      <c r="H8" s="8">
        <v>0.4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0.31</v>
      </c>
      <c r="E9" s="12">
        <v>0</v>
      </c>
      <c r="F9" s="8">
        <v>0</v>
      </c>
      <c r="G9" s="12">
        <v>2</v>
      </c>
      <c r="H9" s="8">
        <v>0.79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0.78</v>
      </c>
      <c r="E10" s="12">
        <v>2</v>
      </c>
      <c r="F10" s="8">
        <v>0.53</v>
      </c>
      <c r="G10" s="12">
        <v>3</v>
      </c>
      <c r="H10" s="8">
        <v>1.19</v>
      </c>
      <c r="I10" s="12">
        <v>0</v>
      </c>
    </row>
    <row r="11" spans="2:9" ht="15" customHeight="1" x14ac:dyDescent="0.2">
      <c r="B11" t="s">
        <v>196</v>
      </c>
      <c r="C11" s="12">
        <v>156</v>
      </c>
      <c r="D11" s="8">
        <v>24.34</v>
      </c>
      <c r="E11" s="12">
        <v>63</v>
      </c>
      <c r="F11" s="8">
        <v>16.71</v>
      </c>
      <c r="G11" s="12">
        <v>91</v>
      </c>
      <c r="H11" s="8">
        <v>35.97</v>
      </c>
      <c r="I11" s="12">
        <v>2</v>
      </c>
    </row>
    <row r="12" spans="2:9" ht="15" customHeight="1" x14ac:dyDescent="0.2">
      <c r="B12" t="s">
        <v>197</v>
      </c>
      <c r="C12" s="12">
        <v>6</v>
      </c>
      <c r="D12" s="8">
        <v>0.94</v>
      </c>
      <c r="E12" s="12">
        <v>0</v>
      </c>
      <c r="F12" s="8">
        <v>0</v>
      </c>
      <c r="G12" s="12">
        <v>6</v>
      </c>
      <c r="H12" s="8">
        <v>2.37</v>
      </c>
      <c r="I12" s="12">
        <v>0</v>
      </c>
    </row>
    <row r="13" spans="2:9" ht="15" customHeight="1" x14ac:dyDescent="0.2">
      <c r="B13" t="s">
        <v>198</v>
      </c>
      <c r="C13" s="12">
        <v>71</v>
      </c>
      <c r="D13" s="8">
        <v>11.08</v>
      </c>
      <c r="E13" s="12">
        <v>52</v>
      </c>
      <c r="F13" s="8">
        <v>13.79</v>
      </c>
      <c r="G13" s="12">
        <v>19</v>
      </c>
      <c r="H13" s="8">
        <v>7.51</v>
      </c>
      <c r="I13" s="12">
        <v>0</v>
      </c>
    </row>
    <row r="14" spans="2:9" ht="15" customHeight="1" x14ac:dyDescent="0.2">
      <c r="B14" t="s">
        <v>199</v>
      </c>
      <c r="C14" s="12">
        <v>22</v>
      </c>
      <c r="D14" s="8">
        <v>3.43</v>
      </c>
      <c r="E14" s="12">
        <v>16</v>
      </c>
      <c r="F14" s="8">
        <v>4.24</v>
      </c>
      <c r="G14" s="12">
        <v>5</v>
      </c>
      <c r="H14" s="8">
        <v>1.98</v>
      </c>
      <c r="I14" s="12">
        <v>0</v>
      </c>
    </row>
    <row r="15" spans="2:9" ht="15" customHeight="1" x14ac:dyDescent="0.2">
      <c r="B15" t="s">
        <v>200</v>
      </c>
      <c r="C15" s="12">
        <v>147</v>
      </c>
      <c r="D15" s="8">
        <v>22.93</v>
      </c>
      <c r="E15" s="12">
        <v>105</v>
      </c>
      <c r="F15" s="8">
        <v>27.85</v>
      </c>
      <c r="G15" s="12">
        <v>42</v>
      </c>
      <c r="H15" s="8">
        <v>16.600000000000001</v>
      </c>
      <c r="I15" s="12">
        <v>0</v>
      </c>
    </row>
    <row r="16" spans="2:9" ht="15" customHeight="1" x14ac:dyDescent="0.2">
      <c r="B16" t="s">
        <v>201</v>
      </c>
      <c r="C16" s="12">
        <v>80</v>
      </c>
      <c r="D16" s="8">
        <v>12.48</v>
      </c>
      <c r="E16" s="12">
        <v>67</v>
      </c>
      <c r="F16" s="8">
        <v>17.77</v>
      </c>
      <c r="G16" s="12">
        <v>13</v>
      </c>
      <c r="H16" s="8">
        <v>5.14</v>
      </c>
      <c r="I16" s="12">
        <v>0</v>
      </c>
    </row>
    <row r="17" spans="2:9" ht="15" customHeight="1" x14ac:dyDescent="0.2">
      <c r="B17" t="s">
        <v>202</v>
      </c>
      <c r="C17" s="12">
        <v>18</v>
      </c>
      <c r="D17" s="8">
        <v>2.81</v>
      </c>
      <c r="E17" s="12">
        <v>14</v>
      </c>
      <c r="F17" s="8">
        <v>3.71</v>
      </c>
      <c r="G17" s="12">
        <v>2</v>
      </c>
      <c r="H17" s="8">
        <v>0.79</v>
      </c>
      <c r="I17" s="12">
        <v>1</v>
      </c>
    </row>
    <row r="18" spans="2:9" ht="15" customHeight="1" x14ac:dyDescent="0.2">
      <c r="B18" t="s">
        <v>203</v>
      </c>
      <c r="C18" s="12">
        <v>37</v>
      </c>
      <c r="D18" s="8">
        <v>5.77</v>
      </c>
      <c r="E18" s="12">
        <v>26</v>
      </c>
      <c r="F18" s="8">
        <v>6.9</v>
      </c>
      <c r="G18" s="12">
        <v>7</v>
      </c>
      <c r="H18" s="8">
        <v>2.77</v>
      </c>
      <c r="I18" s="12">
        <v>0</v>
      </c>
    </row>
    <row r="19" spans="2:9" ht="15" customHeight="1" x14ac:dyDescent="0.2">
      <c r="B19" t="s">
        <v>204</v>
      </c>
      <c r="C19" s="12">
        <v>19</v>
      </c>
      <c r="D19" s="8">
        <v>2.96</v>
      </c>
      <c r="E19" s="12">
        <v>4</v>
      </c>
      <c r="F19" s="8">
        <v>1.06</v>
      </c>
      <c r="G19" s="12">
        <v>13</v>
      </c>
      <c r="H19" s="8">
        <v>5.14</v>
      </c>
      <c r="I19" s="12">
        <v>0</v>
      </c>
    </row>
    <row r="20" spans="2:9" ht="15" customHeight="1" x14ac:dyDescent="0.2">
      <c r="B20" s="9" t="s">
        <v>529</v>
      </c>
      <c r="C20" s="12">
        <f>SUM(LTBL_01229[総数／事業所数])</f>
        <v>641</v>
      </c>
      <c r="E20" s="12">
        <f>SUBTOTAL(109,LTBL_01229[個人／事業所数])</f>
        <v>377</v>
      </c>
      <c r="G20" s="12">
        <f>SUBTOTAL(109,LTBL_01229[法人／事業所数])</f>
        <v>253</v>
      </c>
      <c r="I20" s="12">
        <f>SUBTOTAL(109,LTBL_01229[法人以外の団体／事業所数])</f>
        <v>3</v>
      </c>
    </row>
    <row r="21" spans="2:9" ht="15" customHeight="1" x14ac:dyDescent="0.2">
      <c r="E21" s="11">
        <f>LTBL_01229[[#Totals],[個人／事業所数]]/LTBL_01229[[#Totals],[総数／事業所数]]</f>
        <v>0.58814352574102968</v>
      </c>
      <c r="G21" s="11">
        <f>LTBL_01229[[#Totals],[法人／事業所数]]/LTBL_01229[[#Totals],[総数／事業所数]]</f>
        <v>0.39469578783151327</v>
      </c>
      <c r="I21" s="11">
        <f>LTBL_01229[[#Totals],[法人以外の団体／事業所数]]/LTBL_01229[[#Totals],[総数／事業所数]]</f>
        <v>4.6801872074882997E-3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112</v>
      </c>
      <c r="D24" s="8">
        <v>17.47</v>
      </c>
      <c r="E24" s="12">
        <v>85</v>
      </c>
      <c r="F24" s="8">
        <v>22.55</v>
      </c>
      <c r="G24" s="12">
        <v>27</v>
      </c>
      <c r="H24" s="8">
        <v>10.67</v>
      </c>
      <c r="I24" s="12">
        <v>0</v>
      </c>
    </row>
    <row r="25" spans="2:9" ht="15" customHeight="1" x14ac:dyDescent="0.2">
      <c r="B25" t="s">
        <v>228</v>
      </c>
      <c r="C25" s="12">
        <v>68</v>
      </c>
      <c r="D25" s="8">
        <v>10.61</v>
      </c>
      <c r="E25" s="12">
        <v>63</v>
      </c>
      <c r="F25" s="8">
        <v>16.71</v>
      </c>
      <c r="G25" s="12">
        <v>5</v>
      </c>
      <c r="H25" s="8">
        <v>1.98</v>
      </c>
      <c r="I25" s="12">
        <v>0</v>
      </c>
    </row>
    <row r="26" spans="2:9" ht="15" customHeight="1" x14ac:dyDescent="0.2">
      <c r="B26" t="s">
        <v>224</v>
      </c>
      <c r="C26" s="12">
        <v>66</v>
      </c>
      <c r="D26" s="8">
        <v>10.3</v>
      </c>
      <c r="E26" s="12">
        <v>51</v>
      </c>
      <c r="F26" s="8">
        <v>13.53</v>
      </c>
      <c r="G26" s="12">
        <v>15</v>
      </c>
      <c r="H26" s="8">
        <v>5.93</v>
      </c>
      <c r="I26" s="12">
        <v>0</v>
      </c>
    </row>
    <row r="27" spans="2:9" ht="15" customHeight="1" x14ac:dyDescent="0.2">
      <c r="B27" t="s">
        <v>223</v>
      </c>
      <c r="C27" s="12">
        <v>56</v>
      </c>
      <c r="D27" s="8">
        <v>8.74</v>
      </c>
      <c r="E27" s="12">
        <v>24</v>
      </c>
      <c r="F27" s="8">
        <v>6.37</v>
      </c>
      <c r="G27" s="12">
        <v>32</v>
      </c>
      <c r="H27" s="8">
        <v>12.65</v>
      </c>
      <c r="I27" s="12">
        <v>0</v>
      </c>
    </row>
    <row r="28" spans="2:9" ht="15" customHeight="1" x14ac:dyDescent="0.2">
      <c r="B28" t="s">
        <v>221</v>
      </c>
      <c r="C28" s="12">
        <v>35</v>
      </c>
      <c r="D28" s="8">
        <v>5.46</v>
      </c>
      <c r="E28" s="12">
        <v>21</v>
      </c>
      <c r="F28" s="8">
        <v>5.57</v>
      </c>
      <c r="G28" s="12">
        <v>13</v>
      </c>
      <c r="H28" s="8">
        <v>5.14</v>
      </c>
      <c r="I28" s="12">
        <v>1</v>
      </c>
    </row>
    <row r="29" spans="2:9" ht="15" customHeight="1" x14ac:dyDescent="0.2">
      <c r="B29" t="s">
        <v>243</v>
      </c>
      <c r="C29" s="12">
        <v>32</v>
      </c>
      <c r="D29" s="8">
        <v>4.99</v>
      </c>
      <c r="E29" s="12">
        <v>20</v>
      </c>
      <c r="F29" s="8">
        <v>5.31</v>
      </c>
      <c r="G29" s="12">
        <v>12</v>
      </c>
      <c r="H29" s="8">
        <v>4.74</v>
      </c>
      <c r="I29" s="12">
        <v>0</v>
      </c>
    </row>
    <row r="30" spans="2:9" ht="15" customHeight="1" x14ac:dyDescent="0.2">
      <c r="B30" t="s">
        <v>231</v>
      </c>
      <c r="C30" s="12">
        <v>26</v>
      </c>
      <c r="D30" s="8">
        <v>4.0599999999999996</v>
      </c>
      <c r="E30" s="12">
        <v>25</v>
      </c>
      <c r="F30" s="8">
        <v>6.63</v>
      </c>
      <c r="G30" s="12">
        <v>1</v>
      </c>
      <c r="H30" s="8">
        <v>0.4</v>
      </c>
      <c r="I30" s="12">
        <v>0</v>
      </c>
    </row>
    <row r="31" spans="2:9" ht="15" customHeight="1" x14ac:dyDescent="0.2">
      <c r="B31" t="s">
        <v>222</v>
      </c>
      <c r="C31" s="12">
        <v>20</v>
      </c>
      <c r="D31" s="8">
        <v>3.12</v>
      </c>
      <c r="E31" s="12">
        <v>11</v>
      </c>
      <c r="F31" s="8">
        <v>2.92</v>
      </c>
      <c r="G31" s="12">
        <v>9</v>
      </c>
      <c r="H31" s="8">
        <v>3.56</v>
      </c>
      <c r="I31" s="12">
        <v>0</v>
      </c>
    </row>
    <row r="32" spans="2:9" ht="15" customHeight="1" x14ac:dyDescent="0.2">
      <c r="B32" t="s">
        <v>214</v>
      </c>
      <c r="C32" s="12">
        <v>19</v>
      </c>
      <c r="D32" s="8">
        <v>2.96</v>
      </c>
      <c r="E32" s="12">
        <v>10</v>
      </c>
      <c r="F32" s="8">
        <v>2.65</v>
      </c>
      <c r="G32" s="12">
        <v>9</v>
      </c>
      <c r="H32" s="8">
        <v>3.56</v>
      </c>
      <c r="I32" s="12">
        <v>0</v>
      </c>
    </row>
    <row r="33" spans="2:9" ht="15" customHeight="1" x14ac:dyDescent="0.2">
      <c r="B33" t="s">
        <v>230</v>
      </c>
      <c r="C33" s="12">
        <v>18</v>
      </c>
      <c r="D33" s="8">
        <v>2.81</v>
      </c>
      <c r="E33" s="12">
        <v>14</v>
      </c>
      <c r="F33" s="8">
        <v>3.71</v>
      </c>
      <c r="G33" s="12">
        <v>2</v>
      </c>
      <c r="H33" s="8">
        <v>0.79</v>
      </c>
      <c r="I33" s="12">
        <v>1</v>
      </c>
    </row>
    <row r="34" spans="2:9" ht="15" customHeight="1" x14ac:dyDescent="0.2">
      <c r="B34" t="s">
        <v>213</v>
      </c>
      <c r="C34" s="12">
        <v>17</v>
      </c>
      <c r="D34" s="8">
        <v>2.65</v>
      </c>
      <c r="E34" s="12">
        <v>6</v>
      </c>
      <c r="F34" s="8">
        <v>1.59</v>
      </c>
      <c r="G34" s="12">
        <v>11</v>
      </c>
      <c r="H34" s="8">
        <v>4.3499999999999996</v>
      </c>
      <c r="I34" s="12">
        <v>0</v>
      </c>
    </row>
    <row r="35" spans="2:9" ht="15" customHeight="1" x14ac:dyDescent="0.2">
      <c r="B35" t="s">
        <v>220</v>
      </c>
      <c r="C35" s="12">
        <v>14</v>
      </c>
      <c r="D35" s="8">
        <v>2.1800000000000002</v>
      </c>
      <c r="E35" s="12">
        <v>4</v>
      </c>
      <c r="F35" s="8">
        <v>1.06</v>
      </c>
      <c r="G35" s="12">
        <v>10</v>
      </c>
      <c r="H35" s="8">
        <v>3.95</v>
      </c>
      <c r="I35" s="12">
        <v>0</v>
      </c>
    </row>
    <row r="36" spans="2:9" ht="15" customHeight="1" x14ac:dyDescent="0.2">
      <c r="B36" t="s">
        <v>225</v>
      </c>
      <c r="C36" s="12">
        <v>13</v>
      </c>
      <c r="D36" s="8">
        <v>2.0299999999999998</v>
      </c>
      <c r="E36" s="12">
        <v>13</v>
      </c>
      <c r="F36" s="8">
        <v>3.45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216</v>
      </c>
      <c r="C37" s="12">
        <v>12</v>
      </c>
      <c r="D37" s="8">
        <v>1.87</v>
      </c>
      <c r="E37" s="12">
        <v>2</v>
      </c>
      <c r="F37" s="8">
        <v>0.53</v>
      </c>
      <c r="G37" s="12">
        <v>9</v>
      </c>
      <c r="H37" s="8">
        <v>3.56</v>
      </c>
      <c r="I37" s="12">
        <v>1</v>
      </c>
    </row>
    <row r="38" spans="2:9" ht="15" customHeight="1" x14ac:dyDescent="0.2">
      <c r="B38" t="s">
        <v>229</v>
      </c>
      <c r="C38" s="12">
        <v>12</v>
      </c>
      <c r="D38" s="8">
        <v>1.87</v>
      </c>
      <c r="E38" s="12">
        <v>4</v>
      </c>
      <c r="F38" s="8">
        <v>1.06</v>
      </c>
      <c r="G38" s="12">
        <v>8</v>
      </c>
      <c r="H38" s="8">
        <v>3.16</v>
      </c>
      <c r="I38" s="12">
        <v>0</v>
      </c>
    </row>
    <row r="39" spans="2:9" ht="15" customHeight="1" x14ac:dyDescent="0.2">
      <c r="B39" t="s">
        <v>215</v>
      </c>
      <c r="C39" s="12">
        <v>11</v>
      </c>
      <c r="D39" s="8">
        <v>1.72</v>
      </c>
      <c r="E39" s="12">
        <v>6</v>
      </c>
      <c r="F39" s="8">
        <v>1.59</v>
      </c>
      <c r="G39" s="12">
        <v>5</v>
      </c>
      <c r="H39" s="8">
        <v>1.98</v>
      </c>
      <c r="I39" s="12">
        <v>0</v>
      </c>
    </row>
    <row r="40" spans="2:9" ht="15" customHeight="1" x14ac:dyDescent="0.2">
      <c r="B40" t="s">
        <v>241</v>
      </c>
      <c r="C40" s="12">
        <v>11</v>
      </c>
      <c r="D40" s="8">
        <v>1.72</v>
      </c>
      <c r="E40" s="12">
        <v>5</v>
      </c>
      <c r="F40" s="8">
        <v>1.33</v>
      </c>
      <c r="G40" s="12">
        <v>6</v>
      </c>
      <c r="H40" s="8">
        <v>2.37</v>
      </c>
      <c r="I40" s="12">
        <v>0</v>
      </c>
    </row>
    <row r="41" spans="2:9" ht="15" customHeight="1" x14ac:dyDescent="0.2">
      <c r="B41" t="s">
        <v>232</v>
      </c>
      <c r="C41" s="12">
        <v>11</v>
      </c>
      <c r="D41" s="8">
        <v>1.72</v>
      </c>
      <c r="E41" s="12">
        <v>1</v>
      </c>
      <c r="F41" s="8">
        <v>0.27</v>
      </c>
      <c r="G41" s="12">
        <v>6</v>
      </c>
      <c r="H41" s="8">
        <v>2.37</v>
      </c>
      <c r="I41" s="12">
        <v>0</v>
      </c>
    </row>
    <row r="42" spans="2:9" ht="15" customHeight="1" x14ac:dyDescent="0.2">
      <c r="B42" t="s">
        <v>226</v>
      </c>
      <c r="C42" s="12">
        <v>9</v>
      </c>
      <c r="D42" s="8">
        <v>1.4</v>
      </c>
      <c r="E42" s="12">
        <v>3</v>
      </c>
      <c r="F42" s="8">
        <v>0.8</v>
      </c>
      <c r="G42" s="12">
        <v>5</v>
      </c>
      <c r="H42" s="8">
        <v>1.98</v>
      </c>
      <c r="I42" s="12">
        <v>0</v>
      </c>
    </row>
    <row r="43" spans="2:9" ht="15" customHeight="1" x14ac:dyDescent="0.2">
      <c r="B43" t="s">
        <v>218</v>
      </c>
      <c r="C43" s="12">
        <v>8</v>
      </c>
      <c r="D43" s="8">
        <v>1.25</v>
      </c>
      <c r="E43" s="12">
        <v>0</v>
      </c>
      <c r="F43" s="8">
        <v>0</v>
      </c>
      <c r="G43" s="12">
        <v>8</v>
      </c>
      <c r="H43" s="8">
        <v>3.16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57</v>
      </c>
      <c r="D47" s="8">
        <v>8.89</v>
      </c>
      <c r="E47" s="12">
        <v>49</v>
      </c>
      <c r="F47" s="8">
        <v>13</v>
      </c>
      <c r="G47" s="12">
        <v>8</v>
      </c>
      <c r="H47" s="8">
        <v>3.16</v>
      </c>
      <c r="I47" s="12">
        <v>0</v>
      </c>
    </row>
    <row r="48" spans="2:9" ht="15" customHeight="1" x14ac:dyDescent="0.2">
      <c r="B48" t="s">
        <v>304</v>
      </c>
      <c r="C48" s="12">
        <v>43</v>
      </c>
      <c r="D48" s="8">
        <v>6.71</v>
      </c>
      <c r="E48" s="12">
        <v>42</v>
      </c>
      <c r="F48" s="8">
        <v>11.14</v>
      </c>
      <c r="G48" s="12">
        <v>1</v>
      </c>
      <c r="H48" s="8">
        <v>0.4</v>
      </c>
      <c r="I48" s="12">
        <v>0</v>
      </c>
    </row>
    <row r="49" spans="2:9" ht="15" customHeight="1" x14ac:dyDescent="0.2">
      <c r="B49" t="s">
        <v>299</v>
      </c>
      <c r="C49" s="12">
        <v>42</v>
      </c>
      <c r="D49" s="8">
        <v>6.55</v>
      </c>
      <c r="E49" s="12">
        <v>26</v>
      </c>
      <c r="F49" s="8">
        <v>6.9</v>
      </c>
      <c r="G49" s="12">
        <v>16</v>
      </c>
      <c r="H49" s="8">
        <v>6.32</v>
      </c>
      <c r="I49" s="12">
        <v>0</v>
      </c>
    </row>
    <row r="50" spans="2:9" ht="15" customHeight="1" x14ac:dyDescent="0.2">
      <c r="B50" t="s">
        <v>301</v>
      </c>
      <c r="C50" s="12">
        <v>27</v>
      </c>
      <c r="D50" s="8">
        <v>4.21</v>
      </c>
      <c r="E50" s="12">
        <v>25</v>
      </c>
      <c r="F50" s="8">
        <v>6.63</v>
      </c>
      <c r="G50" s="12">
        <v>2</v>
      </c>
      <c r="H50" s="8">
        <v>0.79</v>
      </c>
      <c r="I50" s="12">
        <v>0</v>
      </c>
    </row>
    <row r="51" spans="2:9" ht="15" customHeight="1" x14ac:dyDescent="0.2">
      <c r="B51" t="s">
        <v>339</v>
      </c>
      <c r="C51" s="12">
        <v>25</v>
      </c>
      <c r="D51" s="8">
        <v>3.9</v>
      </c>
      <c r="E51" s="12">
        <v>15</v>
      </c>
      <c r="F51" s="8">
        <v>3.98</v>
      </c>
      <c r="G51" s="12">
        <v>10</v>
      </c>
      <c r="H51" s="8">
        <v>3.95</v>
      </c>
      <c r="I51" s="12">
        <v>0</v>
      </c>
    </row>
    <row r="52" spans="2:9" ht="15" customHeight="1" x14ac:dyDescent="0.2">
      <c r="B52" t="s">
        <v>303</v>
      </c>
      <c r="C52" s="12">
        <v>21</v>
      </c>
      <c r="D52" s="8">
        <v>3.28</v>
      </c>
      <c r="E52" s="12">
        <v>19</v>
      </c>
      <c r="F52" s="8">
        <v>5.04</v>
      </c>
      <c r="G52" s="12">
        <v>2</v>
      </c>
      <c r="H52" s="8">
        <v>0.79</v>
      </c>
      <c r="I52" s="12">
        <v>0</v>
      </c>
    </row>
    <row r="53" spans="2:9" ht="15" customHeight="1" x14ac:dyDescent="0.2">
      <c r="B53" t="s">
        <v>306</v>
      </c>
      <c r="C53" s="12">
        <v>17</v>
      </c>
      <c r="D53" s="8">
        <v>2.65</v>
      </c>
      <c r="E53" s="12">
        <v>16</v>
      </c>
      <c r="F53" s="8">
        <v>4.24</v>
      </c>
      <c r="G53" s="12">
        <v>1</v>
      </c>
      <c r="H53" s="8">
        <v>0.4</v>
      </c>
      <c r="I53" s="12">
        <v>0</v>
      </c>
    </row>
    <row r="54" spans="2:9" ht="15" customHeight="1" x14ac:dyDescent="0.2">
      <c r="B54" t="s">
        <v>295</v>
      </c>
      <c r="C54" s="12">
        <v>15</v>
      </c>
      <c r="D54" s="8">
        <v>2.34</v>
      </c>
      <c r="E54" s="12">
        <v>9</v>
      </c>
      <c r="F54" s="8">
        <v>2.39</v>
      </c>
      <c r="G54" s="12">
        <v>6</v>
      </c>
      <c r="H54" s="8">
        <v>2.37</v>
      </c>
      <c r="I54" s="12">
        <v>0</v>
      </c>
    </row>
    <row r="55" spans="2:9" ht="15" customHeight="1" x14ac:dyDescent="0.2">
      <c r="B55" t="s">
        <v>329</v>
      </c>
      <c r="C55" s="12">
        <v>13</v>
      </c>
      <c r="D55" s="8">
        <v>2.0299999999999998</v>
      </c>
      <c r="E55" s="12">
        <v>8</v>
      </c>
      <c r="F55" s="8">
        <v>2.12</v>
      </c>
      <c r="G55" s="12">
        <v>5</v>
      </c>
      <c r="H55" s="8">
        <v>1.98</v>
      </c>
      <c r="I55" s="12">
        <v>0</v>
      </c>
    </row>
    <row r="56" spans="2:9" ht="15" customHeight="1" x14ac:dyDescent="0.2">
      <c r="B56" t="s">
        <v>330</v>
      </c>
      <c r="C56" s="12">
        <v>11</v>
      </c>
      <c r="D56" s="8">
        <v>1.72</v>
      </c>
      <c r="E56" s="12">
        <v>1</v>
      </c>
      <c r="F56" s="8">
        <v>0.27</v>
      </c>
      <c r="G56" s="12">
        <v>10</v>
      </c>
      <c r="H56" s="8">
        <v>3.95</v>
      </c>
      <c r="I56" s="12">
        <v>0</v>
      </c>
    </row>
    <row r="57" spans="2:9" ht="15" customHeight="1" x14ac:dyDescent="0.2">
      <c r="B57" t="s">
        <v>300</v>
      </c>
      <c r="C57" s="12">
        <v>11</v>
      </c>
      <c r="D57" s="8">
        <v>1.72</v>
      </c>
      <c r="E57" s="12">
        <v>10</v>
      </c>
      <c r="F57" s="8">
        <v>2.65</v>
      </c>
      <c r="G57" s="12">
        <v>1</v>
      </c>
      <c r="H57" s="8">
        <v>0.4</v>
      </c>
      <c r="I57" s="12">
        <v>0</v>
      </c>
    </row>
    <row r="58" spans="2:9" ht="15" customHeight="1" x14ac:dyDescent="0.2">
      <c r="B58" t="s">
        <v>305</v>
      </c>
      <c r="C58" s="12">
        <v>11</v>
      </c>
      <c r="D58" s="8">
        <v>1.72</v>
      </c>
      <c r="E58" s="12">
        <v>11</v>
      </c>
      <c r="F58" s="8">
        <v>2.92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302</v>
      </c>
      <c r="C59" s="12">
        <v>10</v>
      </c>
      <c r="D59" s="8">
        <v>1.56</v>
      </c>
      <c r="E59" s="12">
        <v>8</v>
      </c>
      <c r="F59" s="8">
        <v>2.12</v>
      </c>
      <c r="G59" s="12">
        <v>2</v>
      </c>
      <c r="H59" s="8">
        <v>0.79</v>
      </c>
      <c r="I59" s="12">
        <v>0</v>
      </c>
    </row>
    <row r="60" spans="2:9" ht="15" customHeight="1" x14ac:dyDescent="0.2">
      <c r="B60" t="s">
        <v>293</v>
      </c>
      <c r="C60" s="12">
        <v>9</v>
      </c>
      <c r="D60" s="8">
        <v>1.4</v>
      </c>
      <c r="E60" s="12">
        <v>3</v>
      </c>
      <c r="F60" s="8">
        <v>0.8</v>
      </c>
      <c r="G60" s="12">
        <v>6</v>
      </c>
      <c r="H60" s="8">
        <v>2.37</v>
      </c>
      <c r="I60" s="12">
        <v>0</v>
      </c>
    </row>
    <row r="61" spans="2:9" ht="15" customHeight="1" x14ac:dyDescent="0.2">
      <c r="B61" t="s">
        <v>335</v>
      </c>
      <c r="C61" s="12">
        <v>9</v>
      </c>
      <c r="D61" s="8">
        <v>1.4</v>
      </c>
      <c r="E61" s="12">
        <v>6</v>
      </c>
      <c r="F61" s="8">
        <v>1.59</v>
      </c>
      <c r="G61" s="12">
        <v>3</v>
      </c>
      <c r="H61" s="8">
        <v>1.19</v>
      </c>
      <c r="I61" s="12">
        <v>0</v>
      </c>
    </row>
    <row r="62" spans="2:9" ht="15" customHeight="1" x14ac:dyDescent="0.2">
      <c r="B62" t="s">
        <v>294</v>
      </c>
      <c r="C62" s="12">
        <v>9</v>
      </c>
      <c r="D62" s="8">
        <v>1.4</v>
      </c>
      <c r="E62" s="12">
        <v>3</v>
      </c>
      <c r="F62" s="8">
        <v>0.8</v>
      </c>
      <c r="G62" s="12">
        <v>6</v>
      </c>
      <c r="H62" s="8">
        <v>2.37</v>
      </c>
      <c r="I62" s="12">
        <v>0</v>
      </c>
    </row>
    <row r="63" spans="2:9" ht="15" customHeight="1" x14ac:dyDescent="0.2">
      <c r="B63" t="s">
        <v>373</v>
      </c>
      <c r="C63" s="12">
        <v>9</v>
      </c>
      <c r="D63" s="8">
        <v>1.4</v>
      </c>
      <c r="E63" s="12">
        <v>5</v>
      </c>
      <c r="F63" s="8">
        <v>1.33</v>
      </c>
      <c r="G63" s="12">
        <v>4</v>
      </c>
      <c r="H63" s="8">
        <v>1.58</v>
      </c>
      <c r="I63" s="12">
        <v>0</v>
      </c>
    </row>
    <row r="64" spans="2:9" ht="15" customHeight="1" x14ac:dyDescent="0.2">
      <c r="B64" t="s">
        <v>334</v>
      </c>
      <c r="C64" s="12">
        <v>9</v>
      </c>
      <c r="D64" s="8">
        <v>1.4</v>
      </c>
      <c r="E64" s="12">
        <v>7</v>
      </c>
      <c r="F64" s="8">
        <v>1.86</v>
      </c>
      <c r="G64" s="12">
        <v>2</v>
      </c>
      <c r="H64" s="8">
        <v>0.79</v>
      </c>
      <c r="I64" s="12">
        <v>0</v>
      </c>
    </row>
    <row r="65" spans="2:9" ht="15" customHeight="1" x14ac:dyDescent="0.2">
      <c r="B65" t="s">
        <v>336</v>
      </c>
      <c r="C65" s="12">
        <v>8</v>
      </c>
      <c r="D65" s="8">
        <v>1.25</v>
      </c>
      <c r="E65" s="12">
        <v>4</v>
      </c>
      <c r="F65" s="8">
        <v>1.06</v>
      </c>
      <c r="G65" s="12">
        <v>4</v>
      </c>
      <c r="H65" s="8">
        <v>1.58</v>
      </c>
      <c r="I65" s="12">
        <v>0</v>
      </c>
    </row>
    <row r="66" spans="2:9" ht="15" customHeight="1" x14ac:dyDescent="0.2">
      <c r="B66" t="s">
        <v>312</v>
      </c>
      <c r="C66" s="12">
        <v>8</v>
      </c>
      <c r="D66" s="8">
        <v>1.25</v>
      </c>
      <c r="E66" s="12">
        <v>8</v>
      </c>
      <c r="F66" s="8">
        <v>2.12</v>
      </c>
      <c r="G66" s="12">
        <v>0</v>
      </c>
      <c r="H66" s="8">
        <v>0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75722-332A-41D8-A8A9-40943E098DC6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179</v>
      </c>
      <c r="D6" s="8">
        <v>19.27</v>
      </c>
      <c r="E6" s="12">
        <v>49</v>
      </c>
      <c r="F6" s="8">
        <v>10.96</v>
      </c>
      <c r="G6" s="12">
        <v>130</v>
      </c>
      <c r="H6" s="8">
        <v>28.32</v>
      </c>
      <c r="I6" s="12">
        <v>0</v>
      </c>
    </row>
    <row r="7" spans="2:9" ht="15" customHeight="1" x14ac:dyDescent="0.2">
      <c r="B7" t="s">
        <v>192</v>
      </c>
      <c r="C7" s="12">
        <v>45</v>
      </c>
      <c r="D7" s="8">
        <v>4.84</v>
      </c>
      <c r="E7" s="12">
        <v>8</v>
      </c>
      <c r="F7" s="8">
        <v>1.79</v>
      </c>
      <c r="G7" s="12">
        <v>37</v>
      </c>
      <c r="H7" s="8">
        <v>8.06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0.22</v>
      </c>
      <c r="E9" s="12">
        <v>0</v>
      </c>
      <c r="F9" s="8">
        <v>0</v>
      </c>
      <c r="G9" s="12">
        <v>2</v>
      </c>
      <c r="H9" s="8">
        <v>0.44</v>
      </c>
      <c r="I9" s="12">
        <v>0</v>
      </c>
    </row>
    <row r="10" spans="2:9" ht="15" customHeight="1" x14ac:dyDescent="0.2">
      <c r="B10" t="s">
        <v>195</v>
      </c>
      <c r="C10" s="12">
        <v>6</v>
      </c>
      <c r="D10" s="8">
        <v>0.65</v>
      </c>
      <c r="E10" s="12">
        <v>0</v>
      </c>
      <c r="F10" s="8">
        <v>0</v>
      </c>
      <c r="G10" s="12">
        <v>6</v>
      </c>
      <c r="H10" s="8">
        <v>1.31</v>
      </c>
      <c r="I10" s="12">
        <v>0</v>
      </c>
    </row>
    <row r="11" spans="2:9" ht="15" customHeight="1" x14ac:dyDescent="0.2">
      <c r="B11" t="s">
        <v>196</v>
      </c>
      <c r="C11" s="12">
        <v>182</v>
      </c>
      <c r="D11" s="8">
        <v>19.59</v>
      </c>
      <c r="E11" s="12">
        <v>58</v>
      </c>
      <c r="F11" s="8">
        <v>12.98</v>
      </c>
      <c r="G11" s="12">
        <v>123</v>
      </c>
      <c r="H11" s="8">
        <v>26.8</v>
      </c>
      <c r="I11" s="12">
        <v>1</v>
      </c>
    </row>
    <row r="12" spans="2:9" ht="15" customHeight="1" x14ac:dyDescent="0.2">
      <c r="B12" t="s">
        <v>197</v>
      </c>
      <c r="C12" s="12">
        <v>11</v>
      </c>
      <c r="D12" s="8">
        <v>1.18</v>
      </c>
      <c r="E12" s="12">
        <v>1</v>
      </c>
      <c r="F12" s="8">
        <v>0.22</v>
      </c>
      <c r="G12" s="12">
        <v>10</v>
      </c>
      <c r="H12" s="8">
        <v>2.1800000000000002</v>
      </c>
      <c r="I12" s="12">
        <v>0</v>
      </c>
    </row>
    <row r="13" spans="2:9" ht="15" customHeight="1" x14ac:dyDescent="0.2">
      <c r="B13" t="s">
        <v>198</v>
      </c>
      <c r="C13" s="12">
        <v>85</v>
      </c>
      <c r="D13" s="8">
        <v>9.15</v>
      </c>
      <c r="E13" s="12">
        <v>49</v>
      </c>
      <c r="F13" s="8">
        <v>10.96</v>
      </c>
      <c r="G13" s="12">
        <v>35</v>
      </c>
      <c r="H13" s="8">
        <v>7.63</v>
      </c>
      <c r="I13" s="12">
        <v>0</v>
      </c>
    </row>
    <row r="14" spans="2:9" ht="15" customHeight="1" x14ac:dyDescent="0.2">
      <c r="B14" t="s">
        <v>199</v>
      </c>
      <c r="C14" s="12">
        <v>29</v>
      </c>
      <c r="D14" s="8">
        <v>3.12</v>
      </c>
      <c r="E14" s="12">
        <v>15</v>
      </c>
      <c r="F14" s="8">
        <v>3.36</v>
      </c>
      <c r="G14" s="12">
        <v>14</v>
      </c>
      <c r="H14" s="8">
        <v>3.05</v>
      </c>
      <c r="I14" s="12">
        <v>0</v>
      </c>
    </row>
    <row r="15" spans="2:9" ht="15" customHeight="1" x14ac:dyDescent="0.2">
      <c r="B15" t="s">
        <v>200</v>
      </c>
      <c r="C15" s="12">
        <v>116</v>
      </c>
      <c r="D15" s="8">
        <v>12.49</v>
      </c>
      <c r="E15" s="12">
        <v>90</v>
      </c>
      <c r="F15" s="8">
        <v>20.13</v>
      </c>
      <c r="G15" s="12">
        <v>26</v>
      </c>
      <c r="H15" s="8">
        <v>5.66</v>
      </c>
      <c r="I15" s="12">
        <v>0</v>
      </c>
    </row>
    <row r="16" spans="2:9" ht="15" customHeight="1" x14ac:dyDescent="0.2">
      <c r="B16" t="s">
        <v>201</v>
      </c>
      <c r="C16" s="12">
        <v>146</v>
      </c>
      <c r="D16" s="8">
        <v>15.72</v>
      </c>
      <c r="E16" s="12">
        <v>111</v>
      </c>
      <c r="F16" s="8">
        <v>24.83</v>
      </c>
      <c r="G16" s="12">
        <v>35</v>
      </c>
      <c r="H16" s="8">
        <v>7.63</v>
      </c>
      <c r="I16" s="12">
        <v>0</v>
      </c>
    </row>
    <row r="17" spans="2:9" ht="15" customHeight="1" x14ac:dyDescent="0.2">
      <c r="B17" t="s">
        <v>202</v>
      </c>
      <c r="C17" s="12">
        <v>36</v>
      </c>
      <c r="D17" s="8">
        <v>3.88</v>
      </c>
      <c r="E17" s="12">
        <v>23</v>
      </c>
      <c r="F17" s="8">
        <v>5.15</v>
      </c>
      <c r="G17" s="12">
        <v>9</v>
      </c>
      <c r="H17" s="8">
        <v>1.96</v>
      </c>
      <c r="I17" s="12">
        <v>0</v>
      </c>
    </row>
    <row r="18" spans="2:9" ht="15" customHeight="1" x14ac:dyDescent="0.2">
      <c r="B18" t="s">
        <v>203</v>
      </c>
      <c r="C18" s="12">
        <v>63</v>
      </c>
      <c r="D18" s="8">
        <v>6.78</v>
      </c>
      <c r="E18" s="12">
        <v>34</v>
      </c>
      <c r="F18" s="8">
        <v>7.61</v>
      </c>
      <c r="G18" s="12">
        <v>12</v>
      </c>
      <c r="H18" s="8">
        <v>2.61</v>
      </c>
      <c r="I18" s="12">
        <v>0</v>
      </c>
    </row>
    <row r="19" spans="2:9" ht="15" customHeight="1" x14ac:dyDescent="0.2">
      <c r="B19" t="s">
        <v>204</v>
      </c>
      <c r="C19" s="12">
        <v>29</v>
      </c>
      <c r="D19" s="8">
        <v>3.12</v>
      </c>
      <c r="E19" s="12">
        <v>9</v>
      </c>
      <c r="F19" s="8">
        <v>2.0099999999999998</v>
      </c>
      <c r="G19" s="12">
        <v>20</v>
      </c>
      <c r="H19" s="8">
        <v>4.3600000000000003</v>
      </c>
      <c r="I19" s="12">
        <v>0</v>
      </c>
    </row>
    <row r="20" spans="2:9" ht="15" customHeight="1" x14ac:dyDescent="0.2">
      <c r="B20" s="9" t="s">
        <v>529</v>
      </c>
      <c r="C20" s="12">
        <f>SUM(LTBL_01230[総数／事業所数])</f>
        <v>929</v>
      </c>
      <c r="E20" s="12">
        <f>SUBTOTAL(109,LTBL_01230[個人／事業所数])</f>
        <v>447</v>
      </c>
      <c r="G20" s="12">
        <f>SUBTOTAL(109,LTBL_01230[法人／事業所数])</f>
        <v>459</v>
      </c>
      <c r="I20" s="12">
        <f>SUBTOTAL(109,LTBL_01230[法人以外の団体／事業所数])</f>
        <v>1</v>
      </c>
    </row>
    <row r="21" spans="2:9" ht="15" customHeight="1" x14ac:dyDescent="0.2">
      <c r="E21" s="11">
        <f>LTBL_01230[[#Totals],[個人／事業所数]]/LTBL_01230[[#Totals],[総数／事業所数]]</f>
        <v>0.48116254036598494</v>
      </c>
      <c r="G21" s="11">
        <f>LTBL_01230[[#Totals],[法人／事業所数]]/LTBL_01230[[#Totals],[総数／事業所数]]</f>
        <v>0.49407965554359529</v>
      </c>
      <c r="I21" s="11">
        <f>LTBL_01230[[#Totals],[法人以外の団体／事業所数]]/LTBL_01230[[#Totals],[総数／事業所数]]</f>
        <v>1.076426264800861E-3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121</v>
      </c>
      <c r="D24" s="8">
        <v>13.02</v>
      </c>
      <c r="E24" s="12">
        <v>103</v>
      </c>
      <c r="F24" s="8">
        <v>23.04</v>
      </c>
      <c r="G24" s="12">
        <v>18</v>
      </c>
      <c r="H24" s="8">
        <v>3.92</v>
      </c>
      <c r="I24" s="12">
        <v>0</v>
      </c>
    </row>
    <row r="25" spans="2:9" ht="15" customHeight="1" x14ac:dyDescent="0.2">
      <c r="B25" t="s">
        <v>227</v>
      </c>
      <c r="C25" s="12">
        <v>100</v>
      </c>
      <c r="D25" s="8">
        <v>10.76</v>
      </c>
      <c r="E25" s="12">
        <v>83</v>
      </c>
      <c r="F25" s="8">
        <v>18.57</v>
      </c>
      <c r="G25" s="12">
        <v>17</v>
      </c>
      <c r="H25" s="8">
        <v>3.7</v>
      </c>
      <c r="I25" s="12">
        <v>0</v>
      </c>
    </row>
    <row r="26" spans="2:9" ht="15" customHeight="1" x14ac:dyDescent="0.2">
      <c r="B26" t="s">
        <v>213</v>
      </c>
      <c r="C26" s="12">
        <v>81</v>
      </c>
      <c r="D26" s="8">
        <v>8.7200000000000006</v>
      </c>
      <c r="E26" s="12">
        <v>15</v>
      </c>
      <c r="F26" s="8">
        <v>3.36</v>
      </c>
      <c r="G26" s="12">
        <v>66</v>
      </c>
      <c r="H26" s="8">
        <v>14.38</v>
      </c>
      <c r="I26" s="12">
        <v>0</v>
      </c>
    </row>
    <row r="27" spans="2:9" ht="15" customHeight="1" x14ac:dyDescent="0.2">
      <c r="B27" t="s">
        <v>224</v>
      </c>
      <c r="C27" s="12">
        <v>74</v>
      </c>
      <c r="D27" s="8">
        <v>7.97</v>
      </c>
      <c r="E27" s="12">
        <v>48</v>
      </c>
      <c r="F27" s="8">
        <v>10.74</v>
      </c>
      <c r="G27" s="12">
        <v>25</v>
      </c>
      <c r="H27" s="8">
        <v>5.45</v>
      </c>
      <c r="I27" s="12">
        <v>0</v>
      </c>
    </row>
    <row r="28" spans="2:9" ht="15" customHeight="1" x14ac:dyDescent="0.2">
      <c r="B28" t="s">
        <v>214</v>
      </c>
      <c r="C28" s="12">
        <v>73</v>
      </c>
      <c r="D28" s="8">
        <v>7.86</v>
      </c>
      <c r="E28" s="12">
        <v>29</v>
      </c>
      <c r="F28" s="8">
        <v>6.49</v>
      </c>
      <c r="G28" s="12">
        <v>44</v>
      </c>
      <c r="H28" s="8">
        <v>9.59</v>
      </c>
      <c r="I28" s="12">
        <v>0</v>
      </c>
    </row>
    <row r="29" spans="2:9" ht="15" customHeight="1" x14ac:dyDescent="0.2">
      <c r="B29" t="s">
        <v>223</v>
      </c>
      <c r="C29" s="12">
        <v>62</v>
      </c>
      <c r="D29" s="8">
        <v>6.67</v>
      </c>
      <c r="E29" s="12">
        <v>21</v>
      </c>
      <c r="F29" s="8">
        <v>4.7</v>
      </c>
      <c r="G29" s="12">
        <v>41</v>
      </c>
      <c r="H29" s="8">
        <v>8.93</v>
      </c>
      <c r="I29" s="12">
        <v>0</v>
      </c>
    </row>
    <row r="30" spans="2:9" ht="15" customHeight="1" x14ac:dyDescent="0.2">
      <c r="B30" t="s">
        <v>231</v>
      </c>
      <c r="C30" s="12">
        <v>38</v>
      </c>
      <c r="D30" s="8">
        <v>4.09</v>
      </c>
      <c r="E30" s="12">
        <v>34</v>
      </c>
      <c r="F30" s="8">
        <v>7.61</v>
      </c>
      <c r="G30" s="12">
        <v>4</v>
      </c>
      <c r="H30" s="8">
        <v>0.87</v>
      </c>
      <c r="I30" s="12">
        <v>0</v>
      </c>
    </row>
    <row r="31" spans="2:9" ht="15" customHeight="1" x14ac:dyDescent="0.2">
      <c r="B31" t="s">
        <v>230</v>
      </c>
      <c r="C31" s="12">
        <v>36</v>
      </c>
      <c r="D31" s="8">
        <v>3.88</v>
      </c>
      <c r="E31" s="12">
        <v>23</v>
      </c>
      <c r="F31" s="8">
        <v>5.15</v>
      </c>
      <c r="G31" s="12">
        <v>9</v>
      </c>
      <c r="H31" s="8">
        <v>1.96</v>
      </c>
      <c r="I31" s="12">
        <v>0</v>
      </c>
    </row>
    <row r="32" spans="2:9" ht="15" customHeight="1" x14ac:dyDescent="0.2">
      <c r="B32" t="s">
        <v>222</v>
      </c>
      <c r="C32" s="12">
        <v>30</v>
      </c>
      <c r="D32" s="8">
        <v>3.23</v>
      </c>
      <c r="E32" s="12">
        <v>9</v>
      </c>
      <c r="F32" s="8">
        <v>2.0099999999999998</v>
      </c>
      <c r="G32" s="12">
        <v>21</v>
      </c>
      <c r="H32" s="8">
        <v>4.58</v>
      </c>
      <c r="I32" s="12">
        <v>0</v>
      </c>
    </row>
    <row r="33" spans="2:9" ht="15" customHeight="1" x14ac:dyDescent="0.2">
      <c r="B33" t="s">
        <v>215</v>
      </c>
      <c r="C33" s="12">
        <v>25</v>
      </c>
      <c r="D33" s="8">
        <v>2.69</v>
      </c>
      <c r="E33" s="12">
        <v>5</v>
      </c>
      <c r="F33" s="8">
        <v>1.1200000000000001</v>
      </c>
      <c r="G33" s="12">
        <v>20</v>
      </c>
      <c r="H33" s="8">
        <v>4.3600000000000003</v>
      </c>
      <c r="I33" s="12">
        <v>0</v>
      </c>
    </row>
    <row r="34" spans="2:9" ht="15" customHeight="1" x14ac:dyDescent="0.2">
      <c r="B34" t="s">
        <v>232</v>
      </c>
      <c r="C34" s="12">
        <v>25</v>
      </c>
      <c r="D34" s="8">
        <v>2.69</v>
      </c>
      <c r="E34" s="12">
        <v>0</v>
      </c>
      <c r="F34" s="8">
        <v>0</v>
      </c>
      <c r="G34" s="12">
        <v>8</v>
      </c>
      <c r="H34" s="8">
        <v>1.74</v>
      </c>
      <c r="I34" s="12">
        <v>0</v>
      </c>
    </row>
    <row r="35" spans="2:9" ht="15" customHeight="1" x14ac:dyDescent="0.2">
      <c r="B35" t="s">
        <v>221</v>
      </c>
      <c r="C35" s="12">
        <v>24</v>
      </c>
      <c r="D35" s="8">
        <v>2.58</v>
      </c>
      <c r="E35" s="12">
        <v>14</v>
      </c>
      <c r="F35" s="8">
        <v>3.13</v>
      </c>
      <c r="G35" s="12">
        <v>9</v>
      </c>
      <c r="H35" s="8">
        <v>1.96</v>
      </c>
      <c r="I35" s="12">
        <v>1</v>
      </c>
    </row>
    <row r="36" spans="2:9" ht="15" customHeight="1" x14ac:dyDescent="0.2">
      <c r="B36" t="s">
        <v>220</v>
      </c>
      <c r="C36" s="12">
        <v>20</v>
      </c>
      <c r="D36" s="8">
        <v>2.15</v>
      </c>
      <c r="E36" s="12">
        <v>7</v>
      </c>
      <c r="F36" s="8">
        <v>1.57</v>
      </c>
      <c r="G36" s="12">
        <v>13</v>
      </c>
      <c r="H36" s="8">
        <v>2.83</v>
      </c>
      <c r="I36" s="12">
        <v>0</v>
      </c>
    </row>
    <row r="37" spans="2:9" ht="15" customHeight="1" x14ac:dyDescent="0.2">
      <c r="B37" t="s">
        <v>226</v>
      </c>
      <c r="C37" s="12">
        <v>19</v>
      </c>
      <c r="D37" s="8">
        <v>2.0499999999999998</v>
      </c>
      <c r="E37" s="12">
        <v>7</v>
      </c>
      <c r="F37" s="8">
        <v>1.57</v>
      </c>
      <c r="G37" s="12">
        <v>12</v>
      </c>
      <c r="H37" s="8">
        <v>2.61</v>
      </c>
      <c r="I37" s="12">
        <v>0</v>
      </c>
    </row>
    <row r="38" spans="2:9" ht="15" customHeight="1" x14ac:dyDescent="0.2">
      <c r="B38" t="s">
        <v>217</v>
      </c>
      <c r="C38" s="12">
        <v>16</v>
      </c>
      <c r="D38" s="8">
        <v>1.72</v>
      </c>
      <c r="E38" s="12">
        <v>2</v>
      </c>
      <c r="F38" s="8">
        <v>0.45</v>
      </c>
      <c r="G38" s="12">
        <v>14</v>
      </c>
      <c r="H38" s="8">
        <v>3.05</v>
      </c>
      <c r="I38" s="12">
        <v>0</v>
      </c>
    </row>
    <row r="39" spans="2:9" ht="15" customHeight="1" x14ac:dyDescent="0.2">
      <c r="B39" t="s">
        <v>229</v>
      </c>
      <c r="C39" s="12">
        <v>16</v>
      </c>
      <c r="D39" s="8">
        <v>1.72</v>
      </c>
      <c r="E39" s="12">
        <v>6</v>
      </c>
      <c r="F39" s="8">
        <v>1.34</v>
      </c>
      <c r="G39" s="12">
        <v>10</v>
      </c>
      <c r="H39" s="8">
        <v>2.1800000000000002</v>
      </c>
      <c r="I39" s="12">
        <v>0</v>
      </c>
    </row>
    <row r="40" spans="2:9" ht="15" customHeight="1" x14ac:dyDescent="0.2">
      <c r="B40" t="s">
        <v>240</v>
      </c>
      <c r="C40" s="12">
        <v>15</v>
      </c>
      <c r="D40" s="8">
        <v>1.61</v>
      </c>
      <c r="E40" s="12">
        <v>6</v>
      </c>
      <c r="F40" s="8">
        <v>1.34</v>
      </c>
      <c r="G40" s="12">
        <v>9</v>
      </c>
      <c r="H40" s="8">
        <v>1.96</v>
      </c>
      <c r="I40" s="12">
        <v>0</v>
      </c>
    </row>
    <row r="41" spans="2:9" ht="15" customHeight="1" x14ac:dyDescent="0.2">
      <c r="B41" t="s">
        <v>237</v>
      </c>
      <c r="C41" s="12">
        <v>11</v>
      </c>
      <c r="D41" s="8">
        <v>1.18</v>
      </c>
      <c r="E41" s="12">
        <v>1</v>
      </c>
      <c r="F41" s="8">
        <v>0.22</v>
      </c>
      <c r="G41" s="12">
        <v>10</v>
      </c>
      <c r="H41" s="8">
        <v>2.1800000000000002</v>
      </c>
      <c r="I41" s="12">
        <v>0</v>
      </c>
    </row>
    <row r="42" spans="2:9" ht="15" customHeight="1" x14ac:dyDescent="0.2">
      <c r="B42" t="s">
        <v>243</v>
      </c>
      <c r="C42" s="12">
        <v>11</v>
      </c>
      <c r="D42" s="8">
        <v>1.18</v>
      </c>
      <c r="E42" s="12">
        <v>4</v>
      </c>
      <c r="F42" s="8">
        <v>0.89</v>
      </c>
      <c r="G42" s="12">
        <v>7</v>
      </c>
      <c r="H42" s="8">
        <v>1.53</v>
      </c>
      <c r="I42" s="12">
        <v>0</v>
      </c>
    </row>
    <row r="43" spans="2:9" ht="15" customHeight="1" x14ac:dyDescent="0.2">
      <c r="B43" t="s">
        <v>236</v>
      </c>
      <c r="C43" s="12">
        <v>10</v>
      </c>
      <c r="D43" s="8">
        <v>1.08</v>
      </c>
      <c r="E43" s="12">
        <v>2</v>
      </c>
      <c r="F43" s="8">
        <v>0.45</v>
      </c>
      <c r="G43" s="12">
        <v>8</v>
      </c>
      <c r="H43" s="8">
        <v>1.74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61</v>
      </c>
      <c r="D47" s="8">
        <v>6.57</v>
      </c>
      <c r="E47" s="12">
        <v>44</v>
      </c>
      <c r="F47" s="8">
        <v>9.84</v>
      </c>
      <c r="G47" s="12">
        <v>16</v>
      </c>
      <c r="H47" s="8">
        <v>3.49</v>
      </c>
      <c r="I47" s="12">
        <v>0</v>
      </c>
    </row>
    <row r="48" spans="2:9" ht="15" customHeight="1" x14ac:dyDescent="0.2">
      <c r="B48" t="s">
        <v>304</v>
      </c>
      <c r="C48" s="12">
        <v>55</v>
      </c>
      <c r="D48" s="8">
        <v>5.92</v>
      </c>
      <c r="E48" s="12">
        <v>51</v>
      </c>
      <c r="F48" s="8">
        <v>11.41</v>
      </c>
      <c r="G48" s="12">
        <v>4</v>
      </c>
      <c r="H48" s="8">
        <v>0.87</v>
      </c>
      <c r="I48" s="12">
        <v>0</v>
      </c>
    </row>
    <row r="49" spans="2:9" ht="15" customHeight="1" x14ac:dyDescent="0.2">
      <c r="B49" t="s">
        <v>303</v>
      </c>
      <c r="C49" s="12">
        <v>47</v>
      </c>
      <c r="D49" s="8">
        <v>5.0599999999999996</v>
      </c>
      <c r="E49" s="12">
        <v>44</v>
      </c>
      <c r="F49" s="8">
        <v>9.84</v>
      </c>
      <c r="G49" s="12">
        <v>3</v>
      </c>
      <c r="H49" s="8">
        <v>0.65</v>
      </c>
      <c r="I49" s="12">
        <v>0</v>
      </c>
    </row>
    <row r="50" spans="2:9" ht="15" customHeight="1" x14ac:dyDescent="0.2">
      <c r="B50" t="s">
        <v>288</v>
      </c>
      <c r="C50" s="12">
        <v>37</v>
      </c>
      <c r="D50" s="8">
        <v>3.98</v>
      </c>
      <c r="E50" s="12">
        <v>1</v>
      </c>
      <c r="F50" s="8">
        <v>0.22</v>
      </c>
      <c r="G50" s="12">
        <v>36</v>
      </c>
      <c r="H50" s="8">
        <v>7.84</v>
      </c>
      <c r="I50" s="12">
        <v>0</v>
      </c>
    </row>
    <row r="51" spans="2:9" ht="15" customHeight="1" x14ac:dyDescent="0.2">
      <c r="B51" t="s">
        <v>333</v>
      </c>
      <c r="C51" s="12">
        <v>32</v>
      </c>
      <c r="D51" s="8">
        <v>3.44</v>
      </c>
      <c r="E51" s="12">
        <v>19</v>
      </c>
      <c r="F51" s="8">
        <v>4.25</v>
      </c>
      <c r="G51" s="12">
        <v>13</v>
      </c>
      <c r="H51" s="8">
        <v>2.83</v>
      </c>
      <c r="I51" s="12">
        <v>0</v>
      </c>
    </row>
    <row r="52" spans="2:9" ht="15" customHeight="1" x14ac:dyDescent="0.2">
      <c r="B52" t="s">
        <v>301</v>
      </c>
      <c r="C52" s="12">
        <v>29</v>
      </c>
      <c r="D52" s="8">
        <v>3.12</v>
      </c>
      <c r="E52" s="12">
        <v>27</v>
      </c>
      <c r="F52" s="8">
        <v>6.04</v>
      </c>
      <c r="G52" s="12">
        <v>2</v>
      </c>
      <c r="H52" s="8">
        <v>0.44</v>
      </c>
      <c r="I52" s="12">
        <v>0</v>
      </c>
    </row>
    <row r="53" spans="2:9" ht="15" customHeight="1" x14ac:dyDescent="0.2">
      <c r="B53" t="s">
        <v>306</v>
      </c>
      <c r="C53" s="12">
        <v>27</v>
      </c>
      <c r="D53" s="8">
        <v>2.91</v>
      </c>
      <c r="E53" s="12">
        <v>26</v>
      </c>
      <c r="F53" s="8">
        <v>5.82</v>
      </c>
      <c r="G53" s="12">
        <v>1</v>
      </c>
      <c r="H53" s="8">
        <v>0.22</v>
      </c>
      <c r="I53" s="12">
        <v>0</v>
      </c>
    </row>
    <row r="54" spans="2:9" ht="15" customHeight="1" x14ac:dyDescent="0.2">
      <c r="B54" t="s">
        <v>295</v>
      </c>
      <c r="C54" s="12">
        <v>23</v>
      </c>
      <c r="D54" s="8">
        <v>2.48</v>
      </c>
      <c r="E54" s="12">
        <v>7</v>
      </c>
      <c r="F54" s="8">
        <v>1.57</v>
      </c>
      <c r="G54" s="12">
        <v>16</v>
      </c>
      <c r="H54" s="8">
        <v>3.49</v>
      </c>
      <c r="I54" s="12">
        <v>0</v>
      </c>
    </row>
    <row r="55" spans="2:9" ht="15" customHeight="1" x14ac:dyDescent="0.2">
      <c r="B55" t="s">
        <v>299</v>
      </c>
      <c r="C55" s="12">
        <v>21</v>
      </c>
      <c r="D55" s="8">
        <v>2.2599999999999998</v>
      </c>
      <c r="E55" s="12">
        <v>16</v>
      </c>
      <c r="F55" s="8">
        <v>3.58</v>
      </c>
      <c r="G55" s="12">
        <v>5</v>
      </c>
      <c r="H55" s="8">
        <v>1.0900000000000001</v>
      </c>
      <c r="I55" s="12">
        <v>0</v>
      </c>
    </row>
    <row r="56" spans="2:9" ht="15" customHeight="1" x14ac:dyDescent="0.2">
      <c r="B56" t="s">
        <v>300</v>
      </c>
      <c r="C56" s="12">
        <v>21</v>
      </c>
      <c r="D56" s="8">
        <v>2.2599999999999998</v>
      </c>
      <c r="E56" s="12">
        <v>18</v>
      </c>
      <c r="F56" s="8">
        <v>4.03</v>
      </c>
      <c r="G56" s="12">
        <v>3</v>
      </c>
      <c r="H56" s="8">
        <v>0.65</v>
      </c>
      <c r="I56" s="12">
        <v>0</v>
      </c>
    </row>
    <row r="57" spans="2:9" ht="15" customHeight="1" x14ac:dyDescent="0.2">
      <c r="B57" t="s">
        <v>305</v>
      </c>
      <c r="C57" s="12">
        <v>18</v>
      </c>
      <c r="D57" s="8">
        <v>1.94</v>
      </c>
      <c r="E57" s="12">
        <v>15</v>
      </c>
      <c r="F57" s="8">
        <v>3.36</v>
      </c>
      <c r="G57" s="12">
        <v>3</v>
      </c>
      <c r="H57" s="8">
        <v>0.65</v>
      </c>
      <c r="I57" s="12">
        <v>0</v>
      </c>
    </row>
    <row r="58" spans="2:9" ht="15" customHeight="1" x14ac:dyDescent="0.2">
      <c r="B58" t="s">
        <v>341</v>
      </c>
      <c r="C58" s="12">
        <v>17</v>
      </c>
      <c r="D58" s="8">
        <v>1.83</v>
      </c>
      <c r="E58" s="12">
        <v>0</v>
      </c>
      <c r="F58" s="8">
        <v>0</v>
      </c>
      <c r="G58" s="12">
        <v>1</v>
      </c>
      <c r="H58" s="8">
        <v>0.22</v>
      </c>
      <c r="I58" s="12">
        <v>0</v>
      </c>
    </row>
    <row r="59" spans="2:9" ht="15" customHeight="1" x14ac:dyDescent="0.2">
      <c r="B59" t="s">
        <v>302</v>
      </c>
      <c r="C59" s="12">
        <v>16</v>
      </c>
      <c r="D59" s="8">
        <v>1.72</v>
      </c>
      <c r="E59" s="12">
        <v>11</v>
      </c>
      <c r="F59" s="8">
        <v>2.46</v>
      </c>
      <c r="G59" s="12">
        <v>5</v>
      </c>
      <c r="H59" s="8">
        <v>1.0900000000000001</v>
      </c>
      <c r="I59" s="12">
        <v>0</v>
      </c>
    </row>
    <row r="60" spans="2:9" ht="15" customHeight="1" x14ac:dyDescent="0.2">
      <c r="B60" t="s">
        <v>293</v>
      </c>
      <c r="C60" s="12">
        <v>15</v>
      </c>
      <c r="D60" s="8">
        <v>1.61</v>
      </c>
      <c r="E60" s="12">
        <v>2</v>
      </c>
      <c r="F60" s="8">
        <v>0.45</v>
      </c>
      <c r="G60" s="12">
        <v>13</v>
      </c>
      <c r="H60" s="8">
        <v>2.83</v>
      </c>
      <c r="I60" s="12">
        <v>0</v>
      </c>
    </row>
    <row r="61" spans="2:9" ht="15" customHeight="1" x14ac:dyDescent="0.2">
      <c r="B61" t="s">
        <v>307</v>
      </c>
      <c r="C61" s="12">
        <v>15</v>
      </c>
      <c r="D61" s="8">
        <v>1.61</v>
      </c>
      <c r="E61" s="12">
        <v>6</v>
      </c>
      <c r="F61" s="8">
        <v>1.34</v>
      </c>
      <c r="G61" s="12">
        <v>9</v>
      </c>
      <c r="H61" s="8">
        <v>1.96</v>
      </c>
      <c r="I61" s="12">
        <v>0</v>
      </c>
    </row>
    <row r="62" spans="2:9" ht="15" customHeight="1" x14ac:dyDescent="0.2">
      <c r="B62" t="s">
        <v>289</v>
      </c>
      <c r="C62" s="12">
        <v>14</v>
      </c>
      <c r="D62" s="8">
        <v>1.51</v>
      </c>
      <c r="E62" s="12">
        <v>3</v>
      </c>
      <c r="F62" s="8">
        <v>0.67</v>
      </c>
      <c r="G62" s="12">
        <v>11</v>
      </c>
      <c r="H62" s="8">
        <v>2.4</v>
      </c>
      <c r="I62" s="12">
        <v>0</v>
      </c>
    </row>
    <row r="63" spans="2:9" ht="15" customHeight="1" x14ac:dyDescent="0.2">
      <c r="B63" t="s">
        <v>328</v>
      </c>
      <c r="C63" s="12">
        <v>14</v>
      </c>
      <c r="D63" s="8">
        <v>1.51</v>
      </c>
      <c r="E63" s="12">
        <v>4</v>
      </c>
      <c r="F63" s="8">
        <v>0.89</v>
      </c>
      <c r="G63" s="12">
        <v>10</v>
      </c>
      <c r="H63" s="8">
        <v>2.1800000000000002</v>
      </c>
      <c r="I63" s="12">
        <v>0</v>
      </c>
    </row>
    <row r="64" spans="2:9" ht="15" customHeight="1" x14ac:dyDescent="0.2">
      <c r="B64" t="s">
        <v>314</v>
      </c>
      <c r="C64" s="12">
        <v>12</v>
      </c>
      <c r="D64" s="8">
        <v>1.29</v>
      </c>
      <c r="E64" s="12">
        <v>4</v>
      </c>
      <c r="F64" s="8">
        <v>0.89</v>
      </c>
      <c r="G64" s="12">
        <v>8</v>
      </c>
      <c r="H64" s="8">
        <v>1.74</v>
      </c>
      <c r="I64" s="12">
        <v>0</v>
      </c>
    </row>
    <row r="65" spans="2:9" ht="15" customHeight="1" x14ac:dyDescent="0.2">
      <c r="B65" t="s">
        <v>335</v>
      </c>
      <c r="C65" s="12">
        <v>12</v>
      </c>
      <c r="D65" s="8">
        <v>1.29</v>
      </c>
      <c r="E65" s="12">
        <v>5</v>
      </c>
      <c r="F65" s="8">
        <v>1.1200000000000001</v>
      </c>
      <c r="G65" s="12">
        <v>7</v>
      </c>
      <c r="H65" s="8">
        <v>1.53</v>
      </c>
      <c r="I65" s="12">
        <v>0</v>
      </c>
    </row>
    <row r="66" spans="2:9" ht="15" customHeight="1" x14ac:dyDescent="0.2">
      <c r="B66" t="s">
        <v>323</v>
      </c>
      <c r="C66" s="12">
        <v>12</v>
      </c>
      <c r="D66" s="8">
        <v>1.29</v>
      </c>
      <c r="E66" s="12">
        <v>3</v>
      </c>
      <c r="F66" s="8">
        <v>0.67</v>
      </c>
      <c r="G66" s="12">
        <v>9</v>
      </c>
      <c r="H66" s="8">
        <v>1.96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DD8FE-649F-46DC-B5FC-213F4F14E636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0.1</v>
      </c>
      <c r="E5" s="12">
        <v>0</v>
      </c>
      <c r="F5" s="8">
        <v>0</v>
      </c>
      <c r="G5" s="12">
        <v>1</v>
      </c>
      <c r="H5" s="8">
        <v>0.2</v>
      </c>
      <c r="I5" s="12">
        <v>0</v>
      </c>
    </row>
    <row r="6" spans="2:9" ht="15" customHeight="1" x14ac:dyDescent="0.2">
      <c r="B6" t="s">
        <v>191</v>
      </c>
      <c r="C6" s="12">
        <v>138</v>
      </c>
      <c r="D6" s="8">
        <v>13.65</v>
      </c>
      <c r="E6" s="12">
        <v>30</v>
      </c>
      <c r="F6" s="8">
        <v>6.16</v>
      </c>
      <c r="G6" s="12">
        <v>108</v>
      </c>
      <c r="H6" s="8">
        <v>21.18</v>
      </c>
      <c r="I6" s="12">
        <v>0</v>
      </c>
    </row>
    <row r="7" spans="2:9" ht="15" customHeight="1" x14ac:dyDescent="0.2">
      <c r="B7" t="s">
        <v>192</v>
      </c>
      <c r="C7" s="12">
        <v>44</v>
      </c>
      <c r="D7" s="8">
        <v>4.3499999999999996</v>
      </c>
      <c r="E7" s="12">
        <v>5</v>
      </c>
      <c r="F7" s="8">
        <v>1.03</v>
      </c>
      <c r="G7" s="12">
        <v>39</v>
      </c>
      <c r="H7" s="8">
        <v>7.65</v>
      </c>
      <c r="I7" s="12">
        <v>0</v>
      </c>
    </row>
    <row r="8" spans="2:9" ht="15" customHeight="1" x14ac:dyDescent="0.2">
      <c r="B8" t="s">
        <v>193</v>
      </c>
      <c r="C8" s="12">
        <v>4</v>
      </c>
      <c r="D8" s="8">
        <v>0.4</v>
      </c>
      <c r="E8" s="12">
        <v>0</v>
      </c>
      <c r="F8" s="8">
        <v>0</v>
      </c>
      <c r="G8" s="12">
        <v>3</v>
      </c>
      <c r="H8" s="8">
        <v>0.59</v>
      </c>
      <c r="I8" s="12">
        <v>0</v>
      </c>
    </row>
    <row r="9" spans="2:9" ht="15" customHeight="1" x14ac:dyDescent="0.2">
      <c r="B9" t="s">
        <v>194</v>
      </c>
      <c r="C9" s="12">
        <v>3</v>
      </c>
      <c r="D9" s="8">
        <v>0.3</v>
      </c>
      <c r="E9" s="12">
        <v>0</v>
      </c>
      <c r="F9" s="8">
        <v>0</v>
      </c>
      <c r="G9" s="12">
        <v>3</v>
      </c>
      <c r="H9" s="8">
        <v>0.59</v>
      </c>
      <c r="I9" s="12">
        <v>0</v>
      </c>
    </row>
    <row r="10" spans="2:9" ht="15" customHeight="1" x14ac:dyDescent="0.2">
      <c r="B10" t="s">
        <v>195</v>
      </c>
      <c r="C10" s="12">
        <v>18</v>
      </c>
      <c r="D10" s="8">
        <v>1.78</v>
      </c>
      <c r="E10" s="12">
        <v>4</v>
      </c>
      <c r="F10" s="8">
        <v>0.82</v>
      </c>
      <c r="G10" s="12">
        <v>14</v>
      </c>
      <c r="H10" s="8">
        <v>2.75</v>
      </c>
      <c r="I10" s="12">
        <v>0</v>
      </c>
    </row>
    <row r="11" spans="2:9" ht="15" customHeight="1" x14ac:dyDescent="0.2">
      <c r="B11" t="s">
        <v>196</v>
      </c>
      <c r="C11" s="12">
        <v>182</v>
      </c>
      <c r="D11" s="8">
        <v>18</v>
      </c>
      <c r="E11" s="12">
        <v>64</v>
      </c>
      <c r="F11" s="8">
        <v>13.14</v>
      </c>
      <c r="G11" s="12">
        <v>117</v>
      </c>
      <c r="H11" s="8">
        <v>22.94</v>
      </c>
      <c r="I11" s="12">
        <v>1</v>
      </c>
    </row>
    <row r="12" spans="2:9" ht="15" customHeight="1" x14ac:dyDescent="0.2">
      <c r="B12" t="s">
        <v>197</v>
      </c>
      <c r="C12" s="12">
        <v>14</v>
      </c>
      <c r="D12" s="8">
        <v>1.38</v>
      </c>
      <c r="E12" s="12">
        <v>4</v>
      </c>
      <c r="F12" s="8">
        <v>0.82</v>
      </c>
      <c r="G12" s="12">
        <v>10</v>
      </c>
      <c r="H12" s="8">
        <v>1.96</v>
      </c>
      <c r="I12" s="12">
        <v>0</v>
      </c>
    </row>
    <row r="13" spans="2:9" ht="15" customHeight="1" x14ac:dyDescent="0.2">
      <c r="B13" t="s">
        <v>198</v>
      </c>
      <c r="C13" s="12">
        <v>102</v>
      </c>
      <c r="D13" s="8">
        <v>10.09</v>
      </c>
      <c r="E13" s="12">
        <v>48</v>
      </c>
      <c r="F13" s="8">
        <v>9.86</v>
      </c>
      <c r="G13" s="12">
        <v>54</v>
      </c>
      <c r="H13" s="8">
        <v>10.59</v>
      </c>
      <c r="I13" s="12">
        <v>0</v>
      </c>
    </row>
    <row r="14" spans="2:9" ht="15" customHeight="1" x14ac:dyDescent="0.2">
      <c r="B14" t="s">
        <v>199</v>
      </c>
      <c r="C14" s="12">
        <v>45</v>
      </c>
      <c r="D14" s="8">
        <v>4.45</v>
      </c>
      <c r="E14" s="12">
        <v>20</v>
      </c>
      <c r="F14" s="8">
        <v>4.1100000000000003</v>
      </c>
      <c r="G14" s="12">
        <v>25</v>
      </c>
      <c r="H14" s="8">
        <v>4.9000000000000004</v>
      </c>
      <c r="I14" s="12">
        <v>0</v>
      </c>
    </row>
    <row r="15" spans="2:9" ht="15" customHeight="1" x14ac:dyDescent="0.2">
      <c r="B15" t="s">
        <v>200</v>
      </c>
      <c r="C15" s="12">
        <v>121</v>
      </c>
      <c r="D15" s="8">
        <v>11.97</v>
      </c>
      <c r="E15" s="12">
        <v>87</v>
      </c>
      <c r="F15" s="8">
        <v>17.86</v>
      </c>
      <c r="G15" s="12">
        <v>33</v>
      </c>
      <c r="H15" s="8">
        <v>6.47</v>
      </c>
      <c r="I15" s="12">
        <v>0</v>
      </c>
    </row>
    <row r="16" spans="2:9" ht="15" customHeight="1" x14ac:dyDescent="0.2">
      <c r="B16" t="s">
        <v>201</v>
      </c>
      <c r="C16" s="12">
        <v>180</v>
      </c>
      <c r="D16" s="8">
        <v>17.8</v>
      </c>
      <c r="E16" s="12">
        <v>137</v>
      </c>
      <c r="F16" s="8">
        <v>28.13</v>
      </c>
      <c r="G16" s="12">
        <v>42</v>
      </c>
      <c r="H16" s="8">
        <v>8.24</v>
      </c>
      <c r="I16" s="12">
        <v>0</v>
      </c>
    </row>
    <row r="17" spans="2:9" ht="15" customHeight="1" x14ac:dyDescent="0.2">
      <c r="B17" t="s">
        <v>202</v>
      </c>
      <c r="C17" s="12">
        <v>58</v>
      </c>
      <c r="D17" s="8">
        <v>5.74</v>
      </c>
      <c r="E17" s="12">
        <v>39</v>
      </c>
      <c r="F17" s="8">
        <v>8.01</v>
      </c>
      <c r="G17" s="12">
        <v>16</v>
      </c>
      <c r="H17" s="8">
        <v>3.14</v>
      </c>
      <c r="I17" s="12">
        <v>0</v>
      </c>
    </row>
    <row r="18" spans="2:9" ht="15" customHeight="1" x14ac:dyDescent="0.2">
      <c r="B18" t="s">
        <v>203</v>
      </c>
      <c r="C18" s="12">
        <v>63</v>
      </c>
      <c r="D18" s="8">
        <v>6.23</v>
      </c>
      <c r="E18" s="12">
        <v>38</v>
      </c>
      <c r="F18" s="8">
        <v>7.8</v>
      </c>
      <c r="G18" s="12">
        <v>20</v>
      </c>
      <c r="H18" s="8">
        <v>3.92</v>
      </c>
      <c r="I18" s="12">
        <v>0</v>
      </c>
    </row>
    <row r="19" spans="2:9" ht="15" customHeight="1" x14ac:dyDescent="0.2">
      <c r="B19" t="s">
        <v>204</v>
      </c>
      <c r="C19" s="12">
        <v>38</v>
      </c>
      <c r="D19" s="8">
        <v>3.76</v>
      </c>
      <c r="E19" s="12">
        <v>11</v>
      </c>
      <c r="F19" s="8">
        <v>2.2599999999999998</v>
      </c>
      <c r="G19" s="12">
        <v>25</v>
      </c>
      <c r="H19" s="8">
        <v>4.9000000000000004</v>
      </c>
      <c r="I19" s="12">
        <v>0</v>
      </c>
    </row>
    <row r="20" spans="2:9" ht="15" customHeight="1" x14ac:dyDescent="0.2">
      <c r="B20" s="9" t="s">
        <v>529</v>
      </c>
      <c r="C20" s="12">
        <f>SUM(LTBL_01231[総数／事業所数])</f>
        <v>1011</v>
      </c>
      <c r="E20" s="12">
        <f>SUBTOTAL(109,LTBL_01231[個人／事業所数])</f>
        <v>487</v>
      </c>
      <c r="G20" s="12">
        <f>SUBTOTAL(109,LTBL_01231[法人／事業所数])</f>
        <v>510</v>
      </c>
      <c r="I20" s="12">
        <f>SUBTOTAL(109,LTBL_01231[法人以外の団体／事業所数])</f>
        <v>1</v>
      </c>
    </row>
    <row r="21" spans="2:9" ht="15" customHeight="1" x14ac:dyDescent="0.2">
      <c r="E21" s="11">
        <f>LTBL_01231[[#Totals],[個人／事業所数]]/LTBL_01231[[#Totals],[総数／事業所数]]</f>
        <v>0.48170128585558852</v>
      </c>
      <c r="G21" s="11">
        <f>LTBL_01231[[#Totals],[法人／事業所数]]/LTBL_01231[[#Totals],[総数／事業所数]]</f>
        <v>0.50445103857566764</v>
      </c>
      <c r="I21" s="11">
        <f>LTBL_01231[[#Totals],[法人以外の団体／事業所数]]/LTBL_01231[[#Totals],[総数／事業所数]]</f>
        <v>9.8911968348170125E-4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154</v>
      </c>
      <c r="D24" s="8">
        <v>15.23</v>
      </c>
      <c r="E24" s="12">
        <v>127</v>
      </c>
      <c r="F24" s="8">
        <v>26.08</v>
      </c>
      <c r="G24" s="12">
        <v>27</v>
      </c>
      <c r="H24" s="8">
        <v>5.29</v>
      </c>
      <c r="I24" s="12">
        <v>0</v>
      </c>
    </row>
    <row r="25" spans="2:9" ht="15" customHeight="1" x14ac:dyDescent="0.2">
      <c r="B25" t="s">
        <v>227</v>
      </c>
      <c r="C25" s="12">
        <v>103</v>
      </c>
      <c r="D25" s="8">
        <v>10.19</v>
      </c>
      <c r="E25" s="12">
        <v>83</v>
      </c>
      <c r="F25" s="8">
        <v>17.04</v>
      </c>
      <c r="G25" s="12">
        <v>20</v>
      </c>
      <c r="H25" s="8">
        <v>3.92</v>
      </c>
      <c r="I25" s="12">
        <v>0</v>
      </c>
    </row>
    <row r="26" spans="2:9" ht="15" customHeight="1" x14ac:dyDescent="0.2">
      <c r="B26" t="s">
        <v>224</v>
      </c>
      <c r="C26" s="12">
        <v>82</v>
      </c>
      <c r="D26" s="8">
        <v>8.11</v>
      </c>
      <c r="E26" s="12">
        <v>46</v>
      </c>
      <c r="F26" s="8">
        <v>9.4499999999999993</v>
      </c>
      <c r="G26" s="12">
        <v>36</v>
      </c>
      <c r="H26" s="8">
        <v>7.06</v>
      </c>
      <c r="I26" s="12">
        <v>0</v>
      </c>
    </row>
    <row r="27" spans="2:9" ht="15" customHeight="1" x14ac:dyDescent="0.2">
      <c r="B27" t="s">
        <v>223</v>
      </c>
      <c r="C27" s="12">
        <v>67</v>
      </c>
      <c r="D27" s="8">
        <v>6.63</v>
      </c>
      <c r="E27" s="12">
        <v>23</v>
      </c>
      <c r="F27" s="8">
        <v>4.72</v>
      </c>
      <c r="G27" s="12">
        <v>44</v>
      </c>
      <c r="H27" s="8">
        <v>8.6300000000000008</v>
      </c>
      <c r="I27" s="12">
        <v>0</v>
      </c>
    </row>
    <row r="28" spans="2:9" ht="15" customHeight="1" x14ac:dyDescent="0.2">
      <c r="B28" t="s">
        <v>230</v>
      </c>
      <c r="C28" s="12">
        <v>58</v>
      </c>
      <c r="D28" s="8">
        <v>5.74</v>
      </c>
      <c r="E28" s="12">
        <v>39</v>
      </c>
      <c r="F28" s="8">
        <v>8.01</v>
      </c>
      <c r="G28" s="12">
        <v>16</v>
      </c>
      <c r="H28" s="8">
        <v>3.14</v>
      </c>
      <c r="I28" s="12">
        <v>0</v>
      </c>
    </row>
    <row r="29" spans="2:9" ht="15" customHeight="1" x14ac:dyDescent="0.2">
      <c r="B29" t="s">
        <v>213</v>
      </c>
      <c r="C29" s="12">
        <v>57</v>
      </c>
      <c r="D29" s="8">
        <v>5.64</v>
      </c>
      <c r="E29" s="12">
        <v>4</v>
      </c>
      <c r="F29" s="8">
        <v>0.82</v>
      </c>
      <c r="G29" s="12">
        <v>53</v>
      </c>
      <c r="H29" s="8">
        <v>10.39</v>
      </c>
      <c r="I29" s="12">
        <v>0</v>
      </c>
    </row>
    <row r="30" spans="2:9" ht="15" customHeight="1" x14ac:dyDescent="0.2">
      <c r="B30" t="s">
        <v>214</v>
      </c>
      <c r="C30" s="12">
        <v>50</v>
      </c>
      <c r="D30" s="8">
        <v>4.95</v>
      </c>
      <c r="E30" s="12">
        <v>20</v>
      </c>
      <c r="F30" s="8">
        <v>4.1100000000000003</v>
      </c>
      <c r="G30" s="12">
        <v>30</v>
      </c>
      <c r="H30" s="8">
        <v>5.88</v>
      </c>
      <c r="I30" s="12">
        <v>0</v>
      </c>
    </row>
    <row r="31" spans="2:9" ht="15" customHeight="1" x14ac:dyDescent="0.2">
      <c r="B31" t="s">
        <v>231</v>
      </c>
      <c r="C31" s="12">
        <v>41</v>
      </c>
      <c r="D31" s="8">
        <v>4.0599999999999996</v>
      </c>
      <c r="E31" s="12">
        <v>37</v>
      </c>
      <c r="F31" s="8">
        <v>7.6</v>
      </c>
      <c r="G31" s="12">
        <v>4</v>
      </c>
      <c r="H31" s="8">
        <v>0.78</v>
      </c>
      <c r="I31" s="12">
        <v>0</v>
      </c>
    </row>
    <row r="32" spans="2:9" ht="15" customHeight="1" x14ac:dyDescent="0.2">
      <c r="B32" t="s">
        <v>215</v>
      </c>
      <c r="C32" s="12">
        <v>31</v>
      </c>
      <c r="D32" s="8">
        <v>3.07</v>
      </c>
      <c r="E32" s="12">
        <v>6</v>
      </c>
      <c r="F32" s="8">
        <v>1.23</v>
      </c>
      <c r="G32" s="12">
        <v>25</v>
      </c>
      <c r="H32" s="8">
        <v>4.9000000000000004</v>
      </c>
      <c r="I32" s="12">
        <v>0</v>
      </c>
    </row>
    <row r="33" spans="2:9" ht="15" customHeight="1" x14ac:dyDescent="0.2">
      <c r="B33" t="s">
        <v>221</v>
      </c>
      <c r="C33" s="12">
        <v>27</v>
      </c>
      <c r="D33" s="8">
        <v>2.67</v>
      </c>
      <c r="E33" s="12">
        <v>18</v>
      </c>
      <c r="F33" s="8">
        <v>3.7</v>
      </c>
      <c r="G33" s="12">
        <v>8</v>
      </c>
      <c r="H33" s="8">
        <v>1.57</v>
      </c>
      <c r="I33" s="12">
        <v>1</v>
      </c>
    </row>
    <row r="34" spans="2:9" ht="15" customHeight="1" x14ac:dyDescent="0.2">
      <c r="B34" t="s">
        <v>222</v>
      </c>
      <c r="C34" s="12">
        <v>27</v>
      </c>
      <c r="D34" s="8">
        <v>2.67</v>
      </c>
      <c r="E34" s="12">
        <v>13</v>
      </c>
      <c r="F34" s="8">
        <v>2.67</v>
      </c>
      <c r="G34" s="12">
        <v>14</v>
      </c>
      <c r="H34" s="8">
        <v>2.75</v>
      </c>
      <c r="I34" s="12">
        <v>0</v>
      </c>
    </row>
    <row r="35" spans="2:9" ht="15" customHeight="1" x14ac:dyDescent="0.2">
      <c r="B35" t="s">
        <v>226</v>
      </c>
      <c r="C35" s="12">
        <v>23</v>
      </c>
      <c r="D35" s="8">
        <v>2.27</v>
      </c>
      <c r="E35" s="12">
        <v>6</v>
      </c>
      <c r="F35" s="8">
        <v>1.23</v>
      </c>
      <c r="G35" s="12">
        <v>17</v>
      </c>
      <c r="H35" s="8">
        <v>3.33</v>
      </c>
      <c r="I35" s="12">
        <v>0</v>
      </c>
    </row>
    <row r="36" spans="2:9" ht="15" customHeight="1" x14ac:dyDescent="0.2">
      <c r="B36" t="s">
        <v>232</v>
      </c>
      <c r="C36" s="12">
        <v>22</v>
      </c>
      <c r="D36" s="8">
        <v>2.1800000000000002</v>
      </c>
      <c r="E36" s="12">
        <v>1</v>
      </c>
      <c r="F36" s="8">
        <v>0.21</v>
      </c>
      <c r="G36" s="12">
        <v>16</v>
      </c>
      <c r="H36" s="8">
        <v>3.14</v>
      </c>
      <c r="I36" s="12">
        <v>0</v>
      </c>
    </row>
    <row r="37" spans="2:9" ht="15" customHeight="1" x14ac:dyDescent="0.2">
      <c r="B37" t="s">
        <v>225</v>
      </c>
      <c r="C37" s="12">
        <v>19</v>
      </c>
      <c r="D37" s="8">
        <v>1.88</v>
      </c>
      <c r="E37" s="12">
        <v>14</v>
      </c>
      <c r="F37" s="8">
        <v>2.87</v>
      </c>
      <c r="G37" s="12">
        <v>5</v>
      </c>
      <c r="H37" s="8">
        <v>0.98</v>
      </c>
      <c r="I37" s="12">
        <v>0</v>
      </c>
    </row>
    <row r="38" spans="2:9" ht="15" customHeight="1" x14ac:dyDescent="0.2">
      <c r="B38" t="s">
        <v>229</v>
      </c>
      <c r="C38" s="12">
        <v>19</v>
      </c>
      <c r="D38" s="8">
        <v>1.88</v>
      </c>
      <c r="E38" s="12">
        <v>8</v>
      </c>
      <c r="F38" s="8">
        <v>1.64</v>
      </c>
      <c r="G38" s="12">
        <v>11</v>
      </c>
      <c r="H38" s="8">
        <v>2.16</v>
      </c>
      <c r="I38" s="12">
        <v>0</v>
      </c>
    </row>
    <row r="39" spans="2:9" ht="15" customHeight="1" x14ac:dyDescent="0.2">
      <c r="B39" t="s">
        <v>219</v>
      </c>
      <c r="C39" s="12">
        <v>14</v>
      </c>
      <c r="D39" s="8">
        <v>1.38</v>
      </c>
      <c r="E39" s="12">
        <v>4</v>
      </c>
      <c r="F39" s="8">
        <v>0.82</v>
      </c>
      <c r="G39" s="12">
        <v>10</v>
      </c>
      <c r="H39" s="8">
        <v>1.96</v>
      </c>
      <c r="I39" s="12">
        <v>0</v>
      </c>
    </row>
    <row r="40" spans="2:9" ht="15" customHeight="1" x14ac:dyDescent="0.2">
      <c r="B40" t="s">
        <v>237</v>
      </c>
      <c r="C40" s="12">
        <v>14</v>
      </c>
      <c r="D40" s="8">
        <v>1.38</v>
      </c>
      <c r="E40" s="12">
        <v>4</v>
      </c>
      <c r="F40" s="8">
        <v>0.82</v>
      </c>
      <c r="G40" s="12">
        <v>10</v>
      </c>
      <c r="H40" s="8">
        <v>1.96</v>
      </c>
      <c r="I40" s="12">
        <v>0</v>
      </c>
    </row>
    <row r="41" spans="2:9" ht="15" customHeight="1" x14ac:dyDescent="0.2">
      <c r="B41" t="s">
        <v>239</v>
      </c>
      <c r="C41" s="12">
        <v>14</v>
      </c>
      <c r="D41" s="8">
        <v>1.38</v>
      </c>
      <c r="E41" s="12">
        <v>3</v>
      </c>
      <c r="F41" s="8">
        <v>0.62</v>
      </c>
      <c r="G41" s="12">
        <v>10</v>
      </c>
      <c r="H41" s="8">
        <v>1.96</v>
      </c>
      <c r="I41" s="12">
        <v>0</v>
      </c>
    </row>
    <row r="42" spans="2:9" ht="15" customHeight="1" x14ac:dyDescent="0.2">
      <c r="B42" t="s">
        <v>240</v>
      </c>
      <c r="C42" s="12">
        <v>13</v>
      </c>
      <c r="D42" s="8">
        <v>1.29</v>
      </c>
      <c r="E42" s="12">
        <v>5</v>
      </c>
      <c r="F42" s="8">
        <v>1.03</v>
      </c>
      <c r="G42" s="12">
        <v>8</v>
      </c>
      <c r="H42" s="8">
        <v>1.57</v>
      </c>
      <c r="I42" s="12">
        <v>0</v>
      </c>
    </row>
    <row r="43" spans="2:9" ht="15" customHeight="1" x14ac:dyDescent="0.2">
      <c r="B43" t="s">
        <v>218</v>
      </c>
      <c r="C43" s="12">
        <v>12</v>
      </c>
      <c r="D43" s="8">
        <v>1.19</v>
      </c>
      <c r="E43" s="12">
        <v>0</v>
      </c>
      <c r="F43" s="8">
        <v>0</v>
      </c>
      <c r="G43" s="12">
        <v>12</v>
      </c>
      <c r="H43" s="8">
        <v>2.35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71</v>
      </c>
      <c r="D47" s="8">
        <v>7.02</v>
      </c>
      <c r="E47" s="12">
        <v>59</v>
      </c>
      <c r="F47" s="8">
        <v>12.11</v>
      </c>
      <c r="G47" s="12">
        <v>12</v>
      </c>
      <c r="H47" s="8">
        <v>2.35</v>
      </c>
      <c r="I47" s="12">
        <v>0</v>
      </c>
    </row>
    <row r="48" spans="2:9" ht="15" customHeight="1" x14ac:dyDescent="0.2">
      <c r="B48" t="s">
        <v>297</v>
      </c>
      <c r="C48" s="12">
        <v>69</v>
      </c>
      <c r="D48" s="8">
        <v>6.82</v>
      </c>
      <c r="E48" s="12">
        <v>44</v>
      </c>
      <c r="F48" s="8">
        <v>9.0299999999999994</v>
      </c>
      <c r="G48" s="12">
        <v>25</v>
      </c>
      <c r="H48" s="8">
        <v>4.9000000000000004</v>
      </c>
      <c r="I48" s="12">
        <v>0</v>
      </c>
    </row>
    <row r="49" spans="2:9" ht="15" customHeight="1" x14ac:dyDescent="0.2">
      <c r="B49" t="s">
        <v>303</v>
      </c>
      <c r="C49" s="12">
        <v>61</v>
      </c>
      <c r="D49" s="8">
        <v>6.03</v>
      </c>
      <c r="E49" s="12">
        <v>57</v>
      </c>
      <c r="F49" s="8">
        <v>11.7</v>
      </c>
      <c r="G49" s="12">
        <v>4</v>
      </c>
      <c r="H49" s="8">
        <v>0.78</v>
      </c>
      <c r="I49" s="12">
        <v>0</v>
      </c>
    </row>
    <row r="50" spans="2:9" ht="15" customHeight="1" x14ac:dyDescent="0.2">
      <c r="B50" t="s">
        <v>305</v>
      </c>
      <c r="C50" s="12">
        <v>38</v>
      </c>
      <c r="D50" s="8">
        <v>3.76</v>
      </c>
      <c r="E50" s="12">
        <v>32</v>
      </c>
      <c r="F50" s="8">
        <v>6.57</v>
      </c>
      <c r="G50" s="12">
        <v>6</v>
      </c>
      <c r="H50" s="8">
        <v>1.18</v>
      </c>
      <c r="I50" s="12">
        <v>0</v>
      </c>
    </row>
    <row r="51" spans="2:9" ht="15" customHeight="1" x14ac:dyDescent="0.2">
      <c r="B51" t="s">
        <v>306</v>
      </c>
      <c r="C51" s="12">
        <v>31</v>
      </c>
      <c r="D51" s="8">
        <v>3.07</v>
      </c>
      <c r="E51" s="12">
        <v>29</v>
      </c>
      <c r="F51" s="8">
        <v>5.95</v>
      </c>
      <c r="G51" s="12">
        <v>2</v>
      </c>
      <c r="H51" s="8">
        <v>0.39</v>
      </c>
      <c r="I51" s="12">
        <v>0</v>
      </c>
    </row>
    <row r="52" spans="2:9" ht="15" customHeight="1" x14ac:dyDescent="0.2">
      <c r="B52" t="s">
        <v>301</v>
      </c>
      <c r="C52" s="12">
        <v>27</v>
      </c>
      <c r="D52" s="8">
        <v>2.67</v>
      </c>
      <c r="E52" s="12">
        <v>26</v>
      </c>
      <c r="F52" s="8">
        <v>5.34</v>
      </c>
      <c r="G52" s="12">
        <v>1</v>
      </c>
      <c r="H52" s="8">
        <v>0.2</v>
      </c>
      <c r="I52" s="12">
        <v>0</v>
      </c>
    </row>
    <row r="53" spans="2:9" ht="15" customHeight="1" x14ac:dyDescent="0.2">
      <c r="B53" t="s">
        <v>300</v>
      </c>
      <c r="C53" s="12">
        <v>21</v>
      </c>
      <c r="D53" s="8">
        <v>2.08</v>
      </c>
      <c r="E53" s="12">
        <v>17</v>
      </c>
      <c r="F53" s="8">
        <v>3.49</v>
      </c>
      <c r="G53" s="12">
        <v>4</v>
      </c>
      <c r="H53" s="8">
        <v>0.78</v>
      </c>
      <c r="I53" s="12">
        <v>0</v>
      </c>
    </row>
    <row r="54" spans="2:9" ht="15" customHeight="1" x14ac:dyDescent="0.2">
      <c r="B54" t="s">
        <v>295</v>
      </c>
      <c r="C54" s="12">
        <v>19</v>
      </c>
      <c r="D54" s="8">
        <v>1.88</v>
      </c>
      <c r="E54" s="12">
        <v>5</v>
      </c>
      <c r="F54" s="8">
        <v>1.03</v>
      </c>
      <c r="G54" s="12">
        <v>14</v>
      </c>
      <c r="H54" s="8">
        <v>2.75</v>
      </c>
      <c r="I54" s="12">
        <v>0</v>
      </c>
    </row>
    <row r="55" spans="2:9" ht="15" customHeight="1" x14ac:dyDescent="0.2">
      <c r="B55" t="s">
        <v>328</v>
      </c>
      <c r="C55" s="12">
        <v>17</v>
      </c>
      <c r="D55" s="8">
        <v>1.68</v>
      </c>
      <c r="E55" s="12">
        <v>1</v>
      </c>
      <c r="F55" s="8">
        <v>0.21</v>
      </c>
      <c r="G55" s="12">
        <v>16</v>
      </c>
      <c r="H55" s="8">
        <v>3.14</v>
      </c>
      <c r="I55" s="12">
        <v>0</v>
      </c>
    </row>
    <row r="56" spans="2:9" ht="15" customHeight="1" x14ac:dyDescent="0.2">
      <c r="B56" t="s">
        <v>294</v>
      </c>
      <c r="C56" s="12">
        <v>17</v>
      </c>
      <c r="D56" s="8">
        <v>1.68</v>
      </c>
      <c r="E56" s="12">
        <v>7</v>
      </c>
      <c r="F56" s="8">
        <v>1.44</v>
      </c>
      <c r="G56" s="12">
        <v>10</v>
      </c>
      <c r="H56" s="8">
        <v>1.96</v>
      </c>
      <c r="I56" s="12">
        <v>0</v>
      </c>
    </row>
    <row r="57" spans="2:9" ht="15" customHeight="1" x14ac:dyDescent="0.2">
      <c r="B57" t="s">
        <v>333</v>
      </c>
      <c r="C57" s="12">
        <v>16</v>
      </c>
      <c r="D57" s="8">
        <v>1.58</v>
      </c>
      <c r="E57" s="12">
        <v>9</v>
      </c>
      <c r="F57" s="8">
        <v>1.85</v>
      </c>
      <c r="G57" s="12">
        <v>7</v>
      </c>
      <c r="H57" s="8">
        <v>1.37</v>
      </c>
      <c r="I57" s="12">
        <v>0</v>
      </c>
    </row>
    <row r="58" spans="2:9" ht="15" customHeight="1" x14ac:dyDescent="0.2">
      <c r="B58" t="s">
        <v>299</v>
      </c>
      <c r="C58" s="12">
        <v>16</v>
      </c>
      <c r="D58" s="8">
        <v>1.58</v>
      </c>
      <c r="E58" s="12">
        <v>12</v>
      </c>
      <c r="F58" s="8">
        <v>2.46</v>
      </c>
      <c r="G58" s="12">
        <v>4</v>
      </c>
      <c r="H58" s="8">
        <v>0.78</v>
      </c>
      <c r="I58" s="12">
        <v>0</v>
      </c>
    </row>
    <row r="59" spans="2:9" ht="15" customHeight="1" x14ac:dyDescent="0.2">
      <c r="B59" t="s">
        <v>293</v>
      </c>
      <c r="C59" s="12">
        <v>15</v>
      </c>
      <c r="D59" s="8">
        <v>1.48</v>
      </c>
      <c r="E59" s="12">
        <v>6</v>
      </c>
      <c r="F59" s="8">
        <v>1.23</v>
      </c>
      <c r="G59" s="12">
        <v>9</v>
      </c>
      <c r="H59" s="8">
        <v>1.76</v>
      </c>
      <c r="I59" s="12">
        <v>0</v>
      </c>
    </row>
    <row r="60" spans="2:9" ht="15" customHeight="1" x14ac:dyDescent="0.2">
      <c r="B60" t="s">
        <v>302</v>
      </c>
      <c r="C60" s="12">
        <v>15</v>
      </c>
      <c r="D60" s="8">
        <v>1.48</v>
      </c>
      <c r="E60" s="12">
        <v>15</v>
      </c>
      <c r="F60" s="8">
        <v>3.08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289</v>
      </c>
      <c r="C61" s="12">
        <v>14</v>
      </c>
      <c r="D61" s="8">
        <v>1.38</v>
      </c>
      <c r="E61" s="12">
        <v>1</v>
      </c>
      <c r="F61" s="8">
        <v>0.21</v>
      </c>
      <c r="G61" s="12">
        <v>13</v>
      </c>
      <c r="H61" s="8">
        <v>2.5499999999999998</v>
      </c>
      <c r="I61" s="12">
        <v>0</v>
      </c>
    </row>
    <row r="62" spans="2:9" ht="15" customHeight="1" x14ac:dyDescent="0.2">
      <c r="B62" t="s">
        <v>319</v>
      </c>
      <c r="C62" s="12">
        <v>14</v>
      </c>
      <c r="D62" s="8">
        <v>1.38</v>
      </c>
      <c r="E62" s="12">
        <v>2</v>
      </c>
      <c r="F62" s="8">
        <v>0.41</v>
      </c>
      <c r="G62" s="12">
        <v>12</v>
      </c>
      <c r="H62" s="8">
        <v>2.35</v>
      </c>
      <c r="I62" s="12">
        <v>0</v>
      </c>
    </row>
    <row r="63" spans="2:9" ht="15" customHeight="1" x14ac:dyDescent="0.2">
      <c r="B63" t="s">
        <v>323</v>
      </c>
      <c r="C63" s="12">
        <v>14</v>
      </c>
      <c r="D63" s="8">
        <v>1.38</v>
      </c>
      <c r="E63" s="12">
        <v>6</v>
      </c>
      <c r="F63" s="8">
        <v>1.23</v>
      </c>
      <c r="G63" s="12">
        <v>8</v>
      </c>
      <c r="H63" s="8">
        <v>1.57</v>
      </c>
      <c r="I63" s="12">
        <v>0</v>
      </c>
    </row>
    <row r="64" spans="2:9" ht="15" customHeight="1" x14ac:dyDescent="0.2">
      <c r="B64" t="s">
        <v>327</v>
      </c>
      <c r="C64" s="12">
        <v>14</v>
      </c>
      <c r="D64" s="8">
        <v>1.38</v>
      </c>
      <c r="E64" s="12">
        <v>7</v>
      </c>
      <c r="F64" s="8">
        <v>1.44</v>
      </c>
      <c r="G64" s="12">
        <v>7</v>
      </c>
      <c r="H64" s="8">
        <v>1.37</v>
      </c>
      <c r="I64" s="12">
        <v>0</v>
      </c>
    </row>
    <row r="65" spans="2:9" ht="15" customHeight="1" x14ac:dyDescent="0.2">
      <c r="B65" t="s">
        <v>298</v>
      </c>
      <c r="C65" s="12">
        <v>13</v>
      </c>
      <c r="D65" s="8">
        <v>1.29</v>
      </c>
      <c r="E65" s="12">
        <v>2</v>
      </c>
      <c r="F65" s="8">
        <v>0.41</v>
      </c>
      <c r="G65" s="12">
        <v>11</v>
      </c>
      <c r="H65" s="8">
        <v>2.16</v>
      </c>
      <c r="I65" s="12">
        <v>0</v>
      </c>
    </row>
    <row r="66" spans="2:9" ht="15" customHeight="1" x14ac:dyDescent="0.2">
      <c r="B66" t="s">
        <v>325</v>
      </c>
      <c r="C66" s="12">
        <v>13</v>
      </c>
      <c r="D66" s="8">
        <v>1.29</v>
      </c>
      <c r="E66" s="12">
        <v>2</v>
      </c>
      <c r="F66" s="8">
        <v>0.41</v>
      </c>
      <c r="G66" s="12">
        <v>10</v>
      </c>
      <c r="H66" s="8">
        <v>1.96</v>
      </c>
      <c r="I66" s="12">
        <v>0</v>
      </c>
    </row>
    <row r="67" spans="2:9" ht="15" customHeight="1" x14ac:dyDescent="0.2">
      <c r="B67" t="s">
        <v>307</v>
      </c>
      <c r="C67" s="12">
        <v>13</v>
      </c>
      <c r="D67" s="8">
        <v>1.29</v>
      </c>
      <c r="E67" s="12">
        <v>5</v>
      </c>
      <c r="F67" s="8">
        <v>1.03</v>
      </c>
      <c r="G67" s="12">
        <v>8</v>
      </c>
      <c r="H67" s="8">
        <v>1.57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2742D-CBFC-4DB3-AA9F-6ADAA4C3C47E}">
  <sheetPr>
    <pageSetUpPr fitToPage="1"/>
  </sheetPr>
  <dimension ref="B2:I7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81</v>
      </c>
      <c r="D6" s="8">
        <v>10.52</v>
      </c>
      <c r="E6" s="12">
        <v>19</v>
      </c>
      <c r="F6" s="8">
        <v>4.33</v>
      </c>
      <c r="G6" s="12">
        <v>62</v>
      </c>
      <c r="H6" s="8">
        <v>19.38</v>
      </c>
      <c r="I6" s="12">
        <v>0</v>
      </c>
    </row>
    <row r="7" spans="2:9" ht="15" customHeight="1" x14ac:dyDescent="0.2">
      <c r="B7" t="s">
        <v>192</v>
      </c>
      <c r="C7" s="12">
        <v>33</v>
      </c>
      <c r="D7" s="8">
        <v>4.29</v>
      </c>
      <c r="E7" s="12">
        <v>12</v>
      </c>
      <c r="F7" s="8">
        <v>2.73</v>
      </c>
      <c r="G7" s="12">
        <v>21</v>
      </c>
      <c r="H7" s="8">
        <v>6.56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0.26</v>
      </c>
      <c r="E8" s="12">
        <v>0</v>
      </c>
      <c r="F8" s="8">
        <v>0</v>
      </c>
      <c r="G8" s="12">
        <v>1</v>
      </c>
      <c r="H8" s="8">
        <v>0.31</v>
      </c>
      <c r="I8" s="12">
        <v>0</v>
      </c>
    </row>
    <row r="9" spans="2:9" ht="15" customHeight="1" x14ac:dyDescent="0.2">
      <c r="B9" t="s">
        <v>194</v>
      </c>
      <c r="C9" s="12">
        <v>5</v>
      </c>
      <c r="D9" s="8">
        <v>0.65</v>
      </c>
      <c r="E9" s="12">
        <v>1</v>
      </c>
      <c r="F9" s="8">
        <v>0.23</v>
      </c>
      <c r="G9" s="12">
        <v>4</v>
      </c>
      <c r="H9" s="8">
        <v>1.25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0.65</v>
      </c>
      <c r="E10" s="12">
        <v>2</v>
      </c>
      <c r="F10" s="8">
        <v>0.46</v>
      </c>
      <c r="G10" s="12">
        <v>2</v>
      </c>
      <c r="H10" s="8">
        <v>0.63</v>
      </c>
      <c r="I10" s="12">
        <v>1</v>
      </c>
    </row>
    <row r="11" spans="2:9" ht="15" customHeight="1" x14ac:dyDescent="0.2">
      <c r="B11" t="s">
        <v>196</v>
      </c>
      <c r="C11" s="12">
        <v>163</v>
      </c>
      <c r="D11" s="8">
        <v>21.17</v>
      </c>
      <c r="E11" s="12">
        <v>78</v>
      </c>
      <c r="F11" s="8">
        <v>17.77</v>
      </c>
      <c r="G11" s="12">
        <v>84</v>
      </c>
      <c r="H11" s="8">
        <v>26.25</v>
      </c>
      <c r="I11" s="12">
        <v>1</v>
      </c>
    </row>
    <row r="12" spans="2:9" ht="15" customHeight="1" x14ac:dyDescent="0.2">
      <c r="B12" t="s">
        <v>197</v>
      </c>
      <c r="C12" s="12">
        <v>9</v>
      </c>
      <c r="D12" s="8">
        <v>1.17</v>
      </c>
      <c r="E12" s="12">
        <v>3</v>
      </c>
      <c r="F12" s="8">
        <v>0.68</v>
      </c>
      <c r="G12" s="12">
        <v>6</v>
      </c>
      <c r="H12" s="8">
        <v>1.88</v>
      </c>
      <c r="I12" s="12">
        <v>0</v>
      </c>
    </row>
    <row r="13" spans="2:9" ht="15" customHeight="1" x14ac:dyDescent="0.2">
      <c r="B13" t="s">
        <v>198</v>
      </c>
      <c r="C13" s="12">
        <v>102</v>
      </c>
      <c r="D13" s="8">
        <v>13.25</v>
      </c>
      <c r="E13" s="12">
        <v>61</v>
      </c>
      <c r="F13" s="8">
        <v>13.9</v>
      </c>
      <c r="G13" s="12">
        <v>41</v>
      </c>
      <c r="H13" s="8">
        <v>12.81</v>
      </c>
      <c r="I13" s="12">
        <v>0</v>
      </c>
    </row>
    <row r="14" spans="2:9" ht="15" customHeight="1" x14ac:dyDescent="0.2">
      <c r="B14" t="s">
        <v>199</v>
      </c>
      <c r="C14" s="12">
        <v>28</v>
      </c>
      <c r="D14" s="8">
        <v>3.64</v>
      </c>
      <c r="E14" s="12">
        <v>16</v>
      </c>
      <c r="F14" s="8">
        <v>3.64</v>
      </c>
      <c r="G14" s="12">
        <v>12</v>
      </c>
      <c r="H14" s="8">
        <v>3.75</v>
      </c>
      <c r="I14" s="12">
        <v>0</v>
      </c>
    </row>
    <row r="15" spans="2:9" ht="15" customHeight="1" x14ac:dyDescent="0.2">
      <c r="B15" t="s">
        <v>200</v>
      </c>
      <c r="C15" s="12">
        <v>129</v>
      </c>
      <c r="D15" s="8">
        <v>16.75</v>
      </c>
      <c r="E15" s="12">
        <v>99</v>
      </c>
      <c r="F15" s="8">
        <v>22.55</v>
      </c>
      <c r="G15" s="12">
        <v>30</v>
      </c>
      <c r="H15" s="8">
        <v>9.3800000000000008</v>
      </c>
      <c r="I15" s="12">
        <v>0</v>
      </c>
    </row>
    <row r="16" spans="2:9" ht="15" customHeight="1" x14ac:dyDescent="0.2">
      <c r="B16" t="s">
        <v>201</v>
      </c>
      <c r="C16" s="12">
        <v>108</v>
      </c>
      <c r="D16" s="8">
        <v>14.03</v>
      </c>
      <c r="E16" s="12">
        <v>92</v>
      </c>
      <c r="F16" s="8">
        <v>20.96</v>
      </c>
      <c r="G16" s="12">
        <v>16</v>
      </c>
      <c r="H16" s="8">
        <v>5</v>
      </c>
      <c r="I16" s="12">
        <v>0</v>
      </c>
    </row>
    <row r="17" spans="2:9" ht="15" customHeight="1" x14ac:dyDescent="0.2">
      <c r="B17" t="s">
        <v>202</v>
      </c>
      <c r="C17" s="12">
        <v>21</v>
      </c>
      <c r="D17" s="8">
        <v>2.73</v>
      </c>
      <c r="E17" s="12">
        <v>14</v>
      </c>
      <c r="F17" s="8">
        <v>3.19</v>
      </c>
      <c r="G17" s="12">
        <v>7</v>
      </c>
      <c r="H17" s="8">
        <v>2.19</v>
      </c>
      <c r="I17" s="12">
        <v>0</v>
      </c>
    </row>
    <row r="18" spans="2:9" ht="15" customHeight="1" x14ac:dyDescent="0.2">
      <c r="B18" t="s">
        <v>203</v>
      </c>
      <c r="C18" s="12">
        <v>58</v>
      </c>
      <c r="D18" s="8">
        <v>7.53</v>
      </c>
      <c r="E18" s="12">
        <v>31</v>
      </c>
      <c r="F18" s="8">
        <v>7.06</v>
      </c>
      <c r="G18" s="12">
        <v>21</v>
      </c>
      <c r="H18" s="8">
        <v>6.56</v>
      </c>
      <c r="I18" s="12">
        <v>0</v>
      </c>
    </row>
    <row r="19" spans="2:9" ht="15" customHeight="1" x14ac:dyDescent="0.2">
      <c r="B19" t="s">
        <v>204</v>
      </c>
      <c r="C19" s="12">
        <v>26</v>
      </c>
      <c r="D19" s="8">
        <v>3.38</v>
      </c>
      <c r="E19" s="12">
        <v>11</v>
      </c>
      <c r="F19" s="8">
        <v>2.5099999999999998</v>
      </c>
      <c r="G19" s="12">
        <v>13</v>
      </c>
      <c r="H19" s="8">
        <v>4.0599999999999996</v>
      </c>
      <c r="I19" s="12">
        <v>0</v>
      </c>
    </row>
    <row r="20" spans="2:9" ht="15" customHeight="1" x14ac:dyDescent="0.2">
      <c r="B20" s="9" t="s">
        <v>529</v>
      </c>
      <c r="C20" s="12">
        <f>SUM(LTBL_01233[総数／事業所数])</f>
        <v>770</v>
      </c>
      <c r="E20" s="12">
        <f>SUBTOTAL(109,LTBL_01233[個人／事業所数])</f>
        <v>439</v>
      </c>
      <c r="G20" s="12">
        <f>SUBTOTAL(109,LTBL_01233[法人／事業所数])</f>
        <v>320</v>
      </c>
      <c r="I20" s="12">
        <f>SUBTOTAL(109,LTBL_01233[法人以外の団体／事業所数])</f>
        <v>2</v>
      </c>
    </row>
    <row r="21" spans="2:9" ht="15" customHeight="1" x14ac:dyDescent="0.2">
      <c r="E21" s="11">
        <f>LTBL_01233[[#Totals],[個人／事業所数]]/LTBL_01233[[#Totals],[総数／事業所数]]</f>
        <v>0.57012987012987015</v>
      </c>
      <c r="G21" s="11">
        <f>LTBL_01233[[#Totals],[法人／事業所数]]/LTBL_01233[[#Totals],[総数／事業所数]]</f>
        <v>0.41558441558441561</v>
      </c>
      <c r="I21" s="11">
        <f>LTBL_01233[[#Totals],[法人以外の団体／事業所数]]/LTBL_01233[[#Totals],[総数／事業所数]]</f>
        <v>2.5974025974025974E-3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103</v>
      </c>
      <c r="D24" s="8">
        <v>13.38</v>
      </c>
      <c r="E24" s="12">
        <v>87</v>
      </c>
      <c r="F24" s="8">
        <v>19.82</v>
      </c>
      <c r="G24" s="12">
        <v>16</v>
      </c>
      <c r="H24" s="8">
        <v>5</v>
      </c>
      <c r="I24" s="12">
        <v>0</v>
      </c>
    </row>
    <row r="25" spans="2:9" ht="15" customHeight="1" x14ac:dyDescent="0.2">
      <c r="B25" t="s">
        <v>228</v>
      </c>
      <c r="C25" s="12">
        <v>94</v>
      </c>
      <c r="D25" s="8">
        <v>12.21</v>
      </c>
      <c r="E25" s="12">
        <v>85</v>
      </c>
      <c r="F25" s="8">
        <v>19.36</v>
      </c>
      <c r="G25" s="12">
        <v>9</v>
      </c>
      <c r="H25" s="8">
        <v>2.81</v>
      </c>
      <c r="I25" s="12">
        <v>0</v>
      </c>
    </row>
    <row r="26" spans="2:9" ht="15" customHeight="1" x14ac:dyDescent="0.2">
      <c r="B26" t="s">
        <v>224</v>
      </c>
      <c r="C26" s="12">
        <v>92</v>
      </c>
      <c r="D26" s="8">
        <v>11.95</v>
      </c>
      <c r="E26" s="12">
        <v>58</v>
      </c>
      <c r="F26" s="8">
        <v>13.21</v>
      </c>
      <c r="G26" s="12">
        <v>34</v>
      </c>
      <c r="H26" s="8">
        <v>10.63</v>
      </c>
      <c r="I26" s="12">
        <v>0</v>
      </c>
    </row>
    <row r="27" spans="2:9" ht="15" customHeight="1" x14ac:dyDescent="0.2">
      <c r="B27" t="s">
        <v>223</v>
      </c>
      <c r="C27" s="12">
        <v>64</v>
      </c>
      <c r="D27" s="8">
        <v>8.31</v>
      </c>
      <c r="E27" s="12">
        <v>29</v>
      </c>
      <c r="F27" s="8">
        <v>6.61</v>
      </c>
      <c r="G27" s="12">
        <v>35</v>
      </c>
      <c r="H27" s="8">
        <v>10.94</v>
      </c>
      <c r="I27" s="12">
        <v>0</v>
      </c>
    </row>
    <row r="28" spans="2:9" ht="15" customHeight="1" x14ac:dyDescent="0.2">
      <c r="B28" t="s">
        <v>213</v>
      </c>
      <c r="C28" s="12">
        <v>39</v>
      </c>
      <c r="D28" s="8">
        <v>5.0599999999999996</v>
      </c>
      <c r="E28" s="12">
        <v>8</v>
      </c>
      <c r="F28" s="8">
        <v>1.82</v>
      </c>
      <c r="G28" s="12">
        <v>31</v>
      </c>
      <c r="H28" s="8">
        <v>9.69</v>
      </c>
      <c r="I28" s="12">
        <v>0</v>
      </c>
    </row>
    <row r="29" spans="2:9" ht="15" customHeight="1" x14ac:dyDescent="0.2">
      <c r="B29" t="s">
        <v>231</v>
      </c>
      <c r="C29" s="12">
        <v>32</v>
      </c>
      <c r="D29" s="8">
        <v>4.16</v>
      </c>
      <c r="E29" s="12">
        <v>30</v>
      </c>
      <c r="F29" s="8">
        <v>6.83</v>
      </c>
      <c r="G29" s="12">
        <v>2</v>
      </c>
      <c r="H29" s="8">
        <v>0.63</v>
      </c>
      <c r="I29" s="12">
        <v>0</v>
      </c>
    </row>
    <row r="30" spans="2:9" ht="15" customHeight="1" x14ac:dyDescent="0.2">
      <c r="B30" t="s">
        <v>214</v>
      </c>
      <c r="C30" s="12">
        <v>30</v>
      </c>
      <c r="D30" s="8">
        <v>3.9</v>
      </c>
      <c r="E30" s="12">
        <v>8</v>
      </c>
      <c r="F30" s="8">
        <v>1.82</v>
      </c>
      <c r="G30" s="12">
        <v>22</v>
      </c>
      <c r="H30" s="8">
        <v>6.88</v>
      </c>
      <c r="I30" s="12">
        <v>0</v>
      </c>
    </row>
    <row r="31" spans="2:9" ht="15" customHeight="1" x14ac:dyDescent="0.2">
      <c r="B31" t="s">
        <v>221</v>
      </c>
      <c r="C31" s="12">
        <v>29</v>
      </c>
      <c r="D31" s="8">
        <v>3.77</v>
      </c>
      <c r="E31" s="12">
        <v>17</v>
      </c>
      <c r="F31" s="8">
        <v>3.87</v>
      </c>
      <c r="G31" s="12">
        <v>12</v>
      </c>
      <c r="H31" s="8">
        <v>3.75</v>
      </c>
      <c r="I31" s="12">
        <v>0</v>
      </c>
    </row>
    <row r="32" spans="2:9" ht="15" customHeight="1" x14ac:dyDescent="0.2">
      <c r="B32" t="s">
        <v>222</v>
      </c>
      <c r="C32" s="12">
        <v>27</v>
      </c>
      <c r="D32" s="8">
        <v>3.51</v>
      </c>
      <c r="E32" s="12">
        <v>15</v>
      </c>
      <c r="F32" s="8">
        <v>3.42</v>
      </c>
      <c r="G32" s="12">
        <v>12</v>
      </c>
      <c r="H32" s="8">
        <v>3.75</v>
      </c>
      <c r="I32" s="12">
        <v>0</v>
      </c>
    </row>
    <row r="33" spans="2:9" ht="15" customHeight="1" x14ac:dyDescent="0.2">
      <c r="B33" t="s">
        <v>232</v>
      </c>
      <c r="C33" s="12">
        <v>26</v>
      </c>
      <c r="D33" s="8">
        <v>3.38</v>
      </c>
      <c r="E33" s="12">
        <v>1</v>
      </c>
      <c r="F33" s="8">
        <v>0.23</v>
      </c>
      <c r="G33" s="12">
        <v>19</v>
      </c>
      <c r="H33" s="8">
        <v>5.94</v>
      </c>
      <c r="I33" s="12">
        <v>0</v>
      </c>
    </row>
    <row r="34" spans="2:9" ht="15" customHeight="1" x14ac:dyDescent="0.2">
      <c r="B34" t="s">
        <v>230</v>
      </c>
      <c r="C34" s="12">
        <v>21</v>
      </c>
      <c r="D34" s="8">
        <v>2.73</v>
      </c>
      <c r="E34" s="12">
        <v>14</v>
      </c>
      <c r="F34" s="8">
        <v>3.19</v>
      </c>
      <c r="G34" s="12">
        <v>7</v>
      </c>
      <c r="H34" s="8">
        <v>2.19</v>
      </c>
      <c r="I34" s="12">
        <v>0</v>
      </c>
    </row>
    <row r="35" spans="2:9" ht="15" customHeight="1" x14ac:dyDescent="0.2">
      <c r="B35" t="s">
        <v>226</v>
      </c>
      <c r="C35" s="12">
        <v>17</v>
      </c>
      <c r="D35" s="8">
        <v>2.21</v>
      </c>
      <c r="E35" s="12">
        <v>5</v>
      </c>
      <c r="F35" s="8">
        <v>1.1399999999999999</v>
      </c>
      <c r="G35" s="12">
        <v>12</v>
      </c>
      <c r="H35" s="8">
        <v>3.75</v>
      </c>
      <c r="I35" s="12">
        <v>0</v>
      </c>
    </row>
    <row r="36" spans="2:9" ht="15" customHeight="1" x14ac:dyDescent="0.2">
      <c r="B36" t="s">
        <v>239</v>
      </c>
      <c r="C36" s="12">
        <v>17</v>
      </c>
      <c r="D36" s="8">
        <v>2.21</v>
      </c>
      <c r="E36" s="12">
        <v>5</v>
      </c>
      <c r="F36" s="8">
        <v>1.1399999999999999</v>
      </c>
      <c r="G36" s="12">
        <v>12</v>
      </c>
      <c r="H36" s="8">
        <v>3.75</v>
      </c>
      <c r="I36" s="12">
        <v>0</v>
      </c>
    </row>
    <row r="37" spans="2:9" ht="15" customHeight="1" x14ac:dyDescent="0.2">
      <c r="B37" t="s">
        <v>215</v>
      </c>
      <c r="C37" s="12">
        <v>12</v>
      </c>
      <c r="D37" s="8">
        <v>1.56</v>
      </c>
      <c r="E37" s="12">
        <v>3</v>
      </c>
      <c r="F37" s="8">
        <v>0.68</v>
      </c>
      <c r="G37" s="12">
        <v>9</v>
      </c>
      <c r="H37" s="8">
        <v>2.81</v>
      </c>
      <c r="I37" s="12">
        <v>0</v>
      </c>
    </row>
    <row r="38" spans="2:9" ht="15" customHeight="1" x14ac:dyDescent="0.2">
      <c r="B38" t="s">
        <v>217</v>
      </c>
      <c r="C38" s="12">
        <v>12</v>
      </c>
      <c r="D38" s="8">
        <v>1.56</v>
      </c>
      <c r="E38" s="12">
        <v>2</v>
      </c>
      <c r="F38" s="8">
        <v>0.46</v>
      </c>
      <c r="G38" s="12">
        <v>10</v>
      </c>
      <c r="H38" s="8">
        <v>3.13</v>
      </c>
      <c r="I38" s="12">
        <v>0</v>
      </c>
    </row>
    <row r="39" spans="2:9" ht="15" customHeight="1" x14ac:dyDescent="0.2">
      <c r="B39" t="s">
        <v>225</v>
      </c>
      <c r="C39" s="12">
        <v>11</v>
      </c>
      <c r="D39" s="8">
        <v>1.43</v>
      </c>
      <c r="E39" s="12">
        <v>11</v>
      </c>
      <c r="F39" s="8">
        <v>2.5099999999999998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240</v>
      </c>
      <c r="C40" s="12">
        <v>11</v>
      </c>
      <c r="D40" s="8">
        <v>1.43</v>
      </c>
      <c r="E40" s="12">
        <v>7</v>
      </c>
      <c r="F40" s="8">
        <v>1.59</v>
      </c>
      <c r="G40" s="12">
        <v>4</v>
      </c>
      <c r="H40" s="8">
        <v>1.25</v>
      </c>
      <c r="I40" s="12">
        <v>0</v>
      </c>
    </row>
    <row r="41" spans="2:9" ht="15" customHeight="1" x14ac:dyDescent="0.2">
      <c r="B41" t="s">
        <v>220</v>
      </c>
      <c r="C41" s="12">
        <v>10</v>
      </c>
      <c r="D41" s="8">
        <v>1.3</v>
      </c>
      <c r="E41" s="12">
        <v>5</v>
      </c>
      <c r="F41" s="8">
        <v>1.1399999999999999</v>
      </c>
      <c r="G41" s="12">
        <v>5</v>
      </c>
      <c r="H41" s="8">
        <v>1.56</v>
      </c>
      <c r="I41" s="12">
        <v>0</v>
      </c>
    </row>
    <row r="42" spans="2:9" ht="15" customHeight="1" x14ac:dyDescent="0.2">
      <c r="B42" t="s">
        <v>258</v>
      </c>
      <c r="C42" s="12">
        <v>9</v>
      </c>
      <c r="D42" s="8">
        <v>1.17</v>
      </c>
      <c r="E42" s="12">
        <v>5</v>
      </c>
      <c r="F42" s="8">
        <v>1.1399999999999999</v>
      </c>
      <c r="G42" s="12">
        <v>4</v>
      </c>
      <c r="H42" s="8">
        <v>1.25</v>
      </c>
      <c r="I42" s="12">
        <v>0</v>
      </c>
    </row>
    <row r="43" spans="2:9" ht="15" customHeight="1" x14ac:dyDescent="0.2">
      <c r="B43" t="s">
        <v>216</v>
      </c>
      <c r="C43" s="12">
        <v>9</v>
      </c>
      <c r="D43" s="8">
        <v>1.17</v>
      </c>
      <c r="E43" s="12">
        <v>6</v>
      </c>
      <c r="F43" s="8">
        <v>1.37</v>
      </c>
      <c r="G43" s="12">
        <v>3</v>
      </c>
      <c r="H43" s="8">
        <v>0.94</v>
      </c>
      <c r="I43" s="12">
        <v>0</v>
      </c>
    </row>
    <row r="44" spans="2:9" ht="15" customHeight="1" x14ac:dyDescent="0.2">
      <c r="B44" t="s">
        <v>237</v>
      </c>
      <c r="C44" s="12">
        <v>9</v>
      </c>
      <c r="D44" s="8">
        <v>1.17</v>
      </c>
      <c r="E44" s="12">
        <v>3</v>
      </c>
      <c r="F44" s="8">
        <v>0.68</v>
      </c>
      <c r="G44" s="12">
        <v>6</v>
      </c>
      <c r="H44" s="8">
        <v>1.88</v>
      </c>
      <c r="I44" s="12">
        <v>0</v>
      </c>
    </row>
    <row r="45" spans="2:9" ht="15" customHeight="1" x14ac:dyDescent="0.2">
      <c r="B45" t="s">
        <v>243</v>
      </c>
      <c r="C45" s="12">
        <v>9</v>
      </c>
      <c r="D45" s="8">
        <v>1.17</v>
      </c>
      <c r="E45" s="12">
        <v>7</v>
      </c>
      <c r="F45" s="8">
        <v>1.59</v>
      </c>
      <c r="G45" s="12">
        <v>2</v>
      </c>
      <c r="H45" s="8">
        <v>0.63</v>
      </c>
      <c r="I45" s="12">
        <v>0</v>
      </c>
    </row>
    <row r="46" spans="2:9" ht="15" customHeight="1" x14ac:dyDescent="0.2">
      <c r="B46" t="s">
        <v>229</v>
      </c>
      <c r="C46" s="12">
        <v>9</v>
      </c>
      <c r="D46" s="8">
        <v>1.17</v>
      </c>
      <c r="E46" s="12">
        <v>4</v>
      </c>
      <c r="F46" s="8">
        <v>0.91</v>
      </c>
      <c r="G46" s="12">
        <v>5</v>
      </c>
      <c r="H46" s="8">
        <v>1.56</v>
      </c>
      <c r="I46" s="12">
        <v>0</v>
      </c>
    </row>
    <row r="47" spans="2:9" ht="15" customHeight="1" x14ac:dyDescent="0.2">
      <c r="B47" t="s">
        <v>234</v>
      </c>
      <c r="C47" s="12">
        <v>9</v>
      </c>
      <c r="D47" s="8">
        <v>1.17</v>
      </c>
      <c r="E47" s="12">
        <v>3</v>
      </c>
      <c r="F47" s="8">
        <v>0.68</v>
      </c>
      <c r="G47" s="12">
        <v>6</v>
      </c>
      <c r="H47" s="8">
        <v>1.88</v>
      </c>
      <c r="I47" s="12">
        <v>0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297</v>
      </c>
      <c r="C51" s="12">
        <v>72</v>
      </c>
      <c r="D51" s="8">
        <v>9.35</v>
      </c>
      <c r="E51" s="12">
        <v>55</v>
      </c>
      <c r="F51" s="8">
        <v>12.53</v>
      </c>
      <c r="G51" s="12">
        <v>17</v>
      </c>
      <c r="H51" s="8">
        <v>5.31</v>
      </c>
      <c r="I51" s="12">
        <v>0</v>
      </c>
    </row>
    <row r="52" spans="2:9" ht="15" customHeight="1" x14ac:dyDescent="0.2">
      <c r="B52" t="s">
        <v>304</v>
      </c>
      <c r="C52" s="12">
        <v>51</v>
      </c>
      <c r="D52" s="8">
        <v>6.62</v>
      </c>
      <c r="E52" s="12">
        <v>46</v>
      </c>
      <c r="F52" s="8">
        <v>10.48</v>
      </c>
      <c r="G52" s="12">
        <v>5</v>
      </c>
      <c r="H52" s="8">
        <v>1.56</v>
      </c>
      <c r="I52" s="12">
        <v>0</v>
      </c>
    </row>
    <row r="53" spans="2:9" ht="15" customHeight="1" x14ac:dyDescent="0.2">
      <c r="B53" t="s">
        <v>303</v>
      </c>
      <c r="C53" s="12">
        <v>34</v>
      </c>
      <c r="D53" s="8">
        <v>4.42</v>
      </c>
      <c r="E53" s="12">
        <v>34</v>
      </c>
      <c r="F53" s="8">
        <v>7.74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301</v>
      </c>
      <c r="C54" s="12">
        <v>31</v>
      </c>
      <c r="D54" s="8">
        <v>4.03</v>
      </c>
      <c r="E54" s="12">
        <v>29</v>
      </c>
      <c r="F54" s="8">
        <v>6.61</v>
      </c>
      <c r="G54" s="12">
        <v>2</v>
      </c>
      <c r="H54" s="8">
        <v>0.63</v>
      </c>
      <c r="I54" s="12">
        <v>0</v>
      </c>
    </row>
    <row r="55" spans="2:9" ht="15" customHeight="1" x14ac:dyDescent="0.2">
      <c r="B55" t="s">
        <v>299</v>
      </c>
      <c r="C55" s="12">
        <v>30</v>
      </c>
      <c r="D55" s="8">
        <v>3.9</v>
      </c>
      <c r="E55" s="12">
        <v>22</v>
      </c>
      <c r="F55" s="8">
        <v>5.01</v>
      </c>
      <c r="G55" s="12">
        <v>8</v>
      </c>
      <c r="H55" s="8">
        <v>2.5</v>
      </c>
      <c r="I55" s="12">
        <v>0</v>
      </c>
    </row>
    <row r="56" spans="2:9" ht="15" customHeight="1" x14ac:dyDescent="0.2">
      <c r="B56" t="s">
        <v>295</v>
      </c>
      <c r="C56" s="12">
        <v>19</v>
      </c>
      <c r="D56" s="8">
        <v>2.4700000000000002</v>
      </c>
      <c r="E56" s="12">
        <v>12</v>
      </c>
      <c r="F56" s="8">
        <v>2.73</v>
      </c>
      <c r="G56" s="12">
        <v>7</v>
      </c>
      <c r="H56" s="8">
        <v>2.19</v>
      </c>
      <c r="I56" s="12">
        <v>0</v>
      </c>
    </row>
    <row r="57" spans="2:9" ht="15" customHeight="1" x14ac:dyDescent="0.2">
      <c r="B57" t="s">
        <v>306</v>
      </c>
      <c r="C57" s="12">
        <v>19</v>
      </c>
      <c r="D57" s="8">
        <v>2.4700000000000002</v>
      </c>
      <c r="E57" s="12">
        <v>17</v>
      </c>
      <c r="F57" s="8">
        <v>3.87</v>
      </c>
      <c r="G57" s="12">
        <v>2</v>
      </c>
      <c r="H57" s="8">
        <v>0.63</v>
      </c>
      <c r="I57" s="12">
        <v>0</v>
      </c>
    </row>
    <row r="58" spans="2:9" ht="15" customHeight="1" x14ac:dyDescent="0.2">
      <c r="B58" t="s">
        <v>300</v>
      </c>
      <c r="C58" s="12">
        <v>17</v>
      </c>
      <c r="D58" s="8">
        <v>2.21</v>
      </c>
      <c r="E58" s="12">
        <v>13</v>
      </c>
      <c r="F58" s="8">
        <v>2.96</v>
      </c>
      <c r="G58" s="12">
        <v>4</v>
      </c>
      <c r="H58" s="8">
        <v>1.25</v>
      </c>
      <c r="I58" s="12">
        <v>0</v>
      </c>
    </row>
    <row r="59" spans="2:9" ht="15" customHeight="1" x14ac:dyDescent="0.2">
      <c r="B59" t="s">
        <v>293</v>
      </c>
      <c r="C59" s="12">
        <v>16</v>
      </c>
      <c r="D59" s="8">
        <v>2.08</v>
      </c>
      <c r="E59" s="12">
        <v>6</v>
      </c>
      <c r="F59" s="8">
        <v>1.37</v>
      </c>
      <c r="G59" s="12">
        <v>10</v>
      </c>
      <c r="H59" s="8">
        <v>3.13</v>
      </c>
      <c r="I59" s="12">
        <v>0</v>
      </c>
    </row>
    <row r="60" spans="2:9" ht="15" customHeight="1" x14ac:dyDescent="0.2">
      <c r="B60" t="s">
        <v>294</v>
      </c>
      <c r="C60" s="12">
        <v>15</v>
      </c>
      <c r="D60" s="8">
        <v>1.95</v>
      </c>
      <c r="E60" s="12">
        <v>8</v>
      </c>
      <c r="F60" s="8">
        <v>1.82</v>
      </c>
      <c r="G60" s="12">
        <v>7</v>
      </c>
      <c r="H60" s="8">
        <v>2.19</v>
      </c>
      <c r="I60" s="12">
        <v>0</v>
      </c>
    </row>
    <row r="61" spans="2:9" ht="15" customHeight="1" x14ac:dyDescent="0.2">
      <c r="B61" t="s">
        <v>305</v>
      </c>
      <c r="C61" s="12">
        <v>14</v>
      </c>
      <c r="D61" s="8">
        <v>1.82</v>
      </c>
      <c r="E61" s="12">
        <v>10</v>
      </c>
      <c r="F61" s="8">
        <v>2.2799999999999998</v>
      </c>
      <c r="G61" s="12">
        <v>4</v>
      </c>
      <c r="H61" s="8">
        <v>1.25</v>
      </c>
      <c r="I61" s="12">
        <v>0</v>
      </c>
    </row>
    <row r="62" spans="2:9" ht="15" customHeight="1" x14ac:dyDescent="0.2">
      <c r="B62" t="s">
        <v>329</v>
      </c>
      <c r="C62" s="12">
        <v>13</v>
      </c>
      <c r="D62" s="8">
        <v>1.69</v>
      </c>
      <c r="E62" s="12">
        <v>9</v>
      </c>
      <c r="F62" s="8">
        <v>2.0499999999999998</v>
      </c>
      <c r="G62" s="12">
        <v>4</v>
      </c>
      <c r="H62" s="8">
        <v>1.25</v>
      </c>
      <c r="I62" s="12">
        <v>0</v>
      </c>
    </row>
    <row r="63" spans="2:9" ht="15" customHeight="1" x14ac:dyDescent="0.2">
      <c r="B63" t="s">
        <v>296</v>
      </c>
      <c r="C63" s="12">
        <v>12</v>
      </c>
      <c r="D63" s="8">
        <v>1.56</v>
      </c>
      <c r="E63" s="12">
        <v>3</v>
      </c>
      <c r="F63" s="8">
        <v>0.68</v>
      </c>
      <c r="G63" s="12">
        <v>9</v>
      </c>
      <c r="H63" s="8">
        <v>2.81</v>
      </c>
      <c r="I63" s="12">
        <v>0</v>
      </c>
    </row>
    <row r="64" spans="2:9" ht="15" customHeight="1" x14ac:dyDescent="0.2">
      <c r="B64" t="s">
        <v>347</v>
      </c>
      <c r="C64" s="12">
        <v>12</v>
      </c>
      <c r="D64" s="8">
        <v>1.56</v>
      </c>
      <c r="E64" s="12">
        <v>0</v>
      </c>
      <c r="F64" s="8">
        <v>0</v>
      </c>
      <c r="G64" s="12">
        <v>12</v>
      </c>
      <c r="H64" s="8">
        <v>3.75</v>
      </c>
      <c r="I64" s="12">
        <v>0</v>
      </c>
    </row>
    <row r="65" spans="2:9" ht="15" customHeight="1" x14ac:dyDescent="0.2">
      <c r="B65" t="s">
        <v>289</v>
      </c>
      <c r="C65" s="12">
        <v>11</v>
      </c>
      <c r="D65" s="8">
        <v>1.43</v>
      </c>
      <c r="E65" s="12">
        <v>1</v>
      </c>
      <c r="F65" s="8">
        <v>0.23</v>
      </c>
      <c r="G65" s="12">
        <v>10</v>
      </c>
      <c r="H65" s="8">
        <v>3.13</v>
      </c>
      <c r="I65" s="12">
        <v>0</v>
      </c>
    </row>
    <row r="66" spans="2:9" ht="15" customHeight="1" x14ac:dyDescent="0.2">
      <c r="B66" t="s">
        <v>330</v>
      </c>
      <c r="C66" s="12">
        <v>11</v>
      </c>
      <c r="D66" s="8">
        <v>1.43</v>
      </c>
      <c r="E66" s="12">
        <v>1</v>
      </c>
      <c r="F66" s="8">
        <v>0.23</v>
      </c>
      <c r="G66" s="12">
        <v>10</v>
      </c>
      <c r="H66" s="8">
        <v>3.13</v>
      </c>
      <c r="I66" s="12">
        <v>0</v>
      </c>
    </row>
    <row r="67" spans="2:9" ht="15" customHeight="1" x14ac:dyDescent="0.2">
      <c r="B67" t="s">
        <v>302</v>
      </c>
      <c r="C67" s="12">
        <v>11</v>
      </c>
      <c r="D67" s="8">
        <v>1.43</v>
      </c>
      <c r="E67" s="12">
        <v>11</v>
      </c>
      <c r="F67" s="8">
        <v>2.5099999999999998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325</v>
      </c>
      <c r="C68" s="12">
        <v>11</v>
      </c>
      <c r="D68" s="8">
        <v>1.43</v>
      </c>
      <c r="E68" s="12">
        <v>1</v>
      </c>
      <c r="F68" s="8">
        <v>0.23</v>
      </c>
      <c r="G68" s="12">
        <v>10</v>
      </c>
      <c r="H68" s="8">
        <v>3.13</v>
      </c>
      <c r="I68" s="12">
        <v>0</v>
      </c>
    </row>
    <row r="69" spans="2:9" ht="15" customHeight="1" x14ac:dyDescent="0.2">
      <c r="B69" t="s">
        <v>307</v>
      </c>
      <c r="C69" s="12">
        <v>11</v>
      </c>
      <c r="D69" s="8">
        <v>1.43</v>
      </c>
      <c r="E69" s="12">
        <v>7</v>
      </c>
      <c r="F69" s="8">
        <v>1.59</v>
      </c>
      <c r="G69" s="12">
        <v>4</v>
      </c>
      <c r="H69" s="8">
        <v>1.25</v>
      </c>
      <c r="I69" s="12">
        <v>0</v>
      </c>
    </row>
    <row r="70" spans="2:9" ht="15" customHeight="1" x14ac:dyDescent="0.2">
      <c r="B70" t="s">
        <v>288</v>
      </c>
      <c r="C70" s="12">
        <v>10</v>
      </c>
      <c r="D70" s="8">
        <v>1.3</v>
      </c>
      <c r="E70" s="12">
        <v>1</v>
      </c>
      <c r="F70" s="8">
        <v>0.23</v>
      </c>
      <c r="G70" s="12">
        <v>9</v>
      </c>
      <c r="H70" s="8">
        <v>2.81</v>
      </c>
      <c r="I70" s="12">
        <v>0</v>
      </c>
    </row>
    <row r="71" spans="2:9" ht="15" customHeight="1" x14ac:dyDescent="0.2">
      <c r="B71" t="s">
        <v>319</v>
      </c>
      <c r="C71" s="12">
        <v>10</v>
      </c>
      <c r="D71" s="8">
        <v>1.3</v>
      </c>
      <c r="E71" s="12">
        <v>3</v>
      </c>
      <c r="F71" s="8">
        <v>0.68</v>
      </c>
      <c r="G71" s="12">
        <v>7</v>
      </c>
      <c r="H71" s="8">
        <v>2.19</v>
      </c>
      <c r="I71" s="12">
        <v>0</v>
      </c>
    </row>
    <row r="72" spans="2:9" ht="15" customHeight="1" x14ac:dyDescent="0.2">
      <c r="B72" t="s">
        <v>335</v>
      </c>
      <c r="C72" s="12">
        <v>10</v>
      </c>
      <c r="D72" s="8">
        <v>1.3</v>
      </c>
      <c r="E72" s="12">
        <v>8</v>
      </c>
      <c r="F72" s="8">
        <v>1.82</v>
      </c>
      <c r="G72" s="12">
        <v>2</v>
      </c>
      <c r="H72" s="8">
        <v>0.63</v>
      </c>
      <c r="I72" s="12">
        <v>0</v>
      </c>
    </row>
    <row r="73" spans="2:9" ht="15" customHeight="1" x14ac:dyDescent="0.2">
      <c r="B73" t="s">
        <v>312</v>
      </c>
      <c r="C73" s="12">
        <v>10</v>
      </c>
      <c r="D73" s="8">
        <v>1.3</v>
      </c>
      <c r="E73" s="12">
        <v>10</v>
      </c>
      <c r="F73" s="8">
        <v>2.2799999999999998</v>
      </c>
      <c r="G73" s="12">
        <v>0</v>
      </c>
      <c r="H73" s="8">
        <v>0</v>
      </c>
      <c r="I73" s="12">
        <v>0</v>
      </c>
    </row>
    <row r="75" spans="2:9" ht="15" customHeight="1" x14ac:dyDescent="0.2">
      <c r="B7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AE0B-9FF8-473D-9F37-D210FD628441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0.12</v>
      </c>
      <c r="E5" s="12">
        <v>0</v>
      </c>
      <c r="F5" s="8">
        <v>0</v>
      </c>
      <c r="G5" s="12">
        <v>1</v>
      </c>
      <c r="H5" s="8">
        <v>0.17</v>
      </c>
      <c r="I5" s="12">
        <v>0</v>
      </c>
    </row>
    <row r="6" spans="2:9" ht="15" customHeight="1" x14ac:dyDescent="0.2">
      <c r="B6" t="s">
        <v>191</v>
      </c>
      <c r="C6" s="12">
        <v>162</v>
      </c>
      <c r="D6" s="8">
        <v>19.170000000000002</v>
      </c>
      <c r="E6" s="12">
        <v>13</v>
      </c>
      <c r="F6" s="8">
        <v>5.24</v>
      </c>
      <c r="G6" s="12">
        <v>149</v>
      </c>
      <c r="H6" s="8">
        <v>25.34</v>
      </c>
      <c r="I6" s="12">
        <v>0</v>
      </c>
    </row>
    <row r="7" spans="2:9" ht="15" customHeight="1" x14ac:dyDescent="0.2">
      <c r="B7" t="s">
        <v>192</v>
      </c>
      <c r="C7" s="12">
        <v>49</v>
      </c>
      <c r="D7" s="8">
        <v>5.8</v>
      </c>
      <c r="E7" s="12">
        <v>10</v>
      </c>
      <c r="F7" s="8">
        <v>4.03</v>
      </c>
      <c r="G7" s="12">
        <v>39</v>
      </c>
      <c r="H7" s="8">
        <v>6.63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0.24</v>
      </c>
      <c r="E8" s="12">
        <v>0</v>
      </c>
      <c r="F8" s="8">
        <v>0</v>
      </c>
      <c r="G8" s="12">
        <v>1</v>
      </c>
      <c r="H8" s="8">
        <v>0.17</v>
      </c>
      <c r="I8" s="12">
        <v>0</v>
      </c>
    </row>
    <row r="9" spans="2:9" ht="15" customHeight="1" x14ac:dyDescent="0.2">
      <c r="B9" t="s">
        <v>194</v>
      </c>
      <c r="C9" s="12">
        <v>8</v>
      </c>
      <c r="D9" s="8">
        <v>0.95</v>
      </c>
      <c r="E9" s="12">
        <v>0</v>
      </c>
      <c r="F9" s="8">
        <v>0</v>
      </c>
      <c r="G9" s="12">
        <v>8</v>
      </c>
      <c r="H9" s="8">
        <v>1.36</v>
      </c>
      <c r="I9" s="12">
        <v>0</v>
      </c>
    </row>
    <row r="10" spans="2:9" ht="15" customHeight="1" x14ac:dyDescent="0.2">
      <c r="B10" t="s">
        <v>195</v>
      </c>
      <c r="C10" s="12">
        <v>29</v>
      </c>
      <c r="D10" s="8">
        <v>3.43</v>
      </c>
      <c r="E10" s="12">
        <v>7</v>
      </c>
      <c r="F10" s="8">
        <v>2.82</v>
      </c>
      <c r="G10" s="12">
        <v>22</v>
      </c>
      <c r="H10" s="8">
        <v>3.74</v>
      </c>
      <c r="I10" s="12">
        <v>0</v>
      </c>
    </row>
    <row r="11" spans="2:9" ht="15" customHeight="1" x14ac:dyDescent="0.2">
      <c r="B11" t="s">
        <v>196</v>
      </c>
      <c r="C11" s="12">
        <v>218</v>
      </c>
      <c r="D11" s="8">
        <v>25.8</v>
      </c>
      <c r="E11" s="12">
        <v>33</v>
      </c>
      <c r="F11" s="8">
        <v>13.31</v>
      </c>
      <c r="G11" s="12">
        <v>185</v>
      </c>
      <c r="H11" s="8">
        <v>31.46</v>
      </c>
      <c r="I11" s="12">
        <v>0</v>
      </c>
    </row>
    <row r="12" spans="2:9" ht="15" customHeight="1" x14ac:dyDescent="0.2">
      <c r="B12" t="s">
        <v>197</v>
      </c>
      <c r="C12" s="12">
        <v>9</v>
      </c>
      <c r="D12" s="8">
        <v>1.07</v>
      </c>
      <c r="E12" s="12">
        <v>3</v>
      </c>
      <c r="F12" s="8">
        <v>1.21</v>
      </c>
      <c r="G12" s="12">
        <v>6</v>
      </c>
      <c r="H12" s="8">
        <v>1.02</v>
      </c>
      <c r="I12" s="12">
        <v>0</v>
      </c>
    </row>
    <row r="13" spans="2:9" ht="15" customHeight="1" x14ac:dyDescent="0.2">
      <c r="B13" t="s">
        <v>198</v>
      </c>
      <c r="C13" s="12">
        <v>56</v>
      </c>
      <c r="D13" s="8">
        <v>6.63</v>
      </c>
      <c r="E13" s="12">
        <v>19</v>
      </c>
      <c r="F13" s="8">
        <v>7.66</v>
      </c>
      <c r="G13" s="12">
        <v>37</v>
      </c>
      <c r="H13" s="8">
        <v>6.29</v>
      </c>
      <c r="I13" s="12">
        <v>0</v>
      </c>
    </row>
    <row r="14" spans="2:9" ht="15" customHeight="1" x14ac:dyDescent="0.2">
      <c r="B14" t="s">
        <v>199</v>
      </c>
      <c r="C14" s="12">
        <v>48</v>
      </c>
      <c r="D14" s="8">
        <v>5.68</v>
      </c>
      <c r="E14" s="12">
        <v>20</v>
      </c>
      <c r="F14" s="8">
        <v>8.06</v>
      </c>
      <c r="G14" s="12">
        <v>28</v>
      </c>
      <c r="H14" s="8">
        <v>4.76</v>
      </c>
      <c r="I14" s="12">
        <v>0</v>
      </c>
    </row>
    <row r="15" spans="2:9" ht="15" customHeight="1" x14ac:dyDescent="0.2">
      <c r="B15" t="s">
        <v>200</v>
      </c>
      <c r="C15" s="12">
        <v>61</v>
      </c>
      <c r="D15" s="8">
        <v>7.22</v>
      </c>
      <c r="E15" s="12">
        <v>41</v>
      </c>
      <c r="F15" s="8">
        <v>16.53</v>
      </c>
      <c r="G15" s="12">
        <v>18</v>
      </c>
      <c r="H15" s="8">
        <v>3.06</v>
      </c>
      <c r="I15" s="12">
        <v>0</v>
      </c>
    </row>
    <row r="16" spans="2:9" ht="15" customHeight="1" x14ac:dyDescent="0.2">
      <c r="B16" t="s">
        <v>201</v>
      </c>
      <c r="C16" s="12">
        <v>79</v>
      </c>
      <c r="D16" s="8">
        <v>9.35</v>
      </c>
      <c r="E16" s="12">
        <v>49</v>
      </c>
      <c r="F16" s="8">
        <v>19.760000000000002</v>
      </c>
      <c r="G16" s="12">
        <v>30</v>
      </c>
      <c r="H16" s="8">
        <v>5.0999999999999996</v>
      </c>
      <c r="I16" s="12">
        <v>0</v>
      </c>
    </row>
    <row r="17" spans="2:9" ht="15" customHeight="1" x14ac:dyDescent="0.2">
      <c r="B17" t="s">
        <v>202</v>
      </c>
      <c r="C17" s="12">
        <v>21</v>
      </c>
      <c r="D17" s="8">
        <v>2.4900000000000002</v>
      </c>
      <c r="E17" s="12">
        <v>13</v>
      </c>
      <c r="F17" s="8">
        <v>5.24</v>
      </c>
      <c r="G17" s="12">
        <v>4</v>
      </c>
      <c r="H17" s="8">
        <v>0.68</v>
      </c>
      <c r="I17" s="12">
        <v>2</v>
      </c>
    </row>
    <row r="18" spans="2:9" ht="15" customHeight="1" x14ac:dyDescent="0.2">
      <c r="B18" t="s">
        <v>203</v>
      </c>
      <c r="C18" s="12">
        <v>54</v>
      </c>
      <c r="D18" s="8">
        <v>6.39</v>
      </c>
      <c r="E18" s="12">
        <v>29</v>
      </c>
      <c r="F18" s="8">
        <v>11.69</v>
      </c>
      <c r="G18" s="12">
        <v>25</v>
      </c>
      <c r="H18" s="8">
        <v>4.25</v>
      </c>
      <c r="I18" s="12">
        <v>0</v>
      </c>
    </row>
    <row r="19" spans="2:9" ht="15" customHeight="1" x14ac:dyDescent="0.2">
      <c r="B19" t="s">
        <v>204</v>
      </c>
      <c r="C19" s="12">
        <v>48</v>
      </c>
      <c r="D19" s="8">
        <v>5.68</v>
      </c>
      <c r="E19" s="12">
        <v>11</v>
      </c>
      <c r="F19" s="8">
        <v>4.4400000000000004</v>
      </c>
      <c r="G19" s="12">
        <v>35</v>
      </c>
      <c r="H19" s="8">
        <v>5.95</v>
      </c>
      <c r="I19" s="12">
        <v>0</v>
      </c>
    </row>
    <row r="20" spans="2:9" ht="15" customHeight="1" x14ac:dyDescent="0.2">
      <c r="B20" s="9" t="s">
        <v>529</v>
      </c>
      <c r="C20" s="12">
        <f>SUM(LTBL_01234[総数／事業所数])</f>
        <v>845</v>
      </c>
      <c r="E20" s="12">
        <f>SUBTOTAL(109,LTBL_01234[個人／事業所数])</f>
        <v>248</v>
      </c>
      <c r="G20" s="12">
        <f>SUBTOTAL(109,LTBL_01234[法人／事業所数])</f>
        <v>588</v>
      </c>
      <c r="I20" s="12">
        <f>SUBTOTAL(109,LTBL_01234[法人以外の団体／事業所数])</f>
        <v>2</v>
      </c>
    </row>
    <row r="21" spans="2:9" ht="15" customHeight="1" x14ac:dyDescent="0.2">
      <c r="E21" s="11">
        <f>LTBL_01234[[#Totals],[個人／事業所数]]/LTBL_01234[[#Totals],[総数／事業所数]]</f>
        <v>0.29349112426035501</v>
      </c>
      <c r="G21" s="11">
        <f>LTBL_01234[[#Totals],[法人／事業所数]]/LTBL_01234[[#Totals],[総数／事業所数]]</f>
        <v>0.69585798816568045</v>
      </c>
      <c r="I21" s="11">
        <f>LTBL_01234[[#Totals],[法人以外の団体／事業所数]]/LTBL_01234[[#Totals],[総数／事業所数]]</f>
        <v>2.3668639053254438E-3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213</v>
      </c>
      <c r="C24" s="12">
        <v>68</v>
      </c>
      <c r="D24" s="8">
        <v>8.0500000000000007</v>
      </c>
      <c r="E24" s="12">
        <v>3</v>
      </c>
      <c r="F24" s="8">
        <v>1.21</v>
      </c>
      <c r="G24" s="12">
        <v>65</v>
      </c>
      <c r="H24" s="8">
        <v>11.05</v>
      </c>
      <c r="I24" s="12">
        <v>0</v>
      </c>
    </row>
    <row r="25" spans="2:9" ht="15" customHeight="1" x14ac:dyDescent="0.2">
      <c r="B25" t="s">
        <v>228</v>
      </c>
      <c r="C25" s="12">
        <v>57</v>
      </c>
      <c r="D25" s="8">
        <v>6.75</v>
      </c>
      <c r="E25" s="12">
        <v>45</v>
      </c>
      <c r="F25" s="8">
        <v>18.149999999999999</v>
      </c>
      <c r="G25" s="12">
        <v>12</v>
      </c>
      <c r="H25" s="8">
        <v>2.04</v>
      </c>
      <c r="I25" s="12">
        <v>0</v>
      </c>
    </row>
    <row r="26" spans="2:9" ht="15" customHeight="1" x14ac:dyDescent="0.2">
      <c r="B26" t="s">
        <v>223</v>
      </c>
      <c r="C26" s="12">
        <v>53</v>
      </c>
      <c r="D26" s="8">
        <v>6.27</v>
      </c>
      <c r="E26" s="12">
        <v>11</v>
      </c>
      <c r="F26" s="8">
        <v>4.4400000000000004</v>
      </c>
      <c r="G26" s="12">
        <v>42</v>
      </c>
      <c r="H26" s="8">
        <v>7.14</v>
      </c>
      <c r="I26" s="12">
        <v>0</v>
      </c>
    </row>
    <row r="27" spans="2:9" ht="15" customHeight="1" x14ac:dyDescent="0.2">
      <c r="B27" t="s">
        <v>214</v>
      </c>
      <c r="C27" s="12">
        <v>52</v>
      </c>
      <c r="D27" s="8">
        <v>6.15</v>
      </c>
      <c r="E27" s="12">
        <v>7</v>
      </c>
      <c r="F27" s="8">
        <v>2.82</v>
      </c>
      <c r="G27" s="12">
        <v>45</v>
      </c>
      <c r="H27" s="8">
        <v>7.65</v>
      </c>
      <c r="I27" s="12">
        <v>0</v>
      </c>
    </row>
    <row r="28" spans="2:9" ht="15" customHeight="1" x14ac:dyDescent="0.2">
      <c r="B28" t="s">
        <v>227</v>
      </c>
      <c r="C28" s="12">
        <v>46</v>
      </c>
      <c r="D28" s="8">
        <v>5.44</v>
      </c>
      <c r="E28" s="12">
        <v>38</v>
      </c>
      <c r="F28" s="8">
        <v>15.32</v>
      </c>
      <c r="G28" s="12">
        <v>8</v>
      </c>
      <c r="H28" s="8">
        <v>1.36</v>
      </c>
      <c r="I28" s="12">
        <v>0</v>
      </c>
    </row>
    <row r="29" spans="2:9" ht="15" customHeight="1" x14ac:dyDescent="0.2">
      <c r="B29" t="s">
        <v>224</v>
      </c>
      <c r="C29" s="12">
        <v>45</v>
      </c>
      <c r="D29" s="8">
        <v>5.33</v>
      </c>
      <c r="E29" s="12">
        <v>19</v>
      </c>
      <c r="F29" s="8">
        <v>7.66</v>
      </c>
      <c r="G29" s="12">
        <v>26</v>
      </c>
      <c r="H29" s="8">
        <v>4.42</v>
      </c>
      <c r="I29" s="12">
        <v>0</v>
      </c>
    </row>
    <row r="30" spans="2:9" ht="15" customHeight="1" x14ac:dyDescent="0.2">
      <c r="B30" t="s">
        <v>215</v>
      </c>
      <c r="C30" s="12">
        <v>42</v>
      </c>
      <c r="D30" s="8">
        <v>4.97</v>
      </c>
      <c r="E30" s="12">
        <v>3</v>
      </c>
      <c r="F30" s="8">
        <v>1.21</v>
      </c>
      <c r="G30" s="12">
        <v>39</v>
      </c>
      <c r="H30" s="8">
        <v>6.63</v>
      </c>
      <c r="I30" s="12">
        <v>0</v>
      </c>
    </row>
    <row r="31" spans="2:9" ht="15" customHeight="1" x14ac:dyDescent="0.2">
      <c r="B31" t="s">
        <v>231</v>
      </c>
      <c r="C31" s="12">
        <v>36</v>
      </c>
      <c r="D31" s="8">
        <v>4.26</v>
      </c>
      <c r="E31" s="12">
        <v>29</v>
      </c>
      <c r="F31" s="8">
        <v>11.69</v>
      </c>
      <c r="G31" s="12">
        <v>7</v>
      </c>
      <c r="H31" s="8">
        <v>1.19</v>
      </c>
      <c r="I31" s="12">
        <v>0</v>
      </c>
    </row>
    <row r="32" spans="2:9" ht="15" customHeight="1" x14ac:dyDescent="0.2">
      <c r="B32" t="s">
        <v>226</v>
      </c>
      <c r="C32" s="12">
        <v>31</v>
      </c>
      <c r="D32" s="8">
        <v>3.67</v>
      </c>
      <c r="E32" s="12">
        <v>10</v>
      </c>
      <c r="F32" s="8">
        <v>4.03</v>
      </c>
      <c r="G32" s="12">
        <v>21</v>
      </c>
      <c r="H32" s="8">
        <v>3.57</v>
      </c>
      <c r="I32" s="12">
        <v>0</v>
      </c>
    </row>
    <row r="33" spans="2:9" ht="15" customHeight="1" x14ac:dyDescent="0.2">
      <c r="B33" t="s">
        <v>222</v>
      </c>
      <c r="C33" s="12">
        <v>27</v>
      </c>
      <c r="D33" s="8">
        <v>3.2</v>
      </c>
      <c r="E33" s="12">
        <v>8</v>
      </c>
      <c r="F33" s="8">
        <v>3.23</v>
      </c>
      <c r="G33" s="12">
        <v>19</v>
      </c>
      <c r="H33" s="8">
        <v>3.23</v>
      </c>
      <c r="I33" s="12">
        <v>0</v>
      </c>
    </row>
    <row r="34" spans="2:9" ht="15" customHeight="1" x14ac:dyDescent="0.2">
      <c r="B34" t="s">
        <v>217</v>
      </c>
      <c r="C34" s="12">
        <v>25</v>
      </c>
      <c r="D34" s="8">
        <v>2.96</v>
      </c>
      <c r="E34" s="12">
        <v>1</v>
      </c>
      <c r="F34" s="8">
        <v>0.4</v>
      </c>
      <c r="G34" s="12">
        <v>24</v>
      </c>
      <c r="H34" s="8">
        <v>4.08</v>
      </c>
      <c r="I34" s="12">
        <v>0</v>
      </c>
    </row>
    <row r="35" spans="2:9" ht="15" customHeight="1" x14ac:dyDescent="0.2">
      <c r="B35" t="s">
        <v>220</v>
      </c>
      <c r="C35" s="12">
        <v>25</v>
      </c>
      <c r="D35" s="8">
        <v>2.96</v>
      </c>
      <c r="E35" s="12">
        <v>1</v>
      </c>
      <c r="F35" s="8">
        <v>0.4</v>
      </c>
      <c r="G35" s="12">
        <v>24</v>
      </c>
      <c r="H35" s="8">
        <v>4.08</v>
      </c>
      <c r="I35" s="12">
        <v>0</v>
      </c>
    </row>
    <row r="36" spans="2:9" ht="15" customHeight="1" x14ac:dyDescent="0.2">
      <c r="B36" t="s">
        <v>221</v>
      </c>
      <c r="C36" s="12">
        <v>23</v>
      </c>
      <c r="D36" s="8">
        <v>2.72</v>
      </c>
      <c r="E36" s="12">
        <v>6</v>
      </c>
      <c r="F36" s="8">
        <v>2.42</v>
      </c>
      <c r="G36" s="12">
        <v>17</v>
      </c>
      <c r="H36" s="8">
        <v>2.89</v>
      </c>
      <c r="I36" s="12">
        <v>0</v>
      </c>
    </row>
    <row r="37" spans="2:9" ht="15" customHeight="1" x14ac:dyDescent="0.2">
      <c r="B37" t="s">
        <v>240</v>
      </c>
      <c r="C37" s="12">
        <v>23</v>
      </c>
      <c r="D37" s="8">
        <v>2.72</v>
      </c>
      <c r="E37" s="12">
        <v>9</v>
      </c>
      <c r="F37" s="8">
        <v>3.63</v>
      </c>
      <c r="G37" s="12">
        <v>14</v>
      </c>
      <c r="H37" s="8">
        <v>2.38</v>
      </c>
      <c r="I37" s="12">
        <v>0</v>
      </c>
    </row>
    <row r="38" spans="2:9" ht="15" customHeight="1" x14ac:dyDescent="0.2">
      <c r="B38" t="s">
        <v>218</v>
      </c>
      <c r="C38" s="12">
        <v>21</v>
      </c>
      <c r="D38" s="8">
        <v>2.4900000000000002</v>
      </c>
      <c r="E38" s="12">
        <v>3</v>
      </c>
      <c r="F38" s="8">
        <v>1.21</v>
      </c>
      <c r="G38" s="12">
        <v>18</v>
      </c>
      <c r="H38" s="8">
        <v>3.06</v>
      </c>
      <c r="I38" s="12">
        <v>0</v>
      </c>
    </row>
    <row r="39" spans="2:9" ht="15" customHeight="1" x14ac:dyDescent="0.2">
      <c r="B39" t="s">
        <v>230</v>
      </c>
      <c r="C39" s="12">
        <v>21</v>
      </c>
      <c r="D39" s="8">
        <v>2.4900000000000002</v>
      </c>
      <c r="E39" s="12">
        <v>13</v>
      </c>
      <c r="F39" s="8">
        <v>5.24</v>
      </c>
      <c r="G39" s="12">
        <v>4</v>
      </c>
      <c r="H39" s="8">
        <v>0.68</v>
      </c>
      <c r="I39" s="12">
        <v>2</v>
      </c>
    </row>
    <row r="40" spans="2:9" ht="15" customHeight="1" x14ac:dyDescent="0.2">
      <c r="B40" t="s">
        <v>216</v>
      </c>
      <c r="C40" s="12">
        <v>19</v>
      </c>
      <c r="D40" s="8">
        <v>2.25</v>
      </c>
      <c r="E40" s="12">
        <v>1</v>
      </c>
      <c r="F40" s="8">
        <v>0.4</v>
      </c>
      <c r="G40" s="12">
        <v>18</v>
      </c>
      <c r="H40" s="8">
        <v>3.06</v>
      </c>
      <c r="I40" s="12">
        <v>0</v>
      </c>
    </row>
    <row r="41" spans="2:9" ht="15" customHeight="1" x14ac:dyDescent="0.2">
      <c r="B41" t="s">
        <v>232</v>
      </c>
      <c r="C41" s="12">
        <v>18</v>
      </c>
      <c r="D41" s="8">
        <v>2.13</v>
      </c>
      <c r="E41" s="12">
        <v>0</v>
      </c>
      <c r="F41" s="8">
        <v>0</v>
      </c>
      <c r="G41" s="12">
        <v>18</v>
      </c>
      <c r="H41" s="8">
        <v>3.06</v>
      </c>
      <c r="I41" s="12">
        <v>0</v>
      </c>
    </row>
    <row r="42" spans="2:9" ht="15" customHeight="1" x14ac:dyDescent="0.2">
      <c r="B42" t="s">
        <v>253</v>
      </c>
      <c r="C42" s="12">
        <v>17</v>
      </c>
      <c r="D42" s="8">
        <v>2.0099999999999998</v>
      </c>
      <c r="E42" s="12">
        <v>2</v>
      </c>
      <c r="F42" s="8">
        <v>0.81</v>
      </c>
      <c r="G42" s="12">
        <v>15</v>
      </c>
      <c r="H42" s="8">
        <v>2.5499999999999998</v>
      </c>
      <c r="I42" s="12">
        <v>0</v>
      </c>
    </row>
    <row r="43" spans="2:9" ht="15" customHeight="1" x14ac:dyDescent="0.2">
      <c r="B43" t="s">
        <v>225</v>
      </c>
      <c r="C43" s="12">
        <v>16</v>
      </c>
      <c r="D43" s="8">
        <v>1.89</v>
      </c>
      <c r="E43" s="12">
        <v>9</v>
      </c>
      <c r="F43" s="8">
        <v>3.63</v>
      </c>
      <c r="G43" s="12">
        <v>7</v>
      </c>
      <c r="H43" s="8">
        <v>1.19</v>
      </c>
      <c r="I43" s="12">
        <v>0</v>
      </c>
    </row>
    <row r="44" spans="2:9" ht="15" customHeight="1" x14ac:dyDescent="0.2">
      <c r="B44" t="s">
        <v>229</v>
      </c>
      <c r="C44" s="12">
        <v>16</v>
      </c>
      <c r="D44" s="8">
        <v>1.89</v>
      </c>
      <c r="E44" s="12">
        <v>3</v>
      </c>
      <c r="F44" s="8">
        <v>1.21</v>
      </c>
      <c r="G44" s="12">
        <v>13</v>
      </c>
      <c r="H44" s="8">
        <v>2.21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297</v>
      </c>
      <c r="C48" s="12">
        <v>33</v>
      </c>
      <c r="D48" s="8">
        <v>3.91</v>
      </c>
      <c r="E48" s="12">
        <v>18</v>
      </c>
      <c r="F48" s="8">
        <v>7.26</v>
      </c>
      <c r="G48" s="12">
        <v>15</v>
      </c>
      <c r="H48" s="8">
        <v>2.5499999999999998</v>
      </c>
      <c r="I48" s="12">
        <v>0</v>
      </c>
    </row>
    <row r="49" spans="2:9" ht="15" customHeight="1" x14ac:dyDescent="0.2">
      <c r="B49" t="s">
        <v>304</v>
      </c>
      <c r="C49" s="12">
        <v>30</v>
      </c>
      <c r="D49" s="8">
        <v>3.55</v>
      </c>
      <c r="E49" s="12">
        <v>25</v>
      </c>
      <c r="F49" s="8">
        <v>10.08</v>
      </c>
      <c r="G49" s="12">
        <v>5</v>
      </c>
      <c r="H49" s="8">
        <v>0.85</v>
      </c>
      <c r="I49" s="12">
        <v>0</v>
      </c>
    </row>
    <row r="50" spans="2:9" ht="15" customHeight="1" x14ac:dyDescent="0.2">
      <c r="B50" t="s">
        <v>288</v>
      </c>
      <c r="C50" s="12">
        <v>25</v>
      </c>
      <c r="D50" s="8">
        <v>2.96</v>
      </c>
      <c r="E50" s="12">
        <v>0</v>
      </c>
      <c r="F50" s="8">
        <v>0</v>
      </c>
      <c r="G50" s="12">
        <v>25</v>
      </c>
      <c r="H50" s="8">
        <v>4.25</v>
      </c>
      <c r="I50" s="12">
        <v>0</v>
      </c>
    </row>
    <row r="51" spans="2:9" ht="15" customHeight="1" x14ac:dyDescent="0.2">
      <c r="B51" t="s">
        <v>298</v>
      </c>
      <c r="C51" s="12">
        <v>23</v>
      </c>
      <c r="D51" s="8">
        <v>2.72</v>
      </c>
      <c r="E51" s="12">
        <v>6</v>
      </c>
      <c r="F51" s="8">
        <v>2.42</v>
      </c>
      <c r="G51" s="12">
        <v>17</v>
      </c>
      <c r="H51" s="8">
        <v>2.89</v>
      </c>
      <c r="I51" s="12">
        <v>0</v>
      </c>
    </row>
    <row r="52" spans="2:9" ht="15" customHeight="1" x14ac:dyDescent="0.2">
      <c r="B52" t="s">
        <v>307</v>
      </c>
      <c r="C52" s="12">
        <v>23</v>
      </c>
      <c r="D52" s="8">
        <v>2.72</v>
      </c>
      <c r="E52" s="12">
        <v>9</v>
      </c>
      <c r="F52" s="8">
        <v>3.63</v>
      </c>
      <c r="G52" s="12">
        <v>14</v>
      </c>
      <c r="H52" s="8">
        <v>2.38</v>
      </c>
      <c r="I52" s="12">
        <v>0</v>
      </c>
    </row>
    <row r="53" spans="2:9" ht="15" customHeight="1" x14ac:dyDescent="0.2">
      <c r="B53" t="s">
        <v>291</v>
      </c>
      <c r="C53" s="12">
        <v>20</v>
      </c>
      <c r="D53" s="8">
        <v>2.37</v>
      </c>
      <c r="E53" s="12">
        <v>3</v>
      </c>
      <c r="F53" s="8">
        <v>1.21</v>
      </c>
      <c r="G53" s="12">
        <v>17</v>
      </c>
      <c r="H53" s="8">
        <v>2.89</v>
      </c>
      <c r="I53" s="12">
        <v>0</v>
      </c>
    </row>
    <row r="54" spans="2:9" ht="15" customHeight="1" x14ac:dyDescent="0.2">
      <c r="B54" t="s">
        <v>293</v>
      </c>
      <c r="C54" s="12">
        <v>20</v>
      </c>
      <c r="D54" s="8">
        <v>2.37</v>
      </c>
      <c r="E54" s="12">
        <v>6</v>
      </c>
      <c r="F54" s="8">
        <v>2.42</v>
      </c>
      <c r="G54" s="12">
        <v>14</v>
      </c>
      <c r="H54" s="8">
        <v>2.38</v>
      </c>
      <c r="I54" s="12">
        <v>0</v>
      </c>
    </row>
    <row r="55" spans="2:9" ht="15" customHeight="1" x14ac:dyDescent="0.2">
      <c r="B55" t="s">
        <v>303</v>
      </c>
      <c r="C55" s="12">
        <v>20</v>
      </c>
      <c r="D55" s="8">
        <v>2.37</v>
      </c>
      <c r="E55" s="12">
        <v>19</v>
      </c>
      <c r="F55" s="8">
        <v>7.66</v>
      </c>
      <c r="G55" s="12">
        <v>1</v>
      </c>
      <c r="H55" s="8">
        <v>0.17</v>
      </c>
      <c r="I55" s="12">
        <v>0</v>
      </c>
    </row>
    <row r="56" spans="2:9" ht="15" customHeight="1" x14ac:dyDescent="0.2">
      <c r="B56" t="s">
        <v>306</v>
      </c>
      <c r="C56" s="12">
        <v>19</v>
      </c>
      <c r="D56" s="8">
        <v>2.25</v>
      </c>
      <c r="E56" s="12">
        <v>17</v>
      </c>
      <c r="F56" s="8">
        <v>6.85</v>
      </c>
      <c r="G56" s="12">
        <v>2</v>
      </c>
      <c r="H56" s="8">
        <v>0.34</v>
      </c>
      <c r="I56" s="12">
        <v>0</v>
      </c>
    </row>
    <row r="57" spans="2:9" ht="15" customHeight="1" x14ac:dyDescent="0.2">
      <c r="B57" t="s">
        <v>290</v>
      </c>
      <c r="C57" s="12">
        <v>16</v>
      </c>
      <c r="D57" s="8">
        <v>1.89</v>
      </c>
      <c r="E57" s="12">
        <v>0</v>
      </c>
      <c r="F57" s="8">
        <v>0</v>
      </c>
      <c r="G57" s="12">
        <v>16</v>
      </c>
      <c r="H57" s="8">
        <v>2.72</v>
      </c>
      <c r="I57" s="12">
        <v>0</v>
      </c>
    </row>
    <row r="58" spans="2:9" ht="15" customHeight="1" x14ac:dyDescent="0.2">
      <c r="B58" t="s">
        <v>329</v>
      </c>
      <c r="C58" s="12">
        <v>15</v>
      </c>
      <c r="D58" s="8">
        <v>1.78</v>
      </c>
      <c r="E58" s="12">
        <v>5</v>
      </c>
      <c r="F58" s="8">
        <v>2.02</v>
      </c>
      <c r="G58" s="12">
        <v>10</v>
      </c>
      <c r="H58" s="8">
        <v>1.7</v>
      </c>
      <c r="I58" s="12">
        <v>0</v>
      </c>
    </row>
    <row r="59" spans="2:9" ht="15" customHeight="1" x14ac:dyDescent="0.2">
      <c r="B59" t="s">
        <v>319</v>
      </c>
      <c r="C59" s="12">
        <v>14</v>
      </c>
      <c r="D59" s="8">
        <v>1.66</v>
      </c>
      <c r="E59" s="12">
        <v>2</v>
      </c>
      <c r="F59" s="8">
        <v>0.81</v>
      </c>
      <c r="G59" s="12">
        <v>12</v>
      </c>
      <c r="H59" s="8">
        <v>2.04</v>
      </c>
      <c r="I59" s="12">
        <v>0</v>
      </c>
    </row>
    <row r="60" spans="2:9" ht="15" customHeight="1" x14ac:dyDescent="0.2">
      <c r="B60" t="s">
        <v>374</v>
      </c>
      <c r="C60" s="12">
        <v>14</v>
      </c>
      <c r="D60" s="8">
        <v>1.66</v>
      </c>
      <c r="E60" s="12">
        <v>2</v>
      </c>
      <c r="F60" s="8">
        <v>0.81</v>
      </c>
      <c r="G60" s="12">
        <v>12</v>
      </c>
      <c r="H60" s="8">
        <v>2.04</v>
      </c>
      <c r="I60" s="12">
        <v>0</v>
      </c>
    </row>
    <row r="61" spans="2:9" ht="15" customHeight="1" x14ac:dyDescent="0.2">
      <c r="B61" t="s">
        <v>305</v>
      </c>
      <c r="C61" s="12">
        <v>14</v>
      </c>
      <c r="D61" s="8">
        <v>1.66</v>
      </c>
      <c r="E61" s="12">
        <v>12</v>
      </c>
      <c r="F61" s="8">
        <v>4.84</v>
      </c>
      <c r="G61" s="12">
        <v>2</v>
      </c>
      <c r="H61" s="8">
        <v>0.34</v>
      </c>
      <c r="I61" s="12">
        <v>0</v>
      </c>
    </row>
    <row r="62" spans="2:9" ht="15" customHeight="1" x14ac:dyDescent="0.2">
      <c r="B62" t="s">
        <v>294</v>
      </c>
      <c r="C62" s="12">
        <v>13</v>
      </c>
      <c r="D62" s="8">
        <v>1.54</v>
      </c>
      <c r="E62" s="12">
        <v>3</v>
      </c>
      <c r="F62" s="8">
        <v>1.21</v>
      </c>
      <c r="G62" s="12">
        <v>10</v>
      </c>
      <c r="H62" s="8">
        <v>1.7</v>
      </c>
      <c r="I62" s="12">
        <v>0</v>
      </c>
    </row>
    <row r="63" spans="2:9" ht="15" customHeight="1" x14ac:dyDescent="0.2">
      <c r="B63" t="s">
        <v>312</v>
      </c>
      <c r="C63" s="12">
        <v>13</v>
      </c>
      <c r="D63" s="8">
        <v>1.54</v>
      </c>
      <c r="E63" s="12">
        <v>10</v>
      </c>
      <c r="F63" s="8">
        <v>4.03</v>
      </c>
      <c r="G63" s="12">
        <v>3</v>
      </c>
      <c r="H63" s="8">
        <v>0.51</v>
      </c>
      <c r="I63" s="12">
        <v>0</v>
      </c>
    </row>
    <row r="64" spans="2:9" ht="15" customHeight="1" x14ac:dyDescent="0.2">
      <c r="B64" t="s">
        <v>289</v>
      </c>
      <c r="C64" s="12">
        <v>12</v>
      </c>
      <c r="D64" s="8">
        <v>1.42</v>
      </c>
      <c r="E64" s="12">
        <v>1</v>
      </c>
      <c r="F64" s="8">
        <v>0.4</v>
      </c>
      <c r="G64" s="12">
        <v>11</v>
      </c>
      <c r="H64" s="8">
        <v>1.87</v>
      </c>
      <c r="I64" s="12">
        <v>0</v>
      </c>
    </row>
    <row r="65" spans="2:9" ht="15" customHeight="1" x14ac:dyDescent="0.2">
      <c r="B65" t="s">
        <v>295</v>
      </c>
      <c r="C65" s="12">
        <v>12</v>
      </c>
      <c r="D65" s="8">
        <v>1.42</v>
      </c>
      <c r="E65" s="12">
        <v>4</v>
      </c>
      <c r="F65" s="8">
        <v>1.61</v>
      </c>
      <c r="G65" s="12">
        <v>8</v>
      </c>
      <c r="H65" s="8">
        <v>1.36</v>
      </c>
      <c r="I65" s="12">
        <v>0</v>
      </c>
    </row>
    <row r="66" spans="2:9" ht="15" customHeight="1" x14ac:dyDescent="0.2">
      <c r="B66" t="s">
        <v>299</v>
      </c>
      <c r="C66" s="12">
        <v>12</v>
      </c>
      <c r="D66" s="8">
        <v>1.42</v>
      </c>
      <c r="E66" s="12">
        <v>8</v>
      </c>
      <c r="F66" s="8">
        <v>3.23</v>
      </c>
      <c r="G66" s="12">
        <v>4</v>
      </c>
      <c r="H66" s="8">
        <v>0.68</v>
      </c>
      <c r="I66" s="12">
        <v>0</v>
      </c>
    </row>
    <row r="67" spans="2:9" ht="15" customHeight="1" x14ac:dyDescent="0.2">
      <c r="B67" t="s">
        <v>320</v>
      </c>
      <c r="C67" s="12">
        <v>11</v>
      </c>
      <c r="D67" s="8">
        <v>1.3</v>
      </c>
      <c r="E67" s="12">
        <v>1</v>
      </c>
      <c r="F67" s="8">
        <v>0.4</v>
      </c>
      <c r="G67" s="12">
        <v>10</v>
      </c>
      <c r="H67" s="8">
        <v>1.7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85E1F-0883-413A-B7E3-2E0E6D965A01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0.09</v>
      </c>
      <c r="E5" s="12">
        <v>0</v>
      </c>
      <c r="F5" s="8">
        <v>0</v>
      </c>
      <c r="G5" s="12">
        <v>1</v>
      </c>
      <c r="H5" s="8">
        <v>0.13</v>
      </c>
      <c r="I5" s="12">
        <v>0</v>
      </c>
    </row>
    <row r="6" spans="2:9" ht="15" customHeight="1" x14ac:dyDescent="0.2">
      <c r="B6" t="s">
        <v>191</v>
      </c>
      <c r="C6" s="12">
        <v>275</v>
      </c>
      <c r="D6" s="8">
        <v>24.55</v>
      </c>
      <c r="E6" s="12">
        <v>25</v>
      </c>
      <c r="F6" s="8">
        <v>7.55</v>
      </c>
      <c r="G6" s="12">
        <v>250</v>
      </c>
      <c r="H6" s="8">
        <v>32.090000000000003</v>
      </c>
      <c r="I6" s="12">
        <v>0</v>
      </c>
    </row>
    <row r="7" spans="2:9" ht="15" customHeight="1" x14ac:dyDescent="0.2">
      <c r="B7" t="s">
        <v>192</v>
      </c>
      <c r="C7" s="12">
        <v>100</v>
      </c>
      <c r="D7" s="8">
        <v>8.93</v>
      </c>
      <c r="E7" s="12">
        <v>9</v>
      </c>
      <c r="F7" s="8">
        <v>2.72</v>
      </c>
      <c r="G7" s="12">
        <v>91</v>
      </c>
      <c r="H7" s="8">
        <v>11.68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0.09</v>
      </c>
      <c r="E8" s="12">
        <v>0</v>
      </c>
      <c r="F8" s="8">
        <v>0</v>
      </c>
      <c r="G8" s="12">
        <v>1</v>
      </c>
      <c r="H8" s="8">
        <v>0.13</v>
      </c>
      <c r="I8" s="12">
        <v>0</v>
      </c>
    </row>
    <row r="9" spans="2:9" ht="15" customHeight="1" x14ac:dyDescent="0.2">
      <c r="B9" t="s">
        <v>194</v>
      </c>
      <c r="C9" s="12">
        <v>12</v>
      </c>
      <c r="D9" s="8">
        <v>1.07</v>
      </c>
      <c r="E9" s="12">
        <v>2</v>
      </c>
      <c r="F9" s="8">
        <v>0.6</v>
      </c>
      <c r="G9" s="12">
        <v>10</v>
      </c>
      <c r="H9" s="8">
        <v>1.28</v>
      </c>
      <c r="I9" s="12">
        <v>0</v>
      </c>
    </row>
    <row r="10" spans="2:9" ht="15" customHeight="1" x14ac:dyDescent="0.2">
      <c r="B10" t="s">
        <v>195</v>
      </c>
      <c r="C10" s="12">
        <v>37</v>
      </c>
      <c r="D10" s="8">
        <v>3.3</v>
      </c>
      <c r="E10" s="12">
        <v>9</v>
      </c>
      <c r="F10" s="8">
        <v>2.72</v>
      </c>
      <c r="G10" s="12">
        <v>28</v>
      </c>
      <c r="H10" s="8">
        <v>3.59</v>
      </c>
      <c r="I10" s="12">
        <v>0</v>
      </c>
    </row>
    <row r="11" spans="2:9" ht="15" customHeight="1" x14ac:dyDescent="0.2">
      <c r="B11" t="s">
        <v>196</v>
      </c>
      <c r="C11" s="12">
        <v>219</v>
      </c>
      <c r="D11" s="8">
        <v>19.55</v>
      </c>
      <c r="E11" s="12">
        <v>47</v>
      </c>
      <c r="F11" s="8">
        <v>14.2</v>
      </c>
      <c r="G11" s="12">
        <v>172</v>
      </c>
      <c r="H11" s="8">
        <v>22.08</v>
      </c>
      <c r="I11" s="12">
        <v>0</v>
      </c>
    </row>
    <row r="12" spans="2:9" ht="15" customHeight="1" x14ac:dyDescent="0.2">
      <c r="B12" t="s">
        <v>197</v>
      </c>
      <c r="C12" s="12">
        <v>12</v>
      </c>
      <c r="D12" s="8">
        <v>1.07</v>
      </c>
      <c r="E12" s="12">
        <v>3</v>
      </c>
      <c r="F12" s="8">
        <v>0.91</v>
      </c>
      <c r="G12" s="12">
        <v>9</v>
      </c>
      <c r="H12" s="8">
        <v>1.1599999999999999</v>
      </c>
      <c r="I12" s="12">
        <v>0</v>
      </c>
    </row>
    <row r="13" spans="2:9" ht="15" customHeight="1" x14ac:dyDescent="0.2">
      <c r="B13" t="s">
        <v>198</v>
      </c>
      <c r="C13" s="12">
        <v>44</v>
      </c>
      <c r="D13" s="8">
        <v>3.93</v>
      </c>
      <c r="E13" s="12">
        <v>4</v>
      </c>
      <c r="F13" s="8">
        <v>1.21</v>
      </c>
      <c r="G13" s="12">
        <v>40</v>
      </c>
      <c r="H13" s="8">
        <v>5.13</v>
      </c>
      <c r="I13" s="12">
        <v>0</v>
      </c>
    </row>
    <row r="14" spans="2:9" ht="15" customHeight="1" x14ac:dyDescent="0.2">
      <c r="B14" t="s">
        <v>199</v>
      </c>
      <c r="C14" s="12">
        <v>38</v>
      </c>
      <c r="D14" s="8">
        <v>3.39</v>
      </c>
      <c r="E14" s="12">
        <v>11</v>
      </c>
      <c r="F14" s="8">
        <v>3.32</v>
      </c>
      <c r="G14" s="12">
        <v>26</v>
      </c>
      <c r="H14" s="8">
        <v>3.34</v>
      </c>
      <c r="I14" s="12">
        <v>0</v>
      </c>
    </row>
    <row r="15" spans="2:9" ht="15" customHeight="1" x14ac:dyDescent="0.2">
      <c r="B15" t="s">
        <v>200</v>
      </c>
      <c r="C15" s="12">
        <v>104</v>
      </c>
      <c r="D15" s="8">
        <v>9.2899999999999991</v>
      </c>
      <c r="E15" s="12">
        <v>82</v>
      </c>
      <c r="F15" s="8">
        <v>24.77</v>
      </c>
      <c r="G15" s="12">
        <v>21</v>
      </c>
      <c r="H15" s="8">
        <v>2.7</v>
      </c>
      <c r="I15" s="12">
        <v>1</v>
      </c>
    </row>
    <row r="16" spans="2:9" ht="15" customHeight="1" x14ac:dyDescent="0.2">
      <c r="B16" t="s">
        <v>201</v>
      </c>
      <c r="C16" s="12">
        <v>111</v>
      </c>
      <c r="D16" s="8">
        <v>9.91</v>
      </c>
      <c r="E16" s="12">
        <v>83</v>
      </c>
      <c r="F16" s="8">
        <v>25.08</v>
      </c>
      <c r="G16" s="12">
        <v>28</v>
      </c>
      <c r="H16" s="8">
        <v>3.59</v>
      </c>
      <c r="I16" s="12">
        <v>0</v>
      </c>
    </row>
    <row r="17" spans="2:9" ht="15" customHeight="1" x14ac:dyDescent="0.2">
      <c r="B17" t="s">
        <v>202</v>
      </c>
      <c r="C17" s="12">
        <v>26</v>
      </c>
      <c r="D17" s="8">
        <v>2.3199999999999998</v>
      </c>
      <c r="E17" s="12">
        <v>15</v>
      </c>
      <c r="F17" s="8">
        <v>4.53</v>
      </c>
      <c r="G17" s="12">
        <v>5</v>
      </c>
      <c r="H17" s="8">
        <v>0.64</v>
      </c>
      <c r="I17" s="12">
        <v>0</v>
      </c>
    </row>
    <row r="18" spans="2:9" ht="15" customHeight="1" x14ac:dyDescent="0.2">
      <c r="B18" t="s">
        <v>203</v>
      </c>
      <c r="C18" s="12">
        <v>77</v>
      </c>
      <c r="D18" s="8">
        <v>6.88</v>
      </c>
      <c r="E18" s="12">
        <v>27</v>
      </c>
      <c r="F18" s="8">
        <v>8.16</v>
      </c>
      <c r="G18" s="12">
        <v>50</v>
      </c>
      <c r="H18" s="8">
        <v>6.42</v>
      </c>
      <c r="I18" s="12">
        <v>0</v>
      </c>
    </row>
    <row r="19" spans="2:9" ht="15" customHeight="1" x14ac:dyDescent="0.2">
      <c r="B19" t="s">
        <v>204</v>
      </c>
      <c r="C19" s="12">
        <v>63</v>
      </c>
      <c r="D19" s="8">
        <v>5.63</v>
      </c>
      <c r="E19" s="12">
        <v>14</v>
      </c>
      <c r="F19" s="8">
        <v>4.2300000000000004</v>
      </c>
      <c r="G19" s="12">
        <v>47</v>
      </c>
      <c r="H19" s="8">
        <v>6.03</v>
      </c>
      <c r="I19" s="12">
        <v>1</v>
      </c>
    </row>
    <row r="20" spans="2:9" ht="15" customHeight="1" x14ac:dyDescent="0.2">
      <c r="B20" s="9" t="s">
        <v>529</v>
      </c>
      <c r="C20" s="12">
        <f>SUM(LTBL_01235[総数／事業所数])</f>
        <v>1120</v>
      </c>
      <c r="E20" s="12">
        <f>SUBTOTAL(109,LTBL_01235[個人／事業所数])</f>
        <v>331</v>
      </c>
      <c r="G20" s="12">
        <f>SUBTOTAL(109,LTBL_01235[法人／事業所数])</f>
        <v>779</v>
      </c>
      <c r="I20" s="12">
        <f>SUBTOTAL(109,LTBL_01235[法人以外の団体／事業所数])</f>
        <v>2</v>
      </c>
    </row>
    <row r="21" spans="2:9" ht="15" customHeight="1" x14ac:dyDescent="0.2">
      <c r="E21" s="11">
        <f>LTBL_01235[[#Totals],[個人／事業所数]]/LTBL_01235[[#Totals],[総数／事業所数]]</f>
        <v>0.29553571428571429</v>
      </c>
      <c r="G21" s="11">
        <f>LTBL_01235[[#Totals],[法人／事業所数]]/LTBL_01235[[#Totals],[総数／事業所数]]</f>
        <v>0.69553571428571426</v>
      </c>
      <c r="I21" s="11">
        <f>LTBL_01235[[#Totals],[法人以外の団体／事業所数]]/LTBL_01235[[#Totals],[総数／事業所数]]</f>
        <v>1.7857142857142857E-3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214</v>
      </c>
      <c r="C24" s="12">
        <v>109</v>
      </c>
      <c r="D24" s="8">
        <v>9.73</v>
      </c>
      <c r="E24" s="12">
        <v>13</v>
      </c>
      <c r="F24" s="8">
        <v>3.93</v>
      </c>
      <c r="G24" s="12">
        <v>96</v>
      </c>
      <c r="H24" s="8">
        <v>12.32</v>
      </c>
      <c r="I24" s="12">
        <v>0</v>
      </c>
    </row>
    <row r="25" spans="2:9" ht="15" customHeight="1" x14ac:dyDescent="0.2">
      <c r="B25" t="s">
        <v>228</v>
      </c>
      <c r="C25" s="12">
        <v>95</v>
      </c>
      <c r="D25" s="8">
        <v>8.48</v>
      </c>
      <c r="E25" s="12">
        <v>77</v>
      </c>
      <c r="F25" s="8">
        <v>23.26</v>
      </c>
      <c r="G25" s="12">
        <v>18</v>
      </c>
      <c r="H25" s="8">
        <v>2.31</v>
      </c>
      <c r="I25" s="12">
        <v>0</v>
      </c>
    </row>
    <row r="26" spans="2:9" ht="15" customHeight="1" x14ac:dyDescent="0.2">
      <c r="B26" t="s">
        <v>213</v>
      </c>
      <c r="C26" s="12">
        <v>94</v>
      </c>
      <c r="D26" s="8">
        <v>8.39</v>
      </c>
      <c r="E26" s="12">
        <v>5</v>
      </c>
      <c r="F26" s="8">
        <v>1.51</v>
      </c>
      <c r="G26" s="12">
        <v>89</v>
      </c>
      <c r="H26" s="8">
        <v>11.42</v>
      </c>
      <c r="I26" s="12">
        <v>0</v>
      </c>
    </row>
    <row r="27" spans="2:9" ht="15" customHeight="1" x14ac:dyDescent="0.2">
      <c r="B27" t="s">
        <v>227</v>
      </c>
      <c r="C27" s="12">
        <v>82</v>
      </c>
      <c r="D27" s="8">
        <v>7.32</v>
      </c>
      <c r="E27" s="12">
        <v>73</v>
      </c>
      <c r="F27" s="8">
        <v>22.05</v>
      </c>
      <c r="G27" s="12">
        <v>9</v>
      </c>
      <c r="H27" s="8">
        <v>1.1599999999999999</v>
      </c>
      <c r="I27" s="12">
        <v>0</v>
      </c>
    </row>
    <row r="28" spans="2:9" ht="15" customHeight="1" x14ac:dyDescent="0.2">
      <c r="B28" t="s">
        <v>215</v>
      </c>
      <c r="C28" s="12">
        <v>72</v>
      </c>
      <c r="D28" s="8">
        <v>6.43</v>
      </c>
      <c r="E28" s="12">
        <v>7</v>
      </c>
      <c r="F28" s="8">
        <v>2.11</v>
      </c>
      <c r="G28" s="12">
        <v>65</v>
      </c>
      <c r="H28" s="8">
        <v>8.34</v>
      </c>
      <c r="I28" s="12">
        <v>0</v>
      </c>
    </row>
    <row r="29" spans="2:9" ht="15" customHeight="1" x14ac:dyDescent="0.2">
      <c r="B29" t="s">
        <v>223</v>
      </c>
      <c r="C29" s="12">
        <v>69</v>
      </c>
      <c r="D29" s="8">
        <v>6.16</v>
      </c>
      <c r="E29" s="12">
        <v>18</v>
      </c>
      <c r="F29" s="8">
        <v>5.44</v>
      </c>
      <c r="G29" s="12">
        <v>51</v>
      </c>
      <c r="H29" s="8">
        <v>6.55</v>
      </c>
      <c r="I29" s="12">
        <v>0</v>
      </c>
    </row>
    <row r="30" spans="2:9" ht="15" customHeight="1" x14ac:dyDescent="0.2">
      <c r="B30" t="s">
        <v>232</v>
      </c>
      <c r="C30" s="12">
        <v>44</v>
      </c>
      <c r="D30" s="8">
        <v>3.93</v>
      </c>
      <c r="E30" s="12">
        <v>0</v>
      </c>
      <c r="F30" s="8">
        <v>0</v>
      </c>
      <c r="G30" s="12">
        <v>44</v>
      </c>
      <c r="H30" s="8">
        <v>5.65</v>
      </c>
      <c r="I30" s="12">
        <v>0</v>
      </c>
    </row>
    <row r="31" spans="2:9" ht="15" customHeight="1" x14ac:dyDescent="0.2">
      <c r="B31" t="s">
        <v>231</v>
      </c>
      <c r="C31" s="12">
        <v>33</v>
      </c>
      <c r="D31" s="8">
        <v>2.95</v>
      </c>
      <c r="E31" s="12">
        <v>27</v>
      </c>
      <c r="F31" s="8">
        <v>8.16</v>
      </c>
      <c r="G31" s="12">
        <v>6</v>
      </c>
      <c r="H31" s="8">
        <v>0.77</v>
      </c>
      <c r="I31" s="12">
        <v>0</v>
      </c>
    </row>
    <row r="32" spans="2:9" ht="15" customHeight="1" x14ac:dyDescent="0.2">
      <c r="B32" t="s">
        <v>253</v>
      </c>
      <c r="C32" s="12">
        <v>32</v>
      </c>
      <c r="D32" s="8">
        <v>2.86</v>
      </c>
      <c r="E32" s="12">
        <v>0</v>
      </c>
      <c r="F32" s="8">
        <v>0</v>
      </c>
      <c r="G32" s="12">
        <v>32</v>
      </c>
      <c r="H32" s="8">
        <v>4.1100000000000003</v>
      </c>
      <c r="I32" s="12">
        <v>0</v>
      </c>
    </row>
    <row r="33" spans="2:9" ht="15" customHeight="1" x14ac:dyDescent="0.2">
      <c r="B33" t="s">
        <v>221</v>
      </c>
      <c r="C33" s="12">
        <v>32</v>
      </c>
      <c r="D33" s="8">
        <v>2.86</v>
      </c>
      <c r="E33" s="12">
        <v>16</v>
      </c>
      <c r="F33" s="8">
        <v>4.83</v>
      </c>
      <c r="G33" s="12">
        <v>16</v>
      </c>
      <c r="H33" s="8">
        <v>2.0499999999999998</v>
      </c>
      <c r="I33" s="12">
        <v>0</v>
      </c>
    </row>
    <row r="34" spans="2:9" ht="15" customHeight="1" x14ac:dyDescent="0.2">
      <c r="B34" t="s">
        <v>222</v>
      </c>
      <c r="C34" s="12">
        <v>28</v>
      </c>
      <c r="D34" s="8">
        <v>2.5</v>
      </c>
      <c r="E34" s="12">
        <v>9</v>
      </c>
      <c r="F34" s="8">
        <v>2.72</v>
      </c>
      <c r="G34" s="12">
        <v>19</v>
      </c>
      <c r="H34" s="8">
        <v>2.44</v>
      </c>
      <c r="I34" s="12">
        <v>0</v>
      </c>
    </row>
    <row r="35" spans="2:9" ht="15" customHeight="1" x14ac:dyDescent="0.2">
      <c r="B35" t="s">
        <v>224</v>
      </c>
      <c r="C35" s="12">
        <v>27</v>
      </c>
      <c r="D35" s="8">
        <v>2.41</v>
      </c>
      <c r="E35" s="12">
        <v>3</v>
      </c>
      <c r="F35" s="8">
        <v>0.91</v>
      </c>
      <c r="G35" s="12">
        <v>24</v>
      </c>
      <c r="H35" s="8">
        <v>3.08</v>
      </c>
      <c r="I35" s="12">
        <v>0</v>
      </c>
    </row>
    <row r="36" spans="2:9" ht="15" customHeight="1" x14ac:dyDescent="0.2">
      <c r="B36" t="s">
        <v>240</v>
      </c>
      <c r="C36" s="12">
        <v>27</v>
      </c>
      <c r="D36" s="8">
        <v>2.41</v>
      </c>
      <c r="E36" s="12">
        <v>10</v>
      </c>
      <c r="F36" s="8">
        <v>3.02</v>
      </c>
      <c r="G36" s="12">
        <v>17</v>
      </c>
      <c r="H36" s="8">
        <v>2.1800000000000002</v>
      </c>
      <c r="I36" s="12">
        <v>0</v>
      </c>
    </row>
    <row r="37" spans="2:9" ht="15" customHeight="1" x14ac:dyDescent="0.2">
      <c r="B37" t="s">
        <v>226</v>
      </c>
      <c r="C37" s="12">
        <v>26</v>
      </c>
      <c r="D37" s="8">
        <v>2.3199999999999998</v>
      </c>
      <c r="E37" s="12">
        <v>4</v>
      </c>
      <c r="F37" s="8">
        <v>1.21</v>
      </c>
      <c r="G37" s="12">
        <v>21</v>
      </c>
      <c r="H37" s="8">
        <v>2.7</v>
      </c>
      <c r="I37" s="12">
        <v>0</v>
      </c>
    </row>
    <row r="38" spans="2:9" ht="15" customHeight="1" x14ac:dyDescent="0.2">
      <c r="B38" t="s">
        <v>230</v>
      </c>
      <c r="C38" s="12">
        <v>26</v>
      </c>
      <c r="D38" s="8">
        <v>2.3199999999999998</v>
      </c>
      <c r="E38" s="12">
        <v>15</v>
      </c>
      <c r="F38" s="8">
        <v>4.53</v>
      </c>
      <c r="G38" s="12">
        <v>5</v>
      </c>
      <c r="H38" s="8">
        <v>0.64</v>
      </c>
      <c r="I38" s="12">
        <v>0</v>
      </c>
    </row>
    <row r="39" spans="2:9" ht="15" customHeight="1" x14ac:dyDescent="0.2">
      <c r="B39" t="s">
        <v>218</v>
      </c>
      <c r="C39" s="12">
        <v>25</v>
      </c>
      <c r="D39" s="8">
        <v>2.23</v>
      </c>
      <c r="E39" s="12">
        <v>0</v>
      </c>
      <c r="F39" s="8">
        <v>0</v>
      </c>
      <c r="G39" s="12">
        <v>25</v>
      </c>
      <c r="H39" s="8">
        <v>3.21</v>
      </c>
      <c r="I39" s="12">
        <v>0</v>
      </c>
    </row>
    <row r="40" spans="2:9" ht="15" customHeight="1" x14ac:dyDescent="0.2">
      <c r="B40" t="s">
        <v>217</v>
      </c>
      <c r="C40" s="12">
        <v>22</v>
      </c>
      <c r="D40" s="8">
        <v>1.96</v>
      </c>
      <c r="E40" s="12">
        <v>0</v>
      </c>
      <c r="F40" s="8">
        <v>0</v>
      </c>
      <c r="G40" s="12">
        <v>22</v>
      </c>
      <c r="H40" s="8">
        <v>2.82</v>
      </c>
      <c r="I40" s="12">
        <v>0</v>
      </c>
    </row>
    <row r="41" spans="2:9" ht="15" customHeight="1" x14ac:dyDescent="0.2">
      <c r="B41" t="s">
        <v>234</v>
      </c>
      <c r="C41" s="12">
        <v>16</v>
      </c>
      <c r="D41" s="8">
        <v>1.43</v>
      </c>
      <c r="E41" s="12">
        <v>1</v>
      </c>
      <c r="F41" s="8">
        <v>0.3</v>
      </c>
      <c r="G41" s="12">
        <v>14</v>
      </c>
      <c r="H41" s="8">
        <v>1.8</v>
      </c>
      <c r="I41" s="12">
        <v>1</v>
      </c>
    </row>
    <row r="42" spans="2:9" ht="15" customHeight="1" x14ac:dyDescent="0.2">
      <c r="B42" t="s">
        <v>219</v>
      </c>
      <c r="C42" s="12">
        <v>14</v>
      </c>
      <c r="D42" s="8">
        <v>1.25</v>
      </c>
      <c r="E42" s="12">
        <v>1</v>
      </c>
      <c r="F42" s="8">
        <v>0.3</v>
      </c>
      <c r="G42" s="12">
        <v>13</v>
      </c>
      <c r="H42" s="8">
        <v>1.67</v>
      </c>
      <c r="I42" s="12">
        <v>0</v>
      </c>
    </row>
    <row r="43" spans="2:9" ht="15" customHeight="1" x14ac:dyDescent="0.2">
      <c r="B43" t="s">
        <v>239</v>
      </c>
      <c r="C43" s="12">
        <v>13</v>
      </c>
      <c r="D43" s="8">
        <v>1.1599999999999999</v>
      </c>
      <c r="E43" s="12">
        <v>3</v>
      </c>
      <c r="F43" s="8">
        <v>0.91</v>
      </c>
      <c r="G43" s="12">
        <v>10</v>
      </c>
      <c r="H43" s="8">
        <v>1.28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44</v>
      </c>
      <c r="D47" s="8">
        <v>3.93</v>
      </c>
      <c r="E47" s="12">
        <v>41</v>
      </c>
      <c r="F47" s="8">
        <v>12.39</v>
      </c>
      <c r="G47" s="12">
        <v>3</v>
      </c>
      <c r="H47" s="8">
        <v>0.39</v>
      </c>
      <c r="I47" s="12">
        <v>0</v>
      </c>
    </row>
    <row r="48" spans="2:9" ht="15" customHeight="1" x14ac:dyDescent="0.2">
      <c r="B48" t="s">
        <v>303</v>
      </c>
      <c r="C48" s="12">
        <v>37</v>
      </c>
      <c r="D48" s="8">
        <v>3.3</v>
      </c>
      <c r="E48" s="12">
        <v>32</v>
      </c>
      <c r="F48" s="8">
        <v>9.67</v>
      </c>
      <c r="G48" s="12">
        <v>5</v>
      </c>
      <c r="H48" s="8">
        <v>0.64</v>
      </c>
      <c r="I48" s="12">
        <v>0</v>
      </c>
    </row>
    <row r="49" spans="2:9" ht="15" customHeight="1" x14ac:dyDescent="0.2">
      <c r="B49" t="s">
        <v>291</v>
      </c>
      <c r="C49" s="12">
        <v>28</v>
      </c>
      <c r="D49" s="8">
        <v>2.5</v>
      </c>
      <c r="E49" s="12">
        <v>2</v>
      </c>
      <c r="F49" s="8">
        <v>0.6</v>
      </c>
      <c r="G49" s="12">
        <v>26</v>
      </c>
      <c r="H49" s="8">
        <v>3.34</v>
      </c>
      <c r="I49" s="12">
        <v>0</v>
      </c>
    </row>
    <row r="50" spans="2:9" ht="15" customHeight="1" x14ac:dyDescent="0.2">
      <c r="B50" t="s">
        <v>301</v>
      </c>
      <c r="C50" s="12">
        <v>28</v>
      </c>
      <c r="D50" s="8">
        <v>2.5</v>
      </c>
      <c r="E50" s="12">
        <v>28</v>
      </c>
      <c r="F50" s="8">
        <v>8.4600000000000009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333</v>
      </c>
      <c r="C51" s="12">
        <v>27</v>
      </c>
      <c r="D51" s="8">
        <v>2.41</v>
      </c>
      <c r="E51" s="12">
        <v>5</v>
      </c>
      <c r="F51" s="8">
        <v>1.51</v>
      </c>
      <c r="G51" s="12">
        <v>22</v>
      </c>
      <c r="H51" s="8">
        <v>2.82</v>
      </c>
      <c r="I51" s="12">
        <v>0</v>
      </c>
    </row>
    <row r="52" spans="2:9" ht="15" customHeight="1" x14ac:dyDescent="0.2">
      <c r="B52" t="s">
        <v>290</v>
      </c>
      <c r="C52" s="12">
        <v>27</v>
      </c>
      <c r="D52" s="8">
        <v>2.41</v>
      </c>
      <c r="E52" s="12">
        <v>4</v>
      </c>
      <c r="F52" s="8">
        <v>1.21</v>
      </c>
      <c r="G52" s="12">
        <v>23</v>
      </c>
      <c r="H52" s="8">
        <v>2.95</v>
      </c>
      <c r="I52" s="12">
        <v>0</v>
      </c>
    </row>
    <row r="53" spans="2:9" ht="15" customHeight="1" x14ac:dyDescent="0.2">
      <c r="B53" t="s">
        <v>307</v>
      </c>
      <c r="C53" s="12">
        <v>27</v>
      </c>
      <c r="D53" s="8">
        <v>2.41</v>
      </c>
      <c r="E53" s="12">
        <v>10</v>
      </c>
      <c r="F53" s="8">
        <v>3.02</v>
      </c>
      <c r="G53" s="12">
        <v>17</v>
      </c>
      <c r="H53" s="8">
        <v>2.1800000000000002</v>
      </c>
      <c r="I53" s="12">
        <v>0</v>
      </c>
    </row>
    <row r="54" spans="2:9" ht="15" customHeight="1" x14ac:dyDescent="0.2">
      <c r="B54" t="s">
        <v>347</v>
      </c>
      <c r="C54" s="12">
        <v>26</v>
      </c>
      <c r="D54" s="8">
        <v>2.3199999999999998</v>
      </c>
      <c r="E54" s="12">
        <v>0</v>
      </c>
      <c r="F54" s="8">
        <v>0</v>
      </c>
      <c r="G54" s="12">
        <v>26</v>
      </c>
      <c r="H54" s="8">
        <v>3.34</v>
      </c>
      <c r="I54" s="12">
        <v>0</v>
      </c>
    </row>
    <row r="55" spans="2:9" ht="15" customHeight="1" x14ac:dyDescent="0.2">
      <c r="B55" t="s">
        <v>288</v>
      </c>
      <c r="C55" s="12">
        <v>25</v>
      </c>
      <c r="D55" s="8">
        <v>2.23</v>
      </c>
      <c r="E55" s="12">
        <v>1</v>
      </c>
      <c r="F55" s="8">
        <v>0.3</v>
      </c>
      <c r="G55" s="12">
        <v>24</v>
      </c>
      <c r="H55" s="8">
        <v>3.08</v>
      </c>
      <c r="I55" s="12">
        <v>0</v>
      </c>
    </row>
    <row r="56" spans="2:9" ht="15" customHeight="1" x14ac:dyDescent="0.2">
      <c r="B56" t="s">
        <v>319</v>
      </c>
      <c r="C56" s="12">
        <v>25</v>
      </c>
      <c r="D56" s="8">
        <v>2.23</v>
      </c>
      <c r="E56" s="12">
        <v>3</v>
      </c>
      <c r="F56" s="8">
        <v>0.91</v>
      </c>
      <c r="G56" s="12">
        <v>22</v>
      </c>
      <c r="H56" s="8">
        <v>2.82</v>
      </c>
      <c r="I56" s="12">
        <v>0</v>
      </c>
    </row>
    <row r="57" spans="2:9" ht="15" customHeight="1" x14ac:dyDescent="0.2">
      <c r="B57" t="s">
        <v>320</v>
      </c>
      <c r="C57" s="12">
        <v>23</v>
      </c>
      <c r="D57" s="8">
        <v>2.0499999999999998</v>
      </c>
      <c r="E57" s="12">
        <v>2</v>
      </c>
      <c r="F57" s="8">
        <v>0.6</v>
      </c>
      <c r="G57" s="12">
        <v>21</v>
      </c>
      <c r="H57" s="8">
        <v>2.7</v>
      </c>
      <c r="I57" s="12">
        <v>0</v>
      </c>
    </row>
    <row r="58" spans="2:9" ht="15" customHeight="1" x14ac:dyDescent="0.2">
      <c r="B58" t="s">
        <v>289</v>
      </c>
      <c r="C58" s="12">
        <v>22</v>
      </c>
      <c r="D58" s="8">
        <v>1.96</v>
      </c>
      <c r="E58" s="12">
        <v>1</v>
      </c>
      <c r="F58" s="8">
        <v>0.3</v>
      </c>
      <c r="G58" s="12">
        <v>21</v>
      </c>
      <c r="H58" s="8">
        <v>2.7</v>
      </c>
      <c r="I58" s="12">
        <v>0</v>
      </c>
    </row>
    <row r="59" spans="2:9" ht="15" customHeight="1" x14ac:dyDescent="0.2">
      <c r="B59" t="s">
        <v>374</v>
      </c>
      <c r="C59" s="12">
        <v>22</v>
      </c>
      <c r="D59" s="8">
        <v>1.96</v>
      </c>
      <c r="E59" s="12">
        <v>0</v>
      </c>
      <c r="F59" s="8">
        <v>0</v>
      </c>
      <c r="G59" s="12">
        <v>22</v>
      </c>
      <c r="H59" s="8">
        <v>2.82</v>
      </c>
      <c r="I59" s="12">
        <v>0</v>
      </c>
    </row>
    <row r="60" spans="2:9" ht="15" customHeight="1" x14ac:dyDescent="0.2">
      <c r="B60" t="s">
        <v>306</v>
      </c>
      <c r="C60" s="12">
        <v>22</v>
      </c>
      <c r="D60" s="8">
        <v>1.96</v>
      </c>
      <c r="E60" s="12">
        <v>20</v>
      </c>
      <c r="F60" s="8">
        <v>6.04</v>
      </c>
      <c r="G60" s="12">
        <v>2</v>
      </c>
      <c r="H60" s="8">
        <v>0.26</v>
      </c>
      <c r="I60" s="12">
        <v>0</v>
      </c>
    </row>
    <row r="61" spans="2:9" ht="15" customHeight="1" x14ac:dyDescent="0.2">
      <c r="B61" t="s">
        <v>293</v>
      </c>
      <c r="C61" s="12">
        <v>21</v>
      </c>
      <c r="D61" s="8">
        <v>1.88</v>
      </c>
      <c r="E61" s="12">
        <v>5</v>
      </c>
      <c r="F61" s="8">
        <v>1.51</v>
      </c>
      <c r="G61" s="12">
        <v>16</v>
      </c>
      <c r="H61" s="8">
        <v>2.0499999999999998</v>
      </c>
      <c r="I61" s="12">
        <v>0</v>
      </c>
    </row>
    <row r="62" spans="2:9" ht="15" customHeight="1" x14ac:dyDescent="0.2">
      <c r="B62" t="s">
        <v>375</v>
      </c>
      <c r="C62" s="12">
        <v>19</v>
      </c>
      <c r="D62" s="8">
        <v>1.7</v>
      </c>
      <c r="E62" s="12">
        <v>1</v>
      </c>
      <c r="F62" s="8">
        <v>0.3</v>
      </c>
      <c r="G62" s="12">
        <v>18</v>
      </c>
      <c r="H62" s="8">
        <v>2.31</v>
      </c>
      <c r="I62" s="12">
        <v>0</v>
      </c>
    </row>
    <row r="63" spans="2:9" ht="15" customHeight="1" x14ac:dyDescent="0.2">
      <c r="B63" t="s">
        <v>300</v>
      </c>
      <c r="C63" s="12">
        <v>18</v>
      </c>
      <c r="D63" s="8">
        <v>1.61</v>
      </c>
      <c r="E63" s="12">
        <v>17</v>
      </c>
      <c r="F63" s="8">
        <v>5.14</v>
      </c>
      <c r="G63" s="12">
        <v>1</v>
      </c>
      <c r="H63" s="8">
        <v>0.13</v>
      </c>
      <c r="I63" s="12">
        <v>0</v>
      </c>
    </row>
    <row r="64" spans="2:9" ht="15" customHeight="1" x14ac:dyDescent="0.2">
      <c r="B64" t="s">
        <v>328</v>
      </c>
      <c r="C64" s="12">
        <v>17</v>
      </c>
      <c r="D64" s="8">
        <v>1.52</v>
      </c>
      <c r="E64" s="12">
        <v>0</v>
      </c>
      <c r="F64" s="8">
        <v>0</v>
      </c>
      <c r="G64" s="12">
        <v>17</v>
      </c>
      <c r="H64" s="8">
        <v>2.1800000000000002</v>
      </c>
      <c r="I64" s="12">
        <v>0</v>
      </c>
    </row>
    <row r="65" spans="2:9" ht="15" customHeight="1" x14ac:dyDescent="0.2">
      <c r="B65" t="s">
        <v>294</v>
      </c>
      <c r="C65" s="12">
        <v>17</v>
      </c>
      <c r="D65" s="8">
        <v>1.52</v>
      </c>
      <c r="E65" s="12">
        <v>4</v>
      </c>
      <c r="F65" s="8">
        <v>1.21</v>
      </c>
      <c r="G65" s="12">
        <v>13</v>
      </c>
      <c r="H65" s="8">
        <v>1.67</v>
      </c>
      <c r="I65" s="12">
        <v>0</v>
      </c>
    </row>
    <row r="66" spans="2:9" ht="15" customHeight="1" x14ac:dyDescent="0.2">
      <c r="B66" t="s">
        <v>330</v>
      </c>
      <c r="C66" s="12">
        <v>17</v>
      </c>
      <c r="D66" s="8">
        <v>1.52</v>
      </c>
      <c r="E66" s="12">
        <v>3</v>
      </c>
      <c r="F66" s="8">
        <v>0.91</v>
      </c>
      <c r="G66" s="12">
        <v>14</v>
      </c>
      <c r="H66" s="8">
        <v>1.8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2FE74-32CE-4227-840B-B66E567CBD49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527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64</v>
      </c>
      <c r="D5" s="8">
        <v>0.05</v>
      </c>
      <c r="E5" s="12">
        <v>1</v>
      </c>
      <c r="F5" s="8">
        <v>0</v>
      </c>
      <c r="G5" s="12">
        <v>62</v>
      </c>
      <c r="H5" s="8">
        <v>0.1</v>
      </c>
      <c r="I5" s="12">
        <v>0</v>
      </c>
    </row>
    <row r="6" spans="2:9" ht="15" customHeight="1" x14ac:dyDescent="0.2">
      <c r="B6" t="s">
        <v>191</v>
      </c>
      <c r="C6" s="12">
        <v>15884</v>
      </c>
      <c r="D6" s="8">
        <v>13.2</v>
      </c>
      <c r="E6" s="12">
        <v>2998</v>
      </c>
      <c r="F6" s="8">
        <v>5.55</v>
      </c>
      <c r="G6" s="12">
        <v>12885</v>
      </c>
      <c r="H6" s="8">
        <v>20.010000000000002</v>
      </c>
      <c r="I6" s="12">
        <v>1</v>
      </c>
    </row>
    <row r="7" spans="2:9" ht="15" customHeight="1" x14ac:dyDescent="0.2">
      <c r="B7" t="s">
        <v>192</v>
      </c>
      <c r="C7" s="12">
        <v>6315</v>
      </c>
      <c r="D7" s="8">
        <v>5.25</v>
      </c>
      <c r="E7" s="12">
        <v>1393</v>
      </c>
      <c r="F7" s="8">
        <v>2.58</v>
      </c>
      <c r="G7" s="12">
        <v>4900</v>
      </c>
      <c r="H7" s="8">
        <v>7.61</v>
      </c>
      <c r="I7" s="12">
        <v>18</v>
      </c>
    </row>
    <row r="8" spans="2:9" ht="15" customHeight="1" x14ac:dyDescent="0.2">
      <c r="B8" t="s">
        <v>193</v>
      </c>
      <c r="C8" s="12">
        <v>320</v>
      </c>
      <c r="D8" s="8">
        <v>0.27</v>
      </c>
      <c r="E8" s="12">
        <v>3</v>
      </c>
      <c r="F8" s="8">
        <v>0.01</v>
      </c>
      <c r="G8" s="12">
        <v>186</v>
      </c>
      <c r="H8" s="8">
        <v>0.28999999999999998</v>
      </c>
      <c r="I8" s="12">
        <v>1</v>
      </c>
    </row>
    <row r="9" spans="2:9" ht="15" customHeight="1" x14ac:dyDescent="0.2">
      <c r="B9" t="s">
        <v>194</v>
      </c>
      <c r="C9" s="12">
        <v>1253</v>
      </c>
      <c r="D9" s="8">
        <v>1.04</v>
      </c>
      <c r="E9" s="12">
        <v>73</v>
      </c>
      <c r="F9" s="8">
        <v>0.14000000000000001</v>
      </c>
      <c r="G9" s="12">
        <v>1173</v>
      </c>
      <c r="H9" s="8">
        <v>1.82</v>
      </c>
      <c r="I9" s="12">
        <v>6</v>
      </c>
    </row>
    <row r="10" spans="2:9" ht="15" customHeight="1" x14ac:dyDescent="0.2">
      <c r="B10" t="s">
        <v>195</v>
      </c>
      <c r="C10" s="12">
        <v>1969</v>
      </c>
      <c r="D10" s="8">
        <v>1.64</v>
      </c>
      <c r="E10" s="12">
        <v>661</v>
      </c>
      <c r="F10" s="8">
        <v>1.22</v>
      </c>
      <c r="G10" s="12">
        <v>1265</v>
      </c>
      <c r="H10" s="8">
        <v>1.96</v>
      </c>
      <c r="I10" s="12">
        <v>28</v>
      </c>
    </row>
    <row r="11" spans="2:9" ht="15" customHeight="1" x14ac:dyDescent="0.2">
      <c r="B11" t="s">
        <v>196</v>
      </c>
      <c r="C11" s="12">
        <v>26797</v>
      </c>
      <c r="D11" s="8">
        <v>22.27</v>
      </c>
      <c r="E11" s="12">
        <v>8218</v>
      </c>
      <c r="F11" s="8">
        <v>15.22</v>
      </c>
      <c r="G11" s="12">
        <v>18535</v>
      </c>
      <c r="H11" s="8">
        <v>28.78</v>
      </c>
      <c r="I11" s="12">
        <v>42</v>
      </c>
    </row>
    <row r="12" spans="2:9" ht="15" customHeight="1" x14ac:dyDescent="0.2">
      <c r="B12" t="s">
        <v>197</v>
      </c>
      <c r="C12" s="12">
        <v>1148</v>
      </c>
      <c r="D12" s="8">
        <v>0.95</v>
      </c>
      <c r="E12" s="12">
        <v>150</v>
      </c>
      <c r="F12" s="8">
        <v>0.28000000000000003</v>
      </c>
      <c r="G12" s="12">
        <v>997</v>
      </c>
      <c r="H12" s="8">
        <v>1.55</v>
      </c>
      <c r="I12" s="12">
        <v>1</v>
      </c>
    </row>
    <row r="13" spans="2:9" ht="15" customHeight="1" x14ac:dyDescent="0.2">
      <c r="B13" t="s">
        <v>198</v>
      </c>
      <c r="C13" s="12">
        <v>12643</v>
      </c>
      <c r="D13" s="8">
        <v>10.51</v>
      </c>
      <c r="E13" s="12">
        <v>5612</v>
      </c>
      <c r="F13" s="8">
        <v>10.39</v>
      </c>
      <c r="G13" s="12">
        <v>6948</v>
      </c>
      <c r="H13" s="8">
        <v>10.79</v>
      </c>
      <c r="I13" s="12">
        <v>10</v>
      </c>
    </row>
    <row r="14" spans="2:9" ht="15" customHeight="1" x14ac:dyDescent="0.2">
      <c r="B14" t="s">
        <v>199</v>
      </c>
      <c r="C14" s="12">
        <v>5993</v>
      </c>
      <c r="D14" s="8">
        <v>4.9800000000000004</v>
      </c>
      <c r="E14" s="12">
        <v>2635</v>
      </c>
      <c r="F14" s="8">
        <v>4.88</v>
      </c>
      <c r="G14" s="12">
        <v>3259</v>
      </c>
      <c r="H14" s="8">
        <v>5.0599999999999996</v>
      </c>
      <c r="I14" s="12">
        <v>23</v>
      </c>
    </row>
    <row r="15" spans="2:9" ht="15" customHeight="1" x14ac:dyDescent="0.2">
      <c r="B15" t="s">
        <v>200</v>
      </c>
      <c r="C15" s="12">
        <v>17837</v>
      </c>
      <c r="D15" s="8">
        <v>14.82</v>
      </c>
      <c r="E15" s="12">
        <v>13711</v>
      </c>
      <c r="F15" s="8">
        <v>25.39</v>
      </c>
      <c r="G15" s="12">
        <v>4051</v>
      </c>
      <c r="H15" s="8">
        <v>6.29</v>
      </c>
      <c r="I15" s="12">
        <v>18</v>
      </c>
    </row>
    <row r="16" spans="2:9" ht="15" customHeight="1" x14ac:dyDescent="0.2">
      <c r="B16" t="s">
        <v>201</v>
      </c>
      <c r="C16" s="12">
        <v>14912</v>
      </c>
      <c r="D16" s="8">
        <v>12.39</v>
      </c>
      <c r="E16" s="12">
        <v>11336</v>
      </c>
      <c r="F16" s="8">
        <v>20.99</v>
      </c>
      <c r="G16" s="12">
        <v>3388</v>
      </c>
      <c r="H16" s="8">
        <v>5.26</v>
      </c>
      <c r="I16" s="12">
        <v>24</v>
      </c>
    </row>
    <row r="17" spans="2:9" ht="15" customHeight="1" x14ac:dyDescent="0.2">
      <c r="B17" t="s">
        <v>202</v>
      </c>
      <c r="C17" s="12">
        <v>3594</v>
      </c>
      <c r="D17" s="8">
        <v>2.99</v>
      </c>
      <c r="E17" s="12">
        <v>2361</v>
      </c>
      <c r="F17" s="8">
        <v>4.37</v>
      </c>
      <c r="G17" s="12">
        <v>889</v>
      </c>
      <c r="H17" s="8">
        <v>1.38</v>
      </c>
      <c r="I17" s="12">
        <v>21</v>
      </c>
    </row>
    <row r="18" spans="2:9" ht="15" customHeight="1" x14ac:dyDescent="0.2">
      <c r="B18" t="s">
        <v>203</v>
      </c>
      <c r="C18" s="12">
        <v>6746</v>
      </c>
      <c r="D18" s="8">
        <v>5.61</v>
      </c>
      <c r="E18" s="12">
        <v>3555</v>
      </c>
      <c r="F18" s="8">
        <v>6.58</v>
      </c>
      <c r="G18" s="12">
        <v>2705</v>
      </c>
      <c r="H18" s="8">
        <v>4.2</v>
      </c>
      <c r="I18" s="12">
        <v>33</v>
      </c>
    </row>
    <row r="19" spans="2:9" ht="15" customHeight="1" x14ac:dyDescent="0.2">
      <c r="B19" t="s">
        <v>204</v>
      </c>
      <c r="C19" s="12">
        <v>4852</v>
      </c>
      <c r="D19" s="8">
        <v>4.03</v>
      </c>
      <c r="E19" s="12">
        <v>1290</v>
      </c>
      <c r="F19" s="8">
        <v>2.39</v>
      </c>
      <c r="G19" s="12">
        <v>3157</v>
      </c>
      <c r="H19" s="8">
        <v>4.9000000000000004</v>
      </c>
      <c r="I19" s="12">
        <v>190</v>
      </c>
    </row>
    <row r="20" spans="2:9" ht="15" customHeight="1" x14ac:dyDescent="0.2">
      <c r="B20" s="9" t="s">
        <v>529</v>
      </c>
      <c r="C20" s="12">
        <f>SUM(LTBL_01000[総数／事業所数])</f>
        <v>120327</v>
      </c>
      <c r="E20" s="12">
        <f>SUBTOTAL(109,LTBL_01000[個人／事業所数])</f>
        <v>53997</v>
      </c>
      <c r="G20" s="12">
        <f>SUBTOTAL(109,LTBL_01000[法人／事業所数])</f>
        <v>64400</v>
      </c>
      <c r="I20" s="12">
        <f>SUBTOTAL(109,LTBL_01000[法人以外の団体／事業所数])</f>
        <v>416</v>
      </c>
    </row>
    <row r="21" spans="2:9" ht="15" customHeight="1" x14ac:dyDescent="0.2">
      <c r="E21" s="11">
        <f>LTBL_01000[[#Totals],[個人／事業所数]]/LTBL_01000[[#Totals],[総数／事業所数]]</f>
        <v>0.44875215039018673</v>
      </c>
      <c r="G21" s="11">
        <f>LTBL_01000[[#Totals],[法人／事業所数]]/LTBL_01000[[#Totals],[総数／事業所数]]</f>
        <v>0.53520822425557024</v>
      </c>
      <c r="I21" s="11">
        <f>LTBL_01000[[#Totals],[法人以外の団体／事業所数]]/LTBL_01000[[#Totals],[総数／事業所数]]</f>
        <v>3.4572456722098948E-3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15292</v>
      </c>
      <c r="D24" s="8">
        <v>12.71</v>
      </c>
      <c r="E24" s="12">
        <v>12632</v>
      </c>
      <c r="F24" s="8">
        <v>23.39</v>
      </c>
      <c r="G24" s="12">
        <v>2649</v>
      </c>
      <c r="H24" s="8">
        <v>4.1100000000000003</v>
      </c>
      <c r="I24" s="12">
        <v>10</v>
      </c>
    </row>
    <row r="25" spans="2:9" ht="15" customHeight="1" x14ac:dyDescent="0.2">
      <c r="B25" t="s">
        <v>228</v>
      </c>
      <c r="C25" s="12">
        <v>12610</v>
      </c>
      <c r="D25" s="8">
        <v>10.48</v>
      </c>
      <c r="E25" s="12">
        <v>10507</v>
      </c>
      <c r="F25" s="8">
        <v>19.46</v>
      </c>
      <c r="G25" s="12">
        <v>2088</v>
      </c>
      <c r="H25" s="8">
        <v>3.24</v>
      </c>
      <c r="I25" s="12">
        <v>8</v>
      </c>
    </row>
    <row r="26" spans="2:9" ht="15" customHeight="1" x14ac:dyDescent="0.2">
      <c r="B26" t="s">
        <v>224</v>
      </c>
      <c r="C26" s="12">
        <v>10462</v>
      </c>
      <c r="D26" s="8">
        <v>8.69</v>
      </c>
      <c r="E26" s="12">
        <v>5465</v>
      </c>
      <c r="F26" s="8">
        <v>10.119999999999999</v>
      </c>
      <c r="G26" s="12">
        <v>4915</v>
      </c>
      <c r="H26" s="8">
        <v>7.63</v>
      </c>
      <c r="I26" s="12">
        <v>9</v>
      </c>
    </row>
    <row r="27" spans="2:9" ht="15" customHeight="1" x14ac:dyDescent="0.2">
      <c r="B27" t="s">
        <v>223</v>
      </c>
      <c r="C27" s="12">
        <v>7641</v>
      </c>
      <c r="D27" s="8">
        <v>6.35</v>
      </c>
      <c r="E27" s="12">
        <v>2756</v>
      </c>
      <c r="F27" s="8">
        <v>5.0999999999999996</v>
      </c>
      <c r="G27" s="12">
        <v>4879</v>
      </c>
      <c r="H27" s="8">
        <v>7.58</v>
      </c>
      <c r="I27" s="12">
        <v>6</v>
      </c>
    </row>
    <row r="28" spans="2:9" ht="15" customHeight="1" x14ac:dyDescent="0.2">
      <c r="B28" t="s">
        <v>213</v>
      </c>
      <c r="C28" s="12">
        <v>6113</v>
      </c>
      <c r="D28" s="8">
        <v>5.08</v>
      </c>
      <c r="E28" s="12">
        <v>793</v>
      </c>
      <c r="F28" s="8">
        <v>1.47</v>
      </c>
      <c r="G28" s="12">
        <v>5319</v>
      </c>
      <c r="H28" s="8">
        <v>8.26</v>
      </c>
      <c r="I28" s="12">
        <v>1</v>
      </c>
    </row>
    <row r="29" spans="2:9" ht="15" customHeight="1" x14ac:dyDescent="0.2">
      <c r="B29" t="s">
        <v>214</v>
      </c>
      <c r="C29" s="12">
        <v>5685</v>
      </c>
      <c r="D29" s="8">
        <v>4.72</v>
      </c>
      <c r="E29" s="12">
        <v>1625</v>
      </c>
      <c r="F29" s="8">
        <v>3.01</v>
      </c>
      <c r="G29" s="12">
        <v>4060</v>
      </c>
      <c r="H29" s="8">
        <v>6.3</v>
      </c>
      <c r="I29" s="12">
        <v>0</v>
      </c>
    </row>
    <row r="30" spans="2:9" ht="15" customHeight="1" x14ac:dyDescent="0.2">
      <c r="B30" t="s">
        <v>221</v>
      </c>
      <c r="C30" s="12">
        <v>4745</v>
      </c>
      <c r="D30" s="8">
        <v>3.94</v>
      </c>
      <c r="E30" s="12">
        <v>2435</v>
      </c>
      <c r="F30" s="8">
        <v>4.51</v>
      </c>
      <c r="G30" s="12">
        <v>2281</v>
      </c>
      <c r="H30" s="8">
        <v>3.54</v>
      </c>
      <c r="I30" s="12">
        <v>27</v>
      </c>
    </row>
    <row r="31" spans="2:9" ht="15" customHeight="1" x14ac:dyDescent="0.2">
      <c r="B31" t="s">
        <v>231</v>
      </c>
      <c r="C31" s="12">
        <v>4216</v>
      </c>
      <c r="D31" s="8">
        <v>3.5</v>
      </c>
      <c r="E31" s="12">
        <v>3516</v>
      </c>
      <c r="F31" s="8">
        <v>6.51</v>
      </c>
      <c r="G31" s="12">
        <v>690</v>
      </c>
      <c r="H31" s="8">
        <v>1.07</v>
      </c>
      <c r="I31" s="12">
        <v>1</v>
      </c>
    </row>
    <row r="32" spans="2:9" ht="15" customHeight="1" x14ac:dyDescent="0.2">
      <c r="B32" t="s">
        <v>215</v>
      </c>
      <c r="C32" s="12">
        <v>4086</v>
      </c>
      <c r="D32" s="8">
        <v>3.4</v>
      </c>
      <c r="E32" s="12">
        <v>580</v>
      </c>
      <c r="F32" s="8">
        <v>1.07</v>
      </c>
      <c r="G32" s="12">
        <v>3506</v>
      </c>
      <c r="H32" s="8">
        <v>5.44</v>
      </c>
      <c r="I32" s="12">
        <v>0</v>
      </c>
    </row>
    <row r="33" spans="2:9" ht="15" customHeight="1" x14ac:dyDescent="0.2">
      <c r="B33" t="s">
        <v>230</v>
      </c>
      <c r="C33" s="12">
        <v>3594</v>
      </c>
      <c r="D33" s="8">
        <v>2.99</v>
      </c>
      <c r="E33" s="12">
        <v>2361</v>
      </c>
      <c r="F33" s="8">
        <v>4.37</v>
      </c>
      <c r="G33" s="12">
        <v>889</v>
      </c>
      <c r="H33" s="8">
        <v>1.38</v>
      </c>
      <c r="I33" s="12">
        <v>21</v>
      </c>
    </row>
    <row r="34" spans="2:9" ht="15" customHeight="1" x14ac:dyDescent="0.2">
      <c r="B34" t="s">
        <v>225</v>
      </c>
      <c r="C34" s="12">
        <v>3032</v>
      </c>
      <c r="D34" s="8">
        <v>2.52</v>
      </c>
      <c r="E34" s="12">
        <v>1909</v>
      </c>
      <c r="F34" s="8">
        <v>3.54</v>
      </c>
      <c r="G34" s="12">
        <v>1111</v>
      </c>
      <c r="H34" s="8">
        <v>1.73</v>
      </c>
      <c r="I34" s="12">
        <v>12</v>
      </c>
    </row>
    <row r="35" spans="2:9" ht="15" customHeight="1" x14ac:dyDescent="0.2">
      <c r="B35" t="s">
        <v>222</v>
      </c>
      <c r="C35" s="12">
        <v>3030</v>
      </c>
      <c r="D35" s="8">
        <v>2.52</v>
      </c>
      <c r="E35" s="12">
        <v>1181</v>
      </c>
      <c r="F35" s="8">
        <v>2.19</v>
      </c>
      <c r="G35" s="12">
        <v>1849</v>
      </c>
      <c r="H35" s="8">
        <v>2.87</v>
      </c>
      <c r="I35" s="12">
        <v>0</v>
      </c>
    </row>
    <row r="36" spans="2:9" ht="15" customHeight="1" x14ac:dyDescent="0.2">
      <c r="B36" t="s">
        <v>226</v>
      </c>
      <c r="C36" s="12">
        <v>2635</v>
      </c>
      <c r="D36" s="8">
        <v>2.19</v>
      </c>
      <c r="E36" s="12">
        <v>710</v>
      </c>
      <c r="F36" s="8">
        <v>1.31</v>
      </c>
      <c r="G36" s="12">
        <v>1860</v>
      </c>
      <c r="H36" s="8">
        <v>2.89</v>
      </c>
      <c r="I36" s="12">
        <v>8</v>
      </c>
    </row>
    <row r="37" spans="2:9" ht="15" customHeight="1" x14ac:dyDescent="0.2">
      <c r="B37" t="s">
        <v>220</v>
      </c>
      <c r="C37" s="12">
        <v>2586</v>
      </c>
      <c r="D37" s="8">
        <v>2.15</v>
      </c>
      <c r="E37" s="12">
        <v>905</v>
      </c>
      <c r="F37" s="8">
        <v>1.68</v>
      </c>
      <c r="G37" s="12">
        <v>1681</v>
      </c>
      <c r="H37" s="8">
        <v>2.61</v>
      </c>
      <c r="I37" s="12">
        <v>0</v>
      </c>
    </row>
    <row r="38" spans="2:9" ht="15" customHeight="1" x14ac:dyDescent="0.2">
      <c r="B38" t="s">
        <v>232</v>
      </c>
      <c r="C38" s="12">
        <v>2530</v>
      </c>
      <c r="D38" s="8">
        <v>2.1</v>
      </c>
      <c r="E38" s="12">
        <v>39</v>
      </c>
      <c r="F38" s="8">
        <v>7.0000000000000007E-2</v>
      </c>
      <c r="G38" s="12">
        <v>2015</v>
      </c>
      <c r="H38" s="8">
        <v>3.13</v>
      </c>
      <c r="I38" s="12">
        <v>32</v>
      </c>
    </row>
    <row r="39" spans="2:9" ht="15" customHeight="1" x14ac:dyDescent="0.2">
      <c r="B39" t="s">
        <v>218</v>
      </c>
      <c r="C39" s="12">
        <v>2079</v>
      </c>
      <c r="D39" s="8">
        <v>1.73</v>
      </c>
      <c r="E39" s="12">
        <v>127</v>
      </c>
      <c r="F39" s="8">
        <v>0.24</v>
      </c>
      <c r="G39" s="12">
        <v>1951</v>
      </c>
      <c r="H39" s="8">
        <v>3.03</v>
      </c>
      <c r="I39" s="12">
        <v>1</v>
      </c>
    </row>
    <row r="40" spans="2:9" ht="15" customHeight="1" x14ac:dyDescent="0.2">
      <c r="B40" t="s">
        <v>219</v>
      </c>
      <c r="C40" s="12">
        <v>1836</v>
      </c>
      <c r="D40" s="8">
        <v>1.53</v>
      </c>
      <c r="E40" s="12">
        <v>193</v>
      </c>
      <c r="F40" s="8">
        <v>0.36</v>
      </c>
      <c r="G40" s="12">
        <v>1641</v>
      </c>
      <c r="H40" s="8">
        <v>2.5499999999999998</v>
      </c>
      <c r="I40" s="12">
        <v>2</v>
      </c>
    </row>
    <row r="41" spans="2:9" ht="15" customHeight="1" x14ac:dyDescent="0.2">
      <c r="B41" t="s">
        <v>217</v>
      </c>
      <c r="C41" s="12">
        <v>1785</v>
      </c>
      <c r="D41" s="8">
        <v>1.48</v>
      </c>
      <c r="E41" s="12">
        <v>171</v>
      </c>
      <c r="F41" s="8">
        <v>0.32</v>
      </c>
      <c r="G41" s="12">
        <v>1611</v>
      </c>
      <c r="H41" s="8">
        <v>2.5</v>
      </c>
      <c r="I41" s="12">
        <v>3</v>
      </c>
    </row>
    <row r="42" spans="2:9" ht="15" customHeight="1" x14ac:dyDescent="0.2">
      <c r="B42" t="s">
        <v>216</v>
      </c>
      <c r="C42" s="12">
        <v>1567</v>
      </c>
      <c r="D42" s="8">
        <v>1.3</v>
      </c>
      <c r="E42" s="12">
        <v>184</v>
      </c>
      <c r="F42" s="8">
        <v>0.34</v>
      </c>
      <c r="G42" s="12">
        <v>1381</v>
      </c>
      <c r="H42" s="8">
        <v>2.14</v>
      </c>
      <c r="I42" s="12">
        <v>2</v>
      </c>
    </row>
    <row r="43" spans="2:9" ht="15" customHeight="1" x14ac:dyDescent="0.2">
      <c r="B43" t="s">
        <v>229</v>
      </c>
      <c r="C43" s="12">
        <v>1471</v>
      </c>
      <c r="D43" s="8">
        <v>1.22</v>
      </c>
      <c r="E43" s="12">
        <v>611</v>
      </c>
      <c r="F43" s="8">
        <v>1.1299999999999999</v>
      </c>
      <c r="G43" s="12">
        <v>824</v>
      </c>
      <c r="H43" s="8">
        <v>1.28</v>
      </c>
      <c r="I43" s="12">
        <v>1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7822</v>
      </c>
      <c r="D47" s="8">
        <v>6.5</v>
      </c>
      <c r="E47" s="12">
        <v>5061</v>
      </c>
      <c r="F47" s="8">
        <v>9.3699999999999992</v>
      </c>
      <c r="G47" s="12">
        <v>2704</v>
      </c>
      <c r="H47" s="8">
        <v>4.2</v>
      </c>
      <c r="I47" s="12">
        <v>0</v>
      </c>
    </row>
    <row r="48" spans="2:9" ht="15" customHeight="1" x14ac:dyDescent="0.2">
      <c r="B48" t="s">
        <v>304</v>
      </c>
      <c r="C48" s="12">
        <v>6275</v>
      </c>
      <c r="D48" s="8">
        <v>5.21</v>
      </c>
      <c r="E48" s="12">
        <v>5588</v>
      </c>
      <c r="F48" s="8">
        <v>10.35</v>
      </c>
      <c r="G48" s="12">
        <v>687</v>
      </c>
      <c r="H48" s="8">
        <v>1.07</v>
      </c>
      <c r="I48" s="12">
        <v>0</v>
      </c>
    </row>
    <row r="49" spans="2:9" ht="15" customHeight="1" x14ac:dyDescent="0.2">
      <c r="B49" t="s">
        <v>301</v>
      </c>
      <c r="C49" s="12">
        <v>4508</v>
      </c>
      <c r="D49" s="8">
        <v>3.75</v>
      </c>
      <c r="E49" s="12">
        <v>4195</v>
      </c>
      <c r="F49" s="8">
        <v>7.77</v>
      </c>
      <c r="G49" s="12">
        <v>313</v>
      </c>
      <c r="H49" s="8">
        <v>0.49</v>
      </c>
      <c r="I49" s="12">
        <v>0</v>
      </c>
    </row>
    <row r="50" spans="2:9" ht="15" customHeight="1" x14ac:dyDescent="0.2">
      <c r="B50" t="s">
        <v>303</v>
      </c>
      <c r="C50" s="12">
        <v>4322</v>
      </c>
      <c r="D50" s="8">
        <v>3.59</v>
      </c>
      <c r="E50" s="12">
        <v>4041</v>
      </c>
      <c r="F50" s="8">
        <v>7.48</v>
      </c>
      <c r="G50" s="12">
        <v>281</v>
      </c>
      <c r="H50" s="8">
        <v>0.44</v>
      </c>
      <c r="I50" s="12">
        <v>0</v>
      </c>
    </row>
    <row r="51" spans="2:9" ht="15" customHeight="1" x14ac:dyDescent="0.2">
      <c r="B51" t="s">
        <v>299</v>
      </c>
      <c r="C51" s="12">
        <v>3329</v>
      </c>
      <c r="D51" s="8">
        <v>2.77</v>
      </c>
      <c r="E51" s="12">
        <v>2438</v>
      </c>
      <c r="F51" s="8">
        <v>4.5199999999999996</v>
      </c>
      <c r="G51" s="12">
        <v>889</v>
      </c>
      <c r="H51" s="8">
        <v>1.38</v>
      </c>
      <c r="I51" s="12">
        <v>2</v>
      </c>
    </row>
    <row r="52" spans="2:9" ht="15" customHeight="1" x14ac:dyDescent="0.2">
      <c r="B52" t="s">
        <v>300</v>
      </c>
      <c r="C52" s="12">
        <v>3069</v>
      </c>
      <c r="D52" s="8">
        <v>2.5499999999999998</v>
      </c>
      <c r="E52" s="12">
        <v>2633</v>
      </c>
      <c r="F52" s="8">
        <v>4.88</v>
      </c>
      <c r="G52" s="12">
        <v>436</v>
      </c>
      <c r="H52" s="8">
        <v>0.68</v>
      </c>
      <c r="I52" s="12">
        <v>0</v>
      </c>
    </row>
    <row r="53" spans="2:9" ht="15" customHeight="1" x14ac:dyDescent="0.2">
      <c r="B53" t="s">
        <v>306</v>
      </c>
      <c r="C53" s="12">
        <v>2699</v>
      </c>
      <c r="D53" s="8">
        <v>2.2400000000000002</v>
      </c>
      <c r="E53" s="12">
        <v>2380</v>
      </c>
      <c r="F53" s="8">
        <v>4.41</v>
      </c>
      <c r="G53" s="12">
        <v>319</v>
      </c>
      <c r="H53" s="8">
        <v>0.5</v>
      </c>
      <c r="I53" s="12">
        <v>0</v>
      </c>
    </row>
    <row r="54" spans="2:9" ht="15" customHeight="1" x14ac:dyDescent="0.2">
      <c r="B54" t="s">
        <v>295</v>
      </c>
      <c r="C54" s="12">
        <v>2222</v>
      </c>
      <c r="D54" s="8">
        <v>1.85</v>
      </c>
      <c r="E54" s="12">
        <v>1006</v>
      </c>
      <c r="F54" s="8">
        <v>1.86</v>
      </c>
      <c r="G54" s="12">
        <v>1213</v>
      </c>
      <c r="H54" s="8">
        <v>1.88</v>
      </c>
      <c r="I54" s="12">
        <v>3</v>
      </c>
    </row>
    <row r="55" spans="2:9" ht="15" customHeight="1" x14ac:dyDescent="0.2">
      <c r="B55" t="s">
        <v>305</v>
      </c>
      <c r="C55" s="12">
        <v>2094</v>
      </c>
      <c r="D55" s="8">
        <v>1.74</v>
      </c>
      <c r="E55" s="12">
        <v>1711</v>
      </c>
      <c r="F55" s="8">
        <v>3.17</v>
      </c>
      <c r="G55" s="12">
        <v>372</v>
      </c>
      <c r="H55" s="8">
        <v>0.57999999999999996</v>
      </c>
      <c r="I55" s="12">
        <v>4</v>
      </c>
    </row>
    <row r="56" spans="2:9" ht="15" customHeight="1" x14ac:dyDescent="0.2">
      <c r="B56" t="s">
        <v>302</v>
      </c>
      <c r="C56" s="12">
        <v>1772</v>
      </c>
      <c r="D56" s="8">
        <v>1.47</v>
      </c>
      <c r="E56" s="12">
        <v>1497</v>
      </c>
      <c r="F56" s="8">
        <v>2.77</v>
      </c>
      <c r="G56" s="12">
        <v>269</v>
      </c>
      <c r="H56" s="8">
        <v>0.42</v>
      </c>
      <c r="I56" s="12">
        <v>6</v>
      </c>
    </row>
    <row r="57" spans="2:9" ht="15" customHeight="1" x14ac:dyDescent="0.2">
      <c r="B57" t="s">
        <v>288</v>
      </c>
      <c r="C57" s="12">
        <v>1750</v>
      </c>
      <c r="D57" s="8">
        <v>1.45</v>
      </c>
      <c r="E57" s="12">
        <v>117</v>
      </c>
      <c r="F57" s="8">
        <v>0.22</v>
      </c>
      <c r="G57" s="12">
        <v>1633</v>
      </c>
      <c r="H57" s="8">
        <v>2.54</v>
      </c>
      <c r="I57" s="12">
        <v>0</v>
      </c>
    </row>
    <row r="58" spans="2:9" ht="15" customHeight="1" x14ac:dyDescent="0.2">
      <c r="B58" t="s">
        <v>293</v>
      </c>
      <c r="C58" s="12">
        <v>1655</v>
      </c>
      <c r="D58" s="8">
        <v>1.38</v>
      </c>
      <c r="E58" s="12">
        <v>489</v>
      </c>
      <c r="F58" s="8">
        <v>0.91</v>
      </c>
      <c r="G58" s="12">
        <v>1166</v>
      </c>
      <c r="H58" s="8">
        <v>1.81</v>
      </c>
      <c r="I58" s="12">
        <v>0</v>
      </c>
    </row>
    <row r="59" spans="2:9" ht="15" customHeight="1" x14ac:dyDescent="0.2">
      <c r="B59" t="s">
        <v>292</v>
      </c>
      <c r="C59" s="12">
        <v>1646</v>
      </c>
      <c r="D59" s="8">
        <v>1.37</v>
      </c>
      <c r="E59" s="12">
        <v>815</v>
      </c>
      <c r="F59" s="8">
        <v>1.51</v>
      </c>
      <c r="G59" s="12">
        <v>819</v>
      </c>
      <c r="H59" s="8">
        <v>1.27</v>
      </c>
      <c r="I59" s="12">
        <v>12</v>
      </c>
    </row>
    <row r="60" spans="2:9" ht="15" customHeight="1" x14ac:dyDescent="0.2">
      <c r="B60" t="s">
        <v>290</v>
      </c>
      <c r="C60" s="12">
        <v>1602</v>
      </c>
      <c r="D60" s="8">
        <v>1.33</v>
      </c>
      <c r="E60" s="12">
        <v>269</v>
      </c>
      <c r="F60" s="8">
        <v>0.5</v>
      </c>
      <c r="G60" s="12">
        <v>1333</v>
      </c>
      <c r="H60" s="8">
        <v>2.0699999999999998</v>
      </c>
      <c r="I60" s="12">
        <v>0</v>
      </c>
    </row>
    <row r="61" spans="2:9" ht="15" customHeight="1" x14ac:dyDescent="0.2">
      <c r="B61" t="s">
        <v>291</v>
      </c>
      <c r="C61" s="12">
        <v>1602</v>
      </c>
      <c r="D61" s="8">
        <v>1.33</v>
      </c>
      <c r="E61" s="12">
        <v>264</v>
      </c>
      <c r="F61" s="8">
        <v>0.49</v>
      </c>
      <c r="G61" s="12">
        <v>1338</v>
      </c>
      <c r="H61" s="8">
        <v>2.08</v>
      </c>
      <c r="I61" s="12">
        <v>0</v>
      </c>
    </row>
    <row r="62" spans="2:9" ht="15" customHeight="1" x14ac:dyDescent="0.2">
      <c r="B62" t="s">
        <v>296</v>
      </c>
      <c r="C62" s="12">
        <v>1543</v>
      </c>
      <c r="D62" s="8">
        <v>1.28</v>
      </c>
      <c r="E62" s="12">
        <v>239</v>
      </c>
      <c r="F62" s="8">
        <v>0.44</v>
      </c>
      <c r="G62" s="12">
        <v>1300</v>
      </c>
      <c r="H62" s="8">
        <v>2.02</v>
      </c>
      <c r="I62" s="12">
        <v>4</v>
      </c>
    </row>
    <row r="63" spans="2:9" ht="15" customHeight="1" x14ac:dyDescent="0.2">
      <c r="B63" t="s">
        <v>298</v>
      </c>
      <c r="C63" s="12">
        <v>1530</v>
      </c>
      <c r="D63" s="8">
        <v>1.27</v>
      </c>
      <c r="E63" s="12">
        <v>306</v>
      </c>
      <c r="F63" s="8">
        <v>0.56999999999999995</v>
      </c>
      <c r="G63" s="12">
        <v>1216</v>
      </c>
      <c r="H63" s="8">
        <v>1.89</v>
      </c>
      <c r="I63" s="12">
        <v>1</v>
      </c>
    </row>
    <row r="64" spans="2:9" ht="15" customHeight="1" x14ac:dyDescent="0.2">
      <c r="B64" t="s">
        <v>289</v>
      </c>
      <c r="C64" s="12">
        <v>1522</v>
      </c>
      <c r="D64" s="8">
        <v>1.26</v>
      </c>
      <c r="E64" s="12">
        <v>146</v>
      </c>
      <c r="F64" s="8">
        <v>0.27</v>
      </c>
      <c r="G64" s="12">
        <v>1376</v>
      </c>
      <c r="H64" s="8">
        <v>2.14</v>
      </c>
      <c r="I64" s="12">
        <v>0</v>
      </c>
    </row>
    <row r="65" spans="2:9" ht="15" customHeight="1" x14ac:dyDescent="0.2">
      <c r="B65" t="s">
        <v>294</v>
      </c>
      <c r="C65" s="12">
        <v>1474</v>
      </c>
      <c r="D65" s="8">
        <v>1.22</v>
      </c>
      <c r="E65" s="12">
        <v>394</v>
      </c>
      <c r="F65" s="8">
        <v>0.73</v>
      </c>
      <c r="G65" s="12">
        <v>1079</v>
      </c>
      <c r="H65" s="8">
        <v>1.68</v>
      </c>
      <c r="I65" s="12">
        <v>1</v>
      </c>
    </row>
    <row r="66" spans="2:9" ht="15" customHeight="1" x14ac:dyDescent="0.2">
      <c r="B66" t="s">
        <v>307</v>
      </c>
      <c r="C66" s="12">
        <v>1455</v>
      </c>
      <c r="D66" s="8">
        <v>1.21</v>
      </c>
      <c r="E66" s="12">
        <v>719</v>
      </c>
      <c r="F66" s="8">
        <v>1.33</v>
      </c>
      <c r="G66" s="12">
        <v>734</v>
      </c>
      <c r="H66" s="8">
        <v>1.1399999999999999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ACF46-6B37-4728-9298-47608EE7EDB8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0.12</v>
      </c>
      <c r="E5" s="12">
        <v>0</v>
      </c>
      <c r="F5" s="8">
        <v>0</v>
      </c>
      <c r="G5" s="12">
        <v>1</v>
      </c>
      <c r="H5" s="8">
        <v>0.22</v>
      </c>
      <c r="I5" s="12">
        <v>0</v>
      </c>
    </row>
    <row r="6" spans="2:9" ht="15" customHeight="1" x14ac:dyDescent="0.2">
      <c r="B6" t="s">
        <v>191</v>
      </c>
      <c r="C6" s="12">
        <v>144</v>
      </c>
      <c r="D6" s="8">
        <v>17.25</v>
      </c>
      <c r="E6" s="12">
        <v>33</v>
      </c>
      <c r="F6" s="8">
        <v>9.2200000000000006</v>
      </c>
      <c r="G6" s="12">
        <v>111</v>
      </c>
      <c r="H6" s="8">
        <v>24.78</v>
      </c>
      <c r="I6" s="12">
        <v>0</v>
      </c>
    </row>
    <row r="7" spans="2:9" ht="15" customHeight="1" x14ac:dyDescent="0.2">
      <c r="B7" t="s">
        <v>192</v>
      </c>
      <c r="C7" s="12">
        <v>50</v>
      </c>
      <c r="D7" s="8">
        <v>5.99</v>
      </c>
      <c r="E7" s="12">
        <v>11</v>
      </c>
      <c r="F7" s="8">
        <v>3.07</v>
      </c>
      <c r="G7" s="12">
        <v>39</v>
      </c>
      <c r="H7" s="8">
        <v>8.7100000000000009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0.12</v>
      </c>
      <c r="E8" s="12">
        <v>0</v>
      </c>
      <c r="F8" s="8">
        <v>0</v>
      </c>
      <c r="G8" s="12">
        <v>1</v>
      </c>
      <c r="H8" s="8">
        <v>0.22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0.24</v>
      </c>
      <c r="E9" s="12">
        <v>0</v>
      </c>
      <c r="F9" s="8">
        <v>0</v>
      </c>
      <c r="G9" s="12">
        <v>2</v>
      </c>
      <c r="H9" s="8">
        <v>0.45</v>
      </c>
      <c r="I9" s="12">
        <v>0</v>
      </c>
    </row>
    <row r="10" spans="2:9" ht="15" customHeight="1" x14ac:dyDescent="0.2">
      <c r="B10" t="s">
        <v>195</v>
      </c>
      <c r="C10" s="12">
        <v>17</v>
      </c>
      <c r="D10" s="8">
        <v>2.04</v>
      </c>
      <c r="E10" s="12">
        <v>2</v>
      </c>
      <c r="F10" s="8">
        <v>0.56000000000000005</v>
      </c>
      <c r="G10" s="12">
        <v>15</v>
      </c>
      <c r="H10" s="8">
        <v>3.35</v>
      </c>
      <c r="I10" s="12">
        <v>0</v>
      </c>
    </row>
    <row r="11" spans="2:9" ht="15" customHeight="1" x14ac:dyDescent="0.2">
      <c r="B11" t="s">
        <v>196</v>
      </c>
      <c r="C11" s="12">
        <v>214</v>
      </c>
      <c r="D11" s="8">
        <v>25.63</v>
      </c>
      <c r="E11" s="12">
        <v>73</v>
      </c>
      <c r="F11" s="8">
        <v>20.39</v>
      </c>
      <c r="G11" s="12">
        <v>141</v>
      </c>
      <c r="H11" s="8">
        <v>31.47</v>
      </c>
      <c r="I11" s="12">
        <v>0</v>
      </c>
    </row>
    <row r="12" spans="2:9" ht="15" customHeight="1" x14ac:dyDescent="0.2">
      <c r="B12" t="s">
        <v>197</v>
      </c>
      <c r="C12" s="12">
        <v>5</v>
      </c>
      <c r="D12" s="8">
        <v>0.6</v>
      </c>
      <c r="E12" s="12">
        <v>1</v>
      </c>
      <c r="F12" s="8">
        <v>0.28000000000000003</v>
      </c>
      <c r="G12" s="12">
        <v>4</v>
      </c>
      <c r="H12" s="8">
        <v>0.89</v>
      </c>
      <c r="I12" s="12">
        <v>0</v>
      </c>
    </row>
    <row r="13" spans="2:9" ht="15" customHeight="1" x14ac:dyDescent="0.2">
      <c r="B13" t="s">
        <v>198</v>
      </c>
      <c r="C13" s="12">
        <v>38</v>
      </c>
      <c r="D13" s="8">
        <v>4.55</v>
      </c>
      <c r="E13" s="12">
        <v>10</v>
      </c>
      <c r="F13" s="8">
        <v>2.79</v>
      </c>
      <c r="G13" s="12">
        <v>28</v>
      </c>
      <c r="H13" s="8">
        <v>6.25</v>
      </c>
      <c r="I13" s="12">
        <v>0</v>
      </c>
    </row>
    <row r="14" spans="2:9" ht="15" customHeight="1" x14ac:dyDescent="0.2">
      <c r="B14" t="s">
        <v>199</v>
      </c>
      <c r="C14" s="12">
        <v>38</v>
      </c>
      <c r="D14" s="8">
        <v>4.55</v>
      </c>
      <c r="E14" s="12">
        <v>15</v>
      </c>
      <c r="F14" s="8">
        <v>4.1900000000000004</v>
      </c>
      <c r="G14" s="12">
        <v>22</v>
      </c>
      <c r="H14" s="8">
        <v>4.91</v>
      </c>
      <c r="I14" s="12">
        <v>0</v>
      </c>
    </row>
    <row r="15" spans="2:9" ht="15" customHeight="1" x14ac:dyDescent="0.2">
      <c r="B15" t="s">
        <v>200</v>
      </c>
      <c r="C15" s="12">
        <v>70</v>
      </c>
      <c r="D15" s="8">
        <v>8.3800000000000008</v>
      </c>
      <c r="E15" s="12">
        <v>51</v>
      </c>
      <c r="F15" s="8">
        <v>14.25</v>
      </c>
      <c r="G15" s="12">
        <v>18</v>
      </c>
      <c r="H15" s="8">
        <v>4.0199999999999996</v>
      </c>
      <c r="I15" s="12">
        <v>0</v>
      </c>
    </row>
    <row r="16" spans="2:9" ht="15" customHeight="1" x14ac:dyDescent="0.2">
      <c r="B16" t="s">
        <v>201</v>
      </c>
      <c r="C16" s="12">
        <v>127</v>
      </c>
      <c r="D16" s="8">
        <v>15.21</v>
      </c>
      <c r="E16" s="12">
        <v>101</v>
      </c>
      <c r="F16" s="8">
        <v>28.21</v>
      </c>
      <c r="G16" s="12">
        <v>18</v>
      </c>
      <c r="H16" s="8">
        <v>4.0199999999999996</v>
      </c>
      <c r="I16" s="12">
        <v>0</v>
      </c>
    </row>
    <row r="17" spans="2:9" ht="15" customHeight="1" x14ac:dyDescent="0.2">
      <c r="B17" t="s">
        <v>202</v>
      </c>
      <c r="C17" s="12">
        <v>34</v>
      </c>
      <c r="D17" s="8">
        <v>4.07</v>
      </c>
      <c r="E17" s="12">
        <v>27</v>
      </c>
      <c r="F17" s="8">
        <v>7.54</v>
      </c>
      <c r="G17" s="12">
        <v>5</v>
      </c>
      <c r="H17" s="8">
        <v>1.1200000000000001</v>
      </c>
      <c r="I17" s="12">
        <v>0</v>
      </c>
    </row>
    <row r="18" spans="2:9" ht="15" customHeight="1" x14ac:dyDescent="0.2">
      <c r="B18" t="s">
        <v>203</v>
      </c>
      <c r="C18" s="12">
        <v>53</v>
      </c>
      <c r="D18" s="8">
        <v>6.35</v>
      </c>
      <c r="E18" s="12">
        <v>20</v>
      </c>
      <c r="F18" s="8">
        <v>5.59</v>
      </c>
      <c r="G18" s="12">
        <v>18</v>
      </c>
      <c r="H18" s="8">
        <v>4.0199999999999996</v>
      </c>
      <c r="I18" s="12">
        <v>0</v>
      </c>
    </row>
    <row r="19" spans="2:9" ht="15" customHeight="1" x14ac:dyDescent="0.2">
      <c r="B19" t="s">
        <v>204</v>
      </c>
      <c r="C19" s="12">
        <v>41</v>
      </c>
      <c r="D19" s="8">
        <v>4.91</v>
      </c>
      <c r="E19" s="12">
        <v>14</v>
      </c>
      <c r="F19" s="8">
        <v>3.91</v>
      </c>
      <c r="G19" s="12">
        <v>25</v>
      </c>
      <c r="H19" s="8">
        <v>5.58</v>
      </c>
      <c r="I19" s="12">
        <v>0</v>
      </c>
    </row>
    <row r="20" spans="2:9" ht="15" customHeight="1" x14ac:dyDescent="0.2">
      <c r="B20" s="9" t="s">
        <v>529</v>
      </c>
      <c r="C20" s="12">
        <f>SUM(LTBL_01236[総数／事業所数])</f>
        <v>835</v>
      </c>
      <c r="E20" s="12">
        <f>SUBTOTAL(109,LTBL_01236[個人／事業所数])</f>
        <v>358</v>
      </c>
      <c r="G20" s="12">
        <f>SUBTOTAL(109,LTBL_01236[法人／事業所数])</f>
        <v>448</v>
      </c>
      <c r="I20" s="12">
        <f>SUBTOTAL(109,LTBL_01236[法人以外の団体／事業所数])</f>
        <v>0</v>
      </c>
    </row>
    <row r="21" spans="2:9" ht="15" customHeight="1" x14ac:dyDescent="0.2">
      <c r="E21" s="11">
        <f>LTBL_01236[[#Totals],[個人／事業所数]]/LTBL_01236[[#Totals],[総数／事業所数]]</f>
        <v>0.42874251497005988</v>
      </c>
      <c r="G21" s="11">
        <f>LTBL_01236[[#Totals],[法人／事業所数]]/LTBL_01236[[#Totals],[総数／事業所数]]</f>
        <v>0.5365269461077844</v>
      </c>
      <c r="I21" s="11">
        <f>LTBL_01236[[#Totals],[法人以外の団体／事業所数]]/LTBL_01236[[#Totals],[総数／事業所数]]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111</v>
      </c>
      <c r="D24" s="8">
        <v>13.29</v>
      </c>
      <c r="E24" s="12">
        <v>98</v>
      </c>
      <c r="F24" s="8">
        <v>27.37</v>
      </c>
      <c r="G24" s="12">
        <v>13</v>
      </c>
      <c r="H24" s="8">
        <v>2.9</v>
      </c>
      <c r="I24" s="12">
        <v>0</v>
      </c>
    </row>
    <row r="25" spans="2:9" ht="15" customHeight="1" x14ac:dyDescent="0.2">
      <c r="B25" t="s">
        <v>213</v>
      </c>
      <c r="C25" s="12">
        <v>71</v>
      </c>
      <c r="D25" s="8">
        <v>8.5</v>
      </c>
      <c r="E25" s="12">
        <v>14</v>
      </c>
      <c r="F25" s="8">
        <v>3.91</v>
      </c>
      <c r="G25" s="12">
        <v>57</v>
      </c>
      <c r="H25" s="8">
        <v>12.72</v>
      </c>
      <c r="I25" s="12">
        <v>0</v>
      </c>
    </row>
    <row r="26" spans="2:9" ht="15" customHeight="1" x14ac:dyDescent="0.2">
      <c r="B26" t="s">
        <v>227</v>
      </c>
      <c r="C26" s="12">
        <v>51</v>
      </c>
      <c r="D26" s="8">
        <v>6.11</v>
      </c>
      <c r="E26" s="12">
        <v>43</v>
      </c>
      <c r="F26" s="8">
        <v>12.01</v>
      </c>
      <c r="G26" s="12">
        <v>8</v>
      </c>
      <c r="H26" s="8">
        <v>1.79</v>
      </c>
      <c r="I26" s="12">
        <v>0</v>
      </c>
    </row>
    <row r="27" spans="2:9" ht="15" customHeight="1" x14ac:dyDescent="0.2">
      <c r="B27" t="s">
        <v>223</v>
      </c>
      <c r="C27" s="12">
        <v>49</v>
      </c>
      <c r="D27" s="8">
        <v>5.87</v>
      </c>
      <c r="E27" s="12">
        <v>21</v>
      </c>
      <c r="F27" s="8">
        <v>5.87</v>
      </c>
      <c r="G27" s="12">
        <v>28</v>
      </c>
      <c r="H27" s="8">
        <v>6.25</v>
      </c>
      <c r="I27" s="12">
        <v>0</v>
      </c>
    </row>
    <row r="28" spans="2:9" ht="15" customHeight="1" x14ac:dyDescent="0.2">
      <c r="B28" t="s">
        <v>221</v>
      </c>
      <c r="C28" s="12">
        <v>45</v>
      </c>
      <c r="D28" s="8">
        <v>5.39</v>
      </c>
      <c r="E28" s="12">
        <v>29</v>
      </c>
      <c r="F28" s="8">
        <v>8.1</v>
      </c>
      <c r="G28" s="12">
        <v>16</v>
      </c>
      <c r="H28" s="8">
        <v>3.57</v>
      </c>
      <c r="I28" s="12">
        <v>0</v>
      </c>
    </row>
    <row r="29" spans="2:9" ht="15" customHeight="1" x14ac:dyDescent="0.2">
      <c r="B29" t="s">
        <v>214</v>
      </c>
      <c r="C29" s="12">
        <v>39</v>
      </c>
      <c r="D29" s="8">
        <v>4.67</v>
      </c>
      <c r="E29" s="12">
        <v>14</v>
      </c>
      <c r="F29" s="8">
        <v>3.91</v>
      </c>
      <c r="G29" s="12">
        <v>25</v>
      </c>
      <c r="H29" s="8">
        <v>5.58</v>
      </c>
      <c r="I29" s="12">
        <v>0</v>
      </c>
    </row>
    <row r="30" spans="2:9" ht="15" customHeight="1" x14ac:dyDescent="0.2">
      <c r="B30" t="s">
        <v>215</v>
      </c>
      <c r="C30" s="12">
        <v>34</v>
      </c>
      <c r="D30" s="8">
        <v>4.07</v>
      </c>
      <c r="E30" s="12">
        <v>5</v>
      </c>
      <c r="F30" s="8">
        <v>1.4</v>
      </c>
      <c r="G30" s="12">
        <v>29</v>
      </c>
      <c r="H30" s="8">
        <v>6.47</v>
      </c>
      <c r="I30" s="12">
        <v>0</v>
      </c>
    </row>
    <row r="31" spans="2:9" ht="15" customHeight="1" x14ac:dyDescent="0.2">
      <c r="B31" t="s">
        <v>230</v>
      </c>
      <c r="C31" s="12">
        <v>34</v>
      </c>
      <c r="D31" s="8">
        <v>4.07</v>
      </c>
      <c r="E31" s="12">
        <v>27</v>
      </c>
      <c r="F31" s="8">
        <v>7.54</v>
      </c>
      <c r="G31" s="12">
        <v>5</v>
      </c>
      <c r="H31" s="8">
        <v>1.1200000000000001</v>
      </c>
      <c r="I31" s="12">
        <v>0</v>
      </c>
    </row>
    <row r="32" spans="2:9" ht="15" customHeight="1" x14ac:dyDescent="0.2">
      <c r="B32" t="s">
        <v>222</v>
      </c>
      <c r="C32" s="12">
        <v>33</v>
      </c>
      <c r="D32" s="8">
        <v>3.95</v>
      </c>
      <c r="E32" s="12">
        <v>11</v>
      </c>
      <c r="F32" s="8">
        <v>3.07</v>
      </c>
      <c r="G32" s="12">
        <v>22</v>
      </c>
      <c r="H32" s="8">
        <v>4.91</v>
      </c>
      <c r="I32" s="12">
        <v>0</v>
      </c>
    </row>
    <row r="33" spans="2:9" ht="15" customHeight="1" x14ac:dyDescent="0.2">
      <c r="B33" t="s">
        <v>226</v>
      </c>
      <c r="C33" s="12">
        <v>30</v>
      </c>
      <c r="D33" s="8">
        <v>3.59</v>
      </c>
      <c r="E33" s="12">
        <v>9</v>
      </c>
      <c r="F33" s="8">
        <v>2.5099999999999998</v>
      </c>
      <c r="G33" s="12">
        <v>20</v>
      </c>
      <c r="H33" s="8">
        <v>4.46</v>
      </c>
      <c r="I33" s="12">
        <v>0</v>
      </c>
    </row>
    <row r="34" spans="2:9" ht="15" customHeight="1" x14ac:dyDescent="0.2">
      <c r="B34" t="s">
        <v>232</v>
      </c>
      <c r="C34" s="12">
        <v>28</v>
      </c>
      <c r="D34" s="8">
        <v>3.35</v>
      </c>
      <c r="E34" s="12">
        <v>0</v>
      </c>
      <c r="F34" s="8">
        <v>0</v>
      </c>
      <c r="G34" s="12">
        <v>13</v>
      </c>
      <c r="H34" s="8">
        <v>2.9</v>
      </c>
      <c r="I34" s="12">
        <v>0</v>
      </c>
    </row>
    <row r="35" spans="2:9" ht="15" customHeight="1" x14ac:dyDescent="0.2">
      <c r="B35" t="s">
        <v>224</v>
      </c>
      <c r="C35" s="12">
        <v>25</v>
      </c>
      <c r="D35" s="8">
        <v>2.99</v>
      </c>
      <c r="E35" s="12">
        <v>9</v>
      </c>
      <c r="F35" s="8">
        <v>2.5099999999999998</v>
      </c>
      <c r="G35" s="12">
        <v>16</v>
      </c>
      <c r="H35" s="8">
        <v>3.57</v>
      </c>
      <c r="I35" s="12">
        <v>0</v>
      </c>
    </row>
    <row r="36" spans="2:9" ht="15" customHeight="1" x14ac:dyDescent="0.2">
      <c r="B36" t="s">
        <v>231</v>
      </c>
      <c r="C36" s="12">
        <v>25</v>
      </c>
      <c r="D36" s="8">
        <v>2.99</v>
      </c>
      <c r="E36" s="12">
        <v>20</v>
      </c>
      <c r="F36" s="8">
        <v>5.59</v>
      </c>
      <c r="G36" s="12">
        <v>5</v>
      </c>
      <c r="H36" s="8">
        <v>1.1200000000000001</v>
      </c>
      <c r="I36" s="12">
        <v>0</v>
      </c>
    </row>
    <row r="37" spans="2:9" ht="15" customHeight="1" x14ac:dyDescent="0.2">
      <c r="B37" t="s">
        <v>240</v>
      </c>
      <c r="C37" s="12">
        <v>23</v>
      </c>
      <c r="D37" s="8">
        <v>2.75</v>
      </c>
      <c r="E37" s="12">
        <v>14</v>
      </c>
      <c r="F37" s="8">
        <v>3.91</v>
      </c>
      <c r="G37" s="12">
        <v>9</v>
      </c>
      <c r="H37" s="8">
        <v>2.0099999999999998</v>
      </c>
      <c r="I37" s="12">
        <v>0</v>
      </c>
    </row>
    <row r="38" spans="2:9" ht="15" customHeight="1" x14ac:dyDescent="0.2">
      <c r="B38" t="s">
        <v>216</v>
      </c>
      <c r="C38" s="12">
        <v>21</v>
      </c>
      <c r="D38" s="8">
        <v>2.5099999999999998</v>
      </c>
      <c r="E38" s="12">
        <v>1</v>
      </c>
      <c r="F38" s="8">
        <v>0.28000000000000003</v>
      </c>
      <c r="G38" s="12">
        <v>20</v>
      </c>
      <c r="H38" s="8">
        <v>4.46</v>
      </c>
      <c r="I38" s="12">
        <v>0</v>
      </c>
    </row>
    <row r="39" spans="2:9" ht="15" customHeight="1" x14ac:dyDescent="0.2">
      <c r="B39" t="s">
        <v>220</v>
      </c>
      <c r="C39" s="12">
        <v>21</v>
      </c>
      <c r="D39" s="8">
        <v>2.5099999999999998</v>
      </c>
      <c r="E39" s="12">
        <v>8</v>
      </c>
      <c r="F39" s="8">
        <v>2.23</v>
      </c>
      <c r="G39" s="12">
        <v>13</v>
      </c>
      <c r="H39" s="8">
        <v>2.9</v>
      </c>
      <c r="I39" s="12">
        <v>0</v>
      </c>
    </row>
    <row r="40" spans="2:9" ht="15" customHeight="1" x14ac:dyDescent="0.2">
      <c r="B40" t="s">
        <v>217</v>
      </c>
      <c r="C40" s="12">
        <v>14</v>
      </c>
      <c r="D40" s="8">
        <v>1.68</v>
      </c>
      <c r="E40" s="12">
        <v>1</v>
      </c>
      <c r="F40" s="8">
        <v>0.28000000000000003</v>
      </c>
      <c r="G40" s="12">
        <v>13</v>
      </c>
      <c r="H40" s="8">
        <v>2.9</v>
      </c>
      <c r="I40" s="12">
        <v>0</v>
      </c>
    </row>
    <row r="41" spans="2:9" ht="15" customHeight="1" x14ac:dyDescent="0.2">
      <c r="B41" t="s">
        <v>218</v>
      </c>
      <c r="C41" s="12">
        <v>14</v>
      </c>
      <c r="D41" s="8">
        <v>1.68</v>
      </c>
      <c r="E41" s="12">
        <v>1</v>
      </c>
      <c r="F41" s="8">
        <v>0.28000000000000003</v>
      </c>
      <c r="G41" s="12">
        <v>13</v>
      </c>
      <c r="H41" s="8">
        <v>2.9</v>
      </c>
      <c r="I41" s="12">
        <v>0</v>
      </c>
    </row>
    <row r="42" spans="2:9" ht="15" customHeight="1" x14ac:dyDescent="0.2">
      <c r="B42" t="s">
        <v>243</v>
      </c>
      <c r="C42" s="12">
        <v>13</v>
      </c>
      <c r="D42" s="8">
        <v>1.56</v>
      </c>
      <c r="E42" s="12">
        <v>7</v>
      </c>
      <c r="F42" s="8">
        <v>1.96</v>
      </c>
      <c r="G42" s="12">
        <v>5</v>
      </c>
      <c r="H42" s="8">
        <v>1.1200000000000001</v>
      </c>
      <c r="I42" s="12">
        <v>0</v>
      </c>
    </row>
    <row r="43" spans="2:9" ht="15" customHeight="1" x14ac:dyDescent="0.2">
      <c r="B43" t="s">
        <v>254</v>
      </c>
      <c r="C43" s="12">
        <v>10</v>
      </c>
      <c r="D43" s="8">
        <v>1.2</v>
      </c>
      <c r="E43" s="12">
        <v>0</v>
      </c>
      <c r="F43" s="8">
        <v>0</v>
      </c>
      <c r="G43" s="12">
        <v>10</v>
      </c>
      <c r="H43" s="8">
        <v>2.23</v>
      </c>
      <c r="I43" s="12">
        <v>0</v>
      </c>
    </row>
    <row r="44" spans="2:9" ht="15" customHeight="1" x14ac:dyDescent="0.2">
      <c r="B44" t="s">
        <v>248</v>
      </c>
      <c r="C44" s="12">
        <v>10</v>
      </c>
      <c r="D44" s="8">
        <v>1.2</v>
      </c>
      <c r="E44" s="12">
        <v>0</v>
      </c>
      <c r="F44" s="8">
        <v>0</v>
      </c>
      <c r="G44" s="12">
        <v>10</v>
      </c>
      <c r="H44" s="8">
        <v>2.23</v>
      </c>
      <c r="I44" s="12">
        <v>0</v>
      </c>
    </row>
    <row r="45" spans="2:9" ht="15" customHeight="1" x14ac:dyDescent="0.2">
      <c r="B45" t="s">
        <v>219</v>
      </c>
      <c r="C45" s="12">
        <v>10</v>
      </c>
      <c r="D45" s="8">
        <v>1.2</v>
      </c>
      <c r="E45" s="12">
        <v>0</v>
      </c>
      <c r="F45" s="8">
        <v>0</v>
      </c>
      <c r="G45" s="12">
        <v>10</v>
      </c>
      <c r="H45" s="8">
        <v>2.23</v>
      </c>
      <c r="I45" s="12">
        <v>0</v>
      </c>
    </row>
    <row r="46" spans="2:9" ht="15" customHeight="1" x14ac:dyDescent="0.2">
      <c r="B46" t="s">
        <v>229</v>
      </c>
      <c r="C46" s="12">
        <v>10</v>
      </c>
      <c r="D46" s="8">
        <v>1.2</v>
      </c>
      <c r="E46" s="12">
        <v>3</v>
      </c>
      <c r="F46" s="8">
        <v>0.84</v>
      </c>
      <c r="G46" s="12">
        <v>4</v>
      </c>
      <c r="H46" s="8">
        <v>0.89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304</v>
      </c>
      <c r="C50" s="12">
        <v>50</v>
      </c>
      <c r="D50" s="8">
        <v>5.99</v>
      </c>
      <c r="E50" s="12">
        <v>46</v>
      </c>
      <c r="F50" s="8">
        <v>12.85</v>
      </c>
      <c r="G50" s="12">
        <v>4</v>
      </c>
      <c r="H50" s="8">
        <v>0.89</v>
      </c>
      <c r="I50" s="12">
        <v>0</v>
      </c>
    </row>
    <row r="51" spans="2:9" ht="15" customHeight="1" x14ac:dyDescent="0.2">
      <c r="B51" t="s">
        <v>303</v>
      </c>
      <c r="C51" s="12">
        <v>45</v>
      </c>
      <c r="D51" s="8">
        <v>5.39</v>
      </c>
      <c r="E51" s="12">
        <v>42</v>
      </c>
      <c r="F51" s="8">
        <v>11.73</v>
      </c>
      <c r="G51" s="12">
        <v>3</v>
      </c>
      <c r="H51" s="8">
        <v>0.67</v>
      </c>
      <c r="I51" s="12">
        <v>0</v>
      </c>
    </row>
    <row r="52" spans="2:9" ht="15" customHeight="1" x14ac:dyDescent="0.2">
      <c r="B52" t="s">
        <v>288</v>
      </c>
      <c r="C52" s="12">
        <v>27</v>
      </c>
      <c r="D52" s="8">
        <v>3.23</v>
      </c>
      <c r="E52" s="12">
        <v>0</v>
      </c>
      <c r="F52" s="8">
        <v>0</v>
      </c>
      <c r="G52" s="12">
        <v>27</v>
      </c>
      <c r="H52" s="8">
        <v>6.03</v>
      </c>
      <c r="I52" s="12">
        <v>0</v>
      </c>
    </row>
    <row r="53" spans="2:9" ht="15" customHeight="1" x14ac:dyDescent="0.2">
      <c r="B53" t="s">
        <v>307</v>
      </c>
      <c r="C53" s="12">
        <v>23</v>
      </c>
      <c r="D53" s="8">
        <v>2.75</v>
      </c>
      <c r="E53" s="12">
        <v>14</v>
      </c>
      <c r="F53" s="8">
        <v>3.91</v>
      </c>
      <c r="G53" s="12">
        <v>9</v>
      </c>
      <c r="H53" s="8">
        <v>2.0099999999999998</v>
      </c>
      <c r="I53" s="12">
        <v>0</v>
      </c>
    </row>
    <row r="54" spans="2:9" ht="15" customHeight="1" x14ac:dyDescent="0.2">
      <c r="B54" t="s">
        <v>299</v>
      </c>
      <c r="C54" s="12">
        <v>21</v>
      </c>
      <c r="D54" s="8">
        <v>2.5099999999999998</v>
      </c>
      <c r="E54" s="12">
        <v>18</v>
      </c>
      <c r="F54" s="8">
        <v>5.03</v>
      </c>
      <c r="G54" s="12">
        <v>3</v>
      </c>
      <c r="H54" s="8">
        <v>0.67</v>
      </c>
      <c r="I54" s="12">
        <v>0</v>
      </c>
    </row>
    <row r="55" spans="2:9" ht="15" customHeight="1" x14ac:dyDescent="0.2">
      <c r="B55" t="s">
        <v>292</v>
      </c>
      <c r="C55" s="12">
        <v>19</v>
      </c>
      <c r="D55" s="8">
        <v>2.2799999999999998</v>
      </c>
      <c r="E55" s="12">
        <v>11</v>
      </c>
      <c r="F55" s="8">
        <v>3.07</v>
      </c>
      <c r="G55" s="12">
        <v>8</v>
      </c>
      <c r="H55" s="8">
        <v>1.79</v>
      </c>
      <c r="I55" s="12">
        <v>0</v>
      </c>
    </row>
    <row r="56" spans="2:9" ht="15" customHeight="1" x14ac:dyDescent="0.2">
      <c r="B56" t="s">
        <v>327</v>
      </c>
      <c r="C56" s="12">
        <v>19</v>
      </c>
      <c r="D56" s="8">
        <v>2.2799999999999998</v>
      </c>
      <c r="E56" s="12">
        <v>15</v>
      </c>
      <c r="F56" s="8">
        <v>4.1900000000000004</v>
      </c>
      <c r="G56" s="12">
        <v>4</v>
      </c>
      <c r="H56" s="8">
        <v>0.89</v>
      </c>
      <c r="I56" s="12">
        <v>0</v>
      </c>
    </row>
    <row r="57" spans="2:9" ht="15" customHeight="1" x14ac:dyDescent="0.2">
      <c r="B57" t="s">
        <v>298</v>
      </c>
      <c r="C57" s="12">
        <v>18</v>
      </c>
      <c r="D57" s="8">
        <v>2.16</v>
      </c>
      <c r="E57" s="12">
        <v>4</v>
      </c>
      <c r="F57" s="8">
        <v>1.1200000000000001</v>
      </c>
      <c r="G57" s="12">
        <v>14</v>
      </c>
      <c r="H57" s="8">
        <v>3.13</v>
      </c>
      <c r="I57" s="12">
        <v>0</v>
      </c>
    </row>
    <row r="58" spans="2:9" ht="15" customHeight="1" x14ac:dyDescent="0.2">
      <c r="B58" t="s">
        <v>289</v>
      </c>
      <c r="C58" s="12">
        <v>16</v>
      </c>
      <c r="D58" s="8">
        <v>1.92</v>
      </c>
      <c r="E58" s="12">
        <v>4</v>
      </c>
      <c r="F58" s="8">
        <v>1.1200000000000001</v>
      </c>
      <c r="G58" s="12">
        <v>12</v>
      </c>
      <c r="H58" s="8">
        <v>2.68</v>
      </c>
      <c r="I58" s="12">
        <v>0</v>
      </c>
    </row>
    <row r="59" spans="2:9" ht="15" customHeight="1" x14ac:dyDescent="0.2">
      <c r="B59" t="s">
        <v>328</v>
      </c>
      <c r="C59" s="12">
        <v>16</v>
      </c>
      <c r="D59" s="8">
        <v>1.92</v>
      </c>
      <c r="E59" s="12">
        <v>7</v>
      </c>
      <c r="F59" s="8">
        <v>1.96</v>
      </c>
      <c r="G59" s="12">
        <v>9</v>
      </c>
      <c r="H59" s="8">
        <v>2.0099999999999998</v>
      </c>
      <c r="I59" s="12">
        <v>0</v>
      </c>
    </row>
    <row r="60" spans="2:9" ht="15" customHeight="1" x14ac:dyDescent="0.2">
      <c r="B60" t="s">
        <v>291</v>
      </c>
      <c r="C60" s="12">
        <v>16</v>
      </c>
      <c r="D60" s="8">
        <v>1.92</v>
      </c>
      <c r="E60" s="12">
        <v>3</v>
      </c>
      <c r="F60" s="8">
        <v>0.84</v>
      </c>
      <c r="G60" s="12">
        <v>13</v>
      </c>
      <c r="H60" s="8">
        <v>2.9</v>
      </c>
      <c r="I60" s="12">
        <v>0</v>
      </c>
    </row>
    <row r="61" spans="2:9" ht="15" customHeight="1" x14ac:dyDescent="0.2">
      <c r="B61" t="s">
        <v>293</v>
      </c>
      <c r="C61" s="12">
        <v>16</v>
      </c>
      <c r="D61" s="8">
        <v>1.92</v>
      </c>
      <c r="E61" s="12">
        <v>4</v>
      </c>
      <c r="F61" s="8">
        <v>1.1200000000000001</v>
      </c>
      <c r="G61" s="12">
        <v>12</v>
      </c>
      <c r="H61" s="8">
        <v>2.68</v>
      </c>
      <c r="I61" s="12">
        <v>0</v>
      </c>
    </row>
    <row r="62" spans="2:9" ht="15" customHeight="1" x14ac:dyDescent="0.2">
      <c r="B62" t="s">
        <v>297</v>
      </c>
      <c r="C62" s="12">
        <v>16</v>
      </c>
      <c r="D62" s="8">
        <v>1.92</v>
      </c>
      <c r="E62" s="12">
        <v>8</v>
      </c>
      <c r="F62" s="8">
        <v>2.23</v>
      </c>
      <c r="G62" s="12">
        <v>8</v>
      </c>
      <c r="H62" s="8">
        <v>1.79</v>
      </c>
      <c r="I62" s="12">
        <v>0</v>
      </c>
    </row>
    <row r="63" spans="2:9" ht="15" customHeight="1" x14ac:dyDescent="0.2">
      <c r="B63" t="s">
        <v>306</v>
      </c>
      <c r="C63" s="12">
        <v>16</v>
      </c>
      <c r="D63" s="8">
        <v>1.92</v>
      </c>
      <c r="E63" s="12">
        <v>16</v>
      </c>
      <c r="F63" s="8">
        <v>4.47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290</v>
      </c>
      <c r="C64" s="12">
        <v>15</v>
      </c>
      <c r="D64" s="8">
        <v>1.8</v>
      </c>
      <c r="E64" s="12">
        <v>2</v>
      </c>
      <c r="F64" s="8">
        <v>0.56000000000000005</v>
      </c>
      <c r="G64" s="12">
        <v>13</v>
      </c>
      <c r="H64" s="8">
        <v>2.9</v>
      </c>
      <c r="I64" s="12">
        <v>0</v>
      </c>
    </row>
    <row r="65" spans="2:9" ht="15" customHeight="1" x14ac:dyDescent="0.2">
      <c r="B65" t="s">
        <v>335</v>
      </c>
      <c r="C65" s="12">
        <v>15</v>
      </c>
      <c r="D65" s="8">
        <v>1.8</v>
      </c>
      <c r="E65" s="12">
        <v>5</v>
      </c>
      <c r="F65" s="8">
        <v>1.4</v>
      </c>
      <c r="G65" s="12">
        <v>10</v>
      </c>
      <c r="H65" s="8">
        <v>2.23</v>
      </c>
      <c r="I65" s="12">
        <v>0</v>
      </c>
    </row>
    <row r="66" spans="2:9" ht="15" customHeight="1" x14ac:dyDescent="0.2">
      <c r="B66" t="s">
        <v>341</v>
      </c>
      <c r="C66" s="12">
        <v>15</v>
      </c>
      <c r="D66" s="8">
        <v>1.8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294</v>
      </c>
      <c r="C67" s="12">
        <v>14</v>
      </c>
      <c r="D67" s="8">
        <v>1.68</v>
      </c>
      <c r="E67" s="12">
        <v>6</v>
      </c>
      <c r="F67" s="8">
        <v>1.68</v>
      </c>
      <c r="G67" s="12">
        <v>8</v>
      </c>
      <c r="H67" s="8">
        <v>1.79</v>
      </c>
      <c r="I67" s="12">
        <v>0</v>
      </c>
    </row>
    <row r="68" spans="2:9" ht="15" customHeight="1" x14ac:dyDescent="0.2">
      <c r="B68" t="s">
        <v>305</v>
      </c>
      <c r="C68" s="12">
        <v>13</v>
      </c>
      <c r="D68" s="8">
        <v>1.56</v>
      </c>
      <c r="E68" s="12">
        <v>12</v>
      </c>
      <c r="F68" s="8">
        <v>3.35</v>
      </c>
      <c r="G68" s="12">
        <v>1</v>
      </c>
      <c r="H68" s="8">
        <v>0.22</v>
      </c>
      <c r="I68" s="12">
        <v>0</v>
      </c>
    </row>
    <row r="69" spans="2:9" ht="15" customHeight="1" x14ac:dyDescent="0.2">
      <c r="B69" t="s">
        <v>323</v>
      </c>
      <c r="C69" s="12">
        <v>12</v>
      </c>
      <c r="D69" s="8">
        <v>1.44</v>
      </c>
      <c r="E69" s="12">
        <v>8</v>
      </c>
      <c r="F69" s="8">
        <v>2.23</v>
      </c>
      <c r="G69" s="12">
        <v>4</v>
      </c>
      <c r="H69" s="8">
        <v>0.89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27683-60E4-4F89-A9A9-E469EB817E52}">
  <sheetPr>
    <pageSetUpPr fitToPage="1"/>
  </sheetPr>
  <dimension ref="B2:I7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56</v>
      </c>
      <c r="D6" s="8">
        <v>18.86</v>
      </c>
      <c r="E6" s="12">
        <v>13</v>
      </c>
      <c r="F6" s="8">
        <v>9.0299999999999994</v>
      </c>
      <c r="G6" s="12">
        <v>43</v>
      </c>
      <c r="H6" s="8">
        <v>29.86</v>
      </c>
      <c r="I6" s="12">
        <v>0</v>
      </c>
    </row>
    <row r="7" spans="2:9" ht="15" customHeight="1" x14ac:dyDescent="0.2">
      <c r="B7" t="s">
        <v>192</v>
      </c>
      <c r="C7" s="12">
        <v>22</v>
      </c>
      <c r="D7" s="8">
        <v>7.41</v>
      </c>
      <c r="E7" s="12">
        <v>7</v>
      </c>
      <c r="F7" s="8">
        <v>4.8600000000000003</v>
      </c>
      <c r="G7" s="12">
        <v>15</v>
      </c>
      <c r="H7" s="8">
        <v>10.42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4</v>
      </c>
      <c r="D9" s="8">
        <v>1.35</v>
      </c>
      <c r="E9" s="12">
        <v>1</v>
      </c>
      <c r="F9" s="8">
        <v>0.69</v>
      </c>
      <c r="G9" s="12">
        <v>3</v>
      </c>
      <c r="H9" s="8">
        <v>2.08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0.67</v>
      </c>
      <c r="E10" s="12">
        <v>0</v>
      </c>
      <c r="F10" s="8">
        <v>0</v>
      </c>
      <c r="G10" s="12">
        <v>2</v>
      </c>
      <c r="H10" s="8">
        <v>1.39</v>
      </c>
      <c r="I10" s="12">
        <v>0</v>
      </c>
    </row>
    <row r="11" spans="2:9" ht="15" customHeight="1" x14ac:dyDescent="0.2">
      <c r="B11" t="s">
        <v>196</v>
      </c>
      <c r="C11" s="12">
        <v>63</v>
      </c>
      <c r="D11" s="8">
        <v>21.21</v>
      </c>
      <c r="E11" s="12">
        <v>21</v>
      </c>
      <c r="F11" s="8">
        <v>14.58</v>
      </c>
      <c r="G11" s="12">
        <v>41</v>
      </c>
      <c r="H11" s="8">
        <v>28.47</v>
      </c>
      <c r="I11" s="12">
        <v>1</v>
      </c>
    </row>
    <row r="12" spans="2:9" ht="15" customHeight="1" x14ac:dyDescent="0.2">
      <c r="B12" t="s">
        <v>197</v>
      </c>
      <c r="C12" s="12">
        <v>3</v>
      </c>
      <c r="D12" s="8">
        <v>1.01</v>
      </c>
      <c r="E12" s="12">
        <v>2</v>
      </c>
      <c r="F12" s="8">
        <v>1.39</v>
      </c>
      <c r="G12" s="12">
        <v>1</v>
      </c>
      <c r="H12" s="8">
        <v>0.69</v>
      </c>
      <c r="I12" s="12">
        <v>0</v>
      </c>
    </row>
    <row r="13" spans="2:9" ht="15" customHeight="1" x14ac:dyDescent="0.2">
      <c r="B13" t="s">
        <v>198</v>
      </c>
      <c r="C13" s="12">
        <v>43</v>
      </c>
      <c r="D13" s="8">
        <v>14.48</v>
      </c>
      <c r="E13" s="12">
        <v>32</v>
      </c>
      <c r="F13" s="8">
        <v>22.22</v>
      </c>
      <c r="G13" s="12">
        <v>11</v>
      </c>
      <c r="H13" s="8">
        <v>7.64</v>
      </c>
      <c r="I13" s="12">
        <v>0</v>
      </c>
    </row>
    <row r="14" spans="2:9" ht="15" customHeight="1" x14ac:dyDescent="0.2">
      <c r="B14" t="s">
        <v>199</v>
      </c>
      <c r="C14" s="12">
        <v>12</v>
      </c>
      <c r="D14" s="8">
        <v>4.04</v>
      </c>
      <c r="E14" s="12">
        <v>6</v>
      </c>
      <c r="F14" s="8">
        <v>4.17</v>
      </c>
      <c r="G14" s="12">
        <v>6</v>
      </c>
      <c r="H14" s="8">
        <v>4.17</v>
      </c>
      <c r="I14" s="12">
        <v>0</v>
      </c>
    </row>
    <row r="15" spans="2:9" ht="15" customHeight="1" x14ac:dyDescent="0.2">
      <c r="B15" t="s">
        <v>200</v>
      </c>
      <c r="C15" s="12">
        <v>24</v>
      </c>
      <c r="D15" s="8">
        <v>8.08</v>
      </c>
      <c r="E15" s="12">
        <v>18</v>
      </c>
      <c r="F15" s="8">
        <v>12.5</v>
      </c>
      <c r="G15" s="12">
        <v>5</v>
      </c>
      <c r="H15" s="8">
        <v>3.47</v>
      </c>
      <c r="I15" s="12">
        <v>0</v>
      </c>
    </row>
    <row r="16" spans="2:9" ht="15" customHeight="1" x14ac:dyDescent="0.2">
      <c r="B16" t="s">
        <v>201</v>
      </c>
      <c r="C16" s="12">
        <v>39</v>
      </c>
      <c r="D16" s="8">
        <v>13.13</v>
      </c>
      <c r="E16" s="12">
        <v>34</v>
      </c>
      <c r="F16" s="8">
        <v>23.61</v>
      </c>
      <c r="G16" s="12">
        <v>5</v>
      </c>
      <c r="H16" s="8">
        <v>3.47</v>
      </c>
      <c r="I16" s="12">
        <v>0</v>
      </c>
    </row>
    <row r="17" spans="2:9" ht="15" customHeight="1" x14ac:dyDescent="0.2">
      <c r="B17" t="s">
        <v>202</v>
      </c>
      <c r="C17" s="12">
        <v>9</v>
      </c>
      <c r="D17" s="8">
        <v>3.03</v>
      </c>
      <c r="E17" s="12">
        <v>6</v>
      </c>
      <c r="F17" s="8">
        <v>4.17</v>
      </c>
      <c r="G17" s="12">
        <v>1</v>
      </c>
      <c r="H17" s="8">
        <v>0.69</v>
      </c>
      <c r="I17" s="12">
        <v>0</v>
      </c>
    </row>
    <row r="18" spans="2:9" ht="15" customHeight="1" x14ac:dyDescent="0.2">
      <c r="B18" t="s">
        <v>203</v>
      </c>
      <c r="C18" s="12">
        <v>12</v>
      </c>
      <c r="D18" s="8">
        <v>4.04</v>
      </c>
      <c r="E18" s="12">
        <v>2</v>
      </c>
      <c r="F18" s="8">
        <v>1.39</v>
      </c>
      <c r="G18" s="12">
        <v>7</v>
      </c>
      <c r="H18" s="8">
        <v>4.8600000000000003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2.69</v>
      </c>
      <c r="E19" s="12">
        <v>2</v>
      </c>
      <c r="F19" s="8">
        <v>1.39</v>
      </c>
      <c r="G19" s="12">
        <v>4</v>
      </c>
      <c r="H19" s="8">
        <v>2.78</v>
      </c>
      <c r="I19" s="12">
        <v>0</v>
      </c>
    </row>
    <row r="20" spans="2:9" ht="15" customHeight="1" x14ac:dyDescent="0.2">
      <c r="B20" s="9" t="s">
        <v>529</v>
      </c>
      <c r="C20" s="12">
        <f>SUM(LTBL_01303[総数／事業所数])</f>
        <v>297</v>
      </c>
      <c r="E20" s="12">
        <f>SUBTOTAL(109,LTBL_01303[個人／事業所数])</f>
        <v>144</v>
      </c>
      <c r="G20" s="12">
        <f>SUBTOTAL(109,LTBL_01303[法人／事業所数])</f>
        <v>144</v>
      </c>
      <c r="I20" s="12">
        <f>SUBTOTAL(109,LTBL_01303[法人以外の団体／事業所数])</f>
        <v>1</v>
      </c>
    </row>
    <row r="21" spans="2:9" ht="15" customHeight="1" x14ac:dyDescent="0.2">
      <c r="E21" s="11">
        <f>LTBL_01303[[#Totals],[個人／事業所数]]/LTBL_01303[[#Totals],[総数／事業所数]]</f>
        <v>0.48484848484848486</v>
      </c>
      <c r="G21" s="11">
        <f>LTBL_01303[[#Totals],[法人／事業所数]]/LTBL_01303[[#Totals],[総数／事業所数]]</f>
        <v>0.48484848484848486</v>
      </c>
      <c r="I21" s="11">
        <f>LTBL_01303[[#Totals],[法人以外の団体／事業所数]]/LTBL_01303[[#Totals],[総数／事業所数]]</f>
        <v>3.3670033670033669E-3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40</v>
      </c>
      <c r="D24" s="8">
        <v>13.47</v>
      </c>
      <c r="E24" s="12">
        <v>31</v>
      </c>
      <c r="F24" s="8">
        <v>21.53</v>
      </c>
      <c r="G24" s="12">
        <v>9</v>
      </c>
      <c r="H24" s="8">
        <v>6.25</v>
      </c>
      <c r="I24" s="12">
        <v>0</v>
      </c>
    </row>
    <row r="25" spans="2:9" ht="15" customHeight="1" x14ac:dyDescent="0.2">
      <c r="B25" t="s">
        <v>228</v>
      </c>
      <c r="C25" s="12">
        <v>31</v>
      </c>
      <c r="D25" s="8">
        <v>10.44</v>
      </c>
      <c r="E25" s="12">
        <v>29</v>
      </c>
      <c r="F25" s="8">
        <v>20.14</v>
      </c>
      <c r="G25" s="12">
        <v>2</v>
      </c>
      <c r="H25" s="8">
        <v>1.39</v>
      </c>
      <c r="I25" s="12">
        <v>0</v>
      </c>
    </row>
    <row r="26" spans="2:9" ht="15" customHeight="1" x14ac:dyDescent="0.2">
      <c r="B26" t="s">
        <v>214</v>
      </c>
      <c r="C26" s="12">
        <v>28</v>
      </c>
      <c r="D26" s="8">
        <v>9.43</v>
      </c>
      <c r="E26" s="12">
        <v>7</v>
      </c>
      <c r="F26" s="8">
        <v>4.8600000000000003</v>
      </c>
      <c r="G26" s="12">
        <v>21</v>
      </c>
      <c r="H26" s="8">
        <v>14.58</v>
      </c>
      <c r="I26" s="12">
        <v>0</v>
      </c>
    </row>
    <row r="27" spans="2:9" ht="15" customHeight="1" x14ac:dyDescent="0.2">
      <c r="B27" t="s">
        <v>213</v>
      </c>
      <c r="C27" s="12">
        <v>19</v>
      </c>
      <c r="D27" s="8">
        <v>6.4</v>
      </c>
      <c r="E27" s="12">
        <v>4</v>
      </c>
      <c r="F27" s="8">
        <v>2.78</v>
      </c>
      <c r="G27" s="12">
        <v>15</v>
      </c>
      <c r="H27" s="8">
        <v>10.42</v>
      </c>
      <c r="I27" s="12">
        <v>0</v>
      </c>
    </row>
    <row r="28" spans="2:9" ht="15" customHeight="1" x14ac:dyDescent="0.2">
      <c r="B28" t="s">
        <v>223</v>
      </c>
      <c r="C28" s="12">
        <v>16</v>
      </c>
      <c r="D28" s="8">
        <v>5.39</v>
      </c>
      <c r="E28" s="12">
        <v>4</v>
      </c>
      <c r="F28" s="8">
        <v>2.78</v>
      </c>
      <c r="G28" s="12">
        <v>12</v>
      </c>
      <c r="H28" s="8">
        <v>8.33</v>
      </c>
      <c r="I28" s="12">
        <v>0</v>
      </c>
    </row>
    <row r="29" spans="2:9" ht="15" customHeight="1" x14ac:dyDescent="0.2">
      <c r="B29" t="s">
        <v>227</v>
      </c>
      <c r="C29" s="12">
        <v>16</v>
      </c>
      <c r="D29" s="8">
        <v>5.39</v>
      </c>
      <c r="E29" s="12">
        <v>15</v>
      </c>
      <c r="F29" s="8">
        <v>10.42</v>
      </c>
      <c r="G29" s="12">
        <v>1</v>
      </c>
      <c r="H29" s="8">
        <v>0.69</v>
      </c>
      <c r="I29" s="12">
        <v>0</v>
      </c>
    </row>
    <row r="30" spans="2:9" ht="15" customHeight="1" x14ac:dyDescent="0.2">
      <c r="B30" t="s">
        <v>221</v>
      </c>
      <c r="C30" s="12">
        <v>15</v>
      </c>
      <c r="D30" s="8">
        <v>5.05</v>
      </c>
      <c r="E30" s="12">
        <v>6</v>
      </c>
      <c r="F30" s="8">
        <v>4.17</v>
      </c>
      <c r="G30" s="12">
        <v>8</v>
      </c>
      <c r="H30" s="8">
        <v>5.56</v>
      </c>
      <c r="I30" s="12">
        <v>1</v>
      </c>
    </row>
    <row r="31" spans="2:9" ht="15" customHeight="1" x14ac:dyDescent="0.2">
      <c r="B31" t="s">
        <v>222</v>
      </c>
      <c r="C31" s="12">
        <v>12</v>
      </c>
      <c r="D31" s="8">
        <v>4.04</v>
      </c>
      <c r="E31" s="12">
        <v>3</v>
      </c>
      <c r="F31" s="8">
        <v>2.08</v>
      </c>
      <c r="G31" s="12">
        <v>9</v>
      </c>
      <c r="H31" s="8">
        <v>6.25</v>
      </c>
      <c r="I31" s="12">
        <v>0</v>
      </c>
    </row>
    <row r="32" spans="2:9" ht="15" customHeight="1" x14ac:dyDescent="0.2">
      <c r="B32" t="s">
        <v>232</v>
      </c>
      <c r="C32" s="12">
        <v>10</v>
      </c>
      <c r="D32" s="8">
        <v>3.37</v>
      </c>
      <c r="E32" s="12">
        <v>0</v>
      </c>
      <c r="F32" s="8">
        <v>0</v>
      </c>
      <c r="G32" s="12">
        <v>7</v>
      </c>
      <c r="H32" s="8">
        <v>4.8600000000000003</v>
      </c>
      <c r="I32" s="12">
        <v>0</v>
      </c>
    </row>
    <row r="33" spans="2:9" ht="15" customHeight="1" x14ac:dyDescent="0.2">
      <c r="B33" t="s">
        <v>215</v>
      </c>
      <c r="C33" s="12">
        <v>9</v>
      </c>
      <c r="D33" s="8">
        <v>3.03</v>
      </c>
      <c r="E33" s="12">
        <v>2</v>
      </c>
      <c r="F33" s="8">
        <v>1.39</v>
      </c>
      <c r="G33" s="12">
        <v>7</v>
      </c>
      <c r="H33" s="8">
        <v>4.8600000000000003</v>
      </c>
      <c r="I33" s="12">
        <v>0</v>
      </c>
    </row>
    <row r="34" spans="2:9" ht="15" customHeight="1" x14ac:dyDescent="0.2">
      <c r="B34" t="s">
        <v>230</v>
      </c>
      <c r="C34" s="12">
        <v>9</v>
      </c>
      <c r="D34" s="8">
        <v>3.03</v>
      </c>
      <c r="E34" s="12">
        <v>6</v>
      </c>
      <c r="F34" s="8">
        <v>4.17</v>
      </c>
      <c r="G34" s="12">
        <v>1</v>
      </c>
      <c r="H34" s="8">
        <v>0.69</v>
      </c>
      <c r="I34" s="12">
        <v>0</v>
      </c>
    </row>
    <row r="35" spans="2:9" ht="15" customHeight="1" x14ac:dyDescent="0.2">
      <c r="B35" t="s">
        <v>226</v>
      </c>
      <c r="C35" s="12">
        <v>8</v>
      </c>
      <c r="D35" s="8">
        <v>2.69</v>
      </c>
      <c r="E35" s="12">
        <v>4</v>
      </c>
      <c r="F35" s="8">
        <v>2.78</v>
      </c>
      <c r="G35" s="12">
        <v>4</v>
      </c>
      <c r="H35" s="8">
        <v>2.78</v>
      </c>
      <c r="I35" s="12">
        <v>0</v>
      </c>
    </row>
    <row r="36" spans="2:9" ht="15" customHeight="1" x14ac:dyDescent="0.2">
      <c r="B36" t="s">
        <v>253</v>
      </c>
      <c r="C36" s="12">
        <v>7</v>
      </c>
      <c r="D36" s="8">
        <v>2.36</v>
      </c>
      <c r="E36" s="12">
        <v>3</v>
      </c>
      <c r="F36" s="8">
        <v>2.08</v>
      </c>
      <c r="G36" s="12">
        <v>4</v>
      </c>
      <c r="H36" s="8">
        <v>2.78</v>
      </c>
      <c r="I36" s="12">
        <v>0</v>
      </c>
    </row>
    <row r="37" spans="2:9" ht="15" customHeight="1" x14ac:dyDescent="0.2">
      <c r="B37" t="s">
        <v>241</v>
      </c>
      <c r="C37" s="12">
        <v>6</v>
      </c>
      <c r="D37" s="8">
        <v>2.02</v>
      </c>
      <c r="E37" s="12">
        <v>2</v>
      </c>
      <c r="F37" s="8">
        <v>1.39</v>
      </c>
      <c r="G37" s="12">
        <v>4</v>
      </c>
      <c r="H37" s="8">
        <v>2.78</v>
      </c>
      <c r="I37" s="12">
        <v>0</v>
      </c>
    </row>
    <row r="38" spans="2:9" ht="15" customHeight="1" x14ac:dyDescent="0.2">
      <c r="B38" t="s">
        <v>243</v>
      </c>
      <c r="C38" s="12">
        <v>6</v>
      </c>
      <c r="D38" s="8">
        <v>2.02</v>
      </c>
      <c r="E38" s="12">
        <v>3</v>
      </c>
      <c r="F38" s="8">
        <v>2.08</v>
      </c>
      <c r="G38" s="12">
        <v>3</v>
      </c>
      <c r="H38" s="8">
        <v>2.08</v>
      </c>
      <c r="I38" s="12">
        <v>0</v>
      </c>
    </row>
    <row r="39" spans="2:9" ht="15" customHeight="1" x14ac:dyDescent="0.2">
      <c r="B39" t="s">
        <v>229</v>
      </c>
      <c r="C39" s="12">
        <v>6</v>
      </c>
      <c r="D39" s="8">
        <v>2.02</v>
      </c>
      <c r="E39" s="12">
        <v>4</v>
      </c>
      <c r="F39" s="8">
        <v>2.78</v>
      </c>
      <c r="G39" s="12">
        <v>2</v>
      </c>
      <c r="H39" s="8">
        <v>1.39</v>
      </c>
      <c r="I39" s="12">
        <v>0</v>
      </c>
    </row>
    <row r="40" spans="2:9" ht="15" customHeight="1" x14ac:dyDescent="0.2">
      <c r="B40" t="s">
        <v>219</v>
      </c>
      <c r="C40" s="12">
        <v>5</v>
      </c>
      <c r="D40" s="8">
        <v>1.68</v>
      </c>
      <c r="E40" s="12">
        <v>1</v>
      </c>
      <c r="F40" s="8">
        <v>0.69</v>
      </c>
      <c r="G40" s="12">
        <v>4</v>
      </c>
      <c r="H40" s="8">
        <v>2.78</v>
      </c>
      <c r="I40" s="12">
        <v>0</v>
      </c>
    </row>
    <row r="41" spans="2:9" ht="15" customHeight="1" x14ac:dyDescent="0.2">
      <c r="B41" t="s">
        <v>220</v>
      </c>
      <c r="C41" s="12">
        <v>4</v>
      </c>
      <c r="D41" s="8">
        <v>1.35</v>
      </c>
      <c r="E41" s="12">
        <v>3</v>
      </c>
      <c r="F41" s="8">
        <v>2.08</v>
      </c>
      <c r="G41" s="12">
        <v>1</v>
      </c>
      <c r="H41" s="8">
        <v>0.69</v>
      </c>
      <c r="I41" s="12">
        <v>0</v>
      </c>
    </row>
    <row r="42" spans="2:9" ht="15" customHeight="1" x14ac:dyDescent="0.2">
      <c r="B42" t="s">
        <v>225</v>
      </c>
      <c r="C42" s="12">
        <v>4</v>
      </c>
      <c r="D42" s="8">
        <v>1.35</v>
      </c>
      <c r="E42" s="12">
        <v>2</v>
      </c>
      <c r="F42" s="8">
        <v>1.39</v>
      </c>
      <c r="G42" s="12">
        <v>2</v>
      </c>
      <c r="H42" s="8">
        <v>1.39</v>
      </c>
      <c r="I42" s="12">
        <v>0</v>
      </c>
    </row>
    <row r="43" spans="2:9" ht="15" customHeight="1" x14ac:dyDescent="0.2">
      <c r="B43" t="s">
        <v>235</v>
      </c>
      <c r="C43" s="12">
        <v>3</v>
      </c>
      <c r="D43" s="8">
        <v>1.01</v>
      </c>
      <c r="E43" s="12">
        <v>0</v>
      </c>
      <c r="F43" s="8">
        <v>0</v>
      </c>
      <c r="G43" s="12">
        <v>3</v>
      </c>
      <c r="H43" s="8">
        <v>2.08</v>
      </c>
      <c r="I43" s="12">
        <v>0</v>
      </c>
    </row>
    <row r="44" spans="2:9" ht="15" customHeight="1" x14ac:dyDescent="0.2">
      <c r="B44" t="s">
        <v>216</v>
      </c>
      <c r="C44" s="12">
        <v>3</v>
      </c>
      <c r="D44" s="8">
        <v>1.01</v>
      </c>
      <c r="E44" s="12">
        <v>2</v>
      </c>
      <c r="F44" s="8">
        <v>1.39</v>
      </c>
      <c r="G44" s="12">
        <v>1</v>
      </c>
      <c r="H44" s="8">
        <v>0.69</v>
      </c>
      <c r="I44" s="12">
        <v>0</v>
      </c>
    </row>
    <row r="45" spans="2:9" ht="15" customHeight="1" x14ac:dyDescent="0.2">
      <c r="B45" t="s">
        <v>217</v>
      </c>
      <c r="C45" s="12">
        <v>3</v>
      </c>
      <c r="D45" s="8">
        <v>1.01</v>
      </c>
      <c r="E45" s="12">
        <v>1</v>
      </c>
      <c r="F45" s="8">
        <v>0.69</v>
      </c>
      <c r="G45" s="12">
        <v>2</v>
      </c>
      <c r="H45" s="8">
        <v>1.39</v>
      </c>
      <c r="I45" s="12">
        <v>0</v>
      </c>
    </row>
    <row r="46" spans="2:9" ht="15" customHeight="1" x14ac:dyDescent="0.2">
      <c r="B46" t="s">
        <v>236</v>
      </c>
      <c r="C46" s="12">
        <v>3</v>
      </c>
      <c r="D46" s="8">
        <v>1.01</v>
      </c>
      <c r="E46" s="12">
        <v>1</v>
      </c>
      <c r="F46" s="8">
        <v>0.69</v>
      </c>
      <c r="G46" s="12">
        <v>2</v>
      </c>
      <c r="H46" s="8">
        <v>1.39</v>
      </c>
      <c r="I46" s="12">
        <v>0</v>
      </c>
    </row>
    <row r="47" spans="2:9" ht="15" customHeight="1" x14ac:dyDescent="0.2">
      <c r="B47" t="s">
        <v>237</v>
      </c>
      <c r="C47" s="12">
        <v>3</v>
      </c>
      <c r="D47" s="8">
        <v>1.01</v>
      </c>
      <c r="E47" s="12">
        <v>2</v>
      </c>
      <c r="F47" s="8">
        <v>1.39</v>
      </c>
      <c r="G47" s="12">
        <v>1</v>
      </c>
      <c r="H47" s="8">
        <v>0.69</v>
      </c>
      <c r="I47" s="12">
        <v>0</v>
      </c>
    </row>
    <row r="48" spans="2:9" ht="15" customHeight="1" x14ac:dyDescent="0.2">
      <c r="B48" t="s">
        <v>240</v>
      </c>
      <c r="C48" s="12">
        <v>3</v>
      </c>
      <c r="D48" s="8">
        <v>1.01</v>
      </c>
      <c r="E48" s="12">
        <v>1</v>
      </c>
      <c r="F48" s="8">
        <v>0.69</v>
      </c>
      <c r="G48" s="12">
        <v>2</v>
      </c>
      <c r="H48" s="8">
        <v>1.39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297</v>
      </c>
      <c r="C52" s="12">
        <v>38</v>
      </c>
      <c r="D52" s="8">
        <v>12.79</v>
      </c>
      <c r="E52" s="12">
        <v>31</v>
      </c>
      <c r="F52" s="8">
        <v>21.53</v>
      </c>
      <c r="G52" s="12">
        <v>7</v>
      </c>
      <c r="H52" s="8">
        <v>4.8600000000000003</v>
      </c>
      <c r="I52" s="12">
        <v>0</v>
      </c>
    </row>
    <row r="53" spans="2:9" ht="15" customHeight="1" x14ac:dyDescent="0.2">
      <c r="B53" t="s">
        <v>304</v>
      </c>
      <c r="C53" s="12">
        <v>17</v>
      </c>
      <c r="D53" s="8">
        <v>5.72</v>
      </c>
      <c r="E53" s="12">
        <v>17</v>
      </c>
      <c r="F53" s="8">
        <v>11.81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303</v>
      </c>
      <c r="C54" s="12">
        <v>10</v>
      </c>
      <c r="D54" s="8">
        <v>3.37</v>
      </c>
      <c r="E54" s="12">
        <v>10</v>
      </c>
      <c r="F54" s="8">
        <v>6.94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293</v>
      </c>
      <c r="C55" s="12">
        <v>8</v>
      </c>
      <c r="D55" s="8">
        <v>2.69</v>
      </c>
      <c r="E55" s="12">
        <v>1</v>
      </c>
      <c r="F55" s="8">
        <v>0.69</v>
      </c>
      <c r="G55" s="12">
        <v>7</v>
      </c>
      <c r="H55" s="8">
        <v>4.8600000000000003</v>
      </c>
      <c r="I55" s="12">
        <v>0</v>
      </c>
    </row>
    <row r="56" spans="2:9" ht="15" customHeight="1" x14ac:dyDescent="0.2">
      <c r="B56" t="s">
        <v>288</v>
      </c>
      <c r="C56" s="12">
        <v>6</v>
      </c>
      <c r="D56" s="8">
        <v>2.02</v>
      </c>
      <c r="E56" s="12">
        <v>0</v>
      </c>
      <c r="F56" s="8">
        <v>0</v>
      </c>
      <c r="G56" s="12">
        <v>6</v>
      </c>
      <c r="H56" s="8">
        <v>4.17</v>
      </c>
      <c r="I56" s="12">
        <v>0</v>
      </c>
    </row>
    <row r="57" spans="2:9" ht="15" customHeight="1" x14ac:dyDescent="0.2">
      <c r="B57" t="s">
        <v>328</v>
      </c>
      <c r="C57" s="12">
        <v>6</v>
      </c>
      <c r="D57" s="8">
        <v>2.02</v>
      </c>
      <c r="E57" s="12">
        <v>1</v>
      </c>
      <c r="F57" s="8">
        <v>0.69</v>
      </c>
      <c r="G57" s="12">
        <v>5</v>
      </c>
      <c r="H57" s="8">
        <v>3.47</v>
      </c>
      <c r="I57" s="12">
        <v>0</v>
      </c>
    </row>
    <row r="58" spans="2:9" ht="15" customHeight="1" x14ac:dyDescent="0.2">
      <c r="B58" t="s">
        <v>353</v>
      </c>
      <c r="C58" s="12">
        <v>5</v>
      </c>
      <c r="D58" s="8">
        <v>1.68</v>
      </c>
      <c r="E58" s="12">
        <v>0</v>
      </c>
      <c r="F58" s="8">
        <v>0</v>
      </c>
      <c r="G58" s="12">
        <v>5</v>
      </c>
      <c r="H58" s="8">
        <v>3.47</v>
      </c>
      <c r="I58" s="12">
        <v>0</v>
      </c>
    </row>
    <row r="59" spans="2:9" ht="15" customHeight="1" x14ac:dyDescent="0.2">
      <c r="B59" t="s">
        <v>375</v>
      </c>
      <c r="C59" s="12">
        <v>5</v>
      </c>
      <c r="D59" s="8">
        <v>1.68</v>
      </c>
      <c r="E59" s="12">
        <v>2</v>
      </c>
      <c r="F59" s="8">
        <v>1.39</v>
      </c>
      <c r="G59" s="12">
        <v>3</v>
      </c>
      <c r="H59" s="8">
        <v>2.08</v>
      </c>
      <c r="I59" s="12">
        <v>0</v>
      </c>
    </row>
    <row r="60" spans="2:9" ht="15" customHeight="1" x14ac:dyDescent="0.2">
      <c r="B60" t="s">
        <v>343</v>
      </c>
      <c r="C60" s="12">
        <v>5</v>
      </c>
      <c r="D60" s="8">
        <v>1.68</v>
      </c>
      <c r="E60" s="12">
        <v>1</v>
      </c>
      <c r="F60" s="8">
        <v>0.69</v>
      </c>
      <c r="G60" s="12">
        <v>4</v>
      </c>
      <c r="H60" s="8">
        <v>2.78</v>
      </c>
      <c r="I60" s="12">
        <v>0</v>
      </c>
    </row>
    <row r="61" spans="2:9" ht="15" customHeight="1" x14ac:dyDescent="0.2">
      <c r="B61" t="s">
        <v>291</v>
      </c>
      <c r="C61" s="12">
        <v>5</v>
      </c>
      <c r="D61" s="8">
        <v>1.68</v>
      </c>
      <c r="E61" s="12">
        <v>2</v>
      </c>
      <c r="F61" s="8">
        <v>1.39</v>
      </c>
      <c r="G61" s="12">
        <v>3</v>
      </c>
      <c r="H61" s="8">
        <v>2.08</v>
      </c>
      <c r="I61" s="12">
        <v>0</v>
      </c>
    </row>
    <row r="62" spans="2:9" ht="15" customHeight="1" x14ac:dyDescent="0.2">
      <c r="B62" t="s">
        <v>309</v>
      </c>
      <c r="C62" s="12">
        <v>5</v>
      </c>
      <c r="D62" s="8">
        <v>1.68</v>
      </c>
      <c r="E62" s="12">
        <v>1</v>
      </c>
      <c r="F62" s="8">
        <v>0.69</v>
      </c>
      <c r="G62" s="12">
        <v>4</v>
      </c>
      <c r="H62" s="8">
        <v>2.78</v>
      </c>
      <c r="I62" s="12">
        <v>0</v>
      </c>
    </row>
    <row r="63" spans="2:9" ht="15" customHeight="1" x14ac:dyDescent="0.2">
      <c r="B63" t="s">
        <v>332</v>
      </c>
      <c r="C63" s="12">
        <v>5</v>
      </c>
      <c r="D63" s="8">
        <v>1.68</v>
      </c>
      <c r="E63" s="12">
        <v>1</v>
      </c>
      <c r="F63" s="8">
        <v>0.69</v>
      </c>
      <c r="G63" s="12">
        <v>4</v>
      </c>
      <c r="H63" s="8">
        <v>2.78</v>
      </c>
      <c r="I63" s="12">
        <v>0</v>
      </c>
    </row>
    <row r="64" spans="2:9" ht="15" customHeight="1" x14ac:dyDescent="0.2">
      <c r="B64" t="s">
        <v>329</v>
      </c>
      <c r="C64" s="12">
        <v>5</v>
      </c>
      <c r="D64" s="8">
        <v>1.68</v>
      </c>
      <c r="E64" s="12">
        <v>3</v>
      </c>
      <c r="F64" s="8">
        <v>2.08</v>
      </c>
      <c r="G64" s="12">
        <v>1</v>
      </c>
      <c r="H64" s="8">
        <v>0.69</v>
      </c>
      <c r="I64" s="12">
        <v>1</v>
      </c>
    </row>
    <row r="65" spans="2:9" ht="15" customHeight="1" x14ac:dyDescent="0.2">
      <c r="B65" t="s">
        <v>339</v>
      </c>
      <c r="C65" s="12">
        <v>5</v>
      </c>
      <c r="D65" s="8">
        <v>1.68</v>
      </c>
      <c r="E65" s="12">
        <v>3</v>
      </c>
      <c r="F65" s="8">
        <v>2.08</v>
      </c>
      <c r="G65" s="12">
        <v>2</v>
      </c>
      <c r="H65" s="8">
        <v>1.39</v>
      </c>
      <c r="I65" s="12">
        <v>0</v>
      </c>
    </row>
    <row r="66" spans="2:9" ht="15" customHeight="1" x14ac:dyDescent="0.2">
      <c r="B66" t="s">
        <v>334</v>
      </c>
      <c r="C66" s="12">
        <v>5</v>
      </c>
      <c r="D66" s="8">
        <v>1.68</v>
      </c>
      <c r="E66" s="12">
        <v>5</v>
      </c>
      <c r="F66" s="8">
        <v>3.47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352</v>
      </c>
      <c r="C67" s="12">
        <v>5</v>
      </c>
      <c r="D67" s="8">
        <v>1.68</v>
      </c>
      <c r="E67" s="12">
        <v>4</v>
      </c>
      <c r="F67" s="8">
        <v>2.78</v>
      </c>
      <c r="G67" s="12">
        <v>1</v>
      </c>
      <c r="H67" s="8">
        <v>0.69</v>
      </c>
      <c r="I67" s="12">
        <v>0</v>
      </c>
    </row>
    <row r="68" spans="2:9" ht="15" customHeight="1" x14ac:dyDescent="0.2">
      <c r="B68" t="s">
        <v>327</v>
      </c>
      <c r="C68" s="12">
        <v>5</v>
      </c>
      <c r="D68" s="8">
        <v>1.68</v>
      </c>
      <c r="E68" s="12">
        <v>4</v>
      </c>
      <c r="F68" s="8">
        <v>2.78</v>
      </c>
      <c r="G68" s="12">
        <v>1</v>
      </c>
      <c r="H68" s="8">
        <v>0.69</v>
      </c>
      <c r="I68" s="12">
        <v>0</v>
      </c>
    </row>
    <row r="69" spans="2:9" ht="15" customHeight="1" x14ac:dyDescent="0.2">
      <c r="B69" t="s">
        <v>289</v>
      </c>
      <c r="C69" s="12">
        <v>4</v>
      </c>
      <c r="D69" s="8">
        <v>1.35</v>
      </c>
      <c r="E69" s="12">
        <v>1</v>
      </c>
      <c r="F69" s="8">
        <v>0.69</v>
      </c>
      <c r="G69" s="12">
        <v>3</v>
      </c>
      <c r="H69" s="8">
        <v>2.08</v>
      </c>
      <c r="I69" s="12">
        <v>0</v>
      </c>
    </row>
    <row r="70" spans="2:9" ht="15" customHeight="1" x14ac:dyDescent="0.2">
      <c r="B70" t="s">
        <v>320</v>
      </c>
      <c r="C70" s="12">
        <v>4</v>
      </c>
      <c r="D70" s="8">
        <v>1.35</v>
      </c>
      <c r="E70" s="12">
        <v>1</v>
      </c>
      <c r="F70" s="8">
        <v>0.69</v>
      </c>
      <c r="G70" s="12">
        <v>3</v>
      </c>
      <c r="H70" s="8">
        <v>2.08</v>
      </c>
      <c r="I70" s="12">
        <v>0</v>
      </c>
    </row>
    <row r="71" spans="2:9" ht="15" customHeight="1" x14ac:dyDescent="0.2">
      <c r="B71" t="s">
        <v>290</v>
      </c>
      <c r="C71" s="12">
        <v>4</v>
      </c>
      <c r="D71" s="8">
        <v>1.35</v>
      </c>
      <c r="E71" s="12">
        <v>0</v>
      </c>
      <c r="F71" s="8">
        <v>0</v>
      </c>
      <c r="G71" s="12">
        <v>4</v>
      </c>
      <c r="H71" s="8">
        <v>2.78</v>
      </c>
      <c r="I71" s="12">
        <v>0</v>
      </c>
    </row>
    <row r="72" spans="2:9" ht="15" customHeight="1" x14ac:dyDescent="0.2">
      <c r="B72" t="s">
        <v>314</v>
      </c>
      <c r="C72" s="12">
        <v>4</v>
      </c>
      <c r="D72" s="8">
        <v>1.35</v>
      </c>
      <c r="E72" s="12">
        <v>3</v>
      </c>
      <c r="F72" s="8">
        <v>2.08</v>
      </c>
      <c r="G72" s="12">
        <v>1</v>
      </c>
      <c r="H72" s="8">
        <v>0.69</v>
      </c>
      <c r="I72" s="12">
        <v>0</v>
      </c>
    </row>
    <row r="73" spans="2:9" ht="15" customHeight="1" x14ac:dyDescent="0.2">
      <c r="B73" t="s">
        <v>299</v>
      </c>
      <c r="C73" s="12">
        <v>4</v>
      </c>
      <c r="D73" s="8">
        <v>1.35</v>
      </c>
      <c r="E73" s="12">
        <v>3</v>
      </c>
      <c r="F73" s="8">
        <v>2.08</v>
      </c>
      <c r="G73" s="12">
        <v>1</v>
      </c>
      <c r="H73" s="8">
        <v>0.69</v>
      </c>
      <c r="I73" s="12">
        <v>0</v>
      </c>
    </row>
    <row r="75" spans="2:9" ht="15" customHeight="1" x14ac:dyDescent="0.2">
      <c r="B7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2F559-130D-401A-8EF6-95A6CED5E4E3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579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</v>
      </c>
      <c r="D6" s="8">
        <v>15.15</v>
      </c>
      <c r="E6" s="12">
        <v>1</v>
      </c>
      <c r="F6" s="8">
        <v>12.5</v>
      </c>
      <c r="G6" s="12">
        <v>4</v>
      </c>
      <c r="H6" s="8">
        <v>18.18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18.18</v>
      </c>
      <c r="E7" s="12">
        <v>0</v>
      </c>
      <c r="F7" s="8">
        <v>0</v>
      </c>
      <c r="G7" s="12">
        <v>6</v>
      </c>
      <c r="H7" s="8">
        <v>27.27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6.06</v>
      </c>
      <c r="E10" s="12">
        <v>0</v>
      </c>
      <c r="F10" s="8">
        <v>0</v>
      </c>
      <c r="G10" s="12">
        <v>2</v>
      </c>
      <c r="H10" s="8">
        <v>9.09</v>
      </c>
      <c r="I10" s="12">
        <v>0</v>
      </c>
    </row>
    <row r="11" spans="2:9" ht="15" customHeight="1" x14ac:dyDescent="0.2">
      <c r="B11" t="s">
        <v>196</v>
      </c>
      <c r="C11" s="12">
        <v>6</v>
      </c>
      <c r="D11" s="8">
        <v>18.18</v>
      </c>
      <c r="E11" s="12">
        <v>2</v>
      </c>
      <c r="F11" s="8">
        <v>25</v>
      </c>
      <c r="G11" s="12">
        <v>4</v>
      </c>
      <c r="H11" s="8">
        <v>18.18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</v>
      </c>
      <c r="D13" s="8">
        <v>3.03</v>
      </c>
      <c r="E13" s="12">
        <v>0</v>
      </c>
      <c r="F13" s="8">
        <v>0</v>
      </c>
      <c r="G13" s="12">
        <v>1</v>
      </c>
      <c r="H13" s="8">
        <v>4.55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6</v>
      </c>
      <c r="D15" s="8">
        <v>18.18</v>
      </c>
      <c r="E15" s="12">
        <v>3</v>
      </c>
      <c r="F15" s="8">
        <v>37.5</v>
      </c>
      <c r="G15" s="12">
        <v>2</v>
      </c>
      <c r="H15" s="8">
        <v>9.09</v>
      </c>
      <c r="I15" s="12">
        <v>0</v>
      </c>
    </row>
    <row r="16" spans="2:9" ht="15" customHeight="1" x14ac:dyDescent="0.2">
      <c r="B16" t="s">
        <v>201</v>
      </c>
      <c r="C16" s="12">
        <v>4</v>
      </c>
      <c r="D16" s="8">
        <v>12.12</v>
      </c>
      <c r="E16" s="12">
        <v>2</v>
      </c>
      <c r="F16" s="8">
        <v>25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6.06</v>
      </c>
      <c r="E18" s="12">
        <v>0</v>
      </c>
      <c r="F18" s="8">
        <v>0</v>
      </c>
      <c r="G18" s="12">
        <v>2</v>
      </c>
      <c r="H18" s="8">
        <v>9.09</v>
      </c>
      <c r="I18" s="12">
        <v>0</v>
      </c>
    </row>
    <row r="19" spans="2:9" ht="15" customHeight="1" x14ac:dyDescent="0.2">
      <c r="B19" t="s">
        <v>204</v>
      </c>
      <c r="C19" s="12">
        <v>1</v>
      </c>
      <c r="D19" s="8">
        <v>3.03</v>
      </c>
      <c r="E19" s="12">
        <v>0</v>
      </c>
      <c r="F19" s="8">
        <v>0</v>
      </c>
      <c r="G19" s="12">
        <v>1</v>
      </c>
      <c r="H19" s="8">
        <v>4.55</v>
      </c>
      <c r="I19" s="12">
        <v>0</v>
      </c>
    </row>
    <row r="20" spans="2:9" ht="15" customHeight="1" x14ac:dyDescent="0.2">
      <c r="B20" s="9" t="s">
        <v>529</v>
      </c>
      <c r="C20" s="12">
        <f>SUM(LTBL_01304[総数／事業所数])</f>
        <v>33</v>
      </c>
      <c r="E20" s="12">
        <f>SUBTOTAL(109,LTBL_01304[個人／事業所数])</f>
        <v>8</v>
      </c>
      <c r="G20" s="12">
        <f>SUBTOTAL(109,LTBL_01304[法人／事業所数])</f>
        <v>22</v>
      </c>
      <c r="I20" s="12">
        <f>SUBTOTAL(109,LTBL_01304[法人以外の団体／事業所数])</f>
        <v>0</v>
      </c>
    </row>
    <row r="21" spans="2:9" ht="15" customHeight="1" x14ac:dyDescent="0.2">
      <c r="E21" s="11">
        <f>LTBL_01304[[#Totals],[個人／事業所数]]/LTBL_01304[[#Totals],[総数／事業所数]]</f>
        <v>0.24242424242424243</v>
      </c>
      <c r="G21" s="11">
        <f>LTBL_01304[[#Totals],[法人／事業所数]]/LTBL_01304[[#Totals],[総数／事業所数]]</f>
        <v>0.66666666666666663</v>
      </c>
      <c r="I21" s="11">
        <f>LTBL_01304[[#Totals],[法人以外の団体／事業所数]]/LTBL_01304[[#Totals],[総数／事業所数]]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241</v>
      </c>
      <c r="C24" s="12">
        <v>4</v>
      </c>
      <c r="D24" s="8">
        <v>12.12</v>
      </c>
      <c r="E24" s="12">
        <v>0</v>
      </c>
      <c r="F24" s="8">
        <v>0</v>
      </c>
      <c r="G24" s="12">
        <v>4</v>
      </c>
      <c r="H24" s="8">
        <v>18.18</v>
      </c>
      <c r="I24" s="12">
        <v>0</v>
      </c>
    </row>
    <row r="25" spans="2:9" ht="15" customHeight="1" x14ac:dyDescent="0.2">
      <c r="B25" t="s">
        <v>223</v>
      </c>
      <c r="C25" s="12">
        <v>3</v>
      </c>
      <c r="D25" s="8">
        <v>9.09</v>
      </c>
      <c r="E25" s="12">
        <v>1</v>
      </c>
      <c r="F25" s="8">
        <v>12.5</v>
      </c>
      <c r="G25" s="12">
        <v>2</v>
      </c>
      <c r="H25" s="8">
        <v>9.09</v>
      </c>
      <c r="I25" s="12">
        <v>0</v>
      </c>
    </row>
    <row r="26" spans="2:9" ht="15" customHeight="1" x14ac:dyDescent="0.2">
      <c r="B26" t="s">
        <v>227</v>
      </c>
      <c r="C26" s="12">
        <v>3</v>
      </c>
      <c r="D26" s="8">
        <v>9.09</v>
      </c>
      <c r="E26" s="12">
        <v>3</v>
      </c>
      <c r="F26" s="8">
        <v>37.5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239</v>
      </c>
      <c r="C27" s="12">
        <v>3</v>
      </c>
      <c r="D27" s="8">
        <v>9.09</v>
      </c>
      <c r="E27" s="12">
        <v>0</v>
      </c>
      <c r="F27" s="8">
        <v>0</v>
      </c>
      <c r="G27" s="12">
        <v>2</v>
      </c>
      <c r="H27" s="8">
        <v>9.09</v>
      </c>
      <c r="I27" s="12">
        <v>0</v>
      </c>
    </row>
    <row r="28" spans="2:9" ht="15" customHeight="1" x14ac:dyDescent="0.2">
      <c r="B28" t="s">
        <v>213</v>
      </c>
      <c r="C28" s="12">
        <v>2</v>
      </c>
      <c r="D28" s="8">
        <v>6.06</v>
      </c>
      <c r="E28" s="12">
        <v>0</v>
      </c>
      <c r="F28" s="8">
        <v>0</v>
      </c>
      <c r="G28" s="12">
        <v>2</v>
      </c>
      <c r="H28" s="8">
        <v>9.09</v>
      </c>
      <c r="I28" s="12">
        <v>0</v>
      </c>
    </row>
    <row r="29" spans="2:9" ht="15" customHeight="1" x14ac:dyDescent="0.2">
      <c r="B29" t="s">
        <v>215</v>
      </c>
      <c r="C29" s="12">
        <v>2</v>
      </c>
      <c r="D29" s="8">
        <v>6.06</v>
      </c>
      <c r="E29" s="12">
        <v>1</v>
      </c>
      <c r="F29" s="8">
        <v>12.5</v>
      </c>
      <c r="G29" s="12">
        <v>1</v>
      </c>
      <c r="H29" s="8">
        <v>4.55</v>
      </c>
      <c r="I29" s="12">
        <v>0</v>
      </c>
    </row>
    <row r="30" spans="2:9" ht="15" customHeight="1" x14ac:dyDescent="0.2">
      <c r="B30" t="s">
        <v>262</v>
      </c>
      <c r="C30" s="12">
        <v>2</v>
      </c>
      <c r="D30" s="8">
        <v>6.06</v>
      </c>
      <c r="E30" s="12">
        <v>0</v>
      </c>
      <c r="F30" s="8">
        <v>0</v>
      </c>
      <c r="G30" s="12">
        <v>2</v>
      </c>
      <c r="H30" s="8">
        <v>9.09</v>
      </c>
      <c r="I30" s="12">
        <v>0</v>
      </c>
    </row>
    <row r="31" spans="2:9" ht="15" customHeight="1" x14ac:dyDescent="0.2">
      <c r="B31" t="s">
        <v>228</v>
      </c>
      <c r="C31" s="12">
        <v>2</v>
      </c>
      <c r="D31" s="8">
        <v>6.06</v>
      </c>
      <c r="E31" s="12">
        <v>2</v>
      </c>
      <c r="F31" s="8">
        <v>25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247</v>
      </c>
      <c r="C32" s="12">
        <v>2</v>
      </c>
      <c r="D32" s="8">
        <v>6.06</v>
      </c>
      <c r="E32" s="12">
        <v>0</v>
      </c>
      <c r="F32" s="8">
        <v>0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232</v>
      </c>
      <c r="C33" s="12">
        <v>2</v>
      </c>
      <c r="D33" s="8">
        <v>6.06</v>
      </c>
      <c r="E33" s="12">
        <v>0</v>
      </c>
      <c r="F33" s="8">
        <v>0</v>
      </c>
      <c r="G33" s="12">
        <v>2</v>
      </c>
      <c r="H33" s="8">
        <v>9.09</v>
      </c>
      <c r="I33" s="12">
        <v>0</v>
      </c>
    </row>
    <row r="34" spans="2:9" ht="15" customHeight="1" x14ac:dyDescent="0.2">
      <c r="B34" t="s">
        <v>214</v>
      </c>
      <c r="C34" s="12">
        <v>1</v>
      </c>
      <c r="D34" s="8">
        <v>3.03</v>
      </c>
      <c r="E34" s="12">
        <v>0</v>
      </c>
      <c r="F34" s="8">
        <v>0</v>
      </c>
      <c r="G34" s="12">
        <v>1</v>
      </c>
      <c r="H34" s="8">
        <v>4.55</v>
      </c>
      <c r="I34" s="12">
        <v>0</v>
      </c>
    </row>
    <row r="35" spans="2:9" ht="15" customHeight="1" x14ac:dyDescent="0.2">
      <c r="B35" t="s">
        <v>238</v>
      </c>
      <c r="C35" s="12">
        <v>1</v>
      </c>
      <c r="D35" s="8">
        <v>3.03</v>
      </c>
      <c r="E35" s="12">
        <v>0</v>
      </c>
      <c r="F35" s="8">
        <v>0</v>
      </c>
      <c r="G35" s="12">
        <v>1</v>
      </c>
      <c r="H35" s="8">
        <v>4.55</v>
      </c>
      <c r="I35" s="12">
        <v>0</v>
      </c>
    </row>
    <row r="36" spans="2:9" ht="15" customHeight="1" x14ac:dyDescent="0.2">
      <c r="B36" t="s">
        <v>261</v>
      </c>
      <c r="C36" s="12">
        <v>1</v>
      </c>
      <c r="D36" s="8">
        <v>3.03</v>
      </c>
      <c r="E36" s="12">
        <v>0</v>
      </c>
      <c r="F36" s="8">
        <v>0</v>
      </c>
      <c r="G36" s="12">
        <v>1</v>
      </c>
      <c r="H36" s="8">
        <v>4.55</v>
      </c>
      <c r="I36" s="12">
        <v>0</v>
      </c>
    </row>
    <row r="37" spans="2:9" ht="15" customHeight="1" x14ac:dyDescent="0.2">
      <c r="B37" t="s">
        <v>216</v>
      </c>
      <c r="C37" s="12">
        <v>1</v>
      </c>
      <c r="D37" s="8">
        <v>3.03</v>
      </c>
      <c r="E37" s="12">
        <v>0</v>
      </c>
      <c r="F37" s="8">
        <v>0</v>
      </c>
      <c r="G37" s="12">
        <v>1</v>
      </c>
      <c r="H37" s="8">
        <v>4.55</v>
      </c>
      <c r="I37" s="12">
        <v>0</v>
      </c>
    </row>
    <row r="38" spans="2:9" ht="15" customHeight="1" x14ac:dyDescent="0.2">
      <c r="B38" t="s">
        <v>217</v>
      </c>
      <c r="C38" s="12">
        <v>1</v>
      </c>
      <c r="D38" s="8">
        <v>3.03</v>
      </c>
      <c r="E38" s="12">
        <v>1</v>
      </c>
      <c r="F38" s="8">
        <v>12.5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221</v>
      </c>
      <c r="C39" s="12">
        <v>1</v>
      </c>
      <c r="D39" s="8">
        <v>3.03</v>
      </c>
      <c r="E39" s="12">
        <v>0</v>
      </c>
      <c r="F39" s="8">
        <v>0</v>
      </c>
      <c r="G39" s="12">
        <v>1</v>
      </c>
      <c r="H39" s="8">
        <v>4.55</v>
      </c>
      <c r="I39" s="12">
        <v>0</v>
      </c>
    </row>
    <row r="40" spans="2:9" ht="15" customHeight="1" x14ac:dyDescent="0.2">
      <c r="B40" t="s">
        <v>224</v>
      </c>
      <c r="C40" s="12">
        <v>1</v>
      </c>
      <c r="D40" s="8">
        <v>3.03</v>
      </c>
      <c r="E40" s="12">
        <v>0</v>
      </c>
      <c r="F40" s="8">
        <v>0</v>
      </c>
      <c r="G40" s="12">
        <v>1</v>
      </c>
      <c r="H40" s="8">
        <v>4.55</v>
      </c>
      <c r="I40" s="12">
        <v>0</v>
      </c>
    </row>
    <row r="41" spans="2:9" ht="15" customHeight="1" x14ac:dyDescent="0.2">
      <c r="B41" t="s">
        <v>240</v>
      </c>
      <c r="C41" s="12">
        <v>1</v>
      </c>
      <c r="D41" s="8">
        <v>3.03</v>
      </c>
      <c r="E41" s="12">
        <v>0</v>
      </c>
      <c r="F41" s="8">
        <v>0</v>
      </c>
      <c r="G41" s="12">
        <v>1</v>
      </c>
      <c r="H41" s="8">
        <v>4.55</v>
      </c>
      <c r="I41" s="12">
        <v>0</v>
      </c>
    </row>
    <row r="44" spans="2:9" ht="33" customHeight="1" x14ac:dyDescent="0.2">
      <c r="B44" t="s">
        <v>531</v>
      </c>
      <c r="C44" s="10" t="s">
        <v>206</v>
      </c>
      <c r="D44" s="10" t="s">
        <v>207</v>
      </c>
      <c r="E44" s="10" t="s">
        <v>208</v>
      </c>
      <c r="F44" s="10" t="s">
        <v>209</v>
      </c>
      <c r="G44" s="10" t="s">
        <v>210</v>
      </c>
      <c r="H44" s="10" t="s">
        <v>211</v>
      </c>
      <c r="I44" s="10" t="s">
        <v>212</v>
      </c>
    </row>
    <row r="45" spans="2:9" ht="15" customHeight="1" x14ac:dyDescent="0.2">
      <c r="B45" t="s">
        <v>325</v>
      </c>
      <c r="C45" s="12">
        <v>3</v>
      </c>
      <c r="D45" s="8">
        <v>9.09</v>
      </c>
      <c r="E45" s="12">
        <v>0</v>
      </c>
      <c r="F45" s="8">
        <v>0</v>
      </c>
      <c r="G45" s="12">
        <v>2</v>
      </c>
      <c r="H45" s="8">
        <v>9.09</v>
      </c>
      <c r="I45" s="12">
        <v>0</v>
      </c>
    </row>
    <row r="46" spans="2:9" ht="15" customHeight="1" x14ac:dyDescent="0.2">
      <c r="B46" t="s">
        <v>290</v>
      </c>
      <c r="C46" s="12">
        <v>2</v>
      </c>
      <c r="D46" s="8">
        <v>6.06</v>
      </c>
      <c r="E46" s="12">
        <v>1</v>
      </c>
      <c r="F46" s="8">
        <v>12.5</v>
      </c>
      <c r="G46" s="12">
        <v>1</v>
      </c>
      <c r="H46" s="8">
        <v>4.55</v>
      </c>
      <c r="I46" s="12">
        <v>0</v>
      </c>
    </row>
    <row r="47" spans="2:9" ht="15" customHeight="1" x14ac:dyDescent="0.2">
      <c r="B47" t="s">
        <v>377</v>
      </c>
      <c r="C47" s="12">
        <v>2</v>
      </c>
      <c r="D47" s="8">
        <v>6.06</v>
      </c>
      <c r="E47" s="12">
        <v>0</v>
      </c>
      <c r="F47" s="8">
        <v>0</v>
      </c>
      <c r="G47" s="12">
        <v>2</v>
      </c>
      <c r="H47" s="8">
        <v>9.09</v>
      </c>
      <c r="I47" s="12">
        <v>0</v>
      </c>
    </row>
    <row r="48" spans="2:9" ht="15" customHeight="1" x14ac:dyDescent="0.2">
      <c r="B48" t="s">
        <v>378</v>
      </c>
      <c r="C48" s="12">
        <v>2</v>
      </c>
      <c r="D48" s="8">
        <v>6.06</v>
      </c>
      <c r="E48" s="12">
        <v>0</v>
      </c>
      <c r="F48" s="8">
        <v>0</v>
      </c>
      <c r="G48" s="12">
        <v>2</v>
      </c>
      <c r="H48" s="8">
        <v>9.09</v>
      </c>
      <c r="I48" s="12">
        <v>0</v>
      </c>
    </row>
    <row r="49" spans="2:9" ht="15" customHeight="1" x14ac:dyDescent="0.2">
      <c r="B49" t="s">
        <v>303</v>
      </c>
      <c r="C49" s="12">
        <v>2</v>
      </c>
      <c r="D49" s="8">
        <v>6.06</v>
      </c>
      <c r="E49" s="12">
        <v>2</v>
      </c>
      <c r="F49" s="8">
        <v>25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368</v>
      </c>
      <c r="C50" s="12">
        <v>2</v>
      </c>
      <c r="D50" s="8">
        <v>6.06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331</v>
      </c>
      <c r="C51" s="12">
        <v>2</v>
      </c>
      <c r="D51" s="8">
        <v>6.06</v>
      </c>
      <c r="E51" s="12">
        <v>0</v>
      </c>
      <c r="F51" s="8">
        <v>0</v>
      </c>
      <c r="G51" s="12">
        <v>2</v>
      </c>
      <c r="H51" s="8">
        <v>9.09</v>
      </c>
      <c r="I51" s="12">
        <v>0</v>
      </c>
    </row>
    <row r="52" spans="2:9" ht="15" customHeight="1" x14ac:dyDescent="0.2">
      <c r="B52" t="s">
        <v>288</v>
      </c>
      <c r="C52" s="12">
        <v>1</v>
      </c>
      <c r="D52" s="8">
        <v>3.03</v>
      </c>
      <c r="E52" s="12">
        <v>0</v>
      </c>
      <c r="F52" s="8">
        <v>0</v>
      </c>
      <c r="G52" s="12">
        <v>1</v>
      </c>
      <c r="H52" s="8">
        <v>4.55</v>
      </c>
      <c r="I52" s="12">
        <v>0</v>
      </c>
    </row>
    <row r="53" spans="2:9" ht="15" customHeight="1" x14ac:dyDescent="0.2">
      <c r="B53" t="s">
        <v>328</v>
      </c>
      <c r="C53" s="12">
        <v>1</v>
      </c>
      <c r="D53" s="8">
        <v>3.03</v>
      </c>
      <c r="E53" s="12">
        <v>0</v>
      </c>
      <c r="F53" s="8">
        <v>0</v>
      </c>
      <c r="G53" s="12">
        <v>1</v>
      </c>
      <c r="H53" s="8">
        <v>4.55</v>
      </c>
      <c r="I53" s="12">
        <v>0</v>
      </c>
    </row>
    <row r="54" spans="2:9" ht="15" customHeight="1" x14ac:dyDescent="0.2">
      <c r="B54" t="s">
        <v>353</v>
      </c>
      <c r="C54" s="12">
        <v>1</v>
      </c>
      <c r="D54" s="8">
        <v>3.03</v>
      </c>
      <c r="E54" s="12">
        <v>0</v>
      </c>
      <c r="F54" s="8">
        <v>0</v>
      </c>
      <c r="G54" s="12">
        <v>1</v>
      </c>
      <c r="H54" s="8">
        <v>4.55</v>
      </c>
      <c r="I54" s="12">
        <v>0</v>
      </c>
    </row>
    <row r="55" spans="2:9" ht="15" customHeight="1" x14ac:dyDescent="0.2">
      <c r="B55" t="s">
        <v>376</v>
      </c>
      <c r="C55" s="12">
        <v>1</v>
      </c>
      <c r="D55" s="8">
        <v>3.03</v>
      </c>
      <c r="E55" s="12">
        <v>0</v>
      </c>
      <c r="F55" s="8">
        <v>0</v>
      </c>
      <c r="G55" s="12">
        <v>1</v>
      </c>
      <c r="H55" s="8">
        <v>4.55</v>
      </c>
      <c r="I55" s="12">
        <v>0</v>
      </c>
    </row>
    <row r="56" spans="2:9" ht="15" customHeight="1" x14ac:dyDescent="0.2">
      <c r="B56" t="s">
        <v>351</v>
      </c>
      <c r="C56" s="12">
        <v>1</v>
      </c>
      <c r="D56" s="8">
        <v>3.03</v>
      </c>
      <c r="E56" s="12">
        <v>0</v>
      </c>
      <c r="F56" s="8">
        <v>0</v>
      </c>
      <c r="G56" s="12">
        <v>1</v>
      </c>
      <c r="H56" s="8">
        <v>4.55</v>
      </c>
      <c r="I56" s="12">
        <v>0</v>
      </c>
    </row>
    <row r="57" spans="2:9" ht="15" customHeight="1" x14ac:dyDescent="0.2">
      <c r="B57" t="s">
        <v>326</v>
      </c>
      <c r="C57" s="12">
        <v>1</v>
      </c>
      <c r="D57" s="8">
        <v>3.03</v>
      </c>
      <c r="E57" s="12">
        <v>0</v>
      </c>
      <c r="F57" s="8">
        <v>0</v>
      </c>
      <c r="G57" s="12">
        <v>1</v>
      </c>
      <c r="H57" s="8">
        <v>4.55</v>
      </c>
      <c r="I57" s="12">
        <v>0</v>
      </c>
    </row>
    <row r="58" spans="2:9" ht="15" customHeight="1" x14ac:dyDescent="0.2">
      <c r="B58" t="s">
        <v>364</v>
      </c>
      <c r="C58" s="12">
        <v>1</v>
      </c>
      <c r="D58" s="8">
        <v>3.03</v>
      </c>
      <c r="E58" s="12">
        <v>0</v>
      </c>
      <c r="F58" s="8">
        <v>0</v>
      </c>
      <c r="G58" s="12">
        <v>1</v>
      </c>
      <c r="H58" s="8">
        <v>4.55</v>
      </c>
      <c r="I58" s="12">
        <v>0</v>
      </c>
    </row>
    <row r="59" spans="2:9" ht="15" customHeight="1" x14ac:dyDescent="0.2">
      <c r="B59" t="s">
        <v>324</v>
      </c>
      <c r="C59" s="12">
        <v>1</v>
      </c>
      <c r="D59" s="8">
        <v>3.03</v>
      </c>
      <c r="E59" s="12">
        <v>0</v>
      </c>
      <c r="F59" s="8">
        <v>0</v>
      </c>
      <c r="G59" s="12">
        <v>1</v>
      </c>
      <c r="H59" s="8">
        <v>4.55</v>
      </c>
      <c r="I59" s="12">
        <v>0</v>
      </c>
    </row>
    <row r="60" spans="2:9" ht="15" customHeight="1" x14ac:dyDescent="0.2">
      <c r="B60" t="s">
        <v>379</v>
      </c>
      <c r="C60" s="12">
        <v>1</v>
      </c>
      <c r="D60" s="8">
        <v>3.03</v>
      </c>
      <c r="E60" s="12">
        <v>1</v>
      </c>
      <c r="F60" s="8">
        <v>12.5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329</v>
      </c>
      <c r="C61" s="12">
        <v>1</v>
      </c>
      <c r="D61" s="8">
        <v>3.03</v>
      </c>
      <c r="E61" s="12">
        <v>0</v>
      </c>
      <c r="F61" s="8">
        <v>0</v>
      </c>
      <c r="G61" s="12">
        <v>1</v>
      </c>
      <c r="H61" s="8">
        <v>4.55</v>
      </c>
      <c r="I61" s="12">
        <v>0</v>
      </c>
    </row>
    <row r="62" spans="2:9" ht="15" customHeight="1" x14ac:dyDescent="0.2">
      <c r="B62" t="s">
        <v>372</v>
      </c>
      <c r="C62" s="12">
        <v>1</v>
      </c>
      <c r="D62" s="8">
        <v>3.03</v>
      </c>
      <c r="E62" s="12">
        <v>0</v>
      </c>
      <c r="F62" s="8">
        <v>0</v>
      </c>
      <c r="G62" s="12">
        <v>1</v>
      </c>
      <c r="H62" s="8">
        <v>4.55</v>
      </c>
      <c r="I62" s="12">
        <v>0</v>
      </c>
    </row>
    <row r="63" spans="2:9" ht="15" customHeight="1" x14ac:dyDescent="0.2">
      <c r="B63" t="s">
        <v>330</v>
      </c>
      <c r="C63" s="12">
        <v>1</v>
      </c>
      <c r="D63" s="8">
        <v>3.03</v>
      </c>
      <c r="E63" s="12">
        <v>0</v>
      </c>
      <c r="F63" s="8">
        <v>0</v>
      </c>
      <c r="G63" s="12">
        <v>1</v>
      </c>
      <c r="H63" s="8">
        <v>4.55</v>
      </c>
      <c r="I63" s="12">
        <v>0</v>
      </c>
    </row>
    <row r="64" spans="2:9" ht="15" customHeight="1" x14ac:dyDescent="0.2">
      <c r="B64" t="s">
        <v>338</v>
      </c>
      <c r="C64" s="12">
        <v>1</v>
      </c>
      <c r="D64" s="8">
        <v>3.03</v>
      </c>
      <c r="E64" s="12">
        <v>1</v>
      </c>
      <c r="F64" s="8">
        <v>12.5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297</v>
      </c>
      <c r="C65" s="12">
        <v>1</v>
      </c>
      <c r="D65" s="8">
        <v>3.03</v>
      </c>
      <c r="E65" s="12">
        <v>0</v>
      </c>
      <c r="F65" s="8">
        <v>0</v>
      </c>
      <c r="G65" s="12">
        <v>1</v>
      </c>
      <c r="H65" s="8">
        <v>4.55</v>
      </c>
      <c r="I65" s="12">
        <v>0</v>
      </c>
    </row>
    <row r="66" spans="2:9" ht="15" customHeight="1" x14ac:dyDescent="0.2">
      <c r="B66" t="s">
        <v>334</v>
      </c>
      <c r="C66" s="12">
        <v>1</v>
      </c>
      <c r="D66" s="8">
        <v>3.03</v>
      </c>
      <c r="E66" s="12">
        <v>1</v>
      </c>
      <c r="F66" s="8">
        <v>12.5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299</v>
      </c>
      <c r="C67" s="12">
        <v>1</v>
      </c>
      <c r="D67" s="8">
        <v>3.03</v>
      </c>
      <c r="E67" s="12">
        <v>1</v>
      </c>
      <c r="F67" s="8">
        <v>12.5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301</v>
      </c>
      <c r="C68" s="12">
        <v>1</v>
      </c>
      <c r="D68" s="8">
        <v>3.03</v>
      </c>
      <c r="E68" s="12">
        <v>1</v>
      </c>
      <c r="F68" s="8">
        <v>12.5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307</v>
      </c>
      <c r="C69" s="12">
        <v>1</v>
      </c>
      <c r="D69" s="8">
        <v>3.03</v>
      </c>
      <c r="E69" s="12">
        <v>0</v>
      </c>
      <c r="F69" s="8">
        <v>0</v>
      </c>
      <c r="G69" s="12">
        <v>1</v>
      </c>
      <c r="H69" s="8">
        <v>4.55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D6FE8-52DD-410C-A0FC-60B68E48A7F7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36</v>
      </c>
      <c r="D6" s="8">
        <v>17.649999999999999</v>
      </c>
      <c r="E6" s="12">
        <v>21</v>
      </c>
      <c r="F6" s="8">
        <v>16.03</v>
      </c>
      <c r="G6" s="12">
        <v>15</v>
      </c>
      <c r="H6" s="8">
        <v>23.44</v>
      </c>
      <c r="I6" s="12">
        <v>0</v>
      </c>
    </row>
    <row r="7" spans="2:9" ht="15" customHeight="1" x14ac:dyDescent="0.2">
      <c r="B7" t="s">
        <v>192</v>
      </c>
      <c r="C7" s="12">
        <v>7</v>
      </c>
      <c r="D7" s="8">
        <v>3.43</v>
      </c>
      <c r="E7" s="12">
        <v>1</v>
      </c>
      <c r="F7" s="8">
        <v>0.76</v>
      </c>
      <c r="G7" s="12">
        <v>6</v>
      </c>
      <c r="H7" s="8">
        <v>9.3800000000000008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0.49</v>
      </c>
      <c r="E10" s="12">
        <v>1</v>
      </c>
      <c r="F10" s="8">
        <v>0.76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74</v>
      </c>
      <c r="D11" s="8">
        <v>36.270000000000003</v>
      </c>
      <c r="E11" s="12">
        <v>47</v>
      </c>
      <c r="F11" s="8">
        <v>35.880000000000003</v>
      </c>
      <c r="G11" s="12">
        <v>27</v>
      </c>
      <c r="H11" s="8">
        <v>42.19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0.49</v>
      </c>
      <c r="E12" s="12">
        <v>0</v>
      </c>
      <c r="F12" s="8">
        <v>0</v>
      </c>
      <c r="G12" s="12">
        <v>1</v>
      </c>
      <c r="H12" s="8">
        <v>1.56</v>
      </c>
      <c r="I12" s="12">
        <v>0</v>
      </c>
    </row>
    <row r="13" spans="2:9" ht="15" customHeight="1" x14ac:dyDescent="0.2">
      <c r="B13" t="s">
        <v>198</v>
      </c>
      <c r="C13" s="12">
        <v>12</v>
      </c>
      <c r="D13" s="8">
        <v>5.88</v>
      </c>
      <c r="E13" s="12">
        <v>8</v>
      </c>
      <c r="F13" s="8">
        <v>6.11</v>
      </c>
      <c r="G13" s="12">
        <v>4</v>
      </c>
      <c r="H13" s="8">
        <v>6.25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1.47</v>
      </c>
      <c r="E14" s="12">
        <v>2</v>
      </c>
      <c r="F14" s="8">
        <v>1.53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12</v>
      </c>
      <c r="D15" s="8">
        <v>5.88</v>
      </c>
      <c r="E15" s="12">
        <v>7</v>
      </c>
      <c r="F15" s="8">
        <v>5.34</v>
      </c>
      <c r="G15" s="12">
        <v>4</v>
      </c>
      <c r="H15" s="8">
        <v>6.25</v>
      </c>
      <c r="I15" s="12">
        <v>0</v>
      </c>
    </row>
    <row r="16" spans="2:9" ht="15" customHeight="1" x14ac:dyDescent="0.2">
      <c r="B16" t="s">
        <v>201</v>
      </c>
      <c r="C16" s="12">
        <v>38</v>
      </c>
      <c r="D16" s="8">
        <v>18.63</v>
      </c>
      <c r="E16" s="12">
        <v>34</v>
      </c>
      <c r="F16" s="8">
        <v>25.95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1.47</v>
      </c>
      <c r="E17" s="12">
        <v>3</v>
      </c>
      <c r="F17" s="8">
        <v>2.29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12</v>
      </c>
      <c r="D18" s="8">
        <v>5.88</v>
      </c>
      <c r="E18" s="12">
        <v>4</v>
      </c>
      <c r="F18" s="8">
        <v>3.05</v>
      </c>
      <c r="G18" s="12">
        <v>6</v>
      </c>
      <c r="H18" s="8">
        <v>9.3800000000000008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2.4500000000000002</v>
      </c>
      <c r="E19" s="12">
        <v>3</v>
      </c>
      <c r="F19" s="8">
        <v>2.29</v>
      </c>
      <c r="G19" s="12">
        <v>1</v>
      </c>
      <c r="H19" s="8">
        <v>1.56</v>
      </c>
      <c r="I19" s="12">
        <v>0</v>
      </c>
    </row>
    <row r="20" spans="2:9" ht="15" customHeight="1" x14ac:dyDescent="0.2">
      <c r="B20" s="9" t="s">
        <v>529</v>
      </c>
      <c r="C20" s="12">
        <f>SUM(LTBL_01331[総数／事業所数])</f>
        <v>204</v>
      </c>
      <c r="E20" s="12">
        <f>SUBTOTAL(109,LTBL_01331[個人／事業所数])</f>
        <v>131</v>
      </c>
      <c r="G20" s="12">
        <f>SUBTOTAL(109,LTBL_01331[法人／事業所数])</f>
        <v>64</v>
      </c>
      <c r="I20" s="12">
        <f>SUBTOTAL(109,LTBL_01331[法人以外の団体／事業所数])</f>
        <v>0</v>
      </c>
    </row>
    <row r="21" spans="2:9" ht="15" customHeight="1" x14ac:dyDescent="0.2">
      <c r="E21" s="11">
        <f>LTBL_01331[[#Totals],[個人／事業所数]]/LTBL_01331[[#Totals],[総数／事業所数]]</f>
        <v>0.64215686274509809</v>
      </c>
      <c r="G21" s="11">
        <f>LTBL_01331[[#Totals],[法人／事業所数]]/LTBL_01331[[#Totals],[総数／事業所数]]</f>
        <v>0.31372549019607843</v>
      </c>
      <c r="I21" s="11">
        <f>LTBL_01331[[#Totals],[法人以外の団体／事業所数]]/LTBL_01331[[#Totals],[総数／事業所数]]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32</v>
      </c>
      <c r="D24" s="8">
        <v>15.69</v>
      </c>
      <c r="E24" s="12">
        <v>32</v>
      </c>
      <c r="F24" s="8">
        <v>24.43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223</v>
      </c>
      <c r="C25" s="12">
        <v>29</v>
      </c>
      <c r="D25" s="8">
        <v>14.22</v>
      </c>
      <c r="E25" s="12">
        <v>18</v>
      </c>
      <c r="F25" s="8">
        <v>13.74</v>
      </c>
      <c r="G25" s="12">
        <v>11</v>
      </c>
      <c r="H25" s="8">
        <v>17.190000000000001</v>
      </c>
      <c r="I25" s="12">
        <v>0</v>
      </c>
    </row>
    <row r="26" spans="2:9" ht="15" customHeight="1" x14ac:dyDescent="0.2">
      <c r="B26" t="s">
        <v>221</v>
      </c>
      <c r="C26" s="12">
        <v>25</v>
      </c>
      <c r="D26" s="8">
        <v>12.25</v>
      </c>
      <c r="E26" s="12">
        <v>19</v>
      </c>
      <c r="F26" s="8">
        <v>14.5</v>
      </c>
      <c r="G26" s="12">
        <v>6</v>
      </c>
      <c r="H26" s="8">
        <v>9.3800000000000008</v>
      </c>
      <c r="I26" s="12">
        <v>0</v>
      </c>
    </row>
    <row r="27" spans="2:9" ht="15" customHeight="1" x14ac:dyDescent="0.2">
      <c r="B27" t="s">
        <v>214</v>
      </c>
      <c r="C27" s="12">
        <v>15</v>
      </c>
      <c r="D27" s="8">
        <v>7.35</v>
      </c>
      <c r="E27" s="12">
        <v>11</v>
      </c>
      <c r="F27" s="8">
        <v>8.4</v>
      </c>
      <c r="G27" s="12">
        <v>4</v>
      </c>
      <c r="H27" s="8">
        <v>6.25</v>
      </c>
      <c r="I27" s="12">
        <v>0</v>
      </c>
    </row>
    <row r="28" spans="2:9" ht="15" customHeight="1" x14ac:dyDescent="0.2">
      <c r="B28" t="s">
        <v>213</v>
      </c>
      <c r="C28" s="12">
        <v>14</v>
      </c>
      <c r="D28" s="8">
        <v>6.86</v>
      </c>
      <c r="E28" s="12">
        <v>4</v>
      </c>
      <c r="F28" s="8">
        <v>3.05</v>
      </c>
      <c r="G28" s="12">
        <v>10</v>
      </c>
      <c r="H28" s="8">
        <v>15.63</v>
      </c>
      <c r="I28" s="12">
        <v>0</v>
      </c>
    </row>
    <row r="29" spans="2:9" ht="15" customHeight="1" x14ac:dyDescent="0.2">
      <c r="B29" t="s">
        <v>222</v>
      </c>
      <c r="C29" s="12">
        <v>10</v>
      </c>
      <c r="D29" s="8">
        <v>4.9000000000000004</v>
      </c>
      <c r="E29" s="12">
        <v>4</v>
      </c>
      <c r="F29" s="8">
        <v>3.05</v>
      </c>
      <c r="G29" s="12">
        <v>6</v>
      </c>
      <c r="H29" s="8">
        <v>9.3800000000000008</v>
      </c>
      <c r="I29" s="12">
        <v>0</v>
      </c>
    </row>
    <row r="30" spans="2:9" ht="15" customHeight="1" x14ac:dyDescent="0.2">
      <c r="B30" t="s">
        <v>224</v>
      </c>
      <c r="C30" s="12">
        <v>10</v>
      </c>
      <c r="D30" s="8">
        <v>4.9000000000000004</v>
      </c>
      <c r="E30" s="12">
        <v>8</v>
      </c>
      <c r="F30" s="8">
        <v>6.11</v>
      </c>
      <c r="G30" s="12">
        <v>2</v>
      </c>
      <c r="H30" s="8">
        <v>3.13</v>
      </c>
      <c r="I30" s="12">
        <v>0</v>
      </c>
    </row>
    <row r="31" spans="2:9" ht="15" customHeight="1" x14ac:dyDescent="0.2">
      <c r="B31" t="s">
        <v>227</v>
      </c>
      <c r="C31" s="12">
        <v>9</v>
      </c>
      <c r="D31" s="8">
        <v>4.41</v>
      </c>
      <c r="E31" s="12">
        <v>6</v>
      </c>
      <c r="F31" s="8">
        <v>4.58</v>
      </c>
      <c r="G31" s="12">
        <v>3</v>
      </c>
      <c r="H31" s="8">
        <v>4.6900000000000004</v>
      </c>
      <c r="I31" s="12">
        <v>0</v>
      </c>
    </row>
    <row r="32" spans="2:9" ht="15" customHeight="1" x14ac:dyDescent="0.2">
      <c r="B32" t="s">
        <v>215</v>
      </c>
      <c r="C32" s="12">
        <v>7</v>
      </c>
      <c r="D32" s="8">
        <v>3.43</v>
      </c>
      <c r="E32" s="12">
        <v>6</v>
      </c>
      <c r="F32" s="8">
        <v>4.58</v>
      </c>
      <c r="G32" s="12">
        <v>1</v>
      </c>
      <c r="H32" s="8">
        <v>1.56</v>
      </c>
      <c r="I32" s="12">
        <v>0</v>
      </c>
    </row>
    <row r="33" spans="2:9" ht="15" customHeight="1" x14ac:dyDescent="0.2">
      <c r="B33" t="s">
        <v>232</v>
      </c>
      <c r="C33" s="12">
        <v>7</v>
      </c>
      <c r="D33" s="8">
        <v>3.43</v>
      </c>
      <c r="E33" s="12">
        <v>1</v>
      </c>
      <c r="F33" s="8">
        <v>0.76</v>
      </c>
      <c r="G33" s="12">
        <v>4</v>
      </c>
      <c r="H33" s="8">
        <v>6.25</v>
      </c>
      <c r="I33" s="12">
        <v>0</v>
      </c>
    </row>
    <row r="34" spans="2:9" ht="15" customHeight="1" x14ac:dyDescent="0.2">
      <c r="B34" t="s">
        <v>231</v>
      </c>
      <c r="C34" s="12">
        <v>5</v>
      </c>
      <c r="D34" s="8">
        <v>2.4500000000000002</v>
      </c>
      <c r="E34" s="12">
        <v>3</v>
      </c>
      <c r="F34" s="8">
        <v>2.29</v>
      </c>
      <c r="G34" s="12">
        <v>2</v>
      </c>
      <c r="H34" s="8">
        <v>3.13</v>
      </c>
      <c r="I34" s="12">
        <v>0</v>
      </c>
    </row>
    <row r="35" spans="2:9" ht="15" customHeight="1" x14ac:dyDescent="0.2">
      <c r="B35" t="s">
        <v>220</v>
      </c>
      <c r="C35" s="12">
        <v>4</v>
      </c>
      <c r="D35" s="8">
        <v>1.96</v>
      </c>
      <c r="E35" s="12">
        <v>4</v>
      </c>
      <c r="F35" s="8">
        <v>3.05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247</v>
      </c>
      <c r="C36" s="12">
        <v>4</v>
      </c>
      <c r="D36" s="8">
        <v>1.96</v>
      </c>
      <c r="E36" s="12">
        <v>0</v>
      </c>
      <c r="F36" s="8">
        <v>0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241</v>
      </c>
      <c r="C37" s="12">
        <v>3</v>
      </c>
      <c r="D37" s="8">
        <v>1.47</v>
      </c>
      <c r="E37" s="12">
        <v>0</v>
      </c>
      <c r="F37" s="8">
        <v>0</v>
      </c>
      <c r="G37" s="12">
        <v>3</v>
      </c>
      <c r="H37" s="8">
        <v>4.6900000000000004</v>
      </c>
      <c r="I37" s="12">
        <v>0</v>
      </c>
    </row>
    <row r="38" spans="2:9" ht="15" customHeight="1" x14ac:dyDescent="0.2">
      <c r="B38" t="s">
        <v>217</v>
      </c>
      <c r="C38" s="12">
        <v>3</v>
      </c>
      <c r="D38" s="8">
        <v>1.47</v>
      </c>
      <c r="E38" s="12">
        <v>1</v>
      </c>
      <c r="F38" s="8">
        <v>0.76</v>
      </c>
      <c r="G38" s="12">
        <v>2</v>
      </c>
      <c r="H38" s="8">
        <v>3.13</v>
      </c>
      <c r="I38" s="12">
        <v>0</v>
      </c>
    </row>
    <row r="39" spans="2:9" ht="15" customHeight="1" x14ac:dyDescent="0.2">
      <c r="B39" t="s">
        <v>226</v>
      </c>
      <c r="C39" s="12">
        <v>3</v>
      </c>
      <c r="D39" s="8">
        <v>1.47</v>
      </c>
      <c r="E39" s="12">
        <v>2</v>
      </c>
      <c r="F39" s="8">
        <v>1.53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230</v>
      </c>
      <c r="C40" s="12">
        <v>3</v>
      </c>
      <c r="D40" s="8">
        <v>1.47</v>
      </c>
      <c r="E40" s="12">
        <v>3</v>
      </c>
      <c r="F40" s="8">
        <v>2.29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242</v>
      </c>
      <c r="C41" s="12">
        <v>3</v>
      </c>
      <c r="D41" s="8">
        <v>1.47</v>
      </c>
      <c r="E41" s="12">
        <v>3</v>
      </c>
      <c r="F41" s="8">
        <v>2.29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254</v>
      </c>
      <c r="C42" s="12">
        <v>2</v>
      </c>
      <c r="D42" s="8">
        <v>0.98</v>
      </c>
      <c r="E42" s="12">
        <v>0</v>
      </c>
      <c r="F42" s="8">
        <v>0</v>
      </c>
      <c r="G42" s="12">
        <v>2</v>
      </c>
      <c r="H42" s="8">
        <v>3.13</v>
      </c>
      <c r="I42" s="12">
        <v>0</v>
      </c>
    </row>
    <row r="43" spans="2:9" ht="15" customHeight="1" x14ac:dyDescent="0.2">
      <c r="B43" t="s">
        <v>243</v>
      </c>
      <c r="C43" s="12">
        <v>2</v>
      </c>
      <c r="D43" s="8">
        <v>0.98</v>
      </c>
      <c r="E43" s="12">
        <v>1</v>
      </c>
      <c r="F43" s="8">
        <v>0.76</v>
      </c>
      <c r="G43" s="12">
        <v>1</v>
      </c>
      <c r="H43" s="8">
        <v>1.56</v>
      </c>
      <c r="I43" s="12">
        <v>0</v>
      </c>
    </row>
    <row r="44" spans="2:9" ht="15" customHeight="1" x14ac:dyDescent="0.2">
      <c r="B44" t="s">
        <v>229</v>
      </c>
      <c r="C44" s="12">
        <v>2</v>
      </c>
      <c r="D44" s="8">
        <v>0.98</v>
      </c>
      <c r="E44" s="12">
        <v>2</v>
      </c>
      <c r="F44" s="8">
        <v>1.53</v>
      </c>
      <c r="G44" s="12">
        <v>0</v>
      </c>
      <c r="H44" s="8">
        <v>0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304</v>
      </c>
      <c r="C48" s="12">
        <v>20</v>
      </c>
      <c r="D48" s="8">
        <v>9.8000000000000007</v>
      </c>
      <c r="E48" s="12">
        <v>20</v>
      </c>
      <c r="F48" s="8">
        <v>15.27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292</v>
      </c>
      <c r="C49" s="12">
        <v>15</v>
      </c>
      <c r="D49" s="8">
        <v>7.35</v>
      </c>
      <c r="E49" s="12">
        <v>12</v>
      </c>
      <c r="F49" s="8">
        <v>9.16</v>
      </c>
      <c r="G49" s="12">
        <v>3</v>
      </c>
      <c r="H49" s="8">
        <v>4.6900000000000004</v>
      </c>
      <c r="I49" s="12">
        <v>0</v>
      </c>
    </row>
    <row r="50" spans="2:9" ht="15" customHeight="1" x14ac:dyDescent="0.2">
      <c r="B50" t="s">
        <v>303</v>
      </c>
      <c r="C50" s="12">
        <v>11</v>
      </c>
      <c r="D50" s="8">
        <v>5.39</v>
      </c>
      <c r="E50" s="12">
        <v>11</v>
      </c>
      <c r="F50" s="8">
        <v>8.4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295</v>
      </c>
      <c r="C51" s="12">
        <v>9</v>
      </c>
      <c r="D51" s="8">
        <v>4.41</v>
      </c>
      <c r="E51" s="12">
        <v>7</v>
      </c>
      <c r="F51" s="8">
        <v>5.34</v>
      </c>
      <c r="G51" s="12">
        <v>2</v>
      </c>
      <c r="H51" s="8">
        <v>3.13</v>
      </c>
      <c r="I51" s="12">
        <v>0</v>
      </c>
    </row>
    <row r="52" spans="2:9" ht="15" customHeight="1" x14ac:dyDescent="0.2">
      <c r="B52" t="s">
        <v>297</v>
      </c>
      <c r="C52" s="12">
        <v>9</v>
      </c>
      <c r="D52" s="8">
        <v>4.41</v>
      </c>
      <c r="E52" s="12">
        <v>8</v>
      </c>
      <c r="F52" s="8">
        <v>6.11</v>
      </c>
      <c r="G52" s="12">
        <v>1</v>
      </c>
      <c r="H52" s="8">
        <v>1.56</v>
      </c>
      <c r="I52" s="12">
        <v>0</v>
      </c>
    </row>
    <row r="53" spans="2:9" ht="15" customHeight="1" x14ac:dyDescent="0.2">
      <c r="B53" t="s">
        <v>335</v>
      </c>
      <c r="C53" s="12">
        <v>8</v>
      </c>
      <c r="D53" s="8">
        <v>3.92</v>
      </c>
      <c r="E53" s="12">
        <v>2</v>
      </c>
      <c r="F53" s="8">
        <v>1.53</v>
      </c>
      <c r="G53" s="12">
        <v>6</v>
      </c>
      <c r="H53" s="8">
        <v>9.3800000000000008</v>
      </c>
      <c r="I53" s="12">
        <v>0</v>
      </c>
    </row>
    <row r="54" spans="2:9" ht="15" customHeight="1" x14ac:dyDescent="0.2">
      <c r="B54" t="s">
        <v>330</v>
      </c>
      <c r="C54" s="12">
        <v>8</v>
      </c>
      <c r="D54" s="8">
        <v>3.92</v>
      </c>
      <c r="E54" s="12">
        <v>2</v>
      </c>
      <c r="F54" s="8">
        <v>1.53</v>
      </c>
      <c r="G54" s="12">
        <v>6</v>
      </c>
      <c r="H54" s="8">
        <v>9.3800000000000008</v>
      </c>
      <c r="I54" s="12">
        <v>0</v>
      </c>
    </row>
    <row r="55" spans="2:9" ht="15" customHeight="1" x14ac:dyDescent="0.2">
      <c r="B55" t="s">
        <v>337</v>
      </c>
      <c r="C55" s="12">
        <v>7</v>
      </c>
      <c r="D55" s="8">
        <v>3.43</v>
      </c>
      <c r="E55" s="12">
        <v>6</v>
      </c>
      <c r="F55" s="8">
        <v>4.58</v>
      </c>
      <c r="G55" s="12">
        <v>1</v>
      </c>
      <c r="H55" s="8">
        <v>1.56</v>
      </c>
      <c r="I55" s="12">
        <v>0</v>
      </c>
    </row>
    <row r="56" spans="2:9" ht="15" customHeight="1" x14ac:dyDescent="0.2">
      <c r="B56" t="s">
        <v>289</v>
      </c>
      <c r="C56" s="12">
        <v>6</v>
      </c>
      <c r="D56" s="8">
        <v>2.94</v>
      </c>
      <c r="E56" s="12">
        <v>2</v>
      </c>
      <c r="F56" s="8">
        <v>1.53</v>
      </c>
      <c r="G56" s="12">
        <v>4</v>
      </c>
      <c r="H56" s="8">
        <v>6.25</v>
      </c>
      <c r="I56" s="12">
        <v>0</v>
      </c>
    </row>
    <row r="57" spans="2:9" ht="15" customHeight="1" x14ac:dyDescent="0.2">
      <c r="B57" t="s">
        <v>343</v>
      </c>
      <c r="C57" s="12">
        <v>5</v>
      </c>
      <c r="D57" s="8">
        <v>2.4500000000000002</v>
      </c>
      <c r="E57" s="12">
        <v>4</v>
      </c>
      <c r="F57" s="8">
        <v>3.05</v>
      </c>
      <c r="G57" s="12">
        <v>1</v>
      </c>
      <c r="H57" s="8">
        <v>1.56</v>
      </c>
      <c r="I57" s="12">
        <v>0</v>
      </c>
    </row>
    <row r="58" spans="2:9" ht="15" customHeight="1" x14ac:dyDescent="0.2">
      <c r="B58" t="s">
        <v>333</v>
      </c>
      <c r="C58" s="12">
        <v>5</v>
      </c>
      <c r="D58" s="8">
        <v>2.4500000000000002</v>
      </c>
      <c r="E58" s="12">
        <v>4</v>
      </c>
      <c r="F58" s="8">
        <v>3.05</v>
      </c>
      <c r="G58" s="12">
        <v>1</v>
      </c>
      <c r="H58" s="8">
        <v>1.56</v>
      </c>
      <c r="I58" s="12">
        <v>0</v>
      </c>
    </row>
    <row r="59" spans="2:9" ht="15" customHeight="1" x14ac:dyDescent="0.2">
      <c r="B59" t="s">
        <v>380</v>
      </c>
      <c r="C59" s="12">
        <v>5</v>
      </c>
      <c r="D59" s="8">
        <v>2.4500000000000002</v>
      </c>
      <c r="E59" s="12">
        <v>3</v>
      </c>
      <c r="F59" s="8">
        <v>2.29</v>
      </c>
      <c r="G59" s="12">
        <v>2</v>
      </c>
      <c r="H59" s="8">
        <v>3.13</v>
      </c>
      <c r="I59" s="12">
        <v>0</v>
      </c>
    </row>
    <row r="60" spans="2:9" ht="15" customHeight="1" x14ac:dyDescent="0.2">
      <c r="B60" t="s">
        <v>331</v>
      </c>
      <c r="C60" s="12">
        <v>5</v>
      </c>
      <c r="D60" s="8">
        <v>2.4500000000000002</v>
      </c>
      <c r="E60" s="12">
        <v>1</v>
      </c>
      <c r="F60" s="8">
        <v>0.76</v>
      </c>
      <c r="G60" s="12">
        <v>3</v>
      </c>
      <c r="H60" s="8">
        <v>4.6900000000000004</v>
      </c>
      <c r="I60" s="12">
        <v>0</v>
      </c>
    </row>
    <row r="61" spans="2:9" ht="15" customHeight="1" x14ac:dyDescent="0.2">
      <c r="B61" t="s">
        <v>288</v>
      </c>
      <c r="C61" s="12">
        <v>4</v>
      </c>
      <c r="D61" s="8">
        <v>1.96</v>
      </c>
      <c r="E61" s="12">
        <v>0</v>
      </c>
      <c r="F61" s="8">
        <v>0</v>
      </c>
      <c r="G61" s="12">
        <v>4</v>
      </c>
      <c r="H61" s="8">
        <v>6.25</v>
      </c>
      <c r="I61" s="12">
        <v>0</v>
      </c>
    </row>
    <row r="62" spans="2:9" ht="15" customHeight="1" x14ac:dyDescent="0.2">
      <c r="B62" t="s">
        <v>328</v>
      </c>
      <c r="C62" s="12">
        <v>4</v>
      </c>
      <c r="D62" s="8">
        <v>1.96</v>
      </c>
      <c r="E62" s="12">
        <v>2</v>
      </c>
      <c r="F62" s="8">
        <v>1.53</v>
      </c>
      <c r="G62" s="12">
        <v>2</v>
      </c>
      <c r="H62" s="8">
        <v>3.13</v>
      </c>
      <c r="I62" s="12">
        <v>0</v>
      </c>
    </row>
    <row r="63" spans="2:9" ht="15" customHeight="1" x14ac:dyDescent="0.2">
      <c r="B63" t="s">
        <v>368</v>
      </c>
      <c r="C63" s="12">
        <v>4</v>
      </c>
      <c r="D63" s="8">
        <v>1.96</v>
      </c>
      <c r="E63" s="12">
        <v>0</v>
      </c>
      <c r="F63" s="8">
        <v>0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353</v>
      </c>
      <c r="C64" s="12">
        <v>3</v>
      </c>
      <c r="D64" s="8">
        <v>1.47</v>
      </c>
      <c r="E64" s="12">
        <v>2</v>
      </c>
      <c r="F64" s="8">
        <v>1.53</v>
      </c>
      <c r="G64" s="12">
        <v>1</v>
      </c>
      <c r="H64" s="8">
        <v>1.56</v>
      </c>
      <c r="I64" s="12">
        <v>0</v>
      </c>
    </row>
    <row r="65" spans="2:9" ht="15" customHeight="1" x14ac:dyDescent="0.2">
      <c r="B65" t="s">
        <v>290</v>
      </c>
      <c r="C65" s="12">
        <v>3</v>
      </c>
      <c r="D65" s="8">
        <v>1.47</v>
      </c>
      <c r="E65" s="12">
        <v>3</v>
      </c>
      <c r="F65" s="8">
        <v>2.29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342</v>
      </c>
      <c r="C66" s="12">
        <v>3</v>
      </c>
      <c r="D66" s="8">
        <v>1.47</v>
      </c>
      <c r="E66" s="12">
        <v>0</v>
      </c>
      <c r="F66" s="8">
        <v>0</v>
      </c>
      <c r="G66" s="12">
        <v>3</v>
      </c>
      <c r="H66" s="8">
        <v>4.6900000000000004</v>
      </c>
      <c r="I66" s="12">
        <v>0</v>
      </c>
    </row>
    <row r="67" spans="2:9" ht="15" customHeight="1" x14ac:dyDescent="0.2">
      <c r="B67" t="s">
        <v>300</v>
      </c>
      <c r="C67" s="12">
        <v>3</v>
      </c>
      <c r="D67" s="8">
        <v>1.47</v>
      </c>
      <c r="E67" s="12">
        <v>2</v>
      </c>
      <c r="F67" s="8">
        <v>1.53</v>
      </c>
      <c r="G67" s="12">
        <v>1</v>
      </c>
      <c r="H67" s="8">
        <v>1.56</v>
      </c>
      <c r="I67" s="12">
        <v>0</v>
      </c>
    </row>
    <row r="68" spans="2:9" ht="15" customHeight="1" x14ac:dyDescent="0.2">
      <c r="B68" t="s">
        <v>312</v>
      </c>
      <c r="C68" s="12">
        <v>3</v>
      </c>
      <c r="D68" s="8">
        <v>1.47</v>
      </c>
      <c r="E68" s="12">
        <v>2</v>
      </c>
      <c r="F68" s="8">
        <v>1.53</v>
      </c>
      <c r="G68" s="12">
        <v>1</v>
      </c>
      <c r="H68" s="8">
        <v>1.56</v>
      </c>
      <c r="I68" s="12">
        <v>0</v>
      </c>
    </row>
    <row r="69" spans="2:9" ht="15" customHeight="1" x14ac:dyDescent="0.2">
      <c r="B69" t="s">
        <v>371</v>
      </c>
      <c r="C69" s="12">
        <v>3</v>
      </c>
      <c r="D69" s="8">
        <v>1.47</v>
      </c>
      <c r="E69" s="12">
        <v>3</v>
      </c>
      <c r="F69" s="8">
        <v>2.29</v>
      </c>
      <c r="G69" s="12">
        <v>0</v>
      </c>
      <c r="H69" s="8">
        <v>0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52A0D-67FF-43FE-A384-067F07739DA3}">
  <sheetPr>
    <pageSetUpPr fitToPage="1"/>
  </sheetPr>
  <dimension ref="B2:I9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25</v>
      </c>
      <c r="D6" s="8">
        <v>15.92</v>
      </c>
      <c r="E6" s="12">
        <v>16</v>
      </c>
      <c r="F6" s="8">
        <v>15.69</v>
      </c>
      <c r="G6" s="12">
        <v>9</v>
      </c>
      <c r="H6" s="8">
        <v>18.75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5.73</v>
      </c>
      <c r="E7" s="12">
        <v>6</v>
      </c>
      <c r="F7" s="8">
        <v>5.88</v>
      </c>
      <c r="G7" s="12">
        <v>3</v>
      </c>
      <c r="H7" s="8">
        <v>6.25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1.27</v>
      </c>
      <c r="E8" s="12">
        <v>0</v>
      </c>
      <c r="F8" s="8">
        <v>0</v>
      </c>
      <c r="G8" s="12">
        <v>1</v>
      </c>
      <c r="H8" s="8">
        <v>2.08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0.64</v>
      </c>
      <c r="E10" s="12">
        <v>1</v>
      </c>
      <c r="F10" s="8">
        <v>0.98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44</v>
      </c>
      <c r="D11" s="8">
        <v>28.03</v>
      </c>
      <c r="E11" s="12">
        <v>23</v>
      </c>
      <c r="F11" s="8">
        <v>22.55</v>
      </c>
      <c r="G11" s="12">
        <v>21</v>
      </c>
      <c r="H11" s="8">
        <v>43.75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10</v>
      </c>
      <c r="D13" s="8">
        <v>6.37</v>
      </c>
      <c r="E13" s="12">
        <v>9</v>
      </c>
      <c r="F13" s="8">
        <v>8.82</v>
      </c>
      <c r="G13" s="12">
        <v>1</v>
      </c>
      <c r="H13" s="8">
        <v>2.08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2.5499999999999998</v>
      </c>
      <c r="E14" s="12">
        <v>3</v>
      </c>
      <c r="F14" s="8">
        <v>2.94</v>
      </c>
      <c r="G14" s="12">
        <v>1</v>
      </c>
      <c r="H14" s="8">
        <v>2.08</v>
      </c>
      <c r="I14" s="12">
        <v>0</v>
      </c>
    </row>
    <row r="15" spans="2:9" ht="15" customHeight="1" x14ac:dyDescent="0.2">
      <c r="B15" t="s">
        <v>200</v>
      </c>
      <c r="C15" s="12">
        <v>15</v>
      </c>
      <c r="D15" s="8">
        <v>9.5500000000000007</v>
      </c>
      <c r="E15" s="12">
        <v>13</v>
      </c>
      <c r="F15" s="8">
        <v>12.75</v>
      </c>
      <c r="G15" s="12">
        <v>2</v>
      </c>
      <c r="H15" s="8">
        <v>4.17</v>
      </c>
      <c r="I15" s="12">
        <v>0</v>
      </c>
    </row>
    <row r="16" spans="2:9" ht="15" customHeight="1" x14ac:dyDescent="0.2">
      <c r="B16" t="s">
        <v>201</v>
      </c>
      <c r="C16" s="12">
        <v>22</v>
      </c>
      <c r="D16" s="8">
        <v>14.01</v>
      </c>
      <c r="E16" s="12">
        <v>18</v>
      </c>
      <c r="F16" s="8">
        <v>17.649999999999999</v>
      </c>
      <c r="G16" s="12">
        <v>3</v>
      </c>
      <c r="H16" s="8">
        <v>6.25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4.46</v>
      </c>
      <c r="E17" s="12">
        <v>6</v>
      </c>
      <c r="F17" s="8">
        <v>5.88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10</v>
      </c>
      <c r="D18" s="8">
        <v>6.37</v>
      </c>
      <c r="E18" s="12">
        <v>6</v>
      </c>
      <c r="F18" s="8">
        <v>5.88</v>
      </c>
      <c r="G18" s="12">
        <v>3</v>
      </c>
      <c r="H18" s="8">
        <v>6.25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5.0999999999999996</v>
      </c>
      <c r="E19" s="12">
        <v>1</v>
      </c>
      <c r="F19" s="8">
        <v>0.98</v>
      </c>
      <c r="G19" s="12">
        <v>4</v>
      </c>
      <c r="H19" s="8">
        <v>8.33</v>
      </c>
      <c r="I19" s="12">
        <v>0</v>
      </c>
    </row>
    <row r="20" spans="2:9" ht="15" customHeight="1" x14ac:dyDescent="0.2">
      <c r="B20" s="9" t="s">
        <v>529</v>
      </c>
      <c r="C20" s="12">
        <f>SUM(LTBL_01332[総数／事業所数])</f>
        <v>157</v>
      </c>
      <c r="E20" s="12">
        <f>SUBTOTAL(109,LTBL_01332[個人／事業所数])</f>
        <v>102</v>
      </c>
      <c r="G20" s="12">
        <f>SUBTOTAL(109,LTBL_01332[法人／事業所数])</f>
        <v>48</v>
      </c>
      <c r="I20" s="12">
        <f>SUBTOTAL(109,LTBL_01332[法人以外の団体／事業所数])</f>
        <v>0</v>
      </c>
    </row>
    <row r="21" spans="2:9" ht="15" customHeight="1" x14ac:dyDescent="0.2">
      <c r="E21" s="11">
        <f>LTBL_01332[[#Totals],[個人／事業所数]]/LTBL_01332[[#Totals],[総数／事業所数]]</f>
        <v>0.64968152866242035</v>
      </c>
      <c r="G21" s="11">
        <f>LTBL_01332[[#Totals],[法人／事業所数]]/LTBL_01332[[#Totals],[総数／事業所数]]</f>
        <v>0.30573248407643311</v>
      </c>
      <c r="I21" s="11">
        <f>LTBL_01332[[#Totals],[法人以外の団体／事業所数]]/LTBL_01332[[#Totals],[総数／事業所数]]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19</v>
      </c>
      <c r="D24" s="8">
        <v>12.1</v>
      </c>
      <c r="E24" s="12">
        <v>17</v>
      </c>
      <c r="F24" s="8">
        <v>16.670000000000002</v>
      </c>
      <c r="G24" s="12">
        <v>2</v>
      </c>
      <c r="H24" s="8">
        <v>4.17</v>
      </c>
      <c r="I24" s="12">
        <v>0</v>
      </c>
    </row>
    <row r="25" spans="2:9" ht="15" customHeight="1" x14ac:dyDescent="0.2">
      <c r="B25" t="s">
        <v>221</v>
      </c>
      <c r="C25" s="12">
        <v>17</v>
      </c>
      <c r="D25" s="8">
        <v>10.83</v>
      </c>
      <c r="E25" s="12">
        <v>12</v>
      </c>
      <c r="F25" s="8">
        <v>11.76</v>
      </c>
      <c r="G25" s="12">
        <v>5</v>
      </c>
      <c r="H25" s="8">
        <v>10.42</v>
      </c>
      <c r="I25" s="12">
        <v>0</v>
      </c>
    </row>
    <row r="26" spans="2:9" ht="15" customHeight="1" x14ac:dyDescent="0.2">
      <c r="B26" t="s">
        <v>223</v>
      </c>
      <c r="C26" s="12">
        <v>15</v>
      </c>
      <c r="D26" s="8">
        <v>9.5500000000000007</v>
      </c>
      <c r="E26" s="12">
        <v>8</v>
      </c>
      <c r="F26" s="8">
        <v>7.84</v>
      </c>
      <c r="G26" s="12">
        <v>7</v>
      </c>
      <c r="H26" s="8">
        <v>14.58</v>
      </c>
      <c r="I26" s="12">
        <v>0</v>
      </c>
    </row>
    <row r="27" spans="2:9" ht="15" customHeight="1" x14ac:dyDescent="0.2">
      <c r="B27" t="s">
        <v>213</v>
      </c>
      <c r="C27" s="12">
        <v>11</v>
      </c>
      <c r="D27" s="8">
        <v>7.01</v>
      </c>
      <c r="E27" s="12">
        <v>6</v>
      </c>
      <c r="F27" s="8">
        <v>5.88</v>
      </c>
      <c r="G27" s="12">
        <v>5</v>
      </c>
      <c r="H27" s="8">
        <v>10.42</v>
      </c>
      <c r="I27" s="12">
        <v>0</v>
      </c>
    </row>
    <row r="28" spans="2:9" ht="15" customHeight="1" x14ac:dyDescent="0.2">
      <c r="B28" t="s">
        <v>227</v>
      </c>
      <c r="C28" s="12">
        <v>11</v>
      </c>
      <c r="D28" s="8">
        <v>7.01</v>
      </c>
      <c r="E28" s="12">
        <v>11</v>
      </c>
      <c r="F28" s="8">
        <v>10.78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224</v>
      </c>
      <c r="C29" s="12">
        <v>10</v>
      </c>
      <c r="D29" s="8">
        <v>6.37</v>
      </c>
      <c r="E29" s="12">
        <v>9</v>
      </c>
      <c r="F29" s="8">
        <v>8.82</v>
      </c>
      <c r="G29" s="12">
        <v>1</v>
      </c>
      <c r="H29" s="8">
        <v>2.08</v>
      </c>
      <c r="I29" s="12">
        <v>0</v>
      </c>
    </row>
    <row r="30" spans="2:9" ht="15" customHeight="1" x14ac:dyDescent="0.2">
      <c r="B30" t="s">
        <v>214</v>
      </c>
      <c r="C30" s="12">
        <v>8</v>
      </c>
      <c r="D30" s="8">
        <v>5.0999999999999996</v>
      </c>
      <c r="E30" s="12">
        <v>7</v>
      </c>
      <c r="F30" s="8">
        <v>6.86</v>
      </c>
      <c r="G30" s="12">
        <v>1</v>
      </c>
      <c r="H30" s="8">
        <v>2.08</v>
      </c>
      <c r="I30" s="12">
        <v>0</v>
      </c>
    </row>
    <row r="31" spans="2:9" ht="15" customHeight="1" x14ac:dyDescent="0.2">
      <c r="B31" t="s">
        <v>230</v>
      </c>
      <c r="C31" s="12">
        <v>7</v>
      </c>
      <c r="D31" s="8">
        <v>4.46</v>
      </c>
      <c r="E31" s="12">
        <v>6</v>
      </c>
      <c r="F31" s="8">
        <v>5.88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215</v>
      </c>
      <c r="C32" s="12">
        <v>6</v>
      </c>
      <c r="D32" s="8">
        <v>3.82</v>
      </c>
      <c r="E32" s="12">
        <v>3</v>
      </c>
      <c r="F32" s="8">
        <v>2.94</v>
      </c>
      <c r="G32" s="12">
        <v>3</v>
      </c>
      <c r="H32" s="8">
        <v>6.25</v>
      </c>
      <c r="I32" s="12">
        <v>0</v>
      </c>
    </row>
    <row r="33" spans="2:9" ht="15" customHeight="1" x14ac:dyDescent="0.2">
      <c r="B33" t="s">
        <v>231</v>
      </c>
      <c r="C33" s="12">
        <v>6</v>
      </c>
      <c r="D33" s="8">
        <v>3.82</v>
      </c>
      <c r="E33" s="12">
        <v>6</v>
      </c>
      <c r="F33" s="8">
        <v>5.88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249</v>
      </c>
      <c r="C34" s="12">
        <v>5</v>
      </c>
      <c r="D34" s="8">
        <v>3.18</v>
      </c>
      <c r="E34" s="12">
        <v>0</v>
      </c>
      <c r="F34" s="8">
        <v>0</v>
      </c>
      <c r="G34" s="12">
        <v>2</v>
      </c>
      <c r="H34" s="8">
        <v>4.17</v>
      </c>
      <c r="I34" s="12">
        <v>0</v>
      </c>
    </row>
    <row r="35" spans="2:9" ht="15" customHeight="1" x14ac:dyDescent="0.2">
      <c r="B35" t="s">
        <v>232</v>
      </c>
      <c r="C35" s="12">
        <v>4</v>
      </c>
      <c r="D35" s="8">
        <v>2.5499999999999998</v>
      </c>
      <c r="E35" s="12">
        <v>0</v>
      </c>
      <c r="F35" s="8">
        <v>0</v>
      </c>
      <c r="G35" s="12">
        <v>3</v>
      </c>
      <c r="H35" s="8">
        <v>6.25</v>
      </c>
      <c r="I35" s="12">
        <v>0</v>
      </c>
    </row>
    <row r="36" spans="2:9" ht="15" customHeight="1" x14ac:dyDescent="0.2">
      <c r="B36" t="s">
        <v>241</v>
      </c>
      <c r="C36" s="12">
        <v>3</v>
      </c>
      <c r="D36" s="8">
        <v>1.91</v>
      </c>
      <c r="E36" s="12">
        <v>1</v>
      </c>
      <c r="F36" s="8">
        <v>0.98</v>
      </c>
      <c r="G36" s="12">
        <v>2</v>
      </c>
      <c r="H36" s="8">
        <v>4.17</v>
      </c>
      <c r="I36" s="12">
        <v>0</v>
      </c>
    </row>
    <row r="37" spans="2:9" ht="15" customHeight="1" x14ac:dyDescent="0.2">
      <c r="B37" t="s">
        <v>220</v>
      </c>
      <c r="C37" s="12">
        <v>3</v>
      </c>
      <c r="D37" s="8">
        <v>1.91</v>
      </c>
      <c r="E37" s="12">
        <v>1</v>
      </c>
      <c r="F37" s="8">
        <v>0.98</v>
      </c>
      <c r="G37" s="12">
        <v>2</v>
      </c>
      <c r="H37" s="8">
        <v>4.17</v>
      </c>
      <c r="I37" s="12">
        <v>0</v>
      </c>
    </row>
    <row r="38" spans="2:9" ht="15" customHeight="1" x14ac:dyDescent="0.2">
      <c r="B38" t="s">
        <v>222</v>
      </c>
      <c r="C38" s="12">
        <v>3</v>
      </c>
      <c r="D38" s="8">
        <v>1.91</v>
      </c>
      <c r="E38" s="12">
        <v>1</v>
      </c>
      <c r="F38" s="8">
        <v>0.98</v>
      </c>
      <c r="G38" s="12">
        <v>2</v>
      </c>
      <c r="H38" s="8">
        <v>4.17</v>
      </c>
      <c r="I38" s="12">
        <v>0</v>
      </c>
    </row>
    <row r="39" spans="2:9" ht="15" customHeight="1" x14ac:dyDescent="0.2">
      <c r="B39" t="s">
        <v>243</v>
      </c>
      <c r="C39" s="12">
        <v>3</v>
      </c>
      <c r="D39" s="8">
        <v>1.91</v>
      </c>
      <c r="E39" s="12">
        <v>2</v>
      </c>
      <c r="F39" s="8">
        <v>1.96</v>
      </c>
      <c r="G39" s="12">
        <v>1</v>
      </c>
      <c r="H39" s="8">
        <v>2.08</v>
      </c>
      <c r="I39" s="12">
        <v>0</v>
      </c>
    </row>
    <row r="40" spans="2:9" ht="15" customHeight="1" x14ac:dyDescent="0.2">
      <c r="B40" t="s">
        <v>258</v>
      </c>
      <c r="C40" s="12">
        <v>2</v>
      </c>
      <c r="D40" s="8">
        <v>1.27</v>
      </c>
      <c r="E40" s="12">
        <v>2</v>
      </c>
      <c r="F40" s="8">
        <v>1.96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255</v>
      </c>
      <c r="C41" s="12">
        <v>2</v>
      </c>
      <c r="D41" s="8">
        <v>1.27</v>
      </c>
      <c r="E41" s="12">
        <v>0</v>
      </c>
      <c r="F41" s="8">
        <v>0</v>
      </c>
      <c r="G41" s="12">
        <v>1</v>
      </c>
      <c r="H41" s="8">
        <v>2.08</v>
      </c>
      <c r="I41" s="12">
        <v>0</v>
      </c>
    </row>
    <row r="42" spans="2:9" ht="15" customHeight="1" x14ac:dyDescent="0.2">
      <c r="B42" t="s">
        <v>216</v>
      </c>
      <c r="C42" s="12">
        <v>2</v>
      </c>
      <c r="D42" s="8">
        <v>1.27</v>
      </c>
      <c r="E42" s="12">
        <v>0</v>
      </c>
      <c r="F42" s="8">
        <v>0</v>
      </c>
      <c r="G42" s="12">
        <v>2</v>
      </c>
      <c r="H42" s="8">
        <v>4.17</v>
      </c>
      <c r="I42" s="12">
        <v>0</v>
      </c>
    </row>
    <row r="43" spans="2:9" ht="15" customHeight="1" x14ac:dyDescent="0.2">
      <c r="B43" t="s">
        <v>217</v>
      </c>
      <c r="C43" s="12">
        <v>2</v>
      </c>
      <c r="D43" s="8">
        <v>1.27</v>
      </c>
      <c r="E43" s="12">
        <v>1</v>
      </c>
      <c r="F43" s="8">
        <v>0.98</v>
      </c>
      <c r="G43" s="12">
        <v>1</v>
      </c>
      <c r="H43" s="8">
        <v>2.08</v>
      </c>
      <c r="I43" s="12">
        <v>0</v>
      </c>
    </row>
    <row r="44" spans="2:9" ht="15" customHeight="1" x14ac:dyDescent="0.2">
      <c r="B44" t="s">
        <v>219</v>
      </c>
      <c r="C44" s="12">
        <v>2</v>
      </c>
      <c r="D44" s="8">
        <v>1.27</v>
      </c>
      <c r="E44" s="12">
        <v>0</v>
      </c>
      <c r="F44" s="8">
        <v>0</v>
      </c>
      <c r="G44" s="12">
        <v>2</v>
      </c>
      <c r="H44" s="8">
        <v>4.17</v>
      </c>
      <c r="I44" s="12">
        <v>0</v>
      </c>
    </row>
    <row r="45" spans="2:9" ht="15" customHeight="1" x14ac:dyDescent="0.2">
      <c r="B45" t="s">
        <v>225</v>
      </c>
      <c r="C45" s="12">
        <v>2</v>
      </c>
      <c r="D45" s="8">
        <v>1.27</v>
      </c>
      <c r="E45" s="12">
        <v>2</v>
      </c>
      <c r="F45" s="8">
        <v>1.96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226</v>
      </c>
      <c r="C46" s="12">
        <v>2</v>
      </c>
      <c r="D46" s="8">
        <v>1.27</v>
      </c>
      <c r="E46" s="12">
        <v>1</v>
      </c>
      <c r="F46" s="8">
        <v>0.98</v>
      </c>
      <c r="G46" s="12">
        <v>1</v>
      </c>
      <c r="H46" s="8">
        <v>2.08</v>
      </c>
      <c r="I46" s="12">
        <v>0</v>
      </c>
    </row>
    <row r="47" spans="2:9" ht="15" customHeight="1" x14ac:dyDescent="0.2">
      <c r="B47" t="s">
        <v>229</v>
      </c>
      <c r="C47" s="12">
        <v>2</v>
      </c>
      <c r="D47" s="8">
        <v>1.27</v>
      </c>
      <c r="E47" s="12">
        <v>0</v>
      </c>
      <c r="F47" s="8">
        <v>0</v>
      </c>
      <c r="G47" s="12">
        <v>1</v>
      </c>
      <c r="H47" s="8">
        <v>2.08</v>
      </c>
      <c r="I47" s="12">
        <v>0</v>
      </c>
    </row>
    <row r="48" spans="2:9" ht="15" customHeight="1" x14ac:dyDescent="0.2">
      <c r="B48" t="s">
        <v>240</v>
      </c>
      <c r="C48" s="12">
        <v>2</v>
      </c>
      <c r="D48" s="8">
        <v>1.27</v>
      </c>
      <c r="E48" s="12">
        <v>1</v>
      </c>
      <c r="F48" s="8">
        <v>0.98</v>
      </c>
      <c r="G48" s="12">
        <v>1</v>
      </c>
      <c r="H48" s="8">
        <v>2.08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297</v>
      </c>
      <c r="C52" s="12">
        <v>10</v>
      </c>
      <c r="D52" s="8">
        <v>6.37</v>
      </c>
      <c r="E52" s="12">
        <v>9</v>
      </c>
      <c r="F52" s="8">
        <v>8.82</v>
      </c>
      <c r="G52" s="12">
        <v>1</v>
      </c>
      <c r="H52" s="8">
        <v>2.08</v>
      </c>
      <c r="I52" s="12">
        <v>0</v>
      </c>
    </row>
    <row r="53" spans="2:9" ht="15" customHeight="1" x14ac:dyDescent="0.2">
      <c r="B53" t="s">
        <v>304</v>
      </c>
      <c r="C53" s="12">
        <v>9</v>
      </c>
      <c r="D53" s="8">
        <v>5.73</v>
      </c>
      <c r="E53" s="12">
        <v>9</v>
      </c>
      <c r="F53" s="8">
        <v>8.82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292</v>
      </c>
      <c r="C54" s="12">
        <v>7</v>
      </c>
      <c r="D54" s="8">
        <v>4.46</v>
      </c>
      <c r="E54" s="12">
        <v>4</v>
      </c>
      <c r="F54" s="8">
        <v>3.92</v>
      </c>
      <c r="G54" s="12">
        <v>3</v>
      </c>
      <c r="H54" s="8">
        <v>6.25</v>
      </c>
      <c r="I54" s="12">
        <v>0</v>
      </c>
    </row>
    <row r="55" spans="2:9" ht="15" customHeight="1" x14ac:dyDescent="0.2">
      <c r="B55" t="s">
        <v>303</v>
      </c>
      <c r="C55" s="12">
        <v>6</v>
      </c>
      <c r="D55" s="8">
        <v>3.82</v>
      </c>
      <c r="E55" s="12">
        <v>6</v>
      </c>
      <c r="F55" s="8">
        <v>5.88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328</v>
      </c>
      <c r="C56" s="12">
        <v>5</v>
      </c>
      <c r="D56" s="8">
        <v>3.18</v>
      </c>
      <c r="E56" s="12">
        <v>2</v>
      </c>
      <c r="F56" s="8">
        <v>1.96</v>
      </c>
      <c r="G56" s="12">
        <v>3</v>
      </c>
      <c r="H56" s="8">
        <v>6.25</v>
      </c>
      <c r="I56" s="12">
        <v>0</v>
      </c>
    </row>
    <row r="57" spans="2:9" ht="15" customHeight="1" x14ac:dyDescent="0.2">
      <c r="B57" t="s">
        <v>330</v>
      </c>
      <c r="C57" s="12">
        <v>5</v>
      </c>
      <c r="D57" s="8">
        <v>3.18</v>
      </c>
      <c r="E57" s="12">
        <v>1</v>
      </c>
      <c r="F57" s="8">
        <v>0.98</v>
      </c>
      <c r="G57" s="12">
        <v>4</v>
      </c>
      <c r="H57" s="8">
        <v>8.33</v>
      </c>
      <c r="I57" s="12">
        <v>0</v>
      </c>
    </row>
    <row r="58" spans="2:9" ht="15" customHeight="1" x14ac:dyDescent="0.2">
      <c r="B58" t="s">
        <v>301</v>
      </c>
      <c r="C58" s="12">
        <v>5</v>
      </c>
      <c r="D58" s="8">
        <v>3.18</v>
      </c>
      <c r="E58" s="12">
        <v>5</v>
      </c>
      <c r="F58" s="8">
        <v>4.9000000000000004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370</v>
      </c>
      <c r="C59" s="12">
        <v>5</v>
      </c>
      <c r="D59" s="8">
        <v>3.18</v>
      </c>
      <c r="E59" s="12">
        <v>0</v>
      </c>
      <c r="F59" s="8">
        <v>0</v>
      </c>
      <c r="G59" s="12">
        <v>2</v>
      </c>
      <c r="H59" s="8">
        <v>4.17</v>
      </c>
      <c r="I59" s="12">
        <v>0</v>
      </c>
    </row>
    <row r="60" spans="2:9" ht="15" customHeight="1" x14ac:dyDescent="0.2">
      <c r="B60" t="s">
        <v>289</v>
      </c>
      <c r="C60" s="12">
        <v>4</v>
      </c>
      <c r="D60" s="8">
        <v>2.5499999999999998</v>
      </c>
      <c r="E60" s="12">
        <v>2</v>
      </c>
      <c r="F60" s="8">
        <v>1.96</v>
      </c>
      <c r="G60" s="12">
        <v>2</v>
      </c>
      <c r="H60" s="8">
        <v>4.17</v>
      </c>
      <c r="I60" s="12">
        <v>0</v>
      </c>
    </row>
    <row r="61" spans="2:9" ht="15" customHeight="1" x14ac:dyDescent="0.2">
      <c r="B61" t="s">
        <v>323</v>
      </c>
      <c r="C61" s="12">
        <v>4</v>
      </c>
      <c r="D61" s="8">
        <v>2.5499999999999998</v>
      </c>
      <c r="E61" s="12">
        <v>2</v>
      </c>
      <c r="F61" s="8">
        <v>1.96</v>
      </c>
      <c r="G61" s="12">
        <v>2</v>
      </c>
      <c r="H61" s="8">
        <v>4.17</v>
      </c>
      <c r="I61" s="12">
        <v>0</v>
      </c>
    </row>
    <row r="62" spans="2:9" ht="15" customHeight="1" x14ac:dyDescent="0.2">
      <c r="B62" t="s">
        <v>305</v>
      </c>
      <c r="C62" s="12">
        <v>4</v>
      </c>
      <c r="D62" s="8">
        <v>2.5499999999999998</v>
      </c>
      <c r="E62" s="12">
        <v>4</v>
      </c>
      <c r="F62" s="8">
        <v>3.92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306</v>
      </c>
      <c r="C63" s="12">
        <v>4</v>
      </c>
      <c r="D63" s="8">
        <v>2.5499999999999998</v>
      </c>
      <c r="E63" s="12">
        <v>4</v>
      </c>
      <c r="F63" s="8">
        <v>3.92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290</v>
      </c>
      <c r="C64" s="12">
        <v>3</v>
      </c>
      <c r="D64" s="8">
        <v>1.91</v>
      </c>
      <c r="E64" s="12">
        <v>1</v>
      </c>
      <c r="F64" s="8">
        <v>0.98</v>
      </c>
      <c r="G64" s="12">
        <v>2</v>
      </c>
      <c r="H64" s="8">
        <v>4.17</v>
      </c>
      <c r="I64" s="12">
        <v>0</v>
      </c>
    </row>
    <row r="65" spans="2:9" ht="15" customHeight="1" x14ac:dyDescent="0.2">
      <c r="B65" t="s">
        <v>291</v>
      </c>
      <c r="C65" s="12">
        <v>3</v>
      </c>
      <c r="D65" s="8">
        <v>1.91</v>
      </c>
      <c r="E65" s="12">
        <v>2</v>
      </c>
      <c r="F65" s="8">
        <v>1.96</v>
      </c>
      <c r="G65" s="12">
        <v>1</v>
      </c>
      <c r="H65" s="8">
        <v>2.08</v>
      </c>
      <c r="I65" s="12">
        <v>0</v>
      </c>
    </row>
    <row r="66" spans="2:9" ht="15" customHeight="1" x14ac:dyDescent="0.2">
      <c r="B66" t="s">
        <v>332</v>
      </c>
      <c r="C66" s="12">
        <v>3</v>
      </c>
      <c r="D66" s="8">
        <v>1.91</v>
      </c>
      <c r="E66" s="12">
        <v>3</v>
      </c>
      <c r="F66" s="8">
        <v>2.94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335</v>
      </c>
      <c r="C67" s="12">
        <v>3</v>
      </c>
      <c r="D67" s="8">
        <v>1.91</v>
      </c>
      <c r="E67" s="12">
        <v>1</v>
      </c>
      <c r="F67" s="8">
        <v>0.98</v>
      </c>
      <c r="G67" s="12">
        <v>2</v>
      </c>
      <c r="H67" s="8">
        <v>4.17</v>
      </c>
      <c r="I67" s="12">
        <v>0</v>
      </c>
    </row>
    <row r="68" spans="2:9" ht="15" customHeight="1" x14ac:dyDescent="0.2">
      <c r="B68" t="s">
        <v>339</v>
      </c>
      <c r="C68" s="12">
        <v>3</v>
      </c>
      <c r="D68" s="8">
        <v>1.91</v>
      </c>
      <c r="E68" s="12">
        <v>2</v>
      </c>
      <c r="F68" s="8">
        <v>1.96</v>
      </c>
      <c r="G68" s="12">
        <v>1</v>
      </c>
      <c r="H68" s="8">
        <v>2.08</v>
      </c>
      <c r="I68" s="12">
        <v>0</v>
      </c>
    </row>
    <row r="69" spans="2:9" ht="15" customHeight="1" x14ac:dyDescent="0.2">
      <c r="B69" t="s">
        <v>288</v>
      </c>
      <c r="C69" s="12">
        <v>2</v>
      </c>
      <c r="D69" s="8">
        <v>1.27</v>
      </c>
      <c r="E69" s="12">
        <v>2</v>
      </c>
      <c r="F69" s="8">
        <v>1.96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343</v>
      </c>
      <c r="C70" s="12">
        <v>2</v>
      </c>
      <c r="D70" s="8">
        <v>1.27</v>
      </c>
      <c r="E70" s="12">
        <v>2</v>
      </c>
      <c r="F70" s="8">
        <v>1.96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320</v>
      </c>
      <c r="C71" s="12">
        <v>2</v>
      </c>
      <c r="D71" s="8">
        <v>1.27</v>
      </c>
      <c r="E71" s="12">
        <v>1</v>
      </c>
      <c r="F71" s="8">
        <v>0.98</v>
      </c>
      <c r="G71" s="12">
        <v>1</v>
      </c>
      <c r="H71" s="8">
        <v>2.08</v>
      </c>
      <c r="I71" s="12">
        <v>0</v>
      </c>
    </row>
    <row r="72" spans="2:9" ht="15" customHeight="1" x14ac:dyDescent="0.2">
      <c r="B72" t="s">
        <v>342</v>
      </c>
      <c r="C72" s="12">
        <v>2</v>
      </c>
      <c r="D72" s="8">
        <v>1.27</v>
      </c>
      <c r="E72" s="12">
        <v>0</v>
      </c>
      <c r="F72" s="8">
        <v>0</v>
      </c>
      <c r="G72" s="12">
        <v>2</v>
      </c>
      <c r="H72" s="8">
        <v>4.17</v>
      </c>
      <c r="I72" s="12">
        <v>0</v>
      </c>
    </row>
    <row r="73" spans="2:9" ht="15" customHeight="1" x14ac:dyDescent="0.2">
      <c r="B73" t="s">
        <v>381</v>
      </c>
      <c r="C73" s="12">
        <v>2</v>
      </c>
      <c r="D73" s="8">
        <v>1.27</v>
      </c>
      <c r="E73" s="12">
        <v>2</v>
      </c>
      <c r="F73" s="8">
        <v>1.96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324</v>
      </c>
      <c r="C74" s="12">
        <v>2</v>
      </c>
      <c r="D74" s="8">
        <v>1.27</v>
      </c>
      <c r="E74" s="12">
        <v>0</v>
      </c>
      <c r="F74" s="8">
        <v>0</v>
      </c>
      <c r="G74" s="12">
        <v>2</v>
      </c>
      <c r="H74" s="8">
        <v>4.17</v>
      </c>
      <c r="I74" s="12">
        <v>0</v>
      </c>
    </row>
    <row r="75" spans="2:9" ht="15" customHeight="1" x14ac:dyDescent="0.2">
      <c r="B75" t="s">
        <v>309</v>
      </c>
      <c r="C75" s="12">
        <v>2</v>
      </c>
      <c r="D75" s="8">
        <v>1.27</v>
      </c>
      <c r="E75" s="12">
        <v>0</v>
      </c>
      <c r="F75" s="8">
        <v>0</v>
      </c>
      <c r="G75" s="12">
        <v>2</v>
      </c>
      <c r="H75" s="8">
        <v>4.17</v>
      </c>
      <c r="I75" s="12">
        <v>0</v>
      </c>
    </row>
    <row r="76" spans="2:9" ht="15" customHeight="1" x14ac:dyDescent="0.2">
      <c r="B76" t="s">
        <v>382</v>
      </c>
      <c r="C76" s="12">
        <v>2</v>
      </c>
      <c r="D76" s="8">
        <v>1.27</v>
      </c>
      <c r="E76" s="12">
        <v>0</v>
      </c>
      <c r="F76" s="8">
        <v>0</v>
      </c>
      <c r="G76" s="12">
        <v>2</v>
      </c>
      <c r="H76" s="8">
        <v>4.17</v>
      </c>
      <c r="I76" s="12">
        <v>0</v>
      </c>
    </row>
    <row r="77" spans="2:9" ht="15" customHeight="1" x14ac:dyDescent="0.2">
      <c r="B77" t="s">
        <v>354</v>
      </c>
      <c r="C77" s="12">
        <v>2</v>
      </c>
      <c r="D77" s="8">
        <v>1.27</v>
      </c>
      <c r="E77" s="12">
        <v>2</v>
      </c>
      <c r="F77" s="8">
        <v>1.96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336</v>
      </c>
      <c r="C78" s="12">
        <v>2</v>
      </c>
      <c r="D78" s="8">
        <v>1.27</v>
      </c>
      <c r="E78" s="12">
        <v>1</v>
      </c>
      <c r="F78" s="8">
        <v>0.98</v>
      </c>
      <c r="G78" s="12">
        <v>1</v>
      </c>
      <c r="H78" s="8">
        <v>2.08</v>
      </c>
      <c r="I78" s="12">
        <v>0</v>
      </c>
    </row>
    <row r="79" spans="2:9" ht="15" customHeight="1" x14ac:dyDescent="0.2">
      <c r="B79" t="s">
        <v>380</v>
      </c>
      <c r="C79" s="12">
        <v>2</v>
      </c>
      <c r="D79" s="8">
        <v>1.27</v>
      </c>
      <c r="E79" s="12">
        <v>1</v>
      </c>
      <c r="F79" s="8">
        <v>0.98</v>
      </c>
      <c r="G79" s="12">
        <v>1</v>
      </c>
      <c r="H79" s="8">
        <v>2.08</v>
      </c>
      <c r="I79" s="12">
        <v>0</v>
      </c>
    </row>
    <row r="80" spans="2:9" ht="15" customHeight="1" x14ac:dyDescent="0.2">
      <c r="B80" t="s">
        <v>337</v>
      </c>
      <c r="C80" s="12">
        <v>2</v>
      </c>
      <c r="D80" s="8">
        <v>1.27</v>
      </c>
      <c r="E80" s="12">
        <v>1</v>
      </c>
      <c r="F80" s="8">
        <v>0.98</v>
      </c>
      <c r="G80" s="12">
        <v>1</v>
      </c>
      <c r="H80" s="8">
        <v>2.08</v>
      </c>
      <c r="I80" s="12">
        <v>0</v>
      </c>
    </row>
    <row r="81" spans="2:9" ht="15" customHeight="1" x14ac:dyDescent="0.2">
      <c r="B81" t="s">
        <v>295</v>
      </c>
      <c r="C81" s="12">
        <v>2</v>
      </c>
      <c r="D81" s="8">
        <v>1.27</v>
      </c>
      <c r="E81" s="12">
        <v>2</v>
      </c>
      <c r="F81" s="8">
        <v>1.96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383</v>
      </c>
      <c r="C82" s="12">
        <v>2</v>
      </c>
      <c r="D82" s="8">
        <v>1.27</v>
      </c>
      <c r="E82" s="12">
        <v>2</v>
      </c>
      <c r="F82" s="8">
        <v>1.96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298</v>
      </c>
      <c r="C83" s="12">
        <v>2</v>
      </c>
      <c r="D83" s="8">
        <v>1.27</v>
      </c>
      <c r="E83" s="12">
        <v>1</v>
      </c>
      <c r="F83" s="8">
        <v>0.98</v>
      </c>
      <c r="G83" s="12">
        <v>1</v>
      </c>
      <c r="H83" s="8">
        <v>2.08</v>
      </c>
      <c r="I83" s="12">
        <v>0</v>
      </c>
    </row>
    <row r="84" spans="2:9" ht="15" customHeight="1" x14ac:dyDescent="0.2">
      <c r="B84" t="s">
        <v>334</v>
      </c>
      <c r="C84" s="12">
        <v>2</v>
      </c>
      <c r="D84" s="8">
        <v>1.27</v>
      </c>
      <c r="E84" s="12">
        <v>2</v>
      </c>
      <c r="F84" s="8">
        <v>1.96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300</v>
      </c>
      <c r="C85" s="12">
        <v>2</v>
      </c>
      <c r="D85" s="8">
        <v>1.27</v>
      </c>
      <c r="E85" s="12">
        <v>2</v>
      </c>
      <c r="F85" s="8">
        <v>1.96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327</v>
      </c>
      <c r="C86" s="12">
        <v>2</v>
      </c>
      <c r="D86" s="8">
        <v>1.27</v>
      </c>
      <c r="E86" s="12">
        <v>2</v>
      </c>
      <c r="F86" s="8">
        <v>1.96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312</v>
      </c>
      <c r="C87" s="12">
        <v>2</v>
      </c>
      <c r="D87" s="8">
        <v>1.27</v>
      </c>
      <c r="E87" s="12">
        <v>2</v>
      </c>
      <c r="F87" s="8">
        <v>1.96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331</v>
      </c>
      <c r="C88" s="12">
        <v>2</v>
      </c>
      <c r="D88" s="8">
        <v>1.27</v>
      </c>
      <c r="E88" s="12">
        <v>0</v>
      </c>
      <c r="F88" s="8">
        <v>0</v>
      </c>
      <c r="G88" s="12">
        <v>2</v>
      </c>
      <c r="H88" s="8">
        <v>4.17</v>
      </c>
      <c r="I88" s="12">
        <v>0</v>
      </c>
    </row>
    <row r="89" spans="2:9" ht="15" customHeight="1" x14ac:dyDescent="0.2">
      <c r="B89" t="s">
        <v>307</v>
      </c>
      <c r="C89" s="12">
        <v>2</v>
      </c>
      <c r="D89" s="8">
        <v>1.27</v>
      </c>
      <c r="E89" s="12">
        <v>1</v>
      </c>
      <c r="F89" s="8">
        <v>0.98</v>
      </c>
      <c r="G89" s="12">
        <v>1</v>
      </c>
      <c r="H89" s="8">
        <v>2.08</v>
      </c>
      <c r="I89" s="12">
        <v>0</v>
      </c>
    </row>
    <row r="91" spans="2:9" ht="15" customHeight="1" x14ac:dyDescent="0.2">
      <c r="B9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B53B-DCB6-4FD9-8567-1DD7399ECA37}">
  <sheetPr>
    <pageSetUpPr fitToPage="1"/>
  </sheetPr>
  <dimension ref="B2:I8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17</v>
      </c>
      <c r="D6" s="8">
        <v>17.170000000000002</v>
      </c>
      <c r="E6" s="12">
        <v>9</v>
      </c>
      <c r="F6" s="8">
        <v>15.25</v>
      </c>
      <c r="G6" s="12">
        <v>8</v>
      </c>
      <c r="H6" s="8">
        <v>22.86</v>
      </c>
      <c r="I6" s="12">
        <v>0</v>
      </c>
    </row>
    <row r="7" spans="2:9" ht="15" customHeight="1" x14ac:dyDescent="0.2">
      <c r="B7" t="s">
        <v>192</v>
      </c>
      <c r="C7" s="12">
        <v>13</v>
      </c>
      <c r="D7" s="8">
        <v>13.13</v>
      </c>
      <c r="E7" s="12">
        <v>5</v>
      </c>
      <c r="F7" s="8">
        <v>8.4700000000000006</v>
      </c>
      <c r="G7" s="12">
        <v>8</v>
      </c>
      <c r="H7" s="8">
        <v>22.86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2.02</v>
      </c>
      <c r="E8" s="12">
        <v>0</v>
      </c>
      <c r="F8" s="8">
        <v>0</v>
      </c>
      <c r="G8" s="12">
        <v>1</v>
      </c>
      <c r="H8" s="8">
        <v>2.86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1.01</v>
      </c>
      <c r="E9" s="12">
        <v>0</v>
      </c>
      <c r="F9" s="8">
        <v>0</v>
      </c>
      <c r="G9" s="12">
        <v>1</v>
      </c>
      <c r="H9" s="8">
        <v>2.86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1.01</v>
      </c>
      <c r="E10" s="12">
        <v>0</v>
      </c>
      <c r="F10" s="8">
        <v>0</v>
      </c>
      <c r="G10" s="12">
        <v>1</v>
      </c>
      <c r="H10" s="8">
        <v>2.86</v>
      </c>
      <c r="I10" s="12">
        <v>0</v>
      </c>
    </row>
    <row r="11" spans="2:9" ht="15" customHeight="1" x14ac:dyDescent="0.2">
      <c r="B11" t="s">
        <v>196</v>
      </c>
      <c r="C11" s="12">
        <v>18</v>
      </c>
      <c r="D11" s="8">
        <v>18.18</v>
      </c>
      <c r="E11" s="12">
        <v>11</v>
      </c>
      <c r="F11" s="8">
        <v>18.64</v>
      </c>
      <c r="G11" s="12">
        <v>7</v>
      </c>
      <c r="H11" s="8">
        <v>20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1.01</v>
      </c>
      <c r="E12" s="12">
        <v>0</v>
      </c>
      <c r="F12" s="8">
        <v>0</v>
      </c>
      <c r="G12" s="12">
        <v>1</v>
      </c>
      <c r="H12" s="8">
        <v>2.86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2.02</v>
      </c>
      <c r="E13" s="12">
        <v>0</v>
      </c>
      <c r="F13" s="8">
        <v>0</v>
      </c>
      <c r="G13" s="12">
        <v>2</v>
      </c>
      <c r="H13" s="8">
        <v>5.71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3.03</v>
      </c>
      <c r="E14" s="12">
        <v>2</v>
      </c>
      <c r="F14" s="8">
        <v>3.39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21</v>
      </c>
      <c r="D15" s="8">
        <v>21.21</v>
      </c>
      <c r="E15" s="12">
        <v>17</v>
      </c>
      <c r="F15" s="8">
        <v>28.81</v>
      </c>
      <c r="G15" s="12">
        <v>3</v>
      </c>
      <c r="H15" s="8">
        <v>8.57</v>
      </c>
      <c r="I15" s="12">
        <v>0</v>
      </c>
    </row>
    <row r="16" spans="2:9" ht="15" customHeight="1" x14ac:dyDescent="0.2">
      <c r="B16" t="s">
        <v>201</v>
      </c>
      <c r="C16" s="12">
        <v>13</v>
      </c>
      <c r="D16" s="8">
        <v>13.13</v>
      </c>
      <c r="E16" s="12">
        <v>12</v>
      </c>
      <c r="F16" s="8">
        <v>20.34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3.03</v>
      </c>
      <c r="E17" s="12">
        <v>2</v>
      </c>
      <c r="F17" s="8">
        <v>3.39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1.01</v>
      </c>
      <c r="E18" s="12">
        <v>1</v>
      </c>
      <c r="F18" s="8">
        <v>1.69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3.03</v>
      </c>
      <c r="E19" s="12">
        <v>0</v>
      </c>
      <c r="F19" s="8">
        <v>0</v>
      </c>
      <c r="G19" s="12">
        <v>3</v>
      </c>
      <c r="H19" s="8">
        <v>8.57</v>
      </c>
      <c r="I19" s="12">
        <v>0</v>
      </c>
    </row>
    <row r="20" spans="2:9" ht="15" customHeight="1" x14ac:dyDescent="0.2">
      <c r="B20" s="9" t="s">
        <v>529</v>
      </c>
      <c r="C20" s="12">
        <f>SUM(LTBL_01333[総数／事業所数])</f>
        <v>99</v>
      </c>
      <c r="E20" s="12">
        <f>SUBTOTAL(109,LTBL_01333[個人／事業所数])</f>
        <v>59</v>
      </c>
      <c r="G20" s="12">
        <f>SUBTOTAL(109,LTBL_01333[法人／事業所数])</f>
        <v>35</v>
      </c>
      <c r="I20" s="12">
        <f>SUBTOTAL(109,LTBL_01333[法人以外の団体／事業所数])</f>
        <v>0</v>
      </c>
    </row>
    <row r="21" spans="2:9" ht="15" customHeight="1" x14ac:dyDescent="0.2">
      <c r="E21" s="11">
        <f>LTBL_01333[[#Totals],[個人／事業所数]]/LTBL_01333[[#Totals],[総数／事業所数]]</f>
        <v>0.59595959595959591</v>
      </c>
      <c r="G21" s="11">
        <f>LTBL_01333[[#Totals],[法人／事業所数]]/LTBL_01333[[#Totals],[総数／事業所数]]</f>
        <v>0.35353535353535354</v>
      </c>
      <c r="I21" s="11">
        <f>LTBL_01333[[#Totals],[法人以外の団体／事業所数]]/LTBL_01333[[#Totals],[総数／事業所数]]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12</v>
      </c>
      <c r="D24" s="8">
        <v>12.12</v>
      </c>
      <c r="E24" s="12">
        <v>12</v>
      </c>
      <c r="F24" s="8">
        <v>20.34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227</v>
      </c>
      <c r="C25" s="12">
        <v>11</v>
      </c>
      <c r="D25" s="8">
        <v>11.11</v>
      </c>
      <c r="E25" s="12">
        <v>10</v>
      </c>
      <c r="F25" s="8">
        <v>16.95</v>
      </c>
      <c r="G25" s="12">
        <v>1</v>
      </c>
      <c r="H25" s="8">
        <v>2.86</v>
      </c>
      <c r="I25" s="12">
        <v>0</v>
      </c>
    </row>
    <row r="26" spans="2:9" ht="15" customHeight="1" x14ac:dyDescent="0.2">
      <c r="B26" t="s">
        <v>243</v>
      </c>
      <c r="C26" s="12">
        <v>9</v>
      </c>
      <c r="D26" s="8">
        <v>9.09</v>
      </c>
      <c r="E26" s="12">
        <v>7</v>
      </c>
      <c r="F26" s="8">
        <v>11.86</v>
      </c>
      <c r="G26" s="12">
        <v>2</v>
      </c>
      <c r="H26" s="8">
        <v>5.71</v>
      </c>
      <c r="I26" s="12">
        <v>0</v>
      </c>
    </row>
    <row r="27" spans="2:9" ht="15" customHeight="1" x14ac:dyDescent="0.2">
      <c r="B27" t="s">
        <v>213</v>
      </c>
      <c r="C27" s="12">
        <v>8</v>
      </c>
      <c r="D27" s="8">
        <v>8.08</v>
      </c>
      <c r="E27" s="12">
        <v>4</v>
      </c>
      <c r="F27" s="8">
        <v>6.78</v>
      </c>
      <c r="G27" s="12">
        <v>4</v>
      </c>
      <c r="H27" s="8">
        <v>11.43</v>
      </c>
      <c r="I27" s="12">
        <v>0</v>
      </c>
    </row>
    <row r="28" spans="2:9" ht="15" customHeight="1" x14ac:dyDescent="0.2">
      <c r="B28" t="s">
        <v>221</v>
      </c>
      <c r="C28" s="12">
        <v>6</v>
      </c>
      <c r="D28" s="8">
        <v>6.06</v>
      </c>
      <c r="E28" s="12">
        <v>5</v>
      </c>
      <c r="F28" s="8">
        <v>8.4700000000000006</v>
      </c>
      <c r="G28" s="12">
        <v>1</v>
      </c>
      <c r="H28" s="8">
        <v>2.86</v>
      </c>
      <c r="I28" s="12">
        <v>0</v>
      </c>
    </row>
    <row r="29" spans="2:9" ht="15" customHeight="1" x14ac:dyDescent="0.2">
      <c r="B29" t="s">
        <v>223</v>
      </c>
      <c r="C29" s="12">
        <v>6</v>
      </c>
      <c r="D29" s="8">
        <v>6.06</v>
      </c>
      <c r="E29" s="12">
        <v>5</v>
      </c>
      <c r="F29" s="8">
        <v>8.4700000000000006</v>
      </c>
      <c r="G29" s="12">
        <v>1</v>
      </c>
      <c r="H29" s="8">
        <v>2.86</v>
      </c>
      <c r="I29" s="12">
        <v>0</v>
      </c>
    </row>
    <row r="30" spans="2:9" ht="15" customHeight="1" x14ac:dyDescent="0.2">
      <c r="B30" t="s">
        <v>214</v>
      </c>
      <c r="C30" s="12">
        <v>5</v>
      </c>
      <c r="D30" s="8">
        <v>5.05</v>
      </c>
      <c r="E30" s="12">
        <v>4</v>
      </c>
      <c r="F30" s="8">
        <v>6.78</v>
      </c>
      <c r="G30" s="12">
        <v>1</v>
      </c>
      <c r="H30" s="8">
        <v>2.86</v>
      </c>
      <c r="I30" s="12">
        <v>0</v>
      </c>
    </row>
    <row r="31" spans="2:9" ht="15" customHeight="1" x14ac:dyDescent="0.2">
      <c r="B31" t="s">
        <v>241</v>
      </c>
      <c r="C31" s="12">
        <v>5</v>
      </c>
      <c r="D31" s="8">
        <v>5.05</v>
      </c>
      <c r="E31" s="12">
        <v>2</v>
      </c>
      <c r="F31" s="8">
        <v>3.39</v>
      </c>
      <c r="G31" s="12">
        <v>3</v>
      </c>
      <c r="H31" s="8">
        <v>8.57</v>
      </c>
      <c r="I31" s="12">
        <v>0</v>
      </c>
    </row>
    <row r="32" spans="2:9" ht="15" customHeight="1" x14ac:dyDescent="0.2">
      <c r="B32" t="s">
        <v>215</v>
      </c>
      <c r="C32" s="12">
        <v>4</v>
      </c>
      <c r="D32" s="8">
        <v>4.04</v>
      </c>
      <c r="E32" s="12">
        <v>1</v>
      </c>
      <c r="F32" s="8">
        <v>1.69</v>
      </c>
      <c r="G32" s="12">
        <v>3</v>
      </c>
      <c r="H32" s="8">
        <v>8.57</v>
      </c>
      <c r="I32" s="12">
        <v>0</v>
      </c>
    </row>
    <row r="33" spans="2:9" ht="15" customHeight="1" x14ac:dyDescent="0.2">
      <c r="B33" t="s">
        <v>230</v>
      </c>
      <c r="C33" s="12">
        <v>3</v>
      </c>
      <c r="D33" s="8">
        <v>3.03</v>
      </c>
      <c r="E33" s="12">
        <v>2</v>
      </c>
      <c r="F33" s="8">
        <v>3.39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244</v>
      </c>
      <c r="C34" s="12">
        <v>2</v>
      </c>
      <c r="D34" s="8">
        <v>2.02</v>
      </c>
      <c r="E34" s="12">
        <v>0</v>
      </c>
      <c r="F34" s="8">
        <v>0</v>
      </c>
      <c r="G34" s="12">
        <v>2</v>
      </c>
      <c r="H34" s="8">
        <v>5.71</v>
      </c>
      <c r="I34" s="12">
        <v>0</v>
      </c>
    </row>
    <row r="35" spans="2:9" ht="15" customHeight="1" x14ac:dyDescent="0.2">
      <c r="B35" t="s">
        <v>258</v>
      </c>
      <c r="C35" s="12">
        <v>2</v>
      </c>
      <c r="D35" s="8">
        <v>2.02</v>
      </c>
      <c r="E35" s="12">
        <v>1</v>
      </c>
      <c r="F35" s="8">
        <v>1.69</v>
      </c>
      <c r="G35" s="12">
        <v>1</v>
      </c>
      <c r="H35" s="8">
        <v>2.86</v>
      </c>
      <c r="I35" s="12">
        <v>0</v>
      </c>
    </row>
    <row r="36" spans="2:9" ht="15" customHeight="1" x14ac:dyDescent="0.2">
      <c r="B36" t="s">
        <v>224</v>
      </c>
      <c r="C36" s="12">
        <v>2</v>
      </c>
      <c r="D36" s="8">
        <v>2.02</v>
      </c>
      <c r="E36" s="12">
        <v>0</v>
      </c>
      <c r="F36" s="8">
        <v>0</v>
      </c>
      <c r="G36" s="12">
        <v>2</v>
      </c>
      <c r="H36" s="8">
        <v>5.71</v>
      </c>
      <c r="I36" s="12">
        <v>0</v>
      </c>
    </row>
    <row r="37" spans="2:9" ht="15" customHeight="1" x14ac:dyDescent="0.2">
      <c r="B37" t="s">
        <v>225</v>
      </c>
      <c r="C37" s="12">
        <v>2</v>
      </c>
      <c r="D37" s="8">
        <v>2.02</v>
      </c>
      <c r="E37" s="12">
        <v>2</v>
      </c>
      <c r="F37" s="8">
        <v>3.39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263</v>
      </c>
      <c r="C38" s="12">
        <v>1</v>
      </c>
      <c r="D38" s="8">
        <v>1.01</v>
      </c>
      <c r="E38" s="12">
        <v>0</v>
      </c>
      <c r="F38" s="8">
        <v>0</v>
      </c>
      <c r="G38" s="12">
        <v>1</v>
      </c>
      <c r="H38" s="8">
        <v>2.86</v>
      </c>
      <c r="I38" s="12">
        <v>0</v>
      </c>
    </row>
    <row r="39" spans="2:9" ht="15" customHeight="1" x14ac:dyDescent="0.2">
      <c r="B39" t="s">
        <v>264</v>
      </c>
      <c r="C39" s="12">
        <v>1</v>
      </c>
      <c r="D39" s="8">
        <v>1.01</v>
      </c>
      <c r="E39" s="12">
        <v>0</v>
      </c>
      <c r="F39" s="8">
        <v>0</v>
      </c>
      <c r="G39" s="12">
        <v>1</v>
      </c>
      <c r="H39" s="8">
        <v>2.86</v>
      </c>
      <c r="I39" s="12">
        <v>0</v>
      </c>
    </row>
    <row r="40" spans="2:9" ht="15" customHeight="1" x14ac:dyDescent="0.2">
      <c r="B40" t="s">
        <v>253</v>
      </c>
      <c r="C40" s="12">
        <v>1</v>
      </c>
      <c r="D40" s="8">
        <v>1.01</v>
      </c>
      <c r="E40" s="12">
        <v>1</v>
      </c>
      <c r="F40" s="8">
        <v>1.69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257</v>
      </c>
      <c r="C41" s="12">
        <v>1</v>
      </c>
      <c r="D41" s="8">
        <v>1.01</v>
      </c>
      <c r="E41" s="12">
        <v>1</v>
      </c>
      <c r="F41" s="8">
        <v>1.69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265</v>
      </c>
      <c r="C42" s="12">
        <v>1</v>
      </c>
      <c r="D42" s="8">
        <v>1.01</v>
      </c>
      <c r="E42" s="12">
        <v>0</v>
      </c>
      <c r="F42" s="8">
        <v>0</v>
      </c>
      <c r="G42" s="12">
        <v>1</v>
      </c>
      <c r="H42" s="8">
        <v>2.86</v>
      </c>
      <c r="I42" s="12">
        <v>0</v>
      </c>
    </row>
    <row r="43" spans="2:9" ht="15" customHeight="1" x14ac:dyDescent="0.2">
      <c r="B43" t="s">
        <v>255</v>
      </c>
      <c r="C43" s="12">
        <v>1</v>
      </c>
      <c r="D43" s="8">
        <v>1.01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235</v>
      </c>
      <c r="C44" s="12">
        <v>1</v>
      </c>
      <c r="D44" s="8">
        <v>1.01</v>
      </c>
      <c r="E44" s="12">
        <v>0</v>
      </c>
      <c r="F44" s="8">
        <v>0</v>
      </c>
      <c r="G44" s="12">
        <v>1</v>
      </c>
      <c r="H44" s="8">
        <v>2.86</v>
      </c>
      <c r="I44" s="12">
        <v>0</v>
      </c>
    </row>
    <row r="45" spans="2:9" ht="15" customHeight="1" x14ac:dyDescent="0.2">
      <c r="B45" t="s">
        <v>248</v>
      </c>
      <c r="C45" s="12">
        <v>1</v>
      </c>
      <c r="D45" s="8">
        <v>1.01</v>
      </c>
      <c r="E45" s="12">
        <v>0</v>
      </c>
      <c r="F45" s="8">
        <v>0</v>
      </c>
      <c r="G45" s="12">
        <v>1</v>
      </c>
      <c r="H45" s="8">
        <v>2.86</v>
      </c>
      <c r="I45" s="12">
        <v>0</v>
      </c>
    </row>
    <row r="46" spans="2:9" ht="15" customHeight="1" x14ac:dyDescent="0.2">
      <c r="B46" t="s">
        <v>216</v>
      </c>
      <c r="C46" s="12">
        <v>1</v>
      </c>
      <c r="D46" s="8">
        <v>1.01</v>
      </c>
      <c r="E46" s="12">
        <v>0</v>
      </c>
      <c r="F46" s="8">
        <v>0</v>
      </c>
      <c r="G46" s="12">
        <v>1</v>
      </c>
      <c r="H46" s="8">
        <v>2.86</v>
      </c>
      <c r="I46" s="12">
        <v>0</v>
      </c>
    </row>
    <row r="47" spans="2:9" ht="15" customHeight="1" x14ac:dyDescent="0.2">
      <c r="B47" t="s">
        <v>217</v>
      </c>
      <c r="C47" s="12">
        <v>1</v>
      </c>
      <c r="D47" s="8">
        <v>1.01</v>
      </c>
      <c r="E47" s="12">
        <v>0</v>
      </c>
      <c r="F47" s="8">
        <v>0</v>
      </c>
      <c r="G47" s="12">
        <v>1</v>
      </c>
      <c r="H47" s="8">
        <v>2.86</v>
      </c>
      <c r="I47" s="12">
        <v>0</v>
      </c>
    </row>
    <row r="48" spans="2:9" ht="15" customHeight="1" x14ac:dyDescent="0.2">
      <c r="B48" t="s">
        <v>219</v>
      </c>
      <c r="C48" s="12">
        <v>1</v>
      </c>
      <c r="D48" s="8">
        <v>1.01</v>
      </c>
      <c r="E48" s="12">
        <v>0</v>
      </c>
      <c r="F48" s="8">
        <v>0</v>
      </c>
      <c r="G48" s="12">
        <v>1</v>
      </c>
      <c r="H48" s="8">
        <v>2.86</v>
      </c>
      <c r="I48" s="12">
        <v>0</v>
      </c>
    </row>
    <row r="49" spans="2:9" ht="15" customHeight="1" x14ac:dyDescent="0.2">
      <c r="B49" t="s">
        <v>266</v>
      </c>
      <c r="C49" s="12">
        <v>1</v>
      </c>
      <c r="D49" s="8">
        <v>1.01</v>
      </c>
      <c r="E49" s="12">
        <v>0</v>
      </c>
      <c r="F49" s="8">
        <v>0</v>
      </c>
      <c r="G49" s="12">
        <v>1</v>
      </c>
      <c r="H49" s="8">
        <v>2.86</v>
      </c>
      <c r="I49" s="12">
        <v>0</v>
      </c>
    </row>
    <row r="50" spans="2:9" ht="15" customHeight="1" x14ac:dyDescent="0.2">
      <c r="B50" t="s">
        <v>220</v>
      </c>
      <c r="C50" s="12">
        <v>1</v>
      </c>
      <c r="D50" s="8">
        <v>1.01</v>
      </c>
      <c r="E50" s="12">
        <v>1</v>
      </c>
      <c r="F50" s="8">
        <v>1.69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222</v>
      </c>
      <c r="C51" s="12">
        <v>1</v>
      </c>
      <c r="D51" s="8">
        <v>1.01</v>
      </c>
      <c r="E51" s="12">
        <v>0</v>
      </c>
      <c r="F51" s="8">
        <v>0</v>
      </c>
      <c r="G51" s="12">
        <v>1</v>
      </c>
      <c r="H51" s="8">
        <v>2.86</v>
      </c>
      <c r="I51" s="12">
        <v>0</v>
      </c>
    </row>
    <row r="52" spans="2:9" ht="15" customHeight="1" x14ac:dyDescent="0.2">
      <c r="B52" t="s">
        <v>237</v>
      </c>
      <c r="C52" s="12">
        <v>1</v>
      </c>
      <c r="D52" s="8">
        <v>1.01</v>
      </c>
      <c r="E52" s="12">
        <v>0</v>
      </c>
      <c r="F52" s="8">
        <v>0</v>
      </c>
      <c r="G52" s="12">
        <v>1</v>
      </c>
      <c r="H52" s="8">
        <v>2.86</v>
      </c>
      <c r="I52" s="12">
        <v>0</v>
      </c>
    </row>
    <row r="53" spans="2:9" ht="15" customHeight="1" x14ac:dyDescent="0.2">
      <c r="B53" t="s">
        <v>226</v>
      </c>
      <c r="C53" s="12">
        <v>1</v>
      </c>
      <c r="D53" s="8">
        <v>1.01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239</v>
      </c>
      <c r="C54" s="12">
        <v>1</v>
      </c>
      <c r="D54" s="8">
        <v>1.01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247</v>
      </c>
      <c r="C55" s="12">
        <v>1</v>
      </c>
      <c r="D55" s="8">
        <v>1.01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231</v>
      </c>
      <c r="C56" s="12">
        <v>1</v>
      </c>
      <c r="D56" s="8">
        <v>1.01</v>
      </c>
      <c r="E56" s="12">
        <v>1</v>
      </c>
      <c r="F56" s="8">
        <v>1.69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249</v>
      </c>
      <c r="C57" s="12">
        <v>1</v>
      </c>
      <c r="D57" s="8">
        <v>1.01</v>
      </c>
      <c r="E57" s="12">
        <v>0</v>
      </c>
      <c r="F57" s="8">
        <v>0</v>
      </c>
      <c r="G57" s="12">
        <v>1</v>
      </c>
      <c r="H57" s="8">
        <v>2.86</v>
      </c>
      <c r="I57" s="12">
        <v>0</v>
      </c>
    </row>
    <row r="58" spans="2:9" ht="15" customHeight="1" x14ac:dyDescent="0.2">
      <c r="B58" t="s">
        <v>240</v>
      </c>
      <c r="C58" s="12">
        <v>1</v>
      </c>
      <c r="D58" s="8">
        <v>1.01</v>
      </c>
      <c r="E58" s="12">
        <v>0</v>
      </c>
      <c r="F58" s="8">
        <v>0</v>
      </c>
      <c r="G58" s="12">
        <v>1</v>
      </c>
      <c r="H58" s="8">
        <v>2.86</v>
      </c>
      <c r="I58" s="12">
        <v>0</v>
      </c>
    </row>
    <row r="59" spans="2:9" ht="15" customHeight="1" x14ac:dyDescent="0.2">
      <c r="B59" t="s">
        <v>234</v>
      </c>
      <c r="C59" s="12">
        <v>1</v>
      </c>
      <c r="D59" s="8">
        <v>1.01</v>
      </c>
      <c r="E59" s="12">
        <v>0</v>
      </c>
      <c r="F59" s="8">
        <v>0</v>
      </c>
      <c r="G59" s="12">
        <v>1</v>
      </c>
      <c r="H59" s="8">
        <v>2.86</v>
      </c>
      <c r="I59" s="12">
        <v>0</v>
      </c>
    </row>
    <row r="62" spans="2:9" ht="33" customHeight="1" x14ac:dyDescent="0.2">
      <c r="B62" t="s">
        <v>531</v>
      </c>
      <c r="C62" s="10" t="s">
        <v>206</v>
      </c>
      <c r="D62" s="10" t="s">
        <v>207</v>
      </c>
      <c r="E62" s="10" t="s">
        <v>208</v>
      </c>
      <c r="F62" s="10" t="s">
        <v>209</v>
      </c>
      <c r="G62" s="10" t="s">
        <v>210</v>
      </c>
      <c r="H62" s="10" t="s">
        <v>211</v>
      </c>
      <c r="I62" s="10" t="s">
        <v>212</v>
      </c>
    </row>
    <row r="63" spans="2:9" ht="15" customHeight="1" x14ac:dyDescent="0.2">
      <c r="B63" t="s">
        <v>339</v>
      </c>
      <c r="C63" s="12">
        <v>9</v>
      </c>
      <c r="D63" s="8">
        <v>9.09</v>
      </c>
      <c r="E63" s="12">
        <v>7</v>
      </c>
      <c r="F63" s="8">
        <v>11.86</v>
      </c>
      <c r="G63" s="12">
        <v>2</v>
      </c>
      <c r="H63" s="8">
        <v>5.71</v>
      </c>
      <c r="I63" s="12">
        <v>0</v>
      </c>
    </row>
    <row r="64" spans="2:9" ht="15" customHeight="1" x14ac:dyDescent="0.2">
      <c r="B64" t="s">
        <v>304</v>
      </c>
      <c r="C64" s="12">
        <v>6</v>
      </c>
      <c r="D64" s="8">
        <v>6.06</v>
      </c>
      <c r="E64" s="12">
        <v>6</v>
      </c>
      <c r="F64" s="8">
        <v>10.17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303</v>
      </c>
      <c r="C65" s="12">
        <v>5</v>
      </c>
      <c r="D65" s="8">
        <v>5.05</v>
      </c>
      <c r="E65" s="12">
        <v>5</v>
      </c>
      <c r="F65" s="8">
        <v>8.4700000000000006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328</v>
      </c>
      <c r="C66" s="12">
        <v>4</v>
      </c>
      <c r="D66" s="8">
        <v>4.04</v>
      </c>
      <c r="E66" s="12">
        <v>3</v>
      </c>
      <c r="F66" s="8">
        <v>5.08</v>
      </c>
      <c r="G66" s="12">
        <v>1</v>
      </c>
      <c r="H66" s="8">
        <v>2.86</v>
      </c>
      <c r="I66" s="12">
        <v>0</v>
      </c>
    </row>
    <row r="67" spans="2:9" ht="15" customHeight="1" x14ac:dyDescent="0.2">
      <c r="B67" t="s">
        <v>300</v>
      </c>
      <c r="C67" s="12">
        <v>4</v>
      </c>
      <c r="D67" s="8">
        <v>4.04</v>
      </c>
      <c r="E67" s="12">
        <v>4</v>
      </c>
      <c r="F67" s="8">
        <v>6.78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288</v>
      </c>
      <c r="C68" s="12">
        <v>3</v>
      </c>
      <c r="D68" s="8">
        <v>3.03</v>
      </c>
      <c r="E68" s="12">
        <v>0</v>
      </c>
      <c r="F68" s="8">
        <v>0</v>
      </c>
      <c r="G68" s="12">
        <v>3</v>
      </c>
      <c r="H68" s="8">
        <v>8.57</v>
      </c>
      <c r="I68" s="12">
        <v>0</v>
      </c>
    </row>
    <row r="69" spans="2:9" ht="15" customHeight="1" x14ac:dyDescent="0.2">
      <c r="B69" t="s">
        <v>342</v>
      </c>
      <c r="C69" s="12">
        <v>3</v>
      </c>
      <c r="D69" s="8">
        <v>3.03</v>
      </c>
      <c r="E69" s="12">
        <v>0</v>
      </c>
      <c r="F69" s="8">
        <v>0</v>
      </c>
      <c r="G69" s="12">
        <v>3</v>
      </c>
      <c r="H69" s="8">
        <v>8.57</v>
      </c>
      <c r="I69" s="12">
        <v>0</v>
      </c>
    </row>
    <row r="70" spans="2:9" ht="15" customHeight="1" x14ac:dyDescent="0.2">
      <c r="B70" t="s">
        <v>294</v>
      </c>
      <c r="C70" s="12">
        <v>3</v>
      </c>
      <c r="D70" s="8">
        <v>3.03</v>
      </c>
      <c r="E70" s="12">
        <v>2</v>
      </c>
      <c r="F70" s="8">
        <v>3.39</v>
      </c>
      <c r="G70" s="12">
        <v>1</v>
      </c>
      <c r="H70" s="8">
        <v>2.86</v>
      </c>
      <c r="I70" s="12">
        <v>0</v>
      </c>
    </row>
    <row r="71" spans="2:9" ht="15" customHeight="1" x14ac:dyDescent="0.2">
      <c r="B71" t="s">
        <v>320</v>
      </c>
      <c r="C71" s="12">
        <v>2</v>
      </c>
      <c r="D71" s="8">
        <v>2.02</v>
      </c>
      <c r="E71" s="12">
        <v>2</v>
      </c>
      <c r="F71" s="8">
        <v>3.39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290</v>
      </c>
      <c r="C72" s="12">
        <v>2</v>
      </c>
      <c r="D72" s="8">
        <v>2.02</v>
      </c>
      <c r="E72" s="12">
        <v>1</v>
      </c>
      <c r="F72" s="8">
        <v>1.69</v>
      </c>
      <c r="G72" s="12">
        <v>1</v>
      </c>
      <c r="H72" s="8">
        <v>2.86</v>
      </c>
      <c r="I72" s="12">
        <v>0</v>
      </c>
    </row>
    <row r="73" spans="2:9" ht="15" customHeight="1" x14ac:dyDescent="0.2">
      <c r="B73" t="s">
        <v>384</v>
      </c>
      <c r="C73" s="12">
        <v>2</v>
      </c>
      <c r="D73" s="8">
        <v>2.02</v>
      </c>
      <c r="E73" s="12">
        <v>0</v>
      </c>
      <c r="F73" s="8">
        <v>0</v>
      </c>
      <c r="G73" s="12">
        <v>2</v>
      </c>
      <c r="H73" s="8">
        <v>5.71</v>
      </c>
      <c r="I73" s="12">
        <v>0</v>
      </c>
    </row>
    <row r="74" spans="2:9" ht="15" customHeight="1" x14ac:dyDescent="0.2">
      <c r="B74" t="s">
        <v>359</v>
      </c>
      <c r="C74" s="12">
        <v>2</v>
      </c>
      <c r="D74" s="8">
        <v>2.02</v>
      </c>
      <c r="E74" s="12">
        <v>1</v>
      </c>
      <c r="F74" s="8">
        <v>1.69</v>
      </c>
      <c r="G74" s="12">
        <v>1</v>
      </c>
      <c r="H74" s="8">
        <v>2.86</v>
      </c>
      <c r="I74" s="12">
        <v>0</v>
      </c>
    </row>
    <row r="75" spans="2:9" ht="15" customHeight="1" x14ac:dyDescent="0.2">
      <c r="B75" t="s">
        <v>336</v>
      </c>
      <c r="C75" s="12">
        <v>2</v>
      </c>
      <c r="D75" s="8">
        <v>2.02</v>
      </c>
      <c r="E75" s="12">
        <v>2</v>
      </c>
      <c r="F75" s="8">
        <v>3.39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329</v>
      </c>
      <c r="C76" s="12">
        <v>2</v>
      </c>
      <c r="D76" s="8">
        <v>2.02</v>
      </c>
      <c r="E76" s="12">
        <v>2</v>
      </c>
      <c r="F76" s="8">
        <v>3.39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292</v>
      </c>
      <c r="C77" s="12">
        <v>2</v>
      </c>
      <c r="D77" s="8">
        <v>2.02</v>
      </c>
      <c r="E77" s="12">
        <v>1</v>
      </c>
      <c r="F77" s="8">
        <v>1.69</v>
      </c>
      <c r="G77" s="12">
        <v>1</v>
      </c>
      <c r="H77" s="8">
        <v>2.86</v>
      </c>
      <c r="I77" s="12">
        <v>0</v>
      </c>
    </row>
    <row r="78" spans="2:9" ht="15" customHeight="1" x14ac:dyDescent="0.2">
      <c r="B78" t="s">
        <v>337</v>
      </c>
      <c r="C78" s="12">
        <v>2</v>
      </c>
      <c r="D78" s="8">
        <v>2.02</v>
      </c>
      <c r="E78" s="12">
        <v>2</v>
      </c>
      <c r="F78" s="8">
        <v>3.39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297</v>
      </c>
      <c r="C79" s="12">
        <v>2</v>
      </c>
      <c r="D79" s="8">
        <v>2.02</v>
      </c>
      <c r="E79" s="12">
        <v>0</v>
      </c>
      <c r="F79" s="8">
        <v>0</v>
      </c>
      <c r="G79" s="12">
        <v>2</v>
      </c>
      <c r="H79" s="8">
        <v>5.71</v>
      </c>
      <c r="I79" s="12">
        <v>0</v>
      </c>
    </row>
    <row r="80" spans="2:9" ht="15" customHeight="1" x14ac:dyDescent="0.2">
      <c r="B80" t="s">
        <v>299</v>
      </c>
      <c r="C80" s="12">
        <v>2</v>
      </c>
      <c r="D80" s="8">
        <v>2.02</v>
      </c>
      <c r="E80" s="12">
        <v>2</v>
      </c>
      <c r="F80" s="8">
        <v>3.39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301</v>
      </c>
      <c r="C81" s="12">
        <v>2</v>
      </c>
      <c r="D81" s="8">
        <v>2.02</v>
      </c>
      <c r="E81" s="12">
        <v>2</v>
      </c>
      <c r="F81" s="8">
        <v>3.39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305</v>
      </c>
      <c r="C82" s="12">
        <v>2</v>
      </c>
      <c r="D82" s="8">
        <v>2.02</v>
      </c>
      <c r="E82" s="12">
        <v>2</v>
      </c>
      <c r="F82" s="8">
        <v>3.39</v>
      </c>
      <c r="G82" s="12">
        <v>0</v>
      </c>
      <c r="H82" s="8">
        <v>0</v>
      </c>
      <c r="I82" s="12">
        <v>0</v>
      </c>
    </row>
    <row r="84" spans="2:9" ht="15" customHeight="1" x14ac:dyDescent="0.2">
      <c r="B8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2B5D8-8071-49D7-A63B-7EABEA3702EB}">
  <sheetPr>
    <pageSetUpPr fitToPage="1"/>
  </sheetPr>
  <dimension ref="B2:I7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21</v>
      </c>
      <c r="D6" s="8">
        <v>15.67</v>
      </c>
      <c r="E6" s="12">
        <v>13</v>
      </c>
      <c r="F6" s="8">
        <v>15.48</v>
      </c>
      <c r="G6" s="12">
        <v>8</v>
      </c>
      <c r="H6" s="8">
        <v>18.600000000000001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5.97</v>
      </c>
      <c r="E7" s="12">
        <v>4</v>
      </c>
      <c r="F7" s="8">
        <v>4.76</v>
      </c>
      <c r="G7" s="12">
        <v>4</v>
      </c>
      <c r="H7" s="8">
        <v>9.3000000000000007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0.75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0.75</v>
      </c>
      <c r="E9" s="12">
        <v>0</v>
      </c>
      <c r="F9" s="8">
        <v>0</v>
      </c>
      <c r="G9" s="12">
        <v>1</v>
      </c>
      <c r="H9" s="8">
        <v>2.33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2.2400000000000002</v>
      </c>
      <c r="E10" s="12">
        <v>0</v>
      </c>
      <c r="F10" s="8">
        <v>0</v>
      </c>
      <c r="G10" s="12">
        <v>2</v>
      </c>
      <c r="H10" s="8">
        <v>4.6500000000000004</v>
      </c>
      <c r="I10" s="12">
        <v>1</v>
      </c>
    </row>
    <row r="11" spans="2:9" ht="15" customHeight="1" x14ac:dyDescent="0.2">
      <c r="B11" t="s">
        <v>196</v>
      </c>
      <c r="C11" s="12">
        <v>35</v>
      </c>
      <c r="D11" s="8">
        <v>26.12</v>
      </c>
      <c r="E11" s="12">
        <v>18</v>
      </c>
      <c r="F11" s="8">
        <v>21.43</v>
      </c>
      <c r="G11" s="12">
        <v>16</v>
      </c>
      <c r="H11" s="8">
        <v>37.21</v>
      </c>
      <c r="I11" s="12">
        <v>1</v>
      </c>
    </row>
    <row r="12" spans="2:9" ht="15" customHeight="1" x14ac:dyDescent="0.2">
      <c r="B12" t="s">
        <v>197</v>
      </c>
      <c r="C12" s="12">
        <v>3</v>
      </c>
      <c r="D12" s="8">
        <v>2.2400000000000002</v>
      </c>
      <c r="E12" s="12">
        <v>0</v>
      </c>
      <c r="F12" s="8">
        <v>0</v>
      </c>
      <c r="G12" s="12">
        <v>3</v>
      </c>
      <c r="H12" s="8">
        <v>6.98</v>
      </c>
      <c r="I12" s="12">
        <v>0</v>
      </c>
    </row>
    <row r="13" spans="2:9" ht="15" customHeight="1" x14ac:dyDescent="0.2">
      <c r="B13" t="s">
        <v>198</v>
      </c>
      <c r="C13" s="12">
        <v>4</v>
      </c>
      <c r="D13" s="8">
        <v>2.99</v>
      </c>
      <c r="E13" s="12">
        <v>1</v>
      </c>
      <c r="F13" s="8">
        <v>1.19</v>
      </c>
      <c r="G13" s="12">
        <v>3</v>
      </c>
      <c r="H13" s="8">
        <v>6.98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2.99</v>
      </c>
      <c r="E14" s="12">
        <v>3</v>
      </c>
      <c r="F14" s="8">
        <v>3.57</v>
      </c>
      <c r="G14" s="12">
        <v>1</v>
      </c>
      <c r="H14" s="8">
        <v>2.33</v>
      </c>
      <c r="I14" s="12">
        <v>0</v>
      </c>
    </row>
    <row r="15" spans="2:9" ht="15" customHeight="1" x14ac:dyDescent="0.2">
      <c r="B15" t="s">
        <v>200</v>
      </c>
      <c r="C15" s="12">
        <v>22</v>
      </c>
      <c r="D15" s="8">
        <v>16.420000000000002</v>
      </c>
      <c r="E15" s="12">
        <v>20</v>
      </c>
      <c r="F15" s="8">
        <v>23.81</v>
      </c>
      <c r="G15" s="12">
        <v>2</v>
      </c>
      <c r="H15" s="8">
        <v>4.6500000000000004</v>
      </c>
      <c r="I15" s="12">
        <v>0</v>
      </c>
    </row>
    <row r="16" spans="2:9" ht="15" customHeight="1" x14ac:dyDescent="0.2">
      <c r="B16" t="s">
        <v>201</v>
      </c>
      <c r="C16" s="12">
        <v>24</v>
      </c>
      <c r="D16" s="8">
        <v>17.91</v>
      </c>
      <c r="E16" s="12">
        <v>20</v>
      </c>
      <c r="F16" s="8">
        <v>23.81</v>
      </c>
      <c r="G16" s="12">
        <v>1</v>
      </c>
      <c r="H16" s="8">
        <v>2.33</v>
      </c>
      <c r="I16" s="12">
        <v>1</v>
      </c>
    </row>
    <row r="17" spans="2:9" ht="15" customHeight="1" x14ac:dyDescent="0.2">
      <c r="B17" t="s">
        <v>202</v>
      </c>
      <c r="C17" s="12">
        <v>3</v>
      </c>
      <c r="D17" s="8">
        <v>2.2400000000000002</v>
      </c>
      <c r="E17" s="12">
        <v>2</v>
      </c>
      <c r="F17" s="8">
        <v>2.38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1.49</v>
      </c>
      <c r="E18" s="12">
        <v>1</v>
      </c>
      <c r="F18" s="8">
        <v>1.19</v>
      </c>
      <c r="G18" s="12">
        <v>1</v>
      </c>
      <c r="H18" s="8">
        <v>2.33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2.2400000000000002</v>
      </c>
      <c r="E19" s="12">
        <v>2</v>
      </c>
      <c r="F19" s="8">
        <v>2.38</v>
      </c>
      <c r="G19" s="12">
        <v>1</v>
      </c>
      <c r="H19" s="8">
        <v>2.33</v>
      </c>
      <c r="I19" s="12">
        <v>0</v>
      </c>
    </row>
    <row r="20" spans="2:9" ht="15" customHeight="1" x14ac:dyDescent="0.2">
      <c r="B20" s="9" t="s">
        <v>529</v>
      </c>
      <c r="C20" s="12">
        <f>SUM(LTBL_01334[総数／事業所数])</f>
        <v>134</v>
      </c>
      <c r="E20" s="12">
        <f>SUBTOTAL(109,LTBL_01334[個人／事業所数])</f>
        <v>84</v>
      </c>
      <c r="G20" s="12">
        <f>SUBTOTAL(109,LTBL_01334[法人／事業所数])</f>
        <v>43</v>
      </c>
      <c r="I20" s="12">
        <f>SUBTOTAL(109,LTBL_01334[法人以外の団体／事業所数])</f>
        <v>3</v>
      </c>
    </row>
    <row r="21" spans="2:9" ht="15" customHeight="1" x14ac:dyDescent="0.2">
      <c r="E21" s="11">
        <f>LTBL_01334[[#Totals],[個人／事業所数]]/LTBL_01334[[#Totals],[総数／事業所数]]</f>
        <v>0.62686567164179108</v>
      </c>
      <c r="G21" s="11">
        <f>LTBL_01334[[#Totals],[法人／事業所数]]/LTBL_01334[[#Totals],[総数／事業所数]]</f>
        <v>0.32089552238805968</v>
      </c>
      <c r="I21" s="11">
        <f>LTBL_01334[[#Totals],[法人以外の団体／事業所数]]/LTBL_01334[[#Totals],[総数／事業所数]]</f>
        <v>2.2388059701492536E-2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19</v>
      </c>
      <c r="D24" s="8">
        <v>14.18</v>
      </c>
      <c r="E24" s="12">
        <v>19</v>
      </c>
      <c r="F24" s="8">
        <v>22.62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228</v>
      </c>
      <c r="C25" s="12">
        <v>19</v>
      </c>
      <c r="D25" s="8">
        <v>14.18</v>
      </c>
      <c r="E25" s="12">
        <v>19</v>
      </c>
      <c r="F25" s="8">
        <v>22.62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223</v>
      </c>
      <c r="C26" s="12">
        <v>13</v>
      </c>
      <c r="D26" s="8">
        <v>9.6999999999999993</v>
      </c>
      <c r="E26" s="12">
        <v>7</v>
      </c>
      <c r="F26" s="8">
        <v>8.33</v>
      </c>
      <c r="G26" s="12">
        <v>6</v>
      </c>
      <c r="H26" s="8">
        <v>13.95</v>
      </c>
      <c r="I26" s="12">
        <v>0</v>
      </c>
    </row>
    <row r="27" spans="2:9" ht="15" customHeight="1" x14ac:dyDescent="0.2">
      <c r="B27" t="s">
        <v>213</v>
      </c>
      <c r="C27" s="12">
        <v>10</v>
      </c>
      <c r="D27" s="8">
        <v>7.46</v>
      </c>
      <c r="E27" s="12">
        <v>5</v>
      </c>
      <c r="F27" s="8">
        <v>5.95</v>
      </c>
      <c r="G27" s="12">
        <v>5</v>
      </c>
      <c r="H27" s="8">
        <v>11.63</v>
      </c>
      <c r="I27" s="12">
        <v>0</v>
      </c>
    </row>
    <row r="28" spans="2:9" ht="15" customHeight="1" x14ac:dyDescent="0.2">
      <c r="B28" t="s">
        <v>221</v>
      </c>
      <c r="C28" s="12">
        <v>9</v>
      </c>
      <c r="D28" s="8">
        <v>6.72</v>
      </c>
      <c r="E28" s="12">
        <v>4</v>
      </c>
      <c r="F28" s="8">
        <v>4.76</v>
      </c>
      <c r="G28" s="12">
        <v>4</v>
      </c>
      <c r="H28" s="8">
        <v>9.3000000000000007</v>
      </c>
      <c r="I28" s="12">
        <v>1</v>
      </c>
    </row>
    <row r="29" spans="2:9" ht="15" customHeight="1" x14ac:dyDescent="0.2">
      <c r="B29" t="s">
        <v>214</v>
      </c>
      <c r="C29" s="12">
        <v>7</v>
      </c>
      <c r="D29" s="8">
        <v>5.22</v>
      </c>
      <c r="E29" s="12">
        <v>7</v>
      </c>
      <c r="F29" s="8">
        <v>8.33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222</v>
      </c>
      <c r="C30" s="12">
        <v>6</v>
      </c>
      <c r="D30" s="8">
        <v>4.4800000000000004</v>
      </c>
      <c r="E30" s="12">
        <v>4</v>
      </c>
      <c r="F30" s="8">
        <v>4.76</v>
      </c>
      <c r="G30" s="12">
        <v>2</v>
      </c>
      <c r="H30" s="8">
        <v>4.6500000000000004</v>
      </c>
      <c r="I30" s="12">
        <v>0</v>
      </c>
    </row>
    <row r="31" spans="2:9" ht="15" customHeight="1" x14ac:dyDescent="0.2">
      <c r="B31" t="s">
        <v>215</v>
      </c>
      <c r="C31" s="12">
        <v>4</v>
      </c>
      <c r="D31" s="8">
        <v>2.99</v>
      </c>
      <c r="E31" s="12">
        <v>1</v>
      </c>
      <c r="F31" s="8">
        <v>1.19</v>
      </c>
      <c r="G31" s="12">
        <v>3</v>
      </c>
      <c r="H31" s="8">
        <v>6.98</v>
      </c>
      <c r="I31" s="12">
        <v>0</v>
      </c>
    </row>
    <row r="32" spans="2:9" ht="15" customHeight="1" x14ac:dyDescent="0.2">
      <c r="B32" t="s">
        <v>220</v>
      </c>
      <c r="C32" s="12">
        <v>4</v>
      </c>
      <c r="D32" s="8">
        <v>2.99</v>
      </c>
      <c r="E32" s="12">
        <v>3</v>
      </c>
      <c r="F32" s="8">
        <v>3.57</v>
      </c>
      <c r="G32" s="12">
        <v>1</v>
      </c>
      <c r="H32" s="8">
        <v>2.33</v>
      </c>
      <c r="I32" s="12">
        <v>0</v>
      </c>
    </row>
    <row r="33" spans="2:9" ht="15" customHeight="1" x14ac:dyDescent="0.2">
      <c r="B33" t="s">
        <v>226</v>
      </c>
      <c r="C33" s="12">
        <v>4</v>
      </c>
      <c r="D33" s="8">
        <v>2.99</v>
      </c>
      <c r="E33" s="12">
        <v>3</v>
      </c>
      <c r="F33" s="8">
        <v>3.57</v>
      </c>
      <c r="G33" s="12">
        <v>1</v>
      </c>
      <c r="H33" s="8">
        <v>2.33</v>
      </c>
      <c r="I33" s="12">
        <v>0</v>
      </c>
    </row>
    <row r="34" spans="2:9" ht="15" customHeight="1" x14ac:dyDescent="0.2">
      <c r="B34" t="s">
        <v>254</v>
      </c>
      <c r="C34" s="12">
        <v>3</v>
      </c>
      <c r="D34" s="8">
        <v>2.2400000000000002</v>
      </c>
      <c r="E34" s="12">
        <v>1</v>
      </c>
      <c r="F34" s="8">
        <v>1.19</v>
      </c>
      <c r="G34" s="12">
        <v>2</v>
      </c>
      <c r="H34" s="8">
        <v>4.6500000000000004</v>
      </c>
      <c r="I34" s="12">
        <v>0</v>
      </c>
    </row>
    <row r="35" spans="2:9" ht="15" customHeight="1" x14ac:dyDescent="0.2">
      <c r="B35" t="s">
        <v>237</v>
      </c>
      <c r="C35" s="12">
        <v>3</v>
      </c>
      <c r="D35" s="8">
        <v>2.2400000000000002</v>
      </c>
      <c r="E35" s="12">
        <v>0</v>
      </c>
      <c r="F35" s="8">
        <v>0</v>
      </c>
      <c r="G35" s="12">
        <v>3</v>
      </c>
      <c r="H35" s="8">
        <v>6.98</v>
      </c>
      <c r="I35" s="12">
        <v>0</v>
      </c>
    </row>
    <row r="36" spans="2:9" ht="15" customHeight="1" x14ac:dyDescent="0.2">
      <c r="B36" t="s">
        <v>243</v>
      </c>
      <c r="C36" s="12">
        <v>3</v>
      </c>
      <c r="D36" s="8">
        <v>2.2400000000000002</v>
      </c>
      <c r="E36" s="12">
        <v>1</v>
      </c>
      <c r="F36" s="8">
        <v>1.19</v>
      </c>
      <c r="G36" s="12">
        <v>2</v>
      </c>
      <c r="H36" s="8">
        <v>4.6500000000000004</v>
      </c>
      <c r="I36" s="12">
        <v>0</v>
      </c>
    </row>
    <row r="37" spans="2:9" ht="15" customHeight="1" x14ac:dyDescent="0.2">
      <c r="B37" t="s">
        <v>229</v>
      </c>
      <c r="C37" s="12">
        <v>3</v>
      </c>
      <c r="D37" s="8">
        <v>2.2400000000000002</v>
      </c>
      <c r="E37" s="12">
        <v>1</v>
      </c>
      <c r="F37" s="8">
        <v>1.19</v>
      </c>
      <c r="G37" s="12">
        <v>1</v>
      </c>
      <c r="H37" s="8">
        <v>2.33</v>
      </c>
      <c r="I37" s="12">
        <v>0</v>
      </c>
    </row>
    <row r="38" spans="2:9" ht="15" customHeight="1" x14ac:dyDescent="0.2">
      <c r="B38" t="s">
        <v>230</v>
      </c>
      <c r="C38" s="12">
        <v>3</v>
      </c>
      <c r="D38" s="8">
        <v>2.2400000000000002</v>
      </c>
      <c r="E38" s="12">
        <v>2</v>
      </c>
      <c r="F38" s="8">
        <v>2.38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258</v>
      </c>
      <c r="C39" s="12">
        <v>2</v>
      </c>
      <c r="D39" s="8">
        <v>1.49</v>
      </c>
      <c r="E39" s="12">
        <v>2</v>
      </c>
      <c r="F39" s="8">
        <v>2.38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238</v>
      </c>
      <c r="C40" s="12">
        <v>2</v>
      </c>
      <c r="D40" s="8">
        <v>1.49</v>
      </c>
      <c r="E40" s="12">
        <v>0</v>
      </c>
      <c r="F40" s="8">
        <v>0</v>
      </c>
      <c r="G40" s="12">
        <v>2</v>
      </c>
      <c r="H40" s="8">
        <v>4.6500000000000004</v>
      </c>
      <c r="I40" s="12">
        <v>0</v>
      </c>
    </row>
    <row r="41" spans="2:9" ht="15" customHeight="1" x14ac:dyDescent="0.2">
      <c r="B41" t="s">
        <v>224</v>
      </c>
      <c r="C41" s="12">
        <v>2</v>
      </c>
      <c r="D41" s="8">
        <v>1.49</v>
      </c>
      <c r="E41" s="12">
        <v>1</v>
      </c>
      <c r="F41" s="8">
        <v>1.19</v>
      </c>
      <c r="G41" s="12">
        <v>1</v>
      </c>
      <c r="H41" s="8">
        <v>2.33</v>
      </c>
      <c r="I41" s="12">
        <v>0</v>
      </c>
    </row>
    <row r="42" spans="2:9" ht="15" customHeight="1" x14ac:dyDescent="0.2">
      <c r="B42" t="s">
        <v>246</v>
      </c>
      <c r="C42" s="12">
        <v>2</v>
      </c>
      <c r="D42" s="8">
        <v>1.49</v>
      </c>
      <c r="E42" s="12">
        <v>0</v>
      </c>
      <c r="F42" s="8">
        <v>0</v>
      </c>
      <c r="G42" s="12">
        <v>2</v>
      </c>
      <c r="H42" s="8">
        <v>4.6500000000000004</v>
      </c>
      <c r="I42" s="12">
        <v>0</v>
      </c>
    </row>
    <row r="43" spans="2:9" ht="15" customHeight="1" x14ac:dyDescent="0.2">
      <c r="B43" t="s">
        <v>247</v>
      </c>
      <c r="C43" s="12">
        <v>2</v>
      </c>
      <c r="D43" s="8">
        <v>1.49</v>
      </c>
      <c r="E43" s="12">
        <v>0</v>
      </c>
      <c r="F43" s="8">
        <v>0</v>
      </c>
      <c r="G43" s="12">
        <v>0</v>
      </c>
      <c r="H43" s="8">
        <v>0</v>
      </c>
      <c r="I43" s="12">
        <v>1</v>
      </c>
    </row>
    <row r="44" spans="2:9" ht="15" customHeight="1" x14ac:dyDescent="0.2">
      <c r="B44" t="s">
        <v>240</v>
      </c>
      <c r="C44" s="12">
        <v>2</v>
      </c>
      <c r="D44" s="8">
        <v>1.49</v>
      </c>
      <c r="E44" s="12">
        <v>2</v>
      </c>
      <c r="F44" s="8">
        <v>2.38</v>
      </c>
      <c r="G44" s="12">
        <v>0</v>
      </c>
      <c r="H44" s="8">
        <v>0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303</v>
      </c>
      <c r="C48" s="12">
        <v>9</v>
      </c>
      <c r="D48" s="8">
        <v>6.72</v>
      </c>
      <c r="E48" s="12">
        <v>9</v>
      </c>
      <c r="F48" s="8">
        <v>10.71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304</v>
      </c>
      <c r="C49" s="12">
        <v>9</v>
      </c>
      <c r="D49" s="8">
        <v>6.72</v>
      </c>
      <c r="E49" s="12">
        <v>9</v>
      </c>
      <c r="F49" s="8">
        <v>10.71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301</v>
      </c>
      <c r="C50" s="12">
        <v>8</v>
      </c>
      <c r="D50" s="8">
        <v>5.97</v>
      </c>
      <c r="E50" s="12">
        <v>8</v>
      </c>
      <c r="F50" s="8">
        <v>9.52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328</v>
      </c>
      <c r="C51" s="12">
        <v>4</v>
      </c>
      <c r="D51" s="8">
        <v>2.99</v>
      </c>
      <c r="E51" s="12">
        <v>3</v>
      </c>
      <c r="F51" s="8">
        <v>3.57</v>
      </c>
      <c r="G51" s="12">
        <v>1</v>
      </c>
      <c r="H51" s="8">
        <v>2.33</v>
      </c>
      <c r="I51" s="12">
        <v>0</v>
      </c>
    </row>
    <row r="52" spans="2:9" ht="15" customHeight="1" x14ac:dyDescent="0.2">
      <c r="B52" t="s">
        <v>335</v>
      </c>
      <c r="C52" s="12">
        <v>4</v>
      </c>
      <c r="D52" s="8">
        <v>2.99</v>
      </c>
      <c r="E52" s="12">
        <v>3</v>
      </c>
      <c r="F52" s="8">
        <v>3.57</v>
      </c>
      <c r="G52" s="12">
        <v>1</v>
      </c>
      <c r="H52" s="8">
        <v>2.33</v>
      </c>
      <c r="I52" s="12">
        <v>0</v>
      </c>
    </row>
    <row r="53" spans="2:9" ht="15" customHeight="1" x14ac:dyDescent="0.2">
      <c r="B53" t="s">
        <v>295</v>
      </c>
      <c r="C53" s="12">
        <v>4</v>
      </c>
      <c r="D53" s="8">
        <v>2.99</v>
      </c>
      <c r="E53" s="12">
        <v>3</v>
      </c>
      <c r="F53" s="8">
        <v>3.57</v>
      </c>
      <c r="G53" s="12">
        <v>1</v>
      </c>
      <c r="H53" s="8">
        <v>2.33</v>
      </c>
      <c r="I53" s="12">
        <v>0</v>
      </c>
    </row>
    <row r="54" spans="2:9" ht="15" customHeight="1" x14ac:dyDescent="0.2">
      <c r="B54" t="s">
        <v>300</v>
      </c>
      <c r="C54" s="12">
        <v>4</v>
      </c>
      <c r="D54" s="8">
        <v>2.99</v>
      </c>
      <c r="E54" s="12">
        <v>4</v>
      </c>
      <c r="F54" s="8">
        <v>4.76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289</v>
      </c>
      <c r="C55" s="12">
        <v>3</v>
      </c>
      <c r="D55" s="8">
        <v>2.2400000000000002</v>
      </c>
      <c r="E55" s="12">
        <v>1</v>
      </c>
      <c r="F55" s="8">
        <v>1.19</v>
      </c>
      <c r="G55" s="12">
        <v>2</v>
      </c>
      <c r="H55" s="8">
        <v>4.6500000000000004</v>
      </c>
      <c r="I55" s="12">
        <v>0</v>
      </c>
    </row>
    <row r="56" spans="2:9" ht="15" customHeight="1" x14ac:dyDescent="0.2">
      <c r="B56" t="s">
        <v>308</v>
      </c>
      <c r="C56" s="12">
        <v>3</v>
      </c>
      <c r="D56" s="8">
        <v>2.2400000000000002</v>
      </c>
      <c r="E56" s="12">
        <v>3</v>
      </c>
      <c r="F56" s="8">
        <v>3.57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354</v>
      </c>
      <c r="C57" s="12">
        <v>3</v>
      </c>
      <c r="D57" s="8">
        <v>2.2400000000000002</v>
      </c>
      <c r="E57" s="12">
        <v>2</v>
      </c>
      <c r="F57" s="8">
        <v>2.38</v>
      </c>
      <c r="G57" s="12">
        <v>1</v>
      </c>
      <c r="H57" s="8">
        <v>2.33</v>
      </c>
      <c r="I57" s="12">
        <v>0</v>
      </c>
    </row>
    <row r="58" spans="2:9" ht="15" customHeight="1" x14ac:dyDescent="0.2">
      <c r="B58" t="s">
        <v>330</v>
      </c>
      <c r="C58" s="12">
        <v>3</v>
      </c>
      <c r="D58" s="8">
        <v>2.2400000000000002</v>
      </c>
      <c r="E58" s="12">
        <v>1</v>
      </c>
      <c r="F58" s="8">
        <v>1.19</v>
      </c>
      <c r="G58" s="12">
        <v>2</v>
      </c>
      <c r="H58" s="8">
        <v>4.6500000000000004</v>
      </c>
      <c r="I58" s="12">
        <v>0</v>
      </c>
    </row>
    <row r="59" spans="2:9" ht="15" customHeight="1" x14ac:dyDescent="0.2">
      <c r="B59" t="s">
        <v>337</v>
      </c>
      <c r="C59" s="12">
        <v>3</v>
      </c>
      <c r="D59" s="8">
        <v>2.2400000000000002</v>
      </c>
      <c r="E59" s="12">
        <v>2</v>
      </c>
      <c r="F59" s="8">
        <v>2.38</v>
      </c>
      <c r="G59" s="12">
        <v>1</v>
      </c>
      <c r="H59" s="8">
        <v>2.33</v>
      </c>
      <c r="I59" s="12">
        <v>0</v>
      </c>
    </row>
    <row r="60" spans="2:9" ht="15" customHeight="1" x14ac:dyDescent="0.2">
      <c r="B60" t="s">
        <v>322</v>
      </c>
      <c r="C60" s="12">
        <v>3</v>
      </c>
      <c r="D60" s="8">
        <v>2.2400000000000002</v>
      </c>
      <c r="E60" s="12">
        <v>0</v>
      </c>
      <c r="F60" s="8">
        <v>0</v>
      </c>
      <c r="G60" s="12">
        <v>3</v>
      </c>
      <c r="H60" s="8">
        <v>6.98</v>
      </c>
      <c r="I60" s="12">
        <v>0</v>
      </c>
    </row>
    <row r="61" spans="2:9" ht="15" customHeight="1" x14ac:dyDescent="0.2">
      <c r="B61" t="s">
        <v>339</v>
      </c>
      <c r="C61" s="12">
        <v>3</v>
      </c>
      <c r="D61" s="8">
        <v>2.2400000000000002</v>
      </c>
      <c r="E61" s="12">
        <v>1</v>
      </c>
      <c r="F61" s="8">
        <v>1.19</v>
      </c>
      <c r="G61" s="12">
        <v>2</v>
      </c>
      <c r="H61" s="8">
        <v>4.6500000000000004</v>
      </c>
      <c r="I61" s="12">
        <v>0</v>
      </c>
    </row>
    <row r="62" spans="2:9" ht="15" customHeight="1" x14ac:dyDescent="0.2">
      <c r="B62" t="s">
        <v>302</v>
      </c>
      <c r="C62" s="12">
        <v>3</v>
      </c>
      <c r="D62" s="8">
        <v>2.2400000000000002</v>
      </c>
      <c r="E62" s="12">
        <v>3</v>
      </c>
      <c r="F62" s="8">
        <v>3.57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319</v>
      </c>
      <c r="C63" s="12">
        <v>2</v>
      </c>
      <c r="D63" s="8">
        <v>1.49</v>
      </c>
      <c r="E63" s="12">
        <v>1</v>
      </c>
      <c r="F63" s="8">
        <v>1.19</v>
      </c>
      <c r="G63" s="12">
        <v>1</v>
      </c>
      <c r="H63" s="8">
        <v>2.33</v>
      </c>
      <c r="I63" s="12">
        <v>0</v>
      </c>
    </row>
    <row r="64" spans="2:9" ht="15" customHeight="1" x14ac:dyDescent="0.2">
      <c r="B64" t="s">
        <v>333</v>
      </c>
      <c r="C64" s="12">
        <v>2</v>
      </c>
      <c r="D64" s="8">
        <v>1.49</v>
      </c>
      <c r="E64" s="12">
        <v>2</v>
      </c>
      <c r="F64" s="8">
        <v>2.38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290</v>
      </c>
      <c r="C65" s="12">
        <v>2</v>
      </c>
      <c r="D65" s="8">
        <v>1.49</v>
      </c>
      <c r="E65" s="12">
        <v>0</v>
      </c>
      <c r="F65" s="8">
        <v>0</v>
      </c>
      <c r="G65" s="12">
        <v>2</v>
      </c>
      <c r="H65" s="8">
        <v>4.6500000000000004</v>
      </c>
      <c r="I65" s="12">
        <v>0</v>
      </c>
    </row>
    <row r="66" spans="2:9" ht="15" customHeight="1" x14ac:dyDescent="0.2">
      <c r="B66" t="s">
        <v>291</v>
      </c>
      <c r="C66" s="12">
        <v>2</v>
      </c>
      <c r="D66" s="8">
        <v>1.49</v>
      </c>
      <c r="E66" s="12">
        <v>1</v>
      </c>
      <c r="F66" s="8">
        <v>1.19</v>
      </c>
      <c r="G66" s="12">
        <v>1</v>
      </c>
      <c r="H66" s="8">
        <v>2.33</v>
      </c>
      <c r="I66" s="12">
        <v>0</v>
      </c>
    </row>
    <row r="67" spans="2:9" ht="15" customHeight="1" x14ac:dyDescent="0.2">
      <c r="B67" t="s">
        <v>381</v>
      </c>
      <c r="C67" s="12">
        <v>2</v>
      </c>
      <c r="D67" s="8">
        <v>1.49</v>
      </c>
      <c r="E67" s="12">
        <v>2</v>
      </c>
      <c r="F67" s="8">
        <v>2.38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385</v>
      </c>
      <c r="C68" s="12">
        <v>2</v>
      </c>
      <c r="D68" s="8">
        <v>1.49</v>
      </c>
      <c r="E68" s="12">
        <v>0</v>
      </c>
      <c r="F68" s="8">
        <v>0</v>
      </c>
      <c r="G68" s="12">
        <v>2</v>
      </c>
      <c r="H68" s="8">
        <v>4.6500000000000004</v>
      </c>
      <c r="I68" s="12">
        <v>0</v>
      </c>
    </row>
    <row r="69" spans="2:9" ht="15" customHeight="1" x14ac:dyDescent="0.2">
      <c r="B69" t="s">
        <v>314</v>
      </c>
      <c r="C69" s="12">
        <v>2</v>
      </c>
      <c r="D69" s="8">
        <v>1.49</v>
      </c>
      <c r="E69" s="12">
        <v>1</v>
      </c>
      <c r="F69" s="8">
        <v>1.19</v>
      </c>
      <c r="G69" s="12">
        <v>1</v>
      </c>
      <c r="H69" s="8">
        <v>2.33</v>
      </c>
      <c r="I69" s="12">
        <v>0</v>
      </c>
    </row>
    <row r="70" spans="2:9" ht="15" customHeight="1" x14ac:dyDescent="0.2">
      <c r="B70" t="s">
        <v>329</v>
      </c>
      <c r="C70" s="12">
        <v>2</v>
      </c>
      <c r="D70" s="8">
        <v>1.49</v>
      </c>
      <c r="E70" s="12">
        <v>0</v>
      </c>
      <c r="F70" s="8">
        <v>0</v>
      </c>
      <c r="G70" s="12">
        <v>2</v>
      </c>
      <c r="H70" s="8">
        <v>4.6500000000000004</v>
      </c>
      <c r="I70" s="12">
        <v>0</v>
      </c>
    </row>
    <row r="71" spans="2:9" ht="15" customHeight="1" x14ac:dyDescent="0.2">
      <c r="B71" t="s">
        <v>297</v>
      </c>
      <c r="C71" s="12">
        <v>2</v>
      </c>
      <c r="D71" s="8">
        <v>1.49</v>
      </c>
      <c r="E71" s="12">
        <v>1</v>
      </c>
      <c r="F71" s="8">
        <v>1.19</v>
      </c>
      <c r="G71" s="12">
        <v>1</v>
      </c>
      <c r="H71" s="8">
        <v>2.33</v>
      </c>
      <c r="I71" s="12">
        <v>0</v>
      </c>
    </row>
    <row r="72" spans="2:9" ht="15" customHeight="1" x14ac:dyDescent="0.2">
      <c r="B72" t="s">
        <v>298</v>
      </c>
      <c r="C72" s="12">
        <v>2</v>
      </c>
      <c r="D72" s="8">
        <v>1.49</v>
      </c>
      <c r="E72" s="12">
        <v>2</v>
      </c>
      <c r="F72" s="8">
        <v>2.38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299</v>
      </c>
      <c r="C73" s="12">
        <v>2</v>
      </c>
      <c r="D73" s="8">
        <v>1.49</v>
      </c>
      <c r="E73" s="12">
        <v>2</v>
      </c>
      <c r="F73" s="8">
        <v>2.38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349</v>
      </c>
      <c r="C74" s="12">
        <v>2</v>
      </c>
      <c r="D74" s="8">
        <v>1.49</v>
      </c>
      <c r="E74" s="12">
        <v>2</v>
      </c>
      <c r="F74" s="8">
        <v>2.38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327</v>
      </c>
      <c r="C75" s="12">
        <v>2</v>
      </c>
      <c r="D75" s="8">
        <v>1.49</v>
      </c>
      <c r="E75" s="12">
        <v>2</v>
      </c>
      <c r="F75" s="8">
        <v>2.38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307</v>
      </c>
      <c r="C76" s="12">
        <v>2</v>
      </c>
      <c r="D76" s="8">
        <v>1.49</v>
      </c>
      <c r="E76" s="12">
        <v>2</v>
      </c>
      <c r="F76" s="8">
        <v>2.38</v>
      </c>
      <c r="G76" s="12">
        <v>0</v>
      </c>
      <c r="H76" s="8">
        <v>0</v>
      </c>
      <c r="I76" s="12">
        <v>0</v>
      </c>
    </row>
    <row r="78" spans="2:9" ht="15" customHeight="1" x14ac:dyDescent="0.2">
      <c r="B7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D165-5598-44AF-93EC-293A44022366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91</v>
      </c>
      <c r="D6" s="8">
        <v>19.57</v>
      </c>
      <c r="E6" s="12">
        <v>27</v>
      </c>
      <c r="F6" s="8">
        <v>12.86</v>
      </c>
      <c r="G6" s="12">
        <v>64</v>
      </c>
      <c r="H6" s="8">
        <v>26.12</v>
      </c>
      <c r="I6" s="12">
        <v>0</v>
      </c>
    </row>
    <row r="7" spans="2:9" ht="15" customHeight="1" x14ac:dyDescent="0.2">
      <c r="B7" t="s">
        <v>192</v>
      </c>
      <c r="C7" s="12">
        <v>33</v>
      </c>
      <c r="D7" s="8">
        <v>7.1</v>
      </c>
      <c r="E7" s="12">
        <v>8</v>
      </c>
      <c r="F7" s="8">
        <v>3.81</v>
      </c>
      <c r="G7" s="12">
        <v>23</v>
      </c>
      <c r="H7" s="8">
        <v>9.39</v>
      </c>
      <c r="I7" s="12">
        <v>2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6</v>
      </c>
      <c r="D10" s="8">
        <v>1.29</v>
      </c>
      <c r="E10" s="12">
        <v>1</v>
      </c>
      <c r="F10" s="8">
        <v>0.48</v>
      </c>
      <c r="G10" s="12">
        <v>5</v>
      </c>
      <c r="H10" s="8">
        <v>2.04</v>
      </c>
      <c r="I10" s="12">
        <v>0</v>
      </c>
    </row>
    <row r="11" spans="2:9" ht="15" customHeight="1" x14ac:dyDescent="0.2">
      <c r="B11" t="s">
        <v>196</v>
      </c>
      <c r="C11" s="12">
        <v>89</v>
      </c>
      <c r="D11" s="8">
        <v>19.14</v>
      </c>
      <c r="E11" s="12">
        <v>37</v>
      </c>
      <c r="F11" s="8">
        <v>17.62</v>
      </c>
      <c r="G11" s="12">
        <v>52</v>
      </c>
      <c r="H11" s="8">
        <v>21.22</v>
      </c>
      <c r="I11" s="12">
        <v>0</v>
      </c>
    </row>
    <row r="12" spans="2:9" ht="15" customHeight="1" x14ac:dyDescent="0.2">
      <c r="B12" t="s">
        <v>197</v>
      </c>
      <c r="C12" s="12">
        <v>5</v>
      </c>
      <c r="D12" s="8">
        <v>1.08</v>
      </c>
      <c r="E12" s="12">
        <v>2</v>
      </c>
      <c r="F12" s="8">
        <v>0.95</v>
      </c>
      <c r="G12" s="12">
        <v>3</v>
      </c>
      <c r="H12" s="8">
        <v>1.22</v>
      </c>
      <c r="I12" s="12">
        <v>0</v>
      </c>
    </row>
    <row r="13" spans="2:9" ht="15" customHeight="1" x14ac:dyDescent="0.2">
      <c r="B13" t="s">
        <v>198</v>
      </c>
      <c r="C13" s="12">
        <v>20</v>
      </c>
      <c r="D13" s="8">
        <v>4.3</v>
      </c>
      <c r="E13" s="12">
        <v>2</v>
      </c>
      <c r="F13" s="8">
        <v>0.95</v>
      </c>
      <c r="G13" s="12">
        <v>18</v>
      </c>
      <c r="H13" s="8">
        <v>7.35</v>
      </c>
      <c r="I13" s="12">
        <v>0</v>
      </c>
    </row>
    <row r="14" spans="2:9" ht="15" customHeight="1" x14ac:dyDescent="0.2">
      <c r="B14" t="s">
        <v>199</v>
      </c>
      <c r="C14" s="12">
        <v>17</v>
      </c>
      <c r="D14" s="8">
        <v>3.66</v>
      </c>
      <c r="E14" s="12">
        <v>10</v>
      </c>
      <c r="F14" s="8">
        <v>4.76</v>
      </c>
      <c r="G14" s="12">
        <v>7</v>
      </c>
      <c r="H14" s="8">
        <v>2.86</v>
      </c>
      <c r="I14" s="12">
        <v>0</v>
      </c>
    </row>
    <row r="15" spans="2:9" ht="15" customHeight="1" x14ac:dyDescent="0.2">
      <c r="B15" t="s">
        <v>200</v>
      </c>
      <c r="C15" s="12">
        <v>47</v>
      </c>
      <c r="D15" s="8">
        <v>10.11</v>
      </c>
      <c r="E15" s="12">
        <v>28</v>
      </c>
      <c r="F15" s="8">
        <v>13.33</v>
      </c>
      <c r="G15" s="12">
        <v>18</v>
      </c>
      <c r="H15" s="8">
        <v>7.35</v>
      </c>
      <c r="I15" s="12">
        <v>0</v>
      </c>
    </row>
    <row r="16" spans="2:9" ht="15" customHeight="1" x14ac:dyDescent="0.2">
      <c r="B16" t="s">
        <v>201</v>
      </c>
      <c r="C16" s="12">
        <v>66</v>
      </c>
      <c r="D16" s="8">
        <v>14.19</v>
      </c>
      <c r="E16" s="12">
        <v>54</v>
      </c>
      <c r="F16" s="8">
        <v>25.71</v>
      </c>
      <c r="G16" s="12">
        <v>11</v>
      </c>
      <c r="H16" s="8">
        <v>4.49</v>
      </c>
      <c r="I16" s="12">
        <v>0</v>
      </c>
    </row>
    <row r="17" spans="2:9" ht="15" customHeight="1" x14ac:dyDescent="0.2">
      <c r="B17" t="s">
        <v>202</v>
      </c>
      <c r="C17" s="12">
        <v>13</v>
      </c>
      <c r="D17" s="8">
        <v>2.8</v>
      </c>
      <c r="E17" s="12">
        <v>9</v>
      </c>
      <c r="F17" s="8">
        <v>4.29</v>
      </c>
      <c r="G17" s="12">
        <v>2</v>
      </c>
      <c r="H17" s="8">
        <v>0.82</v>
      </c>
      <c r="I17" s="12">
        <v>0</v>
      </c>
    </row>
    <row r="18" spans="2:9" ht="15" customHeight="1" x14ac:dyDescent="0.2">
      <c r="B18" t="s">
        <v>203</v>
      </c>
      <c r="C18" s="12">
        <v>44</v>
      </c>
      <c r="D18" s="8">
        <v>9.4600000000000009</v>
      </c>
      <c r="E18" s="12">
        <v>15</v>
      </c>
      <c r="F18" s="8">
        <v>7.14</v>
      </c>
      <c r="G18" s="12">
        <v>26</v>
      </c>
      <c r="H18" s="8">
        <v>10.61</v>
      </c>
      <c r="I18" s="12">
        <v>0</v>
      </c>
    </row>
    <row r="19" spans="2:9" ht="15" customHeight="1" x14ac:dyDescent="0.2">
      <c r="B19" t="s">
        <v>204</v>
      </c>
      <c r="C19" s="12">
        <v>34</v>
      </c>
      <c r="D19" s="8">
        <v>7.31</v>
      </c>
      <c r="E19" s="12">
        <v>17</v>
      </c>
      <c r="F19" s="8">
        <v>8.1</v>
      </c>
      <c r="G19" s="12">
        <v>16</v>
      </c>
      <c r="H19" s="8">
        <v>6.53</v>
      </c>
      <c r="I19" s="12">
        <v>0</v>
      </c>
    </row>
    <row r="20" spans="2:9" ht="15" customHeight="1" x14ac:dyDescent="0.2">
      <c r="B20" s="9" t="s">
        <v>529</v>
      </c>
      <c r="C20" s="12">
        <f>SUM(LTBL_01337[総数／事業所数])</f>
        <v>465</v>
      </c>
      <c r="E20" s="12">
        <f>SUBTOTAL(109,LTBL_01337[個人／事業所数])</f>
        <v>210</v>
      </c>
      <c r="G20" s="12">
        <f>SUBTOTAL(109,LTBL_01337[法人／事業所数])</f>
        <v>245</v>
      </c>
      <c r="I20" s="12">
        <f>SUBTOTAL(109,LTBL_01337[法人以外の団体／事業所数])</f>
        <v>2</v>
      </c>
    </row>
    <row r="21" spans="2:9" ht="15" customHeight="1" x14ac:dyDescent="0.2">
      <c r="E21" s="11">
        <f>LTBL_01337[[#Totals],[個人／事業所数]]/LTBL_01337[[#Totals],[総数／事業所数]]</f>
        <v>0.45161290322580644</v>
      </c>
      <c r="G21" s="11">
        <f>LTBL_01337[[#Totals],[法人／事業所数]]/LTBL_01337[[#Totals],[総数／事業所数]]</f>
        <v>0.5268817204301075</v>
      </c>
      <c r="I21" s="11">
        <f>LTBL_01337[[#Totals],[法人以外の団体／事業所数]]/LTBL_01337[[#Totals],[総数／事業所数]]</f>
        <v>4.3010752688172043E-3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57</v>
      </c>
      <c r="D24" s="8">
        <v>12.26</v>
      </c>
      <c r="E24" s="12">
        <v>50</v>
      </c>
      <c r="F24" s="8">
        <v>23.81</v>
      </c>
      <c r="G24" s="12">
        <v>7</v>
      </c>
      <c r="H24" s="8">
        <v>2.86</v>
      </c>
      <c r="I24" s="12">
        <v>0</v>
      </c>
    </row>
    <row r="25" spans="2:9" ht="15" customHeight="1" x14ac:dyDescent="0.2">
      <c r="B25" t="s">
        <v>213</v>
      </c>
      <c r="C25" s="12">
        <v>43</v>
      </c>
      <c r="D25" s="8">
        <v>9.25</v>
      </c>
      <c r="E25" s="12">
        <v>13</v>
      </c>
      <c r="F25" s="8">
        <v>6.19</v>
      </c>
      <c r="G25" s="12">
        <v>30</v>
      </c>
      <c r="H25" s="8">
        <v>12.24</v>
      </c>
      <c r="I25" s="12">
        <v>0</v>
      </c>
    </row>
    <row r="26" spans="2:9" ht="15" customHeight="1" x14ac:dyDescent="0.2">
      <c r="B26" t="s">
        <v>227</v>
      </c>
      <c r="C26" s="12">
        <v>34</v>
      </c>
      <c r="D26" s="8">
        <v>7.31</v>
      </c>
      <c r="E26" s="12">
        <v>26</v>
      </c>
      <c r="F26" s="8">
        <v>12.38</v>
      </c>
      <c r="G26" s="12">
        <v>8</v>
      </c>
      <c r="H26" s="8">
        <v>3.27</v>
      </c>
      <c r="I26" s="12">
        <v>0</v>
      </c>
    </row>
    <row r="27" spans="2:9" ht="15" customHeight="1" x14ac:dyDescent="0.2">
      <c r="B27" t="s">
        <v>215</v>
      </c>
      <c r="C27" s="12">
        <v>28</v>
      </c>
      <c r="D27" s="8">
        <v>6.02</v>
      </c>
      <c r="E27" s="12">
        <v>9</v>
      </c>
      <c r="F27" s="8">
        <v>4.29</v>
      </c>
      <c r="G27" s="12">
        <v>19</v>
      </c>
      <c r="H27" s="8">
        <v>7.76</v>
      </c>
      <c r="I27" s="12">
        <v>0</v>
      </c>
    </row>
    <row r="28" spans="2:9" ht="15" customHeight="1" x14ac:dyDescent="0.2">
      <c r="B28" t="s">
        <v>232</v>
      </c>
      <c r="C28" s="12">
        <v>28</v>
      </c>
      <c r="D28" s="8">
        <v>6.02</v>
      </c>
      <c r="E28" s="12">
        <v>0</v>
      </c>
      <c r="F28" s="8">
        <v>0</v>
      </c>
      <c r="G28" s="12">
        <v>25</v>
      </c>
      <c r="H28" s="8">
        <v>10.199999999999999</v>
      </c>
      <c r="I28" s="12">
        <v>0</v>
      </c>
    </row>
    <row r="29" spans="2:9" ht="15" customHeight="1" x14ac:dyDescent="0.2">
      <c r="B29" t="s">
        <v>223</v>
      </c>
      <c r="C29" s="12">
        <v>26</v>
      </c>
      <c r="D29" s="8">
        <v>5.59</v>
      </c>
      <c r="E29" s="12">
        <v>9</v>
      </c>
      <c r="F29" s="8">
        <v>4.29</v>
      </c>
      <c r="G29" s="12">
        <v>17</v>
      </c>
      <c r="H29" s="8">
        <v>6.94</v>
      </c>
      <c r="I29" s="12">
        <v>0</v>
      </c>
    </row>
    <row r="30" spans="2:9" ht="15" customHeight="1" x14ac:dyDescent="0.2">
      <c r="B30" t="s">
        <v>221</v>
      </c>
      <c r="C30" s="12">
        <v>22</v>
      </c>
      <c r="D30" s="8">
        <v>4.7300000000000004</v>
      </c>
      <c r="E30" s="12">
        <v>15</v>
      </c>
      <c r="F30" s="8">
        <v>7.14</v>
      </c>
      <c r="G30" s="12">
        <v>7</v>
      </c>
      <c r="H30" s="8">
        <v>2.86</v>
      </c>
      <c r="I30" s="12">
        <v>0</v>
      </c>
    </row>
    <row r="31" spans="2:9" ht="15" customHeight="1" x14ac:dyDescent="0.2">
      <c r="B31" t="s">
        <v>214</v>
      </c>
      <c r="C31" s="12">
        <v>20</v>
      </c>
      <c r="D31" s="8">
        <v>4.3</v>
      </c>
      <c r="E31" s="12">
        <v>5</v>
      </c>
      <c r="F31" s="8">
        <v>2.38</v>
      </c>
      <c r="G31" s="12">
        <v>15</v>
      </c>
      <c r="H31" s="8">
        <v>6.12</v>
      </c>
      <c r="I31" s="12">
        <v>0</v>
      </c>
    </row>
    <row r="32" spans="2:9" ht="15" customHeight="1" x14ac:dyDescent="0.2">
      <c r="B32" t="s">
        <v>240</v>
      </c>
      <c r="C32" s="12">
        <v>18</v>
      </c>
      <c r="D32" s="8">
        <v>3.87</v>
      </c>
      <c r="E32" s="12">
        <v>13</v>
      </c>
      <c r="F32" s="8">
        <v>6.19</v>
      </c>
      <c r="G32" s="12">
        <v>5</v>
      </c>
      <c r="H32" s="8">
        <v>2.04</v>
      </c>
      <c r="I32" s="12">
        <v>0</v>
      </c>
    </row>
    <row r="33" spans="2:9" ht="15" customHeight="1" x14ac:dyDescent="0.2">
      <c r="B33" t="s">
        <v>231</v>
      </c>
      <c r="C33" s="12">
        <v>16</v>
      </c>
      <c r="D33" s="8">
        <v>3.44</v>
      </c>
      <c r="E33" s="12">
        <v>15</v>
      </c>
      <c r="F33" s="8">
        <v>7.14</v>
      </c>
      <c r="G33" s="12">
        <v>1</v>
      </c>
      <c r="H33" s="8">
        <v>0.41</v>
      </c>
      <c r="I33" s="12">
        <v>0</v>
      </c>
    </row>
    <row r="34" spans="2:9" ht="15" customHeight="1" x14ac:dyDescent="0.2">
      <c r="B34" t="s">
        <v>226</v>
      </c>
      <c r="C34" s="12">
        <v>13</v>
      </c>
      <c r="D34" s="8">
        <v>2.8</v>
      </c>
      <c r="E34" s="12">
        <v>6</v>
      </c>
      <c r="F34" s="8">
        <v>2.86</v>
      </c>
      <c r="G34" s="12">
        <v>7</v>
      </c>
      <c r="H34" s="8">
        <v>2.86</v>
      </c>
      <c r="I34" s="12">
        <v>0</v>
      </c>
    </row>
    <row r="35" spans="2:9" ht="15" customHeight="1" x14ac:dyDescent="0.2">
      <c r="B35" t="s">
        <v>230</v>
      </c>
      <c r="C35" s="12">
        <v>13</v>
      </c>
      <c r="D35" s="8">
        <v>2.8</v>
      </c>
      <c r="E35" s="12">
        <v>9</v>
      </c>
      <c r="F35" s="8">
        <v>4.29</v>
      </c>
      <c r="G35" s="12">
        <v>2</v>
      </c>
      <c r="H35" s="8">
        <v>0.82</v>
      </c>
      <c r="I35" s="12">
        <v>0</v>
      </c>
    </row>
    <row r="36" spans="2:9" ht="15" customHeight="1" x14ac:dyDescent="0.2">
      <c r="B36" t="s">
        <v>222</v>
      </c>
      <c r="C36" s="12">
        <v>12</v>
      </c>
      <c r="D36" s="8">
        <v>2.58</v>
      </c>
      <c r="E36" s="12">
        <v>5</v>
      </c>
      <c r="F36" s="8">
        <v>2.38</v>
      </c>
      <c r="G36" s="12">
        <v>7</v>
      </c>
      <c r="H36" s="8">
        <v>2.86</v>
      </c>
      <c r="I36" s="12">
        <v>0</v>
      </c>
    </row>
    <row r="37" spans="2:9" ht="15" customHeight="1" x14ac:dyDescent="0.2">
      <c r="B37" t="s">
        <v>224</v>
      </c>
      <c r="C37" s="12">
        <v>12</v>
      </c>
      <c r="D37" s="8">
        <v>2.58</v>
      </c>
      <c r="E37" s="12">
        <v>0</v>
      </c>
      <c r="F37" s="8">
        <v>0</v>
      </c>
      <c r="G37" s="12">
        <v>12</v>
      </c>
      <c r="H37" s="8">
        <v>4.9000000000000004</v>
      </c>
      <c r="I37" s="12">
        <v>0</v>
      </c>
    </row>
    <row r="38" spans="2:9" ht="15" customHeight="1" x14ac:dyDescent="0.2">
      <c r="B38" t="s">
        <v>217</v>
      </c>
      <c r="C38" s="12">
        <v>10</v>
      </c>
      <c r="D38" s="8">
        <v>2.15</v>
      </c>
      <c r="E38" s="12">
        <v>2</v>
      </c>
      <c r="F38" s="8">
        <v>0.95</v>
      </c>
      <c r="G38" s="12">
        <v>8</v>
      </c>
      <c r="H38" s="8">
        <v>3.27</v>
      </c>
      <c r="I38" s="12">
        <v>0</v>
      </c>
    </row>
    <row r="39" spans="2:9" ht="15" customHeight="1" x14ac:dyDescent="0.2">
      <c r="B39" t="s">
        <v>239</v>
      </c>
      <c r="C39" s="12">
        <v>9</v>
      </c>
      <c r="D39" s="8">
        <v>1.94</v>
      </c>
      <c r="E39" s="12">
        <v>0</v>
      </c>
      <c r="F39" s="8">
        <v>0</v>
      </c>
      <c r="G39" s="12">
        <v>8</v>
      </c>
      <c r="H39" s="8">
        <v>3.27</v>
      </c>
      <c r="I39" s="12">
        <v>0</v>
      </c>
    </row>
    <row r="40" spans="2:9" ht="15" customHeight="1" x14ac:dyDescent="0.2">
      <c r="B40" t="s">
        <v>229</v>
      </c>
      <c r="C40" s="12">
        <v>8</v>
      </c>
      <c r="D40" s="8">
        <v>1.72</v>
      </c>
      <c r="E40" s="12">
        <v>3</v>
      </c>
      <c r="F40" s="8">
        <v>1.43</v>
      </c>
      <c r="G40" s="12">
        <v>4</v>
      </c>
      <c r="H40" s="8">
        <v>1.63</v>
      </c>
      <c r="I40" s="12">
        <v>0</v>
      </c>
    </row>
    <row r="41" spans="2:9" ht="15" customHeight="1" x14ac:dyDescent="0.2">
      <c r="B41" t="s">
        <v>249</v>
      </c>
      <c r="C41" s="12">
        <v>7</v>
      </c>
      <c r="D41" s="8">
        <v>1.51</v>
      </c>
      <c r="E41" s="12">
        <v>0</v>
      </c>
      <c r="F41" s="8">
        <v>0</v>
      </c>
      <c r="G41" s="12">
        <v>7</v>
      </c>
      <c r="H41" s="8">
        <v>2.86</v>
      </c>
      <c r="I41" s="12">
        <v>0</v>
      </c>
    </row>
    <row r="42" spans="2:9" ht="15" customHeight="1" x14ac:dyDescent="0.2">
      <c r="B42" t="s">
        <v>241</v>
      </c>
      <c r="C42" s="12">
        <v>6</v>
      </c>
      <c r="D42" s="8">
        <v>1.29</v>
      </c>
      <c r="E42" s="12">
        <v>2</v>
      </c>
      <c r="F42" s="8">
        <v>0.95</v>
      </c>
      <c r="G42" s="12">
        <v>4</v>
      </c>
      <c r="H42" s="8">
        <v>1.63</v>
      </c>
      <c r="I42" s="12">
        <v>0</v>
      </c>
    </row>
    <row r="43" spans="2:9" ht="15" customHeight="1" x14ac:dyDescent="0.2">
      <c r="B43" t="s">
        <v>258</v>
      </c>
      <c r="C43" s="12">
        <v>6</v>
      </c>
      <c r="D43" s="8">
        <v>1.29</v>
      </c>
      <c r="E43" s="12">
        <v>2</v>
      </c>
      <c r="F43" s="8">
        <v>0.95</v>
      </c>
      <c r="G43" s="12">
        <v>3</v>
      </c>
      <c r="H43" s="8">
        <v>1.22</v>
      </c>
      <c r="I43" s="12">
        <v>1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304</v>
      </c>
      <c r="C47" s="12">
        <v>26</v>
      </c>
      <c r="D47" s="8">
        <v>5.59</v>
      </c>
      <c r="E47" s="12">
        <v>25</v>
      </c>
      <c r="F47" s="8">
        <v>11.9</v>
      </c>
      <c r="G47" s="12">
        <v>1</v>
      </c>
      <c r="H47" s="8">
        <v>0.41</v>
      </c>
      <c r="I47" s="12">
        <v>0</v>
      </c>
    </row>
    <row r="48" spans="2:9" ht="15" customHeight="1" x14ac:dyDescent="0.2">
      <c r="B48" t="s">
        <v>303</v>
      </c>
      <c r="C48" s="12">
        <v>19</v>
      </c>
      <c r="D48" s="8">
        <v>4.09</v>
      </c>
      <c r="E48" s="12">
        <v>17</v>
      </c>
      <c r="F48" s="8">
        <v>8.1</v>
      </c>
      <c r="G48" s="12">
        <v>2</v>
      </c>
      <c r="H48" s="8">
        <v>0.82</v>
      </c>
      <c r="I48" s="12">
        <v>0</v>
      </c>
    </row>
    <row r="49" spans="2:9" ht="15" customHeight="1" x14ac:dyDescent="0.2">
      <c r="B49" t="s">
        <v>307</v>
      </c>
      <c r="C49" s="12">
        <v>18</v>
      </c>
      <c r="D49" s="8">
        <v>3.87</v>
      </c>
      <c r="E49" s="12">
        <v>13</v>
      </c>
      <c r="F49" s="8">
        <v>6.19</v>
      </c>
      <c r="G49" s="12">
        <v>5</v>
      </c>
      <c r="H49" s="8">
        <v>2.04</v>
      </c>
      <c r="I49" s="12">
        <v>0</v>
      </c>
    </row>
    <row r="50" spans="2:9" ht="15" customHeight="1" x14ac:dyDescent="0.2">
      <c r="B50" t="s">
        <v>299</v>
      </c>
      <c r="C50" s="12">
        <v>17</v>
      </c>
      <c r="D50" s="8">
        <v>3.66</v>
      </c>
      <c r="E50" s="12">
        <v>12</v>
      </c>
      <c r="F50" s="8">
        <v>5.71</v>
      </c>
      <c r="G50" s="12">
        <v>5</v>
      </c>
      <c r="H50" s="8">
        <v>2.04</v>
      </c>
      <c r="I50" s="12">
        <v>0</v>
      </c>
    </row>
    <row r="51" spans="2:9" ht="15" customHeight="1" x14ac:dyDescent="0.2">
      <c r="B51" t="s">
        <v>347</v>
      </c>
      <c r="C51" s="12">
        <v>17</v>
      </c>
      <c r="D51" s="8">
        <v>3.66</v>
      </c>
      <c r="E51" s="12">
        <v>0</v>
      </c>
      <c r="F51" s="8">
        <v>0</v>
      </c>
      <c r="G51" s="12">
        <v>17</v>
      </c>
      <c r="H51" s="8">
        <v>6.94</v>
      </c>
      <c r="I51" s="12">
        <v>0</v>
      </c>
    </row>
    <row r="52" spans="2:9" ht="15" customHeight="1" x14ac:dyDescent="0.2">
      <c r="B52" t="s">
        <v>288</v>
      </c>
      <c r="C52" s="12">
        <v>13</v>
      </c>
      <c r="D52" s="8">
        <v>2.8</v>
      </c>
      <c r="E52" s="12">
        <v>1</v>
      </c>
      <c r="F52" s="8">
        <v>0.48</v>
      </c>
      <c r="G52" s="12">
        <v>12</v>
      </c>
      <c r="H52" s="8">
        <v>4.9000000000000004</v>
      </c>
      <c r="I52" s="12">
        <v>0</v>
      </c>
    </row>
    <row r="53" spans="2:9" ht="15" customHeight="1" x14ac:dyDescent="0.2">
      <c r="B53" t="s">
        <v>291</v>
      </c>
      <c r="C53" s="12">
        <v>13</v>
      </c>
      <c r="D53" s="8">
        <v>2.8</v>
      </c>
      <c r="E53" s="12">
        <v>4</v>
      </c>
      <c r="F53" s="8">
        <v>1.9</v>
      </c>
      <c r="G53" s="12">
        <v>9</v>
      </c>
      <c r="H53" s="8">
        <v>3.67</v>
      </c>
      <c r="I53" s="12">
        <v>0</v>
      </c>
    </row>
    <row r="54" spans="2:9" ht="15" customHeight="1" x14ac:dyDescent="0.2">
      <c r="B54" t="s">
        <v>328</v>
      </c>
      <c r="C54" s="12">
        <v>12</v>
      </c>
      <c r="D54" s="8">
        <v>2.58</v>
      </c>
      <c r="E54" s="12">
        <v>7</v>
      </c>
      <c r="F54" s="8">
        <v>3.33</v>
      </c>
      <c r="G54" s="12">
        <v>5</v>
      </c>
      <c r="H54" s="8">
        <v>2.04</v>
      </c>
      <c r="I54" s="12">
        <v>0</v>
      </c>
    </row>
    <row r="55" spans="2:9" ht="15" customHeight="1" x14ac:dyDescent="0.2">
      <c r="B55" t="s">
        <v>323</v>
      </c>
      <c r="C55" s="12">
        <v>11</v>
      </c>
      <c r="D55" s="8">
        <v>2.37</v>
      </c>
      <c r="E55" s="12">
        <v>8</v>
      </c>
      <c r="F55" s="8">
        <v>3.81</v>
      </c>
      <c r="G55" s="12">
        <v>3</v>
      </c>
      <c r="H55" s="8">
        <v>1.22</v>
      </c>
      <c r="I55" s="12">
        <v>0</v>
      </c>
    </row>
    <row r="56" spans="2:9" ht="15" customHeight="1" x14ac:dyDescent="0.2">
      <c r="B56" t="s">
        <v>290</v>
      </c>
      <c r="C56" s="12">
        <v>10</v>
      </c>
      <c r="D56" s="8">
        <v>2.15</v>
      </c>
      <c r="E56" s="12">
        <v>4</v>
      </c>
      <c r="F56" s="8">
        <v>1.9</v>
      </c>
      <c r="G56" s="12">
        <v>6</v>
      </c>
      <c r="H56" s="8">
        <v>2.4500000000000002</v>
      </c>
      <c r="I56" s="12">
        <v>0</v>
      </c>
    </row>
    <row r="57" spans="2:9" ht="15" customHeight="1" x14ac:dyDescent="0.2">
      <c r="B57" t="s">
        <v>293</v>
      </c>
      <c r="C57" s="12">
        <v>10</v>
      </c>
      <c r="D57" s="8">
        <v>2.15</v>
      </c>
      <c r="E57" s="12">
        <v>4</v>
      </c>
      <c r="F57" s="8">
        <v>1.9</v>
      </c>
      <c r="G57" s="12">
        <v>6</v>
      </c>
      <c r="H57" s="8">
        <v>2.4500000000000002</v>
      </c>
      <c r="I57" s="12">
        <v>0</v>
      </c>
    </row>
    <row r="58" spans="2:9" ht="15" customHeight="1" x14ac:dyDescent="0.2">
      <c r="B58" t="s">
        <v>297</v>
      </c>
      <c r="C58" s="12">
        <v>10</v>
      </c>
      <c r="D58" s="8">
        <v>2.15</v>
      </c>
      <c r="E58" s="12">
        <v>0</v>
      </c>
      <c r="F58" s="8">
        <v>0</v>
      </c>
      <c r="G58" s="12">
        <v>10</v>
      </c>
      <c r="H58" s="8">
        <v>4.08</v>
      </c>
      <c r="I58" s="12">
        <v>0</v>
      </c>
    </row>
    <row r="59" spans="2:9" ht="15" customHeight="1" x14ac:dyDescent="0.2">
      <c r="B59" t="s">
        <v>289</v>
      </c>
      <c r="C59" s="12">
        <v>9</v>
      </c>
      <c r="D59" s="8">
        <v>1.94</v>
      </c>
      <c r="E59" s="12">
        <v>2</v>
      </c>
      <c r="F59" s="8">
        <v>0.95</v>
      </c>
      <c r="G59" s="12">
        <v>7</v>
      </c>
      <c r="H59" s="8">
        <v>2.86</v>
      </c>
      <c r="I59" s="12">
        <v>0</v>
      </c>
    </row>
    <row r="60" spans="2:9" ht="15" customHeight="1" x14ac:dyDescent="0.2">
      <c r="B60" t="s">
        <v>325</v>
      </c>
      <c r="C60" s="12">
        <v>9</v>
      </c>
      <c r="D60" s="8">
        <v>1.94</v>
      </c>
      <c r="E60" s="12">
        <v>0</v>
      </c>
      <c r="F60" s="8">
        <v>0</v>
      </c>
      <c r="G60" s="12">
        <v>8</v>
      </c>
      <c r="H60" s="8">
        <v>3.27</v>
      </c>
      <c r="I60" s="12">
        <v>0</v>
      </c>
    </row>
    <row r="61" spans="2:9" ht="15" customHeight="1" x14ac:dyDescent="0.2">
      <c r="B61" t="s">
        <v>329</v>
      </c>
      <c r="C61" s="12">
        <v>8</v>
      </c>
      <c r="D61" s="8">
        <v>1.72</v>
      </c>
      <c r="E61" s="12">
        <v>7</v>
      </c>
      <c r="F61" s="8">
        <v>3.33</v>
      </c>
      <c r="G61" s="12">
        <v>1</v>
      </c>
      <c r="H61" s="8">
        <v>0.41</v>
      </c>
      <c r="I61" s="12">
        <v>0</v>
      </c>
    </row>
    <row r="62" spans="2:9" ht="15" customHeight="1" x14ac:dyDescent="0.2">
      <c r="B62" t="s">
        <v>295</v>
      </c>
      <c r="C62" s="12">
        <v>8</v>
      </c>
      <c r="D62" s="8">
        <v>1.72</v>
      </c>
      <c r="E62" s="12">
        <v>2</v>
      </c>
      <c r="F62" s="8">
        <v>0.95</v>
      </c>
      <c r="G62" s="12">
        <v>6</v>
      </c>
      <c r="H62" s="8">
        <v>2.4500000000000002</v>
      </c>
      <c r="I62" s="12">
        <v>0</v>
      </c>
    </row>
    <row r="63" spans="2:9" ht="15" customHeight="1" x14ac:dyDescent="0.2">
      <c r="B63" t="s">
        <v>305</v>
      </c>
      <c r="C63" s="12">
        <v>8</v>
      </c>
      <c r="D63" s="8">
        <v>1.72</v>
      </c>
      <c r="E63" s="12">
        <v>7</v>
      </c>
      <c r="F63" s="8">
        <v>3.33</v>
      </c>
      <c r="G63" s="12">
        <v>1</v>
      </c>
      <c r="H63" s="8">
        <v>0.41</v>
      </c>
      <c r="I63" s="12">
        <v>0</v>
      </c>
    </row>
    <row r="64" spans="2:9" ht="15" customHeight="1" x14ac:dyDescent="0.2">
      <c r="B64" t="s">
        <v>319</v>
      </c>
      <c r="C64" s="12">
        <v>7</v>
      </c>
      <c r="D64" s="8">
        <v>1.51</v>
      </c>
      <c r="E64" s="12">
        <v>3</v>
      </c>
      <c r="F64" s="8">
        <v>1.43</v>
      </c>
      <c r="G64" s="12">
        <v>4</v>
      </c>
      <c r="H64" s="8">
        <v>1.63</v>
      </c>
      <c r="I64" s="12">
        <v>0</v>
      </c>
    </row>
    <row r="65" spans="2:9" ht="15" customHeight="1" x14ac:dyDescent="0.2">
      <c r="B65" t="s">
        <v>346</v>
      </c>
      <c r="C65" s="12">
        <v>7</v>
      </c>
      <c r="D65" s="8">
        <v>1.51</v>
      </c>
      <c r="E65" s="12">
        <v>2</v>
      </c>
      <c r="F65" s="8">
        <v>0.95</v>
      </c>
      <c r="G65" s="12">
        <v>5</v>
      </c>
      <c r="H65" s="8">
        <v>2.04</v>
      </c>
      <c r="I65" s="12">
        <v>0</v>
      </c>
    </row>
    <row r="66" spans="2:9" ht="15" customHeight="1" x14ac:dyDescent="0.2">
      <c r="B66" t="s">
        <v>292</v>
      </c>
      <c r="C66" s="12">
        <v>7</v>
      </c>
      <c r="D66" s="8">
        <v>1.51</v>
      </c>
      <c r="E66" s="12">
        <v>4</v>
      </c>
      <c r="F66" s="8">
        <v>1.9</v>
      </c>
      <c r="G66" s="12">
        <v>3</v>
      </c>
      <c r="H66" s="8">
        <v>1.22</v>
      </c>
      <c r="I66" s="12">
        <v>0</v>
      </c>
    </row>
    <row r="67" spans="2:9" ht="15" customHeight="1" x14ac:dyDescent="0.2">
      <c r="B67" t="s">
        <v>298</v>
      </c>
      <c r="C67" s="12">
        <v>7</v>
      </c>
      <c r="D67" s="8">
        <v>1.51</v>
      </c>
      <c r="E67" s="12">
        <v>2</v>
      </c>
      <c r="F67" s="8">
        <v>0.95</v>
      </c>
      <c r="G67" s="12">
        <v>5</v>
      </c>
      <c r="H67" s="8">
        <v>2.04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BC49E-7FE4-42B9-8F4D-1805FAEB7BA4}">
  <sheetPr>
    <pageSetUpPr fitToPage="1"/>
  </sheetPr>
  <dimension ref="B2:I10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18</v>
      </c>
      <c r="D6" s="8">
        <v>20.22</v>
      </c>
      <c r="E6" s="12">
        <v>7</v>
      </c>
      <c r="F6" s="8">
        <v>14</v>
      </c>
      <c r="G6" s="12">
        <v>11</v>
      </c>
      <c r="H6" s="8">
        <v>28.21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10.11</v>
      </c>
      <c r="E7" s="12">
        <v>2</v>
      </c>
      <c r="F7" s="8">
        <v>4</v>
      </c>
      <c r="G7" s="12">
        <v>7</v>
      </c>
      <c r="H7" s="8">
        <v>17.95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1.1200000000000001</v>
      </c>
      <c r="E8" s="12">
        <v>0</v>
      </c>
      <c r="F8" s="8">
        <v>0</v>
      </c>
      <c r="G8" s="12">
        <v>1</v>
      </c>
      <c r="H8" s="8">
        <v>2.56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1.1200000000000001</v>
      </c>
      <c r="E10" s="12">
        <v>0</v>
      </c>
      <c r="F10" s="8">
        <v>0</v>
      </c>
      <c r="G10" s="12">
        <v>1</v>
      </c>
      <c r="H10" s="8">
        <v>2.56</v>
      </c>
      <c r="I10" s="12">
        <v>0</v>
      </c>
    </row>
    <row r="11" spans="2:9" ht="15" customHeight="1" x14ac:dyDescent="0.2">
      <c r="B11" t="s">
        <v>196</v>
      </c>
      <c r="C11" s="12">
        <v>24</v>
      </c>
      <c r="D11" s="8">
        <v>26.97</v>
      </c>
      <c r="E11" s="12">
        <v>14</v>
      </c>
      <c r="F11" s="8">
        <v>28</v>
      </c>
      <c r="G11" s="12">
        <v>10</v>
      </c>
      <c r="H11" s="8">
        <v>25.64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14</v>
      </c>
      <c r="D15" s="8">
        <v>15.73</v>
      </c>
      <c r="E15" s="12">
        <v>12</v>
      </c>
      <c r="F15" s="8">
        <v>24</v>
      </c>
      <c r="G15" s="12">
        <v>2</v>
      </c>
      <c r="H15" s="8">
        <v>5.13</v>
      </c>
      <c r="I15" s="12">
        <v>0</v>
      </c>
    </row>
    <row r="16" spans="2:9" ht="15" customHeight="1" x14ac:dyDescent="0.2">
      <c r="B16" t="s">
        <v>201</v>
      </c>
      <c r="C16" s="12">
        <v>13</v>
      </c>
      <c r="D16" s="8">
        <v>14.61</v>
      </c>
      <c r="E16" s="12">
        <v>11</v>
      </c>
      <c r="F16" s="8">
        <v>22</v>
      </c>
      <c r="G16" s="12">
        <v>2</v>
      </c>
      <c r="H16" s="8">
        <v>5.13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2.25</v>
      </c>
      <c r="E17" s="12">
        <v>1</v>
      </c>
      <c r="F17" s="8">
        <v>2</v>
      </c>
      <c r="G17" s="12">
        <v>1</v>
      </c>
      <c r="H17" s="8">
        <v>2.56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3.37</v>
      </c>
      <c r="E18" s="12">
        <v>1</v>
      </c>
      <c r="F18" s="8">
        <v>2</v>
      </c>
      <c r="G18" s="12">
        <v>2</v>
      </c>
      <c r="H18" s="8">
        <v>5.13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4.49</v>
      </c>
      <c r="E19" s="12">
        <v>2</v>
      </c>
      <c r="F19" s="8">
        <v>4</v>
      </c>
      <c r="G19" s="12">
        <v>2</v>
      </c>
      <c r="H19" s="8">
        <v>5.13</v>
      </c>
      <c r="I19" s="12">
        <v>0</v>
      </c>
    </row>
    <row r="20" spans="2:9" ht="15" customHeight="1" x14ac:dyDescent="0.2">
      <c r="B20" s="9" t="s">
        <v>529</v>
      </c>
      <c r="C20" s="12">
        <f>SUM(LTBL_01343[総数／事業所数])</f>
        <v>89</v>
      </c>
      <c r="E20" s="12">
        <f>SUBTOTAL(109,LTBL_01343[個人／事業所数])</f>
        <v>50</v>
      </c>
      <c r="G20" s="12">
        <f>SUBTOTAL(109,LTBL_01343[法人／事業所数])</f>
        <v>39</v>
      </c>
      <c r="I20" s="12">
        <f>SUBTOTAL(109,LTBL_01343[法人以外の団体／事業所数])</f>
        <v>0</v>
      </c>
    </row>
    <row r="21" spans="2:9" ht="15" customHeight="1" x14ac:dyDescent="0.2">
      <c r="E21" s="11">
        <f>LTBL_01343[[#Totals],[個人／事業所数]]/LTBL_01343[[#Totals],[総数／事業所数]]</f>
        <v>0.5617977528089888</v>
      </c>
      <c r="G21" s="11">
        <f>LTBL_01343[[#Totals],[法人／事業所数]]/LTBL_01343[[#Totals],[総数／事業所数]]</f>
        <v>0.43820224719101125</v>
      </c>
      <c r="I21" s="11">
        <f>LTBL_01343[[#Totals],[法人以外の団体／事業所数]]/LTBL_01343[[#Totals],[総数／事業所数]]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12</v>
      </c>
      <c r="D24" s="8">
        <v>13.48</v>
      </c>
      <c r="E24" s="12">
        <v>11</v>
      </c>
      <c r="F24" s="8">
        <v>22</v>
      </c>
      <c r="G24" s="12">
        <v>1</v>
      </c>
      <c r="H24" s="8">
        <v>2.56</v>
      </c>
      <c r="I24" s="12">
        <v>0</v>
      </c>
    </row>
    <row r="25" spans="2:9" ht="15" customHeight="1" x14ac:dyDescent="0.2">
      <c r="B25" t="s">
        <v>213</v>
      </c>
      <c r="C25" s="12">
        <v>11</v>
      </c>
      <c r="D25" s="8">
        <v>12.36</v>
      </c>
      <c r="E25" s="12">
        <v>4</v>
      </c>
      <c r="F25" s="8">
        <v>8</v>
      </c>
      <c r="G25" s="12">
        <v>7</v>
      </c>
      <c r="H25" s="8">
        <v>17.95</v>
      </c>
      <c r="I25" s="12">
        <v>0</v>
      </c>
    </row>
    <row r="26" spans="2:9" ht="15" customHeight="1" x14ac:dyDescent="0.2">
      <c r="B26" t="s">
        <v>221</v>
      </c>
      <c r="C26" s="12">
        <v>10</v>
      </c>
      <c r="D26" s="8">
        <v>11.24</v>
      </c>
      <c r="E26" s="12">
        <v>7</v>
      </c>
      <c r="F26" s="8">
        <v>14</v>
      </c>
      <c r="G26" s="12">
        <v>3</v>
      </c>
      <c r="H26" s="8">
        <v>7.69</v>
      </c>
      <c r="I26" s="12">
        <v>0</v>
      </c>
    </row>
    <row r="27" spans="2:9" ht="15" customHeight="1" x14ac:dyDescent="0.2">
      <c r="B27" t="s">
        <v>227</v>
      </c>
      <c r="C27" s="12">
        <v>10</v>
      </c>
      <c r="D27" s="8">
        <v>11.24</v>
      </c>
      <c r="E27" s="12">
        <v>10</v>
      </c>
      <c r="F27" s="8">
        <v>20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223</v>
      </c>
      <c r="C28" s="12">
        <v>8</v>
      </c>
      <c r="D28" s="8">
        <v>8.99</v>
      </c>
      <c r="E28" s="12">
        <v>5</v>
      </c>
      <c r="F28" s="8">
        <v>10</v>
      </c>
      <c r="G28" s="12">
        <v>3</v>
      </c>
      <c r="H28" s="8">
        <v>7.69</v>
      </c>
      <c r="I28" s="12">
        <v>0</v>
      </c>
    </row>
    <row r="29" spans="2:9" ht="15" customHeight="1" x14ac:dyDescent="0.2">
      <c r="B29" t="s">
        <v>214</v>
      </c>
      <c r="C29" s="12">
        <v>4</v>
      </c>
      <c r="D29" s="8">
        <v>4.49</v>
      </c>
      <c r="E29" s="12">
        <v>2</v>
      </c>
      <c r="F29" s="8">
        <v>4</v>
      </c>
      <c r="G29" s="12">
        <v>2</v>
      </c>
      <c r="H29" s="8">
        <v>5.13</v>
      </c>
      <c r="I29" s="12">
        <v>0</v>
      </c>
    </row>
    <row r="30" spans="2:9" ht="15" customHeight="1" x14ac:dyDescent="0.2">
      <c r="B30" t="s">
        <v>215</v>
      </c>
      <c r="C30" s="12">
        <v>3</v>
      </c>
      <c r="D30" s="8">
        <v>3.37</v>
      </c>
      <c r="E30" s="12">
        <v>1</v>
      </c>
      <c r="F30" s="8">
        <v>2</v>
      </c>
      <c r="G30" s="12">
        <v>2</v>
      </c>
      <c r="H30" s="8">
        <v>5.13</v>
      </c>
      <c r="I30" s="12">
        <v>0</v>
      </c>
    </row>
    <row r="31" spans="2:9" ht="15" customHeight="1" x14ac:dyDescent="0.2">
      <c r="B31" t="s">
        <v>243</v>
      </c>
      <c r="C31" s="12">
        <v>3</v>
      </c>
      <c r="D31" s="8">
        <v>3.37</v>
      </c>
      <c r="E31" s="12">
        <v>2</v>
      </c>
      <c r="F31" s="8">
        <v>4</v>
      </c>
      <c r="G31" s="12">
        <v>1</v>
      </c>
      <c r="H31" s="8">
        <v>2.56</v>
      </c>
      <c r="I31" s="12">
        <v>0</v>
      </c>
    </row>
    <row r="32" spans="2:9" ht="15" customHeight="1" x14ac:dyDescent="0.2">
      <c r="B32" t="s">
        <v>241</v>
      </c>
      <c r="C32" s="12">
        <v>2</v>
      </c>
      <c r="D32" s="8">
        <v>2.25</v>
      </c>
      <c r="E32" s="12">
        <v>0</v>
      </c>
      <c r="F32" s="8">
        <v>0</v>
      </c>
      <c r="G32" s="12">
        <v>2</v>
      </c>
      <c r="H32" s="8">
        <v>5.13</v>
      </c>
      <c r="I32" s="12">
        <v>0</v>
      </c>
    </row>
    <row r="33" spans="2:9" ht="15" customHeight="1" x14ac:dyDescent="0.2">
      <c r="B33" t="s">
        <v>254</v>
      </c>
      <c r="C33" s="12">
        <v>2</v>
      </c>
      <c r="D33" s="8">
        <v>2.25</v>
      </c>
      <c r="E33" s="12">
        <v>0</v>
      </c>
      <c r="F33" s="8">
        <v>0</v>
      </c>
      <c r="G33" s="12">
        <v>2</v>
      </c>
      <c r="H33" s="8">
        <v>5.13</v>
      </c>
      <c r="I33" s="12">
        <v>0</v>
      </c>
    </row>
    <row r="34" spans="2:9" ht="15" customHeight="1" x14ac:dyDescent="0.2">
      <c r="B34" t="s">
        <v>257</v>
      </c>
      <c r="C34" s="12">
        <v>2</v>
      </c>
      <c r="D34" s="8">
        <v>2.25</v>
      </c>
      <c r="E34" s="12">
        <v>1</v>
      </c>
      <c r="F34" s="8">
        <v>2</v>
      </c>
      <c r="G34" s="12">
        <v>1</v>
      </c>
      <c r="H34" s="8">
        <v>2.56</v>
      </c>
      <c r="I34" s="12">
        <v>0</v>
      </c>
    </row>
    <row r="35" spans="2:9" ht="15" customHeight="1" x14ac:dyDescent="0.2">
      <c r="B35" t="s">
        <v>216</v>
      </c>
      <c r="C35" s="12">
        <v>2</v>
      </c>
      <c r="D35" s="8">
        <v>2.25</v>
      </c>
      <c r="E35" s="12">
        <v>1</v>
      </c>
      <c r="F35" s="8">
        <v>2</v>
      </c>
      <c r="G35" s="12">
        <v>1</v>
      </c>
      <c r="H35" s="8">
        <v>2.56</v>
      </c>
      <c r="I35" s="12">
        <v>0</v>
      </c>
    </row>
    <row r="36" spans="2:9" ht="15" customHeight="1" x14ac:dyDescent="0.2">
      <c r="B36" t="s">
        <v>222</v>
      </c>
      <c r="C36" s="12">
        <v>2</v>
      </c>
      <c r="D36" s="8">
        <v>2.25</v>
      </c>
      <c r="E36" s="12">
        <v>1</v>
      </c>
      <c r="F36" s="8">
        <v>2</v>
      </c>
      <c r="G36" s="12">
        <v>1</v>
      </c>
      <c r="H36" s="8">
        <v>2.56</v>
      </c>
      <c r="I36" s="12">
        <v>0</v>
      </c>
    </row>
    <row r="37" spans="2:9" ht="15" customHeight="1" x14ac:dyDescent="0.2">
      <c r="B37" t="s">
        <v>230</v>
      </c>
      <c r="C37" s="12">
        <v>2</v>
      </c>
      <c r="D37" s="8">
        <v>2.25</v>
      </c>
      <c r="E37" s="12">
        <v>1</v>
      </c>
      <c r="F37" s="8">
        <v>2</v>
      </c>
      <c r="G37" s="12">
        <v>1</v>
      </c>
      <c r="H37" s="8">
        <v>2.56</v>
      </c>
      <c r="I37" s="12">
        <v>0</v>
      </c>
    </row>
    <row r="38" spans="2:9" ht="15" customHeight="1" x14ac:dyDescent="0.2">
      <c r="B38" t="s">
        <v>232</v>
      </c>
      <c r="C38" s="12">
        <v>2</v>
      </c>
      <c r="D38" s="8">
        <v>2.25</v>
      </c>
      <c r="E38" s="12">
        <v>0</v>
      </c>
      <c r="F38" s="8">
        <v>0</v>
      </c>
      <c r="G38" s="12">
        <v>2</v>
      </c>
      <c r="H38" s="8">
        <v>5.13</v>
      </c>
      <c r="I38" s="12">
        <v>0</v>
      </c>
    </row>
    <row r="39" spans="2:9" ht="15" customHeight="1" x14ac:dyDescent="0.2">
      <c r="B39" t="s">
        <v>240</v>
      </c>
      <c r="C39" s="12">
        <v>2</v>
      </c>
      <c r="D39" s="8">
        <v>2.25</v>
      </c>
      <c r="E39" s="12">
        <v>0</v>
      </c>
      <c r="F39" s="8">
        <v>0</v>
      </c>
      <c r="G39" s="12">
        <v>2</v>
      </c>
      <c r="H39" s="8">
        <v>5.13</v>
      </c>
      <c r="I39" s="12">
        <v>0</v>
      </c>
    </row>
    <row r="40" spans="2:9" ht="15" customHeight="1" x14ac:dyDescent="0.2">
      <c r="B40" t="s">
        <v>262</v>
      </c>
      <c r="C40" s="12">
        <v>1</v>
      </c>
      <c r="D40" s="8">
        <v>1.1200000000000001</v>
      </c>
      <c r="E40" s="12">
        <v>0</v>
      </c>
      <c r="F40" s="8">
        <v>0</v>
      </c>
      <c r="G40" s="12">
        <v>1</v>
      </c>
      <c r="H40" s="8">
        <v>2.56</v>
      </c>
      <c r="I40" s="12">
        <v>0</v>
      </c>
    </row>
    <row r="41" spans="2:9" ht="15" customHeight="1" x14ac:dyDescent="0.2">
      <c r="B41" t="s">
        <v>244</v>
      </c>
      <c r="C41" s="12">
        <v>1</v>
      </c>
      <c r="D41" s="8">
        <v>1.1200000000000001</v>
      </c>
      <c r="E41" s="12">
        <v>0</v>
      </c>
      <c r="F41" s="8">
        <v>0</v>
      </c>
      <c r="G41" s="12">
        <v>1</v>
      </c>
      <c r="H41" s="8">
        <v>2.56</v>
      </c>
      <c r="I41" s="12">
        <v>0</v>
      </c>
    </row>
    <row r="42" spans="2:9" ht="15" customHeight="1" x14ac:dyDescent="0.2">
      <c r="B42" t="s">
        <v>267</v>
      </c>
      <c r="C42" s="12">
        <v>1</v>
      </c>
      <c r="D42" s="8">
        <v>1.1200000000000001</v>
      </c>
      <c r="E42" s="12">
        <v>1</v>
      </c>
      <c r="F42" s="8">
        <v>2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265</v>
      </c>
      <c r="C43" s="12">
        <v>1</v>
      </c>
      <c r="D43" s="8">
        <v>1.1200000000000001</v>
      </c>
      <c r="E43" s="12">
        <v>0</v>
      </c>
      <c r="F43" s="8">
        <v>0</v>
      </c>
      <c r="G43" s="12">
        <v>1</v>
      </c>
      <c r="H43" s="8">
        <v>2.56</v>
      </c>
      <c r="I43" s="12">
        <v>0</v>
      </c>
    </row>
    <row r="44" spans="2:9" ht="15" customHeight="1" x14ac:dyDescent="0.2">
      <c r="B44" t="s">
        <v>248</v>
      </c>
      <c r="C44" s="12">
        <v>1</v>
      </c>
      <c r="D44" s="8">
        <v>1.1200000000000001</v>
      </c>
      <c r="E44" s="12">
        <v>0</v>
      </c>
      <c r="F44" s="8">
        <v>0</v>
      </c>
      <c r="G44" s="12">
        <v>1</v>
      </c>
      <c r="H44" s="8">
        <v>2.56</v>
      </c>
      <c r="I44" s="12">
        <v>0</v>
      </c>
    </row>
    <row r="45" spans="2:9" ht="15" customHeight="1" x14ac:dyDescent="0.2">
      <c r="B45" t="s">
        <v>219</v>
      </c>
      <c r="C45" s="12">
        <v>1</v>
      </c>
      <c r="D45" s="8">
        <v>1.1200000000000001</v>
      </c>
      <c r="E45" s="12">
        <v>0</v>
      </c>
      <c r="F45" s="8">
        <v>0</v>
      </c>
      <c r="G45" s="12">
        <v>1</v>
      </c>
      <c r="H45" s="8">
        <v>2.56</v>
      </c>
      <c r="I45" s="12">
        <v>0</v>
      </c>
    </row>
    <row r="46" spans="2:9" ht="15" customHeight="1" x14ac:dyDescent="0.2">
      <c r="B46" t="s">
        <v>236</v>
      </c>
      <c r="C46" s="12">
        <v>1</v>
      </c>
      <c r="D46" s="8">
        <v>1.1200000000000001</v>
      </c>
      <c r="E46" s="12">
        <v>0</v>
      </c>
      <c r="F46" s="8">
        <v>0</v>
      </c>
      <c r="G46" s="12">
        <v>1</v>
      </c>
      <c r="H46" s="8">
        <v>2.56</v>
      </c>
      <c r="I46" s="12">
        <v>0</v>
      </c>
    </row>
    <row r="47" spans="2:9" ht="15" customHeight="1" x14ac:dyDescent="0.2">
      <c r="B47" t="s">
        <v>239</v>
      </c>
      <c r="C47" s="12">
        <v>1</v>
      </c>
      <c r="D47" s="8">
        <v>1.1200000000000001</v>
      </c>
      <c r="E47" s="12">
        <v>0</v>
      </c>
      <c r="F47" s="8">
        <v>0</v>
      </c>
      <c r="G47" s="12">
        <v>1</v>
      </c>
      <c r="H47" s="8">
        <v>2.56</v>
      </c>
      <c r="I47" s="12">
        <v>0</v>
      </c>
    </row>
    <row r="48" spans="2:9" ht="15" customHeight="1" x14ac:dyDescent="0.2">
      <c r="B48" t="s">
        <v>229</v>
      </c>
      <c r="C48" s="12">
        <v>1</v>
      </c>
      <c r="D48" s="8">
        <v>1.1200000000000001</v>
      </c>
      <c r="E48" s="12">
        <v>0</v>
      </c>
      <c r="F48" s="8">
        <v>0</v>
      </c>
      <c r="G48" s="12">
        <v>1</v>
      </c>
      <c r="H48" s="8">
        <v>2.56</v>
      </c>
      <c r="I48" s="12">
        <v>0</v>
      </c>
    </row>
    <row r="49" spans="2:9" ht="15" customHeight="1" x14ac:dyDescent="0.2">
      <c r="B49" t="s">
        <v>231</v>
      </c>
      <c r="C49" s="12">
        <v>1</v>
      </c>
      <c r="D49" s="8">
        <v>1.1200000000000001</v>
      </c>
      <c r="E49" s="12">
        <v>1</v>
      </c>
      <c r="F49" s="8">
        <v>2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242</v>
      </c>
      <c r="C50" s="12">
        <v>1</v>
      </c>
      <c r="D50" s="8">
        <v>1.1200000000000001</v>
      </c>
      <c r="E50" s="12">
        <v>1</v>
      </c>
      <c r="F50" s="8">
        <v>2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234</v>
      </c>
      <c r="C51" s="12">
        <v>1</v>
      </c>
      <c r="D51" s="8">
        <v>1.1200000000000001</v>
      </c>
      <c r="E51" s="12">
        <v>1</v>
      </c>
      <c r="F51" s="8">
        <v>2</v>
      </c>
      <c r="G51" s="12">
        <v>0</v>
      </c>
      <c r="H51" s="8">
        <v>0</v>
      </c>
      <c r="I51" s="12">
        <v>0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292</v>
      </c>
      <c r="C55" s="12">
        <v>7</v>
      </c>
      <c r="D55" s="8">
        <v>7.87</v>
      </c>
      <c r="E55" s="12">
        <v>5</v>
      </c>
      <c r="F55" s="8">
        <v>10</v>
      </c>
      <c r="G55" s="12">
        <v>2</v>
      </c>
      <c r="H55" s="8">
        <v>5.13</v>
      </c>
      <c r="I55" s="12">
        <v>0</v>
      </c>
    </row>
    <row r="56" spans="2:9" ht="15" customHeight="1" x14ac:dyDescent="0.2">
      <c r="B56" t="s">
        <v>303</v>
      </c>
      <c r="C56" s="12">
        <v>6</v>
      </c>
      <c r="D56" s="8">
        <v>6.74</v>
      </c>
      <c r="E56" s="12">
        <v>6</v>
      </c>
      <c r="F56" s="8">
        <v>12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288</v>
      </c>
      <c r="C57" s="12">
        <v>4</v>
      </c>
      <c r="D57" s="8">
        <v>4.49</v>
      </c>
      <c r="E57" s="12">
        <v>0</v>
      </c>
      <c r="F57" s="8">
        <v>0</v>
      </c>
      <c r="G57" s="12">
        <v>4</v>
      </c>
      <c r="H57" s="8">
        <v>10.26</v>
      </c>
      <c r="I57" s="12">
        <v>0</v>
      </c>
    </row>
    <row r="58" spans="2:9" ht="15" customHeight="1" x14ac:dyDescent="0.2">
      <c r="B58" t="s">
        <v>334</v>
      </c>
      <c r="C58" s="12">
        <v>4</v>
      </c>
      <c r="D58" s="8">
        <v>4.49</v>
      </c>
      <c r="E58" s="12">
        <v>4</v>
      </c>
      <c r="F58" s="8">
        <v>8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304</v>
      </c>
      <c r="C59" s="12">
        <v>4</v>
      </c>
      <c r="D59" s="8">
        <v>4.49</v>
      </c>
      <c r="E59" s="12">
        <v>4</v>
      </c>
      <c r="F59" s="8">
        <v>8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289</v>
      </c>
      <c r="C60" s="12">
        <v>3</v>
      </c>
      <c r="D60" s="8">
        <v>3.37</v>
      </c>
      <c r="E60" s="12">
        <v>0</v>
      </c>
      <c r="F60" s="8">
        <v>0</v>
      </c>
      <c r="G60" s="12">
        <v>3</v>
      </c>
      <c r="H60" s="8">
        <v>7.69</v>
      </c>
      <c r="I60" s="12">
        <v>0</v>
      </c>
    </row>
    <row r="61" spans="2:9" ht="15" customHeight="1" x14ac:dyDescent="0.2">
      <c r="B61" t="s">
        <v>328</v>
      </c>
      <c r="C61" s="12">
        <v>3</v>
      </c>
      <c r="D61" s="8">
        <v>3.37</v>
      </c>
      <c r="E61" s="12">
        <v>3</v>
      </c>
      <c r="F61" s="8">
        <v>6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330</v>
      </c>
      <c r="C62" s="12">
        <v>3</v>
      </c>
      <c r="D62" s="8">
        <v>3.37</v>
      </c>
      <c r="E62" s="12">
        <v>1</v>
      </c>
      <c r="F62" s="8">
        <v>2</v>
      </c>
      <c r="G62" s="12">
        <v>2</v>
      </c>
      <c r="H62" s="8">
        <v>5.13</v>
      </c>
      <c r="I62" s="12">
        <v>0</v>
      </c>
    </row>
    <row r="63" spans="2:9" ht="15" customHeight="1" x14ac:dyDescent="0.2">
      <c r="B63" t="s">
        <v>339</v>
      </c>
      <c r="C63" s="12">
        <v>3</v>
      </c>
      <c r="D63" s="8">
        <v>3.37</v>
      </c>
      <c r="E63" s="12">
        <v>2</v>
      </c>
      <c r="F63" s="8">
        <v>4</v>
      </c>
      <c r="G63" s="12">
        <v>1</v>
      </c>
      <c r="H63" s="8">
        <v>2.56</v>
      </c>
      <c r="I63" s="12">
        <v>0</v>
      </c>
    </row>
    <row r="64" spans="2:9" ht="15" customHeight="1" x14ac:dyDescent="0.2">
      <c r="B64" t="s">
        <v>353</v>
      </c>
      <c r="C64" s="12">
        <v>2</v>
      </c>
      <c r="D64" s="8">
        <v>2.25</v>
      </c>
      <c r="E64" s="12">
        <v>1</v>
      </c>
      <c r="F64" s="8">
        <v>2</v>
      </c>
      <c r="G64" s="12">
        <v>1</v>
      </c>
      <c r="H64" s="8">
        <v>2.56</v>
      </c>
      <c r="I64" s="12">
        <v>0</v>
      </c>
    </row>
    <row r="65" spans="2:9" ht="15" customHeight="1" x14ac:dyDescent="0.2">
      <c r="B65" t="s">
        <v>290</v>
      </c>
      <c r="C65" s="12">
        <v>2</v>
      </c>
      <c r="D65" s="8">
        <v>2.25</v>
      </c>
      <c r="E65" s="12">
        <v>1</v>
      </c>
      <c r="F65" s="8">
        <v>2</v>
      </c>
      <c r="G65" s="12">
        <v>1</v>
      </c>
      <c r="H65" s="8">
        <v>2.56</v>
      </c>
      <c r="I65" s="12">
        <v>0</v>
      </c>
    </row>
    <row r="66" spans="2:9" ht="15" customHeight="1" x14ac:dyDescent="0.2">
      <c r="B66" t="s">
        <v>342</v>
      </c>
      <c r="C66" s="12">
        <v>2</v>
      </c>
      <c r="D66" s="8">
        <v>2.25</v>
      </c>
      <c r="E66" s="12">
        <v>0</v>
      </c>
      <c r="F66" s="8">
        <v>0</v>
      </c>
      <c r="G66" s="12">
        <v>2</v>
      </c>
      <c r="H66" s="8">
        <v>5.13</v>
      </c>
      <c r="I66" s="12">
        <v>0</v>
      </c>
    </row>
    <row r="67" spans="2:9" ht="15" customHeight="1" x14ac:dyDescent="0.2">
      <c r="B67" t="s">
        <v>385</v>
      </c>
      <c r="C67" s="12">
        <v>2</v>
      </c>
      <c r="D67" s="8">
        <v>2.25</v>
      </c>
      <c r="E67" s="12">
        <v>0</v>
      </c>
      <c r="F67" s="8">
        <v>0</v>
      </c>
      <c r="G67" s="12">
        <v>2</v>
      </c>
      <c r="H67" s="8">
        <v>5.13</v>
      </c>
      <c r="I67" s="12">
        <v>0</v>
      </c>
    </row>
    <row r="68" spans="2:9" ht="15" customHeight="1" x14ac:dyDescent="0.2">
      <c r="B68" t="s">
        <v>357</v>
      </c>
      <c r="C68" s="12">
        <v>2</v>
      </c>
      <c r="D68" s="8">
        <v>2.25</v>
      </c>
      <c r="E68" s="12">
        <v>1</v>
      </c>
      <c r="F68" s="8">
        <v>2</v>
      </c>
      <c r="G68" s="12">
        <v>1</v>
      </c>
      <c r="H68" s="8">
        <v>2.56</v>
      </c>
      <c r="I68" s="12">
        <v>0</v>
      </c>
    </row>
    <row r="69" spans="2:9" ht="15" customHeight="1" x14ac:dyDescent="0.2">
      <c r="B69" t="s">
        <v>324</v>
      </c>
      <c r="C69" s="12">
        <v>2</v>
      </c>
      <c r="D69" s="8">
        <v>2.25</v>
      </c>
      <c r="E69" s="12">
        <v>1</v>
      </c>
      <c r="F69" s="8">
        <v>2</v>
      </c>
      <c r="G69" s="12">
        <v>1</v>
      </c>
      <c r="H69" s="8">
        <v>2.56</v>
      </c>
      <c r="I69" s="12">
        <v>0</v>
      </c>
    </row>
    <row r="70" spans="2:9" ht="15" customHeight="1" x14ac:dyDescent="0.2">
      <c r="B70" t="s">
        <v>354</v>
      </c>
      <c r="C70" s="12">
        <v>2</v>
      </c>
      <c r="D70" s="8">
        <v>2.25</v>
      </c>
      <c r="E70" s="12">
        <v>1</v>
      </c>
      <c r="F70" s="8">
        <v>2</v>
      </c>
      <c r="G70" s="12">
        <v>1</v>
      </c>
      <c r="H70" s="8">
        <v>2.56</v>
      </c>
      <c r="I70" s="12">
        <v>0</v>
      </c>
    </row>
    <row r="71" spans="2:9" ht="15" customHeight="1" x14ac:dyDescent="0.2">
      <c r="B71" t="s">
        <v>295</v>
      </c>
      <c r="C71" s="12">
        <v>2</v>
      </c>
      <c r="D71" s="8">
        <v>2.25</v>
      </c>
      <c r="E71" s="12">
        <v>2</v>
      </c>
      <c r="F71" s="8">
        <v>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323</v>
      </c>
      <c r="C72" s="12">
        <v>2</v>
      </c>
      <c r="D72" s="8">
        <v>2.25</v>
      </c>
      <c r="E72" s="12">
        <v>1</v>
      </c>
      <c r="F72" s="8">
        <v>2</v>
      </c>
      <c r="G72" s="12">
        <v>1</v>
      </c>
      <c r="H72" s="8">
        <v>2.56</v>
      </c>
      <c r="I72" s="12">
        <v>0</v>
      </c>
    </row>
    <row r="73" spans="2:9" ht="15" customHeight="1" x14ac:dyDescent="0.2">
      <c r="B73" t="s">
        <v>307</v>
      </c>
      <c r="C73" s="12">
        <v>2</v>
      </c>
      <c r="D73" s="8">
        <v>2.25</v>
      </c>
      <c r="E73" s="12">
        <v>0</v>
      </c>
      <c r="F73" s="8">
        <v>0</v>
      </c>
      <c r="G73" s="12">
        <v>2</v>
      </c>
      <c r="H73" s="8">
        <v>5.13</v>
      </c>
      <c r="I73" s="12">
        <v>0</v>
      </c>
    </row>
    <row r="74" spans="2:9" ht="15" customHeight="1" x14ac:dyDescent="0.2">
      <c r="B74" t="s">
        <v>319</v>
      </c>
      <c r="C74" s="12">
        <v>1</v>
      </c>
      <c r="D74" s="8">
        <v>1.1200000000000001</v>
      </c>
      <c r="E74" s="12">
        <v>1</v>
      </c>
      <c r="F74" s="8">
        <v>2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333</v>
      </c>
      <c r="C75" s="12">
        <v>1</v>
      </c>
      <c r="D75" s="8">
        <v>1.1200000000000001</v>
      </c>
      <c r="E75" s="12">
        <v>1</v>
      </c>
      <c r="F75" s="8">
        <v>2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320</v>
      </c>
      <c r="C76" s="12">
        <v>1</v>
      </c>
      <c r="D76" s="8">
        <v>1.1200000000000001</v>
      </c>
      <c r="E76" s="12">
        <v>0</v>
      </c>
      <c r="F76" s="8">
        <v>0</v>
      </c>
      <c r="G76" s="12">
        <v>1</v>
      </c>
      <c r="H76" s="8">
        <v>2.56</v>
      </c>
      <c r="I76" s="12">
        <v>0</v>
      </c>
    </row>
    <row r="77" spans="2:9" ht="15" customHeight="1" x14ac:dyDescent="0.2">
      <c r="B77" t="s">
        <v>291</v>
      </c>
      <c r="C77" s="12">
        <v>1</v>
      </c>
      <c r="D77" s="8">
        <v>1.1200000000000001</v>
      </c>
      <c r="E77" s="12">
        <v>0</v>
      </c>
      <c r="F77" s="8">
        <v>0</v>
      </c>
      <c r="G77" s="12">
        <v>1</v>
      </c>
      <c r="H77" s="8">
        <v>2.56</v>
      </c>
      <c r="I77" s="12">
        <v>0</v>
      </c>
    </row>
    <row r="78" spans="2:9" ht="15" customHeight="1" x14ac:dyDescent="0.2">
      <c r="B78" t="s">
        <v>378</v>
      </c>
      <c r="C78" s="12">
        <v>1</v>
      </c>
      <c r="D78" s="8">
        <v>1.1200000000000001</v>
      </c>
      <c r="E78" s="12">
        <v>0</v>
      </c>
      <c r="F78" s="8">
        <v>0</v>
      </c>
      <c r="G78" s="12">
        <v>1</v>
      </c>
      <c r="H78" s="8">
        <v>2.56</v>
      </c>
      <c r="I78" s="12">
        <v>0</v>
      </c>
    </row>
    <row r="79" spans="2:9" ht="15" customHeight="1" x14ac:dyDescent="0.2">
      <c r="B79" t="s">
        <v>384</v>
      </c>
      <c r="C79" s="12">
        <v>1</v>
      </c>
      <c r="D79" s="8">
        <v>1.1200000000000001</v>
      </c>
      <c r="E79" s="12">
        <v>0</v>
      </c>
      <c r="F79" s="8">
        <v>0</v>
      </c>
      <c r="G79" s="12">
        <v>1</v>
      </c>
      <c r="H79" s="8">
        <v>2.56</v>
      </c>
      <c r="I79" s="12">
        <v>0</v>
      </c>
    </row>
    <row r="80" spans="2:9" ht="15" customHeight="1" x14ac:dyDescent="0.2">
      <c r="B80" t="s">
        <v>386</v>
      </c>
      <c r="C80" s="12">
        <v>1</v>
      </c>
      <c r="D80" s="8">
        <v>1.1200000000000001</v>
      </c>
      <c r="E80" s="12">
        <v>1</v>
      </c>
      <c r="F80" s="8">
        <v>2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387</v>
      </c>
      <c r="C81" s="12">
        <v>1</v>
      </c>
      <c r="D81" s="8">
        <v>1.1200000000000001</v>
      </c>
      <c r="E81" s="12">
        <v>0</v>
      </c>
      <c r="F81" s="8">
        <v>0</v>
      </c>
      <c r="G81" s="12">
        <v>1</v>
      </c>
      <c r="H81" s="8">
        <v>2.56</v>
      </c>
      <c r="I81" s="12">
        <v>0</v>
      </c>
    </row>
    <row r="82" spans="2:9" ht="15" customHeight="1" x14ac:dyDescent="0.2">
      <c r="B82" t="s">
        <v>350</v>
      </c>
      <c r="C82" s="12">
        <v>1</v>
      </c>
      <c r="D82" s="8">
        <v>1.1200000000000001</v>
      </c>
      <c r="E82" s="12">
        <v>0</v>
      </c>
      <c r="F82" s="8">
        <v>0</v>
      </c>
      <c r="G82" s="12">
        <v>1</v>
      </c>
      <c r="H82" s="8">
        <v>2.56</v>
      </c>
      <c r="I82" s="12">
        <v>0</v>
      </c>
    </row>
    <row r="83" spans="2:9" ht="15" customHeight="1" x14ac:dyDescent="0.2">
      <c r="B83" t="s">
        <v>388</v>
      </c>
      <c r="C83" s="12">
        <v>1</v>
      </c>
      <c r="D83" s="8">
        <v>1.1200000000000001</v>
      </c>
      <c r="E83" s="12">
        <v>0</v>
      </c>
      <c r="F83" s="8">
        <v>0</v>
      </c>
      <c r="G83" s="12">
        <v>1</v>
      </c>
      <c r="H83" s="8">
        <v>2.56</v>
      </c>
      <c r="I83" s="12">
        <v>0</v>
      </c>
    </row>
    <row r="84" spans="2:9" ht="15" customHeight="1" x14ac:dyDescent="0.2">
      <c r="B84" t="s">
        <v>380</v>
      </c>
      <c r="C84" s="12">
        <v>1</v>
      </c>
      <c r="D84" s="8">
        <v>1.1200000000000001</v>
      </c>
      <c r="E84" s="12">
        <v>1</v>
      </c>
      <c r="F84" s="8">
        <v>2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389</v>
      </c>
      <c r="C85" s="12">
        <v>1</v>
      </c>
      <c r="D85" s="8">
        <v>1.1200000000000001</v>
      </c>
      <c r="E85" s="12">
        <v>1</v>
      </c>
      <c r="F85" s="8">
        <v>2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335</v>
      </c>
      <c r="C86" s="12">
        <v>1</v>
      </c>
      <c r="D86" s="8">
        <v>1.1200000000000001</v>
      </c>
      <c r="E86" s="12">
        <v>0</v>
      </c>
      <c r="F86" s="8">
        <v>0</v>
      </c>
      <c r="G86" s="12">
        <v>1</v>
      </c>
      <c r="H86" s="8">
        <v>2.56</v>
      </c>
      <c r="I86" s="12">
        <v>0</v>
      </c>
    </row>
    <row r="87" spans="2:9" ht="15" customHeight="1" x14ac:dyDescent="0.2">
      <c r="B87" t="s">
        <v>294</v>
      </c>
      <c r="C87" s="12">
        <v>1</v>
      </c>
      <c r="D87" s="8">
        <v>1.1200000000000001</v>
      </c>
      <c r="E87" s="12">
        <v>0</v>
      </c>
      <c r="F87" s="8">
        <v>0</v>
      </c>
      <c r="G87" s="12">
        <v>1</v>
      </c>
      <c r="H87" s="8">
        <v>2.56</v>
      </c>
      <c r="I87" s="12">
        <v>0</v>
      </c>
    </row>
    <row r="88" spans="2:9" ht="15" customHeight="1" x14ac:dyDescent="0.2">
      <c r="B88" t="s">
        <v>337</v>
      </c>
      <c r="C88" s="12">
        <v>1</v>
      </c>
      <c r="D88" s="8">
        <v>1.1200000000000001</v>
      </c>
      <c r="E88" s="12">
        <v>1</v>
      </c>
      <c r="F88" s="8">
        <v>2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338</v>
      </c>
      <c r="C89" s="12">
        <v>1</v>
      </c>
      <c r="D89" s="8">
        <v>1.1200000000000001</v>
      </c>
      <c r="E89" s="12">
        <v>1</v>
      </c>
      <c r="F89" s="8">
        <v>2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344</v>
      </c>
      <c r="C90" s="12">
        <v>1</v>
      </c>
      <c r="D90" s="8">
        <v>1.1200000000000001</v>
      </c>
      <c r="E90" s="12">
        <v>0</v>
      </c>
      <c r="F90" s="8">
        <v>0</v>
      </c>
      <c r="G90" s="12">
        <v>1</v>
      </c>
      <c r="H90" s="8">
        <v>2.56</v>
      </c>
      <c r="I90" s="12">
        <v>0</v>
      </c>
    </row>
    <row r="91" spans="2:9" ht="15" customHeight="1" x14ac:dyDescent="0.2">
      <c r="B91" t="s">
        <v>299</v>
      </c>
      <c r="C91" s="12">
        <v>1</v>
      </c>
      <c r="D91" s="8">
        <v>1.1200000000000001</v>
      </c>
      <c r="E91" s="12">
        <v>1</v>
      </c>
      <c r="F91" s="8">
        <v>2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349</v>
      </c>
      <c r="C92" s="12">
        <v>1</v>
      </c>
      <c r="D92" s="8">
        <v>1.1200000000000001</v>
      </c>
      <c r="E92" s="12">
        <v>1</v>
      </c>
      <c r="F92" s="8">
        <v>2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300</v>
      </c>
      <c r="C93" s="12">
        <v>1</v>
      </c>
      <c r="D93" s="8">
        <v>1.1200000000000001</v>
      </c>
      <c r="E93" s="12">
        <v>1</v>
      </c>
      <c r="F93" s="8">
        <v>2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301</v>
      </c>
      <c r="C94" s="12">
        <v>1</v>
      </c>
      <c r="D94" s="8">
        <v>1.1200000000000001</v>
      </c>
      <c r="E94" s="12">
        <v>1</v>
      </c>
      <c r="F94" s="8">
        <v>2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302</v>
      </c>
      <c r="C95" s="12">
        <v>1</v>
      </c>
      <c r="D95" s="8">
        <v>1.1200000000000001</v>
      </c>
      <c r="E95" s="12">
        <v>1</v>
      </c>
      <c r="F95" s="8">
        <v>2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390</v>
      </c>
      <c r="C96" s="12">
        <v>1</v>
      </c>
      <c r="D96" s="8">
        <v>1.1200000000000001</v>
      </c>
      <c r="E96" s="12">
        <v>1</v>
      </c>
      <c r="F96" s="8">
        <v>2</v>
      </c>
      <c r="G96" s="12">
        <v>0</v>
      </c>
      <c r="H96" s="8">
        <v>0</v>
      </c>
      <c r="I96" s="12">
        <v>0</v>
      </c>
    </row>
    <row r="97" spans="2:9" ht="15" customHeight="1" x14ac:dyDescent="0.2">
      <c r="B97" t="s">
        <v>325</v>
      </c>
      <c r="C97" s="12">
        <v>1</v>
      </c>
      <c r="D97" s="8">
        <v>1.1200000000000001</v>
      </c>
      <c r="E97" s="12">
        <v>0</v>
      </c>
      <c r="F97" s="8">
        <v>0</v>
      </c>
      <c r="G97" s="12">
        <v>1</v>
      </c>
      <c r="H97" s="8">
        <v>2.56</v>
      </c>
      <c r="I97" s="12">
        <v>0</v>
      </c>
    </row>
    <row r="98" spans="2:9" ht="15" customHeight="1" x14ac:dyDescent="0.2">
      <c r="B98" t="s">
        <v>391</v>
      </c>
      <c r="C98" s="12">
        <v>1</v>
      </c>
      <c r="D98" s="8">
        <v>1.1200000000000001</v>
      </c>
      <c r="E98" s="12">
        <v>0</v>
      </c>
      <c r="F98" s="8">
        <v>0</v>
      </c>
      <c r="G98" s="12">
        <v>1</v>
      </c>
      <c r="H98" s="8">
        <v>2.56</v>
      </c>
      <c r="I98" s="12">
        <v>0</v>
      </c>
    </row>
    <row r="99" spans="2:9" ht="15" customHeight="1" x14ac:dyDescent="0.2">
      <c r="B99" t="s">
        <v>327</v>
      </c>
      <c r="C99" s="12">
        <v>1</v>
      </c>
      <c r="D99" s="8">
        <v>1.1200000000000001</v>
      </c>
      <c r="E99" s="12">
        <v>1</v>
      </c>
      <c r="F99" s="8">
        <v>2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305</v>
      </c>
      <c r="C100" s="12">
        <v>1</v>
      </c>
      <c r="D100" s="8">
        <v>1.1200000000000001</v>
      </c>
      <c r="E100" s="12">
        <v>0</v>
      </c>
      <c r="F100" s="8">
        <v>0</v>
      </c>
      <c r="G100" s="12">
        <v>1</v>
      </c>
      <c r="H100" s="8">
        <v>2.56</v>
      </c>
      <c r="I100" s="12">
        <v>0</v>
      </c>
    </row>
    <row r="101" spans="2:9" ht="15" customHeight="1" x14ac:dyDescent="0.2">
      <c r="B101" t="s">
        <v>312</v>
      </c>
      <c r="C101" s="12">
        <v>1</v>
      </c>
      <c r="D101" s="8">
        <v>1.1200000000000001</v>
      </c>
      <c r="E101" s="12">
        <v>1</v>
      </c>
      <c r="F101" s="8">
        <v>2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331</v>
      </c>
      <c r="C102" s="12">
        <v>1</v>
      </c>
      <c r="D102" s="8">
        <v>1.1200000000000001</v>
      </c>
      <c r="E102" s="12">
        <v>0</v>
      </c>
      <c r="F102" s="8">
        <v>0</v>
      </c>
      <c r="G102" s="12">
        <v>1</v>
      </c>
      <c r="H102" s="8">
        <v>2.56</v>
      </c>
      <c r="I102" s="12">
        <v>0</v>
      </c>
    </row>
    <row r="103" spans="2:9" ht="15" customHeight="1" x14ac:dyDescent="0.2">
      <c r="B103" t="s">
        <v>347</v>
      </c>
      <c r="C103" s="12">
        <v>1</v>
      </c>
      <c r="D103" s="8">
        <v>1.1200000000000001</v>
      </c>
      <c r="E103" s="12">
        <v>0</v>
      </c>
      <c r="F103" s="8">
        <v>0</v>
      </c>
      <c r="G103" s="12">
        <v>1</v>
      </c>
      <c r="H103" s="8">
        <v>2.56</v>
      </c>
      <c r="I103" s="12">
        <v>0</v>
      </c>
    </row>
    <row r="104" spans="2:9" ht="15" customHeight="1" x14ac:dyDescent="0.2">
      <c r="B104" t="s">
        <v>371</v>
      </c>
      <c r="C104" s="12">
        <v>1</v>
      </c>
      <c r="D104" s="8">
        <v>1.1200000000000001</v>
      </c>
      <c r="E104" s="12">
        <v>1</v>
      </c>
      <c r="F104" s="8">
        <v>2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318</v>
      </c>
      <c r="C105" s="12">
        <v>1</v>
      </c>
      <c r="D105" s="8">
        <v>1.1200000000000001</v>
      </c>
      <c r="E105" s="12">
        <v>1</v>
      </c>
      <c r="F105" s="8">
        <v>2</v>
      </c>
      <c r="G105" s="12">
        <v>0</v>
      </c>
      <c r="H105" s="8">
        <v>0</v>
      </c>
      <c r="I105" s="12">
        <v>0</v>
      </c>
    </row>
    <row r="107" spans="2:9" ht="15" customHeight="1" x14ac:dyDescent="0.2">
      <c r="B10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C2910-5A13-4B12-9E1E-454008ED680B}">
  <sheetPr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0.2</v>
      </c>
      <c r="E5" s="12">
        <v>0</v>
      </c>
      <c r="F5" s="8">
        <v>0</v>
      </c>
      <c r="G5" s="12">
        <v>1</v>
      </c>
      <c r="H5" s="8">
        <v>0.48</v>
      </c>
      <c r="I5" s="12">
        <v>0</v>
      </c>
    </row>
    <row r="6" spans="2:9" ht="15" customHeight="1" x14ac:dyDescent="0.2">
      <c r="B6" t="s">
        <v>191</v>
      </c>
      <c r="C6" s="12">
        <v>76</v>
      </c>
      <c r="D6" s="8">
        <v>15.32</v>
      </c>
      <c r="E6" s="12">
        <v>34</v>
      </c>
      <c r="F6" s="8">
        <v>12.32</v>
      </c>
      <c r="G6" s="12">
        <v>42</v>
      </c>
      <c r="H6" s="8">
        <v>20.190000000000001</v>
      </c>
      <c r="I6" s="12">
        <v>0</v>
      </c>
    </row>
    <row r="7" spans="2:9" ht="15" customHeight="1" x14ac:dyDescent="0.2">
      <c r="B7" t="s">
        <v>192</v>
      </c>
      <c r="C7" s="12">
        <v>46</v>
      </c>
      <c r="D7" s="8">
        <v>9.27</v>
      </c>
      <c r="E7" s="12">
        <v>6</v>
      </c>
      <c r="F7" s="8">
        <v>2.17</v>
      </c>
      <c r="G7" s="12">
        <v>40</v>
      </c>
      <c r="H7" s="8">
        <v>19.23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0.6</v>
      </c>
      <c r="E8" s="12">
        <v>0</v>
      </c>
      <c r="F8" s="8">
        <v>0</v>
      </c>
      <c r="G8" s="12">
        <v>2</v>
      </c>
      <c r="H8" s="8">
        <v>0.96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0.2</v>
      </c>
      <c r="E9" s="12">
        <v>0</v>
      </c>
      <c r="F9" s="8">
        <v>0</v>
      </c>
      <c r="G9" s="12">
        <v>1</v>
      </c>
      <c r="H9" s="8">
        <v>0.48</v>
      </c>
      <c r="I9" s="12">
        <v>0</v>
      </c>
    </row>
    <row r="10" spans="2:9" ht="15" customHeight="1" x14ac:dyDescent="0.2">
      <c r="B10" t="s">
        <v>195</v>
      </c>
      <c r="C10" s="12">
        <v>11</v>
      </c>
      <c r="D10" s="8">
        <v>2.2200000000000002</v>
      </c>
      <c r="E10" s="12">
        <v>1</v>
      </c>
      <c r="F10" s="8">
        <v>0.36</v>
      </c>
      <c r="G10" s="12">
        <v>10</v>
      </c>
      <c r="H10" s="8">
        <v>4.8099999999999996</v>
      </c>
      <c r="I10" s="12">
        <v>0</v>
      </c>
    </row>
    <row r="11" spans="2:9" ht="15" customHeight="1" x14ac:dyDescent="0.2">
      <c r="B11" t="s">
        <v>196</v>
      </c>
      <c r="C11" s="12">
        <v>119</v>
      </c>
      <c r="D11" s="8">
        <v>23.99</v>
      </c>
      <c r="E11" s="12">
        <v>69</v>
      </c>
      <c r="F11" s="8">
        <v>25</v>
      </c>
      <c r="G11" s="12">
        <v>50</v>
      </c>
      <c r="H11" s="8">
        <v>24.04</v>
      </c>
      <c r="I11" s="12">
        <v>0</v>
      </c>
    </row>
    <row r="12" spans="2:9" ht="15" customHeight="1" x14ac:dyDescent="0.2">
      <c r="B12" t="s">
        <v>197</v>
      </c>
      <c r="C12" s="12">
        <v>4</v>
      </c>
      <c r="D12" s="8">
        <v>0.81</v>
      </c>
      <c r="E12" s="12">
        <v>1</v>
      </c>
      <c r="F12" s="8">
        <v>0.36</v>
      </c>
      <c r="G12" s="12">
        <v>3</v>
      </c>
      <c r="H12" s="8">
        <v>1.44</v>
      </c>
      <c r="I12" s="12">
        <v>0</v>
      </c>
    </row>
    <row r="13" spans="2:9" ht="15" customHeight="1" x14ac:dyDescent="0.2">
      <c r="B13" t="s">
        <v>198</v>
      </c>
      <c r="C13" s="12">
        <v>27</v>
      </c>
      <c r="D13" s="8">
        <v>5.44</v>
      </c>
      <c r="E13" s="12">
        <v>19</v>
      </c>
      <c r="F13" s="8">
        <v>6.88</v>
      </c>
      <c r="G13" s="12">
        <v>8</v>
      </c>
      <c r="H13" s="8">
        <v>3.85</v>
      </c>
      <c r="I13" s="12">
        <v>0</v>
      </c>
    </row>
    <row r="14" spans="2:9" ht="15" customHeight="1" x14ac:dyDescent="0.2">
      <c r="B14" t="s">
        <v>199</v>
      </c>
      <c r="C14" s="12">
        <v>12</v>
      </c>
      <c r="D14" s="8">
        <v>2.42</v>
      </c>
      <c r="E14" s="12">
        <v>5</v>
      </c>
      <c r="F14" s="8">
        <v>1.81</v>
      </c>
      <c r="G14" s="12">
        <v>5</v>
      </c>
      <c r="H14" s="8">
        <v>2.4</v>
      </c>
      <c r="I14" s="12">
        <v>0</v>
      </c>
    </row>
    <row r="15" spans="2:9" ht="15" customHeight="1" x14ac:dyDescent="0.2">
      <c r="B15" t="s">
        <v>200</v>
      </c>
      <c r="C15" s="12">
        <v>61</v>
      </c>
      <c r="D15" s="8">
        <v>12.3</v>
      </c>
      <c r="E15" s="12">
        <v>51</v>
      </c>
      <c r="F15" s="8">
        <v>18.48</v>
      </c>
      <c r="G15" s="12">
        <v>10</v>
      </c>
      <c r="H15" s="8">
        <v>4.8099999999999996</v>
      </c>
      <c r="I15" s="12">
        <v>0</v>
      </c>
    </row>
    <row r="16" spans="2:9" ht="15" customHeight="1" x14ac:dyDescent="0.2">
      <c r="B16" t="s">
        <v>201</v>
      </c>
      <c r="C16" s="12">
        <v>67</v>
      </c>
      <c r="D16" s="8">
        <v>13.51</v>
      </c>
      <c r="E16" s="12">
        <v>63</v>
      </c>
      <c r="F16" s="8">
        <v>22.83</v>
      </c>
      <c r="G16" s="12">
        <v>4</v>
      </c>
      <c r="H16" s="8">
        <v>1.92</v>
      </c>
      <c r="I16" s="12">
        <v>0</v>
      </c>
    </row>
    <row r="17" spans="2:9" ht="15" customHeight="1" x14ac:dyDescent="0.2">
      <c r="B17" t="s">
        <v>202</v>
      </c>
      <c r="C17" s="12">
        <v>12</v>
      </c>
      <c r="D17" s="8">
        <v>2.42</v>
      </c>
      <c r="E17" s="12">
        <v>11</v>
      </c>
      <c r="F17" s="8">
        <v>3.99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26</v>
      </c>
      <c r="D18" s="8">
        <v>5.24</v>
      </c>
      <c r="E18" s="12">
        <v>8</v>
      </c>
      <c r="F18" s="8">
        <v>2.9</v>
      </c>
      <c r="G18" s="12">
        <v>14</v>
      </c>
      <c r="H18" s="8">
        <v>6.73</v>
      </c>
      <c r="I18" s="12">
        <v>1</v>
      </c>
    </row>
    <row r="19" spans="2:9" ht="15" customHeight="1" x14ac:dyDescent="0.2">
      <c r="B19" t="s">
        <v>204</v>
      </c>
      <c r="C19" s="12">
        <v>30</v>
      </c>
      <c r="D19" s="8">
        <v>6.05</v>
      </c>
      <c r="E19" s="12">
        <v>8</v>
      </c>
      <c r="F19" s="8">
        <v>2.9</v>
      </c>
      <c r="G19" s="12">
        <v>18</v>
      </c>
      <c r="H19" s="8">
        <v>8.65</v>
      </c>
      <c r="I19" s="12">
        <v>0</v>
      </c>
    </row>
    <row r="20" spans="2:9" ht="15" customHeight="1" x14ac:dyDescent="0.2">
      <c r="B20" s="9" t="s">
        <v>529</v>
      </c>
      <c r="C20" s="12">
        <f>SUM(LTBL_01345[総数／事業所数])</f>
        <v>496</v>
      </c>
      <c r="E20" s="12">
        <f>SUBTOTAL(109,LTBL_01345[個人／事業所数])</f>
        <v>276</v>
      </c>
      <c r="G20" s="12">
        <f>SUBTOTAL(109,LTBL_01345[法人／事業所数])</f>
        <v>208</v>
      </c>
      <c r="I20" s="12">
        <f>SUBTOTAL(109,LTBL_01345[法人以外の団体／事業所数])</f>
        <v>1</v>
      </c>
    </row>
    <row r="21" spans="2:9" ht="15" customHeight="1" x14ac:dyDescent="0.2">
      <c r="E21" s="11">
        <f>LTBL_01345[[#Totals],[個人／事業所数]]/LTBL_01345[[#Totals],[総数／事業所数]]</f>
        <v>0.55645161290322576</v>
      </c>
      <c r="G21" s="11">
        <f>LTBL_01345[[#Totals],[法人／事業所数]]/LTBL_01345[[#Totals],[総数／事業所数]]</f>
        <v>0.41935483870967744</v>
      </c>
      <c r="I21" s="11">
        <f>LTBL_01345[[#Totals],[法人以外の団体／事業所数]]/LTBL_01345[[#Totals],[総数／事業所数]]</f>
        <v>2.0161290322580645E-3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63</v>
      </c>
      <c r="D24" s="8">
        <v>12.7</v>
      </c>
      <c r="E24" s="12">
        <v>60</v>
      </c>
      <c r="F24" s="8">
        <v>21.74</v>
      </c>
      <c r="G24" s="12">
        <v>3</v>
      </c>
      <c r="H24" s="8">
        <v>1.44</v>
      </c>
      <c r="I24" s="12">
        <v>0</v>
      </c>
    </row>
    <row r="25" spans="2:9" ht="15" customHeight="1" x14ac:dyDescent="0.2">
      <c r="B25" t="s">
        <v>227</v>
      </c>
      <c r="C25" s="12">
        <v>50</v>
      </c>
      <c r="D25" s="8">
        <v>10.08</v>
      </c>
      <c r="E25" s="12">
        <v>46</v>
      </c>
      <c r="F25" s="8">
        <v>16.670000000000002</v>
      </c>
      <c r="G25" s="12">
        <v>4</v>
      </c>
      <c r="H25" s="8">
        <v>1.92</v>
      </c>
      <c r="I25" s="12">
        <v>0</v>
      </c>
    </row>
    <row r="26" spans="2:9" ht="15" customHeight="1" x14ac:dyDescent="0.2">
      <c r="B26" t="s">
        <v>221</v>
      </c>
      <c r="C26" s="12">
        <v>44</v>
      </c>
      <c r="D26" s="8">
        <v>8.8699999999999992</v>
      </c>
      <c r="E26" s="12">
        <v>32</v>
      </c>
      <c r="F26" s="8">
        <v>11.59</v>
      </c>
      <c r="G26" s="12">
        <v>12</v>
      </c>
      <c r="H26" s="8">
        <v>5.77</v>
      </c>
      <c r="I26" s="12">
        <v>0</v>
      </c>
    </row>
    <row r="27" spans="2:9" ht="15" customHeight="1" x14ac:dyDescent="0.2">
      <c r="B27" t="s">
        <v>213</v>
      </c>
      <c r="C27" s="12">
        <v>39</v>
      </c>
      <c r="D27" s="8">
        <v>7.86</v>
      </c>
      <c r="E27" s="12">
        <v>17</v>
      </c>
      <c r="F27" s="8">
        <v>6.16</v>
      </c>
      <c r="G27" s="12">
        <v>22</v>
      </c>
      <c r="H27" s="8">
        <v>10.58</v>
      </c>
      <c r="I27" s="12">
        <v>0</v>
      </c>
    </row>
    <row r="28" spans="2:9" ht="15" customHeight="1" x14ac:dyDescent="0.2">
      <c r="B28" t="s">
        <v>223</v>
      </c>
      <c r="C28" s="12">
        <v>33</v>
      </c>
      <c r="D28" s="8">
        <v>6.65</v>
      </c>
      <c r="E28" s="12">
        <v>16</v>
      </c>
      <c r="F28" s="8">
        <v>5.8</v>
      </c>
      <c r="G28" s="12">
        <v>17</v>
      </c>
      <c r="H28" s="8">
        <v>8.17</v>
      </c>
      <c r="I28" s="12">
        <v>0</v>
      </c>
    </row>
    <row r="29" spans="2:9" ht="15" customHeight="1" x14ac:dyDescent="0.2">
      <c r="B29" t="s">
        <v>214</v>
      </c>
      <c r="C29" s="12">
        <v>25</v>
      </c>
      <c r="D29" s="8">
        <v>5.04</v>
      </c>
      <c r="E29" s="12">
        <v>16</v>
      </c>
      <c r="F29" s="8">
        <v>5.8</v>
      </c>
      <c r="G29" s="12">
        <v>9</v>
      </c>
      <c r="H29" s="8">
        <v>4.33</v>
      </c>
      <c r="I29" s="12">
        <v>0</v>
      </c>
    </row>
    <row r="30" spans="2:9" ht="15" customHeight="1" x14ac:dyDescent="0.2">
      <c r="B30" t="s">
        <v>241</v>
      </c>
      <c r="C30" s="12">
        <v>24</v>
      </c>
      <c r="D30" s="8">
        <v>4.84</v>
      </c>
      <c r="E30" s="12">
        <v>2</v>
      </c>
      <c r="F30" s="8">
        <v>0.72</v>
      </c>
      <c r="G30" s="12">
        <v>22</v>
      </c>
      <c r="H30" s="8">
        <v>10.58</v>
      </c>
      <c r="I30" s="12">
        <v>0</v>
      </c>
    </row>
    <row r="31" spans="2:9" ht="15" customHeight="1" x14ac:dyDescent="0.2">
      <c r="B31" t="s">
        <v>224</v>
      </c>
      <c r="C31" s="12">
        <v>24</v>
      </c>
      <c r="D31" s="8">
        <v>4.84</v>
      </c>
      <c r="E31" s="12">
        <v>18</v>
      </c>
      <c r="F31" s="8">
        <v>6.52</v>
      </c>
      <c r="G31" s="12">
        <v>6</v>
      </c>
      <c r="H31" s="8">
        <v>2.88</v>
      </c>
      <c r="I31" s="12">
        <v>0</v>
      </c>
    </row>
    <row r="32" spans="2:9" ht="15" customHeight="1" x14ac:dyDescent="0.2">
      <c r="B32" t="s">
        <v>232</v>
      </c>
      <c r="C32" s="12">
        <v>17</v>
      </c>
      <c r="D32" s="8">
        <v>3.43</v>
      </c>
      <c r="E32" s="12">
        <v>0</v>
      </c>
      <c r="F32" s="8">
        <v>0</v>
      </c>
      <c r="G32" s="12">
        <v>13</v>
      </c>
      <c r="H32" s="8">
        <v>6.25</v>
      </c>
      <c r="I32" s="12">
        <v>1</v>
      </c>
    </row>
    <row r="33" spans="2:9" ht="15" customHeight="1" x14ac:dyDescent="0.2">
      <c r="B33" t="s">
        <v>240</v>
      </c>
      <c r="C33" s="12">
        <v>15</v>
      </c>
      <c r="D33" s="8">
        <v>3.02</v>
      </c>
      <c r="E33" s="12">
        <v>7</v>
      </c>
      <c r="F33" s="8">
        <v>2.54</v>
      </c>
      <c r="G33" s="12">
        <v>8</v>
      </c>
      <c r="H33" s="8">
        <v>3.85</v>
      </c>
      <c r="I33" s="12">
        <v>0</v>
      </c>
    </row>
    <row r="34" spans="2:9" ht="15" customHeight="1" x14ac:dyDescent="0.2">
      <c r="B34" t="s">
        <v>222</v>
      </c>
      <c r="C34" s="12">
        <v>14</v>
      </c>
      <c r="D34" s="8">
        <v>2.82</v>
      </c>
      <c r="E34" s="12">
        <v>9</v>
      </c>
      <c r="F34" s="8">
        <v>3.26</v>
      </c>
      <c r="G34" s="12">
        <v>5</v>
      </c>
      <c r="H34" s="8">
        <v>2.4</v>
      </c>
      <c r="I34" s="12">
        <v>0</v>
      </c>
    </row>
    <row r="35" spans="2:9" ht="15" customHeight="1" x14ac:dyDescent="0.2">
      <c r="B35" t="s">
        <v>216</v>
      </c>
      <c r="C35" s="12">
        <v>13</v>
      </c>
      <c r="D35" s="8">
        <v>2.62</v>
      </c>
      <c r="E35" s="12">
        <v>4</v>
      </c>
      <c r="F35" s="8">
        <v>1.45</v>
      </c>
      <c r="G35" s="12">
        <v>9</v>
      </c>
      <c r="H35" s="8">
        <v>4.33</v>
      </c>
      <c r="I35" s="12">
        <v>0</v>
      </c>
    </row>
    <row r="36" spans="2:9" ht="15" customHeight="1" x14ac:dyDescent="0.2">
      <c r="B36" t="s">
        <v>215</v>
      </c>
      <c r="C36" s="12">
        <v>12</v>
      </c>
      <c r="D36" s="8">
        <v>2.42</v>
      </c>
      <c r="E36" s="12">
        <v>1</v>
      </c>
      <c r="F36" s="8">
        <v>0.36</v>
      </c>
      <c r="G36" s="12">
        <v>11</v>
      </c>
      <c r="H36" s="8">
        <v>5.29</v>
      </c>
      <c r="I36" s="12">
        <v>0</v>
      </c>
    </row>
    <row r="37" spans="2:9" ht="15" customHeight="1" x14ac:dyDescent="0.2">
      <c r="B37" t="s">
        <v>230</v>
      </c>
      <c r="C37" s="12">
        <v>12</v>
      </c>
      <c r="D37" s="8">
        <v>2.42</v>
      </c>
      <c r="E37" s="12">
        <v>11</v>
      </c>
      <c r="F37" s="8">
        <v>3.99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226</v>
      </c>
      <c r="C38" s="12">
        <v>10</v>
      </c>
      <c r="D38" s="8">
        <v>2.02</v>
      </c>
      <c r="E38" s="12">
        <v>3</v>
      </c>
      <c r="F38" s="8">
        <v>1.0900000000000001</v>
      </c>
      <c r="G38" s="12">
        <v>5</v>
      </c>
      <c r="H38" s="8">
        <v>2.4</v>
      </c>
      <c r="I38" s="12">
        <v>0</v>
      </c>
    </row>
    <row r="39" spans="2:9" ht="15" customHeight="1" x14ac:dyDescent="0.2">
      <c r="B39" t="s">
        <v>231</v>
      </c>
      <c r="C39" s="12">
        <v>9</v>
      </c>
      <c r="D39" s="8">
        <v>1.81</v>
      </c>
      <c r="E39" s="12">
        <v>8</v>
      </c>
      <c r="F39" s="8">
        <v>2.9</v>
      </c>
      <c r="G39" s="12">
        <v>1</v>
      </c>
      <c r="H39" s="8">
        <v>0.48</v>
      </c>
      <c r="I39" s="12">
        <v>0</v>
      </c>
    </row>
    <row r="40" spans="2:9" ht="15" customHeight="1" x14ac:dyDescent="0.2">
      <c r="B40" t="s">
        <v>243</v>
      </c>
      <c r="C40" s="12">
        <v>8</v>
      </c>
      <c r="D40" s="8">
        <v>1.61</v>
      </c>
      <c r="E40" s="12">
        <v>5</v>
      </c>
      <c r="F40" s="8">
        <v>1.81</v>
      </c>
      <c r="G40" s="12">
        <v>3</v>
      </c>
      <c r="H40" s="8">
        <v>1.44</v>
      </c>
      <c r="I40" s="12">
        <v>0</v>
      </c>
    </row>
    <row r="41" spans="2:9" ht="15" customHeight="1" x14ac:dyDescent="0.2">
      <c r="B41" t="s">
        <v>248</v>
      </c>
      <c r="C41" s="12">
        <v>7</v>
      </c>
      <c r="D41" s="8">
        <v>1.41</v>
      </c>
      <c r="E41" s="12">
        <v>1</v>
      </c>
      <c r="F41" s="8">
        <v>0.36</v>
      </c>
      <c r="G41" s="12">
        <v>6</v>
      </c>
      <c r="H41" s="8">
        <v>2.88</v>
      </c>
      <c r="I41" s="12">
        <v>0</v>
      </c>
    </row>
    <row r="42" spans="2:9" ht="15" customHeight="1" x14ac:dyDescent="0.2">
      <c r="B42" t="s">
        <v>257</v>
      </c>
      <c r="C42" s="12">
        <v>6</v>
      </c>
      <c r="D42" s="8">
        <v>1.21</v>
      </c>
      <c r="E42" s="12">
        <v>0</v>
      </c>
      <c r="F42" s="8">
        <v>0</v>
      </c>
      <c r="G42" s="12">
        <v>6</v>
      </c>
      <c r="H42" s="8">
        <v>2.88</v>
      </c>
      <c r="I42" s="12">
        <v>0</v>
      </c>
    </row>
    <row r="43" spans="2:9" ht="15" customHeight="1" x14ac:dyDescent="0.2">
      <c r="B43" t="s">
        <v>220</v>
      </c>
      <c r="C43" s="12">
        <v>5</v>
      </c>
      <c r="D43" s="8">
        <v>1.01</v>
      </c>
      <c r="E43" s="12">
        <v>4</v>
      </c>
      <c r="F43" s="8">
        <v>1.45</v>
      </c>
      <c r="G43" s="12">
        <v>1</v>
      </c>
      <c r="H43" s="8">
        <v>0.48</v>
      </c>
      <c r="I43" s="12">
        <v>0</v>
      </c>
    </row>
    <row r="44" spans="2:9" ht="15" customHeight="1" x14ac:dyDescent="0.2">
      <c r="B44" t="s">
        <v>249</v>
      </c>
      <c r="C44" s="12">
        <v>5</v>
      </c>
      <c r="D44" s="8">
        <v>1.01</v>
      </c>
      <c r="E44" s="12">
        <v>0</v>
      </c>
      <c r="F44" s="8">
        <v>0</v>
      </c>
      <c r="G44" s="12">
        <v>2</v>
      </c>
      <c r="H44" s="8">
        <v>0.96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304</v>
      </c>
      <c r="C48" s="12">
        <v>26</v>
      </c>
      <c r="D48" s="8">
        <v>5.24</v>
      </c>
      <c r="E48" s="12">
        <v>24</v>
      </c>
      <c r="F48" s="8">
        <v>8.6999999999999993</v>
      </c>
      <c r="G48" s="12">
        <v>2</v>
      </c>
      <c r="H48" s="8">
        <v>0.96</v>
      </c>
      <c r="I48" s="12">
        <v>0</v>
      </c>
    </row>
    <row r="49" spans="2:9" ht="15" customHeight="1" x14ac:dyDescent="0.2">
      <c r="B49" t="s">
        <v>303</v>
      </c>
      <c r="C49" s="12">
        <v>24</v>
      </c>
      <c r="D49" s="8">
        <v>4.84</v>
      </c>
      <c r="E49" s="12">
        <v>24</v>
      </c>
      <c r="F49" s="8">
        <v>8.6999999999999993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297</v>
      </c>
      <c r="C50" s="12">
        <v>21</v>
      </c>
      <c r="D50" s="8">
        <v>4.2300000000000004</v>
      </c>
      <c r="E50" s="12">
        <v>18</v>
      </c>
      <c r="F50" s="8">
        <v>6.52</v>
      </c>
      <c r="G50" s="12">
        <v>3</v>
      </c>
      <c r="H50" s="8">
        <v>1.44</v>
      </c>
      <c r="I50" s="12">
        <v>0</v>
      </c>
    </row>
    <row r="51" spans="2:9" ht="15" customHeight="1" x14ac:dyDescent="0.2">
      <c r="B51" t="s">
        <v>301</v>
      </c>
      <c r="C51" s="12">
        <v>21</v>
      </c>
      <c r="D51" s="8">
        <v>4.2300000000000004</v>
      </c>
      <c r="E51" s="12">
        <v>21</v>
      </c>
      <c r="F51" s="8">
        <v>7.61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342</v>
      </c>
      <c r="C52" s="12">
        <v>19</v>
      </c>
      <c r="D52" s="8">
        <v>3.83</v>
      </c>
      <c r="E52" s="12">
        <v>1</v>
      </c>
      <c r="F52" s="8">
        <v>0.36</v>
      </c>
      <c r="G52" s="12">
        <v>18</v>
      </c>
      <c r="H52" s="8">
        <v>8.65</v>
      </c>
      <c r="I52" s="12">
        <v>0</v>
      </c>
    </row>
    <row r="53" spans="2:9" ht="15" customHeight="1" x14ac:dyDescent="0.2">
      <c r="B53" t="s">
        <v>292</v>
      </c>
      <c r="C53" s="12">
        <v>15</v>
      </c>
      <c r="D53" s="8">
        <v>3.02</v>
      </c>
      <c r="E53" s="12">
        <v>11</v>
      </c>
      <c r="F53" s="8">
        <v>3.99</v>
      </c>
      <c r="G53" s="12">
        <v>4</v>
      </c>
      <c r="H53" s="8">
        <v>1.92</v>
      </c>
      <c r="I53" s="12">
        <v>0</v>
      </c>
    </row>
    <row r="54" spans="2:9" ht="15" customHeight="1" x14ac:dyDescent="0.2">
      <c r="B54" t="s">
        <v>307</v>
      </c>
      <c r="C54" s="12">
        <v>15</v>
      </c>
      <c r="D54" s="8">
        <v>3.02</v>
      </c>
      <c r="E54" s="12">
        <v>7</v>
      </c>
      <c r="F54" s="8">
        <v>2.54</v>
      </c>
      <c r="G54" s="12">
        <v>8</v>
      </c>
      <c r="H54" s="8">
        <v>3.85</v>
      </c>
      <c r="I54" s="12">
        <v>0</v>
      </c>
    </row>
    <row r="55" spans="2:9" ht="15" customHeight="1" x14ac:dyDescent="0.2">
      <c r="B55" t="s">
        <v>289</v>
      </c>
      <c r="C55" s="12">
        <v>12</v>
      </c>
      <c r="D55" s="8">
        <v>2.42</v>
      </c>
      <c r="E55" s="12">
        <v>6</v>
      </c>
      <c r="F55" s="8">
        <v>2.17</v>
      </c>
      <c r="G55" s="12">
        <v>6</v>
      </c>
      <c r="H55" s="8">
        <v>2.88</v>
      </c>
      <c r="I55" s="12">
        <v>0</v>
      </c>
    </row>
    <row r="56" spans="2:9" ht="15" customHeight="1" x14ac:dyDescent="0.2">
      <c r="B56" t="s">
        <v>328</v>
      </c>
      <c r="C56" s="12">
        <v>12</v>
      </c>
      <c r="D56" s="8">
        <v>2.42</v>
      </c>
      <c r="E56" s="12">
        <v>7</v>
      </c>
      <c r="F56" s="8">
        <v>2.54</v>
      </c>
      <c r="G56" s="12">
        <v>5</v>
      </c>
      <c r="H56" s="8">
        <v>2.4</v>
      </c>
      <c r="I56" s="12">
        <v>0</v>
      </c>
    </row>
    <row r="57" spans="2:9" ht="15" customHeight="1" x14ac:dyDescent="0.2">
      <c r="B57" t="s">
        <v>323</v>
      </c>
      <c r="C57" s="12">
        <v>11</v>
      </c>
      <c r="D57" s="8">
        <v>2.2200000000000002</v>
      </c>
      <c r="E57" s="12">
        <v>10</v>
      </c>
      <c r="F57" s="8">
        <v>3.62</v>
      </c>
      <c r="G57" s="12">
        <v>1</v>
      </c>
      <c r="H57" s="8">
        <v>0.48</v>
      </c>
      <c r="I57" s="12">
        <v>0</v>
      </c>
    </row>
    <row r="58" spans="2:9" ht="15" customHeight="1" x14ac:dyDescent="0.2">
      <c r="B58" t="s">
        <v>347</v>
      </c>
      <c r="C58" s="12">
        <v>10</v>
      </c>
      <c r="D58" s="8">
        <v>2.02</v>
      </c>
      <c r="E58" s="12">
        <v>0</v>
      </c>
      <c r="F58" s="8">
        <v>0</v>
      </c>
      <c r="G58" s="12">
        <v>8</v>
      </c>
      <c r="H58" s="8">
        <v>3.85</v>
      </c>
      <c r="I58" s="12">
        <v>0</v>
      </c>
    </row>
    <row r="59" spans="2:9" ht="15" customHeight="1" x14ac:dyDescent="0.2">
      <c r="B59" t="s">
        <v>288</v>
      </c>
      <c r="C59" s="12">
        <v>9</v>
      </c>
      <c r="D59" s="8">
        <v>1.81</v>
      </c>
      <c r="E59" s="12">
        <v>1</v>
      </c>
      <c r="F59" s="8">
        <v>0.36</v>
      </c>
      <c r="G59" s="12">
        <v>8</v>
      </c>
      <c r="H59" s="8">
        <v>3.85</v>
      </c>
      <c r="I59" s="12">
        <v>0</v>
      </c>
    </row>
    <row r="60" spans="2:9" ht="15" customHeight="1" x14ac:dyDescent="0.2">
      <c r="B60" t="s">
        <v>333</v>
      </c>
      <c r="C60" s="12">
        <v>9</v>
      </c>
      <c r="D60" s="8">
        <v>1.81</v>
      </c>
      <c r="E60" s="12">
        <v>9</v>
      </c>
      <c r="F60" s="8">
        <v>3.26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329</v>
      </c>
      <c r="C61" s="12">
        <v>9</v>
      </c>
      <c r="D61" s="8">
        <v>1.81</v>
      </c>
      <c r="E61" s="12">
        <v>8</v>
      </c>
      <c r="F61" s="8">
        <v>2.9</v>
      </c>
      <c r="G61" s="12">
        <v>1</v>
      </c>
      <c r="H61" s="8">
        <v>0.48</v>
      </c>
      <c r="I61" s="12">
        <v>0</v>
      </c>
    </row>
    <row r="62" spans="2:9" ht="15" customHeight="1" x14ac:dyDescent="0.2">
      <c r="B62" t="s">
        <v>295</v>
      </c>
      <c r="C62" s="12">
        <v>9</v>
      </c>
      <c r="D62" s="8">
        <v>1.81</v>
      </c>
      <c r="E62" s="12">
        <v>3</v>
      </c>
      <c r="F62" s="8">
        <v>1.0900000000000001</v>
      </c>
      <c r="G62" s="12">
        <v>6</v>
      </c>
      <c r="H62" s="8">
        <v>2.88</v>
      </c>
      <c r="I62" s="12">
        <v>0</v>
      </c>
    </row>
    <row r="63" spans="2:9" ht="15" customHeight="1" x14ac:dyDescent="0.2">
      <c r="B63" t="s">
        <v>290</v>
      </c>
      <c r="C63" s="12">
        <v>8</v>
      </c>
      <c r="D63" s="8">
        <v>1.61</v>
      </c>
      <c r="E63" s="12">
        <v>1</v>
      </c>
      <c r="F63" s="8">
        <v>0.36</v>
      </c>
      <c r="G63" s="12">
        <v>7</v>
      </c>
      <c r="H63" s="8">
        <v>3.37</v>
      </c>
      <c r="I63" s="12">
        <v>0</v>
      </c>
    </row>
    <row r="64" spans="2:9" ht="15" customHeight="1" x14ac:dyDescent="0.2">
      <c r="B64" t="s">
        <v>324</v>
      </c>
      <c r="C64" s="12">
        <v>8</v>
      </c>
      <c r="D64" s="8">
        <v>1.61</v>
      </c>
      <c r="E64" s="12">
        <v>4</v>
      </c>
      <c r="F64" s="8">
        <v>1.45</v>
      </c>
      <c r="G64" s="12">
        <v>4</v>
      </c>
      <c r="H64" s="8">
        <v>1.92</v>
      </c>
      <c r="I64" s="12">
        <v>0</v>
      </c>
    </row>
    <row r="65" spans="2:9" ht="15" customHeight="1" x14ac:dyDescent="0.2">
      <c r="B65" t="s">
        <v>380</v>
      </c>
      <c r="C65" s="12">
        <v>8</v>
      </c>
      <c r="D65" s="8">
        <v>1.61</v>
      </c>
      <c r="E65" s="12">
        <v>5</v>
      </c>
      <c r="F65" s="8">
        <v>1.81</v>
      </c>
      <c r="G65" s="12">
        <v>3</v>
      </c>
      <c r="H65" s="8">
        <v>1.44</v>
      </c>
      <c r="I65" s="12">
        <v>0</v>
      </c>
    </row>
    <row r="66" spans="2:9" ht="15" customHeight="1" x14ac:dyDescent="0.2">
      <c r="B66" t="s">
        <v>339</v>
      </c>
      <c r="C66" s="12">
        <v>8</v>
      </c>
      <c r="D66" s="8">
        <v>1.61</v>
      </c>
      <c r="E66" s="12">
        <v>5</v>
      </c>
      <c r="F66" s="8">
        <v>1.81</v>
      </c>
      <c r="G66" s="12">
        <v>3</v>
      </c>
      <c r="H66" s="8">
        <v>1.44</v>
      </c>
      <c r="I66" s="12">
        <v>0</v>
      </c>
    </row>
    <row r="67" spans="2:9" ht="15" customHeight="1" x14ac:dyDescent="0.2">
      <c r="B67" t="s">
        <v>350</v>
      </c>
      <c r="C67" s="12">
        <v>7</v>
      </c>
      <c r="D67" s="8">
        <v>1.41</v>
      </c>
      <c r="E67" s="12">
        <v>1</v>
      </c>
      <c r="F67" s="8">
        <v>0.36</v>
      </c>
      <c r="G67" s="12">
        <v>6</v>
      </c>
      <c r="H67" s="8">
        <v>2.88</v>
      </c>
      <c r="I67" s="12">
        <v>0</v>
      </c>
    </row>
    <row r="68" spans="2:9" ht="15" customHeight="1" x14ac:dyDescent="0.2">
      <c r="B68" t="s">
        <v>293</v>
      </c>
      <c r="C68" s="12">
        <v>7</v>
      </c>
      <c r="D68" s="8">
        <v>1.41</v>
      </c>
      <c r="E68" s="12">
        <v>2</v>
      </c>
      <c r="F68" s="8">
        <v>0.72</v>
      </c>
      <c r="G68" s="12">
        <v>5</v>
      </c>
      <c r="H68" s="8">
        <v>2.4</v>
      </c>
      <c r="I68" s="12">
        <v>0</v>
      </c>
    </row>
    <row r="69" spans="2:9" ht="15" customHeight="1" x14ac:dyDescent="0.2">
      <c r="B69" t="s">
        <v>330</v>
      </c>
      <c r="C69" s="12">
        <v>7</v>
      </c>
      <c r="D69" s="8">
        <v>1.41</v>
      </c>
      <c r="E69" s="12">
        <v>1</v>
      </c>
      <c r="F69" s="8">
        <v>0.36</v>
      </c>
      <c r="G69" s="12">
        <v>6</v>
      </c>
      <c r="H69" s="8">
        <v>2.88</v>
      </c>
      <c r="I69" s="12">
        <v>0</v>
      </c>
    </row>
    <row r="70" spans="2:9" ht="15" customHeight="1" x14ac:dyDescent="0.2">
      <c r="B70" t="s">
        <v>334</v>
      </c>
      <c r="C70" s="12">
        <v>7</v>
      </c>
      <c r="D70" s="8">
        <v>1.41</v>
      </c>
      <c r="E70" s="12">
        <v>7</v>
      </c>
      <c r="F70" s="8">
        <v>2.54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305</v>
      </c>
      <c r="C71" s="12">
        <v>7</v>
      </c>
      <c r="D71" s="8">
        <v>1.41</v>
      </c>
      <c r="E71" s="12">
        <v>7</v>
      </c>
      <c r="F71" s="8">
        <v>2.54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306</v>
      </c>
      <c r="C72" s="12">
        <v>7</v>
      </c>
      <c r="D72" s="8">
        <v>1.41</v>
      </c>
      <c r="E72" s="12">
        <v>7</v>
      </c>
      <c r="F72" s="8">
        <v>2.54</v>
      </c>
      <c r="G72" s="12">
        <v>0</v>
      </c>
      <c r="H72" s="8">
        <v>0</v>
      </c>
      <c r="I72" s="12">
        <v>0</v>
      </c>
    </row>
    <row r="74" spans="2:9" ht="15" customHeight="1" x14ac:dyDescent="0.2">
      <c r="B7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5894-00EE-4B70-93E8-08D79119560D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533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4</v>
      </c>
      <c r="D5" s="8">
        <v>0.01</v>
      </c>
      <c r="E5" s="12">
        <v>0</v>
      </c>
      <c r="F5" s="8">
        <v>0</v>
      </c>
      <c r="G5" s="12">
        <v>4</v>
      </c>
      <c r="H5" s="8">
        <v>0.02</v>
      </c>
      <c r="I5" s="12">
        <v>0</v>
      </c>
    </row>
    <row r="6" spans="2:9" ht="15" customHeight="1" x14ac:dyDescent="0.2">
      <c r="B6" t="s">
        <v>191</v>
      </c>
      <c r="C6" s="12">
        <v>5142</v>
      </c>
      <c r="D6" s="8">
        <v>13.18</v>
      </c>
      <c r="E6" s="12">
        <v>277</v>
      </c>
      <c r="F6" s="8">
        <v>2.0099999999999998</v>
      </c>
      <c r="G6" s="12">
        <v>4864</v>
      </c>
      <c r="H6" s="8">
        <v>19.350000000000001</v>
      </c>
      <c r="I6" s="12">
        <v>1</v>
      </c>
    </row>
    <row r="7" spans="2:9" ht="15" customHeight="1" x14ac:dyDescent="0.2">
      <c r="B7" t="s">
        <v>192</v>
      </c>
      <c r="C7" s="12">
        <v>1547</v>
      </c>
      <c r="D7" s="8">
        <v>3.96</v>
      </c>
      <c r="E7" s="12">
        <v>214</v>
      </c>
      <c r="F7" s="8">
        <v>1.56</v>
      </c>
      <c r="G7" s="12">
        <v>1333</v>
      </c>
      <c r="H7" s="8">
        <v>5.3</v>
      </c>
      <c r="I7" s="12">
        <v>0</v>
      </c>
    </row>
    <row r="8" spans="2:9" ht="15" customHeight="1" x14ac:dyDescent="0.2">
      <c r="B8" t="s">
        <v>193</v>
      </c>
      <c r="C8" s="12">
        <v>16</v>
      </c>
      <c r="D8" s="8">
        <v>0.04</v>
      </c>
      <c r="E8" s="12">
        <v>0</v>
      </c>
      <c r="F8" s="8">
        <v>0</v>
      </c>
      <c r="G8" s="12">
        <v>15</v>
      </c>
      <c r="H8" s="8">
        <v>0.06</v>
      </c>
      <c r="I8" s="12">
        <v>0</v>
      </c>
    </row>
    <row r="9" spans="2:9" ht="15" customHeight="1" x14ac:dyDescent="0.2">
      <c r="B9" t="s">
        <v>194</v>
      </c>
      <c r="C9" s="12">
        <v>727</v>
      </c>
      <c r="D9" s="8">
        <v>1.86</v>
      </c>
      <c r="E9" s="12">
        <v>25</v>
      </c>
      <c r="F9" s="8">
        <v>0.18</v>
      </c>
      <c r="G9" s="12">
        <v>699</v>
      </c>
      <c r="H9" s="8">
        <v>2.78</v>
      </c>
      <c r="I9" s="12">
        <v>3</v>
      </c>
    </row>
    <row r="10" spans="2:9" ht="15" customHeight="1" x14ac:dyDescent="0.2">
      <c r="B10" t="s">
        <v>195</v>
      </c>
      <c r="C10" s="12">
        <v>605</v>
      </c>
      <c r="D10" s="8">
        <v>1.55</v>
      </c>
      <c r="E10" s="12">
        <v>281</v>
      </c>
      <c r="F10" s="8">
        <v>2.04</v>
      </c>
      <c r="G10" s="12">
        <v>324</v>
      </c>
      <c r="H10" s="8">
        <v>1.29</v>
      </c>
      <c r="I10" s="12">
        <v>0</v>
      </c>
    </row>
    <row r="11" spans="2:9" ht="15" customHeight="1" x14ac:dyDescent="0.2">
      <c r="B11" t="s">
        <v>196</v>
      </c>
      <c r="C11" s="12">
        <v>7820</v>
      </c>
      <c r="D11" s="8">
        <v>20.04</v>
      </c>
      <c r="E11" s="12">
        <v>1262</v>
      </c>
      <c r="F11" s="8">
        <v>9.18</v>
      </c>
      <c r="G11" s="12">
        <v>6552</v>
      </c>
      <c r="H11" s="8">
        <v>26.06</v>
      </c>
      <c r="I11" s="12">
        <v>6</v>
      </c>
    </row>
    <row r="12" spans="2:9" ht="15" customHeight="1" x14ac:dyDescent="0.2">
      <c r="B12" t="s">
        <v>197</v>
      </c>
      <c r="C12" s="12">
        <v>378</v>
      </c>
      <c r="D12" s="8">
        <v>0.97</v>
      </c>
      <c r="E12" s="12">
        <v>24</v>
      </c>
      <c r="F12" s="8">
        <v>0.17</v>
      </c>
      <c r="G12" s="12">
        <v>354</v>
      </c>
      <c r="H12" s="8">
        <v>1.41</v>
      </c>
      <c r="I12" s="12">
        <v>0</v>
      </c>
    </row>
    <row r="13" spans="2:9" ht="15" customHeight="1" x14ac:dyDescent="0.2">
      <c r="B13" t="s">
        <v>198</v>
      </c>
      <c r="C13" s="12">
        <v>5790</v>
      </c>
      <c r="D13" s="8">
        <v>14.84</v>
      </c>
      <c r="E13" s="12">
        <v>2134</v>
      </c>
      <c r="F13" s="8">
        <v>15.52</v>
      </c>
      <c r="G13" s="12">
        <v>3645</v>
      </c>
      <c r="H13" s="8">
        <v>14.5</v>
      </c>
      <c r="I13" s="12">
        <v>7</v>
      </c>
    </row>
    <row r="14" spans="2:9" ht="15" customHeight="1" x14ac:dyDescent="0.2">
      <c r="B14" t="s">
        <v>199</v>
      </c>
      <c r="C14" s="12">
        <v>2958</v>
      </c>
      <c r="D14" s="8">
        <v>7.58</v>
      </c>
      <c r="E14" s="12">
        <v>1160</v>
      </c>
      <c r="F14" s="8">
        <v>8.44</v>
      </c>
      <c r="G14" s="12">
        <v>1789</v>
      </c>
      <c r="H14" s="8">
        <v>7.12</v>
      </c>
      <c r="I14" s="12">
        <v>7</v>
      </c>
    </row>
    <row r="15" spans="2:9" ht="15" customHeight="1" x14ac:dyDescent="0.2">
      <c r="B15" t="s">
        <v>200</v>
      </c>
      <c r="C15" s="12">
        <v>4916</v>
      </c>
      <c r="D15" s="8">
        <v>12.6</v>
      </c>
      <c r="E15" s="12">
        <v>3437</v>
      </c>
      <c r="F15" s="8">
        <v>25</v>
      </c>
      <c r="G15" s="12">
        <v>1476</v>
      </c>
      <c r="H15" s="8">
        <v>5.87</v>
      </c>
      <c r="I15" s="12">
        <v>3</v>
      </c>
    </row>
    <row r="16" spans="2:9" ht="15" customHeight="1" x14ac:dyDescent="0.2">
      <c r="B16" t="s">
        <v>201</v>
      </c>
      <c r="C16" s="12">
        <v>4263</v>
      </c>
      <c r="D16" s="8">
        <v>10.93</v>
      </c>
      <c r="E16" s="12">
        <v>2776</v>
      </c>
      <c r="F16" s="8">
        <v>20.190000000000001</v>
      </c>
      <c r="G16" s="12">
        <v>1483</v>
      </c>
      <c r="H16" s="8">
        <v>5.9</v>
      </c>
      <c r="I16" s="12">
        <v>2</v>
      </c>
    </row>
    <row r="17" spans="2:9" ht="15" customHeight="1" x14ac:dyDescent="0.2">
      <c r="B17" t="s">
        <v>202</v>
      </c>
      <c r="C17" s="12">
        <v>1143</v>
      </c>
      <c r="D17" s="8">
        <v>2.93</v>
      </c>
      <c r="E17" s="12">
        <v>703</v>
      </c>
      <c r="F17" s="8">
        <v>5.1100000000000003</v>
      </c>
      <c r="G17" s="12">
        <v>429</v>
      </c>
      <c r="H17" s="8">
        <v>1.71</v>
      </c>
      <c r="I17" s="12">
        <v>6</v>
      </c>
    </row>
    <row r="18" spans="2:9" ht="15" customHeight="1" x14ac:dyDescent="0.2">
      <c r="B18" t="s">
        <v>203</v>
      </c>
      <c r="C18" s="12">
        <v>2252</v>
      </c>
      <c r="D18" s="8">
        <v>5.77</v>
      </c>
      <c r="E18" s="12">
        <v>1268</v>
      </c>
      <c r="F18" s="8">
        <v>9.2200000000000006</v>
      </c>
      <c r="G18" s="12">
        <v>977</v>
      </c>
      <c r="H18" s="8">
        <v>3.89</v>
      </c>
      <c r="I18" s="12">
        <v>7</v>
      </c>
    </row>
    <row r="19" spans="2:9" ht="15" customHeight="1" x14ac:dyDescent="0.2">
      <c r="B19" t="s">
        <v>204</v>
      </c>
      <c r="C19" s="12">
        <v>1457</v>
      </c>
      <c r="D19" s="8">
        <v>3.73</v>
      </c>
      <c r="E19" s="12">
        <v>188</v>
      </c>
      <c r="F19" s="8">
        <v>1.37</v>
      </c>
      <c r="G19" s="12">
        <v>1195</v>
      </c>
      <c r="H19" s="8">
        <v>4.75</v>
      </c>
      <c r="I19" s="12">
        <v>71</v>
      </c>
    </row>
    <row r="20" spans="2:9" ht="15" customHeight="1" x14ac:dyDescent="0.2">
      <c r="B20" s="9" t="s">
        <v>529</v>
      </c>
      <c r="C20" s="12">
        <f>SUM(LTBL_01100[総数／事業所数])</f>
        <v>39018</v>
      </c>
      <c r="E20" s="12">
        <f>SUBTOTAL(109,LTBL_01100[個人／事業所数])</f>
        <v>13749</v>
      </c>
      <c r="G20" s="12">
        <f>SUBTOTAL(109,LTBL_01100[法人／事業所数])</f>
        <v>25139</v>
      </c>
      <c r="I20" s="12">
        <f>SUBTOTAL(109,LTBL_01100[法人以外の団体／事業所数])</f>
        <v>113</v>
      </c>
    </row>
    <row r="21" spans="2:9" ht="15" customHeight="1" x14ac:dyDescent="0.2">
      <c r="E21" s="11">
        <f>LTBL_01100[[#Totals],[個人／事業所数]]/LTBL_01100[[#Totals],[総数／事業所数]]</f>
        <v>0.35237582654159616</v>
      </c>
      <c r="G21" s="11">
        <f>LTBL_01100[[#Totals],[法人／事業所数]]/LTBL_01100[[#Totals],[総数／事業所数]]</f>
        <v>0.64429237787687732</v>
      </c>
      <c r="I21" s="11">
        <f>LTBL_01100[[#Totals],[法人以外の団体／事業所数]]/LTBL_01100[[#Totals],[総数／事業所数]]</f>
        <v>2.8960992362499359E-3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4796</v>
      </c>
      <c r="D24" s="8">
        <v>12.29</v>
      </c>
      <c r="E24" s="12">
        <v>2106</v>
      </c>
      <c r="F24" s="8">
        <v>15.32</v>
      </c>
      <c r="G24" s="12">
        <v>2679</v>
      </c>
      <c r="H24" s="8">
        <v>10.66</v>
      </c>
      <c r="I24" s="12">
        <v>7</v>
      </c>
    </row>
    <row r="25" spans="2:9" ht="15" customHeight="1" x14ac:dyDescent="0.2">
      <c r="B25" t="s">
        <v>227</v>
      </c>
      <c r="C25" s="12">
        <v>4486</v>
      </c>
      <c r="D25" s="8">
        <v>11.5</v>
      </c>
      <c r="E25" s="12">
        <v>3371</v>
      </c>
      <c r="F25" s="8">
        <v>24.52</v>
      </c>
      <c r="G25" s="12">
        <v>1115</v>
      </c>
      <c r="H25" s="8">
        <v>4.4400000000000004</v>
      </c>
      <c r="I25" s="12">
        <v>0</v>
      </c>
    </row>
    <row r="26" spans="2:9" ht="15" customHeight="1" x14ac:dyDescent="0.2">
      <c r="B26" t="s">
        <v>228</v>
      </c>
      <c r="C26" s="12">
        <v>3537</v>
      </c>
      <c r="D26" s="8">
        <v>9.07</v>
      </c>
      <c r="E26" s="12">
        <v>2593</v>
      </c>
      <c r="F26" s="8">
        <v>18.86</v>
      </c>
      <c r="G26" s="12">
        <v>944</v>
      </c>
      <c r="H26" s="8">
        <v>3.76</v>
      </c>
      <c r="I26" s="12">
        <v>0</v>
      </c>
    </row>
    <row r="27" spans="2:9" ht="15" customHeight="1" x14ac:dyDescent="0.2">
      <c r="B27" t="s">
        <v>214</v>
      </c>
      <c r="C27" s="12">
        <v>1926</v>
      </c>
      <c r="D27" s="8">
        <v>4.9400000000000004</v>
      </c>
      <c r="E27" s="12">
        <v>150</v>
      </c>
      <c r="F27" s="8">
        <v>1.0900000000000001</v>
      </c>
      <c r="G27" s="12">
        <v>1776</v>
      </c>
      <c r="H27" s="8">
        <v>7.06</v>
      </c>
      <c r="I27" s="12">
        <v>0</v>
      </c>
    </row>
    <row r="28" spans="2:9" ht="15" customHeight="1" x14ac:dyDescent="0.2">
      <c r="B28" t="s">
        <v>223</v>
      </c>
      <c r="C28" s="12">
        <v>1824</v>
      </c>
      <c r="D28" s="8">
        <v>4.67</v>
      </c>
      <c r="E28" s="12">
        <v>465</v>
      </c>
      <c r="F28" s="8">
        <v>3.38</v>
      </c>
      <c r="G28" s="12">
        <v>1357</v>
      </c>
      <c r="H28" s="8">
        <v>5.4</v>
      </c>
      <c r="I28" s="12">
        <v>2</v>
      </c>
    </row>
    <row r="29" spans="2:9" ht="15" customHeight="1" x14ac:dyDescent="0.2">
      <c r="B29" t="s">
        <v>213</v>
      </c>
      <c r="C29" s="12">
        <v>1716</v>
      </c>
      <c r="D29" s="8">
        <v>4.4000000000000004</v>
      </c>
      <c r="E29" s="12">
        <v>60</v>
      </c>
      <c r="F29" s="8">
        <v>0.44</v>
      </c>
      <c r="G29" s="12">
        <v>1655</v>
      </c>
      <c r="H29" s="8">
        <v>6.58</v>
      </c>
      <c r="I29" s="12">
        <v>1</v>
      </c>
    </row>
    <row r="30" spans="2:9" ht="15" customHeight="1" x14ac:dyDescent="0.2">
      <c r="B30" t="s">
        <v>225</v>
      </c>
      <c r="C30" s="12">
        <v>1685</v>
      </c>
      <c r="D30" s="8">
        <v>4.32</v>
      </c>
      <c r="E30" s="12">
        <v>964</v>
      </c>
      <c r="F30" s="8">
        <v>7.01</v>
      </c>
      <c r="G30" s="12">
        <v>716</v>
      </c>
      <c r="H30" s="8">
        <v>2.85</v>
      </c>
      <c r="I30" s="12">
        <v>5</v>
      </c>
    </row>
    <row r="31" spans="2:9" ht="15" customHeight="1" x14ac:dyDescent="0.2">
      <c r="B31" t="s">
        <v>231</v>
      </c>
      <c r="C31" s="12">
        <v>1608</v>
      </c>
      <c r="D31" s="8">
        <v>4.12</v>
      </c>
      <c r="E31" s="12">
        <v>1255</v>
      </c>
      <c r="F31" s="8">
        <v>9.1300000000000008</v>
      </c>
      <c r="G31" s="12">
        <v>353</v>
      </c>
      <c r="H31" s="8">
        <v>1.4</v>
      </c>
      <c r="I31" s="12">
        <v>0</v>
      </c>
    </row>
    <row r="32" spans="2:9" ht="15" customHeight="1" x14ac:dyDescent="0.2">
      <c r="B32" t="s">
        <v>215</v>
      </c>
      <c r="C32" s="12">
        <v>1500</v>
      </c>
      <c r="D32" s="8">
        <v>3.84</v>
      </c>
      <c r="E32" s="12">
        <v>67</v>
      </c>
      <c r="F32" s="8">
        <v>0.49</v>
      </c>
      <c r="G32" s="12">
        <v>1433</v>
      </c>
      <c r="H32" s="8">
        <v>5.7</v>
      </c>
      <c r="I32" s="12">
        <v>0</v>
      </c>
    </row>
    <row r="33" spans="2:9" ht="15" customHeight="1" x14ac:dyDescent="0.2">
      <c r="B33" t="s">
        <v>230</v>
      </c>
      <c r="C33" s="12">
        <v>1143</v>
      </c>
      <c r="D33" s="8">
        <v>2.93</v>
      </c>
      <c r="E33" s="12">
        <v>703</v>
      </c>
      <c r="F33" s="8">
        <v>5.1100000000000003</v>
      </c>
      <c r="G33" s="12">
        <v>429</v>
      </c>
      <c r="H33" s="8">
        <v>1.71</v>
      </c>
      <c r="I33" s="12">
        <v>6</v>
      </c>
    </row>
    <row r="34" spans="2:9" ht="15" customHeight="1" x14ac:dyDescent="0.2">
      <c r="B34" t="s">
        <v>226</v>
      </c>
      <c r="C34" s="12">
        <v>1088</v>
      </c>
      <c r="D34" s="8">
        <v>2.79</v>
      </c>
      <c r="E34" s="12">
        <v>189</v>
      </c>
      <c r="F34" s="8">
        <v>1.37</v>
      </c>
      <c r="G34" s="12">
        <v>896</v>
      </c>
      <c r="H34" s="8">
        <v>3.56</v>
      </c>
      <c r="I34" s="12">
        <v>1</v>
      </c>
    </row>
    <row r="35" spans="2:9" ht="15" customHeight="1" x14ac:dyDescent="0.2">
      <c r="B35" t="s">
        <v>218</v>
      </c>
      <c r="C35" s="12">
        <v>953</v>
      </c>
      <c r="D35" s="8">
        <v>2.44</v>
      </c>
      <c r="E35" s="12">
        <v>16</v>
      </c>
      <c r="F35" s="8">
        <v>0.12</v>
      </c>
      <c r="G35" s="12">
        <v>937</v>
      </c>
      <c r="H35" s="8">
        <v>3.73</v>
      </c>
      <c r="I35" s="12">
        <v>0</v>
      </c>
    </row>
    <row r="36" spans="2:9" ht="15" customHeight="1" x14ac:dyDescent="0.2">
      <c r="B36" t="s">
        <v>221</v>
      </c>
      <c r="C36" s="12">
        <v>901</v>
      </c>
      <c r="D36" s="8">
        <v>2.31</v>
      </c>
      <c r="E36" s="12">
        <v>337</v>
      </c>
      <c r="F36" s="8">
        <v>2.4500000000000002</v>
      </c>
      <c r="G36" s="12">
        <v>562</v>
      </c>
      <c r="H36" s="8">
        <v>2.2400000000000002</v>
      </c>
      <c r="I36" s="12">
        <v>2</v>
      </c>
    </row>
    <row r="37" spans="2:9" ht="15" customHeight="1" x14ac:dyDescent="0.2">
      <c r="B37" t="s">
        <v>219</v>
      </c>
      <c r="C37" s="12">
        <v>875</v>
      </c>
      <c r="D37" s="8">
        <v>2.2400000000000002</v>
      </c>
      <c r="E37" s="12">
        <v>36</v>
      </c>
      <c r="F37" s="8">
        <v>0.26</v>
      </c>
      <c r="G37" s="12">
        <v>838</v>
      </c>
      <c r="H37" s="8">
        <v>3.33</v>
      </c>
      <c r="I37" s="12">
        <v>1</v>
      </c>
    </row>
    <row r="38" spans="2:9" ht="15" customHeight="1" x14ac:dyDescent="0.2">
      <c r="B38" t="s">
        <v>233</v>
      </c>
      <c r="C38" s="12">
        <v>803</v>
      </c>
      <c r="D38" s="8">
        <v>2.06</v>
      </c>
      <c r="E38" s="12">
        <v>17</v>
      </c>
      <c r="F38" s="8">
        <v>0.12</v>
      </c>
      <c r="G38" s="12">
        <v>786</v>
      </c>
      <c r="H38" s="8">
        <v>3.13</v>
      </c>
      <c r="I38" s="12">
        <v>0</v>
      </c>
    </row>
    <row r="39" spans="2:9" ht="15" customHeight="1" x14ac:dyDescent="0.2">
      <c r="B39" t="s">
        <v>220</v>
      </c>
      <c r="C39" s="12">
        <v>757</v>
      </c>
      <c r="D39" s="8">
        <v>1.94</v>
      </c>
      <c r="E39" s="12">
        <v>134</v>
      </c>
      <c r="F39" s="8">
        <v>0.97</v>
      </c>
      <c r="G39" s="12">
        <v>623</v>
      </c>
      <c r="H39" s="8">
        <v>2.48</v>
      </c>
      <c r="I39" s="12">
        <v>0</v>
      </c>
    </row>
    <row r="40" spans="2:9" ht="15" customHeight="1" x14ac:dyDescent="0.2">
      <c r="B40" t="s">
        <v>222</v>
      </c>
      <c r="C40" s="12">
        <v>710</v>
      </c>
      <c r="D40" s="8">
        <v>1.82</v>
      </c>
      <c r="E40" s="12">
        <v>182</v>
      </c>
      <c r="F40" s="8">
        <v>1.32</v>
      </c>
      <c r="G40" s="12">
        <v>528</v>
      </c>
      <c r="H40" s="8">
        <v>2.1</v>
      </c>
      <c r="I40" s="12">
        <v>0</v>
      </c>
    </row>
    <row r="41" spans="2:9" ht="15" customHeight="1" x14ac:dyDescent="0.2">
      <c r="B41" t="s">
        <v>234</v>
      </c>
      <c r="C41" s="12">
        <v>661</v>
      </c>
      <c r="D41" s="8">
        <v>1.69</v>
      </c>
      <c r="E41" s="12">
        <v>35</v>
      </c>
      <c r="F41" s="8">
        <v>0.25</v>
      </c>
      <c r="G41" s="12">
        <v>605</v>
      </c>
      <c r="H41" s="8">
        <v>2.41</v>
      </c>
      <c r="I41" s="12">
        <v>21</v>
      </c>
    </row>
    <row r="42" spans="2:9" ht="15" customHeight="1" x14ac:dyDescent="0.2">
      <c r="B42" t="s">
        <v>232</v>
      </c>
      <c r="C42" s="12">
        <v>644</v>
      </c>
      <c r="D42" s="8">
        <v>1.65</v>
      </c>
      <c r="E42" s="12">
        <v>13</v>
      </c>
      <c r="F42" s="8">
        <v>0.09</v>
      </c>
      <c r="G42" s="12">
        <v>624</v>
      </c>
      <c r="H42" s="8">
        <v>2.48</v>
      </c>
      <c r="I42" s="12">
        <v>7</v>
      </c>
    </row>
    <row r="43" spans="2:9" ht="15" customHeight="1" x14ac:dyDescent="0.2">
      <c r="B43" t="s">
        <v>217</v>
      </c>
      <c r="C43" s="12">
        <v>602</v>
      </c>
      <c r="D43" s="8">
        <v>1.54</v>
      </c>
      <c r="E43" s="12">
        <v>29</v>
      </c>
      <c r="F43" s="8">
        <v>0.21</v>
      </c>
      <c r="G43" s="12">
        <v>572</v>
      </c>
      <c r="H43" s="8">
        <v>2.2799999999999998</v>
      </c>
      <c r="I43" s="12">
        <v>1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3363</v>
      </c>
      <c r="D47" s="8">
        <v>8.6199999999999992</v>
      </c>
      <c r="E47" s="12">
        <v>1918</v>
      </c>
      <c r="F47" s="8">
        <v>13.95</v>
      </c>
      <c r="G47" s="12">
        <v>1444</v>
      </c>
      <c r="H47" s="8">
        <v>5.74</v>
      </c>
      <c r="I47" s="12">
        <v>0</v>
      </c>
    </row>
    <row r="48" spans="2:9" ht="15" customHeight="1" x14ac:dyDescent="0.2">
      <c r="B48" t="s">
        <v>304</v>
      </c>
      <c r="C48" s="12">
        <v>1711</v>
      </c>
      <c r="D48" s="8">
        <v>4.3899999999999997</v>
      </c>
      <c r="E48" s="12">
        <v>1372</v>
      </c>
      <c r="F48" s="8">
        <v>9.98</v>
      </c>
      <c r="G48" s="12">
        <v>339</v>
      </c>
      <c r="H48" s="8">
        <v>1.35</v>
      </c>
      <c r="I48" s="12">
        <v>0</v>
      </c>
    </row>
    <row r="49" spans="2:9" ht="15" customHeight="1" x14ac:dyDescent="0.2">
      <c r="B49" t="s">
        <v>301</v>
      </c>
      <c r="C49" s="12">
        <v>1287</v>
      </c>
      <c r="D49" s="8">
        <v>3.3</v>
      </c>
      <c r="E49" s="12">
        <v>1130</v>
      </c>
      <c r="F49" s="8">
        <v>8.2200000000000006</v>
      </c>
      <c r="G49" s="12">
        <v>157</v>
      </c>
      <c r="H49" s="8">
        <v>0.62</v>
      </c>
      <c r="I49" s="12">
        <v>0</v>
      </c>
    </row>
    <row r="50" spans="2:9" ht="15" customHeight="1" x14ac:dyDescent="0.2">
      <c r="B50" t="s">
        <v>299</v>
      </c>
      <c r="C50" s="12">
        <v>1093</v>
      </c>
      <c r="D50" s="8">
        <v>2.8</v>
      </c>
      <c r="E50" s="12">
        <v>692</v>
      </c>
      <c r="F50" s="8">
        <v>5.03</v>
      </c>
      <c r="G50" s="12">
        <v>401</v>
      </c>
      <c r="H50" s="8">
        <v>1.6</v>
      </c>
      <c r="I50" s="12">
        <v>0</v>
      </c>
    </row>
    <row r="51" spans="2:9" ht="15" customHeight="1" x14ac:dyDescent="0.2">
      <c r="B51" t="s">
        <v>303</v>
      </c>
      <c r="C51" s="12">
        <v>1071</v>
      </c>
      <c r="D51" s="8">
        <v>2.74</v>
      </c>
      <c r="E51" s="12">
        <v>941</v>
      </c>
      <c r="F51" s="8">
        <v>6.84</v>
      </c>
      <c r="G51" s="12">
        <v>130</v>
      </c>
      <c r="H51" s="8">
        <v>0.52</v>
      </c>
      <c r="I51" s="12">
        <v>0</v>
      </c>
    </row>
    <row r="52" spans="2:9" ht="15" customHeight="1" x14ac:dyDescent="0.2">
      <c r="B52" t="s">
        <v>300</v>
      </c>
      <c r="C52" s="12">
        <v>1009</v>
      </c>
      <c r="D52" s="8">
        <v>2.59</v>
      </c>
      <c r="E52" s="12">
        <v>811</v>
      </c>
      <c r="F52" s="8">
        <v>5.9</v>
      </c>
      <c r="G52" s="12">
        <v>198</v>
      </c>
      <c r="H52" s="8">
        <v>0.79</v>
      </c>
      <c r="I52" s="12">
        <v>0</v>
      </c>
    </row>
    <row r="53" spans="2:9" ht="15" customHeight="1" x14ac:dyDescent="0.2">
      <c r="B53" t="s">
        <v>306</v>
      </c>
      <c r="C53" s="12">
        <v>974</v>
      </c>
      <c r="D53" s="8">
        <v>2.5</v>
      </c>
      <c r="E53" s="12">
        <v>783</v>
      </c>
      <c r="F53" s="8">
        <v>5.69</v>
      </c>
      <c r="G53" s="12">
        <v>191</v>
      </c>
      <c r="H53" s="8">
        <v>0.76</v>
      </c>
      <c r="I53" s="12">
        <v>0</v>
      </c>
    </row>
    <row r="54" spans="2:9" ht="15" customHeight="1" x14ac:dyDescent="0.2">
      <c r="B54" t="s">
        <v>296</v>
      </c>
      <c r="C54" s="12">
        <v>815</v>
      </c>
      <c r="D54" s="8">
        <v>2.09</v>
      </c>
      <c r="E54" s="12">
        <v>123</v>
      </c>
      <c r="F54" s="8">
        <v>0.89</v>
      </c>
      <c r="G54" s="12">
        <v>688</v>
      </c>
      <c r="H54" s="8">
        <v>2.74</v>
      </c>
      <c r="I54" s="12">
        <v>4</v>
      </c>
    </row>
    <row r="55" spans="2:9" ht="15" customHeight="1" x14ac:dyDescent="0.2">
      <c r="B55" t="s">
        <v>298</v>
      </c>
      <c r="C55" s="12">
        <v>775</v>
      </c>
      <c r="D55" s="8">
        <v>1.99</v>
      </c>
      <c r="E55" s="12">
        <v>95</v>
      </c>
      <c r="F55" s="8">
        <v>0.69</v>
      </c>
      <c r="G55" s="12">
        <v>680</v>
      </c>
      <c r="H55" s="8">
        <v>2.7</v>
      </c>
      <c r="I55" s="12">
        <v>0</v>
      </c>
    </row>
    <row r="56" spans="2:9" ht="15" customHeight="1" x14ac:dyDescent="0.2">
      <c r="B56" t="s">
        <v>305</v>
      </c>
      <c r="C56" s="12">
        <v>724</v>
      </c>
      <c r="D56" s="8">
        <v>1.86</v>
      </c>
      <c r="E56" s="12">
        <v>523</v>
      </c>
      <c r="F56" s="8">
        <v>3.8</v>
      </c>
      <c r="G56" s="12">
        <v>199</v>
      </c>
      <c r="H56" s="8">
        <v>0.79</v>
      </c>
      <c r="I56" s="12">
        <v>2</v>
      </c>
    </row>
    <row r="57" spans="2:9" ht="15" customHeight="1" x14ac:dyDescent="0.2">
      <c r="B57" t="s">
        <v>291</v>
      </c>
      <c r="C57" s="12">
        <v>615</v>
      </c>
      <c r="D57" s="8">
        <v>1.58</v>
      </c>
      <c r="E57" s="12">
        <v>34</v>
      </c>
      <c r="F57" s="8">
        <v>0.25</v>
      </c>
      <c r="G57" s="12">
        <v>581</v>
      </c>
      <c r="H57" s="8">
        <v>2.31</v>
      </c>
      <c r="I57" s="12">
        <v>0</v>
      </c>
    </row>
    <row r="58" spans="2:9" ht="15" customHeight="1" x14ac:dyDescent="0.2">
      <c r="B58" t="s">
        <v>295</v>
      </c>
      <c r="C58" s="12">
        <v>603</v>
      </c>
      <c r="D58" s="8">
        <v>1.55</v>
      </c>
      <c r="E58" s="12">
        <v>210</v>
      </c>
      <c r="F58" s="8">
        <v>1.53</v>
      </c>
      <c r="G58" s="12">
        <v>392</v>
      </c>
      <c r="H58" s="8">
        <v>1.56</v>
      </c>
      <c r="I58" s="12">
        <v>1</v>
      </c>
    </row>
    <row r="59" spans="2:9" ht="15" customHeight="1" x14ac:dyDescent="0.2">
      <c r="B59" t="s">
        <v>310</v>
      </c>
      <c r="C59" s="12">
        <v>579</v>
      </c>
      <c r="D59" s="8">
        <v>1.48</v>
      </c>
      <c r="E59" s="12">
        <v>17</v>
      </c>
      <c r="F59" s="8">
        <v>0.12</v>
      </c>
      <c r="G59" s="12">
        <v>562</v>
      </c>
      <c r="H59" s="8">
        <v>2.2400000000000002</v>
      </c>
      <c r="I59" s="12">
        <v>0</v>
      </c>
    </row>
    <row r="60" spans="2:9" ht="15" customHeight="1" x14ac:dyDescent="0.2">
      <c r="B60" t="s">
        <v>309</v>
      </c>
      <c r="C60" s="12">
        <v>539</v>
      </c>
      <c r="D60" s="8">
        <v>1.38</v>
      </c>
      <c r="E60" s="12">
        <v>18</v>
      </c>
      <c r="F60" s="8">
        <v>0.13</v>
      </c>
      <c r="G60" s="12">
        <v>520</v>
      </c>
      <c r="H60" s="8">
        <v>2.0699999999999998</v>
      </c>
      <c r="I60" s="12">
        <v>1</v>
      </c>
    </row>
    <row r="61" spans="2:9" ht="15" customHeight="1" x14ac:dyDescent="0.2">
      <c r="B61" t="s">
        <v>290</v>
      </c>
      <c r="C61" s="12">
        <v>505</v>
      </c>
      <c r="D61" s="8">
        <v>1.29</v>
      </c>
      <c r="E61" s="12">
        <v>24</v>
      </c>
      <c r="F61" s="8">
        <v>0.17</v>
      </c>
      <c r="G61" s="12">
        <v>481</v>
      </c>
      <c r="H61" s="8">
        <v>1.91</v>
      </c>
      <c r="I61" s="12">
        <v>0</v>
      </c>
    </row>
    <row r="62" spans="2:9" ht="15" customHeight="1" x14ac:dyDescent="0.2">
      <c r="B62" t="s">
        <v>308</v>
      </c>
      <c r="C62" s="12">
        <v>492</v>
      </c>
      <c r="D62" s="8">
        <v>1.26</v>
      </c>
      <c r="E62" s="12">
        <v>40</v>
      </c>
      <c r="F62" s="8">
        <v>0.28999999999999998</v>
      </c>
      <c r="G62" s="12">
        <v>452</v>
      </c>
      <c r="H62" s="8">
        <v>1.8</v>
      </c>
      <c r="I62" s="12">
        <v>0</v>
      </c>
    </row>
    <row r="63" spans="2:9" ht="15" customHeight="1" x14ac:dyDescent="0.2">
      <c r="B63" t="s">
        <v>312</v>
      </c>
      <c r="C63" s="12">
        <v>487</v>
      </c>
      <c r="D63" s="8">
        <v>1.25</v>
      </c>
      <c r="E63" s="12">
        <v>424</v>
      </c>
      <c r="F63" s="8">
        <v>3.08</v>
      </c>
      <c r="G63" s="12">
        <v>63</v>
      </c>
      <c r="H63" s="8">
        <v>0.25</v>
      </c>
      <c r="I63" s="12">
        <v>0</v>
      </c>
    </row>
    <row r="64" spans="2:9" ht="15" customHeight="1" x14ac:dyDescent="0.2">
      <c r="B64" t="s">
        <v>294</v>
      </c>
      <c r="C64" s="12">
        <v>484</v>
      </c>
      <c r="D64" s="8">
        <v>1.24</v>
      </c>
      <c r="E64" s="12">
        <v>82</v>
      </c>
      <c r="F64" s="8">
        <v>0.6</v>
      </c>
      <c r="G64" s="12">
        <v>401</v>
      </c>
      <c r="H64" s="8">
        <v>1.6</v>
      </c>
      <c r="I64" s="12">
        <v>1</v>
      </c>
    </row>
    <row r="65" spans="2:9" ht="15" customHeight="1" x14ac:dyDescent="0.2">
      <c r="B65" t="s">
        <v>311</v>
      </c>
      <c r="C65" s="12">
        <v>476</v>
      </c>
      <c r="D65" s="8">
        <v>1.22</v>
      </c>
      <c r="E65" s="12">
        <v>13</v>
      </c>
      <c r="F65" s="8">
        <v>0.09</v>
      </c>
      <c r="G65" s="12">
        <v>458</v>
      </c>
      <c r="H65" s="8">
        <v>1.82</v>
      </c>
      <c r="I65" s="12">
        <v>2</v>
      </c>
    </row>
    <row r="66" spans="2:9" ht="15" customHeight="1" x14ac:dyDescent="0.2">
      <c r="B66" t="s">
        <v>289</v>
      </c>
      <c r="C66" s="12">
        <v>475</v>
      </c>
      <c r="D66" s="8">
        <v>1.22</v>
      </c>
      <c r="E66" s="12">
        <v>6</v>
      </c>
      <c r="F66" s="8">
        <v>0.04</v>
      </c>
      <c r="G66" s="12">
        <v>469</v>
      </c>
      <c r="H66" s="8">
        <v>1.87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2050B-6F7C-4D20-9596-E51DD6464E4E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76</v>
      </c>
      <c r="D6" s="8">
        <v>15.26</v>
      </c>
      <c r="E6" s="12">
        <v>28</v>
      </c>
      <c r="F6" s="8">
        <v>10.65</v>
      </c>
      <c r="G6" s="12">
        <v>48</v>
      </c>
      <c r="H6" s="8">
        <v>22.22</v>
      </c>
      <c r="I6" s="12">
        <v>0</v>
      </c>
    </row>
    <row r="7" spans="2:9" ht="15" customHeight="1" x14ac:dyDescent="0.2">
      <c r="B7" t="s">
        <v>192</v>
      </c>
      <c r="C7" s="12">
        <v>35</v>
      </c>
      <c r="D7" s="8">
        <v>7.03</v>
      </c>
      <c r="E7" s="12">
        <v>9</v>
      </c>
      <c r="F7" s="8">
        <v>3.42</v>
      </c>
      <c r="G7" s="12">
        <v>26</v>
      </c>
      <c r="H7" s="8">
        <v>12.04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0.6</v>
      </c>
      <c r="E8" s="12">
        <v>2</v>
      </c>
      <c r="F8" s="8">
        <v>0.76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0.2</v>
      </c>
      <c r="E9" s="12">
        <v>0</v>
      </c>
      <c r="F9" s="8">
        <v>0</v>
      </c>
      <c r="G9" s="12">
        <v>1</v>
      </c>
      <c r="H9" s="8">
        <v>0.46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0.8</v>
      </c>
      <c r="E10" s="12">
        <v>0</v>
      </c>
      <c r="F10" s="8">
        <v>0</v>
      </c>
      <c r="G10" s="12">
        <v>4</v>
      </c>
      <c r="H10" s="8">
        <v>1.85</v>
      </c>
      <c r="I10" s="12">
        <v>0</v>
      </c>
    </row>
    <row r="11" spans="2:9" ht="15" customHeight="1" x14ac:dyDescent="0.2">
      <c r="B11" t="s">
        <v>196</v>
      </c>
      <c r="C11" s="12">
        <v>129</v>
      </c>
      <c r="D11" s="8">
        <v>25.9</v>
      </c>
      <c r="E11" s="12">
        <v>58</v>
      </c>
      <c r="F11" s="8">
        <v>22.05</v>
      </c>
      <c r="G11" s="12">
        <v>71</v>
      </c>
      <c r="H11" s="8">
        <v>32.869999999999997</v>
      </c>
      <c r="I11" s="12">
        <v>0</v>
      </c>
    </row>
    <row r="12" spans="2:9" ht="15" customHeight="1" x14ac:dyDescent="0.2">
      <c r="B12" t="s">
        <v>197</v>
      </c>
      <c r="C12" s="12">
        <v>3</v>
      </c>
      <c r="D12" s="8">
        <v>0.6</v>
      </c>
      <c r="E12" s="12">
        <v>0</v>
      </c>
      <c r="F12" s="8">
        <v>0</v>
      </c>
      <c r="G12" s="12">
        <v>3</v>
      </c>
      <c r="H12" s="8">
        <v>1.39</v>
      </c>
      <c r="I12" s="12">
        <v>0</v>
      </c>
    </row>
    <row r="13" spans="2:9" ht="15" customHeight="1" x14ac:dyDescent="0.2">
      <c r="B13" t="s">
        <v>198</v>
      </c>
      <c r="C13" s="12">
        <v>34</v>
      </c>
      <c r="D13" s="8">
        <v>6.83</v>
      </c>
      <c r="E13" s="12">
        <v>18</v>
      </c>
      <c r="F13" s="8">
        <v>6.84</v>
      </c>
      <c r="G13" s="12">
        <v>14</v>
      </c>
      <c r="H13" s="8">
        <v>6.48</v>
      </c>
      <c r="I13" s="12">
        <v>0</v>
      </c>
    </row>
    <row r="14" spans="2:9" ht="15" customHeight="1" x14ac:dyDescent="0.2">
      <c r="B14" t="s">
        <v>199</v>
      </c>
      <c r="C14" s="12">
        <v>12</v>
      </c>
      <c r="D14" s="8">
        <v>2.41</v>
      </c>
      <c r="E14" s="12">
        <v>3</v>
      </c>
      <c r="F14" s="8">
        <v>1.1399999999999999</v>
      </c>
      <c r="G14" s="12">
        <v>8</v>
      </c>
      <c r="H14" s="8">
        <v>3.7</v>
      </c>
      <c r="I14" s="12">
        <v>0</v>
      </c>
    </row>
    <row r="15" spans="2:9" ht="15" customHeight="1" x14ac:dyDescent="0.2">
      <c r="B15" t="s">
        <v>200</v>
      </c>
      <c r="C15" s="12">
        <v>89</v>
      </c>
      <c r="D15" s="8">
        <v>17.87</v>
      </c>
      <c r="E15" s="12">
        <v>71</v>
      </c>
      <c r="F15" s="8">
        <v>27</v>
      </c>
      <c r="G15" s="12">
        <v>16</v>
      </c>
      <c r="H15" s="8">
        <v>7.41</v>
      </c>
      <c r="I15" s="12">
        <v>1</v>
      </c>
    </row>
    <row r="16" spans="2:9" ht="15" customHeight="1" x14ac:dyDescent="0.2">
      <c r="B16" t="s">
        <v>201</v>
      </c>
      <c r="C16" s="12">
        <v>64</v>
      </c>
      <c r="D16" s="8">
        <v>12.85</v>
      </c>
      <c r="E16" s="12">
        <v>52</v>
      </c>
      <c r="F16" s="8">
        <v>19.77</v>
      </c>
      <c r="G16" s="12">
        <v>6</v>
      </c>
      <c r="H16" s="8">
        <v>2.78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1</v>
      </c>
      <c r="E17" s="12">
        <v>2</v>
      </c>
      <c r="F17" s="8">
        <v>0.76</v>
      </c>
      <c r="G17" s="12">
        <v>2</v>
      </c>
      <c r="H17" s="8">
        <v>0.93</v>
      </c>
      <c r="I17" s="12">
        <v>0</v>
      </c>
    </row>
    <row r="18" spans="2:9" ht="15" customHeight="1" x14ac:dyDescent="0.2">
      <c r="B18" t="s">
        <v>203</v>
      </c>
      <c r="C18" s="12">
        <v>15</v>
      </c>
      <c r="D18" s="8">
        <v>3.01</v>
      </c>
      <c r="E18" s="12">
        <v>8</v>
      </c>
      <c r="F18" s="8">
        <v>3.04</v>
      </c>
      <c r="G18" s="12">
        <v>6</v>
      </c>
      <c r="H18" s="8">
        <v>2.78</v>
      </c>
      <c r="I18" s="12">
        <v>0</v>
      </c>
    </row>
    <row r="19" spans="2:9" ht="15" customHeight="1" x14ac:dyDescent="0.2">
      <c r="B19" t="s">
        <v>204</v>
      </c>
      <c r="C19" s="12">
        <v>28</v>
      </c>
      <c r="D19" s="8">
        <v>5.62</v>
      </c>
      <c r="E19" s="12">
        <v>12</v>
      </c>
      <c r="F19" s="8">
        <v>4.5599999999999996</v>
      </c>
      <c r="G19" s="12">
        <v>11</v>
      </c>
      <c r="H19" s="8">
        <v>5.09</v>
      </c>
      <c r="I19" s="12">
        <v>2</v>
      </c>
    </row>
    <row r="20" spans="2:9" ht="15" customHeight="1" x14ac:dyDescent="0.2">
      <c r="B20" s="9" t="s">
        <v>529</v>
      </c>
      <c r="C20" s="12">
        <f>SUM(LTBL_01346[総数／事業所数])</f>
        <v>498</v>
      </c>
      <c r="E20" s="12">
        <f>SUBTOTAL(109,LTBL_01346[個人／事業所数])</f>
        <v>263</v>
      </c>
      <c r="G20" s="12">
        <f>SUBTOTAL(109,LTBL_01346[法人／事業所数])</f>
        <v>216</v>
      </c>
      <c r="I20" s="12">
        <f>SUBTOTAL(109,LTBL_01346[法人以外の団体／事業所数])</f>
        <v>3</v>
      </c>
    </row>
    <row r="21" spans="2:9" ht="15" customHeight="1" x14ac:dyDescent="0.2">
      <c r="E21" s="11">
        <f>LTBL_01346[[#Totals],[個人／事業所数]]/LTBL_01346[[#Totals],[総数／事業所数]]</f>
        <v>0.5281124497991968</v>
      </c>
      <c r="G21" s="11">
        <f>LTBL_01346[[#Totals],[法人／事業所数]]/LTBL_01346[[#Totals],[総数／事業所数]]</f>
        <v>0.43373493975903615</v>
      </c>
      <c r="I21" s="11">
        <f>LTBL_01346[[#Totals],[法人以外の団体／事業所数]]/LTBL_01346[[#Totals],[総数／事業所数]]</f>
        <v>6.024096385542169E-3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67</v>
      </c>
      <c r="D24" s="8">
        <v>13.45</v>
      </c>
      <c r="E24" s="12">
        <v>59</v>
      </c>
      <c r="F24" s="8">
        <v>22.43</v>
      </c>
      <c r="G24" s="12">
        <v>8</v>
      </c>
      <c r="H24" s="8">
        <v>3.7</v>
      </c>
      <c r="I24" s="12">
        <v>0</v>
      </c>
    </row>
    <row r="25" spans="2:9" ht="15" customHeight="1" x14ac:dyDescent="0.2">
      <c r="B25" t="s">
        <v>228</v>
      </c>
      <c r="C25" s="12">
        <v>52</v>
      </c>
      <c r="D25" s="8">
        <v>10.44</v>
      </c>
      <c r="E25" s="12">
        <v>50</v>
      </c>
      <c r="F25" s="8">
        <v>19.010000000000002</v>
      </c>
      <c r="G25" s="12">
        <v>2</v>
      </c>
      <c r="H25" s="8">
        <v>0.93</v>
      </c>
      <c r="I25" s="12">
        <v>0</v>
      </c>
    </row>
    <row r="26" spans="2:9" ht="15" customHeight="1" x14ac:dyDescent="0.2">
      <c r="B26" t="s">
        <v>213</v>
      </c>
      <c r="C26" s="12">
        <v>36</v>
      </c>
      <c r="D26" s="8">
        <v>7.23</v>
      </c>
      <c r="E26" s="12">
        <v>11</v>
      </c>
      <c r="F26" s="8">
        <v>4.18</v>
      </c>
      <c r="G26" s="12">
        <v>25</v>
      </c>
      <c r="H26" s="8">
        <v>11.57</v>
      </c>
      <c r="I26" s="12">
        <v>0</v>
      </c>
    </row>
    <row r="27" spans="2:9" ht="15" customHeight="1" x14ac:dyDescent="0.2">
      <c r="B27" t="s">
        <v>221</v>
      </c>
      <c r="C27" s="12">
        <v>36</v>
      </c>
      <c r="D27" s="8">
        <v>7.23</v>
      </c>
      <c r="E27" s="12">
        <v>28</v>
      </c>
      <c r="F27" s="8">
        <v>10.65</v>
      </c>
      <c r="G27" s="12">
        <v>8</v>
      </c>
      <c r="H27" s="8">
        <v>3.7</v>
      </c>
      <c r="I27" s="12">
        <v>0</v>
      </c>
    </row>
    <row r="28" spans="2:9" ht="15" customHeight="1" x14ac:dyDescent="0.2">
      <c r="B28" t="s">
        <v>223</v>
      </c>
      <c r="C28" s="12">
        <v>36</v>
      </c>
      <c r="D28" s="8">
        <v>7.23</v>
      </c>
      <c r="E28" s="12">
        <v>13</v>
      </c>
      <c r="F28" s="8">
        <v>4.9400000000000004</v>
      </c>
      <c r="G28" s="12">
        <v>23</v>
      </c>
      <c r="H28" s="8">
        <v>10.65</v>
      </c>
      <c r="I28" s="12">
        <v>0</v>
      </c>
    </row>
    <row r="29" spans="2:9" ht="15" customHeight="1" x14ac:dyDescent="0.2">
      <c r="B29" t="s">
        <v>224</v>
      </c>
      <c r="C29" s="12">
        <v>27</v>
      </c>
      <c r="D29" s="8">
        <v>5.42</v>
      </c>
      <c r="E29" s="12">
        <v>18</v>
      </c>
      <c r="F29" s="8">
        <v>6.84</v>
      </c>
      <c r="G29" s="12">
        <v>7</v>
      </c>
      <c r="H29" s="8">
        <v>3.24</v>
      </c>
      <c r="I29" s="12">
        <v>0</v>
      </c>
    </row>
    <row r="30" spans="2:9" ht="15" customHeight="1" x14ac:dyDescent="0.2">
      <c r="B30" t="s">
        <v>214</v>
      </c>
      <c r="C30" s="12">
        <v>23</v>
      </c>
      <c r="D30" s="8">
        <v>4.62</v>
      </c>
      <c r="E30" s="12">
        <v>12</v>
      </c>
      <c r="F30" s="8">
        <v>4.5599999999999996</v>
      </c>
      <c r="G30" s="12">
        <v>11</v>
      </c>
      <c r="H30" s="8">
        <v>5.09</v>
      </c>
      <c r="I30" s="12">
        <v>0</v>
      </c>
    </row>
    <row r="31" spans="2:9" ht="15" customHeight="1" x14ac:dyDescent="0.2">
      <c r="B31" t="s">
        <v>222</v>
      </c>
      <c r="C31" s="12">
        <v>19</v>
      </c>
      <c r="D31" s="8">
        <v>3.82</v>
      </c>
      <c r="E31" s="12">
        <v>7</v>
      </c>
      <c r="F31" s="8">
        <v>2.66</v>
      </c>
      <c r="G31" s="12">
        <v>12</v>
      </c>
      <c r="H31" s="8">
        <v>5.56</v>
      </c>
      <c r="I31" s="12">
        <v>0</v>
      </c>
    </row>
    <row r="32" spans="2:9" ht="15" customHeight="1" x14ac:dyDescent="0.2">
      <c r="B32" t="s">
        <v>243</v>
      </c>
      <c r="C32" s="12">
        <v>18</v>
      </c>
      <c r="D32" s="8">
        <v>3.61</v>
      </c>
      <c r="E32" s="12">
        <v>9</v>
      </c>
      <c r="F32" s="8">
        <v>3.42</v>
      </c>
      <c r="G32" s="12">
        <v>7</v>
      </c>
      <c r="H32" s="8">
        <v>3.24</v>
      </c>
      <c r="I32" s="12">
        <v>1</v>
      </c>
    </row>
    <row r="33" spans="2:9" ht="15" customHeight="1" x14ac:dyDescent="0.2">
      <c r="B33" t="s">
        <v>215</v>
      </c>
      <c r="C33" s="12">
        <v>17</v>
      </c>
      <c r="D33" s="8">
        <v>3.41</v>
      </c>
      <c r="E33" s="12">
        <v>5</v>
      </c>
      <c r="F33" s="8">
        <v>1.9</v>
      </c>
      <c r="G33" s="12">
        <v>12</v>
      </c>
      <c r="H33" s="8">
        <v>5.56</v>
      </c>
      <c r="I33" s="12">
        <v>0</v>
      </c>
    </row>
    <row r="34" spans="2:9" ht="15" customHeight="1" x14ac:dyDescent="0.2">
      <c r="B34" t="s">
        <v>220</v>
      </c>
      <c r="C34" s="12">
        <v>11</v>
      </c>
      <c r="D34" s="8">
        <v>2.21</v>
      </c>
      <c r="E34" s="12">
        <v>6</v>
      </c>
      <c r="F34" s="8">
        <v>2.2799999999999998</v>
      </c>
      <c r="G34" s="12">
        <v>5</v>
      </c>
      <c r="H34" s="8">
        <v>2.31</v>
      </c>
      <c r="I34" s="12">
        <v>0</v>
      </c>
    </row>
    <row r="35" spans="2:9" ht="15" customHeight="1" x14ac:dyDescent="0.2">
      <c r="B35" t="s">
        <v>241</v>
      </c>
      <c r="C35" s="12">
        <v>9</v>
      </c>
      <c r="D35" s="8">
        <v>1.81</v>
      </c>
      <c r="E35" s="12">
        <v>6</v>
      </c>
      <c r="F35" s="8">
        <v>2.2799999999999998</v>
      </c>
      <c r="G35" s="12">
        <v>3</v>
      </c>
      <c r="H35" s="8">
        <v>1.39</v>
      </c>
      <c r="I35" s="12">
        <v>0</v>
      </c>
    </row>
    <row r="36" spans="2:9" ht="15" customHeight="1" x14ac:dyDescent="0.2">
      <c r="B36" t="s">
        <v>218</v>
      </c>
      <c r="C36" s="12">
        <v>9</v>
      </c>
      <c r="D36" s="8">
        <v>1.81</v>
      </c>
      <c r="E36" s="12">
        <v>1</v>
      </c>
      <c r="F36" s="8">
        <v>0.38</v>
      </c>
      <c r="G36" s="12">
        <v>8</v>
      </c>
      <c r="H36" s="8">
        <v>3.7</v>
      </c>
      <c r="I36" s="12">
        <v>0</v>
      </c>
    </row>
    <row r="37" spans="2:9" ht="15" customHeight="1" x14ac:dyDescent="0.2">
      <c r="B37" t="s">
        <v>231</v>
      </c>
      <c r="C37" s="12">
        <v>9</v>
      </c>
      <c r="D37" s="8">
        <v>1.81</v>
      </c>
      <c r="E37" s="12">
        <v>8</v>
      </c>
      <c r="F37" s="8">
        <v>3.04</v>
      </c>
      <c r="G37" s="12">
        <v>1</v>
      </c>
      <c r="H37" s="8">
        <v>0.46</v>
      </c>
      <c r="I37" s="12">
        <v>0</v>
      </c>
    </row>
    <row r="38" spans="2:9" ht="15" customHeight="1" x14ac:dyDescent="0.2">
      <c r="B38" t="s">
        <v>240</v>
      </c>
      <c r="C38" s="12">
        <v>9</v>
      </c>
      <c r="D38" s="8">
        <v>1.81</v>
      </c>
      <c r="E38" s="12">
        <v>7</v>
      </c>
      <c r="F38" s="8">
        <v>2.66</v>
      </c>
      <c r="G38" s="12">
        <v>2</v>
      </c>
      <c r="H38" s="8">
        <v>0.93</v>
      </c>
      <c r="I38" s="12">
        <v>0</v>
      </c>
    </row>
    <row r="39" spans="2:9" ht="15" customHeight="1" x14ac:dyDescent="0.2">
      <c r="B39" t="s">
        <v>247</v>
      </c>
      <c r="C39" s="12">
        <v>8</v>
      </c>
      <c r="D39" s="8">
        <v>1.61</v>
      </c>
      <c r="E39" s="12">
        <v>0</v>
      </c>
      <c r="F39" s="8">
        <v>0</v>
      </c>
      <c r="G39" s="12">
        <v>2</v>
      </c>
      <c r="H39" s="8">
        <v>0.93</v>
      </c>
      <c r="I39" s="12">
        <v>0</v>
      </c>
    </row>
    <row r="40" spans="2:9" ht="15" customHeight="1" x14ac:dyDescent="0.2">
      <c r="B40" t="s">
        <v>234</v>
      </c>
      <c r="C40" s="12">
        <v>8</v>
      </c>
      <c r="D40" s="8">
        <v>1.61</v>
      </c>
      <c r="E40" s="12">
        <v>2</v>
      </c>
      <c r="F40" s="8">
        <v>0.76</v>
      </c>
      <c r="G40" s="12">
        <v>3</v>
      </c>
      <c r="H40" s="8">
        <v>1.39</v>
      </c>
      <c r="I40" s="12">
        <v>2</v>
      </c>
    </row>
    <row r="41" spans="2:9" ht="15" customHeight="1" x14ac:dyDescent="0.2">
      <c r="B41" t="s">
        <v>262</v>
      </c>
      <c r="C41" s="12">
        <v>7</v>
      </c>
      <c r="D41" s="8">
        <v>1.41</v>
      </c>
      <c r="E41" s="12">
        <v>0</v>
      </c>
      <c r="F41" s="8">
        <v>0</v>
      </c>
      <c r="G41" s="12">
        <v>7</v>
      </c>
      <c r="H41" s="8">
        <v>3.24</v>
      </c>
      <c r="I41" s="12">
        <v>0</v>
      </c>
    </row>
    <row r="42" spans="2:9" ht="15" customHeight="1" x14ac:dyDescent="0.2">
      <c r="B42" t="s">
        <v>242</v>
      </c>
      <c r="C42" s="12">
        <v>7</v>
      </c>
      <c r="D42" s="8">
        <v>1.41</v>
      </c>
      <c r="E42" s="12">
        <v>3</v>
      </c>
      <c r="F42" s="8">
        <v>1.1399999999999999</v>
      </c>
      <c r="G42" s="12">
        <v>4</v>
      </c>
      <c r="H42" s="8">
        <v>1.85</v>
      </c>
      <c r="I42" s="12">
        <v>0</v>
      </c>
    </row>
    <row r="43" spans="2:9" ht="15" customHeight="1" x14ac:dyDescent="0.2">
      <c r="B43" t="s">
        <v>257</v>
      </c>
      <c r="C43" s="12">
        <v>6</v>
      </c>
      <c r="D43" s="8">
        <v>1.2</v>
      </c>
      <c r="E43" s="12">
        <v>2</v>
      </c>
      <c r="F43" s="8">
        <v>0.76</v>
      </c>
      <c r="G43" s="12">
        <v>4</v>
      </c>
      <c r="H43" s="8">
        <v>1.85</v>
      </c>
      <c r="I43" s="12">
        <v>0</v>
      </c>
    </row>
    <row r="44" spans="2:9" ht="15" customHeight="1" x14ac:dyDescent="0.2">
      <c r="B44" t="s">
        <v>232</v>
      </c>
      <c r="C44" s="12">
        <v>6</v>
      </c>
      <c r="D44" s="8">
        <v>1.2</v>
      </c>
      <c r="E44" s="12">
        <v>0</v>
      </c>
      <c r="F44" s="8">
        <v>0</v>
      </c>
      <c r="G44" s="12">
        <v>5</v>
      </c>
      <c r="H44" s="8">
        <v>2.31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304</v>
      </c>
      <c r="C48" s="12">
        <v>28</v>
      </c>
      <c r="D48" s="8">
        <v>5.62</v>
      </c>
      <c r="E48" s="12">
        <v>28</v>
      </c>
      <c r="F48" s="8">
        <v>10.65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301</v>
      </c>
      <c r="C49" s="12">
        <v>23</v>
      </c>
      <c r="D49" s="8">
        <v>4.62</v>
      </c>
      <c r="E49" s="12">
        <v>21</v>
      </c>
      <c r="F49" s="8">
        <v>7.98</v>
      </c>
      <c r="G49" s="12">
        <v>2</v>
      </c>
      <c r="H49" s="8">
        <v>0.93</v>
      </c>
      <c r="I49" s="12">
        <v>0</v>
      </c>
    </row>
    <row r="50" spans="2:9" ht="15" customHeight="1" x14ac:dyDescent="0.2">
      <c r="B50" t="s">
        <v>297</v>
      </c>
      <c r="C50" s="12">
        <v>20</v>
      </c>
      <c r="D50" s="8">
        <v>4.0199999999999996</v>
      </c>
      <c r="E50" s="12">
        <v>16</v>
      </c>
      <c r="F50" s="8">
        <v>6.08</v>
      </c>
      <c r="G50" s="12">
        <v>2</v>
      </c>
      <c r="H50" s="8">
        <v>0.93</v>
      </c>
      <c r="I50" s="12">
        <v>0</v>
      </c>
    </row>
    <row r="51" spans="2:9" ht="15" customHeight="1" x14ac:dyDescent="0.2">
      <c r="B51" t="s">
        <v>303</v>
      </c>
      <c r="C51" s="12">
        <v>20</v>
      </c>
      <c r="D51" s="8">
        <v>4.0199999999999996</v>
      </c>
      <c r="E51" s="12">
        <v>19</v>
      </c>
      <c r="F51" s="8">
        <v>7.22</v>
      </c>
      <c r="G51" s="12">
        <v>1</v>
      </c>
      <c r="H51" s="8">
        <v>0.46</v>
      </c>
      <c r="I51" s="12">
        <v>0</v>
      </c>
    </row>
    <row r="52" spans="2:9" ht="15" customHeight="1" x14ac:dyDescent="0.2">
      <c r="B52" t="s">
        <v>288</v>
      </c>
      <c r="C52" s="12">
        <v>12</v>
      </c>
      <c r="D52" s="8">
        <v>2.41</v>
      </c>
      <c r="E52" s="12">
        <v>3</v>
      </c>
      <c r="F52" s="8">
        <v>1.1399999999999999</v>
      </c>
      <c r="G52" s="12">
        <v>9</v>
      </c>
      <c r="H52" s="8">
        <v>4.17</v>
      </c>
      <c r="I52" s="12">
        <v>0</v>
      </c>
    </row>
    <row r="53" spans="2:9" ht="15" customHeight="1" x14ac:dyDescent="0.2">
      <c r="B53" t="s">
        <v>292</v>
      </c>
      <c r="C53" s="12">
        <v>12</v>
      </c>
      <c r="D53" s="8">
        <v>2.41</v>
      </c>
      <c r="E53" s="12">
        <v>10</v>
      </c>
      <c r="F53" s="8">
        <v>3.8</v>
      </c>
      <c r="G53" s="12">
        <v>2</v>
      </c>
      <c r="H53" s="8">
        <v>0.93</v>
      </c>
      <c r="I53" s="12">
        <v>0</v>
      </c>
    </row>
    <row r="54" spans="2:9" ht="15" customHeight="1" x14ac:dyDescent="0.2">
      <c r="B54" t="s">
        <v>339</v>
      </c>
      <c r="C54" s="12">
        <v>12</v>
      </c>
      <c r="D54" s="8">
        <v>2.41</v>
      </c>
      <c r="E54" s="12">
        <v>7</v>
      </c>
      <c r="F54" s="8">
        <v>2.66</v>
      </c>
      <c r="G54" s="12">
        <v>5</v>
      </c>
      <c r="H54" s="8">
        <v>2.31</v>
      </c>
      <c r="I54" s="12">
        <v>0</v>
      </c>
    </row>
    <row r="55" spans="2:9" ht="15" customHeight="1" x14ac:dyDescent="0.2">
      <c r="B55" t="s">
        <v>300</v>
      </c>
      <c r="C55" s="12">
        <v>12</v>
      </c>
      <c r="D55" s="8">
        <v>2.41</v>
      </c>
      <c r="E55" s="12">
        <v>8</v>
      </c>
      <c r="F55" s="8">
        <v>3.04</v>
      </c>
      <c r="G55" s="12">
        <v>4</v>
      </c>
      <c r="H55" s="8">
        <v>1.85</v>
      </c>
      <c r="I55" s="12">
        <v>0</v>
      </c>
    </row>
    <row r="56" spans="2:9" ht="15" customHeight="1" x14ac:dyDescent="0.2">
      <c r="B56" t="s">
        <v>299</v>
      </c>
      <c r="C56" s="12">
        <v>11</v>
      </c>
      <c r="D56" s="8">
        <v>2.21</v>
      </c>
      <c r="E56" s="12">
        <v>10</v>
      </c>
      <c r="F56" s="8">
        <v>3.8</v>
      </c>
      <c r="G56" s="12">
        <v>1</v>
      </c>
      <c r="H56" s="8">
        <v>0.46</v>
      </c>
      <c r="I56" s="12">
        <v>0</v>
      </c>
    </row>
    <row r="57" spans="2:9" ht="15" customHeight="1" x14ac:dyDescent="0.2">
      <c r="B57" t="s">
        <v>289</v>
      </c>
      <c r="C57" s="12">
        <v>10</v>
      </c>
      <c r="D57" s="8">
        <v>2.0099999999999998</v>
      </c>
      <c r="E57" s="12">
        <v>4</v>
      </c>
      <c r="F57" s="8">
        <v>1.52</v>
      </c>
      <c r="G57" s="12">
        <v>6</v>
      </c>
      <c r="H57" s="8">
        <v>2.78</v>
      </c>
      <c r="I57" s="12">
        <v>0</v>
      </c>
    </row>
    <row r="58" spans="2:9" ht="15" customHeight="1" x14ac:dyDescent="0.2">
      <c r="B58" t="s">
        <v>328</v>
      </c>
      <c r="C58" s="12">
        <v>10</v>
      </c>
      <c r="D58" s="8">
        <v>2.0099999999999998</v>
      </c>
      <c r="E58" s="12">
        <v>4</v>
      </c>
      <c r="F58" s="8">
        <v>1.52</v>
      </c>
      <c r="G58" s="12">
        <v>6</v>
      </c>
      <c r="H58" s="8">
        <v>2.78</v>
      </c>
      <c r="I58" s="12">
        <v>0</v>
      </c>
    </row>
    <row r="59" spans="2:9" ht="15" customHeight="1" x14ac:dyDescent="0.2">
      <c r="B59" t="s">
        <v>290</v>
      </c>
      <c r="C59" s="12">
        <v>10</v>
      </c>
      <c r="D59" s="8">
        <v>2.0099999999999998</v>
      </c>
      <c r="E59" s="12">
        <v>2</v>
      </c>
      <c r="F59" s="8">
        <v>0.76</v>
      </c>
      <c r="G59" s="12">
        <v>8</v>
      </c>
      <c r="H59" s="8">
        <v>3.7</v>
      </c>
      <c r="I59" s="12">
        <v>0</v>
      </c>
    </row>
    <row r="60" spans="2:9" ht="15" customHeight="1" x14ac:dyDescent="0.2">
      <c r="B60" t="s">
        <v>293</v>
      </c>
      <c r="C60" s="12">
        <v>10</v>
      </c>
      <c r="D60" s="8">
        <v>2.0099999999999998</v>
      </c>
      <c r="E60" s="12">
        <v>2</v>
      </c>
      <c r="F60" s="8">
        <v>0.76</v>
      </c>
      <c r="G60" s="12">
        <v>8</v>
      </c>
      <c r="H60" s="8">
        <v>3.7</v>
      </c>
      <c r="I60" s="12">
        <v>0</v>
      </c>
    </row>
    <row r="61" spans="2:9" ht="15" customHeight="1" x14ac:dyDescent="0.2">
      <c r="B61" t="s">
        <v>329</v>
      </c>
      <c r="C61" s="12">
        <v>9</v>
      </c>
      <c r="D61" s="8">
        <v>1.81</v>
      </c>
      <c r="E61" s="12">
        <v>7</v>
      </c>
      <c r="F61" s="8">
        <v>2.66</v>
      </c>
      <c r="G61" s="12">
        <v>2</v>
      </c>
      <c r="H61" s="8">
        <v>0.93</v>
      </c>
      <c r="I61" s="12">
        <v>0</v>
      </c>
    </row>
    <row r="62" spans="2:9" ht="15" customHeight="1" x14ac:dyDescent="0.2">
      <c r="B62" t="s">
        <v>295</v>
      </c>
      <c r="C62" s="12">
        <v>9</v>
      </c>
      <c r="D62" s="8">
        <v>1.81</v>
      </c>
      <c r="E62" s="12">
        <v>3</v>
      </c>
      <c r="F62" s="8">
        <v>1.1399999999999999</v>
      </c>
      <c r="G62" s="12">
        <v>6</v>
      </c>
      <c r="H62" s="8">
        <v>2.78</v>
      </c>
      <c r="I62" s="12">
        <v>0</v>
      </c>
    </row>
    <row r="63" spans="2:9" ht="15" customHeight="1" x14ac:dyDescent="0.2">
      <c r="B63" t="s">
        <v>307</v>
      </c>
      <c r="C63" s="12">
        <v>9</v>
      </c>
      <c r="D63" s="8">
        <v>1.81</v>
      </c>
      <c r="E63" s="12">
        <v>7</v>
      </c>
      <c r="F63" s="8">
        <v>2.66</v>
      </c>
      <c r="G63" s="12">
        <v>2</v>
      </c>
      <c r="H63" s="8">
        <v>0.93</v>
      </c>
      <c r="I63" s="12">
        <v>0</v>
      </c>
    </row>
    <row r="64" spans="2:9" ht="15" customHeight="1" x14ac:dyDescent="0.2">
      <c r="B64" t="s">
        <v>335</v>
      </c>
      <c r="C64" s="12">
        <v>8</v>
      </c>
      <c r="D64" s="8">
        <v>1.61</v>
      </c>
      <c r="E64" s="12">
        <v>4</v>
      </c>
      <c r="F64" s="8">
        <v>1.52</v>
      </c>
      <c r="G64" s="12">
        <v>4</v>
      </c>
      <c r="H64" s="8">
        <v>1.85</v>
      </c>
      <c r="I64" s="12">
        <v>0</v>
      </c>
    </row>
    <row r="65" spans="2:9" ht="15" customHeight="1" x14ac:dyDescent="0.2">
      <c r="B65" t="s">
        <v>333</v>
      </c>
      <c r="C65" s="12">
        <v>7</v>
      </c>
      <c r="D65" s="8">
        <v>1.41</v>
      </c>
      <c r="E65" s="12">
        <v>2</v>
      </c>
      <c r="F65" s="8">
        <v>0.76</v>
      </c>
      <c r="G65" s="12">
        <v>5</v>
      </c>
      <c r="H65" s="8">
        <v>2.31</v>
      </c>
      <c r="I65" s="12">
        <v>0</v>
      </c>
    </row>
    <row r="66" spans="2:9" ht="15" customHeight="1" x14ac:dyDescent="0.2">
      <c r="B66" t="s">
        <v>332</v>
      </c>
      <c r="C66" s="12">
        <v>7</v>
      </c>
      <c r="D66" s="8">
        <v>1.41</v>
      </c>
      <c r="E66" s="12">
        <v>5</v>
      </c>
      <c r="F66" s="8">
        <v>1.9</v>
      </c>
      <c r="G66" s="12">
        <v>2</v>
      </c>
      <c r="H66" s="8">
        <v>0.93</v>
      </c>
      <c r="I66" s="12">
        <v>0</v>
      </c>
    </row>
    <row r="67" spans="2:9" ht="15" customHeight="1" x14ac:dyDescent="0.2">
      <c r="B67" t="s">
        <v>302</v>
      </c>
      <c r="C67" s="12">
        <v>7</v>
      </c>
      <c r="D67" s="8">
        <v>1.41</v>
      </c>
      <c r="E67" s="12">
        <v>7</v>
      </c>
      <c r="F67" s="8">
        <v>2.66</v>
      </c>
      <c r="G67" s="12">
        <v>0</v>
      </c>
      <c r="H67" s="8">
        <v>0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625DC-3490-4288-AE90-F273D26460F5}">
  <sheetPr>
    <pageSetUpPr fitToPage="1"/>
  </sheetPr>
  <dimension ref="B2:I7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22</v>
      </c>
      <c r="D6" s="8">
        <v>12.57</v>
      </c>
      <c r="E6" s="12">
        <v>6</v>
      </c>
      <c r="F6" s="8">
        <v>7.06</v>
      </c>
      <c r="G6" s="12">
        <v>16</v>
      </c>
      <c r="H6" s="8">
        <v>19.75</v>
      </c>
      <c r="I6" s="12">
        <v>0</v>
      </c>
    </row>
    <row r="7" spans="2:9" ht="15" customHeight="1" x14ac:dyDescent="0.2">
      <c r="B7" t="s">
        <v>192</v>
      </c>
      <c r="C7" s="12">
        <v>15</v>
      </c>
      <c r="D7" s="8">
        <v>8.57</v>
      </c>
      <c r="E7" s="12">
        <v>4</v>
      </c>
      <c r="F7" s="8">
        <v>4.71</v>
      </c>
      <c r="G7" s="12">
        <v>11</v>
      </c>
      <c r="H7" s="8">
        <v>13.58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1.71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1.1399999999999999</v>
      </c>
      <c r="E10" s="12">
        <v>1</v>
      </c>
      <c r="F10" s="8">
        <v>1.18</v>
      </c>
      <c r="G10" s="12">
        <v>1</v>
      </c>
      <c r="H10" s="8">
        <v>1.23</v>
      </c>
      <c r="I10" s="12">
        <v>0</v>
      </c>
    </row>
    <row r="11" spans="2:9" ht="15" customHeight="1" x14ac:dyDescent="0.2">
      <c r="B11" t="s">
        <v>196</v>
      </c>
      <c r="C11" s="12">
        <v>45</v>
      </c>
      <c r="D11" s="8">
        <v>25.71</v>
      </c>
      <c r="E11" s="12">
        <v>21</v>
      </c>
      <c r="F11" s="8">
        <v>24.71</v>
      </c>
      <c r="G11" s="12">
        <v>24</v>
      </c>
      <c r="H11" s="8">
        <v>29.63</v>
      </c>
      <c r="I11" s="12">
        <v>0</v>
      </c>
    </row>
    <row r="12" spans="2:9" ht="15" customHeight="1" x14ac:dyDescent="0.2">
      <c r="B12" t="s">
        <v>197</v>
      </c>
      <c r="C12" s="12">
        <v>2</v>
      </c>
      <c r="D12" s="8">
        <v>1.1399999999999999</v>
      </c>
      <c r="E12" s="12">
        <v>0</v>
      </c>
      <c r="F12" s="8">
        <v>0</v>
      </c>
      <c r="G12" s="12">
        <v>2</v>
      </c>
      <c r="H12" s="8">
        <v>2.4700000000000002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1.71</v>
      </c>
      <c r="E13" s="12">
        <v>1</v>
      </c>
      <c r="F13" s="8">
        <v>1.18</v>
      </c>
      <c r="G13" s="12">
        <v>2</v>
      </c>
      <c r="H13" s="8">
        <v>2.4700000000000002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2.29</v>
      </c>
      <c r="E14" s="12">
        <v>3</v>
      </c>
      <c r="F14" s="8">
        <v>3.53</v>
      </c>
      <c r="G14" s="12">
        <v>1</v>
      </c>
      <c r="H14" s="8">
        <v>1.23</v>
      </c>
      <c r="I14" s="12">
        <v>0</v>
      </c>
    </row>
    <row r="15" spans="2:9" ht="15" customHeight="1" x14ac:dyDescent="0.2">
      <c r="B15" t="s">
        <v>200</v>
      </c>
      <c r="C15" s="12">
        <v>34</v>
      </c>
      <c r="D15" s="8">
        <v>19.43</v>
      </c>
      <c r="E15" s="12">
        <v>26</v>
      </c>
      <c r="F15" s="8">
        <v>30.59</v>
      </c>
      <c r="G15" s="12">
        <v>7</v>
      </c>
      <c r="H15" s="8">
        <v>8.64</v>
      </c>
      <c r="I15" s="12">
        <v>0</v>
      </c>
    </row>
    <row r="16" spans="2:9" ht="15" customHeight="1" x14ac:dyDescent="0.2">
      <c r="B16" t="s">
        <v>201</v>
      </c>
      <c r="C16" s="12">
        <v>19</v>
      </c>
      <c r="D16" s="8">
        <v>10.86</v>
      </c>
      <c r="E16" s="12">
        <v>15</v>
      </c>
      <c r="F16" s="8">
        <v>17.649999999999999</v>
      </c>
      <c r="G16" s="12">
        <v>3</v>
      </c>
      <c r="H16" s="8">
        <v>3.7</v>
      </c>
      <c r="I16" s="12">
        <v>0</v>
      </c>
    </row>
    <row r="17" spans="2:9" ht="15" customHeight="1" x14ac:dyDescent="0.2">
      <c r="B17" t="s">
        <v>202</v>
      </c>
      <c r="C17" s="12">
        <v>6</v>
      </c>
      <c r="D17" s="8">
        <v>3.43</v>
      </c>
      <c r="E17" s="12">
        <v>3</v>
      </c>
      <c r="F17" s="8">
        <v>3.53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7</v>
      </c>
      <c r="D18" s="8">
        <v>4</v>
      </c>
      <c r="E18" s="12">
        <v>4</v>
      </c>
      <c r="F18" s="8">
        <v>4.71</v>
      </c>
      <c r="G18" s="12">
        <v>3</v>
      </c>
      <c r="H18" s="8">
        <v>3.7</v>
      </c>
      <c r="I18" s="12">
        <v>0</v>
      </c>
    </row>
    <row r="19" spans="2:9" ht="15" customHeight="1" x14ac:dyDescent="0.2">
      <c r="B19" t="s">
        <v>204</v>
      </c>
      <c r="C19" s="12">
        <v>13</v>
      </c>
      <c r="D19" s="8">
        <v>7.43</v>
      </c>
      <c r="E19" s="12">
        <v>1</v>
      </c>
      <c r="F19" s="8">
        <v>1.18</v>
      </c>
      <c r="G19" s="12">
        <v>11</v>
      </c>
      <c r="H19" s="8">
        <v>13.58</v>
      </c>
      <c r="I19" s="12">
        <v>0</v>
      </c>
    </row>
    <row r="20" spans="2:9" ht="15" customHeight="1" x14ac:dyDescent="0.2">
      <c r="B20" s="9" t="s">
        <v>529</v>
      </c>
      <c r="C20" s="12">
        <f>SUM(LTBL_01347[総数／事業所数])</f>
        <v>175</v>
      </c>
      <c r="E20" s="12">
        <f>SUBTOTAL(109,LTBL_01347[個人／事業所数])</f>
        <v>85</v>
      </c>
      <c r="G20" s="12">
        <f>SUBTOTAL(109,LTBL_01347[法人／事業所数])</f>
        <v>81</v>
      </c>
      <c r="I20" s="12">
        <f>SUBTOTAL(109,LTBL_01347[法人以外の団体／事業所数])</f>
        <v>0</v>
      </c>
    </row>
    <row r="21" spans="2:9" ht="15" customHeight="1" x14ac:dyDescent="0.2">
      <c r="E21" s="11">
        <f>LTBL_01347[[#Totals],[個人／事業所数]]/LTBL_01347[[#Totals],[総数／事業所数]]</f>
        <v>0.48571428571428571</v>
      </c>
      <c r="G21" s="11">
        <f>LTBL_01347[[#Totals],[法人／事業所数]]/LTBL_01347[[#Totals],[総数／事業所数]]</f>
        <v>0.46285714285714286</v>
      </c>
      <c r="I21" s="11">
        <f>LTBL_01347[[#Totals],[法人以外の団体／事業所数]]/LTBL_01347[[#Totals],[総数／事業所数]]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27</v>
      </c>
      <c r="D24" s="8">
        <v>15.43</v>
      </c>
      <c r="E24" s="12">
        <v>21</v>
      </c>
      <c r="F24" s="8">
        <v>24.71</v>
      </c>
      <c r="G24" s="12">
        <v>6</v>
      </c>
      <c r="H24" s="8">
        <v>7.41</v>
      </c>
      <c r="I24" s="12">
        <v>0</v>
      </c>
    </row>
    <row r="25" spans="2:9" ht="15" customHeight="1" x14ac:dyDescent="0.2">
      <c r="B25" t="s">
        <v>223</v>
      </c>
      <c r="C25" s="12">
        <v>17</v>
      </c>
      <c r="D25" s="8">
        <v>9.7100000000000009</v>
      </c>
      <c r="E25" s="12">
        <v>7</v>
      </c>
      <c r="F25" s="8">
        <v>8.24</v>
      </c>
      <c r="G25" s="12">
        <v>10</v>
      </c>
      <c r="H25" s="8">
        <v>12.35</v>
      </c>
      <c r="I25" s="12">
        <v>0</v>
      </c>
    </row>
    <row r="26" spans="2:9" ht="15" customHeight="1" x14ac:dyDescent="0.2">
      <c r="B26" t="s">
        <v>228</v>
      </c>
      <c r="C26" s="12">
        <v>17</v>
      </c>
      <c r="D26" s="8">
        <v>9.7100000000000009</v>
      </c>
      <c r="E26" s="12">
        <v>15</v>
      </c>
      <c r="F26" s="8">
        <v>17.649999999999999</v>
      </c>
      <c r="G26" s="12">
        <v>2</v>
      </c>
      <c r="H26" s="8">
        <v>2.4700000000000002</v>
      </c>
      <c r="I26" s="12">
        <v>0</v>
      </c>
    </row>
    <row r="27" spans="2:9" ht="15" customHeight="1" x14ac:dyDescent="0.2">
      <c r="B27" t="s">
        <v>221</v>
      </c>
      <c r="C27" s="12">
        <v>11</v>
      </c>
      <c r="D27" s="8">
        <v>6.29</v>
      </c>
      <c r="E27" s="12">
        <v>7</v>
      </c>
      <c r="F27" s="8">
        <v>8.24</v>
      </c>
      <c r="G27" s="12">
        <v>4</v>
      </c>
      <c r="H27" s="8">
        <v>4.9400000000000004</v>
      </c>
      <c r="I27" s="12">
        <v>0</v>
      </c>
    </row>
    <row r="28" spans="2:9" ht="15" customHeight="1" x14ac:dyDescent="0.2">
      <c r="B28" t="s">
        <v>214</v>
      </c>
      <c r="C28" s="12">
        <v>10</v>
      </c>
      <c r="D28" s="8">
        <v>5.71</v>
      </c>
      <c r="E28" s="12">
        <v>5</v>
      </c>
      <c r="F28" s="8">
        <v>5.88</v>
      </c>
      <c r="G28" s="12">
        <v>5</v>
      </c>
      <c r="H28" s="8">
        <v>6.17</v>
      </c>
      <c r="I28" s="12">
        <v>0</v>
      </c>
    </row>
    <row r="29" spans="2:9" ht="15" customHeight="1" x14ac:dyDescent="0.2">
      <c r="B29" t="s">
        <v>213</v>
      </c>
      <c r="C29" s="12">
        <v>7</v>
      </c>
      <c r="D29" s="8">
        <v>4</v>
      </c>
      <c r="E29" s="12">
        <v>0</v>
      </c>
      <c r="F29" s="8">
        <v>0</v>
      </c>
      <c r="G29" s="12">
        <v>7</v>
      </c>
      <c r="H29" s="8">
        <v>8.64</v>
      </c>
      <c r="I29" s="12">
        <v>0</v>
      </c>
    </row>
    <row r="30" spans="2:9" ht="15" customHeight="1" x14ac:dyDescent="0.2">
      <c r="B30" t="s">
        <v>241</v>
      </c>
      <c r="C30" s="12">
        <v>7</v>
      </c>
      <c r="D30" s="8">
        <v>4</v>
      </c>
      <c r="E30" s="12">
        <v>1</v>
      </c>
      <c r="F30" s="8">
        <v>1.18</v>
      </c>
      <c r="G30" s="12">
        <v>6</v>
      </c>
      <c r="H30" s="8">
        <v>7.41</v>
      </c>
      <c r="I30" s="12">
        <v>0</v>
      </c>
    </row>
    <row r="31" spans="2:9" ht="15" customHeight="1" x14ac:dyDescent="0.2">
      <c r="B31" t="s">
        <v>220</v>
      </c>
      <c r="C31" s="12">
        <v>6</v>
      </c>
      <c r="D31" s="8">
        <v>3.43</v>
      </c>
      <c r="E31" s="12">
        <v>4</v>
      </c>
      <c r="F31" s="8">
        <v>4.71</v>
      </c>
      <c r="G31" s="12">
        <v>2</v>
      </c>
      <c r="H31" s="8">
        <v>2.4700000000000002</v>
      </c>
      <c r="I31" s="12">
        <v>0</v>
      </c>
    </row>
    <row r="32" spans="2:9" ht="15" customHeight="1" x14ac:dyDescent="0.2">
      <c r="B32" t="s">
        <v>230</v>
      </c>
      <c r="C32" s="12">
        <v>6</v>
      </c>
      <c r="D32" s="8">
        <v>3.43</v>
      </c>
      <c r="E32" s="12">
        <v>3</v>
      </c>
      <c r="F32" s="8">
        <v>3.53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215</v>
      </c>
      <c r="C33" s="12">
        <v>5</v>
      </c>
      <c r="D33" s="8">
        <v>2.86</v>
      </c>
      <c r="E33" s="12">
        <v>1</v>
      </c>
      <c r="F33" s="8">
        <v>1.18</v>
      </c>
      <c r="G33" s="12">
        <v>4</v>
      </c>
      <c r="H33" s="8">
        <v>4.9400000000000004</v>
      </c>
      <c r="I33" s="12">
        <v>0</v>
      </c>
    </row>
    <row r="34" spans="2:9" ht="15" customHeight="1" x14ac:dyDescent="0.2">
      <c r="B34" t="s">
        <v>231</v>
      </c>
      <c r="C34" s="12">
        <v>5</v>
      </c>
      <c r="D34" s="8">
        <v>2.86</v>
      </c>
      <c r="E34" s="12">
        <v>4</v>
      </c>
      <c r="F34" s="8">
        <v>4.71</v>
      </c>
      <c r="G34" s="12">
        <v>1</v>
      </c>
      <c r="H34" s="8">
        <v>1.23</v>
      </c>
      <c r="I34" s="12">
        <v>0</v>
      </c>
    </row>
    <row r="35" spans="2:9" ht="15" customHeight="1" x14ac:dyDescent="0.2">
      <c r="B35" t="s">
        <v>222</v>
      </c>
      <c r="C35" s="12">
        <v>4</v>
      </c>
      <c r="D35" s="8">
        <v>2.29</v>
      </c>
      <c r="E35" s="12">
        <v>2</v>
      </c>
      <c r="F35" s="8">
        <v>2.35</v>
      </c>
      <c r="G35" s="12">
        <v>2</v>
      </c>
      <c r="H35" s="8">
        <v>2.4700000000000002</v>
      </c>
      <c r="I35" s="12">
        <v>0</v>
      </c>
    </row>
    <row r="36" spans="2:9" ht="15" customHeight="1" x14ac:dyDescent="0.2">
      <c r="B36" t="s">
        <v>243</v>
      </c>
      <c r="C36" s="12">
        <v>4</v>
      </c>
      <c r="D36" s="8">
        <v>2.29</v>
      </c>
      <c r="E36" s="12">
        <v>4</v>
      </c>
      <c r="F36" s="8">
        <v>4.71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242</v>
      </c>
      <c r="C37" s="12">
        <v>4</v>
      </c>
      <c r="D37" s="8">
        <v>2.29</v>
      </c>
      <c r="E37" s="12">
        <v>1</v>
      </c>
      <c r="F37" s="8">
        <v>1.18</v>
      </c>
      <c r="G37" s="12">
        <v>3</v>
      </c>
      <c r="H37" s="8">
        <v>3.7</v>
      </c>
      <c r="I37" s="12">
        <v>0</v>
      </c>
    </row>
    <row r="38" spans="2:9" ht="15" customHeight="1" x14ac:dyDescent="0.2">
      <c r="B38" t="s">
        <v>217</v>
      </c>
      <c r="C38" s="12">
        <v>3</v>
      </c>
      <c r="D38" s="8">
        <v>1.71</v>
      </c>
      <c r="E38" s="12">
        <v>0</v>
      </c>
      <c r="F38" s="8">
        <v>0</v>
      </c>
      <c r="G38" s="12">
        <v>3</v>
      </c>
      <c r="H38" s="8">
        <v>3.7</v>
      </c>
      <c r="I38" s="12">
        <v>0</v>
      </c>
    </row>
    <row r="39" spans="2:9" ht="15" customHeight="1" x14ac:dyDescent="0.2">
      <c r="B39" t="s">
        <v>226</v>
      </c>
      <c r="C39" s="12">
        <v>3</v>
      </c>
      <c r="D39" s="8">
        <v>1.71</v>
      </c>
      <c r="E39" s="12">
        <v>2</v>
      </c>
      <c r="F39" s="8">
        <v>2.35</v>
      </c>
      <c r="G39" s="12">
        <v>1</v>
      </c>
      <c r="H39" s="8">
        <v>1.23</v>
      </c>
      <c r="I39" s="12">
        <v>0</v>
      </c>
    </row>
    <row r="40" spans="2:9" ht="15" customHeight="1" x14ac:dyDescent="0.2">
      <c r="B40" t="s">
        <v>239</v>
      </c>
      <c r="C40" s="12">
        <v>3</v>
      </c>
      <c r="D40" s="8">
        <v>1.71</v>
      </c>
      <c r="E40" s="12">
        <v>1</v>
      </c>
      <c r="F40" s="8">
        <v>1.18</v>
      </c>
      <c r="G40" s="12">
        <v>1</v>
      </c>
      <c r="H40" s="8">
        <v>1.23</v>
      </c>
      <c r="I40" s="12">
        <v>0</v>
      </c>
    </row>
    <row r="41" spans="2:9" ht="15" customHeight="1" x14ac:dyDescent="0.2">
      <c r="B41" t="s">
        <v>249</v>
      </c>
      <c r="C41" s="12">
        <v>3</v>
      </c>
      <c r="D41" s="8">
        <v>1.71</v>
      </c>
      <c r="E41" s="12">
        <v>0</v>
      </c>
      <c r="F41" s="8">
        <v>0</v>
      </c>
      <c r="G41" s="12">
        <v>3</v>
      </c>
      <c r="H41" s="8">
        <v>3.7</v>
      </c>
      <c r="I41" s="12">
        <v>0</v>
      </c>
    </row>
    <row r="42" spans="2:9" ht="15" customHeight="1" x14ac:dyDescent="0.2">
      <c r="B42" t="s">
        <v>240</v>
      </c>
      <c r="C42" s="12">
        <v>3</v>
      </c>
      <c r="D42" s="8">
        <v>1.71</v>
      </c>
      <c r="E42" s="12">
        <v>0</v>
      </c>
      <c r="F42" s="8">
        <v>0</v>
      </c>
      <c r="G42" s="12">
        <v>3</v>
      </c>
      <c r="H42" s="8">
        <v>3.7</v>
      </c>
      <c r="I42" s="12">
        <v>0</v>
      </c>
    </row>
    <row r="43" spans="2:9" ht="15" customHeight="1" x14ac:dyDescent="0.2">
      <c r="B43" t="s">
        <v>244</v>
      </c>
      <c r="C43" s="12">
        <v>2</v>
      </c>
      <c r="D43" s="8">
        <v>1.1399999999999999</v>
      </c>
      <c r="E43" s="12">
        <v>0</v>
      </c>
      <c r="F43" s="8">
        <v>0</v>
      </c>
      <c r="G43" s="12">
        <v>2</v>
      </c>
      <c r="H43" s="8">
        <v>2.4700000000000002</v>
      </c>
      <c r="I43" s="12">
        <v>0</v>
      </c>
    </row>
    <row r="44" spans="2:9" ht="15" customHeight="1" x14ac:dyDescent="0.2">
      <c r="B44" t="s">
        <v>268</v>
      </c>
      <c r="C44" s="12">
        <v>2</v>
      </c>
      <c r="D44" s="8">
        <v>1.1399999999999999</v>
      </c>
      <c r="E44" s="12">
        <v>2</v>
      </c>
      <c r="F44" s="8">
        <v>2.35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269</v>
      </c>
      <c r="C45" s="12">
        <v>2</v>
      </c>
      <c r="D45" s="8">
        <v>1.1399999999999999</v>
      </c>
      <c r="E45" s="12">
        <v>0</v>
      </c>
      <c r="F45" s="8">
        <v>0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216</v>
      </c>
      <c r="C46" s="12">
        <v>2</v>
      </c>
      <c r="D46" s="8">
        <v>1.1399999999999999</v>
      </c>
      <c r="E46" s="12">
        <v>1</v>
      </c>
      <c r="F46" s="8">
        <v>1.18</v>
      </c>
      <c r="G46" s="12">
        <v>1</v>
      </c>
      <c r="H46" s="8">
        <v>1.23</v>
      </c>
      <c r="I46" s="12">
        <v>0</v>
      </c>
    </row>
    <row r="47" spans="2:9" ht="15" customHeight="1" x14ac:dyDescent="0.2">
      <c r="B47" t="s">
        <v>237</v>
      </c>
      <c r="C47" s="12">
        <v>2</v>
      </c>
      <c r="D47" s="8">
        <v>1.1399999999999999</v>
      </c>
      <c r="E47" s="12">
        <v>0</v>
      </c>
      <c r="F47" s="8">
        <v>0</v>
      </c>
      <c r="G47" s="12">
        <v>2</v>
      </c>
      <c r="H47" s="8">
        <v>2.4700000000000002</v>
      </c>
      <c r="I47" s="12">
        <v>0</v>
      </c>
    </row>
    <row r="48" spans="2:9" ht="15" customHeight="1" x14ac:dyDescent="0.2">
      <c r="B48" t="s">
        <v>224</v>
      </c>
      <c r="C48" s="12">
        <v>2</v>
      </c>
      <c r="D48" s="8">
        <v>1.1399999999999999</v>
      </c>
      <c r="E48" s="12">
        <v>1</v>
      </c>
      <c r="F48" s="8">
        <v>1.18</v>
      </c>
      <c r="G48" s="12">
        <v>1</v>
      </c>
      <c r="H48" s="8">
        <v>1.23</v>
      </c>
      <c r="I48" s="12">
        <v>0</v>
      </c>
    </row>
    <row r="49" spans="2:9" ht="15" customHeight="1" x14ac:dyDescent="0.2">
      <c r="B49" t="s">
        <v>247</v>
      </c>
      <c r="C49" s="12">
        <v>2</v>
      </c>
      <c r="D49" s="8">
        <v>1.1399999999999999</v>
      </c>
      <c r="E49" s="12">
        <v>0</v>
      </c>
      <c r="F49" s="8">
        <v>0</v>
      </c>
      <c r="G49" s="12">
        <v>1</v>
      </c>
      <c r="H49" s="8">
        <v>1.23</v>
      </c>
      <c r="I49" s="12">
        <v>0</v>
      </c>
    </row>
    <row r="50" spans="2:9" ht="15" customHeight="1" x14ac:dyDescent="0.2">
      <c r="B50" t="s">
        <v>232</v>
      </c>
      <c r="C50" s="12">
        <v>2</v>
      </c>
      <c r="D50" s="8">
        <v>1.1399999999999999</v>
      </c>
      <c r="E50" s="12">
        <v>0</v>
      </c>
      <c r="F50" s="8">
        <v>0</v>
      </c>
      <c r="G50" s="12">
        <v>2</v>
      </c>
      <c r="H50" s="8">
        <v>2.4700000000000002</v>
      </c>
      <c r="I50" s="12">
        <v>0</v>
      </c>
    </row>
    <row r="51" spans="2:9" ht="15" customHeight="1" x14ac:dyDescent="0.2">
      <c r="B51" t="s">
        <v>234</v>
      </c>
      <c r="C51" s="12">
        <v>2</v>
      </c>
      <c r="D51" s="8">
        <v>1.1399999999999999</v>
      </c>
      <c r="E51" s="12">
        <v>0</v>
      </c>
      <c r="F51" s="8">
        <v>0</v>
      </c>
      <c r="G51" s="12">
        <v>2</v>
      </c>
      <c r="H51" s="8">
        <v>2.4700000000000002</v>
      </c>
      <c r="I51" s="12">
        <v>0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304</v>
      </c>
      <c r="C55" s="12">
        <v>10</v>
      </c>
      <c r="D55" s="8">
        <v>5.71</v>
      </c>
      <c r="E55" s="12">
        <v>9</v>
      </c>
      <c r="F55" s="8">
        <v>10.59</v>
      </c>
      <c r="G55" s="12">
        <v>1</v>
      </c>
      <c r="H55" s="8">
        <v>1.23</v>
      </c>
      <c r="I55" s="12">
        <v>0</v>
      </c>
    </row>
    <row r="56" spans="2:9" ht="15" customHeight="1" x14ac:dyDescent="0.2">
      <c r="B56" t="s">
        <v>300</v>
      </c>
      <c r="C56" s="12">
        <v>7</v>
      </c>
      <c r="D56" s="8">
        <v>4</v>
      </c>
      <c r="E56" s="12">
        <v>7</v>
      </c>
      <c r="F56" s="8">
        <v>8.24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303</v>
      </c>
      <c r="C57" s="12">
        <v>6</v>
      </c>
      <c r="D57" s="8">
        <v>3.43</v>
      </c>
      <c r="E57" s="12">
        <v>6</v>
      </c>
      <c r="F57" s="8">
        <v>7.06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290</v>
      </c>
      <c r="C58" s="12">
        <v>5</v>
      </c>
      <c r="D58" s="8">
        <v>2.86</v>
      </c>
      <c r="E58" s="12">
        <v>1</v>
      </c>
      <c r="F58" s="8">
        <v>1.18</v>
      </c>
      <c r="G58" s="12">
        <v>4</v>
      </c>
      <c r="H58" s="8">
        <v>4.9400000000000004</v>
      </c>
      <c r="I58" s="12">
        <v>0</v>
      </c>
    </row>
    <row r="59" spans="2:9" ht="15" customHeight="1" x14ac:dyDescent="0.2">
      <c r="B59" t="s">
        <v>292</v>
      </c>
      <c r="C59" s="12">
        <v>5</v>
      </c>
      <c r="D59" s="8">
        <v>2.86</v>
      </c>
      <c r="E59" s="12">
        <v>5</v>
      </c>
      <c r="F59" s="8">
        <v>5.88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299</v>
      </c>
      <c r="C60" s="12">
        <v>5</v>
      </c>
      <c r="D60" s="8">
        <v>2.86</v>
      </c>
      <c r="E60" s="12">
        <v>4</v>
      </c>
      <c r="F60" s="8">
        <v>4.71</v>
      </c>
      <c r="G60" s="12">
        <v>1</v>
      </c>
      <c r="H60" s="8">
        <v>1.23</v>
      </c>
      <c r="I60" s="12">
        <v>0</v>
      </c>
    </row>
    <row r="61" spans="2:9" ht="15" customHeight="1" x14ac:dyDescent="0.2">
      <c r="B61" t="s">
        <v>333</v>
      </c>
      <c r="C61" s="12">
        <v>4</v>
      </c>
      <c r="D61" s="8">
        <v>2.29</v>
      </c>
      <c r="E61" s="12">
        <v>2</v>
      </c>
      <c r="F61" s="8">
        <v>2.35</v>
      </c>
      <c r="G61" s="12">
        <v>2</v>
      </c>
      <c r="H61" s="8">
        <v>2.4700000000000002</v>
      </c>
      <c r="I61" s="12">
        <v>0</v>
      </c>
    </row>
    <row r="62" spans="2:9" ht="15" customHeight="1" x14ac:dyDescent="0.2">
      <c r="B62" t="s">
        <v>330</v>
      </c>
      <c r="C62" s="12">
        <v>4</v>
      </c>
      <c r="D62" s="8">
        <v>2.29</v>
      </c>
      <c r="E62" s="12">
        <v>0</v>
      </c>
      <c r="F62" s="8">
        <v>0</v>
      </c>
      <c r="G62" s="12">
        <v>4</v>
      </c>
      <c r="H62" s="8">
        <v>4.9400000000000004</v>
      </c>
      <c r="I62" s="12">
        <v>0</v>
      </c>
    </row>
    <row r="63" spans="2:9" ht="15" customHeight="1" x14ac:dyDescent="0.2">
      <c r="B63" t="s">
        <v>337</v>
      </c>
      <c r="C63" s="12">
        <v>4</v>
      </c>
      <c r="D63" s="8">
        <v>2.29</v>
      </c>
      <c r="E63" s="12">
        <v>4</v>
      </c>
      <c r="F63" s="8">
        <v>4.71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339</v>
      </c>
      <c r="C64" s="12">
        <v>4</v>
      </c>
      <c r="D64" s="8">
        <v>2.29</v>
      </c>
      <c r="E64" s="12">
        <v>4</v>
      </c>
      <c r="F64" s="8">
        <v>4.71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301</v>
      </c>
      <c r="C65" s="12">
        <v>4</v>
      </c>
      <c r="D65" s="8">
        <v>2.29</v>
      </c>
      <c r="E65" s="12">
        <v>4</v>
      </c>
      <c r="F65" s="8">
        <v>4.71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302</v>
      </c>
      <c r="C66" s="12">
        <v>4</v>
      </c>
      <c r="D66" s="8">
        <v>2.29</v>
      </c>
      <c r="E66" s="12">
        <v>3</v>
      </c>
      <c r="F66" s="8">
        <v>3.53</v>
      </c>
      <c r="G66" s="12">
        <v>1</v>
      </c>
      <c r="H66" s="8">
        <v>1.23</v>
      </c>
      <c r="I66" s="12">
        <v>0</v>
      </c>
    </row>
    <row r="67" spans="2:9" ht="15" customHeight="1" x14ac:dyDescent="0.2">
      <c r="B67" t="s">
        <v>319</v>
      </c>
      <c r="C67" s="12">
        <v>3</v>
      </c>
      <c r="D67" s="8">
        <v>1.71</v>
      </c>
      <c r="E67" s="12">
        <v>0</v>
      </c>
      <c r="F67" s="8">
        <v>0</v>
      </c>
      <c r="G67" s="12">
        <v>3</v>
      </c>
      <c r="H67" s="8">
        <v>3.7</v>
      </c>
      <c r="I67" s="12">
        <v>0</v>
      </c>
    </row>
    <row r="68" spans="2:9" ht="15" customHeight="1" x14ac:dyDescent="0.2">
      <c r="B68" t="s">
        <v>342</v>
      </c>
      <c r="C68" s="12">
        <v>3</v>
      </c>
      <c r="D68" s="8">
        <v>1.71</v>
      </c>
      <c r="E68" s="12">
        <v>0</v>
      </c>
      <c r="F68" s="8">
        <v>0</v>
      </c>
      <c r="G68" s="12">
        <v>3</v>
      </c>
      <c r="H68" s="8">
        <v>3.7</v>
      </c>
      <c r="I68" s="12">
        <v>0</v>
      </c>
    </row>
    <row r="69" spans="2:9" ht="15" customHeight="1" x14ac:dyDescent="0.2">
      <c r="B69" t="s">
        <v>380</v>
      </c>
      <c r="C69" s="12">
        <v>3</v>
      </c>
      <c r="D69" s="8">
        <v>1.71</v>
      </c>
      <c r="E69" s="12">
        <v>1</v>
      </c>
      <c r="F69" s="8">
        <v>1.18</v>
      </c>
      <c r="G69" s="12">
        <v>2</v>
      </c>
      <c r="H69" s="8">
        <v>2.4700000000000002</v>
      </c>
      <c r="I69" s="12">
        <v>0</v>
      </c>
    </row>
    <row r="70" spans="2:9" ht="15" customHeight="1" x14ac:dyDescent="0.2">
      <c r="B70" t="s">
        <v>334</v>
      </c>
      <c r="C70" s="12">
        <v>3</v>
      </c>
      <c r="D70" s="8">
        <v>1.71</v>
      </c>
      <c r="E70" s="12">
        <v>1</v>
      </c>
      <c r="F70" s="8">
        <v>1.18</v>
      </c>
      <c r="G70" s="12">
        <v>2</v>
      </c>
      <c r="H70" s="8">
        <v>2.4700000000000002</v>
      </c>
      <c r="I70" s="12">
        <v>0</v>
      </c>
    </row>
    <row r="71" spans="2:9" ht="15" customHeight="1" x14ac:dyDescent="0.2">
      <c r="B71" t="s">
        <v>325</v>
      </c>
      <c r="C71" s="12">
        <v>3</v>
      </c>
      <c r="D71" s="8">
        <v>1.71</v>
      </c>
      <c r="E71" s="12">
        <v>1</v>
      </c>
      <c r="F71" s="8">
        <v>1.18</v>
      </c>
      <c r="G71" s="12">
        <v>1</v>
      </c>
      <c r="H71" s="8">
        <v>1.23</v>
      </c>
      <c r="I71" s="12">
        <v>0</v>
      </c>
    </row>
    <row r="72" spans="2:9" ht="15" customHeight="1" x14ac:dyDescent="0.2">
      <c r="B72" t="s">
        <v>340</v>
      </c>
      <c r="C72" s="12">
        <v>3</v>
      </c>
      <c r="D72" s="8">
        <v>1.71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306</v>
      </c>
      <c r="C73" s="12">
        <v>3</v>
      </c>
      <c r="D73" s="8">
        <v>1.71</v>
      </c>
      <c r="E73" s="12">
        <v>3</v>
      </c>
      <c r="F73" s="8">
        <v>3.53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307</v>
      </c>
      <c r="C74" s="12">
        <v>3</v>
      </c>
      <c r="D74" s="8">
        <v>1.71</v>
      </c>
      <c r="E74" s="12">
        <v>0</v>
      </c>
      <c r="F74" s="8">
        <v>0</v>
      </c>
      <c r="G74" s="12">
        <v>3</v>
      </c>
      <c r="H74" s="8">
        <v>3.7</v>
      </c>
      <c r="I74" s="12">
        <v>0</v>
      </c>
    </row>
    <row r="75" spans="2:9" ht="15" customHeight="1" x14ac:dyDescent="0.2">
      <c r="B75" t="s">
        <v>392</v>
      </c>
      <c r="C75" s="12">
        <v>3</v>
      </c>
      <c r="D75" s="8">
        <v>1.71</v>
      </c>
      <c r="E75" s="12">
        <v>1</v>
      </c>
      <c r="F75" s="8">
        <v>1.18</v>
      </c>
      <c r="G75" s="12">
        <v>2</v>
      </c>
      <c r="H75" s="8">
        <v>2.4700000000000002</v>
      </c>
      <c r="I75" s="12">
        <v>0</v>
      </c>
    </row>
    <row r="77" spans="2:9" ht="15" customHeight="1" x14ac:dyDescent="0.2">
      <c r="B7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D36E5-2CF7-4D10-AE00-BB28A881934C}">
  <sheetPr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589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42</v>
      </c>
      <c r="D6" s="8">
        <v>15</v>
      </c>
      <c r="E6" s="12">
        <v>15</v>
      </c>
      <c r="F6" s="8">
        <v>10.56</v>
      </c>
      <c r="G6" s="12">
        <v>27</v>
      </c>
      <c r="H6" s="8">
        <v>22.31</v>
      </c>
      <c r="I6" s="12">
        <v>0</v>
      </c>
    </row>
    <row r="7" spans="2:9" ht="15" customHeight="1" x14ac:dyDescent="0.2">
      <c r="B7" t="s">
        <v>192</v>
      </c>
      <c r="C7" s="12">
        <v>15</v>
      </c>
      <c r="D7" s="8">
        <v>5.36</v>
      </c>
      <c r="E7" s="12">
        <v>8</v>
      </c>
      <c r="F7" s="8">
        <v>5.63</v>
      </c>
      <c r="G7" s="12">
        <v>7</v>
      </c>
      <c r="H7" s="8">
        <v>5.79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1.07</v>
      </c>
      <c r="E8" s="12">
        <v>0</v>
      </c>
      <c r="F8" s="8">
        <v>0</v>
      </c>
      <c r="G8" s="12">
        <v>1</v>
      </c>
      <c r="H8" s="8">
        <v>0.83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0.71</v>
      </c>
      <c r="E9" s="12">
        <v>0</v>
      </c>
      <c r="F9" s="8">
        <v>0</v>
      </c>
      <c r="G9" s="12">
        <v>2</v>
      </c>
      <c r="H9" s="8">
        <v>1.65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67</v>
      </c>
      <c r="D11" s="8">
        <v>23.93</v>
      </c>
      <c r="E11" s="12">
        <v>30</v>
      </c>
      <c r="F11" s="8">
        <v>21.13</v>
      </c>
      <c r="G11" s="12">
        <v>34</v>
      </c>
      <c r="H11" s="8">
        <v>28.1</v>
      </c>
      <c r="I11" s="12">
        <v>3</v>
      </c>
    </row>
    <row r="12" spans="2:9" ht="15" customHeight="1" x14ac:dyDescent="0.2">
      <c r="B12" t="s">
        <v>197</v>
      </c>
      <c r="C12" s="12">
        <v>2</v>
      </c>
      <c r="D12" s="8">
        <v>0.71</v>
      </c>
      <c r="E12" s="12">
        <v>1</v>
      </c>
      <c r="F12" s="8">
        <v>0.7</v>
      </c>
      <c r="G12" s="12">
        <v>1</v>
      </c>
      <c r="H12" s="8">
        <v>0.83</v>
      </c>
      <c r="I12" s="12">
        <v>0</v>
      </c>
    </row>
    <row r="13" spans="2:9" ht="15" customHeight="1" x14ac:dyDescent="0.2">
      <c r="B13" t="s">
        <v>198</v>
      </c>
      <c r="C13" s="12">
        <v>16</v>
      </c>
      <c r="D13" s="8">
        <v>5.71</v>
      </c>
      <c r="E13" s="12">
        <v>6</v>
      </c>
      <c r="F13" s="8">
        <v>4.2300000000000004</v>
      </c>
      <c r="G13" s="12">
        <v>9</v>
      </c>
      <c r="H13" s="8">
        <v>7.44</v>
      </c>
      <c r="I13" s="12">
        <v>0</v>
      </c>
    </row>
    <row r="14" spans="2:9" ht="15" customHeight="1" x14ac:dyDescent="0.2">
      <c r="B14" t="s">
        <v>199</v>
      </c>
      <c r="C14" s="12">
        <v>9</v>
      </c>
      <c r="D14" s="8">
        <v>3.21</v>
      </c>
      <c r="E14" s="12">
        <v>2</v>
      </c>
      <c r="F14" s="8">
        <v>1.41</v>
      </c>
      <c r="G14" s="12">
        <v>6</v>
      </c>
      <c r="H14" s="8">
        <v>4.96</v>
      </c>
      <c r="I14" s="12">
        <v>0</v>
      </c>
    </row>
    <row r="15" spans="2:9" ht="15" customHeight="1" x14ac:dyDescent="0.2">
      <c r="B15" t="s">
        <v>200</v>
      </c>
      <c r="C15" s="12">
        <v>55</v>
      </c>
      <c r="D15" s="8">
        <v>19.64</v>
      </c>
      <c r="E15" s="12">
        <v>41</v>
      </c>
      <c r="F15" s="8">
        <v>28.87</v>
      </c>
      <c r="G15" s="12">
        <v>12</v>
      </c>
      <c r="H15" s="8">
        <v>9.92</v>
      </c>
      <c r="I15" s="12">
        <v>1</v>
      </c>
    </row>
    <row r="16" spans="2:9" ht="15" customHeight="1" x14ac:dyDescent="0.2">
      <c r="B16" t="s">
        <v>201</v>
      </c>
      <c r="C16" s="12">
        <v>34</v>
      </c>
      <c r="D16" s="8">
        <v>12.14</v>
      </c>
      <c r="E16" s="12">
        <v>28</v>
      </c>
      <c r="F16" s="8">
        <v>19.72</v>
      </c>
      <c r="G16" s="12">
        <v>6</v>
      </c>
      <c r="H16" s="8">
        <v>4.96</v>
      </c>
      <c r="I16" s="12">
        <v>0</v>
      </c>
    </row>
    <row r="17" spans="2:9" ht="15" customHeight="1" x14ac:dyDescent="0.2">
      <c r="B17" t="s">
        <v>202</v>
      </c>
      <c r="C17" s="12">
        <v>9</v>
      </c>
      <c r="D17" s="8">
        <v>3.21</v>
      </c>
      <c r="E17" s="12">
        <v>4</v>
      </c>
      <c r="F17" s="8">
        <v>2.82</v>
      </c>
      <c r="G17" s="12">
        <v>1</v>
      </c>
      <c r="H17" s="8">
        <v>0.83</v>
      </c>
      <c r="I17" s="12">
        <v>0</v>
      </c>
    </row>
    <row r="18" spans="2:9" ht="15" customHeight="1" x14ac:dyDescent="0.2">
      <c r="B18" t="s">
        <v>203</v>
      </c>
      <c r="C18" s="12">
        <v>18</v>
      </c>
      <c r="D18" s="8">
        <v>6.43</v>
      </c>
      <c r="E18" s="12">
        <v>5</v>
      </c>
      <c r="F18" s="8">
        <v>3.52</v>
      </c>
      <c r="G18" s="12">
        <v>10</v>
      </c>
      <c r="H18" s="8">
        <v>8.26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2.86</v>
      </c>
      <c r="E19" s="12">
        <v>2</v>
      </c>
      <c r="F19" s="8">
        <v>1.41</v>
      </c>
      <c r="G19" s="12">
        <v>5</v>
      </c>
      <c r="H19" s="8">
        <v>4.13</v>
      </c>
      <c r="I19" s="12">
        <v>0</v>
      </c>
    </row>
    <row r="20" spans="2:9" ht="15" customHeight="1" x14ac:dyDescent="0.2">
      <c r="B20" s="9" t="s">
        <v>529</v>
      </c>
      <c r="C20" s="12">
        <f>SUM(LTBL_01361[総数／事業所数])</f>
        <v>280</v>
      </c>
      <c r="E20" s="12">
        <f>SUBTOTAL(109,LTBL_01361[個人／事業所数])</f>
        <v>142</v>
      </c>
      <c r="G20" s="12">
        <f>SUBTOTAL(109,LTBL_01361[法人／事業所数])</f>
        <v>121</v>
      </c>
      <c r="I20" s="12">
        <f>SUBTOTAL(109,LTBL_01361[法人以外の団体／事業所数])</f>
        <v>4</v>
      </c>
    </row>
    <row r="21" spans="2:9" ht="15" customHeight="1" x14ac:dyDescent="0.2">
      <c r="E21" s="11">
        <f>LTBL_01361[[#Totals],[個人／事業所数]]/LTBL_01361[[#Totals],[総数／事業所数]]</f>
        <v>0.50714285714285712</v>
      </c>
      <c r="G21" s="11">
        <f>LTBL_01361[[#Totals],[法人／事業所数]]/LTBL_01361[[#Totals],[総数／事業所数]]</f>
        <v>0.43214285714285716</v>
      </c>
      <c r="I21" s="11">
        <f>LTBL_01361[[#Totals],[法人以外の団体／事業所数]]/LTBL_01361[[#Totals],[総数／事業所数]]</f>
        <v>1.4285714285714285E-2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45</v>
      </c>
      <c r="D24" s="8">
        <v>16.07</v>
      </c>
      <c r="E24" s="12">
        <v>39</v>
      </c>
      <c r="F24" s="8">
        <v>27.46</v>
      </c>
      <c r="G24" s="12">
        <v>5</v>
      </c>
      <c r="H24" s="8">
        <v>4.13</v>
      </c>
      <c r="I24" s="12">
        <v>1</v>
      </c>
    </row>
    <row r="25" spans="2:9" ht="15" customHeight="1" x14ac:dyDescent="0.2">
      <c r="B25" t="s">
        <v>223</v>
      </c>
      <c r="C25" s="12">
        <v>29</v>
      </c>
      <c r="D25" s="8">
        <v>10.36</v>
      </c>
      <c r="E25" s="12">
        <v>10</v>
      </c>
      <c r="F25" s="8">
        <v>7.04</v>
      </c>
      <c r="G25" s="12">
        <v>16</v>
      </c>
      <c r="H25" s="8">
        <v>13.22</v>
      </c>
      <c r="I25" s="12">
        <v>3</v>
      </c>
    </row>
    <row r="26" spans="2:9" ht="15" customHeight="1" x14ac:dyDescent="0.2">
      <c r="B26" t="s">
        <v>228</v>
      </c>
      <c r="C26" s="12">
        <v>29</v>
      </c>
      <c r="D26" s="8">
        <v>10.36</v>
      </c>
      <c r="E26" s="12">
        <v>27</v>
      </c>
      <c r="F26" s="8">
        <v>19.010000000000002</v>
      </c>
      <c r="G26" s="12">
        <v>2</v>
      </c>
      <c r="H26" s="8">
        <v>1.65</v>
      </c>
      <c r="I26" s="12">
        <v>0</v>
      </c>
    </row>
    <row r="27" spans="2:9" ht="15" customHeight="1" x14ac:dyDescent="0.2">
      <c r="B27" t="s">
        <v>214</v>
      </c>
      <c r="C27" s="12">
        <v>18</v>
      </c>
      <c r="D27" s="8">
        <v>6.43</v>
      </c>
      <c r="E27" s="12">
        <v>8</v>
      </c>
      <c r="F27" s="8">
        <v>5.63</v>
      </c>
      <c r="G27" s="12">
        <v>10</v>
      </c>
      <c r="H27" s="8">
        <v>8.26</v>
      </c>
      <c r="I27" s="12">
        <v>0</v>
      </c>
    </row>
    <row r="28" spans="2:9" ht="15" customHeight="1" x14ac:dyDescent="0.2">
      <c r="B28" t="s">
        <v>221</v>
      </c>
      <c r="C28" s="12">
        <v>17</v>
      </c>
      <c r="D28" s="8">
        <v>6.07</v>
      </c>
      <c r="E28" s="12">
        <v>11</v>
      </c>
      <c r="F28" s="8">
        <v>7.75</v>
      </c>
      <c r="G28" s="12">
        <v>6</v>
      </c>
      <c r="H28" s="8">
        <v>4.96</v>
      </c>
      <c r="I28" s="12">
        <v>0</v>
      </c>
    </row>
    <row r="29" spans="2:9" ht="15" customHeight="1" x14ac:dyDescent="0.2">
      <c r="B29" t="s">
        <v>213</v>
      </c>
      <c r="C29" s="12">
        <v>13</v>
      </c>
      <c r="D29" s="8">
        <v>4.6399999999999997</v>
      </c>
      <c r="E29" s="12">
        <v>4</v>
      </c>
      <c r="F29" s="8">
        <v>2.82</v>
      </c>
      <c r="G29" s="12">
        <v>9</v>
      </c>
      <c r="H29" s="8">
        <v>7.44</v>
      </c>
      <c r="I29" s="12">
        <v>0</v>
      </c>
    </row>
    <row r="30" spans="2:9" ht="15" customHeight="1" x14ac:dyDescent="0.2">
      <c r="B30" t="s">
        <v>224</v>
      </c>
      <c r="C30" s="12">
        <v>12</v>
      </c>
      <c r="D30" s="8">
        <v>4.29</v>
      </c>
      <c r="E30" s="12">
        <v>6</v>
      </c>
      <c r="F30" s="8">
        <v>4.2300000000000004</v>
      </c>
      <c r="G30" s="12">
        <v>5</v>
      </c>
      <c r="H30" s="8">
        <v>4.13</v>
      </c>
      <c r="I30" s="12">
        <v>0</v>
      </c>
    </row>
    <row r="31" spans="2:9" ht="15" customHeight="1" x14ac:dyDescent="0.2">
      <c r="B31" t="s">
        <v>215</v>
      </c>
      <c r="C31" s="12">
        <v>11</v>
      </c>
      <c r="D31" s="8">
        <v>3.93</v>
      </c>
      <c r="E31" s="12">
        <v>3</v>
      </c>
      <c r="F31" s="8">
        <v>2.11</v>
      </c>
      <c r="G31" s="12">
        <v>8</v>
      </c>
      <c r="H31" s="8">
        <v>6.61</v>
      </c>
      <c r="I31" s="12">
        <v>0</v>
      </c>
    </row>
    <row r="32" spans="2:9" ht="15" customHeight="1" x14ac:dyDescent="0.2">
      <c r="B32" t="s">
        <v>232</v>
      </c>
      <c r="C32" s="12">
        <v>11</v>
      </c>
      <c r="D32" s="8">
        <v>3.93</v>
      </c>
      <c r="E32" s="12">
        <v>0</v>
      </c>
      <c r="F32" s="8">
        <v>0</v>
      </c>
      <c r="G32" s="12">
        <v>8</v>
      </c>
      <c r="H32" s="8">
        <v>6.61</v>
      </c>
      <c r="I32" s="12">
        <v>0</v>
      </c>
    </row>
    <row r="33" spans="2:9" ht="15" customHeight="1" x14ac:dyDescent="0.2">
      <c r="B33" t="s">
        <v>230</v>
      </c>
      <c r="C33" s="12">
        <v>9</v>
      </c>
      <c r="D33" s="8">
        <v>3.21</v>
      </c>
      <c r="E33" s="12">
        <v>4</v>
      </c>
      <c r="F33" s="8">
        <v>2.82</v>
      </c>
      <c r="G33" s="12">
        <v>1</v>
      </c>
      <c r="H33" s="8">
        <v>0.83</v>
      </c>
      <c r="I33" s="12">
        <v>0</v>
      </c>
    </row>
    <row r="34" spans="2:9" ht="15" customHeight="1" x14ac:dyDescent="0.2">
      <c r="B34" t="s">
        <v>222</v>
      </c>
      <c r="C34" s="12">
        <v>7</v>
      </c>
      <c r="D34" s="8">
        <v>2.5</v>
      </c>
      <c r="E34" s="12">
        <v>5</v>
      </c>
      <c r="F34" s="8">
        <v>3.52</v>
      </c>
      <c r="G34" s="12">
        <v>2</v>
      </c>
      <c r="H34" s="8">
        <v>1.65</v>
      </c>
      <c r="I34" s="12">
        <v>0</v>
      </c>
    </row>
    <row r="35" spans="2:9" ht="15" customHeight="1" x14ac:dyDescent="0.2">
      <c r="B35" t="s">
        <v>239</v>
      </c>
      <c r="C35" s="12">
        <v>7</v>
      </c>
      <c r="D35" s="8">
        <v>2.5</v>
      </c>
      <c r="E35" s="12">
        <v>1</v>
      </c>
      <c r="F35" s="8">
        <v>0.7</v>
      </c>
      <c r="G35" s="12">
        <v>5</v>
      </c>
      <c r="H35" s="8">
        <v>4.13</v>
      </c>
      <c r="I35" s="12">
        <v>0</v>
      </c>
    </row>
    <row r="36" spans="2:9" ht="15" customHeight="1" x14ac:dyDescent="0.2">
      <c r="B36" t="s">
        <v>231</v>
      </c>
      <c r="C36" s="12">
        <v>7</v>
      </c>
      <c r="D36" s="8">
        <v>2.5</v>
      </c>
      <c r="E36" s="12">
        <v>5</v>
      </c>
      <c r="F36" s="8">
        <v>3.52</v>
      </c>
      <c r="G36" s="12">
        <v>2</v>
      </c>
      <c r="H36" s="8">
        <v>1.65</v>
      </c>
      <c r="I36" s="12">
        <v>0</v>
      </c>
    </row>
    <row r="37" spans="2:9" ht="15" customHeight="1" x14ac:dyDescent="0.2">
      <c r="B37" t="s">
        <v>220</v>
      </c>
      <c r="C37" s="12">
        <v>5</v>
      </c>
      <c r="D37" s="8">
        <v>1.79</v>
      </c>
      <c r="E37" s="12">
        <v>4</v>
      </c>
      <c r="F37" s="8">
        <v>2.82</v>
      </c>
      <c r="G37" s="12">
        <v>1</v>
      </c>
      <c r="H37" s="8">
        <v>0.83</v>
      </c>
      <c r="I37" s="12">
        <v>0</v>
      </c>
    </row>
    <row r="38" spans="2:9" ht="15" customHeight="1" x14ac:dyDescent="0.2">
      <c r="B38" t="s">
        <v>226</v>
      </c>
      <c r="C38" s="12">
        <v>5</v>
      </c>
      <c r="D38" s="8">
        <v>1.79</v>
      </c>
      <c r="E38" s="12">
        <v>1</v>
      </c>
      <c r="F38" s="8">
        <v>0.7</v>
      </c>
      <c r="G38" s="12">
        <v>3</v>
      </c>
      <c r="H38" s="8">
        <v>2.48</v>
      </c>
      <c r="I38" s="12">
        <v>0</v>
      </c>
    </row>
    <row r="39" spans="2:9" ht="15" customHeight="1" x14ac:dyDescent="0.2">
      <c r="B39" t="s">
        <v>268</v>
      </c>
      <c r="C39" s="12">
        <v>4</v>
      </c>
      <c r="D39" s="8">
        <v>1.43</v>
      </c>
      <c r="E39" s="12">
        <v>2</v>
      </c>
      <c r="F39" s="8">
        <v>1.41</v>
      </c>
      <c r="G39" s="12">
        <v>2</v>
      </c>
      <c r="H39" s="8">
        <v>1.65</v>
      </c>
      <c r="I39" s="12">
        <v>0</v>
      </c>
    </row>
    <row r="40" spans="2:9" ht="15" customHeight="1" x14ac:dyDescent="0.2">
      <c r="B40" t="s">
        <v>216</v>
      </c>
      <c r="C40" s="12">
        <v>4</v>
      </c>
      <c r="D40" s="8">
        <v>1.43</v>
      </c>
      <c r="E40" s="12">
        <v>0</v>
      </c>
      <c r="F40" s="8">
        <v>0</v>
      </c>
      <c r="G40" s="12">
        <v>4</v>
      </c>
      <c r="H40" s="8">
        <v>3.31</v>
      </c>
      <c r="I40" s="12">
        <v>0</v>
      </c>
    </row>
    <row r="41" spans="2:9" ht="15" customHeight="1" x14ac:dyDescent="0.2">
      <c r="B41" t="s">
        <v>241</v>
      </c>
      <c r="C41" s="12">
        <v>3</v>
      </c>
      <c r="D41" s="8">
        <v>1.07</v>
      </c>
      <c r="E41" s="12">
        <v>3</v>
      </c>
      <c r="F41" s="8">
        <v>2.11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254</v>
      </c>
      <c r="C42" s="12">
        <v>3</v>
      </c>
      <c r="D42" s="8">
        <v>1.07</v>
      </c>
      <c r="E42" s="12">
        <v>0</v>
      </c>
      <c r="F42" s="8">
        <v>0</v>
      </c>
      <c r="G42" s="12">
        <v>3</v>
      </c>
      <c r="H42" s="8">
        <v>2.48</v>
      </c>
      <c r="I42" s="12">
        <v>0</v>
      </c>
    </row>
    <row r="43" spans="2:9" ht="15" customHeight="1" x14ac:dyDescent="0.2">
      <c r="B43" t="s">
        <v>246</v>
      </c>
      <c r="C43" s="12">
        <v>3</v>
      </c>
      <c r="D43" s="8">
        <v>1.07</v>
      </c>
      <c r="E43" s="12">
        <v>0</v>
      </c>
      <c r="F43" s="8">
        <v>0</v>
      </c>
      <c r="G43" s="12">
        <v>3</v>
      </c>
      <c r="H43" s="8">
        <v>2.48</v>
      </c>
      <c r="I43" s="12">
        <v>0</v>
      </c>
    </row>
    <row r="44" spans="2:9" ht="15" customHeight="1" x14ac:dyDescent="0.2">
      <c r="B44" t="s">
        <v>225</v>
      </c>
      <c r="C44" s="12">
        <v>3</v>
      </c>
      <c r="D44" s="8">
        <v>1.07</v>
      </c>
      <c r="E44" s="12">
        <v>1</v>
      </c>
      <c r="F44" s="8">
        <v>0.7</v>
      </c>
      <c r="G44" s="12">
        <v>2</v>
      </c>
      <c r="H44" s="8">
        <v>1.65</v>
      </c>
      <c r="I44" s="12">
        <v>0</v>
      </c>
    </row>
    <row r="45" spans="2:9" ht="15" customHeight="1" x14ac:dyDescent="0.2">
      <c r="B45" t="s">
        <v>243</v>
      </c>
      <c r="C45" s="12">
        <v>3</v>
      </c>
      <c r="D45" s="8">
        <v>1.07</v>
      </c>
      <c r="E45" s="12">
        <v>1</v>
      </c>
      <c r="F45" s="8">
        <v>0.7</v>
      </c>
      <c r="G45" s="12">
        <v>2</v>
      </c>
      <c r="H45" s="8">
        <v>1.65</v>
      </c>
      <c r="I45" s="12">
        <v>0</v>
      </c>
    </row>
    <row r="46" spans="2:9" ht="15" customHeight="1" x14ac:dyDescent="0.2">
      <c r="B46" t="s">
        <v>229</v>
      </c>
      <c r="C46" s="12">
        <v>3</v>
      </c>
      <c r="D46" s="8">
        <v>1.07</v>
      </c>
      <c r="E46" s="12">
        <v>1</v>
      </c>
      <c r="F46" s="8">
        <v>0.7</v>
      </c>
      <c r="G46" s="12">
        <v>2</v>
      </c>
      <c r="H46" s="8">
        <v>1.65</v>
      </c>
      <c r="I46" s="12">
        <v>0</v>
      </c>
    </row>
    <row r="47" spans="2:9" ht="15" customHeight="1" x14ac:dyDescent="0.2">
      <c r="B47" t="s">
        <v>240</v>
      </c>
      <c r="C47" s="12">
        <v>3</v>
      </c>
      <c r="D47" s="8">
        <v>1.07</v>
      </c>
      <c r="E47" s="12">
        <v>2</v>
      </c>
      <c r="F47" s="8">
        <v>1.41</v>
      </c>
      <c r="G47" s="12">
        <v>1</v>
      </c>
      <c r="H47" s="8">
        <v>0.83</v>
      </c>
      <c r="I47" s="12">
        <v>0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304</v>
      </c>
      <c r="C51" s="12">
        <v>17</v>
      </c>
      <c r="D51" s="8">
        <v>6.07</v>
      </c>
      <c r="E51" s="12">
        <v>16</v>
      </c>
      <c r="F51" s="8">
        <v>11.27</v>
      </c>
      <c r="G51" s="12">
        <v>1</v>
      </c>
      <c r="H51" s="8">
        <v>0.83</v>
      </c>
      <c r="I51" s="12">
        <v>0</v>
      </c>
    </row>
    <row r="52" spans="2:9" ht="15" customHeight="1" x14ac:dyDescent="0.2">
      <c r="B52" t="s">
        <v>301</v>
      </c>
      <c r="C52" s="12">
        <v>13</v>
      </c>
      <c r="D52" s="8">
        <v>4.6399999999999997</v>
      </c>
      <c r="E52" s="12">
        <v>13</v>
      </c>
      <c r="F52" s="8">
        <v>9.15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295</v>
      </c>
      <c r="C53" s="12">
        <v>11</v>
      </c>
      <c r="D53" s="8">
        <v>3.93</v>
      </c>
      <c r="E53" s="12">
        <v>3</v>
      </c>
      <c r="F53" s="8">
        <v>2.11</v>
      </c>
      <c r="G53" s="12">
        <v>7</v>
      </c>
      <c r="H53" s="8">
        <v>5.79</v>
      </c>
      <c r="I53" s="12">
        <v>1</v>
      </c>
    </row>
    <row r="54" spans="2:9" ht="15" customHeight="1" x14ac:dyDescent="0.2">
      <c r="B54" t="s">
        <v>300</v>
      </c>
      <c r="C54" s="12">
        <v>10</v>
      </c>
      <c r="D54" s="8">
        <v>3.57</v>
      </c>
      <c r="E54" s="12">
        <v>8</v>
      </c>
      <c r="F54" s="8">
        <v>5.63</v>
      </c>
      <c r="G54" s="12">
        <v>2</v>
      </c>
      <c r="H54" s="8">
        <v>1.65</v>
      </c>
      <c r="I54" s="12">
        <v>0</v>
      </c>
    </row>
    <row r="55" spans="2:9" ht="15" customHeight="1" x14ac:dyDescent="0.2">
      <c r="B55" t="s">
        <v>303</v>
      </c>
      <c r="C55" s="12">
        <v>10</v>
      </c>
      <c r="D55" s="8">
        <v>3.57</v>
      </c>
      <c r="E55" s="12">
        <v>10</v>
      </c>
      <c r="F55" s="8">
        <v>7.04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297</v>
      </c>
      <c r="C56" s="12">
        <v>9</v>
      </c>
      <c r="D56" s="8">
        <v>3.21</v>
      </c>
      <c r="E56" s="12">
        <v>4</v>
      </c>
      <c r="F56" s="8">
        <v>2.82</v>
      </c>
      <c r="G56" s="12">
        <v>4</v>
      </c>
      <c r="H56" s="8">
        <v>3.31</v>
      </c>
      <c r="I56" s="12">
        <v>0</v>
      </c>
    </row>
    <row r="57" spans="2:9" ht="15" customHeight="1" x14ac:dyDescent="0.2">
      <c r="B57" t="s">
        <v>328</v>
      </c>
      <c r="C57" s="12">
        <v>8</v>
      </c>
      <c r="D57" s="8">
        <v>2.86</v>
      </c>
      <c r="E57" s="12">
        <v>4</v>
      </c>
      <c r="F57" s="8">
        <v>2.82</v>
      </c>
      <c r="G57" s="12">
        <v>4</v>
      </c>
      <c r="H57" s="8">
        <v>3.31</v>
      </c>
      <c r="I57" s="12">
        <v>0</v>
      </c>
    </row>
    <row r="58" spans="2:9" ht="15" customHeight="1" x14ac:dyDescent="0.2">
      <c r="B58" t="s">
        <v>290</v>
      </c>
      <c r="C58" s="12">
        <v>8</v>
      </c>
      <c r="D58" s="8">
        <v>2.86</v>
      </c>
      <c r="E58" s="12">
        <v>3</v>
      </c>
      <c r="F58" s="8">
        <v>2.11</v>
      </c>
      <c r="G58" s="12">
        <v>5</v>
      </c>
      <c r="H58" s="8">
        <v>4.13</v>
      </c>
      <c r="I58" s="12">
        <v>0</v>
      </c>
    </row>
    <row r="59" spans="2:9" ht="15" customHeight="1" x14ac:dyDescent="0.2">
      <c r="B59" t="s">
        <v>333</v>
      </c>
      <c r="C59" s="12">
        <v>7</v>
      </c>
      <c r="D59" s="8">
        <v>2.5</v>
      </c>
      <c r="E59" s="12">
        <v>4</v>
      </c>
      <c r="F59" s="8">
        <v>2.82</v>
      </c>
      <c r="G59" s="12">
        <v>3</v>
      </c>
      <c r="H59" s="8">
        <v>2.48</v>
      </c>
      <c r="I59" s="12">
        <v>0</v>
      </c>
    </row>
    <row r="60" spans="2:9" ht="15" customHeight="1" x14ac:dyDescent="0.2">
      <c r="B60" t="s">
        <v>299</v>
      </c>
      <c r="C60" s="12">
        <v>7</v>
      </c>
      <c r="D60" s="8">
        <v>2.5</v>
      </c>
      <c r="E60" s="12">
        <v>6</v>
      </c>
      <c r="F60" s="8">
        <v>4.2300000000000004</v>
      </c>
      <c r="G60" s="12">
        <v>1</v>
      </c>
      <c r="H60" s="8">
        <v>0.83</v>
      </c>
      <c r="I60" s="12">
        <v>0</v>
      </c>
    </row>
    <row r="61" spans="2:9" ht="15" customHeight="1" x14ac:dyDescent="0.2">
      <c r="B61" t="s">
        <v>325</v>
      </c>
      <c r="C61" s="12">
        <v>6</v>
      </c>
      <c r="D61" s="8">
        <v>2.14</v>
      </c>
      <c r="E61" s="12">
        <v>0</v>
      </c>
      <c r="F61" s="8">
        <v>0</v>
      </c>
      <c r="G61" s="12">
        <v>5</v>
      </c>
      <c r="H61" s="8">
        <v>4.13</v>
      </c>
      <c r="I61" s="12">
        <v>0</v>
      </c>
    </row>
    <row r="62" spans="2:9" ht="15" customHeight="1" x14ac:dyDescent="0.2">
      <c r="B62" t="s">
        <v>331</v>
      </c>
      <c r="C62" s="12">
        <v>6</v>
      </c>
      <c r="D62" s="8">
        <v>2.14</v>
      </c>
      <c r="E62" s="12">
        <v>0</v>
      </c>
      <c r="F62" s="8">
        <v>0</v>
      </c>
      <c r="G62" s="12">
        <v>5</v>
      </c>
      <c r="H62" s="8">
        <v>4.13</v>
      </c>
      <c r="I62" s="12">
        <v>0</v>
      </c>
    </row>
    <row r="63" spans="2:9" ht="15" customHeight="1" x14ac:dyDescent="0.2">
      <c r="B63" t="s">
        <v>329</v>
      </c>
      <c r="C63" s="12">
        <v>5</v>
      </c>
      <c r="D63" s="8">
        <v>1.79</v>
      </c>
      <c r="E63" s="12">
        <v>4</v>
      </c>
      <c r="F63" s="8">
        <v>2.82</v>
      </c>
      <c r="G63" s="12">
        <v>1</v>
      </c>
      <c r="H63" s="8">
        <v>0.83</v>
      </c>
      <c r="I63" s="12">
        <v>0</v>
      </c>
    </row>
    <row r="64" spans="2:9" ht="15" customHeight="1" x14ac:dyDescent="0.2">
      <c r="B64" t="s">
        <v>335</v>
      </c>
      <c r="C64" s="12">
        <v>5</v>
      </c>
      <c r="D64" s="8">
        <v>1.79</v>
      </c>
      <c r="E64" s="12">
        <v>3</v>
      </c>
      <c r="F64" s="8">
        <v>2.11</v>
      </c>
      <c r="G64" s="12">
        <v>2</v>
      </c>
      <c r="H64" s="8">
        <v>1.65</v>
      </c>
      <c r="I64" s="12">
        <v>0</v>
      </c>
    </row>
    <row r="65" spans="2:9" ht="15" customHeight="1" x14ac:dyDescent="0.2">
      <c r="B65" t="s">
        <v>302</v>
      </c>
      <c r="C65" s="12">
        <v>5</v>
      </c>
      <c r="D65" s="8">
        <v>1.79</v>
      </c>
      <c r="E65" s="12">
        <v>4</v>
      </c>
      <c r="F65" s="8">
        <v>2.82</v>
      </c>
      <c r="G65" s="12">
        <v>0</v>
      </c>
      <c r="H65" s="8">
        <v>0</v>
      </c>
      <c r="I65" s="12">
        <v>1</v>
      </c>
    </row>
    <row r="66" spans="2:9" ht="15" customHeight="1" x14ac:dyDescent="0.2">
      <c r="B66" t="s">
        <v>289</v>
      </c>
      <c r="C66" s="12">
        <v>4</v>
      </c>
      <c r="D66" s="8">
        <v>1.43</v>
      </c>
      <c r="E66" s="12">
        <v>0</v>
      </c>
      <c r="F66" s="8">
        <v>0</v>
      </c>
      <c r="G66" s="12">
        <v>4</v>
      </c>
      <c r="H66" s="8">
        <v>3.31</v>
      </c>
      <c r="I66" s="12">
        <v>0</v>
      </c>
    </row>
    <row r="67" spans="2:9" ht="15" customHeight="1" x14ac:dyDescent="0.2">
      <c r="B67" t="s">
        <v>353</v>
      </c>
      <c r="C67" s="12">
        <v>4</v>
      </c>
      <c r="D67" s="8">
        <v>1.43</v>
      </c>
      <c r="E67" s="12">
        <v>0</v>
      </c>
      <c r="F67" s="8">
        <v>0</v>
      </c>
      <c r="G67" s="12">
        <v>4</v>
      </c>
      <c r="H67" s="8">
        <v>3.31</v>
      </c>
      <c r="I67" s="12">
        <v>0</v>
      </c>
    </row>
    <row r="68" spans="2:9" ht="15" customHeight="1" x14ac:dyDescent="0.2">
      <c r="B68" t="s">
        <v>292</v>
      </c>
      <c r="C68" s="12">
        <v>4</v>
      </c>
      <c r="D68" s="8">
        <v>1.43</v>
      </c>
      <c r="E68" s="12">
        <v>2</v>
      </c>
      <c r="F68" s="8">
        <v>1.41</v>
      </c>
      <c r="G68" s="12">
        <v>2</v>
      </c>
      <c r="H68" s="8">
        <v>1.65</v>
      </c>
      <c r="I68" s="12">
        <v>0</v>
      </c>
    </row>
    <row r="69" spans="2:9" ht="15" customHeight="1" x14ac:dyDescent="0.2">
      <c r="B69" t="s">
        <v>294</v>
      </c>
      <c r="C69" s="12">
        <v>4</v>
      </c>
      <c r="D69" s="8">
        <v>1.43</v>
      </c>
      <c r="E69" s="12">
        <v>1</v>
      </c>
      <c r="F69" s="8">
        <v>0.7</v>
      </c>
      <c r="G69" s="12">
        <v>3</v>
      </c>
      <c r="H69" s="8">
        <v>2.48</v>
      </c>
      <c r="I69" s="12">
        <v>0</v>
      </c>
    </row>
    <row r="70" spans="2:9" ht="15" customHeight="1" x14ac:dyDescent="0.2">
      <c r="B70" t="s">
        <v>349</v>
      </c>
      <c r="C70" s="12">
        <v>4</v>
      </c>
      <c r="D70" s="8">
        <v>1.43</v>
      </c>
      <c r="E70" s="12">
        <v>3</v>
      </c>
      <c r="F70" s="8">
        <v>2.11</v>
      </c>
      <c r="G70" s="12">
        <v>1</v>
      </c>
      <c r="H70" s="8">
        <v>0.83</v>
      </c>
      <c r="I70" s="12">
        <v>0</v>
      </c>
    </row>
    <row r="71" spans="2:9" ht="15" customHeight="1" x14ac:dyDescent="0.2">
      <c r="B71" t="s">
        <v>340</v>
      </c>
      <c r="C71" s="12">
        <v>4</v>
      </c>
      <c r="D71" s="8">
        <v>1.43</v>
      </c>
      <c r="E71" s="12">
        <v>0</v>
      </c>
      <c r="F71" s="8">
        <v>0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306</v>
      </c>
      <c r="C72" s="12">
        <v>4</v>
      </c>
      <c r="D72" s="8">
        <v>1.43</v>
      </c>
      <c r="E72" s="12">
        <v>4</v>
      </c>
      <c r="F72" s="8">
        <v>2.82</v>
      </c>
      <c r="G72" s="12">
        <v>0</v>
      </c>
      <c r="H72" s="8">
        <v>0</v>
      </c>
      <c r="I72" s="12">
        <v>0</v>
      </c>
    </row>
    <row r="74" spans="2:9" ht="15" customHeight="1" x14ac:dyDescent="0.2">
      <c r="B7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6EB3-8013-46FF-B4EC-F69787A7319C}">
  <sheetPr>
    <pageSetUpPr fitToPage="1"/>
  </sheetPr>
  <dimension ref="B2:I8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19</v>
      </c>
      <c r="D6" s="8">
        <v>15.45</v>
      </c>
      <c r="E6" s="12">
        <v>5</v>
      </c>
      <c r="F6" s="8">
        <v>7.69</v>
      </c>
      <c r="G6" s="12">
        <v>14</v>
      </c>
      <c r="H6" s="8">
        <v>25.45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7.32</v>
      </c>
      <c r="E7" s="12">
        <v>0</v>
      </c>
      <c r="F7" s="8">
        <v>0</v>
      </c>
      <c r="G7" s="12">
        <v>9</v>
      </c>
      <c r="H7" s="8">
        <v>16.36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0.81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3.25</v>
      </c>
      <c r="E10" s="12">
        <v>1</v>
      </c>
      <c r="F10" s="8">
        <v>1.54</v>
      </c>
      <c r="G10" s="12">
        <v>2</v>
      </c>
      <c r="H10" s="8">
        <v>3.64</v>
      </c>
      <c r="I10" s="12">
        <v>1</v>
      </c>
    </row>
    <row r="11" spans="2:9" ht="15" customHeight="1" x14ac:dyDescent="0.2">
      <c r="B11" t="s">
        <v>196</v>
      </c>
      <c r="C11" s="12">
        <v>34</v>
      </c>
      <c r="D11" s="8">
        <v>27.64</v>
      </c>
      <c r="E11" s="12">
        <v>20</v>
      </c>
      <c r="F11" s="8">
        <v>30.77</v>
      </c>
      <c r="G11" s="12">
        <v>14</v>
      </c>
      <c r="H11" s="8">
        <v>25.45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0.81</v>
      </c>
      <c r="E12" s="12">
        <v>1</v>
      </c>
      <c r="F12" s="8">
        <v>1.54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1.63</v>
      </c>
      <c r="E13" s="12">
        <v>0</v>
      </c>
      <c r="F13" s="8">
        <v>0</v>
      </c>
      <c r="G13" s="12">
        <v>2</v>
      </c>
      <c r="H13" s="8">
        <v>3.64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0.81</v>
      </c>
      <c r="E14" s="12">
        <v>0</v>
      </c>
      <c r="F14" s="8">
        <v>0</v>
      </c>
      <c r="G14" s="12">
        <v>1</v>
      </c>
      <c r="H14" s="8">
        <v>1.82</v>
      </c>
      <c r="I14" s="12">
        <v>0</v>
      </c>
    </row>
    <row r="15" spans="2:9" ht="15" customHeight="1" x14ac:dyDescent="0.2">
      <c r="B15" t="s">
        <v>200</v>
      </c>
      <c r="C15" s="12">
        <v>17</v>
      </c>
      <c r="D15" s="8">
        <v>13.82</v>
      </c>
      <c r="E15" s="12">
        <v>13</v>
      </c>
      <c r="F15" s="8">
        <v>20</v>
      </c>
      <c r="G15" s="12">
        <v>4</v>
      </c>
      <c r="H15" s="8">
        <v>7.27</v>
      </c>
      <c r="I15" s="12">
        <v>0</v>
      </c>
    </row>
    <row r="16" spans="2:9" ht="15" customHeight="1" x14ac:dyDescent="0.2">
      <c r="B16" t="s">
        <v>201</v>
      </c>
      <c r="C16" s="12">
        <v>23</v>
      </c>
      <c r="D16" s="8">
        <v>18.7</v>
      </c>
      <c r="E16" s="12">
        <v>20</v>
      </c>
      <c r="F16" s="8">
        <v>30.77</v>
      </c>
      <c r="G16" s="12">
        <v>2</v>
      </c>
      <c r="H16" s="8">
        <v>3.64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1.63</v>
      </c>
      <c r="E17" s="12">
        <v>2</v>
      </c>
      <c r="F17" s="8">
        <v>3.08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3.25</v>
      </c>
      <c r="E18" s="12">
        <v>2</v>
      </c>
      <c r="F18" s="8">
        <v>3.08</v>
      </c>
      <c r="G18" s="12">
        <v>2</v>
      </c>
      <c r="H18" s="8">
        <v>3.64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4.88</v>
      </c>
      <c r="E19" s="12">
        <v>1</v>
      </c>
      <c r="F19" s="8">
        <v>1.54</v>
      </c>
      <c r="G19" s="12">
        <v>5</v>
      </c>
      <c r="H19" s="8">
        <v>9.09</v>
      </c>
      <c r="I19" s="12">
        <v>0</v>
      </c>
    </row>
    <row r="20" spans="2:9" ht="15" customHeight="1" x14ac:dyDescent="0.2">
      <c r="B20" s="9" t="s">
        <v>529</v>
      </c>
      <c r="C20" s="12">
        <f>SUM(LTBL_01362[総数／事業所数])</f>
        <v>123</v>
      </c>
      <c r="E20" s="12">
        <f>SUBTOTAL(109,LTBL_01362[個人／事業所数])</f>
        <v>65</v>
      </c>
      <c r="G20" s="12">
        <f>SUBTOTAL(109,LTBL_01362[法人／事業所数])</f>
        <v>55</v>
      </c>
      <c r="I20" s="12">
        <f>SUBTOTAL(109,LTBL_01362[法人以外の団体／事業所数])</f>
        <v>1</v>
      </c>
    </row>
    <row r="21" spans="2:9" ht="15" customHeight="1" x14ac:dyDescent="0.2">
      <c r="E21" s="11">
        <f>LTBL_01362[[#Totals],[個人／事業所数]]/LTBL_01362[[#Totals],[総数／事業所数]]</f>
        <v>0.52845528455284552</v>
      </c>
      <c r="G21" s="11">
        <f>LTBL_01362[[#Totals],[法人／事業所数]]/LTBL_01362[[#Totals],[総数／事業所数]]</f>
        <v>0.44715447154471544</v>
      </c>
      <c r="I21" s="11">
        <f>LTBL_01362[[#Totals],[法人以外の団体／事業所数]]/LTBL_01362[[#Totals],[総数／事業所数]]</f>
        <v>8.130081300813009E-3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21</v>
      </c>
      <c r="D24" s="8">
        <v>17.07</v>
      </c>
      <c r="E24" s="12">
        <v>19</v>
      </c>
      <c r="F24" s="8">
        <v>29.23</v>
      </c>
      <c r="G24" s="12">
        <v>2</v>
      </c>
      <c r="H24" s="8">
        <v>3.64</v>
      </c>
      <c r="I24" s="12">
        <v>0</v>
      </c>
    </row>
    <row r="25" spans="2:9" ht="15" customHeight="1" x14ac:dyDescent="0.2">
      <c r="B25" t="s">
        <v>221</v>
      </c>
      <c r="C25" s="12">
        <v>12</v>
      </c>
      <c r="D25" s="8">
        <v>9.76</v>
      </c>
      <c r="E25" s="12">
        <v>10</v>
      </c>
      <c r="F25" s="8">
        <v>15.38</v>
      </c>
      <c r="G25" s="12">
        <v>2</v>
      </c>
      <c r="H25" s="8">
        <v>3.64</v>
      </c>
      <c r="I25" s="12">
        <v>0</v>
      </c>
    </row>
    <row r="26" spans="2:9" ht="15" customHeight="1" x14ac:dyDescent="0.2">
      <c r="B26" t="s">
        <v>223</v>
      </c>
      <c r="C26" s="12">
        <v>12</v>
      </c>
      <c r="D26" s="8">
        <v>9.76</v>
      </c>
      <c r="E26" s="12">
        <v>7</v>
      </c>
      <c r="F26" s="8">
        <v>10.77</v>
      </c>
      <c r="G26" s="12">
        <v>5</v>
      </c>
      <c r="H26" s="8">
        <v>9.09</v>
      </c>
      <c r="I26" s="12">
        <v>0</v>
      </c>
    </row>
    <row r="27" spans="2:9" ht="15" customHeight="1" x14ac:dyDescent="0.2">
      <c r="B27" t="s">
        <v>227</v>
      </c>
      <c r="C27" s="12">
        <v>11</v>
      </c>
      <c r="D27" s="8">
        <v>8.94</v>
      </c>
      <c r="E27" s="12">
        <v>8</v>
      </c>
      <c r="F27" s="8">
        <v>12.31</v>
      </c>
      <c r="G27" s="12">
        <v>3</v>
      </c>
      <c r="H27" s="8">
        <v>5.45</v>
      </c>
      <c r="I27" s="12">
        <v>0</v>
      </c>
    </row>
    <row r="28" spans="2:9" ht="15" customHeight="1" x14ac:dyDescent="0.2">
      <c r="B28" t="s">
        <v>213</v>
      </c>
      <c r="C28" s="12">
        <v>8</v>
      </c>
      <c r="D28" s="8">
        <v>6.5</v>
      </c>
      <c r="E28" s="12">
        <v>1</v>
      </c>
      <c r="F28" s="8">
        <v>1.54</v>
      </c>
      <c r="G28" s="12">
        <v>7</v>
      </c>
      <c r="H28" s="8">
        <v>12.73</v>
      </c>
      <c r="I28" s="12">
        <v>0</v>
      </c>
    </row>
    <row r="29" spans="2:9" ht="15" customHeight="1" x14ac:dyDescent="0.2">
      <c r="B29" t="s">
        <v>215</v>
      </c>
      <c r="C29" s="12">
        <v>6</v>
      </c>
      <c r="D29" s="8">
        <v>4.88</v>
      </c>
      <c r="E29" s="12">
        <v>1</v>
      </c>
      <c r="F29" s="8">
        <v>1.54</v>
      </c>
      <c r="G29" s="12">
        <v>5</v>
      </c>
      <c r="H29" s="8">
        <v>9.09</v>
      </c>
      <c r="I29" s="12">
        <v>0</v>
      </c>
    </row>
    <row r="30" spans="2:9" ht="15" customHeight="1" x14ac:dyDescent="0.2">
      <c r="B30" t="s">
        <v>243</v>
      </c>
      <c r="C30" s="12">
        <v>6</v>
      </c>
      <c r="D30" s="8">
        <v>4.88</v>
      </c>
      <c r="E30" s="12">
        <v>5</v>
      </c>
      <c r="F30" s="8">
        <v>7.69</v>
      </c>
      <c r="G30" s="12">
        <v>1</v>
      </c>
      <c r="H30" s="8">
        <v>1.82</v>
      </c>
      <c r="I30" s="12">
        <v>0</v>
      </c>
    </row>
    <row r="31" spans="2:9" ht="15" customHeight="1" x14ac:dyDescent="0.2">
      <c r="B31" t="s">
        <v>214</v>
      </c>
      <c r="C31" s="12">
        <v>5</v>
      </c>
      <c r="D31" s="8">
        <v>4.07</v>
      </c>
      <c r="E31" s="12">
        <v>3</v>
      </c>
      <c r="F31" s="8">
        <v>4.62</v>
      </c>
      <c r="G31" s="12">
        <v>2</v>
      </c>
      <c r="H31" s="8">
        <v>3.64</v>
      </c>
      <c r="I31" s="12">
        <v>0</v>
      </c>
    </row>
    <row r="32" spans="2:9" ht="15" customHeight="1" x14ac:dyDescent="0.2">
      <c r="B32" t="s">
        <v>241</v>
      </c>
      <c r="C32" s="12">
        <v>4</v>
      </c>
      <c r="D32" s="8">
        <v>3.25</v>
      </c>
      <c r="E32" s="12">
        <v>0</v>
      </c>
      <c r="F32" s="8">
        <v>0</v>
      </c>
      <c r="G32" s="12">
        <v>4</v>
      </c>
      <c r="H32" s="8">
        <v>7.27</v>
      </c>
      <c r="I32" s="12">
        <v>0</v>
      </c>
    </row>
    <row r="33" spans="2:9" ht="15" customHeight="1" x14ac:dyDescent="0.2">
      <c r="B33" t="s">
        <v>231</v>
      </c>
      <c r="C33" s="12">
        <v>4</v>
      </c>
      <c r="D33" s="8">
        <v>3.25</v>
      </c>
      <c r="E33" s="12">
        <v>2</v>
      </c>
      <c r="F33" s="8">
        <v>3.08</v>
      </c>
      <c r="G33" s="12">
        <v>2</v>
      </c>
      <c r="H33" s="8">
        <v>3.64</v>
      </c>
      <c r="I33" s="12">
        <v>0</v>
      </c>
    </row>
    <row r="34" spans="2:9" ht="15" customHeight="1" x14ac:dyDescent="0.2">
      <c r="B34" t="s">
        <v>254</v>
      </c>
      <c r="C34" s="12">
        <v>2</v>
      </c>
      <c r="D34" s="8">
        <v>1.63</v>
      </c>
      <c r="E34" s="12">
        <v>0</v>
      </c>
      <c r="F34" s="8">
        <v>0</v>
      </c>
      <c r="G34" s="12">
        <v>2</v>
      </c>
      <c r="H34" s="8">
        <v>3.64</v>
      </c>
      <c r="I34" s="12">
        <v>0</v>
      </c>
    </row>
    <row r="35" spans="2:9" ht="15" customHeight="1" x14ac:dyDescent="0.2">
      <c r="B35" t="s">
        <v>238</v>
      </c>
      <c r="C35" s="12">
        <v>2</v>
      </c>
      <c r="D35" s="8">
        <v>1.63</v>
      </c>
      <c r="E35" s="12">
        <v>1</v>
      </c>
      <c r="F35" s="8">
        <v>1.54</v>
      </c>
      <c r="G35" s="12">
        <v>1</v>
      </c>
      <c r="H35" s="8">
        <v>1.82</v>
      </c>
      <c r="I35" s="12">
        <v>0</v>
      </c>
    </row>
    <row r="36" spans="2:9" ht="15" customHeight="1" x14ac:dyDescent="0.2">
      <c r="B36" t="s">
        <v>216</v>
      </c>
      <c r="C36" s="12">
        <v>2</v>
      </c>
      <c r="D36" s="8">
        <v>1.63</v>
      </c>
      <c r="E36" s="12">
        <v>1</v>
      </c>
      <c r="F36" s="8">
        <v>1.54</v>
      </c>
      <c r="G36" s="12">
        <v>1</v>
      </c>
      <c r="H36" s="8">
        <v>1.82</v>
      </c>
      <c r="I36" s="12">
        <v>0</v>
      </c>
    </row>
    <row r="37" spans="2:9" ht="15" customHeight="1" x14ac:dyDescent="0.2">
      <c r="B37" t="s">
        <v>217</v>
      </c>
      <c r="C37" s="12">
        <v>2</v>
      </c>
      <c r="D37" s="8">
        <v>1.63</v>
      </c>
      <c r="E37" s="12">
        <v>0</v>
      </c>
      <c r="F37" s="8">
        <v>0</v>
      </c>
      <c r="G37" s="12">
        <v>2</v>
      </c>
      <c r="H37" s="8">
        <v>3.64</v>
      </c>
      <c r="I37" s="12">
        <v>0</v>
      </c>
    </row>
    <row r="38" spans="2:9" ht="15" customHeight="1" x14ac:dyDescent="0.2">
      <c r="B38" t="s">
        <v>220</v>
      </c>
      <c r="C38" s="12">
        <v>2</v>
      </c>
      <c r="D38" s="8">
        <v>1.63</v>
      </c>
      <c r="E38" s="12">
        <v>0</v>
      </c>
      <c r="F38" s="8">
        <v>0</v>
      </c>
      <c r="G38" s="12">
        <v>2</v>
      </c>
      <c r="H38" s="8">
        <v>3.64</v>
      </c>
      <c r="I38" s="12">
        <v>0</v>
      </c>
    </row>
    <row r="39" spans="2:9" ht="15" customHeight="1" x14ac:dyDescent="0.2">
      <c r="B39" t="s">
        <v>236</v>
      </c>
      <c r="C39" s="12">
        <v>2</v>
      </c>
      <c r="D39" s="8">
        <v>1.63</v>
      </c>
      <c r="E39" s="12">
        <v>1</v>
      </c>
      <c r="F39" s="8">
        <v>1.54</v>
      </c>
      <c r="G39" s="12">
        <v>1</v>
      </c>
      <c r="H39" s="8">
        <v>1.82</v>
      </c>
      <c r="I39" s="12">
        <v>0</v>
      </c>
    </row>
    <row r="40" spans="2:9" ht="15" customHeight="1" x14ac:dyDescent="0.2">
      <c r="B40" t="s">
        <v>230</v>
      </c>
      <c r="C40" s="12">
        <v>2</v>
      </c>
      <c r="D40" s="8">
        <v>1.63</v>
      </c>
      <c r="E40" s="12">
        <v>2</v>
      </c>
      <c r="F40" s="8">
        <v>3.08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249</v>
      </c>
      <c r="C41" s="12">
        <v>2</v>
      </c>
      <c r="D41" s="8">
        <v>1.63</v>
      </c>
      <c r="E41" s="12">
        <v>0</v>
      </c>
      <c r="F41" s="8">
        <v>0</v>
      </c>
      <c r="G41" s="12">
        <v>2</v>
      </c>
      <c r="H41" s="8">
        <v>3.64</v>
      </c>
      <c r="I41" s="12">
        <v>0</v>
      </c>
    </row>
    <row r="42" spans="2:9" ht="15" customHeight="1" x14ac:dyDescent="0.2">
      <c r="B42" t="s">
        <v>234</v>
      </c>
      <c r="C42" s="12">
        <v>2</v>
      </c>
      <c r="D42" s="8">
        <v>1.63</v>
      </c>
      <c r="E42" s="12">
        <v>0</v>
      </c>
      <c r="F42" s="8">
        <v>0</v>
      </c>
      <c r="G42" s="12">
        <v>2</v>
      </c>
      <c r="H42" s="8">
        <v>3.64</v>
      </c>
      <c r="I42" s="12">
        <v>0</v>
      </c>
    </row>
    <row r="43" spans="2:9" ht="15" customHeight="1" x14ac:dyDescent="0.2">
      <c r="B43" t="s">
        <v>251</v>
      </c>
      <c r="C43" s="12">
        <v>1</v>
      </c>
      <c r="D43" s="8">
        <v>0.81</v>
      </c>
      <c r="E43" s="12">
        <v>0</v>
      </c>
      <c r="F43" s="8">
        <v>0</v>
      </c>
      <c r="G43" s="12">
        <v>1</v>
      </c>
      <c r="H43" s="8">
        <v>1.82</v>
      </c>
      <c r="I43" s="12">
        <v>0</v>
      </c>
    </row>
    <row r="44" spans="2:9" ht="15" customHeight="1" x14ac:dyDescent="0.2">
      <c r="B44" t="s">
        <v>244</v>
      </c>
      <c r="C44" s="12">
        <v>1</v>
      </c>
      <c r="D44" s="8">
        <v>0.81</v>
      </c>
      <c r="E44" s="12">
        <v>0</v>
      </c>
      <c r="F44" s="8">
        <v>0</v>
      </c>
      <c r="G44" s="12">
        <v>1</v>
      </c>
      <c r="H44" s="8">
        <v>1.82</v>
      </c>
      <c r="I44" s="12">
        <v>0</v>
      </c>
    </row>
    <row r="45" spans="2:9" ht="15" customHeight="1" x14ac:dyDescent="0.2">
      <c r="B45" t="s">
        <v>257</v>
      </c>
      <c r="C45" s="12">
        <v>1</v>
      </c>
      <c r="D45" s="8">
        <v>0.81</v>
      </c>
      <c r="E45" s="12">
        <v>0</v>
      </c>
      <c r="F45" s="8">
        <v>0</v>
      </c>
      <c r="G45" s="12">
        <v>1</v>
      </c>
      <c r="H45" s="8">
        <v>1.82</v>
      </c>
      <c r="I45" s="12">
        <v>0</v>
      </c>
    </row>
    <row r="46" spans="2:9" ht="15" customHeight="1" x14ac:dyDescent="0.2">
      <c r="B46" t="s">
        <v>255</v>
      </c>
      <c r="C46" s="12">
        <v>1</v>
      </c>
      <c r="D46" s="8">
        <v>0.81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248</v>
      </c>
      <c r="C47" s="12">
        <v>1</v>
      </c>
      <c r="D47" s="8">
        <v>0.81</v>
      </c>
      <c r="E47" s="12">
        <v>0</v>
      </c>
      <c r="F47" s="8">
        <v>0</v>
      </c>
      <c r="G47" s="12">
        <v>1</v>
      </c>
      <c r="H47" s="8">
        <v>1.82</v>
      </c>
      <c r="I47" s="12">
        <v>0</v>
      </c>
    </row>
    <row r="48" spans="2:9" ht="15" customHeight="1" x14ac:dyDescent="0.2">
      <c r="B48" t="s">
        <v>261</v>
      </c>
      <c r="C48" s="12">
        <v>1</v>
      </c>
      <c r="D48" s="8">
        <v>0.81</v>
      </c>
      <c r="E48" s="12">
        <v>0</v>
      </c>
      <c r="F48" s="8">
        <v>0</v>
      </c>
      <c r="G48" s="12">
        <v>0</v>
      </c>
      <c r="H48" s="8">
        <v>0</v>
      </c>
      <c r="I48" s="12">
        <v>1</v>
      </c>
    </row>
    <row r="49" spans="2:9" ht="15" customHeight="1" x14ac:dyDescent="0.2">
      <c r="B49" t="s">
        <v>219</v>
      </c>
      <c r="C49" s="12">
        <v>1</v>
      </c>
      <c r="D49" s="8">
        <v>0.81</v>
      </c>
      <c r="E49" s="12">
        <v>0</v>
      </c>
      <c r="F49" s="8">
        <v>0</v>
      </c>
      <c r="G49" s="12">
        <v>1</v>
      </c>
      <c r="H49" s="8">
        <v>1.82</v>
      </c>
      <c r="I49" s="12">
        <v>0</v>
      </c>
    </row>
    <row r="50" spans="2:9" ht="15" customHeight="1" x14ac:dyDescent="0.2">
      <c r="B50" t="s">
        <v>222</v>
      </c>
      <c r="C50" s="12">
        <v>1</v>
      </c>
      <c r="D50" s="8">
        <v>0.81</v>
      </c>
      <c r="E50" s="12">
        <v>1</v>
      </c>
      <c r="F50" s="8">
        <v>1.54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237</v>
      </c>
      <c r="C51" s="12">
        <v>1</v>
      </c>
      <c r="D51" s="8">
        <v>0.81</v>
      </c>
      <c r="E51" s="12">
        <v>1</v>
      </c>
      <c r="F51" s="8">
        <v>1.54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233</v>
      </c>
      <c r="C52" s="12">
        <v>1</v>
      </c>
      <c r="D52" s="8">
        <v>0.81</v>
      </c>
      <c r="E52" s="12">
        <v>0</v>
      </c>
      <c r="F52" s="8">
        <v>0</v>
      </c>
      <c r="G52" s="12">
        <v>1</v>
      </c>
      <c r="H52" s="8">
        <v>1.82</v>
      </c>
      <c r="I52" s="12">
        <v>0</v>
      </c>
    </row>
    <row r="53" spans="2:9" ht="15" customHeight="1" x14ac:dyDescent="0.2">
      <c r="B53" t="s">
        <v>224</v>
      </c>
      <c r="C53" s="12">
        <v>1</v>
      </c>
      <c r="D53" s="8">
        <v>0.81</v>
      </c>
      <c r="E53" s="12">
        <v>0</v>
      </c>
      <c r="F53" s="8">
        <v>0</v>
      </c>
      <c r="G53" s="12">
        <v>1</v>
      </c>
      <c r="H53" s="8">
        <v>1.82</v>
      </c>
      <c r="I53" s="12">
        <v>0</v>
      </c>
    </row>
    <row r="54" spans="2:9" ht="15" customHeight="1" x14ac:dyDescent="0.2">
      <c r="B54" t="s">
        <v>256</v>
      </c>
      <c r="C54" s="12">
        <v>1</v>
      </c>
      <c r="D54" s="8">
        <v>0.81</v>
      </c>
      <c r="E54" s="12">
        <v>0</v>
      </c>
      <c r="F54" s="8">
        <v>0</v>
      </c>
      <c r="G54" s="12">
        <v>1</v>
      </c>
      <c r="H54" s="8">
        <v>1.82</v>
      </c>
      <c r="I54" s="12">
        <v>0</v>
      </c>
    </row>
    <row r="55" spans="2:9" ht="15" customHeight="1" x14ac:dyDescent="0.2">
      <c r="B55" t="s">
        <v>229</v>
      </c>
      <c r="C55" s="12">
        <v>1</v>
      </c>
      <c r="D55" s="8">
        <v>0.81</v>
      </c>
      <c r="E55" s="12">
        <v>1</v>
      </c>
      <c r="F55" s="8">
        <v>1.54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247</v>
      </c>
      <c r="C56" s="12">
        <v>1</v>
      </c>
      <c r="D56" s="8">
        <v>0.81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240</v>
      </c>
      <c r="C57" s="12">
        <v>1</v>
      </c>
      <c r="D57" s="8">
        <v>0.81</v>
      </c>
      <c r="E57" s="12">
        <v>1</v>
      </c>
      <c r="F57" s="8">
        <v>1.54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270</v>
      </c>
      <c r="C58" s="12">
        <v>1</v>
      </c>
      <c r="D58" s="8">
        <v>0.81</v>
      </c>
      <c r="E58" s="12">
        <v>0</v>
      </c>
      <c r="F58" s="8">
        <v>0</v>
      </c>
      <c r="G58" s="12">
        <v>1</v>
      </c>
      <c r="H58" s="8">
        <v>1.82</v>
      </c>
      <c r="I58" s="12">
        <v>0</v>
      </c>
    </row>
    <row r="61" spans="2:9" ht="33" customHeight="1" x14ac:dyDescent="0.2">
      <c r="B61" t="s">
        <v>531</v>
      </c>
      <c r="C61" s="10" t="s">
        <v>206</v>
      </c>
      <c r="D61" s="10" t="s">
        <v>207</v>
      </c>
      <c r="E61" s="10" t="s">
        <v>208</v>
      </c>
      <c r="F61" s="10" t="s">
        <v>209</v>
      </c>
      <c r="G61" s="10" t="s">
        <v>210</v>
      </c>
      <c r="H61" s="10" t="s">
        <v>211</v>
      </c>
      <c r="I61" s="10" t="s">
        <v>212</v>
      </c>
    </row>
    <row r="62" spans="2:9" ht="15" customHeight="1" x14ac:dyDescent="0.2">
      <c r="B62" t="s">
        <v>303</v>
      </c>
      <c r="C62" s="12">
        <v>9</v>
      </c>
      <c r="D62" s="8">
        <v>7.32</v>
      </c>
      <c r="E62" s="12">
        <v>9</v>
      </c>
      <c r="F62" s="8">
        <v>13.85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292</v>
      </c>
      <c r="C63" s="12">
        <v>8</v>
      </c>
      <c r="D63" s="8">
        <v>6.5</v>
      </c>
      <c r="E63" s="12">
        <v>8</v>
      </c>
      <c r="F63" s="8">
        <v>12.31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304</v>
      </c>
      <c r="C64" s="12">
        <v>8</v>
      </c>
      <c r="D64" s="8">
        <v>6.5</v>
      </c>
      <c r="E64" s="12">
        <v>8</v>
      </c>
      <c r="F64" s="8">
        <v>12.31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339</v>
      </c>
      <c r="C65" s="12">
        <v>5</v>
      </c>
      <c r="D65" s="8">
        <v>4.07</v>
      </c>
      <c r="E65" s="12">
        <v>4</v>
      </c>
      <c r="F65" s="8">
        <v>6.15</v>
      </c>
      <c r="G65" s="12">
        <v>1</v>
      </c>
      <c r="H65" s="8">
        <v>1.82</v>
      </c>
      <c r="I65" s="12">
        <v>0</v>
      </c>
    </row>
    <row r="66" spans="2:9" ht="15" customHeight="1" x14ac:dyDescent="0.2">
      <c r="B66" t="s">
        <v>288</v>
      </c>
      <c r="C66" s="12">
        <v>4</v>
      </c>
      <c r="D66" s="8">
        <v>3.25</v>
      </c>
      <c r="E66" s="12">
        <v>1</v>
      </c>
      <c r="F66" s="8">
        <v>1.54</v>
      </c>
      <c r="G66" s="12">
        <v>3</v>
      </c>
      <c r="H66" s="8">
        <v>5.45</v>
      </c>
      <c r="I66" s="12">
        <v>0</v>
      </c>
    </row>
    <row r="67" spans="2:9" ht="15" customHeight="1" x14ac:dyDescent="0.2">
      <c r="B67" t="s">
        <v>342</v>
      </c>
      <c r="C67" s="12">
        <v>4</v>
      </c>
      <c r="D67" s="8">
        <v>3.25</v>
      </c>
      <c r="E67" s="12">
        <v>0</v>
      </c>
      <c r="F67" s="8">
        <v>0</v>
      </c>
      <c r="G67" s="12">
        <v>4</v>
      </c>
      <c r="H67" s="8">
        <v>7.27</v>
      </c>
      <c r="I67" s="12">
        <v>0</v>
      </c>
    </row>
    <row r="68" spans="2:9" ht="15" customHeight="1" x14ac:dyDescent="0.2">
      <c r="B68" t="s">
        <v>323</v>
      </c>
      <c r="C68" s="12">
        <v>4</v>
      </c>
      <c r="D68" s="8">
        <v>3.25</v>
      </c>
      <c r="E68" s="12">
        <v>2</v>
      </c>
      <c r="F68" s="8">
        <v>3.08</v>
      </c>
      <c r="G68" s="12">
        <v>2</v>
      </c>
      <c r="H68" s="8">
        <v>3.64</v>
      </c>
      <c r="I68" s="12">
        <v>0</v>
      </c>
    </row>
    <row r="69" spans="2:9" ht="15" customHeight="1" x14ac:dyDescent="0.2">
      <c r="B69" t="s">
        <v>290</v>
      </c>
      <c r="C69" s="12">
        <v>3</v>
      </c>
      <c r="D69" s="8">
        <v>2.44</v>
      </c>
      <c r="E69" s="12">
        <v>0</v>
      </c>
      <c r="F69" s="8">
        <v>0</v>
      </c>
      <c r="G69" s="12">
        <v>3</v>
      </c>
      <c r="H69" s="8">
        <v>5.45</v>
      </c>
      <c r="I69" s="12">
        <v>0</v>
      </c>
    </row>
    <row r="70" spans="2:9" ht="15" customHeight="1" x14ac:dyDescent="0.2">
      <c r="B70" t="s">
        <v>334</v>
      </c>
      <c r="C70" s="12">
        <v>3</v>
      </c>
      <c r="D70" s="8">
        <v>2.44</v>
      </c>
      <c r="E70" s="12">
        <v>3</v>
      </c>
      <c r="F70" s="8">
        <v>4.62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300</v>
      </c>
      <c r="C71" s="12">
        <v>3</v>
      </c>
      <c r="D71" s="8">
        <v>2.44</v>
      </c>
      <c r="E71" s="12">
        <v>2</v>
      </c>
      <c r="F71" s="8">
        <v>3.08</v>
      </c>
      <c r="G71" s="12">
        <v>1</v>
      </c>
      <c r="H71" s="8">
        <v>1.82</v>
      </c>
      <c r="I71" s="12">
        <v>0</v>
      </c>
    </row>
    <row r="72" spans="2:9" ht="15" customHeight="1" x14ac:dyDescent="0.2">
      <c r="B72" t="s">
        <v>301</v>
      </c>
      <c r="C72" s="12">
        <v>3</v>
      </c>
      <c r="D72" s="8">
        <v>2.44</v>
      </c>
      <c r="E72" s="12">
        <v>3</v>
      </c>
      <c r="F72" s="8">
        <v>4.62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306</v>
      </c>
      <c r="C73" s="12">
        <v>3</v>
      </c>
      <c r="D73" s="8">
        <v>2.44</v>
      </c>
      <c r="E73" s="12">
        <v>1</v>
      </c>
      <c r="F73" s="8">
        <v>1.54</v>
      </c>
      <c r="G73" s="12">
        <v>2</v>
      </c>
      <c r="H73" s="8">
        <v>3.64</v>
      </c>
      <c r="I73" s="12">
        <v>0</v>
      </c>
    </row>
    <row r="74" spans="2:9" ht="15" customHeight="1" x14ac:dyDescent="0.2">
      <c r="B74" t="s">
        <v>328</v>
      </c>
      <c r="C74" s="12">
        <v>2</v>
      </c>
      <c r="D74" s="8">
        <v>1.63</v>
      </c>
      <c r="E74" s="12">
        <v>0</v>
      </c>
      <c r="F74" s="8">
        <v>0</v>
      </c>
      <c r="G74" s="12">
        <v>2</v>
      </c>
      <c r="H74" s="8">
        <v>3.64</v>
      </c>
      <c r="I74" s="12">
        <v>0</v>
      </c>
    </row>
    <row r="75" spans="2:9" ht="15" customHeight="1" x14ac:dyDescent="0.2">
      <c r="B75" t="s">
        <v>353</v>
      </c>
      <c r="C75" s="12">
        <v>2</v>
      </c>
      <c r="D75" s="8">
        <v>1.63</v>
      </c>
      <c r="E75" s="12">
        <v>0</v>
      </c>
      <c r="F75" s="8">
        <v>0</v>
      </c>
      <c r="G75" s="12">
        <v>2</v>
      </c>
      <c r="H75" s="8">
        <v>3.64</v>
      </c>
      <c r="I75" s="12">
        <v>0</v>
      </c>
    </row>
    <row r="76" spans="2:9" ht="15" customHeight="1" x14ac:dyDescent="0.2">
      <c r="B76" t="s">
        <v>326</v>
      </c>
      <c r="C76" s="12">
        <v>2</v>
      </c>
      <c r="D76" s="8">
        <v>1.63</v>
      </c>
      <c r="E76" s="12">
        <v>1</v>
      </c>
      <c r="F76" s="8">
        <v>1.54</v>
      </c>
      <c r="G76" s="12">
        <v>1</v>
      </c>
      <c r="H76" s="8">
        <v>1.82</v>
      </c>
      <c r="I76" s="12">
        <v>0</v>
      </c>
    </row>
    <row r="77" spans="2:9" ht="15" customHeight="1" x14ac:dyDescent="0.2">
      <c r="B77" t="s">
        <v>324</v>
      </c>
      <c r="C77" s="12">
        <v>2</v>
      </c>
      <c r="D77" s="8">
        <v>1.63</v>
      </c>
      <c r="E77" s="12">
        <v>1</v>
      </c>
      <c r="F77" s="8">
        <v>1.54</v>
      </c>
      <c r="G77" s="12">
        <v>1</v>
      </c>
      <c r="H77" s="8">
        <v>1.82</v>
      </c>
      <c r="I77" s="12">
        <v>0</v>
      </c>
    </row>
    <row r="78" spans="2:9" ht="15" customHeight="1" x14ac:dyDescent="0.2">
      <c r="B78" t="s">
        <v>314</v>
      </c>
      <c r="C78" s="12">
        <v>2</v>
      </c>
      <c r="D78" s="8">
        <v>1.63</v>
      </c>
      <c r="E78" s="12">
        <v>0</v>
      </c>
      <c r="F78" s="8">
        <v>0</v>
      </c>
      <c r="G78" s="12">
        <v>2</v>
      </c>
      <c r="H78" s="8">
        <v>3.64</v>
      </c>
      <c r="I78" s="12">
        <v>0</v>
      </c>
    </row>
    <row r="79" spans="2:9" ht="15" customHeight="1" x14ac:dyDescent="0.2">
      <c r="B79" t="s">
        <v>372</v>
      </c>
      <c r="C79" s="12">
        <v>2</v>
      </c>
      <c r="D79" s="8">
        <v>1.63</v>
      </c>
      <c r="E79" s="12">
        <v>1</v>
      </c>
      <c r="F79" s="8">
        <v>1.54</v>
      </c>
      <c r="G79" s="12">
        <v>1</v>
      </c>
      <c r="H79" s="8">
        <v>1.82</v>
      </c>
      <c r="I79" s="12">
        <v>0</v>
      </c>
    </row>
    <row r="80" spans="2:9" ht="15" customHeight="1" x14ac:dyDescent="0.2">
      <c r="B80" t="s">
        <v>330</v>
      </c>
      <c r="C80" s="12">
        <v>2</v>
      </c>
      <c r="D80" s="8">
        <v>1.63</v>
      </c>
      <c r="E80" s="12">
        <v>0</v>
      </c>
      <c r="F80" s="8">
        <v>0</v>
      </c>
      <c r="G80" s="12">
        <v>2</v>
      </c>
      <c r="H80" s="8">
        <v>3.64</v>
      </c>
      <c r="I80" s="12">
        <v>0</v>
      </c>
    </row>
    <row r="81" spans="2:9" ht="15" customHeight="1" x14ac:dyDescent="0.2">
      <c r="B81" t="s">
        <v>337</v>
      </c>
      <c r="C81" s="12">
        <v>2</v>
      </c>
      <c r="D81" s="8">
        <v>1.63</v>
      </c>
      <c r="E81" s="12">
        <v>2</v>
      </c>
      <c r="F81" s="8">
        <v>3.08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295</v>
      </c>
      <c r="C82" s="12">
        <v>2</v>
      </c>
      <c r="D82" s="8">
        <v>1.63</v>
      </c>
      <c r="E82" s="12">
        <v>2</v>
      </c>
      <c r="F82" s="8">
        <v>3.08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344</v>
      </c>
      <c r="C83" s="12">
        <v>2</v>
      </c>
      <c r="D83" s="8">
        <v>1.63</v>
      </c>
      <c r="E83" s="12">
        <v>1</v>
      </c>
      <c r="F83" s="8">
        <v>1.54</v>
      </c>
      <c r="G83" s="12">
        <v>1</v>
      </c>
      <c r="H83" s="8">
        <v>1.82</v>
      </c>
      <c r="I83" s="12">
        <v>0</v>
      </c>
    </row>
    <row r="84" spans="2:9" ht="15" customHeight="1" x14ac:dyDescent="0.2">
      <c r="B84" t="s">
        <v>305</v>
      </c>
      <c r="C84" s="12">
        <v>2</v>
      </c>
      <c r="D84" s="8">
        <v>1.63</v>
      </c>
      <c r="E84" s="12">
        <v>2</v>
      </c>
      <c r="F84" s="8">
        <v>3.08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318</v>
      </c>
      <c r="C85" s="12">
        <v>2</v>
      </c>
      <c r="D85" s="8">
        <v>1.63</v>
      </c>
      <c r="E85" s="12">
        <v>0</v>
      </c>
      <c r="F85" s="8">
        <v>0</v>
      </c>
      <c r="G85" s="12">
        <v>2</v>
      </c>
      <c r="H85" s="8">
        <v>3.64</v>
      </c>
      <c r="I85" s="12">
        <v>0</v>
      </c>
    </row>
    <row r="87" spans="2:9" ht="15" customHeight="1" x14ac:dyDescent="0.2">
      <c r="B8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7DAD-7201-4CA6-B92A-EC9D3E1340C8}">
  <sheetPr>
    <pageSetUpPr fitToPage="1"/>
  </sheetPr>
  <dimension ref="B2:I7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0.88</v>
      </c>
      <c r="E5" s="12">
        <v>0</v>
      </c>
      <c r="F5" s="8">
        <v>0</v>
      </c>
      <c r="G5" s="12">
        <v>1</v>
      </c>
      <c r="H5" s="8">
        <v>1.85</v>
      </c>
      <c r="I5" s="12">
        <v>0</v>
      </c>
    </row>
    <row r="6" spans="2:9" ht="15" customHeight="1" x14ac:dyDescent="0.2">
      <c r="B6" t="s">
        <v>191</v>
      </c>
      <c r="C6" s="12">
        <v>15</v>
      </c>
      <c r="D6" s="8">
        <v>13.16</v>
      </c>
      <c r="E6" s="12">
        <v>3</v>
      </c>
      <c r="F6" s="8">
        <v>6</v>
      </c>
      <c r="G6" s="12">
        <v>12</v>
      </c>
      <c r="H6" s="8">
        <v>22.22</v>
      </c>
      <c r="I6" s="12">
        <v>0</v>
      </c>
    </row>
    <row r="7" spans="2:9" ht="15" customHeight="1" x14ac:dyDescent="0.2">
      <c r="B7" t="s">
        <v>192</v>
      </c>
      <c r="C7" s="12">
        <v>10</v>
      </c>
      <c r="D7" s="8">
        <v>8.77</v>
      </c>
      <c r="E7" s="12">
        <v>4</v>
      </c>
      <c r="F7" s="8">
        <v>8</v>
      </c>
      <c r="G7" s="12">
        <v>6</v>
      </c>
      <c r="H7" s="8">
        <v>11.11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0.88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2.63</v>
      </c>
      <c r="E10" s="12">
        <v>1</v>
      </c>
      <c r="F10" s="8">
        <v>2</v>
      </c>
      <c r="G10" s="12">
        <v>2</v>
      </c>
      <c r="H10" s="8">
        <v>3.7</v>
      </c>
      <c r="I10" s="12">
        <v>0</v>
      </c>
    </row>
    <row r="11" spans="2:9" ht="15" customHeight="1" x14ac:dyDescent="0.2">
      <c r="B11" t="s">
        <v>196</v>
      </c>
      <c r="C11" s="12">
        <v>31</v>
      </c>
      <c r="D11" s="8">
        <v>27.19</v>
      </c>
      <c r="E11" s="12">
        <v>13</v>
      </c>
      <c r="F11" s="8">
        <v>26</v>
      </c>
      <c r="G11" s="12">
        <v>18</v>
      </c>
      <c r="H11" s="8">
        <v>33.33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0.88</v>
      </c>
      <c r="E12" s="12">
        <v>0</v>
      </c>
      <c r="F12" s="8">
        <v>0</v>
      </c>
      <c r="G12" s="12">
        <v>1</v>
      </c>
      <c r="H12" s="8">
        <v>1.85</v>
      </c>
      <c r="I12" s="12">
        <v>0</v>
      </c>
    </row>
    <row r="13" spans="2:9" ht="15" customHeight="1" x14ac:dyDescent="0.2">
      <c r="B13" t="s">
        <v>198</v>
      </c>
      <c r="C13" s="12">
        <v>7</v>
      </c>
      <c r="D13" s="8">
        <v>6.14</v>
      </c>
      <c r="E13" s="12">
        <v>6</v>
      </c>
      <c r="F13" s="8">
        <v>12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1.75</v>
      </c>
      <c r="E14" s="12">
        <v>1</v>
      </c>
      <c r="F14" s="8">
        <v>2</v>
      </c>
      <c r="G14" s="12">
        <v>1</v>
      </c>
      <c r="H14" s="8">
        <v>1.85</v>
      </c>
      <c r="I14" s="12">
        <v>0</v>
      </c>
    </row>
    <row r="15" spans="2:9" ht="15" customHeight="1" x14ac:dyDescent="0.2">
      <c r="B15" t="s">
        <v>200</v>
      </c>
      <c r="C15" s="12">
        <v>15</v>
      </c>
      <c r="D15" s="8">
        <v>13.16</v>
      </c>
      <c r="E15" s="12">
        <v>11</v>
      </c>
      <c r="F15" s="8">
        <v>22</v>
      </c>
      <c r="G15" s="12">
        <v>4</v>
      </c>
      <c r="H15" s="8">
        <v>7.41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12.28</v>
      </c>
      <c r="E16" s="12">
        <v>10</v>
      </c>
      <c r="F16" s="8">
        <v>20</v>
      </c>
      <c r="G16" s="12">
        <v>2</v>
      </c>
      <c r="H16" s="8">
        <v>3.7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3.51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2.63</v>
      </c>
      <c r="E18" s="12">
        <v>1</v>
      </c>
      <c r="F18" s="8">
        <v>2</v>
      </c>
      <c r="G18" s="12">
        <v>2</v>
      </c>
      <c r="H18" s="8">
        <v>3.7</v>
      </c>
      <c r="I18" s="12">
        <v>0</v>
      </c>
    </row>
    <row r="19" spans="2:9" ht="15" customHeight="1" x14ac:dyDescent="0.2">
      <c r="B19" t="s">
        <v>204</v>
      </c>
      <c r="C19" s="12">
        <v>7</v>
      </c>
      <c r="D19" s="8">
        <v>6.14</v>
      </c>
      <c r="E19" s="12">
        <v>0</v>
      </c>
      <c r="F19" s="8">
        <v>0</v>
      </c>
      <c r="G19" s="12">
        <v>5</v>
      </c>
      <c r="H19" s="8">
        <v>9.26</v>
      </c>
      <c r="I19" s="12">
        <v>0</v>
      </c>
    </row>
    <row r="20" spans="2:9" ht="15" customHeight="1" x14ac:dyDescent="0.2">
      <c r="B20" s="9" t="s">
        <v>529</v>
      </c>
      <c r="C20" s="12">
        <f>SUM(LTBL_01363[総数／事業所数])</f>
        <v>114</v>
      </c>
      <c r="E20" s="12">
        <f>SUBTOTAL(109,LTBL_01363[個人／事業所数])</f>
        <v>50</v>
      </c>
      <c r="G20" s="12">
        <f>SUBTOTAL(109,LTBL_01363[法人／事業所数])</f>
        <v>54</v>
      </c>
      <c r="I20" s="12">
        <f>SUBTOTAL(109,LTBL_01363[法人以外の団体／事業所数])</f>
        <v>0</v>
      </c>
    </row>
    <row r="21" spans="2:9" ht="15" customHeight="1" x14ac:dyDescent="0.2">
      <c r="E21" s="11">
        <f>LTBL_01363[[#Totals],[個人／事業所数]]/LTBL_01363[[#Totals],[総数／事業所数]]</f>
        <v>0.43859649122807015</v>
      </c>
      <c r="G21" s="11">
        <f>LTBL_01363[[#Totals],[法人／事業所数]]/LTBL_01363[[#Totals],[総数／事業所数]]</f>
        <v>0.47368421052631576</v>
      </c>
      <c r="I21" s="11">
        <f>LTBL_01363[[#Totals],[法人以外の団体／事業所数]]/LTBL_01363[[#Totals],[総数／事業所数]]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13</v>
      </c>
      <c r="D24" s="8">
        <v>11.4</v>
      </c>
      <c r="E24" s="12">
        <v>11</v>
      </c>
      <c r="F24" s="8">
        <v>22</v>
      </c>
      <c r="G24" s="12">
        <v>2</v>
      </c>
      <c r="H24" s="8">
        <v>3.7</v>
      </c>
      <c r="I24" s="12">
        <v>0</v>
      </c>
    </row>
    <row r="25" spans="2:9" ht="15" customHeight="1" x14ac:dyDescent="0.2">
      <c r="B25" t="s">
        <v>221</v>
      </c>
      <c r="C25" s="12">
        <v>12</v>
      </c>
      <c r="D25" s="8">
        <v>10.53</v>
      </c>
      <c r="E25" s="12">
        <v>4</v>
      </c>
      <c r="F25" s="8">
        <v>8</v>
      </c>
      <c r="G25" s="12">
        <v>8</v>
      </c>
      <c r="H25" s="8">
        <v>14.81</v>
      </c>
      <c r="I25" s="12">
        <v>0</v>
      </c>
    </row>
    <row r="26" spans="2:9" ht="15" customHeight="1" x14ac:dyDescent="0.2">
      <c r="B26" t="s">
        <v>228</v>
      </c>
      <c r="C26" s="12">
        <v>12</v>
      </c>
      <c r="D26" s="8">
        <v>10.53</v>
      </c>
      <c r="E26" s="12">
        <v>10</v>
      </c>
      <c r="F26" s="8">
        <v>20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213</v>
      </c>
      <c r="C27" s="12">
        <v>9</v>
      </c>
      <c r="D27" s="8">
        <v>7.89</v>
      </c>
      <c r="E27" s="12">
        <v>1</v>
      </c>
      <c r="F27" s="8">
        <v>2</v>
      </c>
      <c r="G27" s="12">
        <v>8</v>
      </c>
      <c r="H27" s="8">
        <v>14.81</v>
      </c>
      <c r="I27" s="12">
        <v>0</v>
      </c>
    </row>
    <row r="28" spans="2:9" ht="15" customHeight="1" x14ac:dyDescent="0.2">
      <c r="B28" t="s">
        <v>223</v>
      </c>
      <c r="C28" s="12">
        <v>9</v>
      </c>
      <c r="D28" s="8">
        <v>7.89</v>
      </c>
      <c r="E28" s="12">
        <v>4</v>
      </c>
      <c r="F28" s="8">
        <v>8</v>
      </c>
      <c r="G28" s="12">
        <v>5</v>
      </c>
      <c r="H28" s="8">
        <v>9.26</v>
      </c>
      <c r="I28" s="12">
        <v>0</v>
      </c>
    </row>
    <row r="29" spans="2:9" ht="15" customHeight="1" x14ac:dyDescent="0.2">
      <c r="B29" t="s">
        <v>224</v>
      </c>
      <c r="C29" s="12">
        <v>7</v>
      </c>
      <c r="D29" s="8">
        <v>6.14</v>
      </c>
      <c r="E29" s="12">
        <v>6</v>
      </c>
      <c r="F29" s="8">
        <v>12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214</v>
      </c>
      <c r="C30" s="12">
        <v>4</v>
      </c>
      <c r="D30" s="8">
        <v>3.51</v>
      </c>
      <c r="E30" s="12">
        <v>2</v>
      </c>
      <c r="F30" s="8">
        <v>4</v>
      </c>
      <c r="G30" s="12">
        <v>2</v>
      </c>
      <c r="H30" s="8">
        <v>3.7</v>
      </c>
      <c r="I30" s="12">
        <v>0</v>
      </c>
    </row>
    <row r="31" spans="2:9" ht="15" customHeight="1" x14ac:dyDescent="0.2">
      <c r="B31" t="s">
        <v>220</v>
      </c>
      <c r="C31" s="12">
        <v>4</v>
      </c>
      <c r="D31" s="8">
        <v>3.51</v>
      </c>
      <c r="E31" s="12">
        <v>4</v>
      </c>
      <c r="F31" s="8">
        <v>8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230</v>
      </c>
      <c r="C32" s="12">
        <v>4</v>
      </c>
      <c r="D32" s="8">
        <v>3.51</v>
      </c>
      <c r="E32" s="12">
        <v>0</v>
      </c>
      <c r="F32" s="8">
        <v>0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244</v>
      </c>
      <c r="C33" s="12">
        <v>3</v>
      </c>
      <c r="D33" s="8">
        <v>2.63</v>
      </c>
      <c r="E33" s="12">
        <v>0</v>
      </c>
      <c r="F33" s="8">
        <v>0</v>
      </c>
      <c r="G33" s="12">
        <v>3</v>
      </c>
      <c r="H33" s="8">
        <v>5.56</v>
      </c>
      <c r="I33" s="12">
        <v>0</v>
      </c>
    </row>
    <row r="34" spans="2:9" ht="15" customHeight="1" x14ac:dyDescent="0.2">
      <c r="B34" t="s">
        <v>219</v>
      </c>
      <c r="C34" s="12">
        <v>3</v>
      </c>
      <c r="D34" s="8">
        <v>2.63</v>
      </c>
      <c r="E34" s="12">
        <v>0</v>
      </c>
      <c r="F34" s="8">
        <v>0</v>
      </c>
      <c r="G34" s="12">
        <v>3</v>
      </c>
      <c r="H34" s="8">
        <v>5.56</v>
      </c>
      <c r="I34" s="12">
        <v>0</v>
      </c>
    </row>
    <row r="35" spans="2:9" ht="15" customHeight="1" x14ac:dyDescent="0.2">
      <c r="B35" t="s">
        <v>234</v>
      </c>
      <c r="C35" s="12">
        <v>3</v>
      </c>
      <c r="D35" s="8">
        <v>2.63</v>
      </c>
      <c r="E35" s="12">
        <v>0</v>
      </c>
      <c r="F35" s="8">
        <v>0</v>
      </c>
      <c r="G35" s="12">
        <v>3</v>
      </c>
      <c r="H35" s="8">
        <v>5.56</v>
      </c>
      <c r="I35" s="12">
        <v>0</v>
      </c>
    </row>
    <row r="36" spans="2:9" ht="15" customHeight="1" x14ac:dyDescent="0.2">
      <c r="B36" t="s">
        <v>215</v>
      </c>
      <c r="C36" s="12">
        <v>2</v>
      </c>
      <c r="D36" s="8">
        <v>1.75</v>
      </c>
      <c r="E36" s="12">
        <v>0</v>
      </c>
      <c r="F36" s="8">
        <v>0</v>
      </c>
      <c r="G36" s="12">
        <v>2</v>
      </c>
      <c r="H36" s="8">
        <v>3.7</v>
      </c>
      <c r="I36" s="12">
        <v>0</v>
      </c>
    </row>
    <row r="37" spans="2:9" ht="15" customHeight="1" x14ac:dyDescent="0.2">
      <c r="B37" t="s">
        <v>241</v>
      </c>
      <c r="C37" s="12">
        <v>2</v>
      </c>
      <c r="D37" s="8">
        <v>1.75</v>
      </c>
      <c r="E37" s="12">
        <v>1</v>
      </c>
      <c r="F37" s="8">
        <v>2</v>
      </c>
      <c r="G37" s="12">
        <v>1</v>
      </c>
      <c r="H37" s="8">
        <v>1.85</v>
      </c>
      <c r="I37" s="12">
        <v>0</v>
      </c>
    </row>
    <row r="38" spans="2:9" ht="15" customHeight="1" x14ac:dyDescent="0.2">
      <c r="B38" t="s">
        <v>248</v>
      </c>
      <c r="C38" s="12">
        <v>2</v>
      </c>
      <c r="D38" s="8">
        <v>1.75</v>
      </c>
      <c r="E38" s="12">
        <v>1</v>
      </c>
      <c r="F38" s="8">
        <v>2</v>
      </c>
      <c r="G38" s="12">
        <v>1</v>
      </c>
      <c r="H38" s="8">
        <v>1.85</v>
      </c>
      <c r="I38" s="12">
        <v>0</v>
      </c>
    </row>
    <row r="39" spans="2:9" ht="15" customHeight="1" x14ac:dyDescent="0.2">
      <c r="B39" t="s">
        <v>222</v>
      </c>
      <c r="C39" s="12">
        <v>2</v>
      </c>
      <c r="D39" s="8">
        <v>1.75</v>
      </c>
      <c r="E39" s="12">
        <v>1</v>
      </c>
      <c r="F39" s="8">
        <v>2</v>
      </c>
      <c r="G39" s="12">
        <v>1</v>
      </c>
      <c r="H39" s="8">
        <v>1.85</v>
      </c>
      <c r="I39" s="12">
        <v>0</v>
      </c>
    </row>
    <row r="40" spans="2:9" ht="15" customHeight="1" x14ac:dyDescent="0.2">
      <c r="B40" t="s">
        <v>226</v>
      </c>
      <c r="C40" s="12">
        <v>2</v>
      </c>
      <c r="D40" s="8">
        <v>1.75</v>
      </c>
      <c r="E40" s="12">
        <v>1</v>
      </c>
      <c r="F40" s="8">
        <v>2</v>
      </c>
      <c r="G40" s="12">
        <v>1</v>
      </c>
      <c r="H40" s="8">
        <v>1.85</v>
      </c>
      <c r="I40" s="12">
        <v>0</v>
      </c>
    </row>
    <row r="41" spans="2:9" ht="15" customHeight="1" x14ac:dyDescent="0.2">
      <c r="B41" t="s">
        <v>229</v>
      </c>
      <c r="C41" s="12">
        <v>2</v>
      </c>
      <c r="D41" s="8">
        <v>1.75</v>
      </c>
      <c r="E41" s="12">
        <v>0</v>
      </c>
      <c r="F41" s="8">
        <v>0</v>
      </c>
      <c r="G41" s="12">
        <v>2</v>
      </c>
      <c r="H41" s="8">
        <v>3.7</v>
      </c>
      <c r="I41" s="12">
        <v>0</v>
      </c>
    </row>
    <row r="42" spans="2:9" ht="15" customHeight="1" x14ac:dyDescent="0.2">
      <c r="B42" t="s">
        <v>232</v>
      </c>
      <c r="C42" s="12">
        <v>2</v>
      </c>
      <c r="D42" s="8">
        <v>1.75</v>
      </c>
      <c r="E42" s="12">
        <v>0</v>
      </c>
      <c r="F42" s="8">
        <v>0</v>
      </c>
      <c r="G42" s="12">
        <v>2</v>
      </c>
      <c r="H42" s="8">
        <v>3.7</v>
      </c>
      <c r="I42" s="12">
        <v>0</v>
      </c>
    </row>
    <row r="43" spans="2:9" ht="15" customHeight="1" x14ac:dyDescent="0.2">
      <c r="B43" t="s">
        <v>240</v>
      </c>
      <c r="C43" s="12">
        <v>2</v>
      </c>
      <c r="D43" s="8">
        <v>1.75</v>
      </c>
      <c r="E43" s="12">
        <v>0</v>
      </c>
      <c r="F43" s="8">
        <v>0</v>
      </c>
      <c r="G43" s="12">
        <v>2</v>
      </c>
      <c r="H43" s="8">
        <v>3.7</v>
      </c>
      <c r="I43" s="12">
        <v>0</v>
      </c>
    </row>
    <row r="44" spans="2:9" ht="15" customHeight="1" x14ac:dyDescent="0.2">
      <c r="B44" t="s">
        <v>250</v>
      </c>
      <c r="C44" s="12">
        <v>2</v>
      </c>
      <c r="D44" s="8">
        <v>1.75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297</v>
      </c>
      <c r="C48" s="12">
        <v>6</v>
      </c>
      <c r="D48" s="8">
        <v>5.26</v>
      </c>
      <c r="E48" s="12">
        <v>5</v>
      </c>
      <c r="F48" s="8">
        <v>10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292</v>
      </c>
      <c r="C49" s="12">
        <v>5</v>
      </c>
      <c r="D49" s="8">
        <v>4.3899999999999997</v>
      </c>
      <c r="E49" s="12">
        <v>2</v>
      </c>
      <c r="F49" s="8">
        <v>4</v>
      </c>
      <c r="G49" s="12">
        <v>3</v>
      </c>
      <c r="H49" s="8">
        <v>5.56</v>
      </c>
      <c r="I49" s="12">
        <v>0</v>
      </c>
    </row>
    <row r="50" spans="2:9" ht="15" customHeight="1" x14ac:dyDescent="0.2">
      <c r="B50" t="s">
        <v>303</v>
      </c>
      <c r="C50" s="12">
        <v>5</v>
      </c>
      <c r="D50" s="8">
        <v>4.3899999999999997</v>
      </c>
      <c r="E50" s="12">
        <v>5</v>
      </c>
      <c r="F50" s="8">
        <v>10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289</v>
      </c>
      <c r="C51" s="12">
        <v>4</v>
      </c>
      <c r="D51" s="8">
        <v>3.51</v>
      </c>
      <c r="E51" s="12">
        <v>0</v>
      </c>
      <c r="F51" s="8">
        <v>0</v>
      </c>
      <c r="G51" s="12">
        <v>4</v>
      </c>
      <c r="H51" s="8">
        <v>7.41</v>
      </c>
      <c r="I51" s="12">
        <v>0</v>
      </c>
    </row>
    <row r="52" spans="2:9" ht="15" customHeight="1" x14ac:dyDescent="0.2">
      <c r="B52" t="s">
        <v>314</v>
      </c>
      <c r="C52" s="12">
        <v>4</v>
      </c>
      <c r="D52" s="8">
        <v>3.51</v>
      </c>
      <c r="E52" s="12">
        <v>4</v>
      </c>
      <c r="F52" s="8">
        <v>8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349</v>
      </c>
      <c r="C53" s="12">
        <v>4</v>
      </c>
      <c r="D53" s="8">
        <v>3.51</v>
      </c>
      <c r="E53" s="12">
        <v>4</v>
      </c>
      <c r="F53" s="8">
        <v>8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300</v>
      </c>
      <c r="C54" s="12">
        <v>4</v>
      </c>
      <c r="D54" s="8">
        <v>3.51</v>
      </c>
      <c r="E54" s="12">
        <v>4</v>
      </c>
      <c r="F54" s="8">
        <v>8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304</v>
      </c>
      <c r="C55" s="12">
        <v>4</v>
      </c>
      <c r="D55" s="8">
        <v>3.51</v>
      </c>
      <c r="E55" s="12">
        <v>4</v>
      </c>
      <c r="F55" s="8">
        <v>8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288</v>
      </c>
      <c r="C56" s="12">
        <v>3</v>
      </c>
      <c r="D56" s="8">
        <v>2.63</v>
      </c>
      <c r="E56" s="12">
        <v>0</v>
      </c>
      <c r="F56" s="8">
        <v>0</v>
      </c>
      <c r="G56" s="12">
        <v>3</v>
      </c>
      <c r="H56" s="8">
        <v>5.56</v>
      </c>
      <c r="I56" s="12">
        <v>0</v>
      </c>
    </row>
    <row r="57" spans="2:9" ht="15" customHeight="1" x14ac:dyDescent="0.2">
      <c r="B57" t="s">
        <v>384</v>
      </c>
      <c r="C57" s="12">
        <v>3</v>
      </c>
      <c r="D57" s="8">
        <v>2.63</v>
      </c>
      <c r="E57" s="12">
        <v>0</v>
      </c>
      <c r="F57" s="8">
        <v>0</v>
      </c>
      <c r="G57" s="12">
        <v>3</v>
      </c>
      <c r="H57" s="8">
        <v>5.56</v>
      </c>
      <c r="I57" s="12">
        <v>0</v>
      </c>
    </row>
    <row r="58" spans="2:9" ht="15" customHeight="1" x14ac:dyDescent="0.2">
      <c r="B58" t="s">
        <v>309</v>
      </c>
      <c r="C58" s="12">
        <v>3</v>
      </c>
      <c r="D58" s="8">
        <v>2.63</v>
      </c>
      <c r="E58" s="12">
        <v>0</v>
      </c>
      <c r="F58" s="8">
        <v>0</v>
      </c>
      <c r="G58" s="12">
        <v>3</v>
      </c>
      <c r="H58" s="8">
        <v>5.56</v>
      </c>
      <c r="I58" s="12">
        <v>0</v>
      </c>
    </row>
    <row r="59" spans="2:9" ht="15" customHeight="1" x14ac:dyDescent="0.2">
      <c r="B59" t="s">
        <v>340</v>
      </c>
      <c r="C59" s="12">
        <v>3</v>
      </c>
      <c r="D59" s="8">
        <v>2.63</v>
      </c>
      <c r="E59" s="12">
        <v>0</v>
      </c>
      <c r="F59" s="8">
        <v>0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328</v>
      </c>
      <c r="C60" s="12">
        <v>2</v>
      </c>
      <c r="D60" s="8">
        <v>1.75</v>
      </c>
      <c r="E60" s="12">
        <v>1</v>
      </c>
      <c r="F60" s="8">
        <v>2</v>
      </c>
      <c r="G60" s="12">
        <v>1</v>
      </c>
      <c r="H60" s="8">
        <v>1.85</v>
      </c>
      <c r="I60" s="12">
        <v>0</v>
      </c>
    </row>
    <row r="61" spans="2:9" ht="15" customHeight="1" x14ac:dyDescent="0.2">
      <c r="B61" t="s">
        <v>393</v>
      </c>
      <c r="C61" s="12">
        <v>2</v>
      </c>
      <c r="D61" s="8">
        <v>1.75</v>
      </c>
      <c r="E61" s="12">
        <v>1</v>
      </c>
      <c r="F61" s="8">
        <v>2</v>
      </c>
      <c r="G61" s="12">
        <v>1</v>
      </c>
      <c r="H61" s="8">
        <v>1.85</v>
      </c>
      <c r="I61" s="12">
        <v>0</v>
      </c>
    </row>
    <row r="62" spans="2:9" ht="15" customHeight="1" x14ac:dyDescent="0.2">
      <c r="B62" t="s">
        <v>290</v>
      </c>
      <c r="C62" s="12">
        <v>2</v>
      </c>
      <c r="D62" s="8">
        <v>1.75</v>
      </c>
      <c r="E62" s="12">
        <v>0</v>
      </c>
      <c r="F62" s="8">
        <v>0</v>
      </c>
      <c r="G62" s="12">
        <v>2</v>
      </c>
      <c r="H62" s="8">
        <v>3.7</v>
      </c>
      <c r="I62" s="12">
        <v>0</v>
      </c>
    </row>
    <row r="63" spans="2:9" ht="15" customHeight="1" x14ac:dyDescent="0.2">
      <c r="B63" t="s">
        <v>336</v>
      </c>
      <c r="C63" s="12">
        <v>2</v>
      </c>
      <c r="D63" s="8">
        <v>1.75</v>
      </c>
      <c r="E63" s="12">
        <v>1</v>
      </c>
      <c r="F63" s="8">
        <v>2</v>
      </c>
      <c r="G63" s="12">
        <v>1</v>
      </c>
      <c r="H63" s="8">
        <v>1.85</v>
      </c>
      <c r="I63" s="12">
        <v>0</v>
      </c>
    </row>
    <row r="64" spans="2:9" ht="15" customHeight="1" x14ac:dyDescent="0.2">
      <c r="B64" t="s">
        <v>372</v>
      </c>
      <c r="C64" s="12">
        <v>2</v>
      </c>
      <c r="D64" s="8">
        <v>1.75</v>
      </c>
      <c r="E64" s="12">
        <v>0</v>
      </c>
      <c r="F64" s="8">
        <v>0</v>
      </c>
      <c r="G64" s="12">
        <v>2</v>
      </c>
      <c r="H64" s="8">
        <v>3.7</v>
      </c>
      <c r="I64" s="12">
        <v>0</v>
      </c>
    </row>
    <row r="65" spans="2:9" ht="15" customHeight="1" x14ac:dyDescent="0.2">
      <c r="B65" t="s">
        <v>337</v>
      </c>
      <c r="C65" s="12">
        <v>2</v>
      </c>
      <c r="D65" s="8">
        <v>1.75</v>
      </c>
      <c r="E65" s="12">
        <v>2</v>
      </c>
      <c r="F65" s="8">
        <v>4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295</v>
      </c>
      <c r="C66" s="12">
        <v>2</v>
      </c>
      <c r="D66" s="8">
        <v>1.75</v>
      </c>
      <c r="E66" s="12">
        <v>1</v>
      </c>
      <c r="F66" s="8">
        <v>2</v>
      </c>
      <c r="G66" s="12">
        <v>1</v>
      </c>
      <c r="H66" s="8">
        <v>1.85</v>
      </c>
      <c r="I66" s="12">
        <v>0</v>
      </c>
    </row>
    <row r="67" spans="2:9" ht="15" customHeight="1" x14ac:dyDescent="0.2">
      <c r="B67" t="s">
        <v>334</v>
      </c>
      <c r="C67" s="12">
        <v>2</v>
      </c>
      <c r="D67" s="8">
        <v>1.75</v>
      </c>
      <c r="E67" s="12">
        <v>1</v>
      </c>
      <c r="F67" s="8">
        <v>2</v>
      </c>
      <c r="G67" s="12">
        <v>1</v>
      </c>
      <c r="H67" s="8">
        <v>1.85</v>
      </c>
      <c r="I67" s="12">
        <v>0</v>
      </c>
    </row>
    <row r="68" spans="2:9" ht="15" customHeight="1" x14ac:dyDescent="0.2">
      <c r="B68" t="s">
        <v>301</v>
      </c>
      <c r="C68" s="12">
        <v>2</v>
      </c>
      <c r="D68" s="8">
        <v>1.75</v>
      </c>
      <c r="E68" s="12">
        <v>2</v>
      </c>
      <c r="F68" s="8">
        <v>4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391</v>
      </c>
      <c r="C69" s="12">
        <v>2</v>
      </c>
      <c r="D69" s="8">
        <v>1.75</v>
      </c>
      <c r="E69" s="12">
        <v>0</v>
      </c>
      <c r="F69" s="8">
        <v>0</v>
      </c>
      <c r="G69" s="12">
        <v>2</v>
      </c>
      <c r="H69" s="8">
        <v>3.7</v>
      </c>
      <c r="I69" s="12">
        <v>0</v>
      </c>
    </row>
    <row r="70" spans="2:9" ht="15" customHeight="1" x14ac:dyDescent="0.2">
      <c r="B70" t="s">
        <v>331</v>
      </c>
      <c r="C70" s="12">
        <v>2</v>
      </c>
      <c r="D70" s="8">
        <v>1.75</v>
      </c>
      <c r="E70" s="12">
        <v>0</v>
      </c>
      <c r="F70" s="8">
        <v>0</v>
      </c>
      <c r="G70" s="12">
        <v>2</v>
      </c>
      <c r="H70" s="8">
        <v>3.7</v>
      </c>
      <c r="I70" s="12">
        <v>0</v>
      </c>
    </row>
    <row r="71" spans="2:9" ht="15" customHeight="1" x14ac:dyDescent="0.2">
      <c r="B71" t="s">
        <v>307</v>
      </c>
      <c r="C71" s="12">
        <v>2</v>
      </c>
      <c r="D71" s="8">
        <v>1.75</v>
      </c>
      <c r="E71" s="12">
        <v>0</v>
      </c>
      <c r="F71" s="8">
        <v>0</v>
      </c>
      <c r="G71" s="12">
        <v>2</v>
      </c>
      <c r="H71" s="8">
        <v>3.7</v>
      </c>
      <c r="I71" s="12">
        <v>0</v>
      </c>
    </row>
    <row r="72" spans="2:9" ht="15" customHeight="1" x14ac:dyDescent="0.2">
      <c r="B72" t="s">
        <v>318</v>
      </c>
      <c r="C72" s="12">
        <v>2</v>
      </c>
      <c r="D72" s="8">
        <v>1.75</v>
      </c>
      <c r="E72" s="12">
        <v>0</v>
      </c>
      <c r="F72" s="8">
        <v>0</v>
      </c>
      <c r="G72" s="12">
        <v>2</v>
      </c>
      <c r="H72" s="8">
        <v>3.7</v>
      </c>
      <c r="I72" s="12">
        <v>0</v>
      </c>
    </row>
    <row r="73" spans="2:9" ht="15" customHeight="1" x14ac:dyDescent="0.2">
      <c r="B73" t="s">
        <v>345</v>
      </c>
      <c r="C73" s="12">
        <v>2</v>
      </c>
      <c r="D73" s="8">
        <v>1.75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5" spans="2:9" ht="15" customHeight="1" x14ac:dyDescent="0.2">
      <c r="B7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E7EAB-5D42-4E14-A19A-19B5A862CAC7}">
  <sheetPr>
    <pageSetUpPr fitToPage="1"/>
  </sheetPr>
  <dimension ref="B2:I7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17</v>
      </c>
      <c r="D6" s="8">
        <v>14.78</v>
      </c>
      <c r="E6" s="12">
        <v>5</v>
      </c>
      <c r="F6" s="8">
        <v>9.09</v>
      </c>
      <c r="G6" s="12">
        <v>12</v>
      </c>
      <c r="H6" s="8">
        <v>23.08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7.83</v>
      </c>
      <c r="E7" s="12">
        <v>1</v>
      </c>
      <c r="F7" s="8">
        <v>1.82</v>
      </c>
      <c r="G7" s="12">
        <v>8</v>
      </c>
      <c r="H7" s="8">
        <v>15.38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0.87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0.87</v>
      </c>
      <c r="E9" s="12">
        <v>0</v>
      </c>
      <c r="F9" s="8">
        <v>0</v>
      </c>
      <c r="G9" s="12">
        <v>1</v>
      </c>
      <c r="H9" s="8">
        <v>1.92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0.87</v>
      </c>
      <c r="E10" s="12">
        <v>0</v>
      </c>
      <c r="F10" s="8">
        <v>0</v>
      </c>
      <c r="G10" s="12">
        <v>1</v>
      </c>
      <c r="H10" s="8">
        <v>1.92</v>
      </c>
      <c r="I10" s="12">
        <v>0</v>
      </c>
    </row>
    <row r="11" spans="2:9" ht="15" customHeight="1" x14ac:dyDescent="0.2">
      <c r="B11" t="s">
        <v>196</v>
      </c>
      <c r="C11" s="12">
        <v>31</v>
      </c>
      <c r="D11" s="8">
        <v>26.96</v>
      </c>
      <c r="E11" s="12">
        <v>15</v>
      </c>
      <c r="F11" s="8">
        <v>27.27</v>
      </c>
      <c r="G11" s="12">
        <v>15</v>
      </c>
      <c r="H11" s="8">
        <v>28.85</v>
      </c>
      <c r="I11" s="12">
        <v>1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</v>
      </c>
      <c r="D13" s="8">
        <v>0.87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1.74</v>
      </c>
      <c r="E14" s="12">
        <v>1</v>
      </c>
      <c r="F14" s="8">
        <v>1.82</v>
      </c>
      <c r="G14" s="12">
        <v>1</v>
      </c>
      <c r="H14" s="8">
        <v>1.92</v>
      </c>
      <c r="I14" s="12">
        <v>0</v>
      </c>
    </row>
    <row r="15" spans="2:9" ht="15" customHeight="1" x14ac:dyDescent="0.2">
      <c r="B15" t="s">
        <v>200</v>
      </c>
      <c r="C15" s="12">
        <v>14</v>
      </c>
      <c r="D15" s="8">
        <v>12.17</v>
      </c>
      <c r="E15" s="12">
        <v>11</v>
      </c>
      <c r="F15" s="8">
        <v>20</v>
      </c>
      <c r="G15" s="12">
        <v>3</v>
      </c>
      <c r="H15" s="8">
        <v>5.77</v>
      </c>
      <c r="I15" s="12">
        <v>0</v>
      </c>
    </row>
    <row r="16" spans="2:9" ht="15" customHeight="1" x14ac:dyDescent="0.2">
      <c r="B16" t="s">
        <v>201</v>
      </c>
      <c r="C16" s="12">
        <v>18</v>
      </c>
      <c r="D16" s="8">
        <v>15.65</v>
      </c>
      <c r="E16" s="12">
        <v>16</v>
      </c>
      <c r="F16" s="8">
        <v>29.09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3.48</v>
      </c>
      <c r="E17" s="12">
        <v>3</v>
      </c>
      <c r="F17" s="8">
        <v>5.45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10</v>
      </c>
      <c r="D18" s="8">
        <v>8.6999999999999993</v>
      </c>
      <c r="E18" s="12">
        <v>2</v>
      </c>
      <c r="F18" s="8">
        <v>3.64</v>
      </c>
      <c r="G18" s="12">
        <v>7</v>
      </c>
      <c r="H18" s="8">
        <v>13.46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5.22</v>
      </c>
      <c r="E19" s="12">
        <v>1</v>
      </c>
      <c r="F19" s="8">
        <v>1.82</v>
      </c>
      <c r="G19" s="12">
        <v>4</v>
      </c>
      <c r="H19" s="8">
        <v>7.69</v>
      </c>
      <c r="I19" s="12">
        <v>0</v>
      </c>
    </row>
    <row r="20" spans="2:9" ht="15" customHeight="1" x14ac:dyDescent="0.2">
      <c r="B20" s="9" t="s">
        <v>529</v>
      </c>
      <c r="C20" s="12">
        <f>SUM(LTBL_01364[総数／事業所数])</f>
        <v>115</v>
      </c>
      <c r="E20" s="12">
        <f>SUBTOTAL(109,LTBL_01364[個人／事業所数])</f>
        <v>55</v>
      </c>
      <c r="G20" s="12">
        <f>SUBTOTAL(109,LTBL_01364[法人／事業所数])</f>
        <v>52</v>
      </c>
      <c r="I20" s="12">
        <f>SUBTOTAL(109,LTBL_01364[法人以外の団体／事業所数])</f>
        <v>1</v>
      </c>
    </row>
    <row r="21" spans="2:9" ht="15" customHeight="1" x14ac:dyDescent="0.2">
      <c r="E21" s="11">
        <f>LTBL_01364[[#Totals],[個人／事業所数]]/LTBL_01364[[#Totals],[総数／事業所数]]</f>
        <v>0.47826086956521741</v>
      </c>
      <c r="G21" s="11">
        <f>LTBL_01364[[#Totals],[法人／事業所数]]/LTBL_01364[[#Totals],[総数／事業所数]]</f>
        <v>0.45217391304347826</v>
      </c>
      <c r="I21" s="11">
        <f>LTBL_01364[[#Totals],[法人以外の団体／事業所数]]/LTBL_01364[[#Totals],[総数／事業所数]]</f>
        <v>8.6956521739130436E-3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16</v>
      </c>
      <c r="D24" s="8">
        <v>13.91</v>
      </c>
      <c r="E24" s="12">
        <v>16</v>
      </c>
      <c r="F24" s="8">
        <v>29.09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223</v>
      </c>
      <c r="C25" s="12">
        <v>11</v>
      </c>
      <c r="D25" s="8">
        <v>9.57</v>
      </c>
      <c r="E25" s="12">
        <v>6</v>
      </c>
      <c r="F25" s="8">
        <v>10.91</v>
      </c>
      <c r="G25" s="12">
        <v>5</v>
      </c>
      <c r="H25" s="8">
        <v>9.6199999999999992</v>
      </c>
      <c r="I25" s="12">
        <v>0</v>
      </c>
    </row>
    <row r="26" spans="2:9" ht="15" customHeight="1" x14ac:dyDescent="0.2">
      <c r="B26" t="s">
        <v>213</v>
      </c>
      <c r="C26" s="12">
        <v>9</v>
      </c>
      <c r="D26" s="8">
        <v>7.83</v>
      </c>
      <c r="E26" s="12">
        <v>2</v>
      </c>
      <c r="F26" s="8">
        <v>3.64</v>
      </c>
      <c r="G26" s="12">
        <v>7</v>
      </c>
      <c r="H26" s="8">
        <v>13.46</v>
      </c>
      <c r="I26" s="12">
        <v>0</v>
      </c>
    </row>
    <row r="27" spans="2:9" ht="15" customHeight="1" x14ac:dyDescent="0.2">
      <c r="B27" t="s">
        <v>227</v>
      </c>
      <c r="C27" s="12">
        <v>9</v>
      </c>
      <c r="D27" s="8">
        <v>7.83</v>
      </c>
      <c r="E27" s="12">
        <v>9</v>
      </c>
      <c r="F27" s="8">
        <v>16.36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221</v>
      </c>
      <c r="C28" s="12">
        <v>7</v>
      </c>
      <c r="D28" s="8">
        <v>6.09</v>
      </c>
      <c r="E28" s="12">
        <v>4</v>
      </c>
      <c r="F28" s="8">
        <v>7.27</v>
      </c>
      <c r="G28" s="12">
        <v>2</v>
      </c>
      <c r="H28" s="8">
        <v>3.85</v>
      </c>
      <c r="I28" s="12">
        <v>1</v>
      </c>
    </row>
    <row r="29" spans="2:9" ht="15" customHeight="1" x14ac:dyDescent="0.2">
      <c r="B29" t="s">
        <v>232</v>
      </c>
      <c r="C29" s="12">
        <v>7</v>
      </c>
      <c r="D29" s="8">
        <v>6.09</v>
      </c>
      <c r="E29" s="12">
        <v>0</v>
      </c>
      <c r="F29" s="8">
        <v>0</v>
      </c>
      <c r="G29" s="12">
        <v>6</v>
      </c>
      <c r="H29" s="8">
        <v>11.54</v>
      </c>
      <c r="I29" s="12">
        <v>0</v>
      </c>
    </row>
    <row r="30" spans="2:9" ht="15" customHeight="1" x14ac:dyDescent="0.2">
      <c r="B30" t="s">
        <v>214</v>
      </c>
      <c r="C30" s="12">
        <v>5</v>
      </c>
      <c r="D30" s="8">
        <v>4.3499999999999996</v>
      </c>
      <c r="E30" s="12">
        <v>3</v>
      </c>
      <c r="F30" s="8">
        <v>5.45</v>
      </c>
      <c r="G30" s="12">
        <v>2</v>
      </c>
      <c r="H30" s="8">
        <v>3.85</v>
      </c>
      <c r="I30" s="12">
        <v>0</v>
      </c>
    </row>
    <row r="31" spans="2:9" ht="15" customHeight="1" x14ac:dyDescent="0.2">
      <c r="B31" t="s">
        <v>241</v>
      </c>
      <c r="C31" s="12">
        <v>4</v>
      </c>
      <c r="D31" s="8">
        <v>3.48</v>
      </c>
      <c r="E31" s="12">
        <v>0</v>
      </c>
      <c r="F31" s="8">
        <v>0</v>
      </c>
      <c r="G31" s="12">
        <v>4</v>
      </c>
      <c r="H31" s="8">
        <v>7.69</v>
      </c>
      <c r="I31" s="12">
        <v>0</v>
      </c>
    </row>
    <row r="32" spans="2:9" ht="15" customHeight="1" x14ac:dyDescent="0.2">
      <c r="B32" t="s">
        <v>222</v>
      </c>
      <c r="C32" s="12">
        <v>4</v>
      </c>
      <c r="D32" s="8">
        <v>3.48</v>
      </c>
      <c r="E32" s="12">
        <v>1</v>
      </c>
      <c r="F32" s="8">
        <v>1.82</v>
      </c>
      <c r="G32" s="12">
        <v>3</v>
      </c>
      <c r="H32" s="8">
        <v>5.77</v>
      </c>
      <c r="I32" s="12">
        <v>0</v>
      </c>
    </row>
    <row r="33" spans="2:9" ht="15" customHeight="1" x14ac:dyDescent="0.2">
      <c r="B33" t="s">
        <v>243</v>
      </c>
      <c r="C33" s="12">
        <v>4</v>
      </c>
      <c r="D33" s="8">
        <v>3.48</v>
      </c>
      <c r="E33" s="12">
        <v>2</v>
      </c>
      <c r="F33" s="8">
        <v>3.64</v>
      </c>
      <c r="G33" s="12">
        <v>2</v>
      </c>
      <c r="H33" s="8">
        <v>3.85</v>
      </c>
      <c r="I33" s="12">
        <v>0</v>
      </c>
    </row>
    <row r="34" spans="2:9" ht="15" customHeight="1" x14ac:dyDescent="0.2">
      <c r="B34" t="s">
        <v>230</v>
      </c>
      <c r="C34" s="12">
        <v>4</v>
      </c>
      <c r="D34" s="8">
        <v>3.48</v>
      </c>
      <c r="E34" s="12">
        <v>3</v>
      </c>
      <c r="F34" s="8">
        <v>5.45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215</v>
      </c>
      <c r="C35" s="12">
        <v>3</v>
      </c>
      <c r="D35" s="8">
        <v>2.61</v>
      </c>
      <c r="E35" s="12">
        <v>0</v>
      </c>
      <c r="F35" s="8">
        <v>0</v>
      </c>
      <c r="G35" s="12">
        <v>3</v>
      </c>
      <c r="H35" s="8">
        <v>5.77</v>
      </c>
      <c r="I35" s="12">
        <v>0</v>
      </c>
    </row>
    <row r="36" spans="2:9" ht="15" customHeight="1" x14ac:dyDescent="0.2">
      <c r="B36" t="s">
        <v>262</v>
      </c>
      <c r="C36" s="12">
        <v>3</v>
      </c>
      <c r="D36" s="8">
        <v>2.61</v>
      </c>
      <c r="E36" s="12">
        <v>0</v>
      </c>
      <c r="F36" s="8">
        <v>0</v>
      </c>
      <c r="G36" s="12">
        <v>3</v>
      </c>
      <c r="H36" s="8">
        <v>5.77</v>
      </c>
      <c r="I36" s="12">
        <v>0</v>
      </c>
    </row>
    <row r="37" spans="2:9" ht="15" customHeight="1" x14ac:dyDescent="0.2">
      <c r="B37" t="s">
        <v>216</v>
      </c>
      <c r="C37" s="12">
        <v>3</v>
      </c>
      <c r="D37" s="8">
        <v>2.61</v>
      </c>
      <c r="E37" s="12">
        <v>0</v>
      </c>
      <c r="F37" s="8">
        <v>0</v>
      </c>
      <c r="G37" s="12">
        <v>3</v>
      </c>
      <c r="H37" s="8">
        <v>5.77</v>
      </c>
      <c r="I37" s="12">
        <v>0</v>
      </c>
    </row>
    <row r="38" spans="2:9" ht="15" customHeight="1" x14ac:dyDescent="0.2">
      <c r="B38" t="s">
        <v>220</v>
      </c>
      <c r="C38" s="12">
        <v>3</v>
      </c>
      <c r="D38" s="8">
        <v>2.61</v>
      </c>
      <c r="E38" s="12">
        <v>2</v>
      </c>
      <c r="F38" s="8">
        <v>3.64</v>
      </c>
      <c r="G38" s="12">
        <v>1</v>
      </c>
      <c r="H38" s="8">
        <v>1.92</v>
      </c>
      <c r="I38" s="12">
        <v>0</v>
      </c>
    </row>
    <row r="39" spans="2:9" ht="15" customHeight="1" x14ac:dyDescent="0.2">
      <c r="B39" t="s">
        <v>236</v>
      </c>
      <c r="C39" s="12">
        <v>3</v>
      </c>
      <c r="D39" s="8">
        <v>2.61</v>
      </c>
      <c r="E39" s="12">
        <v>2</v>
      </c>
      <c r="F39" s="8">
        <v>3.64</v>
      </c>
      <c r="G39" s="12">
        <v>1</v>
      </c>
      <c r="H39" s="8">
        <v>1.92</v>
      </c>
      <c r="I39" s="12">
        <v>0</v>
      </c>
    </row>
    <row r="40" spans="2:9" ht="15" customHeight="1" x14ac:dyDescent="0.2">
      <c r="B40" t="s">
        <v>231</v>
      </c>
      <c r="C40" s="12">
        <v>3</v>
      </c>
      <c r="D40" s="8">
        <v>2.61</v>
      </c>
      <c r="E40" s="12">
        <v>2</v>
      </c>
      <c r="F40" s="8">
        <v>3.64</v>
      </c>
      <c r="G40" s="12">
        <v>1</v>
      </c>
      <c r="H40" s="8">
        <v>1.92</v>
      </c>
      <c r="I40" s="12">
        <v>0</v>
      </c>
    </row>
    <row r="41" spans="2:9" ht="15" customHeight="1" x14ac:dyDescent="0.2">
      <c r="B41" t="s">
        <v>226</v>
      </c>
      <c r="C41" s="12">
        <v>2</v>
      </c>
      <c r="D41" s="8">
        <v>1.74</v>
      </c>
      <c r="E41" s="12">
        <v>1</v>
      </c>
      <c r="F41" s="8">
        <v>1.82</v>
      </c>
      <c r="G41" s="12">
        <v>1</v>
      </c>
      <c r="H41" s="8">
        <v>1.92</v>
      </c>
      <c r="I41" s="12">
        <v>0</v>
      </c>
    </row>
    <row r="42" spans="2:9" ht="15" customHeight="1" x14ac:dyDescent="0.2">
      <c r="B42" t="s">
        <v>247</v>
      </c>
      <c r="C42" s="12">
        <v>2</v>
      </c>
      <c r="D42" s="8">
        <v>1.74</v>
      </c>
      <c r="E42" s="12">
        <v>0</v>
      </c>
      <c r="F42" s="8">
        <v>0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249</v>
      </c>
      <c r="C43" s="12">
        <v>2</v>
      </c>
      <c r="D43" s="8">
        <v>1.74</v>
      </c>
      <c r="E43" s="12">
        <v>0</v>
      </c>
      <c r="F43" s="8">
        <v>0</v>
      </c>
      <c r="G43" s="12">
        <v>2</v>
      </c>
      <c r="H43" s="8">
        <v>3.85</v>
      </c>
      <c r="I43" s="12">
        <v>0</v>
      </c>
    </row>
    <row r="44" spans="2:9" ht="15" customHeight="1" x14ac:dyDescent="0.2">
      <c r="B44" t="s">
        <v>234</v>
      </c>
      <c r="C44" s="12">
        <v>2</v>
      </c>
      <c r="D44" s="8">
        <v>1.74</v>
      </c>
      <c r="E44" s="12">
        <v>0</v>
      </c>
      <c r="F44" s="8">
        <v>0</v>
      </c>
      <c r="G44" s="12">
        <v>2</v>
      </c>
      <c r="H44" s="8">
        <v>3.85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303</v>
      </c>
      <c r="C48" s="12">
        <v>8</v>
      </c>
      <c r="D48" s="8">
        <v>6.96</v>
      </c>
      <c r="E48" s="12">
        <v>8</v>
      </c>
      <c r="F48" s="8">
        <v>14.55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304</v>
      </c>
      <c r="C49" s="12">
        <v>8</v>
      </c>
      <c r="D49" s="8">
        <v>6.96</v>
      </c>
      <c r="E49" s="12">
        <v>8</v>
      </c>
      <c r="F49" s="8">
        <v>14.55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330</v>
      </c>
      <c r="C50" s="12">
        <v>6</v>
      </c>
      <c r="D50" s="8">
        <v>5.22</v>
      </c>
      <c r="E50" s="12">
        <v>1</v>
      </c>
      <c r="F50" s="8">
        <v>1.82</v>
      </c>
      <c r="G50" s="12">
        <v>5</v>
      </c>
      <c r="H50" s="8">
        <v>9.6199999999999992</v>
      </c>
      <c r="I50" s="12">
        <v>0</v>
      </c>
    </row>
    <row r="51" spans="2:9" ht="15" customHeight="1" x14ac:dyDescent="0.2">
      <c r="B51" t="s">
        <v>328</v>
      </c>
      <c r="C51" s="12">
        <v>4</v>
      </c>
      <c r="D51" s="8">
        <v>3.48</v>
      </c>
      <c r="E51" s="12">
        <v>1</v>
      </c>
      <c r="F51" s="8">
        <v>1.82</v>
      </c>
      <c r="G51" s="12">
        <v>3</v>
      </c>
      <c r="H51" s="8">
        <v>5.77</v>
      </c>
      <c r="I51" s="12">
        <v>0</v>
      </c>
    </row>
    <row r="52" spans="2:9" ht="15" customHeight="1" x14ac:dyDescent="0.2">
      <c r="B52" t="s">
        <v>339</v>
      </c>
      <c r="C52" s="12">
        <v>4</v>
      </c>
      <c r="D52" s="8">
        <v>3.48</v>
      </c>
      <c r="E52" s="12">
        <v>2</v>
      </c>
      <c r="F52" s="8">
        <v>3.64</v>
      </c>
      <c r="G52" s="12">
        <v>2</v>
      </c>
      <c r="H52" s="8">
        <v>3.85</v>
      </c>
      <c r="I52" s="12">
        <v>0</v>
      </c>
    </row>
    <row r="53" spans="2:9" ht="15" customHeight="1" x14ac:dyDescent="0.2">
      <c r="B53" t="s">
        <v>331</v>
      </c>
      <c r="C53" s="12">
        <v>4</v>
      </c>
      <c r="D53" s="8">
        <v>3.48</v>
      </c>
      <c r="E53" s="12">
        <v>0</v>
      </c>
      <c r="F53" s="8">
        <v>0</v>
      </c>
      <c r="G53" s="12">
        <v>3</v>
      </c>
      <c r="H53" s="8">
        <v>5.77</v>
      </c>
      <c r="I53" s="12">
        <v>0</v>
      </c>
    </row>
    <row r="54" spans="2:9" ht="15" customHeight="1" x14ac:dyDescent="0.2">
      <c r="B54" t="s">
        <v>288</v>
      </c>
      <c r="C54" s="12">
        <v>3</v>
      </c>
      <c r="D54" s="8">
        <v>2.61</v>
      </c>
      <c r="E54" s="12">
        <v>1</v>
      </c>
      <c r="F54" s="8">
        <v>1.82</v>
      </c>
      <c r="G54" s="12">
        <v>2</v>
      </c>
      <c r="H54" s="8">
        <v>3.85</v>
      </c>
      <c r="I54" s="12">
        <v>0</v>
      </c>
    </row>
    <row r="55" spans="2:9" ht="15" customHeight="1" x14ac:dyDescent="0.2">
      <c r="B55" t="s">
        <v>290</v>
      </c>
      <c r="C55" s="12">
        <v>3</v>
      </c>
      <c r="D55" s="8">
        <v>2.61</v>
      </c>
      <c r="E55" s="12">
        <v>0</v>
      </c>
      <c r="F55" s="8">
        <v>0</v>
      </c>
      <c r="G55" s="12">
        <v>3</v>
      </c>
      <c r="H55" s="8">
        <v>5.77</v>
      </c>
      <c r="I55" s="12">
        <v>0</v>
      </c>
    </row>
    <row r="56" spans="2:9" ht="15" customHeight="1" x14ac:dyDescent="0.2">
      <c r="B56" t="s">
        <v>335</v>
      </c>
      <c r="C56" s="12">
        <v>3</v>
      </c>
      <c r="D56" s="8">
        <v>2.61</v>
      </c>
      <c r="E56" s="12">
        <v>1</v>
      </c>
      <c r="F56" s="8">
        <v>1.82</v>
      </c>
      <c r="G56" s="12">
        <v>2</v>
      </c>
      <c r="H56" s="8">
        <v>3.85</v>
      </c>
      <c r="I56" s="12">
        <v>0</v>
      </c>
    </row>
    <row r="57" spans="2:9" ht="15" customHeight="1" x14ac:dyDescent="0.2">
      <c r="B57" t="s">
        <v>344</v>
      </c>
      <c r="C57" s="12">
        <v>3</v>
      </c>
      <c r="D57" s="8">
        <v>2.61</v>
      </c>
      <c r="E57" s="12">
        <v>2</v>
      </c>
      <c r="F57" s="8">
        <v>3.64</v>
      </c>
      <c r="G57" s="12">
        <v>1</v>
      </c>
      <c r="H57" s="8">
        <v>1.92</v>
      </c>
      <c r="I57" s="12">
        <v>0</v>
      </c>
    </row>
    <row r="58" spans="2:9" ht="15" customHeight="1" x14ac:dyDescent="0.2">
      <c r="B58" t="s">
        <v>300</v>
      </c>
      <c r="C58" s="12">
        <v>3</v>
      </c>
      <c r="D58" s="8">
        <v>2.61</v>
      </c>
      <c r="E58" s="12">
        <v>3</v>
      </c>
      <c r="F58" s="8">
        <v>5.45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301</v>
      </c>
      <c r="C59" s="12">
        <v>3</v>
      </c>
      <c r="D59" s="8">
        <v>2.61</v>
      </c>
      <c r="E59" s="12">
        <v>3</v>
      </c>
      <c r="F59" s="8">
        <v>5.45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305</v>
      </c>
      <c r="C60" s="12">
        <v>3</v>
      </c>
      <c r="D60" s="8">
        <v>2.61</v>
      </c>
      <c r="E60" s="12">
        <v>3</v>
      </c>
      <c r="F60" s="8">
        <v>5.45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333</v>
      </c>
      <c r="C61" s="12">
        <v>2</v>
      </c>
      <c r="D61" s="8">
        <v>1.74</v>
      </c>
      <c r="E61" s="12">
        <v>1</v>
      </c>
      <c r="F61" s="8">
        <v>1.82</v>
      </c>
      <c r="G61" s="12">
        <v>1</v>
      </c>
      <c r="H61" s="8">
        <v>1.92</v>
      </c>
      <c r="I61" s="12">
        <v>0</v>
      </c>
    </row>
    <row r="62" spans="2:9" ht="15" customHeight="1" x14ac:dyDescent="0.2">
      <c r="B62" t="s">
        <v>342</v>
      </c>
      <c r="C62" s="12">
        <v>2</v>
      </c>
      <c r="D62" s="8">
        <v>1.74</v>
      </c>
      <c r="E62" s="12">
        <v>0</v>
      </c>
      <c r="F62" s="8">
        <v>0</v>
      </c>
      <c r="G62" s="12">
        <v>2</v>
      </c>
      <c r="H62" s="8">
        <v>3.85</v>
      </c>
      <c r="I62" s="12">
        <v>0</v>
      </c>
    </row>
    <row r="63" spans="2:9" ht="15" customHeight="1" x14ac:dyDescent="0.2">
      <c r="B63" t="s">
        <v>394</v>
      </c>
      <c r="C63" s="12">
        <v>2</v>
      </c>
      <c r="D63" s="8">
        <v>1.74</v>
      </c>
      <c r="E63" s="12">
        <v>0</v>
      </c>
      <c r="F63" s="8">
        <v>0</v>
      </c>
      <c r="G63" s="12">
        <v>2</v>
      </c>
      <c r="H63" s="8">
        <v>3.85</v>
      </c>
      <c r="I63" s="12">
        <v>0</v>
      </c>
    </row>
    <row r="64" spans="2:9" ht="15" customHeight="1" x14ac:dyDescent="0.2">
      <c r="B64" t="s">
        <v>395</v>
      </c>
      <c r="C64" s="12">
        <v>2</v>
      </c>
      <c r="D64" s="8">
        <v>1.74</v>
      </c>
      <c r="E64" s="12">
        <v>0</v>
      </c>
      <c r="F64" s="8">
        <v>0</v>
      </c>
      <c r="G64" s="12">
        <v>2</v>
      </c>
      <c r="H64" s="8">
        <v>3.85</v>
      </c>
      <c r="I64" s="12">
        <v>0</v>
      </c>
    </row>
    <row r="65" spans="2:9" ht="15" customHeight="1" x14ac:dyDescent="0.2">
      <c r="B65" t="s">
        <v>358</v>
      </c>
      <c r="C65" s="12">
        <v>2</v>
      </c>
      <c r="D65" s="8">
        <v>1.74</v>
      </c>
      <c r="E65" s="12">
        <v>0</v>
      </c>
      <c r="F65" s="8">
        <v>0</v>
      </c>
      <c r="G65" s="12">
        <v>2</v>
      </c>
      <c r="H65" s="8">
        <v>3.85</v>
      </c>
      <c r="I65" s="12">
        <v>0</v>
      </c>
    </row>
    <row r="66" spans="2:9" ht="15" customHeight="1" x14ac:dyDescent="0.2">
      <c r="B66" t="s">
        <v>314</v>
      </c>
      <c r="C66" s="12">
        <v>2</v>
      </c>
      <c r="D66" s="8">
        <v>1.74</v>
      </c>
      <c r="E66" s="12">
        <v>2</v>
      </c>
      <c r="F66" s="8">
        <v>3.64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354</v>
      </c>
      <c r="C67" s="12">
        <v>2</v>
      </c>
      <c r="D67" s="8">
        <v>1.74</v>
      </c>
      <c r="E67" s="12">
        <v>0</v>
      </c>
      <c r="F67" s="8">
        <v>0</v>
      </c>
      <c r="G67" s="12">
        <v>2</v>
      </c>
      <c r="H67" s="8">
        <v>3.85</v>
      </c>
      <c r="I67" s="12">
        <v>0</v>
      </c>
    </row>
    <row r="68" spans="2:9" ht="15" customHeight="1" x14ac:dyDescent="0.2">
      <c r="B68" t="s">
        <v>336</v>
      </c>
      <c r="C68" s="12">
        <v>2</v>
      </c>
      <c r="D68" s="8">
        <v>1.74</v>
      </c>
      <c r="E68" s="12">
        <v>1</v>
      </c>
      <c r="F68" s="8">
        <v>1.82</v>
      </c>
      <c r="G68" s="12">
        <v>0</v>
      </c>
      <c r="H68" s="8">
        <v>0</v>
      </c>
      <c r="I68" s="12">
        <v>1</v>
      </c>
    </row>
    <row r="69" spans="2:9" ht="15" customHeight="1" x14ac:dyDescent="0.2">
      <c r="B69" t="s">
        <v>295</v>
      </c>
      <c r="C69" s="12">
        <v>2</v>
      </c>
      <c r="D69" s="8">
        <v>1.74</v>
      </c>
      <c r="E69" s="12">
        <v>2</v>
      </c>
      <c r="F69" s="8">
        <v>3.64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368</v>
      </c>
      <c r="C70" s="12">
        <v>2</v>
      </c>
      <c r="D70" s="8">
        <v>1.74</v>
      </c>
      <c r="E70" s="12">
        <v>0</v>
      </c>
      <c r="F70" s="8">
        <v>0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306</v>
      </c>
      <c r="C71" s="12">
        <v>2</v>
      </c>
      <c r="D71" s="8">
        <v>1.74</v>
      </c>
      <c r="E71" s="12">
        <v>2</v>
      </c>
      <c r="F71" s="8">
        <v>3.64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347</v>
      </c>
      <c r="C72" s="12">
        <v>2</v>
      </c>
      <c r="D72" s="8">
        <v>1.74</v>
      </c>
      <c r="E72" s="12">
        <v>0</v>
      </c>
      <c r="F72" s="8">
        <v>0</v>
      </c>
      <c r="G72" s="12">
        <v>2</v>
      </c>
      <c r="H72" s="8">
        <v>3.85</v>
      </c>
      <c r="I72" s="12">
        <v>0</v>
      </c>
    </row>
    <row r="73" spans="2:9" ht="15" customHeight="1" x14ac:dyDescent="0.2">
      <c r="B73" t="s">
        <v>370</v>
      </c>
      <c r="C73" s="12">
        <v>2</v>
      </c>
      <c r="D73" s="8">
        <v>1.74</v>
      </c>
      <c r="E73" s="12">
        <v>0</v>
      </c>
      <c r="F73" s="8">
        <v>0</v>
      </c>
      <c r="G73" s="12">
        <v>2</v>
      </c>
      <c r="H73" s="8">
        <v>3.85</v>
      </c>
      <c r="I73" s="12">
        <v>0</v>
      </c>
    </row>
    <row r="74" spans="2:9" ht="15" customHeight="1" x14ac:dyDescent="0.2">
      <c r="B74" t="s">
        <v>318</v>
      </c>
      <c r="C74" s="12">
        <v>2</v>
      </c>
      <c r="D74" s="8">
        <v>1.74</v>
      </c>
      <c r="E74" s="12">
        <v>0</v>
      </c>
      <c r="F74" s="8">
        <v>0</v>
      </c>
      <c r="G74" s="12">
        <v>2</v>
      </c>
      <c r="H74" s="8">
        <v>3.85</v>
      </c>
      <c r="I74" s="12">
        <v>0</v>
      </c>
    </row>
    <row r="76" spans="2:9" ht="15" customHeight="1" x14ac:dyDescent="0.2">
      <c r="B7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80DFE-AC8F-4B8C-8404-86337410CD77}">
  <sheetPr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9</v>
      </c>
      <c r="D6" s="8">
        <v>6.72</v>
      </c>
      <c r="E6" s="12">
        <v>1</v>
      </c>
      <c r="F6" s="8">
        <v>1.18</v>
      </c>
      <c r="G6" s="12">
        <v>8</v>
      </c>
      <c r="H6" s="8">
        <v>18.18</v>
      </c>
      <c r="I6" s="12">
        <v>0</v>
      </c>
    </row>
    <row r="7" spans="2:9" ht="15" customHeight="1" x14ac:dyDescent="0.2">
      <c r="B7" t="s">
        <v>192</v>
      </c>
      <c r="C7" s="12">
        <v>10</v>
      </c>
      <c r="D7" s="8">
        <v>7.46</v>
      </c>
      <c r="E7" s="12">
        <v>4</v>
      </c>
      <c r="F7" s="8">
        <v>4.71</v>
      </c>
      <c r="G7" s="12">
        <v>6</v>
      </c>
      <c r="H7" s="8">
        <v>13.64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0.75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0.75</v>
      </c>
      <c r="E10" s="12">
        <v>0</v>
      </c>
      <c r="F10" s="8">
        <v>0</v>
      </c>
      <c r="G10" s="12">
        <v>1</v>
      </c>
      <c r="H10" s="8">
        <v>2.27</v>
      </c>
      <c r="I10" s="12">
        <v>0</v>
      </c>
    </row>
    <row r="11" spans="2:9" ht="15" customHeight="1" x14ac:dyDescent="0.2">
      <c r="B11" t="s">
        <v>196</v>
      </c>
      <c r="C11" s="12">
        <v>39</v>
      </c>
      <c r="D11" s="8">
        <v>29.1</v>
      </c>
      <c r="E11" s="12">
        <v>22</v>
      </c>
      <c r="F11" s="8">
        <v>25.88</v>
      </c>
      <c r="G11" s="12">
        <v>17</v>
      </c>
      <c r="H11" s="8">
        <v>38.64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0.75</v>
      </c>
      <c r="E12" s="12">
        <v>0</v>
      </c>
      <c r="F12" s="8">
        <v>0</v>
      </c>
      <c r="G12" s="12">
        <v>1</v>
      </c>
      <c r="H12" s="8">
        <v>2.27</v>
      </c>
      <c r="I12" s="12">
        <v>0</v>
      </c>
    </row>
    <row r="13" spans="2:9" ht="15" customHeight="1" x14ac:dyDescent="0.2">
      <c r="B13" t="s">
        <v>198</v>
      </c>
      <c r="C13" s="12">
        <v>8</v>
      </c>
      <c r="D13" s="8">
        <v>5.97</v>
      </c>
      <c r="E13" s="12">
        <v>5</v>
      </c>
      <c r="F13" s="8">
        <v>5.88</v>
      </c>
      <c r="G13" s="12">
        <v>2</v>
      </c>
      <c r="H13" s="8">
        <v>4.55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1.49</v>
      </c>
      <c r="E14" s="12">
        <v>1</v>
      </c>
      <c r="F14" s="8">
        <v>1.18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40</v>
      </c>
      <c r="D15" s="8">
        <v>29.85</v>
      </c>
      <c r="E15" s="12">
        <v>37</v>
      </c>
      <c r="F15" s="8">
        <v>43.53</v>
      </c>
      <c r="G15" s="12">
        <v>3</v>
      </c>
      <c r="H15" s="8">
        <v>6.82</v>
      </c>
      <c r="I15" s="12">
        <v>0</v>
      </c>
    </row>
    <row r="16" spans="2:9" ht="15" customHeight="1" x14ac:dyDescent="0.2">
      <c r="B16" t="s">
        <v>201</v>
      </c>
      <c r="C16" s="12">
        <v>13</v>
      </c>
      <c r="D16" s="8">
        <v>9.6999999999999993</v>
      </c>
      <c r="E16" s="12">
        <v>12</v>
      </c>
      <c r="F16" s="8">
        <v>14.12</v>
      </c>
      <c r="G16" s="12">
        <v>1</v>
      </c>
      <c r="H16" s="8">
        <v>2.27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0.75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2.2400000000000002</v>
      </c>
      <c r="E18" s="12">
        <v>1</v>
      </c>
      <c r="F18" s="8">
        <v>1.18</v>
      </c>
      <c r="G18" s="12">
        <v>2</v>
      </c>
      <c r="H18" s="8">
        <v>4.55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4.4800000000000004</v>
      </c>
      <c r="E19" s="12">
        <v>2</v>
      </c>
      <c r="F19" s="8">
        <v>2.35</v>
      </c>
      <c r="G19" s="12">
        <v>3</v>
      </c>
      <c r="H19" s="8">
        <v>6.82</v>
      </c>
      <c r="I19" s="12">
        <v>0</v>
      </c>
    </row>
    <row r="20" spans="2:9" ht="15" customHeight="1" x14ac:dyDescent="0.2">
      <c r="B20" s="9" t="s">
        <v>529</v>
      </c>
      <c r="C20" s="12">
        <f>SUM(LTBL_01367[総数／事業所数])</f>
        <v>134</v>
      </c>
      <c r="E20" s="12">
        <f>SUBTOTAL(109,LTBL_01367[個人／事業所数])</f>
        <v>85</v>
      </c>
      <c r="G20" s="12">
        <f>SUBTOTAL(109,LTBL_01367[法人／事業所数])</f>
        <v>44</v>
      </c>
      <c r="I20" s="12">
        <f>SUBTOTAL(109,LTBL_01367[法人以外の団体／事業所数])</f>
        <v>0</v>
      </c>
    </row>
    <row r="21" spans="2:9" ht="15" customHeight="1" x14ac:dyDescent="0.2">
      <c r="E21" s="11">
        <f>LTBL_01367[[#Totals],[個人／事業所数]]/LTBL_01367[[#Totals],[総数／事業所数]]</f>
        <v>0.63432835820895528</v>
      </c>
      <c r="G21" s="11">
        <f>LTBL_01367[[#Totals],[法人／事業所数]]/LTBL_01367[[#Totals],[総数／事業所数]]</f>
        <v>0.32835820895522388</v>
      </c>
      <c r="I21" s="11">
        <f>LTBL_01367[[#Totals],[法人以外の団体／事業所数]]/LTBL_01367[[#Totals],[総数／事業所数]]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23</v>
      </c>
      <c r="D24" s="8">
        <v>17.16</v>
      </c>
      <c r="E24" s="12">
        <v>21</v>
      </c>
      <c r="F24" s="8">
        <v>24.71</v>
      </c>
      <c r="G24" s="12">
        <v>2</v>
      </c>
      <c r="H24" s="8">
        <v>4.55</v>
      </c>
      <c r="I24" s="12">
        <v>0</v>
      </c>
    </row>
    <row r="25" spans="2:9" ht="15" customHeight="1" x14ac:dyDescent="0.2">
      <c r="B25" t="s">
        <v>243</v>
      </c>
      <c r="C25" s="12">
        <v>17</v>
      </c>
      <c r="D25" s="8">
        <v>12.69</v>
      </c>
      <c r="E25" s="12">
        <v>16</v>
      </c>
      <c r="F25" s="8">
        <v>18.82</v>
      </c>
      <c r="G25" s="12">
        <v>1</v>
      </c>
      <c r="H25" s="8">
        <v>2.27</v>
      </c>
      <c r="I25" s="12">
        <v>0</v>
      </c>
    </row>
    <row r="26" spans="2:9" ht="15" customHeight="1" x14ac:dyDescent="0.2">
      <c r="B26" t="s">
        <v>221</v>
      </c>
      <c r="C26" s="12">
        <v>15</v>
      </c>
      <c r="D26" s="8">
        <v>11.19</v>
      </c>
      <c r="E26" s="12">
        <v>8</v>
      </c>
      <c r="F26" s="8">
        <v>9.41</v>
      </c>
      <c r="G26" s="12">
        <v>7</v>
      </c>
      <c r="H26" s="8">
        <v>15.91</v>
      </c>
      <c r="I26" s="12">
        <v>0</v>
      </c>
    </row>
    <row r="27" spans="2:9" ht="15" customHeight="1" x14ac:dyDescent="0.2">
      <c r="B27" t="s">
        <v>228</v>
      </c>
      <c r="C27" s="12">
        <v>13</v>
      </c>
      <c r="D27" s="8">
        <v>9.6999999999999993</v>
      </c>
      <c r="E27" s="12">
        <v>12</v>
      </c>
      <c r="F27" s="8">
        <v>14.12</v>
      </c>
      <c r="G27" s="12">
        <v>1</v>
      </c>
      <c r="H27" s="8">
        <v>2.27</v>
      </c>
      <c r="I27" s="12">
        <v>0</v>
      </c>
    </row>
    <row r="28" spans="2:9" ht="15" customHeight="1" x14ac:dyDescent="0.2">
      <c r="B28" t="s">
        <v>223</v>
      </c>
      <c r="C28" s="12">
        <v>11</v>
      </c>
      <c r="D28" s="8">
        <v>8.2100000000000009</v>
      </c>
      <c r="E28" s="12">
        <v>8</v>
      </c>
      <c r="F28" s="8">
        <v>9.41</v>
      </c>
      <c r="G28" s="12">
        <v>3</v>
      </c>
      <c r="H28" s="8">
        <v>6.82</v>
      </c>
      <c r="I28" s="12">
        <v>0</v>
      </c>
    </row>
    <row r="29" spans="2:9" ht="15" customHeight="1" x14ac:dyDescent="0.2">
      <c r="B29" t="s">
        <v>241</v>
      </c>
      <c r="C29" s="12">
        <v>7</v>
      </c>
      <c r="D29" s="8">
        <v>5.22</v>
      </c>
      <c r="E29" s="12">
        <v>4</v>
      </c>
      <c r="F29" s="8">
        <v>4.71</v>
      </c>
      <c r="G29" s="12">
        <v>3</v>
      </c>
      <c r="H29" s="8">
        <v>6.82</v>
      </c>
      <c r="I29" s="12">
        <v>0</v>
      </c>
    </row>
    <row r="30" spans="2:9" ht="15" customHeight="1" x14ac:dyDescent="0.2">
      <c r="B30" t="s">
        <v>224</v>
      </c>
      <c r="C30" s="12">
        <v>5</v>
      </c>
      <c r="D30" s="8">
        <v>3.73</v>
      </c>
      <c r="E30" s="12">
        <v>4</v>
      </c>
      <c r="F30" s="8">
        <v>4.71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213</v>
      </c>
      <c r="C31" s="12">
        <v>4</v>
      </c>
      <c r="D31" s="8">
        <v>2.99</v>
      </c>
      <c r="E31" s="12">
        <v>1</v>
      </c>
      <c r="F31" s="8">
        <v>1.18</v>
      </c>
      <c r="G31" s="12">
        <v>3</v>
      </c>
      <c r="H31" s="8">
        <v>6.82</v>
      </c>
      <c r="I31" s="12">
        <v>0</v>
      </c>
    </row>
    <row r="32" spans="2:9" ht="15" customHeight="1" x14ac:dyDescent="0.2">
      <c r="B32" t="s">
        <v>215</v>
      </c>
      <c r="C32" s="12">
        <v>4</v>
      </c>
      <c r="D32" s="8">
        <v>2.99</v>
      </c>
      <c r="E32" s="12">
        <v>0</v>
      </c>
      <c r="F32" s="8">
        <v>0</v>
      </c>
      <c r="G32" s="12">
        <v>4</v>
      </c>
      <c r="H32" s="8">
        <v>9.09</v>
      </c>
      <c r="I32" s="12">
        <v>0</v>
      </c>
    </row>
    <row r="33" spans="2:9" ht="15" customHeight="1" x14ac:dyDescent="0.2">
      <c r="B33" t="s">
        <v>216</v>
      </c>
      <c r="C33" s="12">
        <v>4</v>
      </c>
      <c r="D33" s="8">
        <v>2.99</v>
      </c>
      <c r="E33" s="12">
        <v>2</v>
      </c>
      <c r="F33" s="8">
        <v>2.35</v>
      </c>
      <c r="G33" s="12">
        <v>2</v>
      </c>
      <c r="H33" s="8">
        <v>4.55</v>
      </c>
      <c r="I33" s="12">
        <v>0</v>
      </c>
    </row>
    <row r="34" spans="2:9" ht="15" customHeight="1" x14ac:dyDescent="0.2">
      <c r="B34" t="s">
        <v>222</v>
      </c>
      <c r="C34" s="12">
        <v>4</v>
      </c>
      <c r="D34" s="8">
        <v>2.99</v>
      </c>
      <c r="E34" s="12">
        <v>3</v>
      </c>
      <c r="F34" s="8">
        <v>3.53</v>
      </c>
      <c r="G34" s="12">
        <v>1</v>
      </c>
      <c r="H34" s="8">
        <v>2.27</v>
      </c>
      <c r="I34" s="12">
        <v>0</v>
      </c>
    </row>
    <row r="35" spans="2:9" ht="15" customHeight="1" x14ac:dyDescent="0.2">
      <c r="B35" t="s">
        <v>249</v>
      </c>
      <c r="C35" s="12">
        <v>4</v>
      </c>
      <c r="D35" s="8">
        <v>2.99</v>
      </c>
      <c r="E35" s="12">
        <v>0</v>
      </c>
      <c r="F35" s="8">
        <v>0</v>
      </c>
      <c r="G35" s="12">
        <v>3</v>
      </c>
      <c r="H35" s="8">
        <v>6.82</v>
      </c>
      <c r="I35" s="12">
        <v>0</v>
      </c>
    </row>
    <row r="36" spans="2:9" ht="15" customHeight="1" x14ac:dyDescent="0.2">
      <c r="B36" t="s">
        <v>246</v>
      </c>
      <c r="C36" s="12">
        <v>3</v>
      </c>
      <c r="D36" s="8">
        <v>2.2400000000000002</v>
      </c>
      <c r="E36" s="12">
        <v>1</v>
      </c>
      <c r="F36" s="8">
        <v>1.18</v>
      </c>
      <c r="G36" s="12">
        <v>2</v>
      </c>
      <c r="H36" s="8">
        <v>4.55</v>
      </c>
      <c r="I36" s="12">
        <v>0</v>
      </c>
    </row>
    <row r="37" spans="2:9" ht="15" customHeight="1" x14ac:dyDescent="0.2">
      <c r="B37" t="s">
        <v>254</v>
      </c>
      <c r="C37" s="12">
        <v>2</v>
      </c>
      <c r="D37" s="8">
        <v>1.49</v>
      </c>
      <c r="E37" s="12">
        <v>0</v>
      </c>
      <c r="F37" s="8">
        <v>0</v>
      </c>
      <c r="G37" s="12">
        <v>2</v>
      </c>
      <c r="H37" s="8">
        <v>4.55</v>
      </c>
      <c r="I37" s="12">
        <v>0</v>
      </c>
    </row>
    <row r="38" spans="2:9" ht="15" customHeight="1" x14ac:dyDescent="0.2">
      <c r="B38" t="s">
        <v>236</v>
      </c>
      <c r="C38" s="12">
        <v>2</v>
      </c>
      <c r="D38" s="8">
        <v>1.49</v>
      </c>
      <c r="E38" s="12">
        <v>0</v>
      </c>
      <c r="F38" s="8">
        <v>0</v>
      </c>
      <c r="G38" s="12">
        <v>2</v>
      </c>
      <c r="H38" s="8">
        <v>4.55</v>
      </c>
      <c r="I38" s="12">
        <v>0</v>
      </c>
    </row>
    <row r="39" spans="2:9" ht="15" customHeight="1" x14ac:dyDescent="0.2">
      <c r="B39" t="s">
        <v>226</v>
      </c>
      <c r="C39" s="12">
        <v>2</v>
      </c>
      <c r="D39" s="8">
        <v>1.49</v>
      </c>
      <c r="E39" s="12">
        <v>1</v>
      </c>
      <c r="F39" s="8">
        <v>1.18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232</v>
      </c>
      <c r="C40" s="12">
        <v>2</v>
      </c>
      <c r="D40" s="8">
        <v>1.49</v>
      </c>
      <c r="E40" s="12">
        <v>0</v>
      </c>
      <c r="F40" s="8">
        <v>0</v>
      </c>
      <c r="G40" s="12">
        <v>2</v>
      </c>
      <c r="H40" s="8">
        <v>4.55</v>
      </c>
      <c r="I40" s="12">
        <v>0</v>
      </c>
    </row>
    <row r="41" spans="2:9" ht="15" customHeight="1" x14ac:dyDescent="0.2">
      <c r="B41" t="s">
        <v>242</v>
      </c>
      <c r="C41" s="12">
        <v>2</v>
      </c>
      <c r="D41" s="8">
        <v>1.49</v>
      </c>
      <c r="E41" s="12">
        <v>2</v>
      </c>
      <c r="F41" s="8">
        <v>2.35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214</v>
      </c>
      <c r="C42" s="12">
        <v>1</v>
      </c>
      <c r="D42" s="8">
        <v>0.75</v>
      </c>
      <c r="E42" s="12">
        <v>0</v>
      </c>
      <c r="F42" s="8">
        <v>0</v>
      </c>
      <c r="G42" s="12">
        <v>1</v>
      </c>
      <c r="H42" s="8">
        <v>2.27</v>
      </c>
      <c r="I42" s="12">
        <v>0</v>
      </c>
    </row>
    <row r="43" spans="2:9" ht="15" customHeight="1" x14ac:dyDescent="0.2">
      <c r="B43" t="s">
        <v>244</v>
      </c>
      <c r="C43" s="12">
        <v>1</v>
      </c>
      <c r="D43" s="8">
        <v>0.75</v>
      </c>
      <c r="E43" s="12">
        <v>0</v>
      </c>
      <c r="F43" s="8">
        <v>0</v>
      </c>
      <c r="G43" s="12">
        <v>1</v>
      </c>
      <c r="H43" s="8">
        <v>2.27</v>
      </c>
      <c r="I43" s="12">
        <v>0</v>
      </c>
    </row>
    <row r="44" spans="2:9" ht="15" customHeight="1" x14ac:dyDescent="0.2">
      <c r="B44" t="s">
        <v>255</v>
      </c>
      <c r="C44" s="12">
        <v>1</v>
      </c>
      <c r="D44" s="8">
        <v>0.75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238</v>
      </c>
      <c r="C45" s="12">
        <v>1</v>
      </c>
      <c r="D45" s="8">
        <v>0.75</v>
      </c>
      <c r="E45" s="12">
        <v>0</v>
      </c>
      <c r="F45" s="8">
        <v>0</v>
      </c>
      <c r="G45" s="12">
        <v>1</v>
      </c>
      <c r="H45" s="8">
        <v>2.27</v>
      </c>
      <c r="I45" s="12">
        <v>0</v>
      </c>
    </row>
    <row r="46" spans="2:9" ht="15" customHeight="1" x14ac:dyDescent="0.2">
      <c r="B46" t="s">
        <v>217</v>
      </c>
      <c r="C46" s="12">
        <v>1</v>
      </c>
      <c r="D46" s="8">
        <v>0.75</v>
      </c>
      <c r="E46" s="12">
        <v>1</v>
      </c>
      <c r="F46" s="8">
        <v>1.18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219</v>
      </c>
      <c r="C47" s="12">
        <v>1</v>
      </c>
      <c r="D47" s="8">
        <v>0.75</v>
      </c>
      <c r="E47" s="12">
        <v>0</v>
      </c>
      <c r="F47" s="8">
        <v>0</v>
      </c>
      <c r="G47" s="12">
        <v>1</v>
      </c>
      <c r="H47" s="8">
        <v>2.27</v>
      </c>
      <c r="I47" s="12">
        <v>0</v>
      </c>
    </row>
    <row r="48" spans="2:9" ht="15" customHeight="1" x14ac:dyDescent="0.2">
      <c r="B48" t="s">
        <v>266</v>
      </c>
      <c r="C48" s="12">
        <v>1</v>
      </c>
      <c r="D48" s="8">
        <v>0.75</v>
      </c>
      <c r="E48" s="12">
        <v>0</v>
      </c>
      <c r="F48" s="8">
        <v>0</v>
      </c>
      <c r="G48" s="12">
        <v>1</v>
      </c>
      <c r="H48" s="8">
        <v>2.27</v>
      </c>
      <c r="I48" s="12">
        <v>0</v>
      </c>
    </row>
    <row r="49" spans="2:9" ht="15" customHeight="1" x14ac:dyDescent="0.2">
      <c r="B49" t="s">
        <v>237</v>
      </c>
      <c r="C49" s="12">
        <v>1</v>
      </c>
      <c r="D49" s="8">
        <v>0.75</v>
      </c>
      <c r="E49" s="12">
        <v>0</v>
      </c>
      <c r="F49" s="8">
        <v>0</v>
      </c>
      <c r="G49" s="12">
        <v>1</v>
      </c>
      <c r="H49" s="8">
        <v>2.27</v>
      </c>
      <c r="I49" s="12">
        <v>0</v>
      </c>
    </row>
    <row r="50" spans="2:9" ht="15" customHeight="1" x14ac:dyDescent="0.2">
      <c r="B50" t="s">
        <v>230</v>
      </c>
      <c r="C50" s="12">
        <v>1</v>
      </c>
      <c r="D50" s="8">
        <v>0.75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231</v>
      </c>
      <c r="C51" s="12">
        <v>1</v>
      </c>
      <c r="D51" s="8">
        <v>0.75</v>
      </c>
      <c r="E51" s="12">
        <v>1</v>
      </c>
      <c r="F51" s="8">
        <v>1.18</v>
      </c>
      <c r="G51" s="12">
        <v>0</v>
      </c>
      <c r="H51" s="8">
        <v>0</v>
      </c>
      <c r="I51" s="12">
        <v>0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339</v>
      </c>
      <c r="C55" s="12">
        <v>15</v>
      </c>
      <c r="D55" s="8">
        <v>11.19</v>
      </c>
      <c r="E55" s="12">
        <v>14</v>
      </c>
      <c r="F55" s="8">
        <v>16.47</v>
      </c>
      <c r="G55" s="12">
        <v>1</v>
      </c>
      <c r="H55" s="8">
        <v>2.27</v>
      </c>
      <c r="I55" s="12">
        <v>0</v>
      </c>
    </row>
    <row r="56" spans="2:9" ht="15" customHeight="1" x14ac:dyDescent="0.2">
      <c r="B56" t="s">
        <v>292</v>
      </c>
      <c r="C56" s="12">
        <v>8</v>
      </c>
      <c r="D56" s="8">
        <v>5.97</v>
      </c>
      <c r="E56" s="12">
        <v>5</v>
      </c>
      <c r="F56" s="8">
        <v>5.88</v>
      </c>
      <c r="G56" s="12">
        <v>3</v>
      </c>
      <c r="H56" s="8">
        <v>6.82</v>
      </c>
      <c r="I56" s="12">
        <v>0</v>
      </c>
    </row>
    <row r="57" spans="2:9" ht="15" customHeight="1" x14ac:dyDescent="0.2">
      <c r="B57" t="s">
        <v>301</v>
      </c>
      <c r="C57" s="12">
        <v>8</v>
      </c>
      <c r="D57" s="8">
        <v>5.97</v>
      </c>
      <c r="E57" s="12">
        <v>7</v>
      </c>
      <c r="F57" s="8">
        <v>8.24</v>
      </c>
      <c r="G57" s="12">
        <v>1</v>
      </c>
      <c r="H57" s="8">
        <v>2.27</v>
      </c>
      <c r="I57" s="12">
        <v>0</v>
      </c>
    </row>
    <row r="58" spans="2:9" ht="15" customHeight="1" x14ac:dyDescent="0.2">
      <c r="B58" t="s">
        <v>342</v>
      </c>
      <c r="C58" s="12">
        <v>7</v>
      </c>
      <c r="D58" s="8">
        <v>5.22</v>
      </c>
      <c r="E58" s="12">
        <v>4</v>
      </c>
      <c r="F58" s="8">
        <v>4.71</v>
      </c>
      <c r="G58" s="12">
        <v>3</v>
      </c>
      <c r="H58" s="8">
        <v>6.82</v>
      </c>
      <c r="I58" s="12">
        <v>0</v>
      </c>
    </row>
    <row r="59" spans="2:9" ht="15" customHeight="1" x14ac:dyDescent="0.2">
      <c r="B59" t="s">
        <v>303</v>
      </c>
      <c r="C59" s="12">
        <v>6</v>
      </c>
      <c r="D59" s="8">
        <v>4.4800000000000004</v>
      </c>
      <c r="E59" s="12">
        <v>6</v>
      </c>
      <c r="F59" s="8">
        <v>7.06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297</v>
      </c>
      <c r="C60" s="12">
        <v>5</v>
      </c>
      <c r="D60" s="8">
        <v>3.73</v>
      </c>
      <c r="E60" s="12">
        <v>4</v>
      </c>
      <c r="F60" s="8">
        <v>4.71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300</v>
      </c>
      <c r="C61" s="12">
        <v>5</v>
      </c>
      <c r="D61" s="8">
        <v>3.73</v>
      </c>
      <c r="E61" s="12">
        <v>5</v>
      </c>
      <c r="F61" s="8">
        <v>5.88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304</v>
      </c>
      <c r="C62" s="12">
        <v>5</v>
      </c>
      <c r="D62" s="8">
        <v>3.73</v>
      </c>
      <c r="E62" s="12">
        <v>5</v>
      </c>
      <c r="F62" s="8">
        <v>5.88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373</v>
      </c>
      <c r="C63" s="12">
        <v>4</v>
      </c>
      <c r="D63" s="8">
        <v>2.99</v>
      </c>
      <c r="E63" s="12">
        <v>4</v>
      </c>
      <c r="F63" s="8">
        <v>4.71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290</v>
      </c>
      <c r="C64" s="12">
        <v>3</v>
      </c>
      <c r="D64" s="8">
        <v>2.2400000000000002</v>
      </c>
      <c r="E64" s="12">
        <v>0</v>
      </c>
      <c r="F64" s="8">
        <v>0</v>
      </c>
      <c r="G64" s="12">
        <v>3</v>
      </c>
      <c r="H64" s="8">
        <v>6.82</v>
      </c>
      <c r="I64" s="12">
        <v>0</v>
      </c>
    </row>
    <row r="65" spans="2:9" ht="15" customHeight="1" x14ac:dyDescent="0.2">
      <c r="B65" t="s">
        <v>358</v>
      </c>
      <c r="C65" s="12">
        <v>3</v>
      </c>
      <c r="D65" s="8">
        <v>2.2400000000000002</v>
      </c>
      <c r="E65" s="12">
        <v>2</v>
      </c>
      <c r="F65" s="8">
        <v>2.35</v>
      </c>
      <c r="G65" s="12">
        <v>1</v>
      </c>
      <c r="H65" s="8">
        <v>2.27</v>
      </c>
      <c r="I65" s="12">
        <v>0</v>
      </c>
    </row>
    <row r="66" spans="2:9" ht="15" customHeight="1" x14ac:dyDescent="0.2">
      <c r="B66" t="s">
        <v>335</v>
      </c>
      <c r="C66" s="12">
        <v>3</v>
      </c>
      <c r="D66" s="8">
        <v>2.2400000000000002</v>
      </c>
      <c r="E66" s="12">
        <v>2</v>
      </c>
      <c r="F66" s="8">
        <v>2.35</v>
      </c>
      <c r="G66" s="12">
        <v>1</v>
      </c>
      <c r="H66" s="8">
        <v>2.27</v>
      </c>
      <c r="I66" s="12">
        <v>0</v>
      </c>
    </row>
    <row r="67" spans="2:9" ht="15" customHeight="1" x14ac:dyDescent="0.2">
      <c r="B67" t="s">
        <v>330</v>
      </c>
      <c r="C67" s="12">
        <v>3</v>
      </c>
      <c r="D67" s="8">
        <v>2.2400000000000002</v>
      </c>
      <c r="E67" s="12">
        <v>1</v>
      </c>
      <c r="F67" s="8">
        <v>1.18</v>
      </c>
      <c r="G67" s="12">
        <v>2</v>
      </c>
      <c r="H67" s="8">
        <v>4.55</v>
      </c>
      <c r="I67" s="12">
        <v>0</v>
      </c>
    </row>
    <row r="68" spans="2:9" ht="15" customHeight="1" x14ac:dyDescent="0.2">
      <c r="B68" t="s">
        <v>334</v>
      </c>
      <c r="C68" s="12">
        <v>3</v>
      </c>
      <c r="D68" s="8">
        <v>2.2400000000000002</v>
      </c>
      <c r="E68" s="12">
        <v>3</v>
      </c>
      <c r="F68" s="8">
        <v>3.53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299</v>
      </c>
      <c r="C69" s="12">
        <v>3</v>
      </c>
      <c r="D69" s="8">
        <v>2.2400000000000002</v>
      </c>
      <c r="E69" s="12">
        <v>3</v>
      </c>
      <c r="F69" s="8">
        <v>3.53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349</v>
      </c>
      <c r="C70" s="12">
        <v>3</v>
      </c>
      <c r="D70" s="8">
        <v>2.2400000000000002</v>
      </c>
      <c r="E70" s="12">
        <v>2</v>
      </c>
      <c r="F70" s="8">
        <v>2.35</v>
      </c>
      <c r="G70" s="12">
        <v>1</v>
      </c>
      <c r="H70" s="8">
        <v>2.27</v>
      </c>
      <c r="I70" s="12">
        <v>0</v>
      </c>
    </row>
    <row r="71" spans="2:9" ht="15" customHeight="1" x14ac:dyDescent="0.2">
      <c r="B71" t="s">
        <v>385</v>
      </c>
      <c r="C71" s="12">
        <v>2</v>
      </c>
      <c r="D71" s="8">
        <v>1.49</v>
      </c>
      <c r="E71" s="12">
        <v>0</v>
      </c>
      <c r="F71" s="8">
        <v>0</v>
      </c>
      <c r="G71" s="12">
        <v>2</v>
      </c>
      <c r="H71" s="8">
        <v>4.55</v>
      </c>
      <c r="I71" s="12">
        <v>0</v>
      </c>
    </row>
    <row r="72" spans="2:9" ht="15" customHeight="1" x14ac:dyDescent="0.2">
      <c r="B72" t="s">
        <v>354</v>
      </c>
      <c r="C72" s="12">
        <v>2</v>
      </c>
      <c r="D72" s="8">
        <v>1.49</v>
      </c>
      <c r="E72" s="12">
        <v>0</v>
      </c>
      <c r="F72" s="8">
        <v>0</v>
      </c>
      <c r="G72" s="12">
        <v>2</v>
      </c>
      <c r="H72" s="8">
        <v>4.55</v>
      </c>
      <c r="I72" s="12">
        <v>0</v>
      </c>
    </row>
    <row r="73" spans="2:9" ht="15" customHeight="1" x14ac:dyDescent="0.2">
      <c r="B73" t="s">
        <v>366</v>
      </c>
      <c r="C73" s="12">
        <v>2</v>
      </c>
      <c r="D73" s="8">
        <v>1.49</v>
      </c>
      <c r="E73" s="12">
        <v>1</v>
      </c>
      <c r="F73" s="8">
        <v>1.18</v>
      </c>
      <c r="G73" s="12">
        <v>1</v>
      </c>
      <c r="H73" s="8">
        <v>2.27</v>
      </c>
      <c r="I73" s="12">
        <v>0</v>
      </c>
    </row>
    <row r="74" spans="2:9" ht="15" customHeight="1" x14ac:dyDescent="0.2">
      <c r="B74" t="s">
        <v>294</v>
      </c>
      <c r="C74" s="12">
        <v>2</v>
      </c>
      <c r="D74" s="8">
        <v>1.49</v>
      </c>
      <c r="E74" s="12">
        <v>2</v>
      </c>
      <c r="F74" s="8">
        <v>2.35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355</v>
      </c>
      <c r="C75" s="12">
        <v>2</v>
      </c>
      <c r="D75" s="8">
        <v>1.49</v>
      </c>
      <c r="E75" s="12">
        <v>0</v>
      </c>
      <c r="F75" s="8">
        <v>0</v>
      </c>
      <c r="G75" s="12">
        <v>2</v>
      </c>
      <c r="H75" s="8">
        <v>4.55</v>
      </c>
      <c r="I75" s="12">
        <v>0</v>
      </c>
    </row>
    <row r="76" spans="2:9" ht="15" customHeight="1" x14ac:dyDescent="0.2">
      <c r="B76" t="s">
        <v>396</v>
      </c>
      <c r="C76" s="12">
        <v>2</v>
      </c>
      <c r="D76" s="8">
        <v>1.49</v>
      </c>
      <c r="E76" s="12">
        <v>1</v>
      </c>
      <c r="F76" s="8">
        <v>1.18</v>
      </c>
      <c r="G76" s="12">
        <v>1</v>
      </c>
      <c r="H76" s="8">
        <v>2.27</v>
      </c>
      <c r="I76" s="12">
        <v>0</v>
      </c>
    </row>
    <row r="77" spans="2:9" ht="15" customHeight="1" x14ac:dyDescent="0.2">
      <c r="B77" t="s">
        <v>370</v>
      </c>
      <c r="C77" s="12">
        <v>2</v>
      </c>
      <c r="D77" s="8">
        <v>1.49</v>
      </c>
      <c r="E77" s="12">
        <v>0</v>
      </c>
      <c r="F77" s="8">
        <v>0</v>
      </c>
      <c r="G77" s="12">
        <v>1</v>
      </c>
      <c r="H77" s="8">
        <v>2.27</v>
      </c>
      <c r="I77" s="12">
        <v>0</v>
      </c>
    </row>
    <row r="78" spans="2:9" ht="15" customHeight="1" x14ac:dyDescent="0.2">
      <c r="B78" t="s">
        <v>397</v>
      </c>
      <c r="C78" s="12">
        <v>2</v>
      </c>
      <c r="D78" s="8">
        <v>1.49</v>
      </c>
      <c r="E78" s="12">
        <v>0</v>
      </c>
      <c r="F78" s="8">
        <v>0</v>
      </c>
      <c r="G78" s="12">
        <v>2</v>
      </c>
      <c r="H78" s="8">
        <v>4.55</v>
      </c>
      <c r="I78" s="12">
        <v>0</v>
      </c>
    </row>
    <row r="79" spans="2:9" ht="15" customHeight="1" x14ac:dyDescent="0.2">
      <c r="B79" t="s">
        <v>371</v>
      </c>
      <c r="C79" s="12">
        <v>2</v>
      </c>
      <c r="D79" s="8">
        <v>1.49</v>
      </c>
      <c r="E79" s="12">
        <v>2</v>
      </c>
      <c r="F79" s="8">
        <v>2.35</v>
      </c>
      <c r="G79" s="12">
        <v>0</v>
      </c>
      <c r="H79" s="8">
        <v>0</v>
      </c>
      <c r="I79" s="12">
        <v>0</v>
      </c>
    </row>
    <row r="81" spans="2:2" ht="15" customHeight="1" x14ac:dyDescent="0.2">
      <c r="B8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6354E-8C9C-48FA-844A-F4B87ADCD1C9}">
  <sheetPr>
    <pageSetUpPr fitToPage="1"/>
  </sheetPr>
  <dimension ref="B2:I9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24</v>
      </c>
      <c r="D6" s="8">
        <v>15.29</v>
      </c>
      <c r="E6" s="12">
        <v>7</v>
      </c>
      <c r="F6" s="8">
        <v>7.53</v>
      </c>
      <c r="G6" s="12">
        <v>17</v>
      </c>
      <c r="H6" s="8">
        <v>30.36</v>
      </c>
      <c r="I6" s="12">
        <v>0</v>
      </c>
    </row>
    <row r="7" spans="2:9" ht="15" customHeight="1" x14ac:dyDescent="0.2">
      <c r="B7" t="s">
        <v>192</v>
      </c>
      <c r="C7" s="12">
        <v>9</v>
      </c>
      <c r="D7" s="8">
        <v>5.73</v>
      </c>
      <c r="E7" s="12">
        <v>3</v>
      </c>
      <c r="F7" s="8">
        <v>3.23</v>
      </c>
      <c r="G7" s="12">
        <v>6</v>
      </c>
      <c r="H7" s="8">
        <v>10.71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1.91</v>
      </c>
      <c r="E8" s="12">
        <v>0</v>
      </c>
      <c r="F8" s="8">
        <v>0</v>
      </c>
      <c r="G8" s="12">
        <v>1</v>
      </c>
      <c r="H8" s="8">
        <v>1.79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0.64</v>
      </c>
      <c r="E10" s="12">
        <v>0</v>
      </c>
      <c r="F10" s="8">
        <v>0</v>
      </c>
      <c r="G10" s="12">
        <v>1</v>
      </c>
      <c r="H10" s="8">
        <v>1.79</v>
      </c>
      <c r="I10" s="12">
        <v>0</v>
      </c>
    </row>
    <row r="11" spans="2:9" ht="15" customHeight="1" x14ac:dyDescent="0.2">
      <c r="B11" t="s">
        <v>196</v>
      </c>
      <c r="C11" s="12">
        <v>40</v>
      </c>
      <c r="D11" s="8">
        <v>25.48</v>
      </c>
      <c r="E11" s="12">
        <v>19</v>
      </c>
      <c r="F11" s="8">
        <v>20.43</v>
      </c>
      <c r="G11" s="12">
        <v>21</v>
      </c>
      <c r="H11" s="8">
        <v>37.5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7</v>
      </c>
      <c r="D13" s="8">
        <v>4.46</v>
      </c>
      <c r="E13" s="12">
        <v>6</v>
      </c>
      <c r="F13" s="8">
        <v>6.45</v>
      </c>
      <c r="G13" s="12">
        <v>1</v>
      </c>
      <c r="H13" s="8">
        <v>1.79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3.18</v>
      </c>
      <c r="E14" s="12">
        <v>2</v>
      </c>
      <c r="F14" s="8">
        <v>2.15</v>
      </c>
      <c r="G14" s="12">
        <v>2</v>
      </c>
      <c r="H14" s="8">
        <v>3.57</v>
      </c>
      <c r="I14" s="12">
        <v>1</v>
      </c>
    </row>
    <row r="15" spans="2:9" ht="15" customHeight="1" x14ac:dyDescent="0.2">
      <c r="B15" t="s">
        <v>200</v>
      </c>
      <c r="C15" s="12">
        <v>27</v>
      </c>
      <c r="D15" s="8">
        <v>17.2</v>
      </c>
      <c r="E15" s="12">
        <v>23</v>
      </c>
      <c r="F15" s="8">
        <v>24.73</v>
      </c>
      <c r="G15" s="12">
        <v>4</v>
      </c>
      <c r="H15" s="8">
        <v>7.14</v>
      </c>
      <c r="I15" s="12">
        <v>0</v>
      </c>
    </row>
    <row r="16" spans="2:9" ht="15" customHeight="1" x14ac:dyDescent="0.2">
      <c r="B16" t="s">
        <v>201</v>
      </c>
      <c r="C16" s="12">
        <v>23</v>
      </c>
      <c r="D16" s="8">
        <v>14.65</v>
      </c>
      <c r="E16" s="12">
        <v>22</v>
      </c>
      <c r="F16" s="8">
        <v>23.66</v>
      </c>
      <c r="G16" s="12">
        <v>1</v>
      </c>
      <c r="H16" s="8">
        <v>1.79</v>
      </c>
      <c r="I16" s="12">
        <v>0</v>
      </c>
    </row>
    <row r="17" spans="2:9" ht="15" customHeight="1" x14ac:dyDescent="0.2">
      <c r="B17" t="s">
        <v>202</v>
      </c>
      <c r="C17" s="12">
        <v>8</v>
      </c>
      <c r="D17" s="8">
        <v>5.0999999999999996</v>
      </c>
      <c r="E17" s="12">
        <v>6</v>
      </c>
      <c r="F17" s="8">
        <v>6.45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3.18</v>
      </c>
      <c r="E18" s="12">
        <v>2</v>
      </c>
      <c r="F18" s="8">
        <v>2.15</v>
      </c>
      <c r="G18" s="12">
        <v>1</v>
      </c>
      <c r="H18" s="8">
        <v>1.79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3.18</v>
      </c>
      <c r="E19" s="12">
        <v>3</v>
      </c>
      <c r="F19" s="8">
        <v>3.23</v>
      </c>
      <c r="G19" s="12">
        <v>1</v>
      </c>
      <c r="H19" s="8">
        <v>1.79</v>
      </c>
      <c r="I19" s="12">
        <v>1</v>
      </c>
    </row>
    <row r="20" spans="2:9" ht="15" customHeight="1" x14ac:dyDescent="0.2">
      <c r="B20" s="9" t="s">
        <v>529</v>
      </c>
      <c r="C20" s="12">
        <f>SUM(LTBL_01370[総数／事業所数])</f>
        <v>157</v>
      </c>
      <c r="E20" s="12">
        <f>SUBTOTAL(109,LTBL_01370[個人／事業所数])</f>
        <v>93</v>
      </c>
      <c r="G20" s="12">
        <f>SUBTOTAL(109,LTBL_01370[法人／事業所数])</f>
        <v>56</v>
      </c>
      <c r="I20" s="12">
        <f>SUBTOTAL(109,LTBL_01370[法人以外の団体／事業所数])</f>
        <v>2</v>
      </c>
    </row>
    <row r="21" spans="2:9" ht="15" customHeight="1" x14ac:dyDescent="0.2">
      <c r="E21" s="11">
        <f>LTBL_01370[[#Totals],[個人／事業所数]]/LTBL_01370[[#Totals],[総数／事業所数]]</f>
        <v>0.59235668789808915</v>
      </c>
      <c r="G21" s="11">
        <f>LTBL_01370[[#Totals],[法人／事業所数]]/LTBL_01370[[#Totals],[総数／事業所数]]</f>
        <v>0.35668789808917195</v>
      </c>
      <c r="I21" s="11">
        <f>LTBL_01370[[#Totals],[法人以外の団体／事業所数]]/LTBL_01370[[#Totals],[総数／事業所数]]</f>
        <v>1.2738853503184714E-2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24</v>
      </c>
      <c r="D24" s="8">
        <v>15.29</v>
      </c>
      <c r="E24" s="12">
        <v>21</v>
      </c>
      <c r="F24" s="8">
        <v>22.58</v>
      </c>
      <c r="G24" s="12">
        <v>3</v>
      </c>
      <c r="H24" s="8">
        <v>5.36</v>
      </c>
      <c r="I24" s="12">
        <v>0</v>
      </c>
    </row>
    <row r="25" spans="2:9" ht="15" customHeight="1" x14ac:dyDescent="0.2">
      <c r="B25" t="s">
        <v>228</v>
      </c>
      <c r="C25" s="12">
        <v>20</v>
      </c>
      <c r="D25" s="8">
        <v>12.74</v>
      </c>
      <c r="E25" s="12">
        <v>20</v>
      </c>
      <c r="F25" s="8">
        <v>21.51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223</v>
      </c>
      <c r="C26" s="12">
        <v>19</v>
      </c>
      <c r="D26" s="8">
        <v>12.1</v>
      </c>
      <c r="E26" s="12">
        <v>11</v>
      </c>
      <c r="F26" s="8">
        <v>11.83</v>
      </c>
      <c r="G26" s="12">
        <v>8</v>
      </c>
      <c r="H26" s="8">
        <v>14.29</v>
      </c>
      <c r="I26" s="12">
        <v>0</v>
      </c>
    </row>
    <row r="27" spans="2:9" ht="15" customHeight="1" x14ac:dyDescent="0.2">
      <c r="B27" t="s">
        <v>213</v>
      </c>
      <c r="C27" s="12">
        <v>13</v>
      </c>
      <c r="D27" s="8">
        <v>8.2799999999999994</v>
      </c>
      <c r="E27" s="12">
        <v>3</v>
      </c>
      <c r="F27" s="8">
        <v>3.23</v>
      </c>
      <c r="G27" s="12">
        <v>10</v>
      </c>
      <c r="H27" s="8">
        <v>17.86</v>
      </c>
      <c r="I27" s="12">
        <v>0</v>
      </c>
    </row>
    <row r="28" spans="2:9" ht="15" customHeight="1" x14ac:dyDescent="0.2">
      <c r="B28" t="s">
        <v>230</v>
      </c>
      <c r="C28" s="12">
        <v>8</v>
      </c>
      <c r="D28" s="8">
        <v>5.0999999999999996</v>
      </c>
      <c r="E28" s="12">
        <v>6</v>
      </c>
      <c r="F28" s="8">
        <v>6.45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224</v>
      </c>
      <c r="C29" s="12">
        <v>7</v>
      </c>
      <c r="D29" s="8">
        <v>4.46</v>
      </c>
      <c r="E29" s="12">
        <v>6</v>
      </c>
      <c r="F29" s="8">
        <v>6.45</v>
      </c>
      <c r="G29" s="12">
        <v>1</v>
      </c>
      <c r="H29" s="8">
        <v>1.79</v>
      </c>
      <c r="I29" s="12">
        <v>0</v>
      </c>
    </row>
    <row r="30" spans="2:9" ht="15" customHeight="1" x14ac:dyDescent="0.2">
      <c r="B30" t="s">
        <v>214</v>
      </c>
      <c r="C30" s="12">
        <v>6</v>
      </c>
      <c r="D30" s="8">
        <v>3.82</v>
      </c>
      <c r="E30" s="12">
        <v>2</v>
      </c>
      <c r="F30" s="8">
        <v>2.15</v>
      </c>
      <c r="G30" s="12">
        <v>4</v>
      </c>
      <c r="H30" s="8">
        <v>7.14</v>
      </c>
      <c r="I30" s="12">
        <v>0</v>
      </c>
    </row>
    <row r="31" spans="2:9" ht="15" customHeight="1" x14ac:dyDescent="0.2">
      <c r="B31" t="s">
        <v>220</v>
      </c>
      <c r="C31" s="12">
        <v>6</v>
      </c>
      <c r="D31" s="8">
        <v>3.82</v>
      </c>
      <c r="E31" s="12">
        <v>1</v>
      </c>
      <c r="F31" s="8">
        <v>1.08</v>
      </c>
      <c r="G31" s="12">
        <v>5</v>
      </c>
      <c r="H31" s="8">
        <v>8.93</v>
      </c>
      <c r="I31" s="12">
        <v>0</v>
      </c>
    </row>
    <row r="32" spans="2:9" ht="15" customHeight="1" x14ac:dyDescent="0.2">
      <c r="B32" t="s">
        <v>222</v>
      </c>
      <c r="C32" s="12">
        <v>6</v>
      </c>
      <c r="D32" s="8">
        <v>3.82</v>
      </c>
      <c r="E32" s="12">
        <v>4</v>
      </c>
      <c r="F32" s="8">
        <v>4.3</v>
      </c>
      <c r="G32" s="12">
        <v>2</v>
      </c>
      <c r="H32" s="8">
        <v>3.57</v>
      </c>
      <c r="I32" s="12">
        <v>0</v>
      </c>
    </row>
    <row r="33" spans="2:9" ht="15" customHeight="1" x14ac:dyDescent="0.2">
      <c r="B33" t="s">
        <v>215</v>
      </c>
      <c r="C33" s="12">
        <v>5</v>
      </c>
      <c r="D33" s="8">
        <v>3.18</v>
      </c>
      <c r="E33" s="12">
        <v>2</v>
      </c>
      <c r="F33" s="8">
        <v>2.15</v>
      </c>
      <c r="G33" s="12">
        <v>3</v>
      </c>
      <c r="H33" s="8">
        <v>5.36</v>
      </c>
      <c r="I33" s="12">
        <v>0</v>
      </c>
    </row>
    <row r="34" spans="2:9" ht="15" customHeight="1" x14ac:dyDescent="0.2">
      <c r="B34" t="s">
        <v>221</v>
      </c>
      <c r="C34" s="12">
        <v>5</v>
      </c>
      <c r="D34" s="8">
        <v>3.18</v>
      </c>
      <c r="E34" s="12">
        <v>2</v>
      </c>
      <c r="F34" s="8">
        <v>2.15</v>
      </c>
      <c r="G34" s="12">
        <v>3</v>
      </c>
      <c r="H34" s="8">
        <v>5.36</v>
      </c>
      <c r="I34" s="12">
        <v>0</v>
      </c>
    </row>
    <row r="35" spans="2:9" ht="15" customHeight="1" x14ac:dyDescent="0.2">
      <c r="B35" t="s">
        <v>226</v>
      </c>
      <c r="C35" s="12">
        <v>4</v>
      </c>
      <c r="D35" s="8">
        <v>2.5499999999999998</v>
      </c>
      <c r="E35" s="12">
        <v>1</v>
      </c>
      <c r="F35" s="8">
        <v>1.08</v>
      </c>
      <c r="G35" s="12">
        <v>2</v>
      </c>
      <c r="H35" s="8">
        <v>3.57</v>
      </c>
      <c r="I35" s="12">
        <v>1</v>
      </c>
    </row>
    <row r="36" spans="2:9" ht="15" customHeight="1" x14ac:dyDescent="0.2">
      <c r="B36" t="s">
        <v>255</v>
      </c>
      <c r="C36" s="12">
        <v>3</v>
      </c>
      <c r="D36" s="8">
        <v>1.91</v>
      </c>
      <c r="E36" s="12">
        <v>0</v>
      </c>
      <c r="F36" s="8">
        <v>0</v>
      </c>
      <c r="G36" s="12">
        <v>1</v>
      </c>
      <c r="H36" s="8">
        <v>1.79</v>
      </c>
      <c r="I36" s="12">
        <v>0</v>
      </c>
    </row>
    <row r="37" spans="2:9" ht="15" customHeight="1" x14ac:dyDescent="0.2">
      <c r="B37" t="s">
        <v>243</v>
      </c>
      <c r="C37" s="12">
        <v>3</v>
      </c>
      <c r="D37" s="8">
        <v>1.91</v>
      </c>
      <c r="E37" s="12">
        <v>2</v>
      </c>
      <c r="F37" s="8">
        <v>2.15</v>
      </c>
      <c r="G37" s="12">
        <v>1</v>
      </c>
      <c r="H37" s="8">
        <v>1.79</v>
      </c>
      <c r="I37" s="12">
        <v>0</v>
      </c>
    </row>
    <row r="38" spans="2:9" ht="15" customHeight="1" x14ac:dyDescent="0.2">
      <c r="B38" t="s">
        <v>232</v>
      </c>
      <c r="C38" s="12">
        <v>3</v>
      </c>
      <c r="D38" s="8">
        <v>1.91</v>
      </c>
      <c r="E38" s="12">
        <v>0</v>
      </c>
      <c r="F38" s="8">
        <v>0</v>
      </c>
      <c r="G38" s="12">
        <v>1</v>
      </c>
      <c r="H38" s="8">
        <v>1.79</v>
      </c>
      <c r="I38" s="12">
        <v>0</v>
      </c>
    </row>
    <row r="39" spans="2:9" ht="15" customHeight="1" x14ac:dyDescent="0.2">
      <c r="B39" t="s">
        <v>240</v>
      </c>
      <c r="C39" s="12">
        <v>3</v>
      </c>
      <c r="D39" s="8">
        <v>1.91</v>
      </c>
      <c r="E39" s="12">
        <v>2</v>
      </c>
      <c r="F39" s="8">
        <v>2.15</v>
      </c>
      <c r="G39" s="12">
        <v>1</v>
      </c>
      <c r="H39" s="8">
        <v>1.79</v>
      </c>
      <c r="I39" s="12">
        <v>0</v>
      </c>
    </row>
    <row r="40" spans="2:9" ht="15" customHeight="1" x14ac:dyDescent="0.2">
      <c r="B40" t="s">
        <v>241</v>
      </c>
      <c r="C40" s="12">
        <v>2</v>
      </c>
      <c r="D40" s="8">
        <v>1.27</v>
      </c>
      <c r="E40" s="12">
        <v>0</v>
      </c>
      <c r="F40" s="8">
        <v>0</v>
      </c>
      <c r="G40" s="12">
        <v>2</v>
      </c>
      <c r="H40" s="8">
        <v>3.57</v>
      </c>
      <c r="I40" s="12">
        <v>0</v>
      </c>
    </row>
    <row r="41" spans="2:9" ht="15" customHeight="1" x14ac:dyDescent="0.2">
      <c r="B41" t="s">
        <v>258</v>
      </c>
      <c r="C41" s="12">
        <v>2</v>
      </c>
      <c r="D41" s="8">
        <v>1.27</v>
      </c>
      <c r="E41" s="12">
        <v>1</v>
      </c>
      <c r="F41" s="8">
        <v>1.08</v>
      </c>
      <c r="G41" s="12">
        <v>1</v>
      </c>
      <c r="H41" s="8">
        <v>1.79</v>
      </c>
      <c r="I41" s="12">
        <v>0</v>
      </c>
    </row>
    <row r="42" spans="2:9" ht="15" customHeight="1" x14ac:dyDescent="0.2">
      <c r="B42" t="s">
        <v>252</v>
      </c>
      <c r="C42" s="12">
        <v>2</v>
      </c>
      <c r="D42" s="8">
        <v>1.27</v>
      </c>
      <c r="E42" s="12">
        <v>2</v>
      </c>
      <c r="F42" s="8">
        <v>2.15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254</v>
      </c>
      <c r="C43" s="12">
        <v>2</v>
      </c>
      <c r="D43" s="8">
        <v>1.27</v>
      </c>
      <c r="E43" s="12">
        <v>0</v>
      </c>
      <c r="F43" s="8">
        <v>0</v>
      </c>
      <c r="G43" s="12">
        <v>2</v>
      </c>
      <c r="H43" s="8">
        <v>3.57</v>
      </c>
      <c r="I43" s="12">
        <v>0</v>
      </c>
    </row>
    <row r="44" spans="2:9" ht="15" customHeight="1" x14ac:dyDescent="0.2">
      <c r="B44" t="s">
        <v>217</v>
      </c>
      <c r="C44" s="12">
        <v>2</v>
      </c>
      <c r="D44" s="8">
        <v>1.27</v>
      </c>
      <c r="E44" s="12">
        <v>0</v>
      </c>
      <c r="F44" s="8">
        <v>0</v>
      </c>
      <c r="G44" s="12">
        <v>2</v>
      </c>
      <c r="H44" s="8">
        <v>3.57</v>
      </c>
      <c r="I44" s="12">
        <v>0</v>
      </c>
    </row>
    <row r="45" spans="2:9" ht="15" customHeight="1" x14ac:dyDescent="0.2">
      <c r="B45" t="s">
        <v>229</v>
      </c>
      <c r="C45" s="12">
        <v>2</v>
      </c>
      <c r="D45" s="8">
        <v>1.27</v>
      </c>
      <c r="E45" s="12">
        <v>2</v>
      </c>
      <c r="F45" s="8">
        <v>2.15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231</v>
      </c>
      <c r="C46" s="12">
        <v>2</v>
      </c>
      <c r="D46" s="8">
        <v>1.27</v>
      </c>
      <c r="E46" s="12">
        <v>2</v>
      </c>
      <c r="F46" s="8">
        <v>2.15</v>
      </c>
      <c r="G46" s="12">
        <v>0</v>
      </c>
      <c r="H46" s="8">
        <v>0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304</v>
      </c>
      <c r="C50" s="12">
        <v>12</v>
      </c>
      <c r="D50" s="8">
        <v>7.64</v>
      </c>
      <c r="E50" s="12">
        <v>12</v>
      </c>
      <c r="F50" s="8">
        <v>12.9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297</v>
      </c>
      <c r="C51" s="12">
        <v>7</v>
      </c>
      <c r="D51" s="8">
        <v>4.46</v>
      </c>
      <c r="E51" s="12">
        <v>6</v>
      </c>
      <c r="F51" s="8">
        <v>6.45</v>
      </c>
      <c r="G51" s="12">
        <v>1</v>
      </c>
      <c r="H51" s="8">
        <v>1.79</v>
      </c>
      <c r="I51" s="12">
        <v>0</v>
      </c>
    </row>
    <row r="52" spans="2:9" ht="15" customHeight="1" x14ac:dyDescent="0.2">
      <c r="B52" t="s">
        <v>301</v>
      </c>
      <c r="C52" s="12">
        <v>7</v>
      </c>
      <c r="D52" s="8">
        <v>4.46</v>
      </c>
      <c r="E52" s="12">
        <v>7</v>
      </c>
      <c r="F52" s="8">
        <v>7.53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303</v>
      </c>
      <c r="C53" s="12">
        <v>7</v>
      </c>
      <c r="D53" s="8">
        <v>4.46</v>
      </c>
      <c r="E53" s="12">
        <v>7</v>
      </c>
      <c r="F53" s="8">
        <v>7.53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299</v>
      </c>
      <c r="C54" s="12">
        <v>6</v>
      </c>
      <c r="D54" s="8">
        <v>3.82</v>
      </c>
      <c r="E54" s="12">
        <v>5</v>
      </c>
      <c r="F54" s="8">
        <v>5.38</v>
      </c>
      <c r="G54" s="12">
        <v>1</v>
      </c>
      <c r="H54" s="8">
        <v>1.79</v>
      </c>
      <c r="I54" s="12">
        <v>0</v>
      </c>
    </row>
    <row r="55" spans="2:9" ht="15" customHeight="1" x14ac:dyDescent="0.2">
      <c r="B55" t="s">
        <v>289</v>
      </c>
      <c r="C55" s="12">
        <v>4</v>
      </c>
      <c r="D55" s="8">
        <v>2.5499999999999998</v>
      </c>
      <c r="E55" s="12">
        <v>1</v>
      </c>
      <c r="F55" s="8">
        <v>1.08</v>
      </c>
      <c r="G55" s="12">
        <v>3</v>
      </c>
      <c r="H55" s="8">
        <v>5.36</v>
      </c>
      <c r="I55" s="12">
        <v>0</v>
      </c>
    </row>
    <row r="56" spans="2:9" ht="15" customHeight="1" x14ac:dyDescent="0.2">
      <c r="B56" t="s">
        <v>294</v>
      </c>
      <c r="C56" s="12">
        <v>4</v>
      </c>
      <c r="D56" s="8">
        <v>2.5499999999999998</v>
      </c>
      <c r="E56" s="12">
        <v>3</v>
      </c>
      <c r="F56" s="8">
        <v>3.23</v>
      </c>
      <c r="G56" s="12">
        <v>1</v>
      </c>
      <c r="H56" s="8">
        <v>1.79</v>
      </c>
      <c r="I56" s="12">
        <v>0</v>
      </c>
    </row>
    <row r="57" spans="2:9" ht="15" customHeight="1" x14ac:dyDescent="0.2">
      <c r="B57" t="s">
        <v>372</v>
      </c>
      <c r="C57" s="12">
        <v>4</v>
      </c>
      <c r="D57" s="8">
        <v>2.5499999999999998</v>
      </c>
      <c r="E57" s="12">
        <v>4</v>
      </c>
      <c r="F57" s="8">
        <v>4.3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334</v>
      </c>
      <c r="C58" s="12">
        <v>4</v>
      </c>
      <c r="D58" s="8">
        <v>2.5499999999999998</v>
      </c>
      <c r="E58" s="12">
        <v>2</v>
      </c>
      <c r="F58" s="8">
        <v>2.15</v>
      </c>
      <c r="G58" s="12">
        <v>2</v>
      </c>
      <c r="H58" s="8">
        <v>3.57</v>
      </c>
      <c r="I58" s="12">
        <v>0</v>
      </c>
    </row>
    <row r="59" spans="2:9" ht="15" customHeight="1" x14ac:dyDescent="0.2">
      <c r="B59" t="s">
        <v>305</v>
      </c>
      <c r="C59" s="12">
        <v>4</v>
      </c>
      <c r="D59" s="8">
        <v>2.5499999999999998</v>
      </c>
      <c r="E59" s="12">
        <v>4</v>
      </c>
      <c r="F59" s="8">
        <v>4.3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328</v>
      </c>
      <c r="C60" s="12">
        <v>3</v>
      </c>
      <c r="D60" s="8">
        <v>1.91</v>
      </c>
      <c r="E60" s="12">
        <v>1</v>
      </c>
      <c r="F60" s="8">
        <v>1.08</v>
      </c>
      <c r="G60" s="12">
        <v>2</v>
      </c>
      <c r="H60" s="8">
        <v>3.57</v>
      </c>
      <c r="I60" s="12">
        <v>0</v>
      </c>
    </row>
    <row r="61" spans="2:9" ht="15" customHeight="1" x14ac:dyDescent="0.2">
      <c r="B61" t="s">
        <v>333</v>
      </c>
      <c r="C61" s="12">
        <v>3</v>
      </c>
      <c r="D61" s="8">
        <v>1.91</v>
      </c>
      <c r="E61" s="12">
        <v>2</v>
      </c>
      <c r="F61" s="8">
        <v>2.15</v>
      </c>
      <c r="G61" s="12">
        <v>1</v>
      </c>
      <c r="H61" s="8">
        <v>1.79</v>
      </c>
      <c r="I61" s="12">
        <v>0</v>
      </c>
    </row>
    <row r="62" spans="2:9" ht="15" customHeight="1" x14ac:dyDescent="0.2">
      <c r="B62" t="s">
        <v>291</v>
      </c>
      <c r="C62" s="12">
        <v>3</v>
      </c>
      <c r="D62" s="8">
        <v>1.91</v>
      </c>
      <c r="E62" s="12">
        <v>2</v>
      </c>
      <c r="F62" s="8">
        <v>2.15</v>
      </c>
      <c r="G62" s="12">
        <v>1</v>
      </c>
      <c r="H62" s="8">
        <v>1.79</v>
      </c>
      <c r="I62" s="12">
        <v>0</v>
      </c>
    </row>
    <row r="63" spans="2:9" ht="15" customHeight="1" x14ac:dyDescent="0.2">
      <c r="B63" t="s">
        <v>314</v>
      </c>
      <c r="C63" s="12">
        <v>3</v>
      </c>
      <c r="D63" s="8">
        <v>1.91</v>
      </c>
      <c r="E63" s="12">
        <v>0</v>
      </c>
      <c r="F63" s="8">
        <v>0</v>
      </c>
      <c r="G63" s="12">
        <v>3</v>
      </c>
      <c r="H63" s="8">
        <v>5.36</v>
      </c>
      <c r="I63" s="12">
        <v>0</v>
      </c>
    </row>
    <row r="64" spans="2:9" ht="15" customHeight="1" x14ac:dyDescent="0.2">
      <c r="B64" t="s">
        <v>300</v>
      </c>
      <c r="C64" s="12">
        <v>3</v>
      </c>
      <c r="D64" s="8">
        <v>1.91</v>
      </c>
      <c r="E64" s="12">
        <v>3</v>
      </c>
      <c r="F64" s="8">
        <v>3.23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302</v>
      </c>
      <c r="C65" s="12">
        <v>3</v>
      </c>
      <c r="D65" s="8">
        <v>1.91</v>
      </c>
      <c r="E65" s="12">
        <v>3</v>
      </c>
      <c r="F65" s="8">
        <v>3.23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307</v>
      </c>
      <c r="C66" s="12">
        <v>3</v>
      </c>
      <c r="D66" s="8">
        <v>1.91</v>
      </c>
      <c r="E66" s="12">
        <v>2</v>
      </c>
      <c r="F66" s="8">
        <v>2.15</v>
      </c>
      <c r="G66" s="12">
        <v>1</v>
      </c>
      <c r="H66" s="8">
        <v>1.79</v>
      </c>
      <c r="I66" s="12">
        <v>0</v>
      </c>
    </row>
    <row r="67" spans="2:9" ht="15" customHeight="1" x14ac:dyDescent="0.2">
      <c r="B67" t="s">
        <v>288</v>
      </c>
      <c r="C67" s="12">
        <v>2</v>
      </c>
      <c r="D67" s="8">
        <v>1.27</v>
      </c>
      <c r="E67" s="12">
        <v>0</v>
      </c>
      <c r="F67" s="8">
        <v>0</v>
      </c>
      <c r="G67" s="12">
        <v>2</v>
      </c>
      <c r="H67" s="8">
        <v>3.57</v>
      </c>
      <c r="I67" s="12">
        <v>0</v>
      </c>
    </row>
    <row r="68" spans="2:9" ht="15" customHeight="1" x14ac:dyDescent="0.2">
      <c r="B68" t="s">
        <v>398</v>
      </c>
      <c r="C68" s="12">
        <v>2</v>
      </c>
      <c r="D68" s="8">
        <v>1.27</v>
      </c>
      <c r="E68" s="12">
        <v>0</v>
      </c>
      <c r="F68" s="8">
        <v>0</v>
      </c>
      <c r="G68" s="12">
        <v>2</v>
      </c>
      <c r="H68" s="8">
        <v>3.57</v>
      </c>
      <c r="I68" s="12">
        <v>0</v>
      </c>
    </row>
    <row r="69" spans="2:9" ht="15" customHeight="1" x14ac:dyDescent="0.2">
      <c r="B69" t="s">
        <v>319</v>
      </c>
      <c r="C69" s="12">
        <v>2</v>
      </c>
      <c r="D69" s="8">
        <v>1.27</v>
      </c>
      <c r="E69" s="12">
        <v>1</v>
      </c>
      <c r="F69" s="8">
        <v>1.08</v>
      </c>
      <c r="G69" s="12">
        <v>1</v>
      </c>
      <c r="H69" s="8">
        <v>1.79</v>
      </c>
      <c r="I69" s="12">
        <v>0</v>
      </c>
    </row>
    <row r="70" spans="2:9" ht="15" customHeight="1" x14ac:dyDescent="0.2">
      <c r="B70" t="s">
        <v>353</v>
      </c>
      <c r="C70" s="12">
        <v>2</v>
      </c>
      <c r="D70" s="8">
        <v>1.27</v>
      </c>
      <c r="E70" s="12">
        <v>0</v>
      </c>
      <c r="F70" s="8">
        <v>0</v>
      </c>
      <c r="G70" s="12">
        <v>2</v>
      </c>
      <c r="H70" s="8">
        <v>3.57</v>
      </c>
      <c r="I70" s="12">
        <v>0</v>
      </c>
    </row>
    <row r="71" spans="2:9" ht="15" customHeight="1" x14ac:dyDescent="0.2">
      <c r="B71" t="s">
        <v>290</v>
      </c>
      <c r="C71" s="12">
        <v>2</v>
      </c>
      <c r="D71" s="8">
        <v>1.27</v>
      </c>
      <c r="E71" s="12">
        <v>0</v>
      </c>
      <c r="F71" s="8">
        <v>0</v>
      </c>
      <c r="G71" s="12">
        <v>2</v>
      </c>
      <c r="H71" s="8">
        <v>3.57</v>
      </c>
      <c r="I71" s="12">
        <v>0</v>
      </c>
    </row>
    <row r="72" spans="2:9" ht="15" customHeight="1" x14ac:dyDescent="0.2">
      <c r="B72" t="s">
        <v>359</v>
      </c>
      <c r="C72" s="12">
        <v>2</v>
      </c>
      <c r="D72" s="8">
        <v>1.27</v>
      </c>
      <c r="E72" s="12">
        <v>1</v>
      </c>
      <c r="F72" s="8">
        <v>1.08</v>
      </c>
      <c r="G72" s="12">
        <v>1</v>
      </c>
      <c r="H72" s="8">
        <v>1.79</v>
      </c>
      <c r="I72" s="12">
        <v>0</v>
      </c>
    </row>
    <row r="73" spans="2:9" ht="15" customHeight="1" x14ac:dyDescent="0.2">
      <c r="B73" t="s">
        <v>399</v>
      </c>
      <c r="C73" s="12">
        <v>2</v>
      </c>
      <c r="D73" s="8">
        <v>1.27</v>
      </c>
      <c r="E73" s="12">
        <v>2</v>
      </c>
      <c r="F73" s="8">
        <v>2.15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361</v>
      </c>
      <c r="C74" s="12">
        <v>2</v>
      </c>
      <c r="D74" s="8">
        <v>1.27</v>
      </c>
      <c r="E74" s="12">
        <v>0</v>
      </c>
      <c r="F74" s="8">
        <v>0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400</v>
      </c>
      <c r="C75" s="12">
        <v>2</v>
      </c>
      <c r="D75" s="8">
        <v>1.27</v>
      </c>
      <c r="E75" s="12">
        <v>1</v>
      </c>
      <c r="F75" s="8">
        <v>1.08</v>
      </c>
      <c r="G75" s="12">
        <v>1</v>
      </c>
      <c r="H75" s="8">
        <v>1.79</v>
      </c>
      <c r="I75" s="12">
        <v>0</v>
      </c>
    </row>
    <row r="76" spans="2:9" ht="15" customHeight="1" x14ac:dyDescent="0.2">
      <c r="B76" t="s">
        <v>292</v>
      </c>
      <c r="C76" s="12">
        <v>2</v>
      </c>
      <c r="D76" s="8">
        <v>1.27</v>
      </c>
      <c r="E76" s="12">
        <v>1</v>
      </c>
      <c r="F76" s="8">
        <v>1.08</v>
      </c>
      <c r="G76" s="12">
        <v>1</v>
      </c>
      <c r="H76" s="8">
        <v>1.79</v>
      </c>
      <c r="I76" s="12">
        <v>0</v>
      </c>
    </row>
    <row r="77" spans="2:9" ht="15" customHeight="1" x14ac:dyDescent="0.2">
      <c r="B77" t="s">
        <v>293</v>
      </c>
      <c r="C77" s="12">
        <v>2</v>
      </c>
      <c r="D77" s="8">
        <v>1.27</v>
      </c>
      <c r="E77" s="12">
        <v>0</v>
      </c>
      <c r="F77" s="8">
        <v>0</v>
      </c>
      <c r="G77" s="12">
        <v>2</v>
      </c>
      <c r="H77" s="8">
        <v>3.57</v>
      </c>
      <c r="I77" s="12">
        <v>0</v>
      </c>
    </row>
    <row r="78" spans="2:9" ht="15" customHeight="1" x14ac:dyDescent="0.2">
      <c r="B78" t="s">
        <v>389</v>
      </c>
      <c r="C78" s="12">
        <v>2</v>
      </c>
      <c r="D78" s="8">
        <v>1.27</v>
      </c>
      <c r="E78" s="12">
        <v>2</v>
      </c>
      <c r="F78" s="8">
        <v>2.15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335</v>
      </c>
      <c r="C79" s="12">
        <v>2</v>
      </c>
      <c r="D79" s="8">
        <v>1.27</v>
      </c>
      <c r="E79" s="12">
        <v>2</v>
      </c>
      <c r="F79" s="8">
        <v>2.15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401</v>
      </c>
      <c r="C80" s="12">
        <v>2</v>
      </c>
      <c r="D80" s="8">
        <v>1.27</v>
      </c>
      <c r="E80" s="12">
        <v>1</v>
      </c>
      <c r="F80" s="8">
        <v>1.08</v>
      </c>
      <c r="G80" s="12">
        <v>1</v>
      </c>
      <c r="H80" s="8">
        <v>1.79</v>
      </c>
      <c r="I80" s="12">
        <v>0</v>
      </c>
    </row>
    <row r="81" spans="2:9" ht="15" customHeight="1" x14ac:dyDescent="0.2">
      <c r="B81" t="s">
        <v>402</v>
      </c>
      <c r="C81" s="12">
        <v>2</v>
      </c>
      <c r="D81" s="8">
        <v>1.27</v>
      </c>
      <c r="E81" s="12">
        <v>0</v>
      </c>
      <c r="F81" s="8">
        <v>0</v>
      </c>
      <c r="G81" s="12">
        <v>2</v>
      </c>
      <c r="H81" s="8">
        <v>3.57</v>
      </c>
      <c r="I81" s="12">
        <v>0</v>
      </c>
    </row>
    <row r="82" spans="2:9" ht="15" customHeight="1" x14ac:dyDescent="0.2">
      <c r="B82" t="s">
        <v>330</v>
      </c>
      <c r="C82" s="12">
        <v>2</v>
      </c>
      <c r="D82" s="8">
        <v>1.27</v>
      </c>
      <c r="E82" s="12">
        <v>0</v>
      </c>
      <c r="F82" s="8">
        <v>0</v>
      </c>
      <c r="G82" s="12">
        <v>2</v>
      </c>
      <c r="H82" s="8">
        <v>3.57</v>
      </c>
      <c r="I82" s="12">
        <v>0</v>
      </c>
    </row>
    <row r="83" spans="2:9" ht="15" customHeight="1" x14ac:dyDescent="0.2">
      <c r="B83" t="s">
        <v>337</v>
      </c>
      <c r="C83" s="12">
        <v>2</v>
      </c>
      <c r="D83" s="8">
        <v>1.27</v>
      </c>
      <c r="E83" s="12">
        <v>2</v>
      </c>
      <c r="F83" s="8">
        <v>2.15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295</v>
      </c>
      <c r="C84" s="12">
        <v>2</v>
      </c>
      <c r="D84" s="8">
        <v>1.27</v>
      </c>
      <c r="E84" s="12">
        <v>1</v>
      </c>
      <c r="F84" s="8">
        <v>1.08</v>
      </c>
      <c r="G84" s="12">
        <v>1</v>
      </c>
      <c r="H84" s="8">
        <v>1.79</v>
      </c>
      <c r="I84" s="12">
        <v>0</v>
      </c>
    </row>
    <row r="85" spans="2:9" ht="15" customHeight="1" x14ac:dyDescent="0.2">
      <c r="B85" t="s">
        <v>339</v>
      </c>
      <c r="C85" s="12">
        <v>2</v>
      </c>
      <c r="D85" s="8">
        <v>1.27</v>
      </c>
      <c r="E85" s="12">
        <v>2</v>
      </c>
      <c r="F85" s="8">
        <v>2.15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391</v>
      </c>
      <c r="C86" s="12">
        <v>2</v>
      </c>
      <c r="D86" s="8">
        <v>1.27</v>
      </c>
      <c r="E86" s="12">
        <v>2</v>
      </c>
      <c r="F86" s="8">
        <v>2.15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340</v>
      </c>
      <c r="C87" s="12">
        <v>2</v>
      </c>
      <c r="D87" s="8">
        <v>1.27</v>
      </c>
      <c r="E87" s="12">
        <v>0</v>
      </c>
      <c r="F87" s="8">
        <v>0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327</v>
      </c>
      <c r="C88" s="12">
        <v>2</v>
      </c>
      <c r="D88" s="8">
        <v>1.27</v>
      </c>
      <c r="E88" s="12">
        <v>2</v>
      </c>
      <c r="F88" s="8">
        <v>2.15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306</v>
      </c>
      <c r="C89" s="12">
        <v>2</v>
      </c>
      <c r="D89" s="8">
        <v>1.27</v>
      </c>
      <c r="E89" s="12">
        <v>2</v>
      </c>
      <c r="F89" s="8">
        <v>2.15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341</v>
      </c>
      <c r="C90" s="12">
        <v>2</v>
      </c>
      <c r="D90" s="8">
        <v>1.27</v>
      </c>
      <c r="E90" s="12">
        <v>0</v>
      </c>
      <c r="F90" s="8">
        <v>0</v>
      </c>
      <c r="G90" s="12">
        <v>0</v>
      </c>
      <c r="H90" s="8">
        <v>0</v>
      </c>
      <c r="I90" s="12">
        <v>0</v>
      </c>
    </row>
    <row r="92" spans="2:9" ht="15" customHeight="1" x14ac:dyDescent="0.2">
      <c r="B9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ADD2-60D8-44E3-A5AA-438D32ECDD6F}">
  <sheetPr>
    <pageSetUpPr fitToPage="1"/>
  </sheetPr>
  <dimension ref="B2:I7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0.34</v>
      </c>
      <c r="E5" s="12">
        <v>0</v>
      </c>
      <c r="F5" s="8">
        <v>0</v>
      </c>
      <c r="G5" s="12">
        <v>1</v>
      </c>
      <c r="H5" s="8">
        <v>0.98</v>
      </c>
      <c r="I5" s="12">
        <v>0</v>
      </c>
    </row>
    <row r="6" spans="2:9" ht="15" customHeight="1" x14ac:dyDescent="0.2">
      <c r="B6" t="s">
        <v>191</v>
      </c>
      <c r="C6" s="12">
        <v>47</v>
      </c>
      <c r="D6" s="8">
        <v>16.149999999999999</v>
      </c>
      <c r="E6" s="12">
        <v>18</v>
      </c>
      <c r="F6" s="8">
        <v>10.65</v>
      </c>
      <c r="G6" s="12">
        <v>29</v>
      </c>
      <c r="H6" s="8">
        <v>28.43</v>
      </c>
      <c r="I6" s="12">
        <v>0</v>
      </c>
    </row>
    <row r="7" spans="2:9" ht="15" customHeight="1" x14ac:dyDescent="0.2">
      <c r="B7" t="s">
        <v>192</v>
      </c>
      <c r="C7" s="12">
        <v>16</v>
      </c>
      <c r="D7" s="8">
        <v>5.5</v>
      </c>
      <c r="E7" s="12">
        <v>7</v>
      </c>
      <c r="F7" s="8">
        <v>4.1399999999999997</v>
      </c>
      <c r="G7" s="12">
        <v>9</v>
      </c>
      <c r="H7" s="8">
        <v>8.82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0.69</v>
      </c>
      <c r="E8" s="12">
        <v>0</v>
      </c>
      <c r="F8" s="8">
        <v>0</v>
      </c>
      <c r="G8" s="12">
        <v>1</v>
      </c>
      <c r="H8" s="8">
        <v>0.98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0.69</v>
      </c>
      <c r="E9" s="12">
        <v>1</v>
      </c>
      <c r="F9" s="8">
        <v>0.59</v>
      </c>
      <c r="G9" s="12">
        <v>1</v>
      </c>
      <c r="H9" s="8">
        <v>0.98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1.72</v>
      </c>
      <c r="E10" s="12">
        <v>0</v>
      </c>
      <c r="F10" s="8">
        <v>0</v>
      </c>
      <c r="G10" s="12">
        <v>4</v>
      </c>
      <c r="H10" s="8">
        <v>3.92</v>
      </c>
      <c r="I10" s="12">
        <v>1</v>
      </c>
    </row>
    <row r="11" spans="2:9" ht="15" customHeight="1" x14ac:dyDescent="0.2">
      <c r="B11" t="s">
        <v>196</v>
      </c>
      <c r="C11" s="12">
        <v>83</v>
      </c>
      <c r="D11" s="8">
        <v>28.52</v>
      </c>
      <c r="E11" s="12">
        <v>47</v>
      </c>
      <c r="F11" s="8">
        <v>27.81</v>
      </c>
      <c r="G11" s="12">
        <v>36</v>
      </c>
      <c r="H11" s="8">
        <v>35.29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0.34</v>
      </c>
      <c r="E12" s="12">
        <v>0</v>
      </c>
      <c r="F12" s="8">
        <v>0</v>
      </c>
      <c r="G12" s="12">
        <v>1</v>
      </c>
      <c r="H12" s="8">
        <v>0.98</v>
      </c>
      <c r="I12" s="12">
        <v>0</v>
      </c>
    </row>
    <row r="13" spans="2:9" ht="15" customHeight="1" x14ac:dyDescent="0.2">
      <c r="B13" t="s">
        <v>198</v>
      </c>
      <c r="C13" s="12">
        <v>13</v>
      </c>
      <c r="D13" s="8">
        <v>4.47</v>
      </c>
      <c r="E13" s="12">
        <v>11</v>
      </c>
      <c r="F13" s="8">
        <v>6.51</v>
      </c>
      <c r="G13" s="12">
        <v>1</v>
      </c>
      <c r="H13" s="8">
        <v>0.98</v>
      </c>
      <c r="I13" s="12">
        <v>0</v>
      </c>
    </row>
    <row r="14" spans="2:9" ht="15" customHeight="1" x14ac:dyDescent="0.2">
      <c r="B14" t="s">
        <v>199</v>
      </c>
      <c r="C14" s="12">
        <v>6</v>
      </c>
      <c r="D14" s="8">
        <v>2.06</v>
      </c>
      <c r="E14" s="12">
        <v>3</v>
      </c>
      <c r="F14" s="8">
        <v>1.78</v>
      </c>
      <c r="G14" s="12">
        <v>1</v>
      </c>
      <c r="H14" s="8">
        <v>0.98</v>
      </c>
      <c r="I14" s="12">
        <v>0</v>
      </c>
    </row>
    <row r="15" spans="2:9" ht="15" customHeight="1" x14ac:dyDescent="0.2">
      <c r="B15" t="s">
        <v>200</v>
      </c>
      <c r="C15" s="12">
        <v>44</v>
      </c>
      <c r="D15" s="8">
        <v>15.12</v>
      </c>
      <c r="E15" s="12">
        <v>37</v>
      </c>
      <c r="F15" s="8">
        <v>21.89</v>
      </c>
      <c r="G15" s="12">
        <v>6</v>
      </c>
      <c r="H15" s="8">
        <v>5.88</v>
      </c>
      <c r="I15" s="12">
        <v>0</v>
      </c>
    </row>
    <row r="16" spans="2:9" ht="15" customHeight="1" x14ac:dyDescent="0.2">
      <c r="B16" t="s">
        <v>201</v>
      </c>
      <c r="C16" s="12">
        <v>34</v>
      </c>
      <c r="D16" s="8">
        <v>11.68</v>
      </c>
      <c r="E16" s="12">
        <v>31</v>
      </c>
      <c r="F16" s="8">
        <v>18.34</v>
      </c>
      <c r="G16" s="12">
        <v>1</v>
      </c>
      <c r="H16" s="8">
        <v>0.98</v>
      </c>
      <c r="I16" s="12">
        <v>0</v>
      </c>
    </row>
    <row r="17" spans="2:9" ht="15" customHeight="1" x14ac:dyDescent="0.2">
      <c r="B17" t="s">
        <v>202</v>
      </c>
      <c r="C17" s="12">
        <v>6</v>
      </c>
      <c r="D17" s="8">
        <v>2.06</v>
      </c>
      <c r="E17" s="12">
        <v>2</v>
      </c>
      <c r="F17" s="8">
        <v>1.18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20</v>
      </c>
      <c r="D18" s="8">
        <v>6.87</v>
      </c>
      <c r="E18" s="12">
        <v>5</v>
      </c>
      <c r="F18" s="8">
        <v>2.96</v>
      </c>
      <c r="G18" s="12">
        <v>8</v>
      </c>
      <c r="H18" s="8">
        <v>7.84</v>
      </c>
      <c r="I18" s="12">
        <v>0</v>
      </c>
    </row>
    <row r="19" spans="2:9" ht="15" customHeight="1" x14ac:dyDescent="0.2">
      <c r="B19" t="s">
        <v>204</v>
      </c>
      <c r="C19" s="12">
        <v>11</v>
      </c>
      <c r="D19" s="8">
        <v>3.78</v>
      </c>
      <c r="E19" s="12">
        <v>7</v>
      </c>
      <c r="F19" s="8">
        <v>4.1399999999999997</v>
      </c>
      <c r="G19" s="12">
        <v>3</v>
      </c>
      <c r="H19" s="8">
        <v>2.94</v>
      </c>
      <c r="I19" s="12">
        <v>0</v>
      </c>
    </row>
    <row r="20" spans="2:9" ht="15" customHeight="1" x14ac:dyDescent="0.2">
      <c r="B20" s="9" t="s">
        <v>529</v>
      </c>
      <c r="C20" s="12">
        <f>SUM(LTBL_01371[総数／事業所数])</f>
        <v>291</v>
      </c>
      <c r="E20" s="12">
        <f>SUBTOTAL(109,LTBL_01371[個人／事業所数])</f>
        <v>169</v>
      </c>
      <c r="G20" s="12">
        <f>SUBTOTAL(109,LTBL_01371[法人／事業所数])</f>
        <v>102</v>
      </c>
      <c r="I20" s="12">
        <f>SUBTOTAL(109,LTBL_01371[法人以外の団体／事業所数])</f>
        <v>1</v>
      </c>
    </row>
    <row r="21" spans="2:9" ht="15" customHeight="1" x14ac:dyDescent="0.2">
      <c r="E21" s="11">
        <f>LTBL_01371[[#Totals],[個人／事業所数]]/LTBL_01371[[#Totals],[総数／事業所数]]</f>
        <v>0.58075601374570451</v>
      </c>
      <c r="G21" s="11">
        <f>LTBL_01371[[#Totals],[法人／事業所数]]/LTBL_01371[[#Totals],[総数／事業所数]]</f>
        <v>0.35051546391752575</v>
      </c>
      <c r="I21" s="11">
        <f>LTBL_01371[[#Totals],[法人以外の団体／事業所数]]/LTBL_01371[[#Totals],[総数／事業所数]]</f>
        <v>3.4364261168384879E-3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34</v>
      </c>
      <c r="D24" s="8">
        <v>11.68</v>
      </c>
      <c r="E24" s="12">
        <v>30</v>
      </c>
      <c r="F24" s="8">
        <v>17.75</v>
      </c>
      <c r="G24" s="12">
        <v>4</v>
      </c>
      <c r="H24" s="8">
        <v>3.92</v>
      </c>
      <c r="I24" s="12">
        <v>0</v>
      </c>
    </row>
    <row r="25" spans="2:9" ht="15" customHeight="1" x14ac:dyDescent="0.2">
      <c r="B25" t="s">
        <v>228</v>
      </c>
      <c r="C25" s="12">
        <v>30</v>
      </c>
      <c r="D25" s="8">
        <v>10.31</v>
      </c>
      <c r="E25" s="12">
        <v>28</v>
      </c>
      <c r="F25" s="8">
        <v>16.57</v>
      </c>
      <c r="G25" s="12">
        <v>1</v>
      </c>
      <c r="H25" s="8">
        <v>0.98</v>
      </c>
      <c r="I25" s="12">
        <v>0</v>
      </c>
    </row>
    <row r="26" spans="2:9" ht="15" customHeight="1" x14ac:dyDescent="0.2">
      <c r="B26" t="s">
        <v>223</v>
      </c>
      <c r="C26" s="12">
        <v>28</v>
      </c>
      <c r="D26" s="8">
        <v>9.6199999999999992</v>
      </c>
      <c r="E26" s="12">
        <v>11</v>
      </c>
      <c r="F26" s="8">
        <v>6.51</v>
      </c>
      <c r="G26" s="12">
        <v>17</v>
      </c>
      <c r="H26" s="8">
        <v>16.670000000000002</v>
      </c>
      <c r="I26" s="12">
        <v>0</v>
      </c>
    </row>
    <row r="27" spans="2:9" ht="15" customHeight="1" x14ac:dyDescent="0.2">
      <c r="B27" t="s">
        <v>221</v>
      </c>
      <c r="C27" s="12">
        <v>27</v>
      </c>
      <c r="D27" s="8">
        <v>9.2799999999999994</v>
      </c>
      <c r="E27" s="12">
        <v>19</v>
      </c>
      <c r="F27" s="8">
        <v>11.24</v>
      </c>
      <c r="G27" s="12">
        <v>8</v>
      </c>
      <c r="H27" s="8">
        <v>7.84</v>
      </c>
      <c r="I27" s="12">
        <v>0</v>
      </c>
    </row>
    <row r="28" spans="2:9" ht="15" customHeight="1" x14ac:dyDescent="0.2">
      <c r="B28" t="s">
        <v>213</v>
      </c>
      <c r="C28" s="12">
        <v>18</v>
      </c>
      <c r="D28" s="8">
        <v>6.19</v>
      </c>
      <c r="E28" s="12">
        <v>6</v>
      </c>
      <c r="F28" s="8">
        <v>3.55</v>
      </c>
      <c r="G28" s="12">
        <v>12</v>
      </c>
      <c r="H28" s="8">
        <v>11.76</v>
      </c>
      <c r="I28" s="12">
        <v>0</v>
      </c>
    </row>
    <row r="29" spans="2:9" ht="15" customHeight="1" x14ac:dyDescent="0.2">
      <c r="B29" t="s">
        <v>214</v>
      </c>
      <c r="C29" s="12">
        <v>15</v>
      </c>
      <c r="D29" s="8">
        <v>5.15</v>
      </c>
      <c r="E29" s="12">
        <v>9</v>
      </c>
      <c r="F29" s="8">
        <v>5.33</v>
      </c>
      <c r="G29" s="12">
        <v>6</v>
      </c>
      <c r="H29" s="8">
        <v>5.88</v>
      </c>
      <c r="I29" s="12">
        <v>0</v>
      </c>
    </row>
    <row r="30" spans="2:9" ht="15" customHeight="1" x14ac:dyDescent="0.2">
      <c r="B30" t="s">
        <v>215</v>
      </c>
      <c r="C30" s="12">
        <v>14</v>
      </c>
      <c r="D30" s="8">
        <v>4.8099999999999996</v>
      </c>
      <c r="E30" s="12">
        <v>3</v>
      </c>
      <c r="F30" s="8">
        <v>1.78</v>
      </c>
      <c r="G30" s="12">
        <v>11</v>
      </c>
      <c r="H30" s="8">
        <v>10.78</v>
      </c>
      <c r="I30" s="12">
        <v>0</v>
      </c>
    </row>
    <row r="31" spans="2:9" ht="15" customHeight="1" x14ac:dyDescent="0.2">
      <c r="B31" t="s">
        <v>232</v>
      </c>
      <c r="C31" s="12">
        <v>13</v>
      </c>
      <c r="D31" s="8">
        <v>4.47</v>
      </c>
      <c r="E31" s="12">
        <v>0</v>
      </c>
      <c r="F31" s="8">
        <v>0</v>
      </c>
      <c r="G31" s="12">
        <v>7</v>
      </c>
      <c r="H31" s="8">
        <v>6.86</v>
      </c>
      <c r="I31" s="12">
        <v>0</v>
      </c>
    </row>
    <row r="32" spans="2:9" ht="15" customHeight="1" x14ac:dyDescent="0.2">
      <c r="B32" t="s">
        <v>224</v>
      </c>
      <c r="C32" s="12">
        <v>12</v>
      </c>
      <c r="D32" s="8">
        <v>4.12</v>
      </c>
      <c r="E32" s="12">
        <v>10</v>
      </c>
      <c r="F32" s="8">
        <v>5.92</v>
      </c>
      <c r="G32" s="12">
        <v>1</v>
      </c>
      <c r="H32" s="8">
        <v>0.98</v>
      </c>
      <c r="I32" s="12">
        <v>0</v>
      </c>
    </row>
    <row r="33" spans="2:9" ht="15" customHeight="1" x14ac:dyDescent="0.2">
      <c r="B33" t="s">
        <v>220</v>
      </c>
      <c r="C33" s="12">
        <v>11</v>
      </c>
      <c r="D33" s="8">
        <v>3.78</v>
      </c>
      <c r="E33" s="12">
        <v>11</v>
      </c>
      <c r="F33" s="8">
        <v>6.51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243</v>
      </c>
      <c r="C34" s="12">
        <v>9</v>
      </c>
      <c r="D34" s="8">
        <v>3.09</v>
      </c>
      <c r="E34" s="12">
        <v>7</v>
      </c>
      <c r="F34" s="8">
        <v>4.1399999999999997</v>
      </c>
      <c r="G34" s="12">
        <v>1</v>
      </c>
      <c r="H34" s="8">
        <v>0.98</v>
      </c>
      <c r="I34" s="12">
        <v>0</v>
      </c>
    </row>
    <row r="35" spans="2:9" ht="15" customHeight="1" x14ac:dyDescent="0.2">
      <c r="B35" t="s">
        <v>216</v>
      </c>
      <c r="C35" s="12">
        <v>7</v>
      </c>
      <c r="D35" s="8">
        <v>2.41</v>
      </c>
      <c r="E35" s="12">
        <v>2</v>
      </c>
      <c r="F35" s="8">
        <v>1.18</v>
      </c>
      <c r="G35" s="12">
        <v>5</v>
      </c>
      <c r="H35" s="8">
        <v>4.9000000000000004</v>
      </c>
      <c r="I35" s="12">
        <v>0</v>
      </c>
    </row>
    <row r="36" spans="2:9" ht="15" customHeight="1" x14ac:dyDescent="0.2">
      <c r="B36" t="s">
        <v>231</v>
      </c>
      <c r="C36" s="12">
        <v>7</v>
      </c>
      <c r="D36" s="8">
        <v>2.41</v>
      </c>
      <c r="E36" s="12">
        <v>5</v>
      </c>
      <c r="F36" s="8">
        <v>2.96</v>
      </c>
      <c r="G36" s="12">
        <v>1</v>
      </c>
      <c r="H36" s="8">
        <v>0.98</v>
      </c>
      <c r="I36" s="12">
        <v>0</v>
      </c>
    </row>
    <row r="37" spans="2:9" ht="15" customHeight="1" x14ac:dyDescent="0.2">
      <c r="B37" t="s">
        <v>241</v>
      </c>
      <c r="C37" s="12">
        <v>6</v>
      </c>
      <c r="D37" s="8">
        <v>2.06</v>
      </c>
      <c r="E37" s="12">
        <v>3</v>
      </c>
      <c r="F37" s="8">
        <v>1.78</v>
      </c>
      <c r="G37" s="12">
        <v>3</v>
      </c>
      <c r="H37" s="8">
        <v>2.94</v>
      </c>
      <c r="I37" s="12">
        <v>0</v>
      </c>
    </row>
    <row r="38" spans="2:9" ht="15" customHeight="1" x14ac:dyDescent="0.2">
      <c r="B38" t="s">
        <v>230</v>
      </c>
      <c r="C38" s="12">
        <v>6</v>
      </c>
      <c r="D38" s="8">
        <v>2.06</v>
      </c>
      <c r="E38" s="12">
        <v>2</v>
      </c>
      <c r="F38" s="8">
        <v>1.18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226</v>
      </c>
      <c r="C39" s="12">
        <v>4</v>
      </c>
      <c r="D39" s="8">
        <v>1.37</v>
      </c>
      <c r="E39" s="12">
        <v>1</v>
      </c>
      <c r="F39" s="8">
        <v>0.59</v>
      </c>
      <c r="G39" s="12">
        <v>1</v>
      </c>
      <c r="H39" s="8">
        <v>0.98</v>
      </c>
      <c r="I39" s="12">
        <v>0</v>
      </c>
    </row>
    <row r="40" spans="2:9" ht="15" customHeight="1" x14ac:dyDescent="0.2">
      <c r="B40" t="s">
        <v>242</v>
      </c>
      <c r="C40" s="12">
        <v>4</v>
      </c>
      <c r="D40" s="8">
        <v>1.37</v>
      </c>
      <c r="E40" s="12">
        <v>4</v>
      </c>
      <c r="F40" s="8">
        <v>2.37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258</v>
      </c>
      <c r="C41" s="12">
        <v>3</v>
      </c>
      <c r="D41" s="8">
        <v>1.03</v>
      </c>
      <c r="E41" s="12">
        <v>2</v>
      </c>
      <c r="F41" s="8">
        <v>1.18</v>
      </c>
      <c r="G41" s="12">
        <v>1</v>
      </c>
      <c r="H41" s="8">
        <v>0.98</v>
      </c>
      <c r="I41" s="12">
        <v>0</v>
      </c>
    </row>
    <row r="42" spans="2:9" ht="15" customHeight="1" x14ac:dyDescent="0.2">
      <c r="B42" t="s">
        <v>261</v>
      </c>
      <c r="C42" s="12">
        <v>3</v>
      </c>
      <c r="D42" s="8">
        <v>1.03</v>
      </c>
      <c r="E42" s="12">
        <v>0</v>
      </c>
      <c r="F42" s="8">
        <v>0</v>
      </c>
      <c r="G42" s="12">
        <v>2</v>
      </c>
      <c r="H42" s="8">
        <v>1.96</v>
      </c>
      <c r="I42" s="12">
        <v>1</v>
      </c>
    </row>
    <row r="43" spans="2:9" ht="15" customHeight="1" x14ac:dyDescent="0.2">
      <c r="B43" t="s">
        <v>222</v>
      </c>
      <c r="C43" s="12">
        <v>3</v>
      </c>
      <c r="D43" s="8">
        <v>1.03</v>
      </c>
      <c r="E43" s="12">
        <v>2</v>
      </c>
      <c r="F43" s="8">
        <v>1.18</v>
      </c>
      <c r="G43" s="12">
        <v>1</v>
      </c>
      <c r="H43" s="8">
        <v>0.98</v>
      </c>
      <c r="I43" s="12">
        <v>0</v>
      </c>
    </row>
    <row r="44" spans="2:9" ht="15" customHeight="1" x14ac:dyDescent="0.2">
      <c r="B44" t="s">
        <v>229</v>
      </c>
      <c r="C44" s="12">
        <v>3</v>
      </c>
      <c r="D44" s="8">
        <v>1.03</v>
      </c>
      <c r="E44" s="12">
        <v>3</v>
      </c>
      <c r="F44" s="8">
        <v>1.78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240</v>
      </c>
      <c r="C45" s="12">
        <v>3</v>
      </c>
      <c r="D45" s="8">
        <v>1.03</v>
      </c>
      <c r="E45" s="12">
        <v>3</v>
      </c>
      <c r="F45" s="8">
        <v>1.78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234</v>
      </c>
      <c r="C46" s="12">
        <v>3</v>
      </c>
      <c r="D46" s="8">
        <v>1.03</v>
      </c>
      <c r="E46" s="12">
        <v>0</v>
      </c>
      <c r="F46" s="8">
        <v>0</v>
      </c>
      <c r="G46" s="12">
        <v>3</v>
      </c>
      <c r="H46" s="8">
        <v>2.94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303</v>
      </c>
      <c r="C50" s="12">
        <v>13</v>
      </c>
      <c r="D50" s="8">
        <v>4.47</v>
      </c>
      <c r="E50" s="12">
        <v>13</v>
      </c>
      <c r="F50" s="8">
        <v>7.69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304</v>
      </c>
      <c r="C51" s="12">
        <v>12</v>
      </c>
      <c r="D51" s="8">
        <v>4.12</v>
      </c>
      <c r="E51" s="12">
        <v>12</v>
      </c>
      <c r="F51" s="8">
        <v>7.1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328</v>
      </c>
      <c r="C52" s="12">
        <v>10</v>
      </c>
      <c r="D52" s="8">
        <v>3.44</v>
      </c>
      <c r="E52" s="12">
        <v>6</v>
      </c>
      <c r="F52" s="8">
        <v>3.55</v>
      </c>
      <c r="G52" s="12">
        <v>4</v>
      </c>
      <c r="H52" s="8">
        <v>3.92</v>
      </c>
      <c r="I52" s="12">
        <v>0</v>
      </c>
    </row>
    <row r="53" spans="2:9" ht="15" customHeight="1" x14ac:dyDescent="0.2">
      <c r="B53" t="s">
        <v>301</v>
      </c>
      <c r="C53" s="12">
        <v>10</v>
      </c>
      <c r="D53" s="8">
        <v>3.44</v>
      </c>
      <c r="E53" s="12">
        <v>10</v>
      </c>
      <c r="F53" s="8">
        <v>5.92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297</v>
      </c>
      <c r="C54" s="12">
        <v>9</v>
      </c>
      <c r="D54" s="8">
        <v>3.09</v>
      </c>
      <c r="E54" s="12">
        <v>8</v>
      </c>
      <c r="F54" s="8">
        <v>4.7300000000000004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292</v>
      </c>
      <c r="C55" s="12">
        <v>8</v>
      </c>
      <c r="D55" s="8">
        <v>2.75</v>
      </c>
      <c r="E55" s="12">
        <v>7</v>
      </c>
      <c r="F55" s="8">
        <v>4.1399999999999997</v>
      </c>
      <c r="G55" s="12">
        <v>1</v>
      </c>
      <c r="H55" s="8">
        <v>0.98</v>
      </c>
      <c r="I55" s="12">
        <v>0</v>
      </c>
    </row>
    <row r="56" spans="2:9" ht="15" customHeight="1" x14ac:dyDescent="0.2">
      <c r="B56" t="s">
        <v>330</v>
      </c>
      <c r="C56" s="12">
        <v>8</v>
      </c>
      <c r="D56" s="8">
        <v>2.75</v>
      </c>
      <c r="E56" s="12">
        <v>0</v>
      </c>
      <c r="F56" s="8">
        <v>0</v>
      </c>
      <c r="G56" s="12">
        <v>8</v>
      </c>
      <c r="H56" s="8">
        <v>7.84</v>
      </c>
      <c r="I56" s="12">
        <v>0</v>
      </c>
    </row>
    <row r="57" spans="2:9" ht="15" customHeight="1" x14ac:dyDescent="0.2">
      <c r="B57" t="s">
        <v>300</v>
      </c>
      <c r="C57" s="12">
        <v>8</v>
      </c>
      <c r="D57" s="8">
        <v>2.75</v>
      </c>
      <c r="E57" s="12">
        <v>8</v>
      </c>
      <c r="F57" s="8">
        <v>4.7300000000000004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333</v>
      </c>
      <c r="C58" s="12">
        <v>7</v>
      </c>
      <c r="D58" s="8">
        <v>2.41</v>
      </c>
      <c r="E58" s="12">
        <v>5</v>
      </c>
      <c r="F58" s="8">
        <v>2.96</v>
      </c>
      <c r="G58" s="12">
        <v>2</v>
      </c>
      <c r="H58" s="8">
        <v>1.96</v>
      </c>
      <c r="I58" s="12">
        <v>0</v>
      </c>
    </row>
    <row r="59" spans="2:9" ht="15" customHeight="1" x14ac:dyDescent="0.2">
      <c r="B59" t="s">
        <v>290</v>
      </c>
      <c r="C59" s="12">
        <v>7</v>
      </c>
      <c r="D59" s="8">
        <v>2.41</v>
      </c>
      <c r="E59" s="12">
        <v>1</v>
      </c>
      <c r="F59" s="8">
        <v>0.59</v>
      </c>
      <c r="G59" s="12">
        <v>6</v>
      </c>
      <c r="H59" s="8">
        <v>5.88</v>
      </c>
      <c r="I59" s="12">
        <v>0</v>
      </c>
    </row>
    <row r="60" spans="2:9" ht="15" customHeight="1" x14ac:dyDescent="0.2">
      <c r="B60" t="s">
        <v>324</v>
      </c>
      <c r="C60" s="12">
        <v>7</v>
      </c>
      <c r="D60" s="8">
        <v>2.41</v>
      </c>
      <c r="E60" s="12">
        <v>2</v>
      </c>
      <c r="F60" s="8">
        <v>1.18</v>
      </c>
      <c r="G60" s="12">
        <v>5</v>
      </c>
      <c r="H60" s="8">
        <v>4.9000000000000004</v>
      </c>
      <c r="I60" s="12">
        <v>0</v>
      </c>
    </row>
    <row r="61" spans="2:9" ht="15" customHeight="1" x14ac:dyDescent="0.2">
      <c r="B61" t="s">
        <v>314</v>
      </c>
      <c r="C61" s="12">
        <v>7</v>
      </c>
      <c r="D61" s="8">
        <v>2.41</v>
      </c>
      <c r="E61" s="12">
        <v>7</v>
      </c>
      <c r="F61" s="8">
        <v>4.1399999999999997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339</v>
      </c>
      <c r="C62" s="12">
        <v>7</v>
      </c>
      <c r="D62" s="8">
        <v>2.41</v>
      </c>
      <c r="E62" s="12">
        <v>6</v>
      </c>
      <c r="F62" s="8">
        <v>3.55</v>
      </c>
      <c r="G62" s="12">
        <v>1</v>
      </c>
      <c r="H62" s="8">
        <v>0.98</v>
      </c>
      <c r="I62" s="12">
        <v>0</v>
      </c>
    </row>
    <row r="63" spans="2:9" ht="15" customHeight="1" x14ac:dyDescent="0.2">
      <c r="B63" t="s">
        <v>329</v>
      </c>
      <c r="C63" s="12">
        <v>6</v>
      </c>
      <c r="D63" s="8">
        <v>2.06</v>
      </c>
      <c r="E63" s="12">
        <v>4</v>
      </c>
      <c r="F63" s="8">
        <v>2.37</v>
      </c>
      <c r="G63" s="12">
        <v>2</v>
      </c>
      <c r="H63" s="8">
        <v>1.96</v>
      </c>
      <c r="I63" s="12">
        <v>0</v>
      </c>
    </row>
    <row r="64" spans="2:9" ht="15" customHeight="1" x14ac:dyDescent="0.2">
      <c r="B64" t="s">
        <v>291</v>
      </c>
      <c r="C64" s="12">
        <v>5</v>
      </c>
      <c r="D64" s="8">
        <v>1.72</v>
      </c>
      <c r="E64" s="12">
        <v>2</v>
      </c>
      <c r="F64" s="8">
        <v>1.18</v>
      </c>
      <c r="G64" s="12">
        <v>3</v>
      </c>
      <c r="H64" s="8">
        <v>2.94</v>
      </c>
      <c r="I64" s="12">
        <v>0</v>
      </c>
    </row>
    <row r="65" spans="2:9" ht="15" customHeight="1" x14ac:dyDescent="0.2">
      <c r="B65" t="s">
        <v>294</v>
      </c>
      <c r="C65" s="12">
        <v>5</v>
      </c>
      <c r="D65" s="8">
        <v>1.72</v>
      </c>
      <c r="E65" s="12">
        <v>1</v>
      </c>
      <c r="F65" s="8">
        <v>0.59</v>
      </c>
      <c r="G65" s="12">
        <v>4</v>
      </c>
      <c r="H65" s="8">
        <v>3.92</v>
      </c>
      <c r="I65" s="12">
        <v>0</v>
      </c>
    </row>
    <row r="66" spans="2:9" ht="15" customHeight="1" x14ac:dyDescent="0.2">
      <c r="B66" t="s">
        <v>299</v>
      </c>
      <c r="C66" s="12">
        <v>5</v>
      </c>
      <c r="D66" s="8">
        <v>1.72</v>
      </c>
      <c r="E66" s="12">
        <v>4</v>
      </c>
      <c r="F66" s="8">
        <v>2.37</v>
      </c>
      <c r="G66" s="12">
        <v>1</v>
      </c>
      <c r="H66" s="8">
        <v>0.98</v>
      </c>
      <c r="I66" s="12">
        <v>0</v>
      </c>
    </row>
    <row r="67" spans="2:9" ht="15" customHeight="1" x14ac:dyDescent="0.2">
      <c r="B67" t="s">
        <v>306</v>
      </c>
      <c r="C67" s="12">
        <v>5</v>
      </c>
      <c r="D67" s="8">
        <v>1.72</v>
      </c>
      <c r="E67" s="12">
        <v>5</v>
      </c>
      <c r="F67" s="8">
        <v>2.96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341</v>
      </c>
      <c r="C68" s="12">
        <v>5</v>
      </c>
      <c r="D68" s="8">
        <v>1.72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288</v>
      </c>
      <c r="C69" s="12">
        <v>4</v>
      </c>
      <c r="D69" s="8">
        <v>1.37</v>
      </c>
      <c r="E69" s="12">
        <v>0</v>
      </c>
      <c r="F69" s="8">
        <v>0</v>
      </c>
      <c r="G69" s="12">
        <v>4</v>
      </c>
      <c r="H69" s="8">
        <v>3.92</v>
      </c>
      <c r="I69" s="12">
        <v>0</v>
      </c>
    </row>
    <row r="70" spans="2:9" ht="15" customHeight="1" x14ac:dyDescent="0.2">
      <c r="B70" t="s">
        <v>354</v>
      </c>
      <c r="C70" s="12">
        <v>4</v>
      </c>
      <c r="D70" s="8">
        <v>1.37</v>
      </c>
      <c r="E70" s="12">
        <v>1</v>
      </c>
      <c r="F70" s="8">
        <v>0.59</v>
      </c>
      <c r="G70" s="12">
        <v>3</v>
      </c>
      <c r="H70" s="8">
        <v>2.94</v>
      </c>
      <c r="I70" s="12">
        <v>0</v>
      </c>
    </row>
    <row r="71" spans="2:9" ht="15" customHeight="1" x14ac:dyDescent="0.2">
      <c r="B71" t="s">
        <v>366</v>
      </c>
      <c r="C71" s="12">
        <v>4</v>
      </c>
      <c r="D71" s="8">
        <v>1.37</v>
      </c>
      <c r="E71" s="12">
        <v>3</v>
      </c>
      <c r="F71" s="8">
        <v>1.78</v>
      </c>
      <c r="G71" s="12">
        <v>1</v>
      </c>
      <c r="H71" s="8">
        <v>0.98</v>
      </c>
      <c r="I71" s="12">
        <v>0</v>
      </c>
    </row>
    <row r="72" spans="2:9" ht="15" customHeight="1" x14ac:dyDescent="0.2">
      <c r="B72" t="s">
        <v>295</v>
      </c>
      <c r="C72" s="12">
        <v>4</v>
      </c>
      <c r="D72" s="8">
        <v>1.37</v>
      </c>
      <c r="E72" s="12">
        <v>2</v>
      </c>
      <c r="F72" s="8">
        <v>1.18</v>
      </c>
      <c r="G72" s="12">
        <v>2</v>
      </c>
      <c r="H72" s="8">
        <v>1.96</v>
      </c>
      <c r="I72" s="12">
        <v>0</v>
      </c>
    </row>
    <row r="73" spans="2:9" ht="15" customHeight="1" x14ac:dyDescent="0.2">
      <c r="B73" t="s">
        <v>334</v>
      </c>
      <c r="C73" s="12">
        <v>4</v>
      </c>
      <c r="D73" s="8">
        <v>1.37</v>
      </c>
      <c r="E73" s="12">
        <v>3</v>
      </c>
      <c r="F73" s="8">
        <v>1.78</v>
      </c>
      <c r="G73" s="12">
        <v>1</v>
      </c>
      <c r="H73" s="8">
        <v>0.98</v>
      </c>
      <c r="I73" s="12">
        <v>0</v>
      </c>
    </row>
    <row r="74" spans="2:9" ht="15" customHeight="1" x14ac:dyDescent="0.2">
      <c r="B74" t="s">
        <v>323</v>
      </c>
      <c r="C74" s="12">
        <v>4</v>
      </c>
      <c r="D74" s="8">
        <v>1.37</v>
      </c>
      <c r="E74" s="12">
        <v>3</v>
      </c>
      <c r="F74" s="8">
        <v>1.78</v>
      </c>
      <c r="G74" s="12">
        <v>1</v>
      </c>
      <c r="H74" s="8">
        <v>0.98</v>
      </c>
      <c r="I74" s="12">
        <v>0</v>
      </c>
    </row>
    <row r="75" spans="2:9" ht="15" customHeight="1" x14ac:dyDescent="0.2">
      <c r="B75" t="s">
        <v>340</v>
      </c>
      <c r="C75" s="12">
        <v>4</v>
      </c>
      <c r="D75" s="8">
        <v>1.37</v>
      </c>
      <c r="E75" s="12">
        <v>0</v>
      </c>
      <c r="F75" s="8">
        <v>0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331</v>
      </c>
      <c r="C76" s="12">
        <v>4</v>
      </c>
      <c r="D76" s="8">
        <v>1.37</v>
      </c>
      <c r="E76" s="12">
        <v>0</v>
      </c>
      <c r="F76" s="8">
        <v>0</v>
      </c>
      <c r="G76" s="12">
        <v>3</v>
      </c>
      <c r="H76" s="8">
        <v>2.94</v>
      </c>
      <c r="I76" s="12">
        <v>0</v>
      </c>
    </row>
    <row r="78" spans="2:9" ht="15" customHeight="1" x14ac:dyDescent="0.2">
      <c r="B7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A1B28-AEB3-43B3-AC44-1754C6A73F38}">
  <sheetPr>
    <pageSetUpPr fitToPage="1"/>
  </sheetPr>
  <dimension ref="B2:I7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6</v>
      </c>
      <c r="D6" s="8">
        <v>13.64</v>
      </c>
      <c r="E6" s="12">
        <v>4</v>
      </c>
      <c r="F6" s="8">
        <v>13.79</v>
      </c>
      <c r="G6" s="12">
        <v>2</v>
      </c>
      <c r="H6" s="8">
        <v>14.29</v>
      </c>
      <c r="I6" s="12">
        <v>0</v>
      </c>
    </row>
    <row r="7" spans="2:9" ht="15" customHeight="1" x14ac:dyDescent="0.2">
      <c r="B7" t="s">
        <v>192</v>
      </c>
      <c r="C7" s="12">
        <v>4</v>
      </c>
      <c r="D7" s="8">
        <v>9.09</v>
      </c>
      <c r="E7" s="12">
        <v>4</v>
      </c>
      <c r="F7" s="8">
        <v>13.79</v>
      </c>
      <c r="G7" s="12">
        <v>0</v>
      </c>
      <c r="H7" s="8">
        <v>0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2.27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2.27</v>
      </c>
      <c r="E10" s="12">
        <v>0</v>
      </c>
      <c r="F10" s="8">
        <v>0</v>
      </c>
      <c r="G10" s="12">
        <v>1</v>
      </c>
      <c r="H10" s="8">
        <v>7.14</v>
      </c>
      <c r="I10" s="12">
        <v>0</v>
      </c>
    </row>
    <row r="11" spans="2:9" ht="15" customHeight="1" x14ac:dyDescent="0.2">
      <c r="B11" t="s">
        <v>196</v>
      </c>
      <c r="C11" s="12">
        <v>10</v>
      </c>
      <c r="D11" s="8">
        <v>22.73</v>
      </c>
      <c r="E11" s="12">
        <v>7</v>
      </c>
      <c r="F11" s="8">
        <v>24.14</v>
      </c>
      <c r="G11" s="12">
        <v>3</v>
      </c>
      <c r="H11" s="8">
        <v>21.43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</v>
      </c>
      <c r="D13" s="8">
        <v>2.27</v>
      </c>
      <c r="E13" s="12">
        <v>0</v>
      </c>
      <c r="F13" s="8">
        <v>0</v>
      </c>
      <c r="G13" s="12">
        <v>1</v>
      </c>
      <c r="H13" s="8">
        <v>7.14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4.55</v>
      </c>
      <c r="E14" s="12">
        <v>0</v>
      </c>
      <c r="F14" s="8">
        <v>0</v>
      </c>
      <c r="G14" s="12">
        <v>2</v>
      </c>
      <c r="H14" s="8">
        <v>14.29</v>
      </c>
      <c r="I14" s="12">
        <v>0</v>
      </c>
    </row>
    <row r="15" spans="2:9" ht="15" customHeight="1" x14ac:dyDescent="0.2">
      <c r="B15" t="s">
        <v>200</v>
      </c>
      <c r="C15" s="12">
        <v>11</v>
      </c>
      <c r="D15" s="8">
        <v>25</v>
      </c>
      <c r="E15" s="12">
        <v>8</v>
      </c>
      <c r="F15" s="8">
        <v>27.59</v>
      </c>
      <c r="G15" s="12">
        <v>3</v>
      </c>
      <c r="H15" s="8">
        <v>21.43</v>
      </c>
      <c r="I15" s="12">
        <v>0</v>
      </c>
    </row>
    <row r="16" spans="2:9" ht="15" customHeight="1" x14ac:dyDescent="0.2">
      <c r="B16" t="s">
        <v>201</v>
      </c>
      <c r="C16" s="12">
        <v>5</v>
      </c>
      <c r="D16" s="8">
        <v>11.36</v>
      </c>
      <c r="E16" s="12">
        <v>4</v>
      </c>
      <c r="F16" s="8">
        <v>13.79</v>
      </c>
      <c r="G16" s="12">
        <v>1</v>
      </c>
      <c r="H16" s="8">
        <v>7.14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2.27</v>
      </c>
      <c r="E17" s="12">
        <v>1</v>
      </c>
      <c r="F17" s="8">
        <v>3.45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4.55</v>
      </c>
      <c r="E18" s="12">
        <v>1</v>
      </c>
      <c r="F18" s="8">
        <v>3.45</v>
      </c>
      <c r="G18" s="12">
        <v>1</v>
      </c>
      <c r="H18" s="8">
        <v>7.14</v>
      </c>
      <c r="I18" s="12">
        <v>0</v>
      </c>
    </row>
    <row r="19" spans="2:9" ht="15" customHeight="1" x14ac:dyDescent="0.2">
      <c r="B19" t="s">
        <v>204</v>
      </c>
      <c r="C19" s="12">
        <v>0</v>
      </c>
      <c r="D19" s="8">
        <v>0</v>
      </c>
      <c r="E19" s="12">
        <v>0</v>
      </c>
      <c r="F19" s="8">
        <v>0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SUM(LTBL_01391[総数／事業所数])</f>
        <v>44</v>
      </c>
      <c r="E20" s="12">
        <f>SUBTOTAL(109,LTBL_01391[個人／事業所数])</f>
        <v>29</v>
      </c>
      <c r="G20" s="12">
        <f>SUBTOTAL(109,LTBL_01391[法人／事業所数])</f>
        <v>14</v>
      </c>
      <c r="I20" s="12">
        <f>SUBTOTAL(109,LTBL_01391[法人以外の団体／事業所数])</f>
        <v>0</v>
      </c>
    </row>
    <row r="21" spans="2:9" ht="15" customHeight="1" x14ac:dyDescent="0.2">
      <c r="E21" s="11">
        <f>LTBL_01391[[#Totals],[個人／事業所数]]/LTBL_01391[[#Totals],[総数／事業所数]]</f>
        <v>0.65909090909090906</v>
      </c>
      <c r="G21" s="11">
        <f>LTBL_01391[[#Totals],[法人／事業所数]]/LTBL_01391[[#Totals],[総数／事業所数]]</f>
        <v>0.31818181818181818</v>
      </c>
      <c r="I21" s="11">
        <f>LTBL_01391[[#Totals],[法人以外の団体／事業所数]]/LTBL_01391[[#Totals],[総数／事業所数]]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243</v>
      </c>
      <c r="C24" s="12">
        <v>9</v>
      </c>
      <c r="D24" s="8">
        <v>20.45</v>
      </c>
      <c r="E24" s="12">
        <v>6</v>
      </c>
      <c r="F24" s="8">
        <v>20.69</v>
      </c>
      <c r="G24" s="12">
        <v>3</v>
      </c>
      <c r="H24" s="8">
        <v>21.43</v>
      </c>
      <c r="I24" s="12">
        <v>0</v>
      </c>
    </row>
    <row r="25" spans="2:9" ht="15" customHeight="1" x14ac:dyDescent="0.2">
      <c r="B25" t="s">
        <v>221</v>
      </c>
      <c r="C25" s="12">
        <v>6</v>
      </c>
      <c r="D25" s="8">
        <v>13.64</v>
      </c>
      <c r="E25" s="12">
        <v>5</v>
      </c>
      <c r="F25" s="8">
        <v>17.239999999999998</v>
      </c>
      <c r="G25" s="12">
        <v>1</v>
      </c>
      <c r="H25" s="8">
        <v>7.14</v>
      </c>
      <c r="I25" s="12">
        <v>0</v>
      </c>
    </row>
    <row r="26" spans="2:9" ht="15" customHeight="1" x14ac:dyDescent="0.2">
      <c r="B26" t="s">
        <v>213</v>
      </c>
      <c r="C26" s="12">
        <v>4</v>
      </c>
      <c r="D26" s="8">
        <v>9.09</v>
      </c>
      <c r="E26" s="12">
        <v>3</v>
      </c>
      <c r="F26" s="8">
        <v>10.34</v>
      </c>
      <c r="G26" s="12">
        <v>1</v>
      </c>
      <c r="H26" s="8">
        <v>7.14</v>
      </c>
      <c r="I26" s="12">
        <v>0</v>
      </c>
    </row>
    <row r="27" spans="2:9" ht="15" customHeight="1" x14ac:dyDescent="0.2">
      <c r="B27" t="s">
        <v>241</v>
      </c>
      <c r="C27" s="12">
        <v>4</v>
      </c>
      <c r="D27" s="8">
        <v>9.09</v>
      </c>
      <c r="E27" s="12">
        <v>4</v>
      </c>
      <c r="F27" s="8">
        <v>13.79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228</v>
      </c>
      <c r="C28" s="12">
        <v>4</v>
      </c>
      <c r="D28" s="8">
        <v>9.09</v>
      </c>
      <c r="E28" s="12">
        <v>4</v>
      </c>
      <c r="F28" s="8">
        <v>13.79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223</v>
      </c>
      <c r="C29" s="12">
        <v>3</v>
      </c>
      <c r="D29" s="8">
        <v>6.82</v>
      </c>
      <c r="E29" s="12">
        <v>2</v>
      </c>
      <c r="F29" s="8">
        <v>6.9</v>
      </c>
      <c r="G29" s="12">
        <v>1</v>
      </c>
      <c r="H29" s="8">
        <v>7.14</v>
      </c>
      <c r="I29" s="12">
        <v>0</v>
      </c>
    </row>
    <row r="30" spans="2:9" ht="15" customHeight="1" x14ac:dyDescent="0.2">
      <c r="B30" t="s">
        <v>227</v>
      </c>
      <c r="C30" s="12">
        <v>2</v>
      </c>
      <c r="D30" s="8">
        <v>4.55</v>
      </c>
      <c r="E30" s="12">
        <v>2</v>
      </c>
      <c r="F30" s="8">
        <v>6.9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214</v>
      </c>
      <c r="C31" s="12">
        <v>1</v>
      </c>
      <c r="D31" s="8">
        <v>2.27</v>
      </c>
      <c r="E31" s="12">
        <v>1</v>
      </c>
      <c r="F31" s="8">
        <v>3.45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215</v>
      </c>
      <c r="C32" s="12">
        <v>1</v>
      </c>
      <c r="D32" s="8">
        <v>2.27</v>
      </c>
      <c r="E32" s="12">
        <v>0</v>
      </c>
      <c r="F32" s="8">
        <v>0</v>
      </c>
      <c r="G32" s="12">
        <v>1</v>
      </c>
      <c r="H32" s="8">
        <v>7.14</v>
      </c>
      <c r="I32" s="12">
        <v>0</v>
      </c>
    </row>
    <row r="33" spans="2:9" ht="15" customHeight="1" x14ac:dyDescent="0.2">
      <c r="B33" t="s">
        <v>255</v>
      </c>
      <c r="C33" s="12">
        <v>1</v>
      </c>
      <c r="D33" s="8">
        <v>2.27</v>
      </c>
      <c r="E33" s="12">
        <v>0</v>
      </c>
      <c r="F33" s="8">
        <v>0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238</v>
      </c>
      <c r="C34" s="12">
        <v>1</v>
      </c>
      <c r="D34" s="8">
        <v>2.27</v>
      </c>
      <c r="E34" s="12">
        <v>0</v>
      </c>
      <c r="F34" s="8">
        <v>0</v>
      </c>
      <c r="G34" s="12">
        <v>1</v>
      </c>
      <c r="H34" s="8">
        <v>7.14</v>
      </c>
      <c r="I34" s="12">
        <v>0</v>
      </c>
    </row>
    <row r="35" spans="2:9" ht="15" customHeight="1" x14ac:dyDescent="0.2">
      <c r="B35" t="s">
        <v>216</v>
      </c>
      <c r="C35" s="12">
        <v>1</v>
      </c>
      <c r="D35" s="8">
        <v>2.27</v>
      </c>
      <c r="E35" s="12">
        <v>0</v>
      </c>
      <c r="F35" s="8">
        <v>0</v>
      </c>
      <c r="G35" s="12">
        <v>1</v>
      </c>
      <c r="H35" s="8">
        <v>7.14</v>
      </c>
      <c r="I35" s="12">
        <v>0</v>
      </c>
    </row>
    <row r="36" spans="2:9" ht="15" customHeight="1" x14ac:dyDescent="0.2">
      <c r="B36" t="s">
        <v>233</v>
      </c>
      <c r="C36" s="12">
        <v>1</v>
      </c>
      <c r="D36" s="8">
        <v>2.27</v>
      </c>
      <c r="E36" s="12">
        <v>0</v>
      </c>
      <c r="F36" s="8">
        <v>0</v>
      </c>
      <c r="G36" s="12">
        <v>1</v>
      </c>
      <c r="H36" s="8">
        <v>7.14</v>
      </c>
      <c r="I36" s="12">
        <v>0</v>
      </c>
    </row>
    <row r="37" spans="2:9" ht="15" customHeight="1" x14ac:dyDescent="0.2">
      <c r="B37" t="s">
        <v>256</v>
      </c>
      <c r="C37" s="12">
        <v>1</v>
      </c>
      <c r="D37" s="8">
        <v>2.27</v>
      </c>
      <c r="E37" s="12">
        <v>0</v>
      </c>
      <c r="F37" s="8">
        <v>0</v>
      </c>
      <c r="G37" s="12">
        <v>1</v>
      </c>
      <c r="H37" s="8">
        <v>7.14</v>
      </c>
      <c r="I37" s="12">
        <v>0</v>
      </c>
    </row>
    <row r="38" spans="2:9" ht="15" customHeight="1" x14ac:dyDescent="0.2">
      <c r="B38" t="s">
        <v>271</v>
      </c>
      <c r="C38" s="12">
        <v>1</v>
      </c>
      <c r="D38" s="8">
        <v>2.27</v>
      </c>
      <c r="E38" s="12">
        <v>0</v>
      </c>
      <c r="F38" s="8">
        <v>0</v>
      </c>
      <c r="G38" s="12">
        <v>1</v>
      </c>
      <c r="H38" s="8">
        <v>7.14</v>
      </c>
      <c r="I38" s="12">
        <v>0</v>
      </c>
    </row>
    <row r="39" spans="2:9" ht="15" customHeight="1" x14ac:dyDescent="0.2">
      <c r="B39" t="s">
        <v>229</v>
      </c>
      <c r="C39" s="12">
        <v>1</v>
      </c>
      <c r="D39" s="8">
        <v>2.27</v>
      </c>
      <c r="E39" s="12">
        <v>0</v>
      </c>
      <c r="F39" s="8">
        <v>0</v>
      </c>
      <c r="G39" s="12">
        <v>1</v>
      </c>
      <c r="H39" s="8">
        <v>7.14</v>
      </c>
      <c r="I39" s="12">
        <v>0</v>
      </c>
    </row>
    <row r="40" spans="2:9" ht="15" customHeight="1" x14ac:dyDescent="0.2">
      <c r="B40" t="s">
        <v>230</v>
      </c>
      <c r="C40" s="12">
        <v>1</v>
      </c>
      <c r="D40" s="8">
        <v>2.27</v>
      </c>
      <c r="E40" s="12">
        <v>1</v>
      </c>
      <c r="F40" s="8">
        <v>3.45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231</v>
      </c>
      <c r="C41" s="12">
        <v>1</v>
      </c>
      <c r="D41" s="8">
        <v>2.27</v>
      </c>
      <c r="E41" s="12">
        <v>1</v>
      </c>
      <c r="F41" s="8">
        <v>3.45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232</v>
      </c>
      <c r="C42" s="12">
        <v>1</v>
      </c>
      <c r="D42" s="8">
        <v>2.27</v>
      </c>
      <c r="E42" s="12">
        <v>0</v>
      </c>
      <c r="F42" s="8">
        <v>0</v>
      </c>
      <c r="G42" s="12">
        <v>1</v>
      </c>
      <c r="H42" s="8">
        <v>7.14</v>
      </c>
      <c r="I42" s="12">
        <v>0</v>
      </c>
    </row>
    <row r="45" spans="2:9" ht="33" customHeight="1" x14ac:dyDescent="0.2">
      <c r="B45" t="s">
        <v>531</v>
      </c>
      <c r="C45" s="10" t="s">
        <v>206</v>
      </c>
      <c r="D45" s="10" t="s">
        <v>207</v>
      </c>
      <c r="E45" s="10" t="s">
        <v>208</v>
      </c>
      <c r="F45" s="10" t="s">
        <v>209</v>
      </c>
      <c r="G45" s="10" t="s">
        <v>210</v>
      </c>
      <c r="H45" s="10" t="s">
        <v>211</v>
      </c>
      <c r="I45" s="10" t="s">
        <v>212</v>
      </c>
    </row>
    <row r="46" spans="2:9" ht="15" customHeight="1" x14ac:dyDescent="0.2">
      <c r="B46" t="s">
        <v>339</v>
      </c>
      <c r="C46" s="12">
        <v>8</v>
      </c>
      <c r="D46" s="8">
        <v>18.18</v>
      </c>
      <c r="E46" s="12">
        <v>6</v>
      </c>
      <c r="F46" s="8">
        <v>20.69</v>
      </c>
      <c r="G46" s="12">
        <v>2</v>
      </c>
      <c r="H46" s="8">
        <v>14.29</v>
      </c>
      <c r="I46" s="12">
        <v>0</v>
      </c>
    </row>
    <row r="47" spans="2:9" ht="15" customHeight="1" x14ac:dyDescent="0.2">
      <c r="B47" t="s">
        <v>292</v>
      </c>
      <c r="C47" s="12">
        <v>5</v>
      </c>
      <c r="D47" s="8">
        <v>11.36</v>
      </c>
      <c r="E47" s="12">
        <v>4</v>
      </c>
      <c r="F47" s="8">
        <v>13.79</v>
      </c>
      <c r="G47" s="12">
        <v>1</v>
      </c>
      <c r="H47" s="8">
        <v>7.14</v>
      </c>
      <c r="I47" s="12">
        <v>0</v>
      </c>
    </row>
    <row r="48" spans="2:9" ht="15" customHeight="1" x14ac:dyDescent="0.2">
      <c r="B48" t="s">
        <v>342</v>
      </c>
      <c r="C48" s="12">
        <v>4</v>
      </c>
      <c r="D48" s="8">
        <v>9.09</v>
      </c>
      <c r="E48" s="12">
        <v>4</v>
      </c>
      <c r="F48" s="8">
        <v>13.79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304</v>
      </c>
      <c r="C49" s="12">
        <v>3</v>
      </c>
      <c r="D49" s="8">
        <v>6.82</v>
      </c>
      <c r="E49" s="12">
        <v>3</v>
      </c>
      <c r="F49" s="8">
        <v>10.34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328</v>
      </c>
      <c r="C50" s="12">
        <v>2</v>
      </c>
      <c r="D50" s="8">
        <v>4.55</v>
      </c>
      <c r="E50" s="12">
        <v>2</v>
      </c>
      <c r="F50" s="8">
        <v>6.9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289</v>
      </c>
      <c r="C51" s="12">
        <v>1</v>
      </c>
      <c r="D51" s="8">
        <v>2.27</v>
      </c>
      <c r="E51" s="12">
        <v>0</v>
      </c>
      <c r="F51" s="8">
        <v>0</v>
      </c>
      <c r="G51" s="12">
        <v>1</v>
      </c>
      <c r="H51" s="8">
        <v>7.14</v>
      </c>
      <c r="I51" s="12">
        <v>0</v>
      </c>
    </row>
    <row r="52" spans="2:9" ht="15" customHeight="1" x14ac:dyDescent="0.2">
      <c r="B52" t="s">
        <v>319</v>
      </c>
      <c r="C52" s="12">
        <v>1</v>
      </c>
      <c r="D52" s="8">
        <v>2.27</v>
      </c>
      <c r="E52" s="12">
        <v>1</v>
      </c>
      <c r="F52" s="8">
        <v>3.45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353</v>
      </c>
      <c r="C53" s="12">
        <v>1</v>
      </c>
      <c r="D53" s="8">
        <v>2.27</v>
      </c>
      <c r="E53" s="12">
        <v>1</v>
      </c>
      <c r="F53" s="8">
        <v>3.45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290</v>
      </c>
      <c r="C54" s="12">
        <v>1</v>
      </c>
      <c r="D54" s="8">
        <v>2.27</v>
      </c>
      <c r="E54" s="12">
        <v>0</v>
      </c>
      <c r="F54" s="8">
        <v>0</v>
      </c>
      <c r="G54" s="12">
        <v>1</v>
      </c>
      <c r="H54" s="8">
        <v>7.14</v>
      </c>
      <c r="I54" s="12">
        <v>0</v>
      </c>
    </row>
    <row r="55" spans="2:9" ht="15" customHeight="1" x14ac:dyDescent="0.2">
      <c r="B55" t="s">
        <v>362</v>
      </c>
      <c r="C55" s="12">
        <v>1</v>
      </c>
      <c r="D55" s="8">
        <v>2.27</v>
      </c>
      <c r="E55" s="12">
        <v>0</v>
      </c>
      <c r="F55" s="8">
        <v>0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326</v>
      </c>
      <c r="C56" s="12">
        <v>1</v>
      </c>
      <c r="D56" s="8">
        <v>2.27</v>
      </c>
      <c r="E56" s="12">
        <v>0</v>
      </c>
      <c r="F56" s="8">
        <v>0</v>
      </c>
      <c r="G56" s="12">
        <v>1</v>
      </c>
      <c r="H56" s="8">
        <v>7.14</v>
      </c>
      <c r="I56" s="12">
        <v>0</v>
      </c>
    </row>
    <row r="57" spans="2:9" ht="15" customHeight="1" x14ac:dyDescent="0.2">
      <c r="B57" t="s">
        <v>324</v>
      </c>
      <c r="C57" s="12">
        <v>1</v>
      </c>
      <c r="D57" s="8">
        <v>2.27</v>
      </c>
      <c r="E57" s="12">
        <v>0</v>
      </c>
      <c r="F57" s="8">
        <v>0</v>
      </c>
      <c r="G57" s="12">
        <v>1</v>
      </c>
      <c r="H57" s="8">
        <v>7.14</v>
      </c>
      <c r="I57" s="12">
        <v>0</v>
      </c>
    </row>
    <row r="58" spans="2:9" ht="15" customHeight="1" x14ac:dyDescent="0.2">
      <c r="B58" t="s">
        <v>354</v>
      </c>
      <c r="C58" s="12">
        <v>1</v>
      </c>
      <c r="D58" s="8">
        <v>2.27</v>
      </c>
      <c r="E58" s="12">
        <v>1</v>
      </c>
      <c r="F58" s="8">
        <v>3.45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402</v>
      </c>
      <c r="C59" s="12">
        <v>1</v>
      </c>
      <c r="D59" s="8">
        <v>2.27</v>
      </c>
      <c r="E59" s="12">
        <v>1</v>
      </c>
      <c r="F59" s="8">
        <v>3.45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330</v>
      </c>
      <c r="C60" s="12">
        <v>1</v>
      </c>
      <c r="D60" s="8">
        <v>2.27</v>
      </c>
      <c r="E60" s="12">
        <v>0</v>
      </c>
      <c r="F60" s="8">
        <v>0</v>
      </c>
      <c r="G60" s="12">
        <v>1</v>
      </c>
      <c r="H60" s="8">
        <v>7.14</v>
      </c>
      <c r="I60" s="12">
        <v>0</v>
      </c>
    </row>
    <row r="61" spans="2:9" ht="15" customHeight="1" x14ac:dyDescent="0.2">
      <c r="B61" t="s">
        <v>337</v>
      </c>
      <c r="C61" s="12">
        <v>1</v>
      </c>
      <c r="D61" s="8">
        <v>2.27</v>
      </c>
      <c r="E61" s="12">
        <v>1</v>
      </c>
      <c r="F61" s="8">
        <v>3.45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310</v>
      </c>
      <c r="C62" s="12">
        <v>1</v>
      </c>
      <c r="D62" s="8">
        <v>2.27</v>
      </c>
      <c r="E62" s="12">
        <v>0</v>
      </c>
      <c r="F62" s="8">
        <v>0</v>
      </c>
      <c r="G62" s="12">
        <v>1</v>
      </c>
      <c r="H62" s="8">
        <v>7.14</v>
      </c>
      <c r="I62" s="12">
        <v>0</v>
      </c>
    </row>
    <row r="63" spans="2:9" ht="15" customHeight="1" x14ac:dyDescent="0.2">
      <c r="B63" t="s">
        <v>403</v>
      </c>
      <c r="C63" s="12">
        <v>1</v>
      </c>
      <c r="D63" s="8">
        <v>2.27</v>
      </c>
      <c r="E63" s="12">
        <v>0</v>
      </c>
      <c r="F63" s="8">
        <v>0</v>
      </c>
      <c r="G63" s="12">
        <v>1</v>
      </c>
      <c r="H63" s="8">
        <v>7.14</v>
      </c>
      <c r="I63" s="12">
        <v>0</v>
      </c>
    </row>
    <row r="64" spans="2:9" ht="15" customHeight="1" x14ac:dyDescent="0.2">
      <c r="B64" t="s">
        <v>404</v>
      </c>
      <c r="C64" s="12">
        <v>1</v>
      </c>
      <c r="D64" s="8">
        <v>2.27</v>
      </c>
      <c r="E64" s="12">
        <v>0</v>
      </c>
      <c r="F64" s="8">
        <v>0</v>
      </c>
      <c r="G64" s="12">
        <v>1</v>
      </c>
      <c r="H64" s="8">
        <v>7.14</v>
      </c>
      <c r="I64" s="12">
        <v>0</v>
      </c>
    </row>
    <row r="65" spans="2:9" ht="15" customHeight="1" x14ac:dyDescent="0.2">
      <c r="B65" t="s">
        <v>405</v>
      </c>
      <c r="C65" s="12">
        <v>1</v>
      </c>
      <c r="D65" s="8">
        <v>2.27</v>
      </c>
      <c r="E65" s="12">
        <v>0</v>
      </c>
      <c r="F65" s="8">
        <v>0</v>
      </c>
      <c r="G65" s="12">
        <v>1</v>
      </c>
      <c r="H65" s="8">
        <v>7.14</v>
      </c>
      <c r="I65" s="12">
        <v>0</v>
      </c>
    </row>
    <row r="66" spans="2:9" ht="15" customHeight="1" x14ac:dyDescent="0.2">
      <c r="B66" t="s">
        <v>334</v>
      </c>
      <c r="C66" s="12">
        <v>1</v>
      </c>
      <c r="D66" s="8">
        <v>2.27</v>
      </c>
      <c r="E66" s="12">
        <v>1</v>
      </c>
      <c r="F66" s="8">
        <v>3.45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299</v>
      </c>
      <c r="C67" s="12">
        <v>1</v>
      </c>
      <c r="D67" s="8">
        <v>2.27</v>
      </c>
      <c r="E67" s="12">
        <v>1</v>
      </c>
      <c r="F67" s="8">
        <v>3.45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303</v>
      </c>
      <c r="C68" s="12">
        <v>1</v>
      </c>
      <c r="D68" s="8">
        <v>2.27</v>
      </c>
      <c r="E68" s="12">
        <v>1</v>
      </c>
      <c r="F68" s="8">
        <v>3.45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352</v>
      </c>
      <c r="C69" s="12">
        <v>1</v>
      </c>
      <c r="D69" s="8">
        <v>2.27</v>
      </c>
      <c r="E69" s="12">
        <v>0</v>
      </c>
      <c r="F69" s="8">
        <v>0</v>
      </c>
      <c r="G69" s="12">
        <v>1</v>
      </c>
      <c r="H69" s="8">
        <v>7.14</v>
      </c>
      <c r="I69" s="12">
        <v>0</v>
      </c>
    </row>
    <row r="70" spans="2:9" ht="15" customHeight="1" x14ac:dyDescent="0.2">
      <c r="B70" t="s">
        <v>327</v>
      </c>
      <c r="C70" s="12">
        <v>1</v>
      </c>
      <c r="D70" s="8">
        <v>2.27</v>
      </c>
      <c r="E70" s="12">
        <v>1</v>
      </c>
      <c r="F70" s="8">
        <v>3.45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312</v>
      </c>
      <c r="C71" s="12">
        <v>1</v>
      </c>
      <c r="D71" s="8">
        <v>2.27</v>
      </c>
      <c r="E71" s="12">
        <v>1</v>
      </c>
      <c r="F71" s="8">
        <v>3.45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347</v>
      </c>
      <c r="C72" s="12">
        <v>1</v>
      </c>
      <c r="D72" s="8">
        <v>2.27</v>
      </c>
      <c r="E72" s="12">
        <v>0</v>
      </c>
      <c r="F72" s="8">
        <v>0</v>
      </c>
      <c r="G72" s="12">
        <v>1</v>
      </c>
      <c r="H72" s="8">
        <v>7.14</v>
      </c>
      <c r="I72" s="12">
        <v>0</v>
      </c>
    </row>
    <row r="74" spans="2:9" ht="15" customHeight="1" x14ac:dyDescent="0.2">
      <c r="B7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2C7C2-1882-46D3-A5D4-DF986A8802ED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534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502</v>
      </c>
      <c r="D6" s="8">
        <v>4.6100000000000003</v>
      </c>
      <c r="E6" s="12">
        <v>12</v>
      </c>
      <c r="F6" s="8">
        <v>0.3</v>
      </c>
      <c r="G6" s="12">
        <v>490</v>
      </c>
      <c r="H6" s="8">
        <v>7.19</v>
      </c>
      <c r="I6" s="12">
        <v>0</v>
      </c>
    </row>
    <row r="7" spans="2:9" ht="15" customHeight="1" x14ac:dyDescent="0.2">
      <c r="B7" t="s">
        <v>192</v>
      </c>
      <c r="C7" s="12">
        <v>211</v>
      </c>
      <c r="D7" s="8">
        <v>1.94</v>
      </c>
      <c r="E7" s="12">
        <v>32</v>
      </c>
      <c r="F7" s="8">
        <v>0.79</v>
      </c>
      <c r="G7" s="12">
        <v>179</v>
      </c>
      <c r="H7" s="8">
        <v>2.63</v>
      </c>
      <c r="I7" s="12">
        <v>0</v>
      </c>
    </row>
    <row r="8" spans="2:9" ht="15" customHeight="1" x14ac:dyDescent="0.2">
      <c r="B8" t="s">
        <v>193</v>
      </c>
      <c r="C8" s="12">
        <v>9</v>
      </c>
      <c r="D8" s="8">
        <v>0.08</v>
      </c>
      <c r="E8" s="12">
        <v>0</v>
      </c>
      <c r="F8" s="8">
        <v>0</v>
      </c>
      <c r="G8" s="12">
        <v>8</v>
      </c>
      <c r="H8" s="8">
        <v>0.12</v>
      </c>
      <c r="I8" s="12">
        <v>0</v>
      </c>
    </row>
    <row r="9" spans="2:9" ht="15" customHeight="1" x14ac:dyDescent="0.2">
      <c r="B9" t="s">
        <v>194</v>
      </c>
      <c r="C9" s="12">
        <v>354</v>
      </c>
      <c r="D9" s="8">
        <v>3.25</v>
      </c>
      <c r="E9" s="12">
        <v>16</v>
      </c>
      <c r="F9" s="8">
        <v>0.39</v>
      </c>
      <c r="G9" s="12">
        <v>338</v>
      </c>
      <c r="H9" s="8">
        <v>4.96</v>
      </c>
      <c r="I9" s="12">
        <v>0</v>
      </c>
    </row>
    <row r="10" spans="2:9" ht="15" customHeight="1" x14ac:dyDescent="0.2">
      <c r="B10" t="s">
        <v>195</v>
      </c>
      <c r="C10" s="12">
        <v>71</v>
      </c>
      <c r="D10" s="8">
        <v>0.65</v>
      </c>
      <c r="E10" s="12">
        <v>6</v>
      </c>
      <c r="F10" s="8">
        <v>0.15</v>
      </c>
      <c r="G10" s="12">
        <v>65</v>
      </c>
      <c r="H10" s="8">
        <v>0.95</v>
      </c>
      <c r="I10" s="12">
        <v>0</v>
      </c>
    </row>
    <row r="11" spans="2:9" ht="15" customHeight="1" x14ac:dyDescent="0.2">
      <c r="B11" t="s">
        <v>196</v>
      </c>
      <c r="C11" s="12">
        <v>2304</v>
      </c>
      <c r="D11" s="8">
        <v>21.14</v>
      </c>
      <c r="E11" s="12">
        <v>294</v>
      </c>
      <c r="F11" s="8">
        <v>7.25</v>
      </c>
      <c r="G11" s="12">
        <v>2007</v>
      </c>
      <c r="H11" s="8">
        <v>29.47</v>
      </c>
      <c r="I11" s="12">
        <v>3</v>
      </c>
    </row>
    <row r="12" spans="2:9" ht="15" customHeight="1" x14ac:dyDescent="0.2">
      <c r="B12" t="s">
        <v>197</v>
      </c>
      <c r="C12" s="12">
        <v>141</v>
      </c>
      <c r="D12" s="8">
        <v>1.29</v>
      </c>
      <c r="E12" s="12">
        <v>4</v>
      </c>
      <c r="F12" s="8">
        <v>0.1</v>
      </c>
      <c r="G12" s="12">
        <v>137</v>
      </c>
      <c r="H12" s="8">
        <v>2.0099999999999998</v>
      </c>
      <c r="I12" s="12">
        <v>0</v>
      </c>
    </row>
    <row r="13" spans="2:9" ht="15" customHeight="1" x14ac:dyDescent="0.2">
      <c r="B13" t="s">
        <v>198</v>
      </c>
      <c r="C13" s="12">
        <v>1341</v>
      </c>
      <c r="D13" s="8">
        <v>12.3</v>
      </c>
      <c r="E13" s="12">
        <v>319</v>
      </c>
      <c r="F13" s="8">
        <v>7.86</v>
      </c>
      <c r="G13" s="12">
        <v>1020</v>
      </c>
      <c r="H13" s="8">
        <v>14.98</v>
      </c>
      <c r="I13" s="12">
        <v>0</v>
      </c>
    </row>
    <row r="14" spans="2:9" ht="15" customHeight="1" x14ac:dyDescent="0.2">
      <c r="B14" t="s">
        <v>199</v>
      </c>
      <c r="C14" s="12">
        <v>1312</v>
      </c>
      <c r="D14" s="8">
        <v>12.04</v>
      </c>
      <c r="E14" s="12">
        <v>641</v>
      </c>
      <c r="F14" s="8">
        <v>15.8</v>
      </c>
      <c r="G14" s="12">
        <v>665</v>
      </c>
      <c r="H14" s="8">
        <v>9.76</v>
      </c>
      <c r="I14" s="12">
        <v>6</v>
      </c>
    </row>
    <row r="15" spans="2:9" ht="15" customHeight="1" x14ac:dyDescent="0.2">
      <c r="B15" t="s">
        <v>200</v>
      </c>
      <c r="C15" s="12">
        <v>2364</v>
      </c>
      <c r="D15" s="8">
        <v>21.69</v>
      </c>
      <c r="E15" s="12">
        <v>1643</v>
      </c>
      <c r="F15" s="8">
        <v>40.51</v>
      </c>
      <c r="G15" s="12">
        <v>721</v>
      </c>
      <c r="H15" s="8">
        <v>10.59</v>
      </c>
      <c r="I15" s="12">
        <v>0</v>
      </c>
    </row>
    <row r="16" spans="2:9" ht="15" customHeight="1" x14ac:dyDescent="0.2">
      <c r="B16" t="s">
        <v>201</v>
      </c>
      <c r="C16" s="12">
        <v>1056</v>
      </c>
      <c r="D16" s="8">
        <v>9.69</v>
      </c>
      <c r="E16" s="12">
        <v>580</v>
      </c>
      <c r="F16" s="8">
        <v>14.3</v>
      </c>
      <c r="G16" s="12">
        <v>474</v>
      </c>
      <c r="H16" s="8">
        <v>6.96</v>
      </c>
      <c r="I16" s="12">
        <v>2</v>
      </c>
    </row>
    <row r="17" spans="2:9" ht="15" customHeight="1" x14ac:dyDescent="0.2">
      <c r="B17" t="s">
        <v>202</v>
      </c>
      <c r="C17" s="12">
        <v>336</v>
      </c>
      <c r="D17" s="8">
        <v>3.08</v>
      </c>
      <c r="E17" s="12">
        <v>178</v>
      </c>
      <c r="F17" s="8">
        <v>4.3899999999999997</v>
      </c>
      <c r="G17" s="12">
        <v>155</v>
      </c>
      <c r="H17" s="8">
        <v>2.2799999999999998</v>
      </c>
      <c r="I17" s="12">
        <v>2</v>
      </c>
    </row>
    <row r="18" spans="2:9" ht="15" customHeight="1" x14ac:dyDescent="0.2">
      <c r="B18" t="s">
        <v>203</v>
      </c>
      <c r="C18" s="12">
        <v>497</v>
      </c>
      <c r="D18" s="8">
        <v>4.5599999999999996</v>
      </c>
      <c r="E18" s="12">
        <v>310</v>
      </c>
      <c r="F18" s="8">
        <v>7.64</v>
      </c>
      <c r="G18" s="12">
        <v>185</v>
      </c>
      <c r="H18" s="8">
        <v>2.72</v>
      </c>
      <c r="I18" s="12">
        <v>2</v>
      </c>
    </row>
    <row r="19" spans="2:9" ht="15" customHeight="1" x14ac:dyDescent="0.2">
      <c r="B19" t="s">
        <v>204</v>
      </c>
      <c r="C19" s="12">
        <v>402</v>
      </c>
      <c r="D19" s="8">
        <v>3.69</v>
      </c>
      <c r="E19" s="12">
        <v>21</v>
      </c>
      <c r="F19" s="8">
        <v>0.52</v>
      </c>
      <c r="G19" s="12">
        <v>367</v>
      </c>
      <c r="H19" s="8">
        <v>5.39</v>
      </c>
      <c r="I19" s="12">
        <v>14</v>
      </c>
    </row>
    <row r="20" spans="2:9" ht="15" customHeight="1" x14ac:dyDescent="0.2">
      <c r="B20" s="9" t="s">
        <v>529</v>
      </c>
      <c r="C20" s="12">
        <f>SUM(LTBL_01101[総数／事業所数])</f>
        <v>10900</v>
      </c>
      <c r="E20" s="12">
        <f>SUBTOTAL(109,LTBL_01101[個人／事業所数])</f>
        <v>4056</v>
      </c>
      <c r="G20" s="12">
        <f>SUBTOTAL(109,LTBL_01101[法人／事業所数])</f>
        <v>6811</v>
      </c>
      <c r="I20" s="12">
        <f>SUBTOTAL(109,LTBL_01101[法人以外の団体／事業所数])</f>
        <v>29</v>
      </c>
    </row>
    <row r="21" spans="2:9" ht="15" customHeight="1" x14ac:dyDescent="0.2">
      <c r="E21" s="11">
        <f>LTBL_01101[[#Totals],[個人／事業所数]]/LTBL_01101[[#Totals],[総数／事業所数]]</f>
        <v>0.37211009174311926</v>
      </c>
      <c r="G21" s="11">
        <f>LTBL_01101[[#Totals],[法人／事業所数]]/LTBL_01101[[#Totals],[総数／事業所数]]</f>
        <v>0.62486238532110094</v>
      </c>
      <c r="I21" s="11">
        <f>LTBL_01101[[#Totals],[法人以外の団体／事業所数]]/LTBL_01101[[#Totals],[総数／事業所数]]</f>
        <v>2.6605504587155961E-3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2267</v>
      </c>
      <c r="D24" s="8">
        <v>20.8</v>
      </c>
      <c r="E24" s="12">
        <v>1628</v>
      </c>
      <c r="F24" s="8">
        <v>40.14</v>
      </c>
      <c r="G24" s="12">
        <v>639</v>
      </c>
      <c r="H24" s="8">
        <v>9.3800000000000008</v>
      </c>
      <c r="I24" s="12">
        <v>0</v>
      </c>
    </row>
    <row r="25" spans="2:9" ht="15" customHeight="1" x14ac:dyDescent="0.2">
      <c r="B25" t="s">
        <v>224</v>
      </c>
      <c r="C25" s="12">
        <v>994</v>
      </c>
      <c r="D25" s="8">
        <v>9.1199999999999992</v>
      </c>
      <c r="E25" s="12">
        <v>314</v>
      </c>
      <c r="F25" s="8">
        <v>7.74</v>
      </c>
      <c r="G25" s="12">
        <v>678</v>
      </c>
      <c r="H25" s="8">
        <v>9.9499999999999993</v>
      </c>
      <c r="I25" s="12">
        <v>0</v>
      </c>
    </row>
    <row r="26" spans="2:9" ht="15" customHeight="1" x14ac:dyDescent="0.2">
      <c r="B26" t="s">
        <v>225</v>
      </c>
      <c r="C26" s="12">
        <v>920</v>
      </c>
      <c r="D26" s="8">
        <v>8.44</v>
      </c>
      <c r="E26" s="12">
        <v>576</v>
      </c>
      <c r="F26" s="8">
        <v>14.2</v>
      </c>
      <c r="G26" s="12">
        <v>339</v>
      </c>
      <c r="H26" s="8">
        <v>4.9800000000000004</v>
      </c>
      <c r="I26" s="12">
        <v>5</v>
      </c>
    </row>
    <row r="27" spans="2:9" ht="15" customHeight="1" x14ac:dyDescent="0.2">
      <c r="B27" t="s">
        <v>228</v>
      </c>
      <c r="C27" s="12">
        <v>822</v>
      </c>
      <c r="D27" s="8">
        <v>7.54</v>
      </c>
      <c r="E27" s="12">
        <v>541</v>
      </c>
      <c r="F27" s="8">
        <v>13.34</v>
      </c>
      <c r="G27" s="12">
        <v>281</v>
      </c>
      <c r="H27" s="8">
        <v>4.13</v>
      </c>
      <c r="I27" s="12">
        <v>0</v>
      </c>
    </row>
    <row r="28" spans="2:9" ht="15" customHeight="1" x14ac:dyDescent="0.2">
      <c r="B28" t="s">
        <v>223</v>
      </c>
      <c r="C28" s="12">
        <v>567</v>
      </c>
      <c r="D28" s="8">
        <v>5.2</v>
      </c>
      <c r="E28" s="12">
        <v>135</v>
      </c>
      <c r="F28" s="8">
        <v>3.33</v>
      </c>
      <c r="G28" s="12">
        <v>430</v>
      </c>
      <c r="H28" s="8">
        <v>6.31</v>
      </c>
      <c r="I28" s="12">
        <v>2</v>
      </c>
    </row>
    <row r="29" spans="2:9" ht="15" customHeight="1" x14ac:dyDescent="0.2">
      <c r="B29" t="s">
        <v>231</v>
      </c>
      <c r="C29" s="12">
        <v>388</v>
      </c>
      <c r="D29" s="8">
        <v>3.56</v>
      </c>
      <c r="E29" s="12">
        <v>306</v>
      </c>
      <c r="F29" s="8">
        <v>7.54</v>
      </c>
      <c r="G29" s="12">
        <v>82</v>
      </c>
      <c r="H29" s="8">
        <v>1.2</v>
      </c>
      <c r="I29" s="12">
        <v>0</v>
      </c>
    </row>
    <row r="30" spans="2:9" ht="15" customHeight="1" x14ac:dyDescent="0.2">
      <c r="B30" t="s">
        <v>220</v>
      </c>
      <c r="C30" s="12">
        <v>369</v>
      </c>
      <c r="D30" s="8">
        <v>3.39</v>
      </c>
      <c r="E30" s="12">
        <v>50</v>
      </c>
      <c r="F30" s="8">
        <v>1.23</v>
      </c>
      <c r="G30" s="12">
        <v>319</v>
      </c>
      <c r="H30" s="8">
        <v>4.68</v>
      </c>
      <c r="I30" s="12">
        <v>0</v>
      </c>
    </row>
    <row r="31" spans="2:9" ht="15" customHeight="1" x14ac:dyDescent="0.2">
      <c r="B31" t="s">
        <v>230</v>
      </c>
      <c r="C31" s="12">
        <v>336</v>
      </c>
      <c r="D31" s="8">
        <v>3.08</v>
      </c>
      <c r="E31" s="12">
        <v>178</v>
      </c>
      <c r="F31" s="8">
        <v>4.3899999999999997</v>
      </c>
      <c r="G31" s="12">
        <v>155</v>
      </c>
      <c r="H31" s="8">
        <v>2.2799999999999998</v>
      </c>
      <c r="I31" s="12">
        <v>2</v>
      </c>
    </row>
    <row r="32" spans="2:9" ht="15" customHeight="1" x14ac:dyDescent="0.2">
      <c r="B32" t="s">
        <v>233</v>
      </c>
      <c r="C32" s="12">
        <v>292</v>
      </c>
      <c r="D32" s="8">
        <v>2.68</v>
      </c>
      <c r="E32" s="12">
        <v>1</v>
      </c>
      <c r="F32" s="8">
        <v>0.02</v>
      </c>
      <c r="G32" s="12">
        <v>291</v>
      </c>
      <c r="H32" s="8">
        <v>4.2699999999999996</v>
      </c>
      <c r="I32" s="12">
        <v>0</v>
      </c>
    </row>
    <row r="33" spans="2:9" ht="15" customHeight="1" x14ac:dyDescent="0.2">
      <c r="B33" t="s">
        <v>226</v>
      </c>
      <c r="C33" s="12">
        <v>286</v>
      </c>
      <c r="D33" s="8">
        <v>2.62</v>
      </c>
      <c r="E33" s="12">
        <v>60</v>
      </c>
      <c r="F33" s="8">
        <v>1.48</v>
      </c>
      <c r="G33" s="12">
        <v>225</v>
      </c>
      <c r="H33" s="8">
        <v>3.3</v>
      </c>
      <c r="I33" s="12">
        <v>1</v>
      </c>
    </row>
    <row r="34" spans="2:9" ht="15" customHeight="1" x14ac:dyDescent="0.2">
      <c r="B34" t="s">
        <v>221</v>
      </c>
      <c r="C34" s="12">
        <v>263</v>
      </c>
      <c r="D34" s="8">
        <v>2.41</v>
      </c>
      <c r="E34" s="12">
        <v>72</v>
      </c>
      <c r="F34" s="8">
        <v>1.78</v>
      </c>
      <c r="G34" s="12">
        <v>191</v>
      </c>
      <c r="H34" s="8">
        <v>2.8</v>
      </c>
      <c r="I34" s="12">
        <v>0</v>
      </c>
    </row>
    <row r="35" spans="2:9" ht="15" customHeight="1" x14ac:dyDescent="0.2">
      <c r="B35" t="s">
        <v>234</v>
      </c>
      <c r="C35" s="12">
        <v>263</v>
      </c>
      <c r="D35" s="8">
        <v>2.41</v>
      </c>
      <c r="E35" s="12">
        <v>8</v>
      </c>
      <c r="F35" s="8">
        <v>0.2</v>
      </c>
      <c r="G35" s="12">
        <v>245</v>
      </c>
      <c r="H35" s="8">
        <v>3.6</v>
      </c>
      <c r="I35" s="12">
        <v>10</v>
      </c>
    </row>
    <row r="36" spans="2:9" ht="15" customHeight="1" x14ac:dyDescent="0.2">
      <c r="B36" t="s">
        <v>218</v>
      </c>
      <c r="C36" s="12">
        <v>255</v>
      </c>
      <c r="D36" s="8">
        <v>2.34</v>
      </c>
      <c r="E36" s="12">
        <v>1</v>
      </c>
      <c r="F36" s="8">
        <v>0.02</v>
      </c>
      <c r="G36" s="12">
        <v>254</v>
      </c>
      <c r="H36" s="8">
        <v>3.73</v>
      </c>
      <c r="I36" s="12">
        <v>0</v>
      </c>
    </row>
    <row r="37" spans="2:9" ht="15" customHeight="1" x14ac:dyDescent="0.2">
      <c r="B37" t="s">
        <v>219</v>
      </c>
      <c r="C37" s="12">
        <v>244</v>
      </c>
      <c r="D37" s="8">
        <v>2.2400000000000002</v>
      </c>
      <c r="E37" s="12">
        <v>4</v>
      </c>
      <c r="F37" s="8">
        <v>0.1</v>
      </c>
      <c r="G37" s="12">
        <v>240</v>
      </c>
      <c r="H37" s="8">
        <v>3.52</v>
      </c>
      <c r="I37" s="12">
        <v>0</v>
      </c>
    </row>
    <row r="38" spans="2:9" ht="15" customHeight="1" x14ac:dyDescent="0.2">
      <c r="B38" t="s">
        <v>213</v>
      </c>
      <c r="C38" s="12">
        <v>211</v>
      </c>
      <c r="D38" s="8">
        <v>1.94</v>
      </c>
      <c r="E38" s="12">
        <v>4</v>
      </c>
      <c r="F38" s="8">
        <v>0.1</v>
      </c>
      <c r="G38" s="12">
        <v>207</v>
      </c>
      <c r="H38" s="8">
        <v>3.04</v>
      </c>
      <c r="I38" s="12">
        <v>0</v>
      </c>
    </row>
    <row r="39" spans="2:9" ht="15" customHeight="1" x14ac:dyDescent="0.2">
      <c r="B39" t="s">
        <v>216</v>
      </c>
      <c r="C39" s="12">
        <v>193</v>
      </c>
      <c r="D39" s="8">
        <v>1.77</v>
      </c>
      <c r="E39" s="12">
        <v>8</v>
      </c>
      <c r="F39" s="8">
        <v>0.2</v>
      </c>
      <c r="G39" s="12">
        <v>185</v>
      </c>
      <c r="H39" s="8">
        <v>2.72</v>
      </c>
      <c r="I39" s="12">
        <v>0</v>
      </c>
    </row>
    <row r="40" spans="2:9" ht="15" customHeight="1" x14ac:dyDescent="0.2">
      <c r="B40" t="s">
        <v>235</v>
      </c>
      <c r="C40" s="12">
        <v>176</v>
      </c>
      <c r="D40" s="8">
        <v>1.61</v>
      </c>
      <c r="E40" s="12">
        <v>3</v>
      </c>
      <c r="F40" s="8">
        <v>7.0000000000000007E-2</v>
      </c>
      <c r="G40" s="12">
        <v>173</v>
      </c>
      <c r="H40" s="8">
        <v>2.54</v>
      </c>
      <c r="I40" s="12">
        <v>0</v>
      </c>
    </row>
    <row r="41" spans="2:9" ht="15" customHeight="1" x14ac:dyDescent="0.2">
      <c r="B41" t="s">
        <v>217</v>
      </c>
      <c r="C41" s="12">
        <v>166</v>
      </c>
      <c r="D41" s="8">
        <v>1.52</v>
      </c>
      <c r="E41" s="12">
        <v>4</v>
      </c>
      <c r="F41" s="8">
        <v>0.1</v>
      </c>
      <c r="G41" s="12">
        <v>161</v>
      </c>
      <c r="H41" s="8">
        <v>2.36</v>
      </c>
      <c r="I41" s="12">
        <v>1</v>
      </c>
    </row>
    <row r="42" spans="2:9" ht="15" customHeight="1" x14ac:dyDescent="0.2">
      <c r="B42" t="s">
        <v>215</v>
      </c>
      <c r="C42" s="12">
        <v>147</v>
      </c>
      <c r="D42" s="8">
        <v>1.35</v>
      </c>
      <c r="E42" s="12">
        <v>1</v>
      </c>
      <c r="F42" s="8">
        <v>0.02</v>
      </c>
      <c r="G42" s="12">
        <v>146</v>
      </c>
      <c r="H42" s="8">
        <v>2.14</v>
      </c>
      <c r="I42" s="12">
        <v>0</v>
      </c>
    </row>
    <row r="43" spans="2:9" ht="15" customHeight="1" x14ac:dyDescent="0.2">
      <c r="B43" t="s">
        <v>214</v>
      </c>
      <c r="C43" s="12">
        <v>144</v>
      </c>
      <c r="D43" s="8">
        <v>1.32</v>
      </c>
      <c r="E43" s="12">
        <v>7</v>
      </c>
      <c r="F43" s="8">
        <v>0.17</v>
      </c>
      <c r="G43" s="12">
        <v>137</v>
      </c>
      <c r="H43" s="8">
        <v>2.0099999999999998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301</v>
      </c>
      <c r="C47" s="12">
        <v>841</v>
      </c>
      <c r="D47" s="8">
        <v>7.72</v>
      </c>
      <c r="E47" s="12">
        <v>718</v>
      </c>
      <c r="F47" s="8">
        <v>17.7</v>
      </c>
      <c r="G47" s="12">
        <v>123</v>
      </c>
      <c r="H47" s="8">
        <v>1.81</v>
      </c>
      <c r="I47" s="12">
        <v>0</v>
      </c>
    </row>
    <row r="48" spans="2:9" ht="15" customHeight="1" x14ac:dyDescent="0.2">
      <c r="B48" t="s">
        <v>297</v>
      </c>
      <c r="C48" s="12">
        <v>571</v>
      </c>
      <c r="D48" s="8">
        <v>5.24</v>
      </c>
      <c r="E48" s="12">
        <v>260</v>
      </c>
      <c r="F48" s="8">
        <v>6.41</v>
      </c>
      <c r="G48" s="12">
        <v>310</v>
      </c>
      <c r="H48" s="8">
        <v>4.55</v>
      </c>
      <c r="I48" s="12">
        <v>0</v>
      </c>
    </row>
    <row r="49" spans="2:9" ht="15" customHeight="1" x14ac:dyDescent="0.2">
      <c r="B49" t="s">
        <v>299</v>
      </c>
      <c r="C49" s="12">
        <v>523</v>
      </c>
      <c r="D49" s="8">
        <v>4.8</v>
      </c>
      <c r="E49" s="12">
        <v>297</v>
      </c>
      <c r="F49" s="8">
        <v>7.32</v>
      </c>
      <c r="G49" s="12">
        <v>226</v>
      </c>
      <c r="H49" s="8">
        <v>3.32</v>
      </c>
      <c r="I49" s="12">
        <v>0</v>
      </c>
    </row>
    <row r="50" spans="2:9" ht="15" customHeight="1" x14ac:dyDescent="0.2">
      <c r="B50" t="s">
        <v>300</v>
      </c>
      <c r="C50" s="12">
        <v>505</v>
      </c>
      <c r="D50" s="8">
        <v>4.63</v>
      </c>
      <c r="E50" s="12">
        <v>374</v>
      </c>
      <c r="F50" s="8">
        <v>9.2200000000000006</v>
      </c>
      <c r="G50" s="12">
        <v>131</v>
      </c>
      <c r="H50" s="8">
        <v>1.92</v>
      </c>
      <c r="I50" s="12">
        <v>0</v>
      </c>
    </row>
    <row r="51" spans="2:9" ht="15" customHeight="1" x14ac:dyDescent="0.2">
      <c r="B51" t="s">
        <v>304</v>
      </c>
      <c r="C51" s="12">
        <v>436</v>
      </c>
      <c r="D51" s="8">
        <v>4</v>
      </c>
      <c r="E51" s="12">
        <v>324</v>
      </c>
      <c r="F51" s="8">
        <v>7.99</v>
      </c>
      <c r="G51" s="12">
        <v>112</v>
      </c>
      <c r="H51" s="8">
        <v>1.64</v>
      </c>
      <c r="I51" s="12">
        <v>0</v>
      </c>
    </row>
    <row r="52" spans="2:9" ht="15" customHeight="1" x14ac:dyDescent="0.2">
      <c r="B52" t="s">
        <v>315</v>
      </c>
      <c r="C52" s="12">
        <v>250</v>
      </c>
      <c r="D52" s="8">
        <v>2.29</v>
      </c>
      <c r="E52" s="12">
        <v>224</v>
      </c>
      <c r="F52" s="8">
        <v>5.52</v>
      </c>
      <c r="G52" s="12">
        <v>26</v>
      </c>
      <c r="H52" s="8">
        <v>0.38</v>
      </c>
      <c r="I52" s="12">
        <v>0</v>
      </c>
    </row>
    <row r="53" spans="2:9" ht="15" customHeight="1" x14ac:dyDescent="0.2">
      <c r="B53" t="s">
        <v>296</v>
      </c>
      <c r="C53" s="12">
        <v>238</v>
      </c>
      <c r="D53" s="8">
        <v>2.1800000000000002</v>
      </c>
      <c r="E53" s="12">
        <v>35</v>
      </c>
      <c r="F53" s="8">
        <v>0.86</v>
      </c>
      <c r="G53" s="12">
        <v>203</v>
      </c>
      <c r="H53" s="8">
        <v>2.98</v>
      </c>
      <c r="I53" s="12">
        <v>0</v>
      </c>
    </row>
    <row r="54" spans="2:9" ht="15" customHeight="1" x14ac:dyDescent="0.2">
      <c r="B54" t="s">
        <v>306</v>
      </c>
      <c r="C54" s="12">
        <v>230</v>
      </c>
      <c r="D54" s="8">
        <v>2.11</v>
      </c>
      <c r="E54" s="12">
        <v>180</v>
      </c>
      <c r="F54" s="8">
        <v>4.4400000000000004</v>
      </c>
      <c r="G54" s="12">
        <v>50</v>
      </c>
      <c r="H54" s="8">
        <v>0.73</v>
      </c>
      <c r="I54" s="12">
        <v>0</v>
      </c>
    </row>
    <row r="55" spans="2:9" ht="15" customHeight="1" x14ac:dyDescent="0.2">
      <c r="B55" t="s">
        <v>305</v>
      </c>
      <c r="C55" s="12">
        <v>222</v>
      </c>
      <c r="D55" s="8">
        <v>2.04</v>
      </c>
      <c r="E55" s="12">
        <v>141</v>
      </c>
      <c r="F55" s="8">
        <v>3.48</v>
      </c>
      <c r="G55" s="12">
        <v>81</v>
      </c>
      <c r="H55" s="8">
        <v>1.19</v>
      </c>
      <c r="I55" s="12">
        <v>0</v>
      </c>
    </row>
    <row r="56" spans="2:9" ht="15" customHeight="1" x14ac:dyDescent="0.2">
      <c r="B56" t="s">
        <v>298</v>
      </c>
      <c r="C56" s="12">
        <v>218</v>
      </c>
      <c r="D56" s="8">
        <v>2</v>
      </c>
      <c r="E56" s="12">
        <v>35</v>
      </c>
      <c r="F56" s="8">
        <v>0.86</v>
      </c>
      <c r="G56" s="12">
        <v>183</v>
      </c>
      <c r="H56" s="8">
        <v>2.69</v>
      </c>
      <c r="I56" s="12">
        <v>0</v>
      </c>
    </row>
    <row r="57" spans="2:9" ht="15" customHeight="1" x14ac:dyDescent="0.2">
      <c r="B57" t="s">
        <v>295</v>
      </c>
      <c r="C57" s="12">
        <v>206</v>
      </c>
      <c r="D57" s="8">
        <v>1.89</v>
      </c>
      <c r="E57" s="12">
        <v>73</v>
      </c>
      <c r="F57" s="8">
        <v>1.8</v>
      </c>
      <c r="G57" s="12">
        <v>132</v>
      </c>
      <c r="H57" s="8">
        <v>1.94</v>
      </c>
      <c r="I57" s="12">
        <v>1</v>
      </c>
    </row>
    <row r="58" spans="2:9" ht="15" customHeight="1" x14ac:dyDescent="0.2">
      <c r="B58" t="s">
        <v>310</v>
      </c>
      <c r="C58" s="12">
        <v>205</v>
      </c>
      <c r="D58" s="8">
        <v>1.88</v>
      </c>
      <c r="E58" s="12">
        <v>1</v>
      </c>
      <c r="F58" s="8">
        <v>0.02</v>
      </c>
      <c r="G58" s="12">
        <v>204</v>
      </c>
      <c r="H58" s="8">
        <v>3</v>
      </c>
      <c r="I58" s="12">
        <v>0</v>
      </c>
    </row>
    <row r="59" spans="2:9" ht="15" customHeight="1" x14ac:dyDescent="0.2">
      <c r="B59" t="s">
        <v>318</v>
      </c>
      <c r="C59" s="12">
        <v>191</v>
      </c>
      <c r="D59" s="8">
        <v>1.75</v>
      </c>
      <c r="E59" s="12">
        <v>5</v>
      </c>
      <c r="F59" s="8">
        <v>0.12</v>
      </c>
      <c r="G59" s="12">
        <v>177</v>
      </c>
      <c r="H59" s="8">
        <v>2.6</v>
      </c>
      <c r="I59" s="12">
        <v>9</v>
      </c>
    </row>
    <row r="60" spans="2:9" ht="15" customHeight="1" x14ac:dyDescent="0.2">
      <c r="B60" t="s">
        <v>316</v>
      </c>
      <c r="C60" s="12">
        <v>189</v>
      </c>
      <c r="D60" s="8">
        <v>1.73</v>
      </c>
      <c r="E60" s="12">
        <v>172</v>
      </c>
      <c r="F60" s="8">
        <v>4.24</v>
      </c>
      <c r="G60" s="12">
        <v>17</v>
      </c>
      <c r="H60" s="8">
        <v>0.25</v>
      </c>
      <c r="I60" s="12">
        <v>0</v>
      </c>
    </row>
    <row r="61" spans="2:9" ht="15" customHeight="1" x14ac:dyDescent="0.2">
      <c r="B61" t="s">
        <v>302</v>
      </c>
      <c r="C61" s="12">
        <v>166</v>
      </c>
      <c r="D61" s="8">
        <v>1.52</v>
      </c>
      <c r="E61" s="12">
        <v>117</v>
      </c>
      <c r="F61" s="8">
        <v>2.88</v>
      </c>
      <c r="G61" s="12">
        <v>49</v>
      </c>
      <c r="H61" s="8">
        <v>0.72</v>
      </c>
      <c r="I61" s="12">
        <v>0</v>
      </c>
    </row>
    <row r="62" spans="2:9" ht="15" customHeight="1" x14ac:dyDescent="0.2">
      <c r="B62" t="s">
        <v>314</v>
      </c>
      <c r="C62" s="12">
        <v>164</v>
      </c>
      <c r="D62" s="8">
        <v>1.5</v>
      </c>
      <c r="E62" s="12">
        <v>26</v>
      </c>
      <c r="F62" s="8">
        <v>0.64</v>
      </c>
      <c r="G62" s="12">
        <v>138</v>
      </c>
      <c r="H62" s="8">
        <v>2.0299999999999998</v>
      </c>
      <c r="I62" s="12">
        <v>0</v>
      </c>
    </row>
    <row r="63" spans="2:9" ht="15" customHeight="1" x14ac:dyDescent="0.2">
      <c r="B63" t="s">
        <v>317</v>
      </c>
      <c r="C63" s="12">
        <v>160</v>
      </c>
      <c r="D63" s="8">
        <v>1.47</v>
      </c>
      <c r="E63" s="12">
        <v>87</v>
      </c>
      <c r="F63" s="8">
        <v>2.14</v>
      </c>
      <c r="G63" s="12">
        <v>73</v>
      </c>
      <c r="H63" s="8">
        <v>1.07</v>
      </c>
      <c r="I63" s="12">
        <v>0</v>
      </c>
    </row>
    <row r="64" spans="2:9" ht="15" customHeight="1" x14ac:dyDescent="0.2">
      <c r="B64" t="s">
        <v>294</v>
      </c>
      <c r="C64" s="12">
        <v>146</v>
      </c>
      <c r="D64" s="8">
        <v>1.34</v>
      </c>
      <c r="E64" s="12">
        <v>15</v>
      </c>
      <c r="F64" s="8">
        <v>0.37</v>
      </c>
      <c r="G64" s="12">
        <v>130</v>
      </c>
      <c r="H64" s="8">
        <v>1.91</v>
      </c>
      <c r="I64" s="12">
        <v>1</v>
      </c>
    </row>
    <row r="65" spans="2:9" ht="15" customHeight="1" x14ac:dyDescent="0.2">
      <c r="B65" t="s">
        <v>313</v>
      </c>
      <c r="C65" s="12">
        <v>145</v>
      </c>
      <c r="D65" s="8">
        <v>1.33</v>
      </c>
      <c r="E65" s="12">
        <v>2</v>
      </c>
      <c r="F65" s="8">
        <v>0.05</v>
      </c>
      <c r="G65" s="12">
        <v>143</v>
      </c>
      <c r="H65" s="8">
        <v>2.1</v>
      </c>
      <c r="I65" s="12">
        <v>0</v>
      </c>
    </row>
    <row r="66" spans="2:9" ht="15" customHeight="1" x14ac:dyDescent="0.2">
      <c r="B66" t="s">
        <v>303</v>
      </c>
      <c r="C66" s="12">
        <v>143</v>
      </c>
      <c r="D66" s="8">
        <v>1.31</v>
      </c>
      <c r="E66" s="12">
        <v>117</v>
      </c>
      <c r="F66" s="8">
        <v>2.88</v>
      </c>
      <c r="G66" s="12">
        <v>26</v>
      </c>
      <c r="H66" s="8">
        <v>0.38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B8C11-FFCD-4F2B-92DD-FA7695F1C0F8}">
  <sheetPr>
    <pageSetUpPr fitToPage="1"/>
  </sheetPr>
  <dimension ref="B2:I10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12</v>
      </c>
      <c r="D6" s="8">
        <v>14.46</v>
      </c>
      <c r="E6" s="12">
        <v>6</v>
      </c>
      <c r="F6" s="8">
        <v>11.54</v>
      </c>
      <c r="G6" s="12">
        <v>6</v>
      </c>
      <c r="H6" s="8">
        <v>21.43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7.23</v>
      </c>
      <c r="E7" s="12">
        <v>1</v>
      </c>
      <c r="F7" s="8">
        <v>1.92</v>
      </c>
      <c r="G7" s="12">
        <v>5</v>
      </c>
      <c r="H7" s="8">
        <v>17.86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3.61</v>
      </c>
      <c r="E8" s="12">
        <v>0</v>
      </c>
      <c r="F8" s="8">
        <v>0</v>
      </c>
      <c r="G8" s="12">
        <v>2</v>
      </c>
      <c r="H8" s="8">
        <v>7.14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3.61</v>
      </c>
      <c r="E10" s="12">
        <v>0</v>
      </c>
      <c r="F10" s="8">
        <v>0</v>
      </c>
      <c r="G10" s="12">
        <v>3</v>
      </c>
      <c r="H10" s="8">
        <v>10.71</v>
      </c>
      <c r="I10" s="12">
        <v>0</v>
      </c>
    </row>
    <row r="11" spans="2:9" ht="15" customHeight="1" x14ac:dyDescent="0.2">
      <c r="B11" t="s">
        <v>196</v>
      </c>
      <c r="C11" s="12">
        <v>26</v>
      </c>
      <c r="D11" s="8">
        <v>31.33</v>
      </c>
      <c r="E11" s="12">
        <v>21</v>
      </c>
      <c r="F11" s="8">
        <v>40.380000000000003</v>
      </c>
      <c r="G11" s="12">
        <v>5</v>
      </c>
      <c r="H11" s="8">
        <v>17.86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3.61</v>
      </c>
      <c r="E13" s="12">
        <v>0</v>
      </c>
      <c r="F13" s="8">
        <v>0</v>
      </c>
      <c r="G13" s="12">
        <v>3</v>
      </c>
      <c r="H13" s="8">
        <v>10.71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1.2</v>
      </c>
      <c r="E14" s="12">
        <v>1</v>
      </c>
      <c r="F14" s="8">
        <v>1.92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15</v>
      </c>
      <c r="D15" s="8">
        <v>18.07</v>
      </c>
      <c r="E15" s="12">
        <v>14</v>
      </c>
      <c r="F15" s="8">
        <v>26.92</v>
      </c>
      <c r="G15" s="12">
        <v>1</v>
      </c>
      <c r="H15" s="8">
        <v>3.57</v>
      </c>
      <c r="I15" s="12">
        <v>0</v>
      </c>
    </row>
    <row r="16" spans="2:9" ht="15" customHeight="1" x14ac:dyDescent="0.2">
      <c r="B16" t="s">
        <v>201</v>
      </c>
      <c r="C16" s="12">
        <v>9</v>
      </c>
      <c r="D16" s="8">
        <v>10.84</v>
      </c>
      <c r="E16" s="12">
        <v>7</v>
      </c>
      <c r="F16" s="8">
        <v>13.46</v>
      </c>
      <c r="G16" s="12">
        <v>2</v>
      </c>
      <c r="H16" s="8">
        <v>7.14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1.2</v>
      </c>
      <c r="E17" s="12">
        <v>1</v>
      </c>
      <c r="F17" s="8">
        <v>1.92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2.41</v>
      </c>
      <c r="E18" s="12">
        <v>1</v>
      </c>
      <c r="F18" s="8">
        <v>1.92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2.41</v>
      </c>
      <c r="E19" s="12">
        <v>0</v>
      </c>
      <c r="F19" s="8">
        <v>0</v>
      </c>
      <c r="G19" s="12">
        <v>1</v>
      </c>
      <c r="H19" s="8">
        <v>3.57</v>
      </c>
      <c r="I19" s="12">
        <v>0</v>
      </c>
    </row>
    <row r="20" spans="2:9" ht="15" customHeight="1" x14ac:dyDescent="0.2">
      <c r="B20" s="9" t="s">
        <v>529</v>
      </c>
      <c r="C20" s="12">
        <f>SUM(LTBL_01392[総数／事業所数])</f>
        <v>83</v>
      </c>
      <c r="E20" s="12">
        <f>SUBTOTAL(109,LTBL_01392[個人／事業所数])</f>
        <v>52</v>
      </c>
      <c r="G20" s="12">
        <f>SUBTOTAL(109,LTBL_01392[法人／事業所数])</f>
        <v>28</v>
      </c>
      <c r="I20" s="12">
        <f>SUBTOTAL(109,LTBL_01392[法人以外の団体／事業所数])</f>
        <v>0</v>
      </c>
    </row>
    <row r="21" spans="2:9" ht="15" customHeight="1" x14ac:dyDescent="0.2">
      <c r="E21" s="11">
        <f>LTBL_01392[[#Totals],[個人／事業所数]]/LTBL_01392[[#Totals],[総数／事業所数]]</f>
        <v>0.62650602409638556</v>
      </c>
      <c r="G21" s="11">
        <f>LTBL_01392[[#Totals],[法人／事業所数]]/LTBL_01392[[#Totals],[総数／事業所数]]</f>
        <v>0.33734939759036142</v>
      </c>
      <c r="I21" s="11">
        <f>LTBL_01392[[#Totals],[法人以外の団体／事業所数]]/LTBL_01392[[#Totals],[総数／事業所数]]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14</v>
      </c>
      <c r="D24" s="8">
        <v>16.87</v>
      </c>
      <c r="E24" s="12">
        <v>13</v>
      </c>
      <c r="F24" s="8">
        <v>25</v>
      </c>
      <c r="G24" s="12">
        <v>1</v>
      </c>
      <c r="H24" s="8">
        <v>3.57</v>
      </c>
      <c r="I24" s="12">
        <v>0</v>
      </c>
    </row>
    <row r="25" spans="2:9" ht="15" customHeight="1" x14ac:dyDescent="0.2">
      <c r="B25" t="s">
        <v>221</v>
      </c>
      <c r="C25" s="12">
        <v>12</v>
      </c>
      <c r="D25" s="8">
        <v>14.46</v>
      </c>
      <c r="E25" s="12">
        <v>10</v>
      </c>
      <c r="F25" s="8">
        <v>19.23</v>
      </c>
      <c r="G25" s="12">
        <v>2</v>
      </c>
      <c r="H25" s="8">
        <v>7.14</v>
      </c>
      <c r="I25" s="12">
        <v>0</v>
      </c>
    </row>
    <row r="26" spans="2:9" ht="15" customHeight="1" x14ac:dyDescent="0.2">
      <c r="B26" t="s">
        <v>223</v>
      </c>
      <c r="C26" s="12">
        <v>7</v>
      </c>
      <c r="D26" s="8">
        <v>8.43</v>
      </c>
      <c r="E26" s="12">
        <v>6</v>
      </c>
      <c r="F26" s="8">
        <v>11.54</v>
      </c>
      <c r="G26" s="12">
        <v>1</v>
      </c>
      <c r="H26" s="8">
        <v>3.57</v>
      </c>
      <c r="I26" s="12">
        <v>0</v>
      </c>
    </row>
    <row r="27" spans="2:9" ht="15" customHeight="1" x14ac:dyDescent="0.2">
      <c r="B27" t="s">
        <v>228</v>
      </c>
      <c r="C27" s="12">
        <v>6</v>
      </c>
      <c r="D27" s="8">
        <v>7.23</v>
      </c>
      <c r="E27" s="12">
        <v>6</v>
      </c>
      <c r="F27" s="8">
        <v>11.54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213</v>
      </c>
      <c r="C28" s="12">
        <v>5</v>
      </c>
      <c r="D28" s="8">
        <v>6.02</v>
      </c>
      <c r="E28" s="12">
        <v>1</v>
      </c>
      <c r="F28" s="8">
        <v>1.92</v>
      </c>
      <c r="G28" s="12">
        <v>4</v>
      </c>
      <c r="H28" s="8">
        <v>14.29</v>
      </c>
      <c r="I28" s="12">
        <v>0</v>
      </c>
    </row>
    <row r="29" spans="2:9" ht="15" customHeight="1" x14ac:dyDescent="0.2">
      <c r="B29" t="s">
        <v>215</v>
      </c>
      <c r="C29" s="12">
        <v>5</v>
      </c>
      <c r="D29" s="8">
        <v>6.02</v>
      </c>
      <c r="E29" s="12">
        <v>3</v>
      </c>
      <c r="F29" s="8">
        <v>5.77</v>
      </c>
      <c r="G29" s="12">
        <v>2</v>
      </c>
      <c r="H29" s="8">
        <v>7.14</v>
      </c>
      <c r="I29" s="12">
        <v>0</v>
      </c>
    </row>
    <row r="30" spans="2:9" ht="15" customHeight="1" x14ac:dyDescent="0.2">
      <c r="B30" t="s">
        <v>241</v>
      </c>
      <c r="C30" s="12">
        <v>4</v>
      </c>
      <c r="D30" s="8">
        <v>4.82</v>
      </c>
      <c r="E30" s="12">
        <v>0</v>
      </c>
      <c r="F30" s="8">
        <v>0</v>
      </c>
      <c r="G30" s="12">
        <v>4</v>
      </c>
      <c r="H30" s="8">
        <v>14.29</v>
      </c>
      <c r="I30" s="12">
        <v>0</v>
      </c>
    </row>
    <row r="31" spans="2:9" ht="15" customHeight="1" x14ac:dyDescent="0.2">
      <c r="B31" t="s">
        <v>216</v>
      </c>
      <c r="C31" s="12">
        <v>3</v>
      </c>
      <c r="D31" s="8">
        <v>3.61</v>
      </c>
      <c r="E31" s="12">
        <v>2</v>
      </c>
      <c r="F31" s="8">
        <v>3.85</v>
      </c>
      <c r="G31" s="12">
        <v>1</v>
      </c>
      <c r="H31" s="8">
        <v>3.57</v>
      </c>
      <c r="I31" s="12">
        <v>0</v>
      </c>
    </row>
    <row r="32" spans="2:9" ht="15" customHeight="1" x14ac:dyDescent="0.2">
      <c r="B32" t="s">
        <v>224</v>
      </c>
      <c r="C32" s="12">
        <v>3</v>
      </c>
      <c r="D32" s="8">
        <v>3.61</v>
      </c>
      <c r="E32" s="12">
        <v>0</v>
      </c>
      <c r="F32" s="8">
        <v>0</v>
      </c>
      <c r="G32" s="12">
        <v>3</v>
      </c>
      <c r="H32" s="8">
        <v>10.71</v>
      </c>
      <c r="I32" s="12">
        <v>0</v>
      </c>
    </row>
    <row r="33" spans="2:9" ht="15" customHeight="1" x14ac:dyDescent="0.2">
      <c r="B33" t="s">
        <v>214</v>
      </c>
      <c r="C33" s="12">
        <v>2</v>
      </c>
      <c r="D33" s="8">
        <v>2.41</v>
      </c>
      <c r="E33" s="12">
        <v>2</v>
      </c>
      <c r="F33" s="8">
        <v>3.85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255</v>
      </c>
      <c r="C34" s="12">
        <v>2</v>
      </c>
      <c r="D34" s="8">
        <v>2.41</v>
      </c>
      <c r="E34" s="12">
        <v>0</v>
      </c>
      <c r="F34" s="8">
        <v>0</v>
      </c>
      <c r="G34" s="12">
        <v>1</v>
      </c>
      <c r="H34" s="8">
        <v>3.57</v>
      </c>
      <c r="I34" s="12">
        <v>0</v>
      </c>
    </row>
    <row r="35" spans="2:9" ht="15" customHeight="1" x14ac:dyDescent="0.2">
      <c r="B35" t="s">
        <v>220</v>
      </c>
      <c r="C35" s="12">
        <v>2</v>
      </c>
      <c r="D35" s="8">
        <v>2.41</v>
      </c>
      <c r="E35" s="12">
        <v>1</v>
      </c>
      <c r="F35" s="8">
        <v>1.92</v>
      </c>
      <c r="G35" s="12">
        <v>1</v>
      </c>
      <c r="H35" s="8">
        <v>3.57</v>
      </c>
      <c r="I35" s="12">
        <v>0</v>
      </c>
    </row>
    <row r="36" spans="2:9" ht="15" customHeight="1" x14ac:dyDescent="0.2">
      <c r="B36" t="s">
        <v>222</v>
      </c>
      <c r="C36" s="12">
        <v>2</v>
      </c>
      <c r="D36" s="8">
        <v>2.41</v>
      </c>
      <c r="E36" s="12">
        <v>2</v>
      </c>
      <c r="F36" s="8">
        <v>3.85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229</v>
      </c>
      <c r="C37" s="12">
        <v>2</v>
      </c>
      <c r="D37" s="8">
        <v>2.41</v>
      </c>
      <c r="E37" s="12">
        <v>0</v>
      </c>
      <c r="F37" s="8">
        <v>0</v>
      </c>
      <c r="G37" s="12">
        <v>2</v>
      </c>
      <c r="H37" s="8">
        <v>7.14</v>
      </c>
      <c r="I37" s="12">
        <v>0</v>
      </c>
    </row>
    <row r="38" spans="2:9" ht="15" customHeight="1" x14ac:dyDescent="0.2">
      <c r="B38" t="s">
        <v>252</v>
      </c>
      <c r="C38" s="12">
        <v>1</v>
      </c>
      <c r="D38" s="8">
        <v>1.2</v>
      </c>
      <c r="E38" s="12">
        <v>0</v>
      </c>
      <c r="F38" s="8">
        <v>0</v>
      </c>
      <c r="G38" s="12">
        <v>1</v>
      </c>
      <c r="H38" s="8">
        <v>3.57</v>
      </c>
      <c r="I38" s="12">
        <v>0</v>
      </c>
    </row>
    <row r="39" spans="2:9" ht="15" customHeight="1" x14ac:dyDescent="0.2">
      <c r="B39" t="s">
        <v>272</v>
      </c>
      <c r="C39" s="12">
        <v>1</v>
      </c>
      <c r="D39" s="8">
        <v>1.2</v>
      </c>
      <c r="E39" s="12">
        <v>1</v>
      </c>
      <c r="F39" s="8">
        <v>1.92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265</v>
      </c>
      <c r="C40" s="12">
        <v>1</v>
      </c>
      <c r="D40" s="8">
        <v>1.2</v>
      </c>
      <c r="E40" s="12">
        <v>0</v>
      </c>
      <c r="F40" s="8">
        <v>0</v>
      </c>
      <c r="G40" s="12">
        <v>1</v>
      </c>
      <c r="H40" s="8">
        <v>3.57</v>
      </c>
      <c r="I40" s="12">
        <v>0</v>
      </c>
    </row>
    <row r="41" spans="2:9" ht="15" customHeight="1" x14ac:dyDescent="0.2">
      <c r="B41" t="s">
        <v>238</v>
      </c>
      <c r="C41" s="12">
        <v>1</v>
      </c>
      <c r="D41" s="8">
        <v>1.2</v>
      </c>
      <c r="E41" s="12">
        <v>0</v>
      </c>
      <c r="F41" s="8">
        <v>0</v>
      </c>
      <c r="G41" s="12">
        <v>1</v>
      </c>
      <c r="H41" s="8">
        <v>3.57</v>
      </c>
      <c r="I41" s="12">
        <v>0</v>
      </c>
    </row>
    <row r="42" spans="2:9" ht="15" customHeight="1" x14ac:dyDescent="0.2">
      <c r="B42" t="s">
        <v>248</v>
      </c>
      <c r="C42" s="12">
        <v>1</v>
      </c>
      <c r="D42" s="8">
        <v>1.2</v>
      </c>
      <c r="E42" s="12">
        <v>0</v>
      </c>
      <c r="F42" s="8">
        <v>0</v>
      </c>
      <c r="G42" s="12">
        <v>1</v>
      </c>
      <c r="H42" s="8">
        <v>3.57</v>
      </c>
      <c r="I42" s="12">
        <v>0</v>
      </c>
    </row>
    <row r="43" spans="2:9" ht="15" customHeight="1" x14ac:dyDescent="0.2">
      <c r="B43" t="s">
        <v>261</v>
      </c>
      <c r="C43" s="12">
        <v>1</v>
      </c>
      <c r="D43" s="8">
        <v>1.2</v>
      </c>
      <c r="E43" s="12">
        <v>0</v>
      </c>
      <c r="F43" s="8">
        <v>0</v>
      </c>
      <c r="G43" s="12">
        <v>1</v>
      </c>
      <c r="H43" s="8">
        <v>3.57</v>
      </c>
      <c r="I43" s="12">
        <v>0</v>
      </c>
    </row>
    <row r="44" spans="2:9" ht="15" customHeight="1" x14ac:dyDescent="0.2">
      <c r="B44" t="s">
        <v>226</v>
      </c>
      <c r="C44" s="12">
        <v>1</v>
      </c>
      <c r="D44" s="8">
        <v>1.2</v>
      </c>
      <c r="E44" s="12">
        <v>1</v>
      </c>
      <c r="F44" s="8">
        <v>1.92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243</v>
      </c>
      <c r="C45" s="12">
        <v>1</v>
      </c>
      <c r="D45" s="8">
        <v>1.2</v>
      </c>
      <c r="E45" s="12">
        <v>1</v>
      </c>
      <c r="F45" s="8">
        <v>1.92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247</v>
      </c>
      <c r="C46" s="12">
        <v>1</v>
      </c>
      <c r="D46" s="8">
        <v>1.2</v>
      </c>
      <c r="E46" s="12">
        <v>1</v>
      </c>
      <c r="F46" s="8">
        <v>1.92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230</v>
      </c>
      <c r="C47" s="12">
        <v>1</v>
      </c>
      <c r="D47" s="8">
        <v>1.2</v>
      </c>
      <c r="E47" s="12">
        <v>1</v>
      </c>
      <c r="F47" s="8">
        <v>1.92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231</v>
      </c>
      <c r="C48" s="12">
        <v>1</v>
      </c>
      <c r="D48" s="8">
        <v>1.2</v>
      </c>
      <c r="E48" s="12">
        <v>1</v>
      </c>
      <c r="F48" s="8">
        <v>1.92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232</v>
      </c>
      <c r="C49" s="12">
        <v>1</v>
      </c>
      <c r="D49" s="8">
        <v>1.2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249</v>
      </c>
      <c r="C50" s="12">
        <v>1</v>
      </c>
      <c r="D50" s="8">
        <v>1.2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240</v>
      </c>
      <c r="C51" s="12">
        <v>1</v>
      </c>
      <c r="D51" s="8">
        <v>1.2</v>
      </c>
      <c r="E51" s="12">
        <v>0</v>
      </c>
      <c r="F51" s="8">
        <v>0</v>
      </c>
      <c r="G51" s="12">
        <v>1</v>
      </c>
      <c r="H51" s="8">
        <v>3.57</v>
      </c>
      <c r="I51" s="12">
        <v>0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329</v>
      </c>
      <c r="C55" s="12">
        <v>5</v>
      </c>
      <c r="D55" s="8">
        <v>6.02</v>
      </c>
      <c r="E55" s="12">
        <v>4</v>
      </c>
      <c r="F55" s="8">
        <v>7.69</v>
      </c>
      <c r="G55" s="12">
        <v>1</v>
      </c>
      <c r="H55" s="8">
        <v>3.57</v>
      </c>
      <c r="I55" s="12">
        <v>0</v>
      </c>
    </row>
    <row r="56" spans="2:9" ht="15" customHeight="1" x14ac:dyDescent="0.2">
      <c r="B56" t="s">
        <v>334</v>
      </c>
      <c r="C56" s="12">
        <v>5</v>
      </c>
      <c r="D56" s="8">
        <v>6.02</v>
      </c>
      <c r="E56" s="12">
        <v>5</v>
      </c>
      <c r="F56" s="8">
        <v>9.6199999999999992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342</v>
      </c>
      <c r="C57" s="12">
        <v>4</v>
      </c>
      <c r="D57" s="8">
        <v>4.82</v>
      </c>
      <c r="E57" s="12">
        <v>0</v>
      </c>
      <c r="F57" s="8">
        <v>0</v>
      </c>
      <c r="G57" s="12">
        <v>4</v>
      </c>
      <c r="H57" s="8">
        <v>14.29</v>
      </c>
      <c r="I57" s="12">
        <v>0</v>
      </c>
    </row>
    <row r="58" spans="2:9" ht="15" customHeight="1" x14ac:dyDescent="0.2">
      <c r="B58" t="s">
        <v>304</v>
      </c>
      <c r="C58" s="12">
        <v>4</v>
      </c>
      <c r="D58" s="8">
        <v>4.82</v>
      </c>
      <c r="E58" s="12">
        <v>4</v>
      </c>
      <c r="F58" s="8">
        <v>7.69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289</v>
      </c>
      <c r="C59" s="12">
        <v>3</v>
      </c>
      <c r="D59" s="8">
        <v>3.61</v>
      </c>
      <c r="E59" s="12">
        <v>0</v>
      </c>
      <c r="F59" s="8">
        <v>0</v>
      </c>
      <c r="G59" s="12">
        <v>3</v>
      </c>
      <c r="H59" s="8">
        <v>10.71</v>
      </c>
      <c r="I59" s="12">
        <v>0</v>
      </c>
    </row>
    <row r="60" spans="2:9" ht="15" customHeight="1" x14ac:dyDescent="0.2">
      <c r="B60" t="s">
        <v>290</v>
      </c>
      <c r="C60" s="12">
        <v>3</v>
      </c>
      <c r="D60" s="8">
        <v>3.61</v>
      </c>
      <c r="E60" s="12">
        <v>1</v>
      </c>
      <c r="F60" s="8">
        <v>1.92</v>
      </c>
      <c r="G60" s="12">
        <v>2</v>
      </c>
      <c r="H60" s="8">
        <v>7.14</v>
      </c>
      <c r="I60" s="12">
        <v>0</v>
      </c>
    </row>
    <row r="61" spans="2:9" ht="15" customHeight="1" x14ac:dyDescent="0.2">
      <c r="B61" t="s">
        <v>301</v>
      </c>
      <c r="C61" s="12">
        <v>3</v>
      </c>
      <c r="D61" s="8">
        <v>3.61</v>
      </c>
      <c r="E61" s="12">
        <v>3</v>
      </c>
      <c r="F61" s="8">
        <v>5.77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291</v>
      </c>
      <c r="C62" s="12">
        <v>2</v>
      </c>
      <c r="D62" s="8">
        <v>2.41</v>
      </c>
      <c r="E62" s="12">
        <v>2</v>
      </c>
      <c r="F62" s="8">
        <v>3.85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324</v>
      </c>
      <c r="C63" s="12">
        <v>2</v>
      </c>
      <c r="D63" s="8">
        <v>2.41</v>
      </c>
      <c r="E63" s="12">
        <v>2</v>
      </c>
      <c r="F63" s="8">
        <v>3.85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354</v>
      </c>
      <c r="C64" s="12">
        <v>2</v>
      </c>
      <c r="D64" s="8">
        <v>2.41</v>
      </c>
      <c r="E64" s="12">
        <v>2</v>
      </c>
      <c r="F64" s="8">
        <v>3.85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380</v>
      </c>
      <c r="C65" s="12">
        <v>2</v>
      </c>
      <c r="D65" s="8">
        <v>2.41</v>
      </c>
      <c r="E65" s="12">
        <v>2</v>
      </c>
      <c r="F65" s="8">
        <v>3.85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330</v>
      </c>
      <c r="C66" s="12">
        <v>2</v>
      </c>
      <c r="D66" s="8">
        <v>2.41</v>
      </c>
      <c r="E66" s="12">
        <v>1</v>
      </c>
      <c r="F66" s="8">
        <v>1.92</v>
      </c>
      <c r="G66" s="12">
        <v>1</v>
      </c>
      <c r="H66" s="8">
        <v>3.57</v>
      </c>
      <c r="I66" s="12">
        <v>0</v>
      </c>
    </row>
    <row r="67" spans="2:9" ht="15" customHeight="1" x14ac:dyDescent="0.2">
      <c r="B67" t="s">
        <v>295</v>
      </c>
      <c r="C67" s="12">
        <v>2</v>
      </c>
      <c r="D67" s="8">
        <v>2.41</v>
      </c>
      <c r="E67" s="12">
        <v>2</v>
      </c>
      <c r="F67" s="8">
        <v>3.85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297</v>
      </c>
      <c r="C68" s="12">
        <v>2</v>
      </c>
      <c r="D68" s="8">
        <v>2.41</v>
      </c>
      <c r="E68" s="12">
        <v>0</v>
      </c>
      <c r="F68" s="8">
        <v>0</v>
      </c>
      <c r="G68" s="12">
        <v>2</v>
      </c>
      <c r="H68" s="8">
        <v>7.14</v>
      </c>
      <c r="I68" s="12">
        <v>0</v>
      </c>
    </row>
    <row r="69" spans="2:9" ht="15" customHeight="1" x14ac:dyDescent="0.2">
      <c r="B69" t="s">
        <v>299</v>
      </c>
      <c r="C69" s="12">
        <v>2</v>
      </c>
      <c r="D69" s="8">
        <v>2.41</v>
      </c>
      <c r="E69" s="12">
        <v>1</v>
      </c>
      <c r="F69" s="8">
        <v>1.92</v>
      </c>
      <c r="G69" s="12">
        <v>1</v>
      </c>
      <c r="H69" s="8">
        <v>3.57</v>
      </c>
      <c r="I69" s="12">
        <v>0</v>
      </c>
    </row>
    <row r="70" spans="2:9" ht="15" customHeight="1" x14ac:dyDescent="0.2">
      <c r="B70" t="s">
        <v>349</v>
      </c>
      <c r="C70" s="12">
        <v>2</v>
      </c>
      <c r="D70" s="8">
        <v>2.41</v>
      </c>
      <c r="E70" s="12">
        <v>2</v>
      </c>
      <c r="F70" s="8">
        <v>3.85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300</v>
      </c>
      <c r="C71" s="12">
        <v>2</v>
      </c>
      <c r="D71" s="8">
        <v>2.41</v>
      </c>
      <c r="E71" s="12">
        <v>2</v>
      </c>
      <c r="F71" s="8">
        <v>3.85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303</v>
      </c>
      <c r="C72" s="12">
        <v>2</v>
      </c>
      <c r="D72" s="8">
        <v>2.41</v>
      </c>
      <c r="E72" s="12">
        <v>2</v>
      </c>
      <c r="F72" s="8">
        <v>3.85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328</v>
      </c>
      <c r="C73" s="12">
        <v>1</v>
      </c>
      <c r="D73" s="8">
        <v>1.2</v>
      </c>
      <c r="E73" s="12">
        <v>0</v>
      </c>
      <c r="F73" s="8">
        <v>0</v>
      </c>
      <c r="G73" s="12">
        <v>1</v>
      </c>
      <c r="H73" s="8">
        <v>3.57</v>
      </c>
      <c r="I73" s="12">
        <v>0</v>
      </c>
    </row>
    <row r="74" spans="2:9" ht="15" customHeight="1" x14ac:dyDescent="0.2">
      <c r="B74" t="s">
        <v>319</v>
      </c>
      <c r="C74" s="12">
        <v>1</v>
      </c>
      <c r="D74" s="8">
        <v>1.2</v>
      </c>
      <c r="E74" s="12">
        <v>1</v>
      </c>
      <c r="F74" s="8">
        <v>1.92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343</v>
      </c>
      <c r="C75" s="12">
        <v>1</v>
      </c>
      <c r="D75" s="8">
        <v>1.2</v>
      </c>
      <c r="E75" s="12">
        <v>1</v>
      </c>
      <c r="F75" s="8">
        <v>1.92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333</v>
      </c>
      <c r="C76" s="12">
        <v>1</v>
      </c>
      <c r="D76" s="8">
        <v>1.2</v>
      </c>
      <c r="E76" s="12">
        <v>1</v>
      </c>
      <c r="F76" s="8">
        <v>1.92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399</v>
      </c>
      <c r="C77" s="12">
        <v>1</v>
      </c>
      <c r="D77" s="8">
        <v>1.2</v>
      </c>
      <c r="E77" s="12">
        <v>0</v>
      </c>
      <c r="F77" s="8">
        <v>0</v>
      </c>
      <c r="G77" s="12">
        <v>1</v>
      </c>
      <c r="H77" s="8">
        <v>3.57</v>
      </c>
      <c r="I77" s="12">
        <v>0</v>
      </c>
    </row>
    <row r="78" spans="2:9" ht="15" customHeight="1" x14ac:dyDescent="0.2">
      <c r="B78" t="s">
        <v>406</v>
      </c>
      <c r="C78" s="12">
        <v>1</v>
      </c>
      <c r="D78" s="8">
        <v>1.2</v>
      </c>
      <c r="E78" s="12">
        <v>1</v>
      </c>
      <c r="F78" s="8">
        <v>1.92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387</v>
      </c>
      <c r="C79" s="12">
        <v>1</v>
      </c>
      <c r="D79" s="8">
        <v>1.2</v>
      </c>
      <c r="E79" s="12">
        <v>0</v>
      </c>
      <c r="F79" s="8">
        <v>0</v>
      </c>
      <c r="G79" s="12">
        <v>1</v>
      </c>
      <c r="H79" s="8">
        <v>3.57</v>
      </c>
      <c r="I79" s="12">
        <v>0</v>
      </c>
    </row>
    <row r="80" spans="2:9" ht="15" customHeight="1" x14ac:dyDescent="0.2">
      <c r="B80" t="s">
        <v>362</v>
      </c>
      <c r="C80" s="12">
        <v>1</v>
      </c>
      <c r="D80" s="8">
        <v>1.2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407</v>
      </c>
      <c r="C81" s="12">
        <v>1</v>
      </c>
      <c r="D81" s="8">
        <v>1.2</v>
      </c>
      <c r="E81" s="12">
        <v>0</v>
      </c>
      <c r="F81" s="8">
        <v>0</v>
      </c>
      <c r="G81" s="12">
        <v>1</v>
      </c>
      <c r="H81" s="8">
        <v>3.57</v>
      </c>
      <c r="I81" s="12">
        <v>0</v>
      </c>
    </row>
    <row r="82" spans="2:9" ht="15" customHeight="1" x14ac:dyDescent="0.2">
      <c r="B82" t="s">
        <v>326</v>
      </c>
      <c r="C82" s="12">
        <v>1</v>
      </c>
      <c r="D82" s="8">
        <v>1.2</v>
      </c>
      <c r="E82" s="12">
        <v>0</v>
      </c>
      <c r="F82" s="8">
        <v>0</v>
      </c>
      <c r="G82" s="12">
        <v>1</v>
      </c>
      <c r="H82" s="8">
        <v>3.57</v>
      </c>
      <c r="I82" s="12">
        <v>0</v>
      </c>
    </row>
    <row r="83" spans="2:9" ht="15" customHeight="1" x14ac:dyDescent="0.2">
      <c r="B83" t="s">
        <v>350</v>
      </c>
      <c r="C83" s="12">
        <v>1</v>
      </c>
      <c r="D83" s="8">
        <v>1.2</v>
      </c>
      <c r="E83" s="12">
        <v>0</v>
      </c>
      <c r="F83" s="8">
        <v>0</v>
      </c>
      <c r="G83" s="12">
        <v>1</v>
      </c>
      <c r="H83" s="8">
        <v>3.57</v>
      </c>
      <c r="I83" s="12">
        <v>0</v>
      </c>
    </row>
    <row r="84" spans="2:9" ht="15" customHeight="1" x14ac:dyDescent="0.2">
      <c r="B84" t="s">
        <v>408</v>
      </c>
      <c r="C84" s="12">
        <v>1</v>
      </c>
      <c r="D84" s="8">
        <v>1.2</v>
      </c>
      <c r="E84" s="12">
        <v>0</v>
      </c>
      <c r="F84" s="8">
        <v>0</v>
      </c>
      <c r="G84" s="12">
        <v>1</v>
      </c>
      <c r="H84" s="8">
        <v>3.57</v>
      </c>
      <c r="I84" s="12">
        <v>0</v>
      </c>
    </row>
    <row r="85" spans="2:9" ht="15" customHeight="1" x14ac:dyDescent="0.2">
      <c r="B85" t="s">
        <v>358</v>
      </c>
      <c r="C85" s="12">
        <v>1</v>
      </c>
      <c r="D85" s="8">
        <v>1.2</v>
      </c>
      <c r="E85" s="12">
        <v>0</v>
      </c>
      <c r="F85" s="8">
        <v>0</v>
      </c>
      <c r="G85" s="12">
        <v>1</v>
      </c>
      <c r="H85" s="8">
        <v>3.57</v>
      </c>
      <c r="I85" s="12">
        <v>0</v>
      </c>
    </row>
    <row r="86" spans="2:9" ht="15" customHeight="1" x14ac:dyDescent="0.2">
      <c r="B86" t="s">
        <v>400</v>
      </c>
      <c r="C86" s="12">
        <v>1</v>
      </c>
      <c r="D86" s="8">
        <v>1.2</v>
      </c>
      <c r="E86" s="12">
        <v>1</v>
      </c>
      <c r="F86" s="8">
        <v>1.92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382</v>
      </c>
      <c r="C87" s="12">
        <v>1</v>
      </c>
      <c r="D87" s="8">
        <v>1.2</v>
      </c>
      <c r="E87" s="12">
        <v>0</v>
      </c>
      <c r="F87" s="8">
        <v>0</v>
      </c>
      <c r="G87" s="12">
        <v>1</v>
      </c>
      <c r="H87" s="8">
        <v>3.57</v>
      </c>
      <c r="I87" s="12">
        <v>0</v>
      </c>
    </row>
    <row r="88" spans="2:9" ht="15" customHeight="1" x14ac:dyDescent="0.2">
      <c r="B88" t="s">
        <v>366</v>
      </c>
      <c r="C88" s="12">
        <v>1</v>
      </c>
      <c r="D88" s="8">
        <v>1.2</v>
      </c>
      <c r="E88" s="12">
        <v>1</v>
      </c>
      <c r="F88" s="8">
        <v>1.92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332</v>
      </c>
      <c r="C89" s="12">
        <v>1</v>
      </c>
      <c r="D89" s="8">
        <v>1.2</v>
      </c>
      <c r="E89" s="12">
        <v>0</v>
      </c>
      <c r="F89" s="8">
        <v>0</v>
      </c>
      <c r="G89" s="12">
        <v>1</v>
      </c>
      <c r="H89" s="8">
        <v>3.57</v>
      </c>
      <c r="I89" s="12">
        <v>0</v>
      </c>
    </row>
    <row r="90" spans="2:9" ht="15" customHeight="1" x14ac:dyDescent="0.2">
      <c r="B90" t="s">
        <v>292</v>
      </c>
      <c r="C90" s="12">
        <v>1</v>
      </c>
      <c r="D90" s="8">
        <v>1.2</v>
      </c>
      <c r="E90" s="12">
        <v>1</v>
      </c>
      <c r="F90" s="8">
        <v>1.92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293</v>
      </c>
      <c r="C91" s="12">
        <v>1</v>
      </c>
      <c r="D91" s="8">
        <v>1.2</v>
      </c>
      <c r="E91" s="12">
        <v>1</v>
      </c>
      <c r="F91" s="8">
        <v>1.92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335</v>
      </c>
      <c r="C92" s="12">
        <v>1</v>
      </c>
      <c r="D92" s="8">
        <v>1.2</v>
      </c>
      <c r="E92" s="12">
        <v>1</v>
      </c>
      <c r="F92" s="8">
        <v>1.92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294</v>
      </c>
      <c r="C93" s="12">
        <v>1</v>
      </c>
      <c r="D93" s="8">
        <v>1.2</v>
      </c>
      <c r="E93" s="12">
        <v>1</v>
      </c>
      <c r="F93" s="8">
        <v>1.92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337</v>
      </c>
      <c r="C94" s="12">
        <v>1</v>
      </c>
      <c r="D94" s="8">
        <v>1.2</v>
      </c>
      <c r="E94" s="12">
        <v>1</v>
      </c>
      <c r="F94" s="8">
        <v>1.92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338</v>
      </c>
      <c r="C95" s="12">
        <v>1</v>
      </c>
      <c r="D95" s="8">
        <v>1.2</v>
      </c>
      <c r="E95" s="12">
        <v>1</v>
      </c>
      <c r="F95" s="8">
        <v>1.92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296</v>
      </c>
      <c r="C96" s="12">
        <v>1</v>
      </c>
      <c r="D96" s="8">
        <v>1.2</v>
      </c>
      <c r="E96" s="12">
        <v>0</v>
      </c>
      <c r="F96" s="8">
        <v>0</v>
      </c>
      <c r="G96" s="12">
        <v>1</v>
      </c>
      <c r="H96" s="8">
        <v>3.57</v>
      </c>
      <c r="I96" s="12">
        <v>0</v>
      </c>
    </row>
    <row r="97" spans="2:9" ht="15" customHeight="1" x14ac:dyDescent="0.2">
      <c r="B97" t="s">
        <v>409</v>
      </c>
      <c r="C97" s="12">
        <v>1</v>
      </c>
      <c r="D97" s="8">
        <v>1.2</v>
      </c>
      <c r="E97" s="12">
        <v>1</v>
      </c>
      <c r="F97" s="8">
        <v>1.92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339</v>
      </c>
      <c r="C98" s="12">
        <v>1</v>
      </c>
      <c r="D98" s="8">
        <v>1.2</v>
      </c>
      <c r="E98" s="12">
        <v>1</v>
      </c>
      <c r="F98" s="8">
        <v>1.92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410</v>
      </c>
      <c r="C99" s="12">
        <v>1</v>
      </c>
      <c r="D99" s="8">
        <v>1.2</v>
      </c>
      <c r="E99" s="12">
        <v>0</v>
      </c>
      <c r="F99" s="8">
        <v>0</v>
      </c>
      <c r="G99" s="12">
        <v>1</v>
      </c>
      <c r="H99" s="8">
        <v>3.57</v>
      </c>
      <c r="I99" s="12">
        <v>0</v>
      </c>
    </row>
    <row r="100" spans="2:9" ht="15" customHeight="1" x14ac:dyDescent="0.2">
      <c r="B100" t="s">
        <v>352</v>
      </c>
      <c r="C100" s="12">
        <v>1</v>
      </c>
      <c r="D100" s="8">
        <v>1.2</v>
      </c>
      <c r="E100" s="12">
        <v>0</v>
      </c>
      <c r="F100" s="8">
        <v>0</v>
      </c>
      <c r="G100" s="12">
        <v>1</v>
      </c>
      <c r="H100" s="8">
        <v>3.57</v>
      </c>
      <c r="I100" s="12">
        <v>0</v>
      </c>
    </row>
    <row r="101" spans="2:9" ht="15" customHeight="1" x14ac:dyDescent="0.2">
      <c r="B101" t="s">
        <v>411</v>
      </c>
      <c r="C101" s="12">
        <v>1</v>
      </c>
      <c r="D101" s="8">
        <v>1.2</v>
      </c>
      <c r="E101" s="12">
        <v>1</v>
      </c>
      <c r="F101" s="8">
        <v>1.92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305</v>
      </c>
      <c r="C102" s="12">
        <v>1</v>
      </c>
      <c r="D102" s="8">
        <v>1.2</v>
      </c>
      <c r="E102" s="12">
        <v>1</v>
      </c>
      <c r="F102" s="8">
        <v>1.92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312</v>
      </c>
      <c r="C103" s="12">
        <v>1</v>
      </c>
      <c r="D103" s="8">
        <v>1.2</v>
      </c>
      <c r="E103" s="12">
        <v>1</v>
      </c>
      <c r="F103" s="8">
        <v>1.92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412</v>
      </c>
      <c r="C104" s="12">
        <v>1</v>
      </c>
      <c r="D104" s="8">
        <v>1.2</v>
      </c>
      <c r="E104" s="12">
        <v>0</v>
      </c>
      <c r="F104" s="8">
        <v>0</v>
      </c>
      <c r="G104" s="12">
        <v>0</v>
      </c>
      <c r="H104" s="8">
        <v>0</v>
      </c>
      <c r="I104" s="12">
        <v>0</v>
      </c>
    </row>
    <row r="105" spans="2:9" ht="15" customHeight="1" x14ac:dyDescent="0.2">
      <c r="B105" t="s">
        <v>370</v>
      </c>
      <c r="C105" s="12">
        <v>1</v>
      </c>
      <c r="D105" s="8">
        <v>1.2</v>
      </c>
      <c r="E105" s="12">
        <v>0</v>
      </c>
      <c r="F105" s="8">
        <v>0</v>
      </c>
      <c r="G105" s="12">
        <v>0</v>
      </c>
      <c r="H105" s="8">
        <v>0</v>
      </c>
      <c r="I105" s="12">
        <v>0</v>
      </c>
    </row>
    <row r="106" spans="2:9" ht="15" customHeight="1" x14ac:dyDescent="0.2">
      <c r="B106" t="s">
        <v>307</v>
      </c>
      <c r="C106" s="12">
        <v>1</v>
      </c>
      <c r="D106" s="8">
        <v>1.2</v>
      </c>
      <c r="E106" s="12">
        <v>0</v>
      </c>
      <c r="F106" s="8">
        <v>0</v>
      </c>
      <c r="G106" s="12">
        <v>1</v>
      </c>
      <c r="H106" s="8">
        <v>3.57</v>
      </c>
      <c r="I106" s="12">
        <v>0</v>
      </c>
    </row>
    <row r="108" spans="2:9" ht="15" customHeight="1" x14ac:dyDescent="0.2">
      <c r="B10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5ECFE-7B84-4415-85D2-226AA01BF8F2}">
  <sheetPr>
    <pageSetUpPr fitToPage="1"/>
  </sheetPr>
  <dimension ref="B2:I11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9</v>
      </c>
      <c r="D6" s="8">
        <v>11.25</v>
      </c>
      <c r="E6" s="12">
        <v>2</v>
      </c>
      <c r="F6" s="8">
        <v>4.88</v>
      </c>
      <c r="G6" s="12">
        <v>7</v>
      </c>
      <c r="H6" s="8">
        <v>21.88</v>
      </c>
      <c r="I6" s="12">
        <v>0</v>
      </c>
    </row>
    <row r="7" spans="2:9" ht="15" customHeight="1" x14ac:dyDescent="0.2">
      <c r="B7" t="s">
        <v>192</v>
      </c>
      <c r="C7" s="12">
        <v>4</v>
      </c>
      <c r="D7" s="8">
        <v>5</v>
      </c>
      <c r="E7" s="12">
        <v>2</v>
      </c>
      <c r="F7" s="8">
        <v>4.88</v>
      </c>
      <c r="G7" s="12">
        <v>1</v>
      </c>
      <c r="H7" s="8">
        <v>3.13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1.25</v>
      </c>
      <c r="E10" s="12">
        <v>0</v>
      </c>
      <c r="F10" s="8">
        <v>0</v>
      </c>
      <c r="G10" s="12">
        <v>1</v>
      </c>
      <c r="H10" s="8">
        <v>3.13</v>
      </c>
      <c r="I10" s="12">
        <v>0</v>
      </c>
    </row>
    <row r="11" spans="2:9" ht="15" customHeight="1" x14ac:dyDescent="0.2">
      <c r="B11" t="s">
        <v>196</v>
      </c>
      <c r="C11" s="12">
        <v>24</v>
      </c>
      <c r="D11" s="8">
        <v>30</v>
      </c>
      <c r="E11" s="12">
        <v>13</v>
      </c>
      <c r="F11" s="8">
        <v>31.71</v>
      </c>
      <c r="G11" s="12">
        <v>11</v>
      </c>
      <c r="H11" s="8">
        <v>34.380000000000003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8</v>
      </c>
      <c r="D13" s="8">
        <v>10</v>
      </c>
      <c r="E13" s="12">
        <v>5</v>
      </c>
      <c r="F13" s="8">
        <v>12.2</v>
      </c>
      <c r="G13" s="12">
        <v>3</v>
      </c>
      <c r="H13" s="8">
        <v>9.3800000000000008</v>
      </c>
      <c r="I13" s="12">
        <v>0</v>
      </c>
    </row>
    <row r="14" spans="2:9" ht="15" customHeight="1" x14ac:dyDescent="0.2">
      <c r="B14" t="s">
        <v>199</v>
      </c>
      <c r="C14" s="12">
        <v>5</v>
      </c>
      <c r="D14" s="8">
        <v>6.25</v>
      </c>
      <c r="E14" s="12">
        <v>4</v>
      </c>
      <c r="F14" s="8">
        <v>9.76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11</v>
      </c>
      <c r="D15" s="8">
        <v>13.75</v>
      </c>
      <c r="E15" s="12">
        <v>5</v>
      </c>
      <c r="F15" s="8">
        <v>12.2</v>
      </c>
      <c r="G15" s="12">
        <v>5</v>
      </c>
      <c r="H15" s="8">
        <v>15.63</v>
      </c>
      <c r="I15" s="12">
        <v>0</v>
      </c>
    </row>
    <row r="16" spans="2:9" ht="15" customHeight="1" x14ac:dyDescent="0.2">
      <c r="B16" t="s">
        <v>201</v>
      </c>
      <c r="C16" s="12">
        <v>7</v>
      </c>
      <c r="D16" s="8">
        <v>8.75</v>
      </c>
      <c r="E16" s="12">
        <v>6</v>
      </c>
      <c r="F16" s="8">
        <v>14.63</v>
      </c>
      <c r="G16" s="12">
        <v>0</v>
      </c>
      <c r="H16" s="8">
        <v>0</v>
      </c>
      <c r="I16" s="12">
        <v>1</v>
      </c>
    </row>
    <row r="17" spans="2:9" ht="15" customHeight="1" x14ac:dyDescent="0.2">
      <c r="B17" t="s">
        <v>202</v>
      </c>
      <c r="C17" s="12">
        <v>2</v>
      </c>
      <c r="D17" s="8">
        <v>2.5</v>
      </c>
      <c r="E17" s="12">
        <v>2</v>
      </c>
      <c r="F17" s="8">
        <v>4.88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6.25</v>
      </c>
      <c r="E18" s="12">
        <v>1</v>
      </c>
      <c r="F18" s="8">
        <v>2.44</v>
      </c>
      <c r="G18" s="12">
        <v>3</v>
      </c>
      <c r="H18" s="8">
        <v>9.3800000000000008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5</v>
      </c>
      <c r="E19" s="12">
        <v>1</v>
      </c>
      <c r="F19" s="8">
        <v>2.44</v>
      </c>
      <c r="G19" s="12">
        <v>1</v>
      </c>
      <c r="H19" s="8">
        <v>3.13</v>
      </c>
      <c r="I19" s="12">
        <v>1</v>
      </c>
    </row>
    <row r="20" spans="2:9" ht="15" customHeight="1" x14ac:dyDescent="0.2">
      <c r="B20" s="9" t="s">
        <v>529</v>
      </c>
      <c r="C20" s="12">
        <f>SUM(LTBL_01393[総数／事業所数])</f>
        <v>80</v>
      </c>
      <c r="E20" s="12">
        <f>SUBTOTAL(109,LTBL_01393[個人／事業所数])</f>
        <v>41</v>
      </c>
      <c r="G20" s="12">
        <f>SUBTOTAL(109,LTBL_01393[法人／事業所数])</f>
        <v>32</v>
      </c>
      <c r="I20" s="12">
        <f>SUBTOTAL(109,LTBL_01393[法人以外の団体／事業所数])</f>
        <v>2</v>
      </c>
    </row>
    <row r="21" spans="2:9" ht="15" customHeight="1" x14ac:dyDescent="0.2">
      <c r="E21" s="11">
        <f>LTBL_01393[[#Totals],[個人／事業所数]]/LTBL_01393[[#Totals],[総数／事業所数]]</f>
        <v>0.51249999999999996</v>
      </c>
      <c r="G21" s="11">
        <f>LTBL_01393[[#Totals],[法人／事業所数]]/LTBL_01393[[#Totals],[総数／事業所数]]</f>
        <v>0.4</v>
      </c>
      <c r="I21" s="11">
        <f>LTBL_01393[[#Totals],[法人以外の団体／事業所数]]/LTBL_01393[[#Totals],[総数／事業所数]]</f>
        <v>2.5000000000000001E-2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221</v>
      </c>
      <c r="C24" s="12">
        <v>9</v>
      </c>
      <c r="D24" s="8">
        <v>11.25</v>
      </c>
      <c r="E24" s="12">
        <v>7</v>
      </c>
      <c r="F24" s="8">
        <v>17.07</v>
      </c>
      <c r="G24" s="12">
        <v>2</v>
      </c>
      <c r="H24" s="8">
        <v>6.25</v>
      </c>
      <c r="I24" s="12">
        <v>0</v>
      </c>
    </row>
    <row r="25" spans="2:9" ht="15" customHeight="1" x14ac:dyDescent="0.2">
      <c r="B25" t="s">
        <v>223</v>
      </c>
      <c r="C25" s="12">
        <v>8</v>
      </c>
      <c r="D25" s="8">
        <v>10</v>
      </c>
      <c r="E25" s="12">
        <v>4</v>
      </c>
      <c r="F25" s="8">
        <v>9.76</v>
      </c>
      <c r="G25" s="12">
        <v>4</v>
      </c>
      <c r="H25" s="8">
        <v>12.5</v>
      </c>
      <c r="I25" s="12">
        <v>0</v>
      </c>
    </row>
    <row r="26" spans="2:9" ht="15" customHeight="1" x14ac:dyDescent="0.2">
      <c r="B26" t="s">
        <v>227</v>
      </c>
      <c r="C26" s="12">
        <v>6</v>
      </c>
      <c r="D26" s="8">
        <v>7.5</v>
      </c>
      <c r="E26" s="12">
        <v>4</v>
      </c>
      <c r="F26" s="8">
        <v>9.76</v>
      </c>
      <c r="G26" s="12">
        <v>2</v>
      </c>
      <c r="H26" s="8">
        <v>6.25</v>
      </c>
      <c r="I26" s="12">
        <v>0</v>
      </c>
    </row>
    <row r="27" spans="2:9" ht="15" customHeight="1" x14ac:dyDescent="0.2">
      <c r="B27" t="s">
        <v>228</v>
      </c>
      <c r="C27" s="12">
        <v>6</v>
      </c>
      <c r="D27" s="8">
        <v>7.5</v>
      </c>
      <c r="E27" s="12">
        <v>6</v>
      </c>
      <c r="F27" s="8">
        <v>14.63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224</v>
      </c>
      <c r="C28" s="12">
        <v>5</v>
      </c>
      <c r="D28" s="8">
        <v>6.25</v>
      </c>
      <c r="E28" s="12">
        <v>5</v>
      </c>
      <c r="F28" s="8">
        <v>12.2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214</v>
      </c>
      <c r="C29" s="12">
        <v>4</v>
      </c>
      <c r="D29" s="8">
        <v>5</v>
      </c>
      <c r="E29" s="12">
        <v>2</v>
      </c>
      <c r="F29" s="8">
        <v>4.88</v>
      </c>
      <c r="G29" s="12">
        <v>2</v>
      </c>
      <c r="H29" s="8">
        <v>6.25</v>
      </c>
      <c r="I29" s="12">
        <v>0</v>
      </c>
    </row>
    <row r="30" spans="2:9" ht="15" customHeight="1" x14ac:dyDescent="0.2">
      <c r="B30" t="s">
        <v>236</v>
      </c>
      <c r="C30" s="12">
        <v>4</v>
      </c>
      <c r="D30" s="8">
        <v>5</v>
      </c>
      <c r="E30" s="12">
        <v>2</v>
      </c>
      <c r="F30" s="8">
        <v>4.88</v>
      </c>
      <c r="G30" s="12">
        <v>2</v>
      </c>
      <c r="H30" s="8">
        <v>6.25</v>
      </c>
      <c r="I30" s="12">
        <v>0</v>
      </c>
    </row>
    <row r="31" spans="2:9" ht="15" customHeight="1" x14ac:dyDescent="0.2">
      <c r="B31" t="s">
        <v>232</v>
      </c>
      <c r="C31" s="12">
        <v>4</v>
      </c>
      <c r="D31" s="8">
        <v>5</v>
      </c>
      <c r="E31" s="12">
        <v>0</v>
      </c>
      <c r="F31" s="8">
        <v>0</v>
      </c>
      <c r="G31" s="12">
        <v>3</v>
      </c>
      <c r="H31" s="8">
        <v>9.3800000000000008</v>
      </c>
      <c r="I31" s="12">
        <v>0</v>
      </c>
    </row>
    <row r="32" spans="2:9" ht="15" customHeight="1" x14ac:dyDescent="0.2">
      <c r="B32" t="s">
        <v>213</v>
      </c>
      <c r="C32" s="12">
        <v>3</v>
      </c>
      <c r="D32" s="8">
        <v>3.75</v>
      </c>
      <c r="E32" s="12">
        <v>0</v>
      </c>
      <c r="F32" s="8">
        <v>0</v>
      </c>
      <c r="G32" s="12">
        <v>3</v>
      </c>
      <c r="H32" s="8">
        <v>9.3800000000000008</v>
      </c>
      <c r="I32" s="12">
        <v>0</v>
      </c>
    </row>
    <row r="33" spans="2:9" ht="15" customHeight="1" x14ac:dyDescent="0.2">
      <c r="B33" t="s">
        <v>246</v>
      </c>
      <c r="C33" s="12">
        <v>3</v>
      </c>
      <c r="D33" s="8">
        <v>3.75</v>
      </c>
      <c r="E33" s="12">
        <v>0</v>
      </c>
      <c r="F33" s="8">
        <v>0</v>
      </c>
      <c r="G33" s="12">
        <v>3</v>
      </c>
      <c r="H33" s="8">
        <v>9.3800000000000008</v>
      </c>
      <c r="I33" s="12">
        <v>0</v>
      </c>
    </row>
    <row r="34" spans="2:9" ht="15" customHeight="1" x14ac:dyDescent="0.2">
      <c r="B34" t="s">
        <v>225</v>
      </c>
      <c r="C34" s="12">
        <v>3</v>
      </c>
      <c r="D34" s="8">
        <v>3.75</v>
      </c>
      <c r="E34" s="12">
        <v>3</v>
      </c>
      <c r="F34" s="8">
        <v>7.32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243</v>
      </c>
      <c r="C35" s="12">
        <v>3</v>
      </c>
      <c r="D35" s="8">
        <v>3.75</v>
      </c>
      <c r="E35" s="12">
        <v>1</v>
      </c>
      <c r="F35" s="8">
        <v>2.44</v>
      </c>
      <c r="G35" s="12">
        <v>1</v>
      </c>
      <c r="H35" s="8">
        <v>3.13</v>
      </c>
      <c r="I35" s="12">
        <v>0</v>
      </c>
    </row>
    <row r="36" spans="2:9" ht="15" customHeight="1" x14ac:dyDescent="0.2">
      <c r="B36" t="s">
        <v>215</v>
      </c>
      <c r="C36" s="12">
        <v>2</v>
      </c>
      <c r="D36" s="8">
        <v>2.5</v>
      </c>
      <c r="E36" s="12">
        <v>0</v>
      </c>
      <c r="F36" s="8">
        <v>0</v>
      </c>
      <c r="G36" s="12">
        <v>2</v>
      </c>
      <c r="H36" s="8">
        <v>6.25</v>
      </c>
      <c r="I36" s="12">
        <v>0</v>
      </c>
    </row>
    <row r="37" spans="2:9" ht="15" customHeight="1" x14ac:dyDescent="0.2">
      <c r="B37" t="s">
        <v>241</v>
      </c>
      <c r="C37" s="12">
        <v>2</v>
      </c>
      <c r="D37" s="8">
        <v>2.5</v>
      </c>
      <c r="E37" s="12">
        <v>1</v>
      </c>
      <c r="F37" s="8">
        <v>2.44</v>
      </c>
      <c r="G37" s="12">
        <v>1</v>
      </c>
      <c r="H37" s="8">
        <v>3.13</v>
      </c>
      <c r="I37" s="12">
        <v>0</v>
      </c>
    </row>
    <row r="38" spans="2:9" ht="15" customHeight="1" x14ac:dyDescent="0.2">
      <c r="B38" t="s">
        <v>222</v>
      </c>
      <c r="C38" s="12">
        <v>2</v>
      </c>
      <c r="D38" s="8">
        <v>2.5</v>
      </c>
      <c r="E38" s="12">
        <v>0</v>
      </c>
      <c r="F38" s="8">
        <v>0</v>
      </c>
      <c r="G38" s="12">
        <v>2</v>
      </c>
      <c r="H38" s="8">
        <v>6.25</v>
      </c>
      <c r="I38" s="12">
        <v>0</v>
      </c>
    </row>
    <row r="39" spans="2:9" ht="15" customHeight="1" x14ac:dyDescent="0.2">
      <c r="B39" t="s">
        <v>226</v>
      </c>
      <c r="C39" s="12">
        <v>2</v>
      </c>
      <c r="D39" s="8">
        <v>2.5</v>
      </c>
      <c r="E39" s="12">
        <v>1</v>
      </c>
      <c r="F39" s="8">
        <v>2.44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239</v>
      </c>
      <c r="C40" s="12">
        <v>2</v>
      </c>
      <c r="D40" s="8">
        <v>2.5</v>
      </c>
      <c r="E40" s="12">
        <v>0</v>
      </c>
      <c r="F40" s="8">
        <v>0</v>
      </c>
      <c r="G40" s="12">
        <v>2</v>
      </c>
      <c r="H40" s="8">
        <v>6.25</v>
      </c>
      <c r="I40" s="12">
        <v>0</v>
      </c>
    </row>
    <row r="41" spans="2:9" ht="15" customHeight="1" x14ac:dyDescent="0.2">
      <c r="B41" t="s">
        <v>230</v>
      </c>
      <c r="C41" s="12">
        <v>2</v>
      </c>
      <c r="D41" s="8">
        <v>2.5</v>
      </c>
      <c r="E41" s="12">
        <v>2</v>
      </c>
      <c r="F41" s="8">
        <v>4.88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262</v>
      </c>
      <c r="C42" s="12">
        <v>1</v>
      </c>
      <c r="D42" s="8">
        <v>1.25</v>
      </c>
      <c r="E42" s="12">
        <v>0</v>
      </c>
      <c r="F42" s="8">
        <v>0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268</v>
      </c>
      <c r="C43" s="12">
        <v>1</v>
      </c>
      <c r="D43" s="8">
        <v>1.25</v>
      </c>
      <c r="E43" s="12">
        <v>1</v>
      </c>
      <c r="F43" s="8">
        <v>2.44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261</v>
      </c>
      <c r="C44" s="12">
        <v>1</v>
      </c>
      <c r="D44" s="8">
        <v>1.25</v>
      </c>
      <c r="E44" s="12">
        <v>0</v>
      </c>
      <c r="F44" s="8">
        <v>0</v>
      </c>
      <c r="G44" s="12">
        <v>1</v>
      </c>
      <c r="H44" s="8">
        <v>3.13</v>
      </c>
      <c r="I44" s="12">
        <v>0</v>
      </c>
    </row>
    <row r="45" spans="2:9" ht="15" customHeight="1" x14ac:dyDescent="0.2">
      <c r="B45" t="s">
        <v>219</v>
      </c>
      <c r="C45" s="12">
        <v>1</v>
      </c>
      <c r="D45" s="8">
        <v>1.25</v>
      </c>
      <c r="E45" s="12">
        <v>0</v>
      </c>
      <c r="F45" s="8">
        <v>0</v>
      </c>
      <c r="G45" s="12">
        <v>1</v>
      </c>
      <c r="H45" s="8">
        <v>3.13</v>
      </c>
      <c r="I45" s="12">
        <v>0</v>
      </c>
    </row>
    <row r="46" spans="2:9" ht="15" customHeight="1" x14ac:dyDescent="0.2">
      <c r="B46" t="s">
        <v>247</v>
      </c>
      <c r="C46" s="12">
        <v>1</v>
      </c>
      <c r="D46" s="8">
        <v>1.25</v>
      </c>
      <c r="E46" s="12">
        <v>0</v>
      </c>
      <c r="F46" s="8">
        <v>0</v>
      </c>
      <c r="G46" s="12">
        <v>0</v>
      </c>
      <c r="H46" s="8">
        <v>0</v>
      </c>
      <c r="I46" s="12">
        <v>1</v>
      </c>
    </row>
    <row r="47" spans="2:9" ht="15" customHeight="1" x14ac:dyDescent="0.2">
      <c r="B47" t="s">
        <v>231</v>
      </c>
      <c r="C47" s="12">
        <v>1</v>
      </c>
      <c r="D47" s="8">
        <v>1.25</v>
      </c>
      <c r="E47" s="12">
        <v>1</v>
      </c>
      <c r="F47" s="8">
        <v>2.44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249</v>
      </c>
      <c r="C48" s="12">
        <v>1</v>
      </c>
      <c r="D48" s="8">
        <v>1.25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240</v>
      </c>
      <c r="C49" s="12">
        <v>1</v>
      </c>
      <c r="D49" s="8">
        <v>1.25</v>
      </c>
      <c r="E49" s="12">
        <v>0</v>
      </c>
      <c r="F49" s="8">
        <v>0</v>
      </c>
      <c r="G49" s="12">
        <v>1</v>
      </c>
      <c r="H49" s="8">
        <v>3.13</v>
      </c>
      <c r="I49" s="12">
        <v>0</v>
      </c>
    </row>
    <row r="50" spans="2:9" ht="15" customHeight="1" x14ac:dyDescent="0.2">
      <c r="B50" t="s">
        <v>242</v>
      </c>
      <c r="C50" s="12">
        <v>1</v>
      </c>
      <c r="D50" s="8">
        <v>1.25</v>
      </c>
      <c r="E50" s="12">
        <v>1</v>
      </c>
      <c r="F50" s="8">
        <v>2.44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270</v>
      </c>
      <c r="C51" s="12">
        <v>1</v>
      </c>
      <c r="D51" s="8">
        <v>1.25</v>
      </c>
      <c r="E51" s="12">
        <v>0</v>
      </c>
      <c r="F51" s="8">
        <v>0</v>
      </c>
      <c r="G51" s="12">
        <v>0</v>
      </c>
      <c r="H51" s="8">
        <v>0</v>
      </c>
      <c r="I51" s="12">
        <v>1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297</v>
      </c>
      <c r="C55" s="12">
        <v>5</v>
      </c>
      <c r="D55" s="8">
        <v>6.25</v>
      </c>
      <c r="E55" s="12">
        <v>5</v>
      </c>
      <c r="F55" s="8">
        <v>12.2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329</v>
      </c>
      <c r="C56" s="12">
        <v>4</v>
      </c>
      <c r="D56" s="8">
        <v>5</v>
      </c>
      <c r="E56" s="12">
        <v>4</v>
      </c>
      <c r="F56" s="8">
        <v>9.76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330</v>
      </c>
      <c r="C57" s="12">
        <v>4</v>
      </c>
      <c r="D57" s="8">
        <v>5</v>
      </c>
      <c r="E57" s="12">
        <v>1</v>
      </c>
      <c r="F57" s="8">
        <v>2.44</v>
      </c>
      <c r="G57" s="12">
        <v>3</v>
      </c>
      <c r="H57" s="8">
        <v>9.3800000000000008</v>
      </c>
      <c r="I57" s="12">
        <v>0</v>
      </c>
    </row>
    <row r="58" spans="2:9" ht="15" customHeight="1" x14ac:dyDescent="0.2">
      <c r="B58" t="s">
        <v>344</v>
      </c>
      <c r="C58" s="12">
        <v>3</v>
      </c>
      <c r="D58" s="8">
        <v>3.75</v>
      </c>
      <c r="E58" s="12">
        <v>2</v>
      </c>
      <c r="F58" s="8">
        <v>4.88</v>
      </c>
      <c r="G58" s="12">
        <v>1</v>
      </c>
      <c r="H58" s="8">
        <v>3.13</v>
      </c>
      <c r="I58" s="12">
        <v>0</v>
      </c>
    </row>
    <row r="59" spans="2:9" ht="15" customHeight="1" x14ac:dyDescent="0.2">
      <c r="B59" t="s">
        <v>415</v>
      </c>
      <c r="C59" s="12">
        <v>3</v>
      </c>
      <c r="D59" s="8">
        <v>3.75</v>
      </c>
      <c r="E59" s="12">
        <v>0</v>
      </c>
      <c r="F59" s="8">
        <v>0</v>
      </c>
      <c r="G59" s="12">
        <v>3</v>
      </c>
      <c r="H59" s="8">
        <v>9.3800000000000008</v>
      </c>
      <c r="I59" s="12">
        <v>0</v>
      </c>
    </row>
    <row r="60" spans="2:9" ht="15" customHeight="1" x14ac:dyDescent="0.2">
      <c r="B60" t="s">
        <v>303</v>
      </c>
      <c r="C60" s="12">
        <v>3</v>
      </c>
      <c r="D60" s="8">
        <v>3.75</v>
      </c>
      <c r="E60" s="12">
        <v>3</v>
      </c>
      <c r="F60" s="8">
        <v>7.32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304</v>
      </c>
      <c r="C61" s="12">
        <v>3</v>
      </c>
      <c r="D61" s="8">
        <v>3.75</v>
      </c>
      <c r="E61" s="12">
        <v>3</v>
      </c>
      <c r="F61" s="8">
        <v>7.32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332</v>
      </c>
      <c r="C62" s="12">
        <v>2</v>
      </c>
      <c r="D62" s="8">
        <v>2.5</v>
      </c>
      <c r="E62" s="12">
        <v>1</v>
      </c>
      <c r="F62" s="8">
        <v>2.44</v>
      </c>
      <c r="G62" s="12">
        <v>1</v>
      </c>
      <c r="H62" s="8">
        <v>3.13</v>
      </c>
      <c r="I62" s="12">
        <v>0</v>
      </c>
    </row>
    <row r="63" spans="2:9" ht="15" customHeight="1" x14ac:dyDescent="0.2">
      <c r="B63" t="s">
        <v>295</v>
      </c>
      <c r="C63" s="12">
        <v>2</v>
      </c>
      <c r="D63" s="8">
        <v>2.5</v>
      </c>
      <c r="E63" s="12">
        <v>1</v>
      </c>
      <c r="F63" s="8">
        <v>2.44</v>
      </c>
      <c r="G63" s="12">
        <v>1</v>
      </c>
      <c r="H63" s="8">
        <v>3.13</v>
      </c>
      <c r="I63" s="12">
        <v>0</v>
      </c>
    </row>
    <row r="64" spans="2:9" ht="15" customHeight="1" x14ac:dyDescent="0.2">
      <c r="B64" t="s">
        <v>417</v>
      </c>
      <c r="C64" s="12">
        <v>2</v>
      </c>
      <c r="D64" s="8">
        <v>2.5</v>
      </c>
      <c r="E64" s="12">
        <v>2</v>
      </c>
      <c r="F64" s="8">
        <v>4.88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339</v>
      </c>
      <c r="C65" s="12">
        <v>2</v>
      </c>
      <c r="D65" s="8">
        <v>2.5</v>
      </c>
      <c r="E65" s="12">
        <v>1</v>
      </c>
      <c r="F65" s="8">
        <v>2.44</v>
      </c>
      <c r="G65" s="12">
        <v>1</v>
      </c>
      <c r="H65" s="8">
        <v>3.13</v>
      </c>
      <c r="I65" s="12">
        <v>0</v>
      </c>
    </row>
    <row r="66" spans="2:9" ht="15" customHeight="1" x14ac:dyDescent="0.2">
      <c r="B66" t="s">
        <v>299</v>
      </c>
      <c r="C66" s="12">
        <v>2</v>
      </c>
      <c r="D66" s="8">
        <v>2.5</v>
      </c>
      <c r="E66" s="12">
        <v>1</v>
      </c>
      <c r="F66" s="8">
        <v>2.44</v>
      </c>
      <c r="G66" s="12">
        <v>1</v>
      </c>
      <c r="H66" s="8">
        <v>3.13</v>
      </c>
      <c r="I66" s="12">
        <v>0</v>
      </c>
    </row>
    <row r="67" spans="2:9" ht="15" customHeight="1" x14ac:dyDescent="0.2">
      <c r="B67" t="s">
        <v>325</v>
      </c>
      <c r="C67" s="12">
        <v>2</v>
      </c>
      <c r="D67" s="8">
        <v>2.5</v>
      </c>
      <c r="E67" s="12">
        <v>0</v>
      </c>
      <c r="F67" s="8">
        <v>0</v>
      </c>
      <c r="G67" s="12">
        <v>2</v>
      </c>
      <c r="H67" s="8">
        <v>6.25</v>
      </c>
      <c r="I67" s="12">
        <v>0</v>
      </c>
    </row>
    <row r="68" spans="2:9" ht="15" customHeight="1" x14ac:dyDescent="0.2">
      <c r="B68" t="s">
        <v>305</v>
      </c>
      <c r="C68" s="12">
        <v>2</v>
      </c>
      <c r="D68" s="8">
        <v>2.5</v>
      </c>
      <c r="E68" s="12">
        <v>2</v>
      </c>
      <c r="F68" s="8">
        <v>4.88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331</v>
      </c>
      <c r="C69" s="12">
        <v>2</v>
      </c>
      <c r="D69" s="8">
        <v>2.5</v>
      </c>
      <c r="E69" s="12">
        <v>0</v>
      </c>
      <c r="F69" s="8">
        <v>0</v>
      </c>
      <c r="G69" s="12">
        <v>2</v>
      </c>
      <c r="H69" s="8">
        <v>6.25</v>
      </c>
      <c r="I69" s="12">
        <v>0</v>
      </c>
    </row>
    <row r="70" spans="2:9" ht="15" customHeight="1" x14ac:dyDescent="0.2">
      <c r="B70" t="s">
        <v>288</v>
      </c>
      <c r="C70" s="12">
        <v>1</v>
      </c>
      <c r="D70" s="8">
        <v>1.25</v>
      </c>
      <c r="E70" s="12">
        <v>0</v>
      </c>
      <c r="F70" s="8">
        <v>0</v>
      </c>
      <c r="G70" s="12">
        <v>1</v>
      </c>
      <c r="H70" s="8">
        <v>3.13</v>
      </c>
      <c r="I70" s="12">
        <v>0</v>
      </c>
    </row>
    <row r="71" spans="2:9" ht="15" customHeight="1" x14ac:dyDescent="0.2">
      <c r="B71" t="s">
        <v>289</v>
      </c>
      <c r="C71" s="12">
        <v>1</v>
      </c>
      <c r="D71" s="8">
        <v>1.25</v>
      </c>
      <c r="E71" s="12">
        <v>0</v>
      </c>
      <c r="F71" s="8">
        <v>0</v>
      </c>
      <c r="G71" s="12">
        <v>1</v>
      </c>
      <c r="H71" s="8">
        <v>3.13</v>
      </c>
      <c r="I71" s="12">
        <v>0</v>
      </c>
    </row>
    <row r="72" spans="2:9" ht="15" customHeight="1" x14ac:dyDescent="0.2">
      <c r="B72" t="s">
        <v>319</v>
      </c>
      <c r="C72" s="12">
        <v>1</v>
      </c>
      <c r="D72" s="8">
        <v>1.25</v>
      </c>
      <c r="E72" s="12">
        <v>0</v>
      </c>
      <c r="F72" s="8">
        <v>0</v>
      </c>
      <c r="G72" s="12">
        <v>1</v>
      </c>
      <c r="H72" s="8">
        <v>3.13</v>
      </c>
      <c r="I72" s="12">
        <v>0</v>
      </c>
    </row>
    <row r="73" spans="2:9" ht="15" customHeight="1" x14ac:dyDescent="0.2">
      <c r="B73" t="s">
        <v>375</v>
      </c>
      <c r="C73" s="12">
        <v>1</v>
      </c>
      <c r="D73" s="8">
        <v>1.25</v>
      </c>
      <c r="E73" s="12">
        <v>0</v>
      </c>
      <c r="F73" s="8">
        <v>0</v>
      </c>
      <c r="G73" s="12">
        <v>1</v>
      </c>
      <c r="H73" s="8">
        <v>3.13</v>
      </c>
      <c r="I73" s="12">
        <v>0</v>
      </c>
    </row>
    <row r="74" spans="2:9" ht="15" customHeight="1" x14ac:dyDescent="0.2">
      <c r="B74" t="s">
        <v>343</v>
      </c>
      <c r="C74" s="12">
        <v>1</v>
      </c>
      <c r="D74" s="8">
        <v>1.25</v>
      </c>
      <c r="E74" s="12">
        <v>1</v>
      </c>
      <c r="F74" s="8">
        <v>2.44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333</v>
      </c>
      <c r="C75" s="12">
        <v>1</v>
      </c>
      <c r="D75" s="8">
        <v>1.25</v>
      </c>
      <c r="E75" s="12">
        <v>1</v>
      </c>
      <c r="F75" s="8">
        <v>2.44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320</v>
      </c>
      <c r="C76" s="12">
        <v>1</v>
      </c>
      <c r="D76" s="8">
        <v>1.25</v>
      </c>
      <c r="E76" s="12">
        <v>0</v>
      </c>
      <c r="F76" s="8">
        <v>0</v>
      </c>
      <c r="G76" s="12">
        <v>1</v>
      </c>
      <c r="H76" s="8">
        <v>3.13</v>
      </c>
      <c r="I76" s="12">
        <v>0</v>
      </c>
    </row>
    <row r="77" spans="2:9" ht="15" customHeight="1" x14ac:dyDescent="0.2">
      <c r="B77" t="s">
        <v>290</v>
      </c>
      <c r="C77" s="12">
        <v>1</v>
      </c>
      <c r="D77" s="8">
        <v>1.25</v>
      </c>
      <c r="E77" s="12">
        <v>0</v>
      </c>
      <c r="F77" s="8">
        <v>0</v>
      </c>
      <c r="G77" s="12">
        <v>1</v>
      </c>
      <c r="H77" s="8">
        <v>3.13</v>
      </c>
      <c r="I77" s="12">
        <v>0</v>
      </c>
    </row>
    <row r="78" spans="2:9" ht="15" customHeight="1" x14ac:dyDescent="0.2">
      <c r="B78" t="s">
        <v>291</v>
      </c>
      <c r="C78" s="12">
        <v>1</v>
      </c>
      <c r="D78" s="8">
        <v>1.25</v>
      </c>
      <c r="E78" s="12">
        <v>0</v>
      </c>
      <c r="F78" s="8">
        <v>0</v>
      </c>
      <c r="G78" s="12">
        <v>1</v>
      </c>
      <c r="H78" s="8">
        <v>3.13</v>
      </c>
      <c r="I78" s="12">
        <v>0</v>
      </c>
    </row>
    <row r="79" spans="2:9" ht="15" customHeight="1" x14ac:dyDescent="0.2">
      <c r="B79" t="s">
        <v>413</v>
      </c>
      <c r="C79" s="12">
        <v>1</v>
      </c>
      <c r="D79" s="8">
        <v>1.25</v>
      </c>
      <c r="E79" s="12">
        <v>0</v>
      </c>
      <c r="F79" s="8">
        <v>0</v>
      </c>
      <c r="G79" s="12">
        <v>1</v>
      </c>
      <c r="H79" s="8">
        <v>3.13</v>
      </c>
      <c r="I79" s="12">
        <v>0</v>
      </c>
    </row>
    <row r="80" spans="2:9" ht="15" customHeight="1" x14ac:dyDescent="0.2">
      <c r="B80" t="s">
        <v>351</v>
      </c>
      <c r="C80" s="12">
        <v>1</v>
      </c>
      <c r="D80" s="8">
        <v>1.25</v>
      </c>
      <c r="E80" s="12">
        <v>1</v>
      </c>
      <c r="F80" s="8">
        <v>2.44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378</v>
      </c>
      <c r="C81" s="12">
        <v>1</v>
      </c>
      <c r="D81" s="8">
        <v>1.25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414</v>
      </c>
      <c r="C82" s="12">
        <v>1</v>
      </c>
      <c r="D82" s="8">
        <v>1.25</v>
      </c>
      <c r="E82" s="12">
        <v>1</v>
      </c>
      <c r="F82" s="8">
        <v>2.44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364</v>
      </c>
      <c r="C83" s="12">
        <v>1</v>
      </c>
      <c r="D83" s="8">
        <v>1.25</v>
      </c>
      <c r="E83" s="12">
        <v>0</v>
      </c>
      <c r="F83" s="8">
        <v>0</v>
      </c>
      <c r="G83" s="12">
        <v>1</v>
      </c>
      <c r="H83" s="8">
        <v>3.13</v>
      </c>
      <c r="I83" s="12">
        <v>0</v>
      </c>
    </row>
    <row r="84" spans="2:9" ht="15" customHeight="1" x14ac:dyDescent="0.2">
      <c r="B84" t="s">
        <v>309</v>
      </c>
      <c r="C84" s="12">
        <v>1</v>
      </c>
      <c r="D84" s="8">
        <v>1.25</v>
      </c>
      <c r="E84" s="12">
        <v>0</v>
      </c>
      <c r="F84" s="8">
        <v>0</v>
      </c>
      <c r="G84" s="12">
        <v>1</v>
      </c>
      <c r="H84" s="8">
        <v>3.13</v>
      </c>
      <c r="I84" s="12">
        <v>0</v>
      </c>
    </row>
    <row r="85" spans="2:9" ht="15" customHeight="1" x14ac:dyDescent="0.2">
      <c r="B85" t="s">
        <v>336</v>
      </c>
      <c r="C85" s="12">
        <v>1</v>
      </c>
      <c r="D85" s="8">
        <v>1.25</v>
      </c>
      <c r="E85" s="12">
        <v>0</v>
      </c>
      <c r="F85" s="8">
        <v>0</v>
      </c>
      <c r="G85" s="12">
        <v>1</v>
      </c>
      <c r="H85" s="8">
        <v>3.13</v>
      </c>
      <c r="I85" s="12">
        <v>0</v>
      </c>
    </row>
    <row r="86" spans="2:9" ht="15" customHeight="1" x14ac:dyDescent="0.2">
      <c r="B86" t="s">
        <v>366</v>
      </c>
      <c r="C86" s="12">
        <v>1</v>
      </c>
      <c r="D86" s="8">
        <v>1.25</v>
      </c>
      <c r="E86" s="12">
        <v>1</v>
      </c>
      <c r="F86" s="8">
        <v>2.44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292</v>
      </c>
      <c r="C87" s="12">
        <v>1</v>
      </c>
      <c r="D87" s="8">
        <v>1.25</v>
      </c>
      <c r="E87" s="12">
        <v>1</v>
      </c>
      <c r="F87" s="8">
        <v>2.44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293</v>
      </c>
      <c r="C88" s="12">
        <v>1</v>
      </c>
      <c r="D88" s="8">
        <v>1.25</v>
      </c>
      <c r="E88" s="12">
        <v>0</v>
      </c>
      <c r="F88" s="8">
        <v>0</v>
      </c>
      <c r="G88" s="12">
        <v>1</v>
      </c>
      <c r="H88" s="8">
        <v>3.13</v>
      </c>
      <c r="I88" s="12">
        <v>0</v>
      </c>
    </row>
    <row r="89" spans="2:9" ht="15" customHeight="1" x14ac:dyDescent="0.2">
      <c r="B89" t="s">
        <v>335</v>
      </c>
      <c r="C89" s="12">
        <v>1</v>
      </c>
      <c r="D89" s="8">
        <v>1.25</v>
      </c>
      <c r="E89" s="12">
        <v>0</v>
      </c>
      <c r="F89" s="8">
        <v>0</v>
      </c>
      <c r="G89" s="12">
        <v>1</v>
      </c>
      <c r="H89" s="8">
        <v>3.13</v>
      </c>
      <c r="I89" s="12">
        <v>0</v>
      </c>
    </row>
    <row r="90" spans="2:9" ht="15" customHeight="1" x14ac:dyDescent="0.2">
      <c r="B90" t="s">
        <v>294</v>
      </c>
      <c r="C90" s="12">
        <v>1</v>
      </c>
      <c r="D90" s="8">
        <v>1.25</v>
      </c>
      <c r="E90" s="12">
        <v>1</v>
      </c>
      <c r="F90" s="8">
        <v>2.44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337</v>
      </c>
      <c r="C91" s="12">
        <v>1</v>
      </c>
      <c r="D91" s="8">
        <v>1.25</v>
      </c>
      <c r="E91" s="12">
        <v>1</v>
      </c>
      <c r="F91" s="8">
        <v>2.44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355</v>
      </c>
      <c r="C92" s="12">
        <v>1</v>
      </c>
      <c r="D92" s="8">
        <v>1.25</v>
      </c>
      <c r="E92" s="12">
        <v>0</v>
      </c>
      <c r="F92" s="8">
        <v>0</v>
      </c>
      <c r="G92" s="12">
        <v>1</v>
      </c>
      <c r="H92" s="8">
        <v>3.13</v>
      </c>
      <c r="I92" s="12">
        <v>0</v>
      </c>
    </row>
    <row r="93" spans="2:9" ht="15" customHeight="1" x14ac:dyDescent="0.2">
      <c r="B93" t="s">
        <v>416</v>
      </c>
      <c r="C93" s="12">
        <v>1</v>
      </c>
      <c r="D93" s="8">
        <v>1.25</v>
      </c>
      <c r="E93" s="12">
        <v>1</v>
      </c>
      <c r="F93" s="8">
        <v>2.44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298</v>
      </c>
      <c r="C94" s="12">
        <v>1</v>
      </c>
      <c r="D94" s="8">
        <v>1.25</v>
      </c>
      <c r="E94" s="12">
        <v>0</v>
      </c>
      <c r="F94" s="8">
        <v>0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418</v>
      </c>
      <c r="C95" s="12">
        <v>1</v>
      </c>
      <c r="D95" s="8">
        <v>1.25</v>
      </c>
      <c r="E95" s="12">
        <v>1</v>
      </c>
      <c r="F95" s="8">
        <v>2.44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405</v>
      </c>
      <c r="C96" s="12">
        <v>1</v>
      </c>
      <c r="D96" s="8">
        <v>1.25</v>
      </c>
      <c r="E96" s="12">
        <v>0</v>
      </c>
      <c r="F96" s="8">
        <v>0</v>
      </c>
      <c r="G96" s="12">
        <v>0</v>
      </c>
      <c r="H96" s="8">
        <v>0</v>
      </c>
      <c r="I96" s="12">
        <v>0</v>
      </c>
    </row>
    <row r="97" spans="2:9" ht="15" customHeight="1" x14ac:dyDescent="0.2">
      <c r="B97" t="s">
        <v>419</v>
      </c>
      <c r="C97" s="12">
        <v>1</v>
      </c>
      <c r="D97" s="8">
        <v>1.25</v>
      </c>
      <c r="E97" s="12">
        <v>1</v>
      </c>
      <c r="F97" s="8">
        <v>2.44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349</v>
      </c>
      <c r="C98" s="12">
        <v>1</v>
      </c>
      <c r="D98" s="8">
        <v>1.25</v>
      </c>
      <c r="E98" s="12">
        <v>0</v>
      </c>
      <c r="F98" s="8">
        <v>0</v>
      </c>
      <c r="G98" s="12">
        <v>1</v>
      </c>
      <c r="H98" s="8">
        <v>3.13</v>
      </c>
      <c r="I98" s="12">
        <v>0</v>
      </c>
    </row>
    <row r="99" spans="2:9" ht="15" customHeight="1" x14ac:dyDescent="0.2">
      <c r="B99" t="s">
        <v>300</v>
      </c>
      <c r="C99" s="12">
        <v>1</v>
      </c>
      <c r="D99" s="8">
        <v>1.25</v>
      </c>
      <c r="E99" s="12">
        <v>1</v>
      </c>
      <c r="F99" s="8">
        <v>2.44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302</v>
      </c>
      <c r="C100" s="12">
        <v>1</v>
      </c>
      <c r="D100" s="8">
        <v>1.25</v>
      </c>
      <c r="E100" s="12">
        <v>1</v>
      </c>
      <c r="F100" s="8">
        <v>2.44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411</v>
      </c>
      <c r="C101" s="12">
        <v>1</v>
      </c>
      <c r="D101" s="8">
        <v>1.25</v>
      </c>
      <c r="E101" s="12">
        <v>0</v>
      </c>
      <c r="F101" s="8">
        <v>0</v>
      </c>
      <c r="G101" s="12">
        <v>0</v>
      </c>
      <c r="H101" s="8">
        <v>0</v>
      </c>
      <c r="I101" s="12">
        <v>1</v>
      </c>
    </row>
    <row r="102" spans="2:9" ht="15" customHeight="1" x14ac:dyDescent="0.2">
      <c r="B102" t="s">
        <v>306</v>
      </c>
      <c r="C102" s="12">
        <v>1</v>
      </c>
      <c r="D102" s="8">
        <v>1.25</v>
      </c>
      <c r="E102" s="12">
        <v>1</v>
      </c>
      <c r="F102" s="8">
        <v>2.44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341</v>
      </c>
      <c r="C103" s="12">
        <v>1</v>
      </c>
      <c r="D103" s="8">
        <v>1.25</v>
      </c>
      <c r="E103" s="12">
        <v>0</v>
      </c>
      <c r="F103" s="8">
        <v>0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347</v>
      </c>
      <c r="C104" s="12">
        <v>1</v>
      </c>
      <c r="D104" s="8">
        <v>1.25</v>
      </c>
      <c r="E104" s="12">
        <v>0</v>
      </c>
      <c r="F104" s="8">
        <v>0</v>
      </c>
      <c r="G104" s="12">
        <v>1</v>
      </c>
      <c r="H104" s="8">
        <v>3.13</v>
      </c>
      <c r="I104" s="12">
        <v>0</v>
      </c>
    </row>
    <row r="105" spans="2:9" ht="15" customHeight="1" x14ac:dyDescent="0.2">
      <c r="B105" t="s">
        <v>370</v>
      </c>
      <c r="C105" s="12">
        <v>1</v>
      </c>
      <c r="D105" s="8">
        <v>1.25</v>
      </c>
      <c r="E105" s="12">
        <v>0</v>
      </c>
      <c r="F105" s="8">
        <v>0</v>
      </c>
      <c r="G105" s="12">
        <v>0</v>
      </c>
      <c r="H105" s="8">
        <v>0</v>
      </c>
      <c r="I105" s="12">
        <v>0</v>
      </c>
    </row>
    <row r="106" spans="2:9" ht="15" customHeight="1" x14ac:dyDescent="0.2">
      <c r="B106" t="s">
        <v>307</v>
      </c>
      <c r="C106" s="12">
        <v>1</v>
      </c>
      <c r="D106" s="8">
        <v>1.25</v>
      </c>
      <c r="E106" s="12">
        <v>0</v>
      </c>
      <c r="F106" s="8">
        <v>0</v>
      </c>
      <c r="G106" s="12">
        <v>1</v>
      </c>
      <c r="H106" s="8">
        <v>3.13</v>
      </c>
      <c r="I106" s="12">
        <v>0</v>
      </c>
    </row>
    <row r="107" spans="2:9" ht="15" customHeight="1" x14ac:dyDescent="0.2">
      <c r="B107" t="s">
        <v>371</v>
      </c>
      <c r="C107" s="12">
        <v>1</v>
      </c>
      <c r="D107" s="8">
        <v>1.25</v>
      </c>
      <c r="E107" s="12">
        <v>1</v>
      </c>
      <c r="F107" s="8">
        <v>2.44</v>
      </c>
      <c r="G107" s="12">
        <v>0</v>
      </c>
      <c r="H107" s="8">
        <v>0</v>
      </c>
      <c r="I107" s="12">
        <v>0</v>
      </c>
    </row>
    <row r="108" spans="2:9" ht="15" customHeight="1" x14ac:dyDescent="0.2">
      <c r="B108" t="s">
        <v>420</v>
      </c>
      <c r="C108" s="12">
        <v>1</v>
      </c>
      <c r="D108" s="8">
        <v>1.25</v>
      </c>
      <c r="E108" s="12">
        <v>0</v>
      </c>
      <c r="F108" s="8">
        <v>0</v>
      </c>
      <c r="G108" s="12">
        <v>0</v>
      </c>
      <c r="H108" s="8">
        <v>0</v>
      </c>
      <c r="I108" s="12">
        <v>1</v>
      </c>
    </row>
    <row r="110" spans="2:9" ht="15" customHeight="1" x14ac:dyDescent="0.2">
      <c r="B11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58399-B50A-4C51-8188-EF0C7515ABCF}">
  <sheetPr>
    <pageSetUpPr fitToPage="1"/>
  </sheetPr>
  <dimension ref="B2:I8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599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0.75</v>
      </c>
      <c r="E5" s="12">
        <v>0</v>
      </c>
      <c r="F5" s="8">
        <v>0</v>
      </c>
      <c r="G5" s="12">
        <v>1</v>
      </c>
      <c r="H5" s="8">
        <v>2.63</v>
      </c>
      <c r="I5" s="12">
        <v>0</v>
      </c>
    </row>
    <row r="6" spans="2:9" ht="15" customHeight="1" x14ac:dyDescent="0.2">
      <c r="B6" t="s">
        <v>191</v>
      </c>
      <c r="C6" s="12">
        <v>22</v>
      </c>
      <c r="D6" s="8">
        <v>16.420000000000002</v>
      </c>
      <c r="E6" s="12">
        <v>13</v>
      </c>
      <c r="F6" s="8">
        <v>18.059999999999999</v>
      </c>
      <c r="G6" s="12">
        <v>9</v>
      </c>
      <c r="H6" s="8">
        <v>23.68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4.4800000000000004</v>
      </c>
      <c r="E7" s="12">
        <v>3</v>
      </c>
      <c r="F7" s="8">
        <v>4.17</v>
      </c>
      <c r="G7" s="12">
        <v>1</v>
      </c>
      <c r="H7" s="8">
        <v>2.63</v>
      </c>
      <c r="I7" s="12">
        <v>1</v>
      </c>
    </row>
    <row r="8" spans="2:9" ht="15" customHeight="1" x14ac:dyDescent="0.2">
      <c r="B8" t="s">
        <v>193</v>
      </c>
      <c r="C8" s="12">
        <v>1</v>
      </c>
      <c r="D8" s="8">
        <v>0.75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0.75</v>
      </c>
      <c r="E10" s="12">
        <v>1</v>
      </c>
      <c r="F10" s="8">
        <v>1.39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39</v>
      </c>
      <c r="D11" s="8">
        <v>29.1</v>
      </c>
      <c r="E11" s="12">
        <v>18</v>
      </c>
      <c r="F11" s="8">
        <v>25</v>
      </c>
      <c r="G11" s="12">
        <v>19</v>
      </c>
      <c r="H11" s="8">
        <v>50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7</v>
      </c>
      <c r="D13" s="8">
        <v>5.22</v>
      </c>
      <c r="E13" s="12">
        <v>5</v>
      </c>
      <c r="F13" s="8">
        <v>6.94</v>
      </c>
      <c r="G13" s="12">
        <v>1</v>
      </c>
      <c r="H13" s="8">
        <v>2.63</v>
      </c>
      <c r="I13" s="12">
        <v>1</v>
      </c>
    </row>
    <row r="14" spans="2:9" ht="15" customHeight="1" x14ac:dyDescent="0.2">
      <c r="B14" t="s">
        <v>199</v>
      </c>
      <c r="C14" s="12">
        <v>3</v>
      </c>
      <c r="D14" s="8">
        <v>2.2400000000000002</v>
      </c>
      <c r="E14" s="12">
        <v>2</v>
      </c>
      <c r="F14" s="8">
        <v>2.78</v>
      </c>
      <c r="G14" s="12">
        <v>1</v>
      </c>
      <c r="H14" s="8">
        <v>2.63</v>
      </c>
      <c r="I14" s="12">
        <v>0</v>
      </c>
    </row>
    <row r="15" spans="2:9" ht="15" customHeight="1" x14ac:dyDescent="0.2">
      <c r="B15" t="s">
        <v>200</v>
      </c>
      <c r="C15" s="12">
        <v>24</v>
      </c>
      <c r="D15" s="8">
        <v>17.91</v>
      </c>
      <c r="E15" s="12">
        <v>18</v>
      </c>
      <c r="F15" s="8">
        <v>25</v>
      </c>
      <c r="G15" s="12">
        <v>5</v>
      </c>
      <c r="H15" s="8">
        <v>13.16</v>
      </c>
      <c r="I15" s="12">
        <v>0</v>
      </c>
    </row>
    <row r="16" spans="2:9" ht="15" customHeight="1" x14ac:dyDescent="0.2">
      <c r="B16" t="s">
        <v>201</v>
      </c>
      <c r="C16" s="12">
        <v>7</v>
      </c>
      <c r="D16" s="8">
        <v>5.22</v>
      </c>
      <c r="E16" s="12">
        <v>5</v>
      </c>
      <c r="F16" s="8">
        <v>6.94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3.73</v>
      </c>
      <c r="E17" s="12">
        <v>4</v>
      </c>
      <c r="F17" s="8">
        <v>5.56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10</v>
      </c>
      <c r="D18" s="8">
        <v>7.46</v>
      </c>
      <c r="E18" s="12">
        <v>3</v>
      </c>
      <c r="F18" s="8">
        <v>4.17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5.97</v>
      </c>
      <c r="E19" s="12">
        <v>0</v>
      </c>
      <c r="F19" s="8">
        <v>0</v>
      </c>
      <c r="G19" s="12">
        <v>1</v>
      </c>
      <c r="H19" s="8">
        <v>2.63</v>
      </c>
      <c r="I19" s="12">
        <v>0</v>
      </c>
    </row>
    <row r="20" spans="2:9" ht="15" customHeight="1" x14ac:dyDescent="0.2">
      <c r="B20" s="9" t="s">
        <v>529</v>
      </c>
      <c r="C20" s="12">
        <f>SUM(LTBL_01394[総数／事業所数])</f>
        <v>134</v>
      </c>
      <c r="E20" s="12">
        <f>SUBTOTAL(109,LTBL_01394[個人／事業所数])</f>
        <v>72</v>
      </c>
      <c r="G20" s="12">
        <f>SUBTOTAL(109,LTBL_01394[法人／事業所数])</f>
        <v>38</v>
      </c>
      <c r="I20" s="12">
        <f>SUBTOTAL(109,LTBL_01394[法人以外の団体／事業所数])</f>
        <v>2</v>
      </c>
    </row>
    <row r="21" spans="2:9" ht="15" customHeight="1" x14ac:dyDescent="0.2">
      <c r="E21" s="11">
        <f>LTBL_01394[[#Totals],[個人／事業所数]]/LTBL_01394[[#Totals],[総数／事業所数]]</f>
        <v>0.53731343283582089</v>
      </c>
      <c r="G21" s="11">
        <f>LTBL_01394[[#Totals],[法人／事業所数]]/LTBL_01394[[#Totals],[総数／事業所数]]</f>
        <v>0.28358208955223879</v>
      </c>
      <c r="I21" s="11">
        <f>LTBL_01394[[#Totals],[法人以外の団体／事業所数]]/LTBL_01394[[#Totals],[総数／事業所数]]</f>
        <v>1.4925373134328358E-2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221</v>
      </c>
      <c r="C24" s="12">
        <v>18</v>
      </c>
      <c r="D24" s="8">
        <v>13.43</v>
      </c>
      <c r="E24" s="12">
        <v>9</v>
      </c>
      <c r="F24" s="8">
        <v>12.5</v>
      </c>
      <c r="G24" s="12">
        <v>7</v>
      </c>
      <c r="H24" s="8">
        <v>18.420000000000002</v>
      </c>
      <c r="I24" s="12">
        <v>0</v>
      </c>
    </row>
    <row r="25" spans="2:9" ht="15" customHeight="1" x14ac:dyDescent="0.2">
      <c r="B25" t="s">
        <v>227</v>
      </c>
      <c r="C25" s="12">
        <v>15</v>
      </c>
      <c r="D25" s="8">
        <v>11.19</v>
      </c>
      <c r="E25" s="12">
        <v>13</v>
      </c>
      <c r="F25" s="8">
        <v>18.059999999999999</v>
      </c>
      <c r="G25" s="12">
        <v>2</v>
      </c>
      <c r="H25" s="8">
        <v>5.26</v>
      </c>
      <c r="I25" s="12">
        <v>0</v>
      </c>
    </row>
    <row r="26" spans="2:9" ht="15" customHeight="1" x14ac:dyDescent="0.2">
      <c r="B26" t="s">
        <v>213</v>
      </c>
      <c r="C26" s="12">
        <v>12</v>
      </c>
      <c r="D26" s="8">
        <v>8.9600000000000009</v>
      </c>
      <c r="E26" s="12">
        <v>6</v>
      </c>
      <c r="F26" s="8">
        <v>8.33</v>
      </c>
      <c r="G26" s="12">
        <v>6</v>
      </c>
      <c r="H26" s="8">
        <v>15.79</v>
      </c>
      <c r="I26" s="12">
        <v>0</v>
      </c>
    </row>
    <row r="27" spans="2:9" ht="15" customHeight="1" x14ac:dyDescent="0.2">
      <c r="B27" t="s">
        <v>223</v>
      </c>
      <c r="C27" s="12">
        <v>11</v>
      </c>
      <c r="D27" s="8">
        <v>8.2100000000000009</v>
      </c>
      <c r="E27" s="12">
        <v>6</v>
      </c>
      <c r="F27" s="8">
        <v>8.33</v>
      </c>
      <c r="G27" s="12">
        <v>5</v>
      </c>
      <c r="H27" s="8">
        <v>13.16</v>
      </c>
      <c r="I27" s="12">
        <v>0</v>
      </c>
    </row>
    <row r="28" spans="2:9" ht="15" customHeight="1" x14ac:dyDescent="0.2">
      <c r="B28" t="s">
        <v>243</v>
      </c>
      <c r="C28" s="12">
        <v>7</v>
      </c>
      <c r="D28" s="8">
        <v>5.22</v>
      </c>
      <c r="E28" s="12">
        <v>5</v>
      </c>
      <c r="F28" s="8">
        <v>6.94</v>
      </c>
      <c r="G28" s="12">
        <v>1</v>
      </c>
      <c r="H28" s="8">
        <v>2.63</v>
      </c>
      <c r="I28" s="12">
        <v>0</v>
      </c>
    </row>
    <row r="29" spans="2:9" ht="15" customHeight="1" x14ac:dyDescent="0.2">
      <c r="B29" t="s">
        <v>232</v>
      </c>
      <c r="C29" s="12">
        <v>7</v>
      </c>
      <c r="D29" s="8">
        <v>5.22</v>
      </c>
      <c r="E29" s="12">
        <v>0</v>
      </c>
      <c r="F29" s="8">
        <v>0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250</v>
      </c>
      <c r="C30" s="12">
        <v>6</v>
      </c>
      <c r="D30" s="8">
        <v>4.4800000000000004</v>
      </c>
      <c r="E30" s="12">
        <v>0</v>
      </c>
      <c r="F30" s="8">
        <v>0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214</v>
      </c>
      <c r="C31" s="12">
        <v>5</v>
      </c>
      <c r="D31" s="8">
        <v>3.73</v>
      </c>
      <c r="E31" s="12">
        <v>5</v>
      </c>
      <c r="F31" s="8">
        <v>6.94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215</v>
      </c>
      <c r="C32" s="12">
        <v>5</v>
      </c>
      <c r="D32" s="8">
        <v>3.73</v>
      </c>
      <c r="E32" s="12">
        <v>2</v>
      </c>
      <c r="F32" s="8">
        <v>2.78</v>
      </c>
      <c r="G32" s="12">
        <v>3</v>
      </c>
      <c r="H32" s="8">
        <v>7.89</v>
      </c>
      <c r="I32" s="12">
        <v>0</v>
      </c>
    </row>
    <row r="33" spans="2:9" ht="15" customHeight="1" x14ac:dyDescent="0.2">
      <c r="B33" t="s">
        <v>228</v>
      </c>
      <c r="C33" s="12">
        <v>5</v>
      </c>
      <c r="D33" s="8">
        <v>3.73</v>
      </c>
      <c r="E33" s="12">
        <v>5</v>
      </c>
      <c r="F33" s="8">
        <v>6.94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230</v>
      </c>
      <c r="C34" s="12">
        <v>5</v>
      </c>
      <c r="D34" s="8">
        <v>3.73</v>
      </c>
      <c r="E34" s="12">
        <v>4</v>
      </c>
      <c r="F34" s="8">
        <v>5.56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222</v>
      </c>
      <c r="C35" s="12">
        <v>4</v>
      </c>
      <c r="D35" s="8">
        <v>2.99</v>
      </c>
      <c r="E35" s="12">
        <v>2</v>
      </c>
      <c r="F35" s="8">
        <v>2.78</v>
      </c>
      <c r="G35" s="12">
        <v>2</v>
      </c>
      <c r="H35" s="8">
        <v>5.26</v>
      </c>
      <c r="I35" s="12">
        <v>0</v>
      </c>
    </row>
    <row r="36" spans="2:9" ht="15" customHeight="1" x14ac:dyDescent="0.2">
      <c r="B36" t="s">
        <v>224</v>
      </c>
      <c r="C36" s="12">
        <v>4</v>
      </c>
      <c r="D36" s="8">
        <v>2.99</v>
      </c>
      <c r="E36" s="12">
        <v>3</v>
      </c>
      <c r="F36" s="8">
        <v>4.17</v>
      </c>
      <c r="G36" s="12">
        <v>0</v>
      </c>
      <c r="H36" s="8">
        <v>0</v>
      </c>
      <c r="I36" s="12">
        <v>1</v>
      </c>
    </row>
    <row r="37" spans="2:9" ht="15" customHeight="1" x14ac:dyDescent="0.2">
      <c r="B37" t="s">
        <v>241</v>
      </c>
      <c r="C37" s="12">
        <v>3</v>
      </c>
      <c r="D37" s="8">
        <v>2.2400000000000002</v>
      </c>
      <c r="E37" s="12">
        <v>1</v>
      </c>
      <c r="F37" s="8">
        <v>1.39</v>
      </c>
      <c r="G37" s="12">
        <v>0</v>
      </c>
      <c r="H37" s="8">
        <v>0</v>
      </c>
      <c r="I37" s="12">
        <v>1</v>
      </c>
    </row>
    <row r="38" spans="2:9" ht="15" customHeight="1" x14ac:dyDescent="0.2">
      <c r="B38" t="s">
        <v>231</v>
      </c>
      <c r="C38" s="12">
        <v>3</v>
      </c>
      <c r="D38" s="8">
        <v>2.2400000000000002</v>
      </c>
      <c r="E38" s="12">
        <v>3</v>
      </c>
      <c r="F38" s="8">
        <v>4.17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217</v>
      </c>
      <c r="C39" s="12">
        <v>2</v>
      </c>
      <c r="D39" s="8">
        <v>1.49</v>
      </c>
      <c r="E39" s="12">
        <v>0</v>
      </c>
      <c r="F39" s="8">
        <v>0</v>
      </c>
      <c r="G39" s="12">
        <v>2</v>
      </c>
      <c r="H39" s="8">
        <v>5.26</v>
      </c>
      <c r="I39" s="12">
        <v>0</v>
      </c>
    </row>
    <row r="40" spans="2:9" ht="15" customHeight="1" x14ac:dyDescent="0.2">
      <c r="B40" t="s">
        <v>220</v>
      </c>
      <c r="C40" s="12">
        <v>2</v>
      </c>
      <c r="D40" s="8">
        <v>1.49</v>
      </c>
      <c r="E40" s="12">
        <v>0</v>
      </c>
      <c r="F40" s="8">
        <v>0</v>
      </c>
      <c r="G40" s="12">
        <v>2</v>
      </c>
      <c r="H40" s="8">
        <v>5.26</v>
      </c>
      <c r="I40" s="12">
        <v>0</v>
      </c>
    </row>
    <row r="41" spans="2:9" ht="15" customHeight="1" x14ac:dyDescent="0.2">
      <c r="B41" t="s">
        <v>246</v>
      </c>
      <c r="C41" s="12">
        <v>2</v>
      </c>
      <c r="D41" s="8">
        <v>1.49</v>
      </c>
      <c r="E41" s="12">
        <v>2</v>
      </c>
      <c r="F41" s="8">
        <v>2.78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225</v>
      </c>
      <c r="C42" s="12">
        <v>2</v>
      </c>
      <c r="D42" s="8">
        <v>1.49</v>
      </c>
      <c r="E42" s="12">
        <v>2</v>
      </c>
      <c r="F42" s="8">
        <v>2.78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239</v>
      </c>
      <c r="C43" s="12">
        <v>2</v>
      </c>
      <c r="D43" s="8">
        <v>1.49</v>
      </c>
      <c r="E43" s="12">
        <v>0</v>
      </c>
      <c r="F43" s="8">
        <v>0</v>
      </c>
      <c r="G43" s="12">
        <v>2</v>
      </c>
      <c r="H43" s="8">
        <v>5.26</v>
      </c>
      <c r="I43" s="12">
        <v>0</v>
      </c>
    </row>
    <row r="44" spans="2:9" ht="15" customHeight="1" x14ac:dyDescent="0.2">
      <c r="B44" t="s">
        <v>249</v>
      </c>
      <c r="C44" s="12">
        <v>2</v>
      </c>
      <c r="D44" s="8">
        <v>1.49</v>
      </c>
      <c r="E44" s="12">
        <v>0</v>
      </c>
      <c r="F44" s="8">
        <v>0</v>
      </c>
      <c r="G44" s="12">
        <v>1</v>
      </c>
      <c r="H44" s="8">
        <v>2.63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288</v>
      </c>
      <c r="C48" s="12">
        <v>7</v>
      </c>
      <c r="D48" s="8">
        <v>5.22</v>
      </c>
      <c r="E48" s="12">
        <v>1</v>
      </c>
      <c r="F48" s="8">
        <v>1.39</v>
      </c>
      <c r="G48" s="12">
        <v>6</v>
      </c>
      <c r="H48" s="8">
        <v>15.79</v>
      </c>
      <c r="I48" s="12">
        <v>0</v>
      </c>
    </row>
    <row r="49" spans="2:9" ht="15" customHeight="1" x14ac:dyDescent="0.2">
      <c r="B49" t="s">
        <v>345</v>
      </c>
      <c r="C49" s="12">
        <v>6</v>
      </c>
      <c r="D49" s="8">
        <v>4.4800000000000004</v>
      </c>
      <c r="E49" s="12">
        <v>0</v>
      </c>
      <c r="F49" s="8">
        <v>0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292</v>
      </c>
      <c r="C50" s="12">
        <v>5</v>
      </c>
      <c r="D50" s="8">
        <v>3.73</v>
      </c>
      <c r="E50" s="12">
        <v>3</v>
      </c>
      <c r="F50" s="8">
        <v>4.17</v>
      </c>
      <c r="G50" s="12">
        <v>2</v>
      </c>
      <c r="H50" s="8">
        <v>5.26</v>
      </c>
      <c r="I50" s="12">
        <v>0</v>
      </c>
    </row>
    <row r="51" spans="2:9" ht="15" customHeight="1" x14ac:dyDescent="0.2">
      <c r="B51" t="s">
        <v>339</v>
      </c>
      <c r="C51" s="12">
        <v>5</v>
      </c>
      <c r="D51" s="8">
        <v>3.73</v>
      </c>
      <c r="E51" s="12">
        <v>4</v>
      </c>
      <c r="F51" s="8">
        <v>5.56</v>
      </c>
      <c r="G51" s="12">
        <v>1</v>
      </c>
      <c r="H51" s="8">
        <v>2.63</v>
      </c>
      <c r="I51" s="12">
        <v>0</v>
      </c>
    </row>
    <row r="52" spans="2:9" ht="15" customHeight="1" x14ac:dyDescent="0.2">
      <c r="B52" t="s">
        <v>331</v>
      </c>
      <c r="C52" s="12">
        <v>5</v>
      </c>
      <c r="D52" s="8">
        <v>3.73</v>
      </c>
      <c r="E52" s="12">
        <v>0</v>
      </c>
      <c r="F52" s="8">
        <v>0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329</v>
      </c>
      <c r="C53" s="12">
        <v>4</v>
      </c>
      <c r="D53" s="8">
        <v>2.99</v>
      </c>
      <c r="E53" s="12">
        <v>2</v>
      </c>
      <c r="F53" s="8">
        <v>2.78</v>
      </c>
      <c r="G53" s="12">
        <v>2</v>
      </c>
      <c r="H53" s="8">
        <v>5.26</v>
      </c>
      <c r="I53" s="12">
        <v>0</v>
      </c>
    </row>
    <row r="54" spans="2:9" ht="15" customHeight="1" x14ac:dyDescent="0.2">
      <c r="B54" t="s">
        <v>330</v>
      </c>
      <c r="C54" s="12">
        <v>4</v>
      </c>
      <c r="D54" s="8">
        <v>2.99</v>
      </c>
      <c r="E54" s="12">
        <v>1</v>
      </c>
      <c r="F54" s="8">
        <v>1.39</v>
      </c>
      <c r="G54" s="12">
        <v>3</v>
      </c>
      <c r="H54" s="8">
        <v>7.89</v>
      </c>
      <c r="I54" s="12">
        <v>0</v>
      </c>
    </row>
    <row r="55" spans="2:9" ht="15" customHeight="1" x14ac:dyDescent="0.2">
      <c r="B55" t="s">
        <v>299</v>
      </c>
      <c r="C55" s="12">
        <v>4</v>
      </c>
      <c r="D55" s="8">
        <v>2.99</v>
      </c>
      <c r="E55" s="12">
        <v>3</v>
      </c>
      <c r="F55" s="8">
        <v>4.17</v>
      </c>
      <c r="G55" s="12">
        <v>1</v>
      </c>
      <c r="H55" s="8">
        <v>2.63</v>
      </c>
      <c r="I55" s="12">
        <v>0</v>
      </c>
    </row>
    <row r="56" spans="2:9" ht="15" customHeight="1" x14ac:dyDescent="0.2">
      <c r="B56" t="s">
        <v>303</v>
      </c>
      <c r="C56" s="12">
        <v>4</v>
      </c>
      <c r="D56" s="8">
        <v>2.99</v>
      </c>
      <c r="E56" s="12">
        <v>4</v>
      </c>
      <c r="F56" s="8">
        <v>5.56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328</v>
      </c>
      <c r="C57" s="12">
        <v>3</v>
      </c>
      <c r="D57" s="8">
        <v>2.2400000000000002</v>
      </c>
      <c r="E57" s="12">
        <v>3</v>
      </c>
      <c r="F57" s="8">
        <v>4.17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291</v>
      </c>
      <c r="C58" s="12">
        <v>3</v>
      </c>
      <c r="D58" s="8">
        <v>2.2400000000000002</v>
      </c>
      <c r="E58" s="12">
        <v>2</v>
      </c>
      <c r="F58" s="8">
        <v>2.78</v>
      </c>
      <c r="G58" s="12">
        <v>1</v>
      </c>
      <c r="H58" s="8">
        <v>2.63</v>
      </c>
      <c r="I58" s="12">
        <v>0</v>
      </c>
    </row>
    <row r="59" spans="2:9" ht="15" customHeight="1" x14ac:dyDescent="0.2">
      <c r="B59" t="s">
        <v>332</v>
      </c>
      <c r="C59" s="12">
        <v>3</v>
      </c>
      <c r="D59" s="8">
        <v>2.2400000000000002</v>
      </c>
      <c r="E59" s="12">
        <v>2</v>
      </c>
      <c r="F59" s="8">
        <v>2.78</v>
      </c>
      <c r="G59" s="12">
        <v>1</v>
      </c>
      <c r="H59" s="8">
        <v>2.63</v>
      </c>
      <c r="I59" s="12">
        <v>0</v>
      </c>
    </row>
    <row r="60" spans="2:9" ht="15" customHeight="1" x14ac:dyDescent="0.2">
      <c r="B60" t="s">
        <v>335</v>
      </c>
      <c r="C60" s="12">
        <v>3</v>
      </c>
      <c r="D60" s="8">
        <v>2.2400000000000002</v>
      </c>
      <c r="E60" s="12">
        <v>1</v>
      </c>
      <c r="F60" s="8">
        <v>1.39</v>
      </c>
      <c r="G60" s="12">
        <v>2</v>
      </c>
      <c r="H60" s="8">
        <v>5.26</v>
      </c>
      <c r="I60" s="12">
        <v>0</v>
      </c>
    </row>
    <row r="61" spans="2:9" ht="15" customHeight="1" x14ac:dyDescent="0.2">
      <c r="B61" t="s">
        <v>295</v>
      </c>
      <c r="C61" s="12">
        <v>3</v>
      </c>
      <c r="D61" s="8">
        <v>2.2400000000000002</v>
      </c>
      <c r="E61" s="12">
        <v>2</v>
      </c>
      <c r="F61" s="8">
        <v>2.78</v>
      </c>
      <c r="G61" s="12">
        <v>1</v>
      </c>
      <c r="H61" s="8">
        <v>2.63</v>
      </c>
      <c r="I61" s="12">
        <v>0</v>
      </c>
    </row>
    <row r="62" spans="2:9" ht="15" customHeight="1" x14ac:dyDescent="0.2">
      <c r="B62" t="s">
        <v>305</v>
      </c>
      <c r="C62" s="12">
        <v>3</v>
      </c>
      <c r="D62" s="8">
        <v>2.2400000000000002</v>
      </c>
      <c r="E62" s="12">
        <v>3</v>
      </c>
      <c r="F62" s="8">
        <v>4.17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343</v>
      </c>
      <c r="C63" s="12">
        <v>2</v>
      </c>
      <c r="D63" s="8">
        <v>1.49</v>
      </c>
      <c r="E63" s="12">
        <v>2</v>
      </c>
      <c r="F63" s="8">
        <v>2.78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333</v>
      </c>
      <c r="C64" s="12">
        <v>2</v>
      </c>
      <c r="D64" s="8">
        <v>1.49</v>
      </c>
      <c r="E64" s="12">
        <v>2</v>
      </c>
      <c r="F64" s="8">
        <v>2.78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290</v>
      </c>
      <c r="C65" s="12">
        <v>2</v>
      </c>
      <c r="D65" s="8">
        <v>1.49</v>
      </c>
      <c r="E65" s="12">
        <v>0</v>
      </c>
      <c r="F65" s="8">
        <v>0</v>
      </c>
      <c r="G65" s="12">
        <v>2</v>
      </c>
      <c r="H65" s="8">
        <v>5.26</v>
      </c>
      <c r="I65" s="12">
        <v>0</v>
      </c>
    </row>
    <row r="66" spans="2:9" ht="15" customHeight="1" x14ac:dyDescent="0.2">
      <c r="B66" t="s">
        <v>376</v>
      </c>
      <c r="C66" s="12">
        <v>2</v>
      </c>
      <c r="D66" s="8">
        <v>1.49</v>
      </c>
      <c r="E66" s="12">
        <v>0</v>
      </c>
      <c r="F66" s="8">
        <v>0</v>
      </c>
      <c r="G66" s="12">
        <v>0</v>
      </c>
      <c r="H66" s="8">
        <v>0</v>
      </c>
      <c r="I66" s="12">
        <v>1</v>
      </c>
    </row>
    <row r="67" spans="2:9" ht="15" customHeight="1" x14ac:dyDescent="0.2">
      <c r="B67" t="s">
        <v>346</v>
      </c>
      <c r="C67" s="12">
        <v>2</v>
      </c>
      <c r="D67" s="8">
        <v>1.49</v>
      </c>
      <c r="E67" s="12">
        <v>0</v>
      </c>
      <c r="F67" s="8">
        <v>0</v>
      </c>
      <c r="G67" s="12">
        <v>2</v>
      </c>
      <c r="H67" s="8">
        <v>5.26</v>
      </c>
      <c r="I67" s="12">
        <v>0</v>
      </c>
    </row>
    <row r="68" spans="2:9" ht="15" customHeight="1" x14ac:dyDescent="0.2">
      <c r="B68" t="s">
        <v>314</v>
      </c>
      <c r="C68" s="12">
        <v>2</v>
      </c>
      <c r="D68" s="8">
        <v>1.49</v>
      </c>
      <c r="E68" s="12">
        <v>0</v>
      </c>
      <c r="F68" s="8">
        <v>0</v>
      </c>
      <c r="G68" s="12">
        <v>2</v>
      </c>
      <c r="H68" s="8">
        <v>5.26</v>
      </c>
      <c r="I68" s="12">
        <v>0</v>
      </c>
    </row>
    <row r="69" spans="2:9" ht="15" customHeight="1" x14ac:dyDescent="0.2">
      <c r="B69" t="s">
        <v>354</v>
      </c>
      <c r="C69" s="12">
        <v>2</v>
      </c>
      <c r="D69" s="8">
        <v>1.49</v>
      </c>
      <c r="E69" s="12">
        <v>0</v>
      </c>
      <c r="F69" s="8">
        <v>0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366</v>
      </c>
      <c r="C70" s="12">
        <v>2</v>
      </c>
      <c r="D70" s="8">
        <v>1.49</v>
      </c>
      <c r="E70" s="12">
        <v>1</v>
      </c>
      <c r="F70" s="8">
        <v>1.39</v>
      </c>
      <c r="G70" s="12">
        <v>1</v>
      </c>
      <c r="H70" s="8">
        <v>2.63</v>
      </c>
      <c r="I70" s="12">
        <v>0</v>
      </c>
    </row>
    <row r="71" spans="2:9" ht="15" customHeight="1" x14ac:dyDescent="0.2">
      <c r="B71" t="s">
        <v>297</v>
      </c>
      <c r="C71" s="12">
        <v>2</v>
      </c>
      <c r="D71" s="8">
        <v>1.49</v>
      </c>
      <c r="E71" s="12">
        <v>2</v>
      </c>
      <c r="F71" s="8">
        <v>2.78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311</v>
      </c>
      <c r="C72" s="12">
        <v>2</v>
      </c>
      <c r="D72" s="8">
        <v>1.49</v>
      </c>
      <c r="E72" s="12">
        <v>1</v>
      </c>
      <c r="F72" s="8">
        <v>1.39</v>
      </c>
      <c r="G72" s="12">
        <v>0</v>
      </c>
      <c r="H72" s="8">
        <v>0</v>
      </c>
      <c r="I72" s="12">
        <v>1</v>
      </c>
    </row>
    <row r="73" spans="2:9" ht="15" customHeight="1" x14ac:dyDescent="0.2">
      <c r="B73" t="s">
        <v>415</v>
      </c>
      <c r="C73" s="12">
        <v>2</v>
      </c>
      <c r="D73" s="8">
        <v>1.49</v>
      </c>
      <c r="E73" s="12">
        <v>2</v>
      </c>
      <c r="F73" s="8">
        <v>2.78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416</v>
      </c>
      <c r="C74" s="12">
        <v>2</v>
      </c>
      <c r="D74" s="8">
        <v>1.49</v>
      </c>
      <c r="E74" s="12">
        <v>2</v>
      </c>
      <c r="F74" s="8">
        <v>2.78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334</v>
      </c>
      <c r="C75" s="12">
        <v>2</v>
      </c>
      <c r="D75" s="8">
        <v>1.49</v>
      </c>
      <c r="E75" s="12">
        <v>2</v>
      </c>
      <c r="F75" s="8">
        <v>2.78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349</v>
      </c>
      <c r="C76" s="12">
        <v>2</v>
      </c>
      <c r="D76" s="8">
        <v>1.49</v>
      </c>
      <c r="E76" s="12">
        <v>2</v>
      </c>
      <c r="F76" s="8">
        <v>2.78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300</v>
      </c>
      <c r="C77" s="12">
        <v>2</v>
      </c>
      <c r="D77" s="8">
        <v>1.49</v>
      </c>
      <c r="E77" s="12">
        <v>2</v>
      </c>
      <c r="F77" s="8">
        <v>2.78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301</v>
      </c>
      <c r="C78" s="12">
        <v>2</v>
      </c>
      <c r="D78" s="8">
        <v>1.49</v>
      </c>
      <c r="E78" s="12">
        <v>2</v>
      </c>
      <c r="F78" s="8">
        <v>2.78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302</v>
      </c>
      <c r="C79" s="12">
        <v>2</v>
      </c>
      <c r="D79" s="8">
        <v>1.49</v>
      </c>
      <c r="E79" s="12">
        <v>1</v>
      </c>
      <c r="F79" s="8">
        <v>1.39</v>
      </c>
      <c r="G79" s="12">
        <v>1</v>
      </c>
      <c r="H79" s="8">
        <v>2.63</v>
      </c>
      <c r="I79" s="12">
        <v>0</v>
      </c>
    </row>
    <row r="80" spans="2:9" ht="15" customHeight="1" x14ac:dyDescent="0.2">
      <c r="B80" t="s">
        <v>325</v>
      </c>
      <c r="C80" s="12">
        <v>2</v>
      </c>
      <c r="D80" s="8">
        <v>1.49</v>
      </c>
      <c r="E80" s="12">
        <v>0</v>
      </c>
      <c r="F80" s="8">
        <v>0</v>
      </c>
      <c r="G80" s="12">
        <v>2</v>
      </c>
      <c r="H80" s="8">
        <v>5.26</v>
      </c>
      <c r="I80" s="12">
        <v>0</v>
      </c>
    </row>
    <row r="81" spans="2:9" ht="15" customHeight="1" x14ac:dyDescent="0.2">
      <c r="B81" t="s">
        <v>312</v>
      </c>
      <c r="C81" s="12">
        <v>2</v>
      </c>
      <c r="D81" s="8">
        <v>1.49</v>
      </c>
      <c r="E81" s="12">
        <v>2</v>
      </c>
      <c r="F81" s="8">
        <v>2.78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341</v>
      </c>
      <c r="C82" s="12">
        <v>2</v>
      </c>
      <c r="D82" s="8">
        <v>1.49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370</v>
      </c>
      <c r="C83" s="12">
        <v>2</v>
      </c>
      <c r="D83" s="8">
        <v>1.49</v>
      </c>
      <c r="E83" s="12">
        <v>0</v>
      </c>
      <c r="F83" s="8">
        <v>0</v>
      </c>
      <c r="G83" s="12">
        <v>1</v>
      </c>
      <c r="H83" s="8">
        <v>2.63</v>
      </c>
      <c r="I83" s="12">
        <v>0</v>
      </c>
    </row>
    <row r="85" spans="2:9" ht="15" customHeight="1" x14ac:dyDescent="0.2">
      <c r="B8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32014-7390-4599-AD31-93C11CD06ECE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0.52</v>
      </c>
      <c r="E5" s="12">
        <v>0</v>
      </c>
      <c r="F5" s="8">
        <v>0</v>
      </c>
      <c r="G5" s="12">
        <v>1</v>
      </c>
      <c r="H5" s="8">
        <v>1.1399999999999999</v>
      </c>
      <c r="I5" s="12">
        <v>0</v>
      </c>
    </row>
    <row r="6" spans="2:9" ht="15" customHeight="1" x14ac:dyDescent="0.2">
      <c r="B6" t="s">
        <v>191</v>
      </c>
      <c r="C6" s="12">
        <v>10</v>
      </c>
      <c r="D6" s="8">
        <v>5.18</v>
      </c>
      <c r="E6" s="12">
        <v>2</v>
      </c>
      <c r="F6" s="8">
        <v>1.9</v>
      </c>
      <c r="G6" s="12">
        <v>8</v>
      </c>
      <c r="H6" s="8">
        <v>9.09</v>
      </c>
      <c r="I6" s="12">
        <v>0</v>
      </c>
    </row>
    <row r="7" spans="2:9" ht="15" customHeight="1" x14ac:dyDescent="0.2">
      <c r="B7" t="s">
        <v>192</v>
      </c>
      <c r="C7" s="12">
        <v>15</v>
      </c>
      <c r="D7" s="8">
        <v>7.77</v>
      </c>
      <c r="E7" s="12">
        <v>5</v>
      </c>
      <c r="F7" s="8">
        <v>4.76</v>
      </c>
      <c r="G7" s="12">
        <v>10</v>
      </c>
      <c r="H7" s="8">
        <v>11.36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3</v>
      </c>
      <c r="D9" s="8">
        <v>1.55</v>
      </c>
      <c r="E9" s="12">
        <v>0</v>
      </c>
      <c r="F9" s="8">
        <v>0</v>
      </c>
      <c r="G9" s="12">
        <v>3</v>
      </c>
      <c r="H9" s="8">
        <v>3.41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1.55</v>
      </c>
      <c r="E10" s="12">
        <v>2</v>
      </c>
      <c r="F10" s="8">
        <v>1.9</v>
      </c>
      <c r="G10" s="12">
        <v>1</v>
      </c>
      <c r="H10" s="8">
        <v>1.1399999999999999</v>
      </c>
      <c r="I10" s="12">
        <v>0</v>
      </c>
    </row>
    <row r="11" spans="2:9" ht="15" customHeight="1" x14ac:dyDescent="0.2">
      <c r="B11" t="s">
        <v>196</v>
      </c>
      <c r="C11" s="12">
        <v>48</v>
      </c>
      <c r="D11" s="8">
        <v>24.87</v>
      </c>
      <c r="E11" s="12">
        <v>19</v>
      </c>
      <c r="F11" s="8">
        <v>18.100000000000001</v>
      </c>
      <c r="G11" s="12">
        <v>29</v>
      </c>
      <c r="H11" s="8">
        <v>32.950000000000003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0.52</v>
      </c>
      <c r="E12" s="12">
        <v>0</v>
      </c>
      <c r="F12" s="8">
        <v>0</v>
      </c>
      <c r="G12" s="12">
        <v>1</v>
      </c>
      <c r="H12" s="8">
        <v>1.1399999999999999</v>
      </c>
      <c r="I12" s="12">
        <v>0</v>
      </c>
    </row>
    <row r="13" spans="2:9" ht="15" customHeight="1" x14ac:dyDescent="0.2">
      <c r="B13" t="s">
        <v>198</v>
      </c>
      <c r="C13" s="12">
        <v>11</v>
      </c>
      <c r="D13" s="8">
        <v>5.7</v>
      </c>
      <c r="E13" s="12">
        <v>1</v>
      </c>
      <c r="F13" s="8">
        <v>0.95</v>
      </c>
      <c r="G13" s="12">
        <v>10</v>
      </c>
      <c r="H13" s="8">
        <v>11.36</v>
      </c>
      <c r="I13" s="12">
        <v>0</v>
      </c>
    </row>
    <row r="14" spans="2:9" ht="15" customHeight="1" x14ac:dyDescent="0.2">
      <c r="B14" t="s">
        <v>199</v>
      </c>
      <c r="C14" s="12">
        <v>8</v>
      </c>
      <c r="D14" s="8">
        <v>4.1500000000000004</v>
      </c>
      <c r="E14" s="12">
        <v>3</v>
      </c>
      <c r="F14" s="8">
        <v>2.86</v>
      </c>
      <c r="G14" s="12">
        <v>5</v>
      </c>
      <c r="H14" s="8">
        <v>5.68</v>
      </c>
      <c r="I14" s="12">
        <v>0</v>
      </c>
    </row>
    <row r="15" spans="2:9" ht="15" customHeight="1" x14ac:dyDescent="0.2">
      <c r="B15" t="s">
        <v>200</v>
      </c>
      <c r="C15" s="12">
        <v>62</v>
      </c>
      <c r="D15" s="8">
        <v>32.119999999999997</v>
      </c>
      <c r="E15" s="12">
        <v>53</v>
      </c>
      <c r="F15" s="8">
        <v>50.48</v>
      </c>
      <c r="G15" s="12">
        <v>9</v>
      </c>
      <c r="H15" s="8">
        <v>10.23</v>
      </c>
      <c r="I15" s="12">
        <v>0</v>
      </c>
    </row>
    <row r="16" spans="2:9" ht="15" customHeight="1" x14ac:dyDescent="0.2">
      <c r="B16" t="s">
        <v>201</v>
      </c>
      <c r="C16" s="12">
        <v>15</v>
      </c>
      <c r="D16" s="8">
        <v>7.77</v>
      </c>
      <c r="E16" s="12">
        <v>12</v>
      </c>
      <c r="F16" s="8">
        <v>11.43</v>
      </c>
      <c r="G16" s="12">
        <v>3</v>
      </c>
      <c r="H16" s="8">
        <v>3.41</v>
      </c>
      <c r="I16" s="12">
        <v>0</v>
      </c>
    </row>
    <row r="17" spans="2:9" ht="15" customHeight="1" x14ac:dyDescent="0.2">
      <c r="B17" t="s">
        <v>202</v>
      </c>
      <c r="C17" s="12">
        <v>4</v>
      </c>
      <c r="D17" s="8">
        <v>2.0699999999999998</v>
      </c>
      <c r="E17" s="12">
        <v>2</v>
      </c>
      <c r="F17" s="8">
        <v>1.9</v>
      </c>
      <c r="G17" s="12">
        <v>2</v>
      </c>
      <c r="H17" s="8">
        <v>2.27</v>
      </c>
      <c r="I17" s="12">
        <v>0</v>
      </c>
    </row>
    <row r="18" spans="2:9" ht="15" customHeight="1" x14ac:dyDescent="0.2">
      <c r="B18" t="s">
        <v>203</v>
      </c>
      <c r="C18" s="12">
        <v>7</v>
      </c>
      <c r="D18" s="8">
        <v>3.63</v>
      </c>
      <c r="E18" s="12">
        <v>4</v>
      </c>
      <c r="F18" s="8">
        <v>3.81</v>
      </c>
      <c r="G18" s="12">
        <v>3</v>
      </c>
      <c r="H18" s="8">
        <v>3.41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2.59</v>
      </c>
      <c r="E19" s="12">
        <v>2</v>
      </c>
      <c r="F19" s="8">
        <v>1.9</v>
      </c>
      <c r="G19" s="12">
        <v>3</v>
      </c>
      <c r="H19" s="8">
        <v>3.41</v>
      </c>
      <c r="I19" s="12">
        <v>0</v>
      </c>
    </row>
    <row r="20" spans="2:9" ht="15" customHeight="1" x14ac:dyDescent="0.2">
      <c r="B20" s="9" t="s">
        <v>529</v>
      </c>
      <c r="C20" s="12">
        <f>SUM(LTBL_01395[総数／事業所数])</f>
        <v>193</v>
      </c>
      <c r="E20" s="12">
        <f>SUBTOTAL(109,LTBL_01395[個人／事業所数])</f>
        <v>105</v>
      </c>
      <c r="G20" s="12">
        <f>SUBTOTAL(109,LTBL_01395[法人／事業所数])</f>
        <v>88</v>
      </c>
      <c r="I20" s="12">
        <f>SUBTOTAL(109,LTBL_01395[法人以外の団体／事業所数])</f>
        <v>0</v>
      </c>
    </row>
    <row r="21" spans="2:9" ht="15" customHeight="1" x14ac:dyDescent="0.2">
      <c r="E21" s="11">
        <f>LTBL_01395[[#Totals],[個人／事業所数]]/LTBL_01395[[#Totals],[総数／事業所数]]</f>
        <v>0.54404145077720212</v>
      </c>
      <c r="G21" s="11">
        <f>LTBL_01395[[#Totals],[法人／事業所数]]/LTBL_01395[[#Totals],[総数／事業所数]]</f>
        <v>0.45595854922279794</v>
      </c>
      <c r="I21" s="11">
        <f>LTBL_01395[[#Totals],[法人以外の団体／事業所数]]/LTBL_01395[[#Totals],[総数／事業所数]]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30</v>
      </c>
      <c r="D24" s="8">
        <v>15.54</v>
      </c>
      <c r="E24" s="12">
        <v>27</v>
      </c>
      <c r="F24" s="8">
        <v>25.71</v>
      </c>
      <c r="G24" s="12">
        <v>3</v>
      </c>
      <c r="H24" s="8">
        <v>3.41</v>
      </c>
      <c r="I24" s="12">
        <v>0</v>
      </c>
    </row>
    <row r="25" spans="2:9" ht="15" customHeight="1" x14ac:dyDescent="0.2">
      <c r="B25" t="s">
        <v>243</v>
      </c>
      <c r="C25" s="12">
        <v>29</v>
      </c>
      <c r="D25" s="8">
        <v>15.03</v>
      </c>
      <c r="E25" s="12">
        <v>23</v>
      </c>
      <c r="F25" s="8">
        <v>21.9</v>
      </c>
      <c r="G25" s="12">
        <v>6</v>
      </c>
      <c r="H25" s="8">
        <v>6.82</v>
      </c>
      <c r="I25" s="12">
        <v>0</v>
      </c>
    </row>
    <row r="26" spans="2:9" ht="15" customHeight="1" x14ac:dyDescent="0.2">
      <c r="B26" t="s">
        <v>221</v>
      </c>
      <c r="C26" s="12">
        <v>15</v>
      </c>
      <c r="D26" s="8">
        <v>7.77</v>
      </c>
      <c r="E26" s="12">
        <v>8</v>
      </c>
      <c r="F26" s="8">
        <v>7.62</v>
      </c>
      <c r="G26" s="12">
        <v>7</v>
      </c>
      <c r="H26" s="8">
        <v>7.95</v>
      </c>
      <c r="I26" s="12">
        <v>0</v>
      </c>
    </row>
    <row r="27" spans="2:9" ht="15" customHeight="1" x14ac:dyDescent="0.2">
      <c r="B27" t="s">
        <v>223</v>
      </c>
      <c r="C27" s="12">
        <v>11</v>
      </c>
      <c r="D27" s="8">
        <v>5.7</v>
      </c>
      <c r="E27" s="12">
        <v>4</v>
      </c>
      <c r="F27" s="8">
        <v>3.81</v>
      </c>
      <c r="G27" s="12">
        <v>7</v>
      </c>
      <c r="H27" s="8">
        <v>7.95</v>
      </c>
      <c r="I27" s="12">
        <v>0</v>
      </c>
    </row>
    <row r="28" spans="2:9" ht="15" customHeight="1" x14ac:dyDescent="0.2">
      <c r="B28" t="s">
        <v>213</v>
      </c>
      <c r="C28" s="12">
        <v>7</v>
      </c>
      <c r="D28" s="8">
        <v>3.63</v>
      </c>
      <c r="E28" s="12">
        <v>0</v>
      </c>
      <c r="F28" s="8">
        <v>0</v>
      </c>
      <c r="G28" s="12">
        <v>7</v>
      </c>
      <c r="H28" s="8">
        <v>7.95</v>
      </c>
      <c r="I28" s="12">
        <v>0</v>
      </c>
    </row>
    <row r="29" spans="2:9" ht="15" customHeight="1" x14ac:dyDescent="0.2">
      <c r="B29" t="s">
        <v>228</v>
      </c>
      <c r="C29" s="12">
        <v>7</v>
      </c>
      <c r="D29" s="8">
        <v>3.63</v>
      </c>
      <c r="E29" s="12">
        <v>7</v>
      </c>
      <c r="F29" s="8">
        <v>6.67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233</v>
      </c>
      <c r="C30" s="12">
        <v>6</v>
      </c>
      <c r="D30" s="8">
        <v>3.11</v>
      </c>
      <c r="E30" s="12">
        <v>0</v>
      </c>
      <c r="F30" s="8">
        <v>0</v>
      </c>
      <c r="G30" s="12">
        <v>6</v>
      </c>
      <c r="H30" s="8">
        <v>6.82</v>
      </c>
      <c r="I30" s="12">
        <v>0</v>
      </c>
    </row>
    <row r="31" spans="2:9" ht="15" customHeight="1" x14ac:dyDescent="0.2">
      <c r="B31" t="s">
        <v>241</v>
      </c>
      <c r="C31" s="12">
        <v>5</v>
      </c>
      <c r="D31" s="8">
        <v>2.59</v>
      </c>
      <c r="E31" s="12">
        <v>3</v>
      </c>
      <c r="F31" s="8">
        <v>2.86</v>
      </c>
      <c r="G31" s="12">
        <v>2</v>
      </c>
      <c r="H31" s="8">
        <v>2.27</v>
      </c>
      <c r="I31" s="12">
        <v>0</v>
      </c>
    </row>
    <row r="32" spans="2:9" ht="15" customHeight="1" x14ac:dyDescent="0.2">
      <c r="B32" t="s">
        <v>218</v>
      </c>
      <c r="C32" s="12">
        <v>5</v>
      </c>
      <c r="D32" s="8">
        <v>2.59</v>
      </c>
      <c r="E32" s="12">
        <v>1</v>
      </c>
      <c r="F32" s="8">
        <v>0.95</v>
      </c>
      <c r="G32" s="12">
        <v>4</v>
      </c>
      <c r="H32" s="8">
        <v>4.55</v>
      </c>
      <c r="I32" s="12">
        <v>0</v>
      </c>
    </row>
    <row r="33" spans="2:9" ht="15" customHeight="1" x14ac:dyDescent="0.2">
      <c r="B33" t="s">
        <v>220</v>
      </c>
      <c r="C33" s="12">
        <v>5</v>
      </c>
      <c r="D33" s="8">
        <v>2.59</v>
      </c>
      <c r="E33" s="12">
        <v>3</v>
      </c>
      <c r="F33" s="8">
        <v>2.86</v>
      </c>
      <c r="G33" s="12">
        <v>2</v>
      </c>
      <c r="H33" s="8">
        <v>2.27</v>
      </c>
      <c r="I33" s="12">
        <v>0</v>
      </c>
    </row>
    <row r="34" spans="2:9" ht="15" customHeight="1" x14ac:dyDescent="0.2">
      <c r="B34" t="s">
        <v>236</v>
      </c>
      <c r="C34" s="12">
        <v>5</v>
      </c>
      <c r="D34" s="8">
        <v>2.59</v>
      </c>
      <c r="E34" s="12">
        <v>1</v>
      </c>
      <c r="F34" s="8">
        <v>0.95</v>
      </c>
      <c r="G34" s="12">
        <v>4</v>
      </c>
      <c r="H34" s="8">
        <v>4.55</v>
      </c>
      <c r="I34" s="12">
        <v>0</v>
      </c>
    </row>
    <row r="35" spans="2:9" ht="15" customHeight="1" x14ac:dyDescent="0.2">
      <c r="B35" t="s">
        <v>225</v>
      </c>
      <c r="C35" s="12">
        <v>5</v>
      </c>
      <c r="D35" s="8">
        <v>2.59</v>
      </c>
      <c r="E35" s="12">
        <v>3</v>
      </c>
      <c r="F35" s="8">
        <v>2.86</v>
      </c>
      <c r="G35" s="12">
        <v>2</v>
      </c>
      <c r="H35" s="8">
        <v>2.27</v>
      </c>
      <c r="I35" s="12">
        <v>0</v>
      </c>
    </row>
    <row r="36" spans="2:9" ht="15" customHeight="1" x14ac:dyDescent="0.2">
      <c r="B36" t="s">
        <v>231</v>
      </c>
      <c r="C36" s="12">
        <v>5</v>
      </c>
      <c r="D36" s="8">
        <v>2.59</v>
      </c>
      <c r="E36" s="12">
        <v>4</v>
      </c>
      <c r="F36" s="8">
        <v>3.81</v>
      </c>
      <c r="G36" s="12">
        <v>1</v>
      </c>
      <c r="H36" s="8">
        <v>1.1399999999999999</v>
      </c>
      <c r="I36" s="12">
        <v>0</v>
      </c>
    </row>
    <row r="37" spans="2:9" ht="15" customHeight="1" x14ac:dyDescent="0.2">
      <c r="B37" t="s">
        <v>222</v>
      </c>
      <c r="C37" s="12">
        <v>4</v>
      </c>
      <c r="D37" s="8">
        <v>2.0699999999999998</v>
      </c>
      <c r="E37" s="12">
        <v>1</v>
      </c>
      <c r="F37" s="8">
        <v>0.95</v>
      </c>
      <c r="G37" s="12">
        <v>3</v>
      </c>
      <c r="H37" s="8">
        <v>3.41</v>
      </c>
      <c r="I37" s="12">
        <v>0</v>
      </c>
    </row>
    <row r="38" spans="2:9" ht="15" customHeight="1" x14ac:dyDescent="0.2">
      <c r="B38" t="s">
        <v>224</v>
      </c>
      <c r="C38" s="12">
        <v>4</v>
      </c>
      <c r="D38" s="8">
        <v>2.0699999999999998</v>
      </c>
      <c r="E38" s="12">
        <v>1</v>
      </c>
      <c r="F38" s="8">
        <v>0.95</v>
      </c>
      <c r="G38" s="12">
        <v>3</v>
      </c>
      <c r="H38" s="8">
        <v>3.41</v>
      </c>
      <c r="I38" s="12">
        <v>0</v>
      </c>
    </row>
    <row r="39" spans="2:9" ht="15" customHeight="1" x14ac:dyDescent="0.2">
      <c r="B39" t="s">
        <v>229</v>
      </c>
      <c r="C39" s="12">
        <v>4</v>
      </c>
      <c r="D39" s="8">
        <v>2.0699999999999998</v>
      </c>
      <c r="E39" s="12">
        <v>2</v>
      </c>
      <c r="F39" s="8">
        <v>1.9</v>
      </c>
      <c r="G39" s="12">
        <v>2</v>
      </c>
      <c r="H39" s="8">
        <v>2.27</v>
      </c>
      <c r="I39" s="12">
        <v>0</v>
      </c>
    </row>
    <row r="40" spans="2:9" ht="15" customHeight="1" x14ac:dyDescent="0.2">
      <c r="B40" t="s">
        <v>247</v>
      </c>
      <c r="C40" s="12">
        <v>4</v>
      </c>
      <c r="D40" s="8">
        <v>2.0699999999999998</v>
      </c>
      <c r="E40" s="12">
        <v>3</v>
      </c>
      <c r="F40" s="8">
        <v>2.86</v>
      </c>
      <c r="G40" s="12">
        <v>1</v>
      </c>
      <c r="H40" s="8">
        <v>1.1399999999999999</v>
      </c>
      <c r="I40" s="12">
        <v>0</v>
      </c>
    </row>
    <row r="41" spans="2:9" ht="15" customHeight="1" x14ac:dyDescent="0.2">
      <c r="B41" t="s">
        <v>230</v>
      </c>
      <c r="C41" s="12">
        <v>4</v>
      </c>
      <c r="D41" s="8">
        <v>2.0699999999999998</v>
      </c>
      <c r="E41" s="12">
        <v>2</v>
      </c>
      <c r="F41" s="8">
        <v>1.9</v>
      </c>
      <c r="G41" s="12">
        <v>2</v>
      </c>
      <c r="H41" s="8">
        <v>2.27</v>
      </c>
      <c r="I41" s="12">
        <v>0</v>
      </c>
    </row>
    <row r="42" spans="2:9" ht="15" customHeight="1" x14ac:dyDescent="0.2">
      <c r="B42" t="s">
        <v>234</v>
      </c>
      <c r="C42" s="12">
        <v>4</v>
      </c>
      <c r="D42" s="8">
        <v>2.0699999999999998</v>
      </c>
      <c r="E42" s="12">
        <v>1</v>
      </c>
      <c r="F42" s="8">
        <v>0.95</v>
      </c>
      <c r="G42" s="12">
        <v>3</v>
      </c>
      <c r="H42" s="8">
        <v>3.41</v>
      </c>
      <c r="I42" s="12">
        <v>0</v>
      </c>
    </row>
    <row r="43" spans="2:9" ht="15" customHeight="1" x14ac:dyDescent="0.2">
      <c r="B43" t="s">
        <v>262</v>
      </c>
      <c r="C43" s="12">
        <v>3</v>
      </c>
      <c r="D43" s="8">
        <v>1.55</v>
      </c>
      <c r="E43" s="12">
        <v>0</v>
      </c>
      <c r="F43" s="8">
        <v>0</v>
      </c>
      <c r="G43" s="12">
        <v>3</v>
      </c>
      <c r="H43" s="8">
        <v>3.41</v>
      </c>
      <c r="I43" s="12">
        <v>0</v>
      </c>
    </row>
    <row r="44" spans="2:9" ht="15" customHeight="1" x14ac:dyDescent="0.2">
      <c r="B44" t="s">
        <v>258</v>
      </c>
      <c r="C44" s="12">
        <v>3</v>
      </c>
      <c r="D44" s="8">
        <v>1.55</v>
      </c>
      <c r="E44" s="12">
        <v>2</v>
      </c>
      <c r="F44" s="8">
        <v>1.9</v>
      </c>
      <c r="G44" s="12">
        <v>1</v>
      </c>
      <c r="H44" s="8">
        <v>1.1399999999999999</v>
      </c>
      <c r="I44" s="12">
        <v>0</v>
      </c>
    </row>
    <row r="45" spans="2:9" ht="15" customHeight="1" x14ac:dyDescent="0.2">
      <c r="B45" t="s">
        <v>239</v>
      </c>
      <c r="C45" s="12">
        <v>3</v>
      </c>
      <c r="D45" s="8">
        <v>1.55</v>
      </c>
      <c r="E45" s="12">
        <v>3</v>
      </c>
      <c r="F45" s="8">
        <v>2.86</v>
      </c>
      <c r="G45" s="12">
        <v>0</v>
      </c>
      <c r="H45" s="8">
        <v>0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339</v>
      </c>
      <c r="C49" s="12">
        <v>24</v>
      </c>
      <c r="D49" s="8">
        <v>12.44</v>
      </c>
      <c r="E49" s="12">
        <v>19</v>
      </c>
      <c r="F49" s="8">
        <v>18.100000000000001</v>
      </c>
      <c r="G49" s="12">
        <v>5</v>
      </c>
      <c r="H49" s="8">
        <v>5.68</v>
      </c>
      <c r="I49" s="12">
        <v>0</v>
      </c>
    </row>
    <row r="50" spans="2:9" ht="15" customHeight="1" x14ac:dyDescent="0.2">
      <c r="B50" t="s">
        <v>329</v>
      </c>
      <c r="C50" s="12">
        <v>7</v>
      </c>
      <c r="D50" s="8">
        <v>3.63</v>
      </c>
      <c r="E50" s="12">
        <v>5</v>
      </c>
      <c r="F50" s="8">
        <v>4.76</v>
      </c>
      <c r="G50" s="12">
        <v>2</v>
      </c>
      <c r="H50" s="8">
        <v>2.27</v>
      </c>
      <c r="I50" s="12">
        <v>0</v>
      </c>
    </row>
    <row r="51" spans="2:9" ht="15" customHeight="1" x14ac:dyDescent="0.2">
      <c r="B51" t="s">
        <v>299</v>
      </c>
      <c r="C51" s="12">
        <v>7</v>
      </c>
      <c r="D51" s="8">
        <v>3.63</v>
      </c>
      <c r="E51" s="12">
        <v>6</v>
      </c>
      <c r="F51" s="8">
        <v>5.71</v>
      </c>
      <c r="G51" s="12">
        <v>1</v>
      </c>
      <c r="H51" s="8">
        <v>1.1399999999999999</v>
      </c>
      <c r="I51" s="12">
        <v>0</v>
      </c>
    </row>
    <row r="52" spans="2:9" ht="15" customHeight="1" x14ac:dyDescent="0.2">
      <c r="B52" t="s">
        <v>302</v>
      </c>
      <c r="C52" s="12">
        <v>6</v>
      </c>
      <c r="D52" s="8">
        <v>3.11</v>
      </c>
      <c r="E52" s="12">
        <v>6</v>
      </c>
      <c r="F52" s="8">
        <v>5.71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334</v>
      </c>
      <c r="C53" s="12">
        <v>5</v>
      </c>
      <c r="D53" s="8">
        <v>2.59</v>
      </c>
      <c r="E53" s="12">
        <v>5</v>
      </c>
      <c r="F53" s="8">
        <v>4.76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288</v>
      </c>
      <c r="C54" s="12">
        <v>4</v>
      </c>
      <c r="D54" s="8">
        <v>2.0699999999999998</v>
      </c>
      <c r="E54" s="12">
        <v>0</v>
      </c>
      <c r="F54" s="8">
        <v>0</v>
      </c>
      <c r="G54" s="12">
        <v>4</v>
      </c>
      <c r="H54" s="8">
        <v>4.55</v>
      </c>
      <c r="I54" s="12">
        <v>0</v>
      </c>
    </row>
    <row r="55" spans="2:9" ht="15" customHeight="1" x14ac:dyDescent="0.2">
      <c r="B55" t="s">
        <v>344</v>
      </c>
      <c r="C55" s="12">
        <v>4</v>
      </c>
      <c r="D55" s="8">
        <v>2.0699999999999998</v>
      </c>
      <c r="E55" s="12">
        <v>1</v>
      </c>
      <c r="F55" s="8">
        <v>0.95</v>
      </c>
      <c r="G55" s="12">
        <v>3</v>
      </c>
      <c r="H55" s="8">
        <v>3.41</v>
      </c>
      <c r="I55" s="12">
        <v>0</v>
      </c>
    </row>
    <row r="56" spans="2:9" ht="15" customHeight="1" x14ac:dyDescent="0.2">
      <c r="B56" t="s">
        <v>310</v>
      </c>
      <c r="C56" s="12">
        <v>4</v>
      </c>
      <c r="D56" s="8">
        <v>2.0699999999999998</v>
      </c>
      <c r="E56" s="12">
        <v>0</v>
      </c>
      <c r="F56" s="8">
        <v>0</v>
      </c>
      <c r="G56" s="12">
        <v>4</v>
      </c>
      <c r="H56" s="8">
        <v>4.55</v>
      </c>
      <c r="I56" s="12">
        <v>0</v>
      </c>
    </row>
    <row r="57" spans="2:9" ht="15" customHeight="1" x14ac:dyDescent="0.2">
      <c r="B57" t="s">
        <v>422</v>
      </c>
      <c r="C57" s="12">
        <v>4</v>
      </c>
      <c r="D57" s="8">
        <v>2.0699999999999998</v>
      </c>
      <c r="E57" s="12">
        <v>3</v>
      </c>
      <c r="F57" s="8">
        <v>2.86</v>
      </c>
      <c r="G57" s="12">
        <v>1</v>
      </c>
      <c r="H57" s="8">
        <v>1.1399999999999999</v>
      </c>
      <c r="I57" s="12">
        <v>0</v>
      </c>
    </row>
    <row r="58" spans="2:9" ht="15" customHeight="1" x14ac:dyDescent="0.2">
      <c r="B58" t="s">
        <v>419</v>
      </c>
      <c r="C58" s="12">
        <v>4</v>
      </c>
      <c r="D58" s="8">
        <v>2.0699999999999998</v>
      </c>
      <c r="E58" s="12">
        <v>3</v>
      </c>
      <c r="F58" s="8">
        <v>2.86</v>
      </c>
      <c r="G58" s="12">
        <v>1</v>
      </c>
      <c r="H58" s="8">
        <v>1.1399999999999999</v>
      </c>
      <c r="I58" s="12">
        <v>0</v>
      </c>
    </row>
    <row r="59" spans="2:9" ht="15" customHeight="1" x14ac:dyDescent="0.2">
      <c r="B59" t="s">
        <v>301</v>
      </c>
      <c r="C59" s="12">
        <v>4</v>
      </c>
      <c r="D59" s="8">
        <v>2.0699999999999998</v>
      </c>
      <c r="E59" s="12">
        <v>3</v>
      </c>
      <c r="F59" s="8">
        <v>2.86</v>
      </c>
      <c r="G59" s="12">
        <v>1</v>
      </c>
      <c r="H59" s="8">
        <v>1.1399999999999999</v>
      </c>
      <c r="I59" s="12">
        <v>0</v>
      </c>
    </row>
    <row r="60" spans="2:9" ht="15" customHeight="1" x14ac:dyDescent="0.2">
      <c r="B60" t="s">
        <v>303</v>
      </c>
      <c r="C60" s="12">
        <v>4</v>
      </c>
      <c r="D60" s="8">
        <v>2.0699999999999998</v>
      </c>
      <c r="E60" s="12">
        <v>4</v>
      </c>
      <c r="F60" s="8">
        <v>3.81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305</v>
      </c>
      <c r="C61" s="12">
        <v>4</v>
      </c>
      <c r="D61" s="8">
        <v>2.0699999999999998</v>
      </c>
      <c r="E61" s="12">
        <v>2</v>
      </c>
      <c r="F61" s="8">
        <v>1.9</v>
      </c>
      <c r="G61" s="12">
        <v>2</v>
      </c>
      <c r="H61" s="8">
        <v>2.27</v>
      </c>
      <c r="I61" s="12">
        <v>0</v>
      </c>
    </row>
    <row r="62" spans="2:9" ht="15" customHeight="1" x14ac:dyDescent="0.2">
      <c r="B62" t="s">
        <v>318</v>
      </c>
      <c r="C62" s="12">
        <v>4</v>
      </c>
      <c r="D62" s="8">
        <v>2.0699999999999998</v>
      </c>
      <c r="E62" s="12">
        <v>1</v>
      </c>
      <c r="F62" s="8">
        <v>0.95</v>
      </c>
      <c r="G62" s="12">
        <v>3</v>
      </c>
      <c r="H62" s="8">
        <v>3.41</v>
      </c>
      <c r="I62" s="12">
        <v>0</v>
      </c>
    </row>
    <row r="63" spans="2:9" ht="15" customHeight="1" x14ac:dyDescent="0.2">
      <c r="B63" t="s">
        <v>413</v>
      </c>
      <c r="C63" s="12">
        <v>3</v>
      </c>
      <c r="D63" s="8">
        <v>1.55</v>
      </c>
      <c r="E63" s="12">
        <v>2</v>
      </c>
      <c r="F63" s="8">
        <v>1.9</v>
      </c>
      <c r="G63" s="12">
        <v>1</v>
      </c>
      <c r="H63" s="8">
        <v>1.1399999999999999</v>
      </c>
      <c r="I63" s="12">
        <v>0</v>
      </c>
    </row>
    <row r="64" spans="2:9" ht="15" customHeight="1" x14ac:dyDescent="0.2">
      <c r="B64" t="s">
        <v>421</v>
      </c>
      <c r="C64" s="12">
        <v>3</v>
      </c>
      <c r="D64" s="8">
        <v>1.55</v>
      </c>
      <c r="E64" s="12">
        <v>1</v>
      </c>
      <c r="F64" s="8">
        <v>0.95</v>
      </c>
      <c r="G64" s="12">
        <v>2</v>
      </c>
      <c r="H64" s="8">
        <v>2.27</v>
      </c>
      <c r="I64" s="12">
        <v>0</v>
      </c>
    </row>
    <row r="65" spans="2:9" ht="15" customHeight="1" x14ac:dyDescent="0.2">
      <c r="B65" t="s">
        <v>335</v>
      </c>
      <c r="C65" s="12">
        <v>3</v>
      </c>
      <c r="D65" s="8">
        <v>1.55</v>
      </c>
      <c r="E65" s="12">
        <v>1</v>
      </c>
      <c r="F65" s="8">
        <v>0.95</v>
      </c>
      <c r="G65" s="12">
        <v>2</v>
      </c>
      <c r="H65" s="8">
        <v>2.27</v>
      </c>
      <c r="I65" s="12">
        <v>0</v>
      </c>
    </row>
    <row r="66" spans="2:9" ht="15" customHeight="1" x14ac:dyDescent="0.2">
      <c r="B66" t="s">
        <v>330</v>
      </c>
      <c r="C66" s="12">
        <v>3</v>
      </c>
      <c r="D66" s="8">
        <v>1.55</v>
      </c>
      <c r="E66" s="12">
        <v>0</v>
      </c>
      <c r="F66" s="8">
        <v>0</v>
      </c>
      <c r="G66" s="12">
        <v>3</v>
      </c>
      <c r="H66" s="8">
        <v>3.41</v>
      </c>
      <c r="I66" s="12">
        <v>0</v>
      </c>
    </row>
    <row r="67" spans="2:9" ht="15" customHeight="1" x14ac:dyDescent="0.2">
      <c r="B67" t="s">
        <v>300</v>
      </c>
      <c r="C67" s="12">
        <v>3</v>
      </c>
      <c r="D67" s="8">
        <v>1.55</v>
      </c>
      <c r="E67" s="12">
        <v>3</v>
      </c>
      <c r="F67" s="8">
        <v>2.86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304</v>
      </c>
      <c r="C68" s="12">
        <v>3</v>
      </c>
      <c r="D68" s="8">
        <v>1.55</v>
      </c>
      <c r="E68" s="12">
        <v>3</v>
      </c>
      <c r="F68" s="8">
        <v>2.86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411</v>
      </c>
      <c r="C69" s="12">
        <v>3</v>
      </c>
      <c r="D69" s="8">
        <v>1.55</v>
      </c>
      <c r="E69" s="12">
        <v>2</v>
      </c>
      <c r="F69" s="8">
        <v>1.9</v>
      </c>
      <c r="G69" s="12">
        <v>1</v>
      </c>
      <c r="H69" s="8">
        <v>1.1399999999999999</v>
      </c>
      <c r="I69" s="12">
        <v>0</v>
      </c>
    </row>
    <row r="70" spans="2:9" ht="15" customHeight="1" x14ac:dyDescent="0.2">
      <c r="B70" t="s">
        <v>306</v>
      </c>
      <c r="C70" s="12">
        <v>3</v>
      </c>
      <c r="D70" s="8">
        <v>1.55</v>
      </c>
      <c r="E70" s="12">
        <v>3</v>
      </c>
      <c r="F70" s="8">
        <v>2.86</v>
      </c>
      <c r="G70" s="12">
        <v>0</v>
      </c>
      <c r="H70" s="8">
        <v>0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B82B2-F0AE-415A-A3D6-73865004A4E8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</v>
      </c>
      <c r="D6" s="8">
        <v>10.67</v>
      </c>
      <c r="E6" s="12">
        <v>5</v>
      </c>
      <c r="F6" s="8">
        <v>10.64</v>
      </c>
      <c r="G6" s="12">
        <v>3</v>
      </c>
      <c r="H6" s="8">
        <v>14.29</v>
      </c>
      <c r="I6" s="12">
        <v>0</v>
      </c>
    </row>
    <row r="7" spans="2:9" ht="15" customHeight="1" x14ac:dyDescent="0.2">
      <c r="B7" t="s">
        <v>192</v>
      </c>
      <c r="C7" s="12">
        <v>1</v>
      </c>
      <c r="D7" s="8">
        <v>1.33</v>
      </c>
      <c r="E7" s="12">
        <v>0</v>
      </c>
      <c r="F7" s="8">
        <v>0</v>
      </c>
      <c r="G7" s="12">
        <v>1</v>
      </c>
      <c r="H7" s="8">
        <v>4.76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1.33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4</v>
      </c>
      <c r="E10" s="12">
        <v>1</v>
      </c>
      <c r="F10" s="8">
        <v>2.13</v>
      </c>
      <c r="G10" s="12">
        <v>1</v>
      </c>
      <c r="H10" s="8">
        <v>4.76</v>
      </c>
      <c r="I10" s="12">
        <v>1</v>
      </c>
    </row>
    <row r="11" spans="2:9" ht="15" customHeight="1" x14ac:dyDescent="0.2">
      <c r="B11" t="s">
        <v>196</v>
      </c>
      <c r="C11" s="12">
        <v>18</v>
      </c>
      <c r="D11" s="8">
        <v>24</v>
      </c>
      <c r="E11" s="12">
        <v>11</v>
      </c>
      <c r="F11" s="8">
        <v>23.4</v>
      </c>
      <c r="G11" s="12">
        <v>7</v>
      </c>
      <c r="H11" s="8">
        <v>33.33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2.67</v>
      </c>
      <c r="E13" s="12">
        <v>1</v>
      </c>
      <c r="F13" s="8">
        <v>2.13</v>
      </c>
      <c r="G13" s="12">
        <v>1</v>
      </c>
      <c r="H13" s="8">
        <v>4.76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27</v>
      </c>
      <c r="D15" s="8">
        <v>36</v>
      </c>
      <c r="E15" s="12">
        <v>21</v>
      </c>
      <c r="F15" s="8">
        <v>44.68</v>
      </c>
      <c r="G15" s="12">
        <v>5</v>
      </c>
      <c r="H15" s="8">
        <v>23.81</v>
      </c>
      <c r="I15" s="12">
        <v>0</v>
      </c>
    </row>
    <row r="16" spans="2:9" ht="15" customHeight="1" x14ac:dyDescent="0.2">
      <c r="B16" t="s">
        <v>201</v>
      </c>
      <c r="C16" s="12">
        <v>6</v>
      </c>
      <c r="D16" s="8">
        <v>8</v>
      </c>
      <c r="E16" s="12">
        <v>5</v>
      </c>
      <c r="F16" s="8">
        <v>10.64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2.67</v>
      </c>
      <c r="E17" s="12">
        <v>1</v>
      </c>
      <c r="F17" s="8">
        <v>2.13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6.67</v>
      </c>
      <c r="E18" s="12">
        <v>1</v>
      </c>
      <c r="F18" s="8">
        <v>2.13</v>
      </c>
      <c r="G18" s="12">
        <v>3</v>
      </c>
      <c r="H18" s="8">
        <v>14.29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2.67</v>
      </c>
      <c r="E19" s="12">
        <v>1</v>
      </c>
      <c r="F19" s="8">
        <v>2.13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SUM(LTBL_01396[総数／事業所数])</f>
        <v>75</v>
      </c>
      <c r="E20" s="12">
        <f>SUBTOTAL(109,LTBL_01396[個人／事業所数])</f>
        <v>47</v>
      </c>
      <c r="G20" s="12">
        <f>SUBTOTAL(109,LTBL_01396[法人／事業所数])</f>
        <v>21</v>
      </c>
      <c r="I20" s="12">
        <f>SUBTOTAL(109,LTBL_01396[法人以外の団体／事業所数])</f>
        <v>1</v>
      </c>
    </row>
    <row r="21" spans="2:9" ht="15" customHeight="1" x14ac:dyDescent="0.2">
      <c r="E21" s="11">
        <f>LTBL_01396[[#Totals],[個人／事業所数]]/LTBL_01396[[#Totals],[総数／事業所数]]</f>
        <v>0.62666666666666671</v>
      </c>
      <c r="G21" s="11">
        <f>LTBL_01396[[#Totals],[法人／事業所数]]/LTBL_01396[[#Totals],[総数／事業所数]]</f>
        <v>0.28000000000000003</v>
      </c>
      <c r="I21" s="11">
        <f>LTBL_01396[[#Totals],[法人以外の団体／事業所数]]/LTBL_01396[[#Totals],[総数／事業所数]]</f>
        <v>1.3333333333333334E-2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18</v>
      </c>
      <c r="D24" s="8">
        <v>24</v>
      </c>
      <c r="E24" s="12">
        <v>14</v>
      </c>
      <c r="F24" s="8">
        <v>29.79</v>
      </c>
      <c r="G24" s="12">
        <v>4</v>
      </c>
      <c r="H24" s="8">
        <v>19.05</v>
      </c>
      <c r="I24" s="12">
        <v>0</v>
      </c>
    </row>
    <row r="25" spans="2:9" ht="15" customHeight="1" x14ac:dyDescent="0.2">
      <c r="B25" t="s">
        <v>221</v>
      </c>
      <c r="C25" s="12">
        <v>9</v>
      </c>
      <c r="D25" s="8">
        <v>12</v>
      </c>
      <c r="E25" s="12">
        <v>7</v>
      </c>
      <c r="F25" s="8">
        <v>14.89</v>
      </c>
      <c r="G25" s="12">
        <v>2</v>
      </c>
      <c r="H25" s="8">
        <v>9.52</v>
      </c>
      <c r="I25" s="12">
        <v>0</v>
      </c>
    </row>
    <row r="26" spans="2:9" ht="15" customHeight="1" x14ac:dyDescent="0.2">
      <c r="B26" t="s">
        <v>214</v>
      </c>
      <c r="C26" s="12">
        <v>5</v>
      </c>
      <c r="D26" s="8">
        <v>6.67</v>
      </c>
      <c r="E26" s="12">
        <v>3</v>
      </c>
      <c r="F26" s="8">
        <v>6.38</v>
      </c>
      <c r="G26" s="12">
        <v>2</v>
      </c>
      <c r="H26" s="8">
        <v>9.52</v>
      </c>
      <c r="I26" s="12">
        <v>0</v>
      </c>
    </row>
    <row r="27" spans="2:9" ht="15" customHeight="1" x14ac:dyDescent="0.2">
      <c r="B27" t="s">
        <v>223</v>
      </c>
      <c r="C27" s="12">
        <v>5</v>
      </c>
      <c r="D27" s="8">
        <v>6.67</v>
      </c>
      <c r="E27" s="12">
        <v>2</v>
      </c>
      <c r="F27" s="8">
        <v>4.26</v>
      </c>
      <c r="G27" s="12">
        <v>3</v>
      </c>
      <c r="H27" s="8">
        <v>14.29</v>
      </c>
      <c r="I27" s="12">
        <v>0</v>
      </c>
    </row>
    <row r="28" spans="2:9" ht="15" customHeight="1" x14ac:dyDescent="0.2">
      <c r="B28" t="s">
        <v>239</v>
      </c>
      <c r="C28" s="12">
        <v>5</v>
      </c>
      <c r="D28" s="8">
        <v>6.67</v>
      </c>
      <c r="E28" s="12">
        <v>4</v>
      </c>
      <c r="F28" s="8">
        <v>8.51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243</v>
      </c>
      <c r="C29" s="12">
        <v>4</v>
      </c>
      <c r="D29" s="8">
        <v>5.33</v>
      </c>
      <c r="E29" s="12">
        <v>3</v>
      </c>
      <c r="F29" s="8">
        <v>6.38</v>
      </c>
      <c r="G29" s="12">
        <v>1</v>
      </c>
      <c r="H29" s="8">
        <v>4.76</v>
      </c>
      <c r="I29" s="12">
        <v>0</v>
      </c>
    </row>
    <row r="30" spans="2:9" ht="15" customHeight="1" x14ac:dyDescent="0.2">
      <c r="B30" t="s">
        <v>228</v>
      </c>
      <c r="C30" s="12">
        <v>4</v>
      </c>
      <c r="D30" s="8">
        <v>5.33</v>
      </c>
      <c r="E30" s="12">
        <v>4</v>
      </c>
      <c r="F30" s="8">
        <v>8.51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232</v>
      </c>
      <c r="C31" s="12">
        <v>4</v>
      </c>
      <c r="D31" s="8">
        <v>5.33</v>
      </c>
      <c r="E31" s="12">
        <v>0</v>
      </c>
      <c r="F31" s="8">
        <v>0</v>
      </c>
      <c r="G31" s="12">
        <v>3</v>
      </c>
      <c r="H31" s="8">
        <v>14.29</v>
      </c>
      <c r="I31" s="12">
        <v>0</v>
      </c>
    </row>
    <row r="32" spans="2:9" ht="15" customHeight="1" x14ac:dyDescent="0.2">
      <c r="B32" t="s">
        <v>213</v>
      </c>
      <c r="C32" s="12">
        <v>2</v>
      </c>
      <c r="D32" s="8">
        <v>2.67</v>
      </c>
      <c r="E32" s="12">
        <v>1</v>
      </c>
      <c r="F32" s="8">
        <v>2.13</v>
      </c>
      <c r="G32" s="12">
        <v>1</v>
      </c>
      <c r="H32" s="8">
        <v>4.76</v>
      </c>
      <c r="I32" s="12">
        <v>0</v>
      </c>
    </row>
    <row r="33" spans="2:9" ht="15" customHeight="1" x14ac:dyDescent="0.2">
      <c r="B33" t="s">
        <v>248</v>
      </c>
      <c r="C33" s="12">
        <v>2</v>
      </c>
      <c r="D33" s="8">
        <v>2.67</v>
      </c>
      <c r="E33" s="12">
        <v>1</v>
      </c>
      <c r="F33" s="8">
        <v>2.13</v>
      </c>
      <c r="G33" s="12">
        <v>1</v>
      </c>
      <c r="H33" s="8">
        <v>4.76</v>
      </c>
      <c r="I33" s="12">
        <v>0</v>
      </c>
    </row>
    <row r="34" spans="2:9" ht="15" customHeight="1" x14ac:dyDescent="0.2">
      <c r="B34" t="s">
        <v>218</v>
      </c>
      <c r="C34" s="12">
        <v>2</v>
      </c>
      <c r="D34" s="8">
        <v>2.67</v>
      </c>
      <c r="E34" s="12">
        <v>1</v>
      </c>
      <c r="F34" s="8">
        <v>2.13</v>
      </c>
      <c r="G34" s="12">
        <v>1</v>
      </c>
      <c r="H34" s="8">
        <v>4.76</v>
      </c>
      <c r="I34" s="12">
        <v>0</v>
      </c>
    </row>
    <row r="35" spans="2:9" ht="15" customHeight="1" x14ac:dyDescent="0.2">
      <c r="B35" t="s">
        <v>247</v>
      </c>
      <c r="C35" s="12">
        <v>2</v>
      </c>
      <c r="D35" s="8">
        <v>2.67</v>
      </c>
      <c r="E35" s="12">
        <v>1</v>
      </c>
      <c r="F35" s="8">
        <v>2.13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230</v>
      </c>
      <c r="C36" s="12">
        <v>2</v>
      </c>
      <c r="D36" s="8">
        <v>2.67</v>
      </c>
      <c r="E36" s="12">
        <v>1</v>
      </c>
      <c r="F36" s="8">
        <v>2.13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215</v>
      </c>
      <c r="C37" s="12">
        <v>1</v>
      </c>
      <c r="D37" s="8">
        <v>1.33</v>
      </c>
      <c r="E37" s="12">
        <v>1</v>
      </c>
      <c r="F37" s="8">
        <v>2.13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262</v>
      </c>
      <c r="C38" s="12">
        <v>1</v>
      </c>
      <c r="D38" s="8">
        <v>1.33</v>
      </c>
      <c r="E38" s="12">
        <v>0</v>
      </c>
      <c r="F38" s="8">
        <v>0</v>
      </c>
      <c r="G38" s="12">
        <v>1</v>
      </c>
      <c r="H38" s="8">
        <v>4.76</v>
      </c>
      <c r="I38" s="12">
        <v>0</v>
      </c>
    </row>
    <row r="39" spans="2:9" ht="15" customHeight="1" x14ac:dyDescent="0.2">
      <c r="B39" t="s">
        <v>255</v>
      </c>
      <c r="C39" s="12">
        <v>1</v>
      </c>
      <c r="D39" s="8">
        <v>1.33</v>
      </c>
      <c r="E39" s="12">
        <v>0</v>
      </c>
      <c r="F39" s="8">
        <v>0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261</v>
      </c>
      <c r="C40" s="12">
        <v>1</v>
      </c>
      <c r="D40" s="8">
        <v>1.33</v>
      </c>
      <c r="E40" s="12">
        <v>0</v>
      </c>
      <c r="F40" s="8">
        <v>0</v>
      </c>
      <c r="G40" s="12">
        <v>0</v>
      </c>
      <c r="H40" s="8">
        <v>0</v>
      </c>
      <c r="I40" s="12">
        <v>1</v>
      </c>
    </row>
    <row r="41" spans="2:9" ht="15" customHeight="1" x14ac:dyDescent="0.2">
      <c r="B41" t="s">
        <v>216</v>
      </c>
      <c r="C41" s="12">
        <v>1</v>
      </c>
      <c r="D41" s="8">
        <v>1.33</v>
      </c>
      <c r="E41" s="12">
        <v>0</v>
      </c>
      <c r="F41" s="8">
        <v>0</v>
      </c>
      <c r="G41" s="12">
        <v>1</v>
      </c>
      <c r="H41" s="8">
        <v>4.76</v>
      </c>
      <c r="I41" s="12">
        <v>0</v>
      </c>
    </row>
    <row r="42" spans="2:9" ht="15" customHeight="1" x14ac:dyDescent="0.2">
      <c r="B42" t="s">
        <v>236</v>
      </c>
      <c r="C42" s="12">
        <v>1</v>
      </c>
      <c r="D42" s="8">
        <v>1.33</v>
      </c>
      <c r="E42" s="12">
        <v>1</v>
      </c>
      <c r="F42" s="8">
        <v>2.13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233</v>
      </c>
      <c r="C43" s="12">
        <v>1</v>
      </c>
      <c r="D43" s="8">
        <v>1.33</v>
      </c>
      <c r="E43" s="12">
        <v>0</v>
      </c>
      <c r="F43" s="8">
        <v>0</v>
      </c>
      <c r="G43" s="12">
        <v>1</v>
      </c>
      <c r="H43" s="8">
        <v>4.76</v>
      </c>
      <c r="I43" s="12">
        <v>0</v>
      </c>
    </row>
    <row r="44" spans="2:9" ht="15" customHeight="1" x14ac:dyDescent="0.2">
      <c r="B44" t="s">
        <v>224</v>
      </c>
      <c r="C44" s="12">
        <v>1</v>
      </c>
      <c r="D44" s="8">
        <v>1.33</v>
      </c>
      <c r="E44" s="12">
        <v>1</v>
      </c>
      <c r="F44" s="8">
        <v>2.13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231</v>
      </c>
      <c r="C45" s="12">
        <v>1</v>
      </c>
      <c r="D45" s="8">
        <v>1.33</v>
      </c>
      <c r="E45" s="12">
        <v>1</v>
      </c>
      <c r="F45" s="8">
        <v>2.13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249</v>
      </c>
      <c r="C46" s="12">
        <v>1</v>
      </c>
      <c r="D46" s="8">
        <v>1.33</v>
      </c>
      <c r="E46" s="12">
        <v>0</v>
      </c>
      <c r="F46" s="8">
        <v>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240</v>
      </c>
      <c r="C47" s="12">
        <v>1</v>
      </c>
      <c r="D47" s="8">
        <v>1.33</v>
      </c>
      <c r="E47" s="12">
        <v>1</v>
      </c>
      <c r="F47" s="8">
        <v>2.13</v>
      </c>
      <c r="G47" s="12">
        <v>0</v>
      </c>
      <c r="H47" s="8">
        <v>0</v>
      </c>
      <c r="I47" s="12">
        <v>0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334</v>
      </c>
      <c r="C51" s="12">
        <v>5</v>
      </c>
      <c r="D51" s="8">
        <v>6.67</v>
      </c>
      <c r="E51" s="12">
        <v>5</v>
      </c>
      <c r="F51" s="8">
        <v>10.64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302</v>
      </c>
      <c r="C52" s="12">
        <v>5</v>
      </c>
      <c r="D52" s="8">
        <v>6.67</v>
      </c>
      <c r="E52" s="12">
        <v>4</v>
      </c>
      <c r="F52" s="8">
        <v>8.51</v>
      </c>
      <c r="G52" s="12">
        <v>1</v>
      </c>
      <c r="H52" s="8">
        <v>4.76</v>
      </c>
      <c r="I52" s="12">
        <v>0</v>
      </c>
    </row>
    <row r="53" spans="2:9" ht="15" customHeight="1" x14ac:dyDescent="0.2">
      <c r="B53" t="s">
        <v>329</v>
      </c>
      <c r="C53" s="12">
        <v>4</v>
      </c>
      <c r="D53" s="8">
        <v>5.33</v>
      </c>
      <c r="E53" s="12">
        <v>4</v>
      </c>
      <c r="F53" s="8">
        <v>8.51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330</v>
      </c>
      <c r="C54" s="12">
        <v>3</v>
      </c>
      <c r="D54" s="8">
        <v>4</v>
      </c>
      <c r="E54" s="12">
        <v>0</v>
      </c>
      <c r="F54" s="8">
        <v>0</v>
      </c>
      <c r="G54" s="12">
        <v>3</v>
      </c>
      <c r="H54" s="8">
        <v>14.29</v>
      </c>
      <c r="I54" s="12">
        <v>0</v>
      </c>
    </row>
    <row r="55" spans="2:9" ht="15" customHeight="1" x14ac:dyDescent="0.2">
      <c r="B55" t="s">
        <v>299</v>
      </c>
      <c r="C55" s="12">
        <v>3</v>
      </c>
      <c r="D55" s="8">
        <v>4</v>
      </c>
      <c r="E55" s="12">
        <v>0</v>
      </c>
      <c r="F55" s="8">
        <v>0</v>
      </c>
      <c r="G55" s="12">
        <v>3</v>
      </c>
      <c r="H55" s="8">
        <v>14.29</v>
      </c>
      <c r="I55" s="12">
        <v>0</v>
      </c>
    </row>
    <row r="56" spans="2:9" ht="15" customHeight="1" x14ac:dyDescent="0.2">
      <c r="B56" t="s">
        <v>423</v>
      </c>
      <c r="C56" s="12">
        <v>3</v>
      </c>
      <c r="D56" s="8">
        <v>4</v>
      </c>
      <c r="E56" s="12">
        <v>3</v>
      </c>
      <c r="F56" s="8">
        <v>6.38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331</v>
      </c>
      <c r="C57" s="12">
        <v>3</v>
      </c>
      <c r="D57" s="8">
        <v>4</v>
      </c>
      <c r="E57" s="12">
        <v>0</v>
      </c>
      <c r="F57" s="8">
        <v>0</v>
      </c>
      <c r="G57" s="12">
        <v>3</v>
      </c>
      <c r="H57" s="8">
        <v>14.29</v>
      </c>
      <c r="I57" s="12">
        <v>0</v>
      </c>
    </row>
    <row r="58" spans="2:9" ht="15" customHeight="1" x14ac:dyDescent="0.2">
      <c r="B58" t="s">
        <v>393</v>
      </c>
      <c r="C58" s="12">
        <v>2</v>
      </c>
      <c r="D58" s="8">
        <v>2.67</v>
      </c>
      <c r="E58" s="12">
        <v>1</v>
      </c>
      <c r="F58" s="8">
        <v>2.13</v>
      </c>
      <c r="G58" s="12">
        <v>1</v>
      </c>
      <c r="H58" s="8">
        <v>4.76</v>
      </c>
      <c r="I58" s="12">
        <v>0</v>
      </c>
    </row>
    <row r="59" spans="2:9" ht="15" customHeight="1" x14ac:dyDescent="0.2">
      <c r="B59" t="s">
        <v>333</v>
      </c>
      <c r="C59" s="12">
        <v>2</v>
      </c>
      <c r="D59" s="8">
        <v>2.67</v>
      </c>
      <c r="E59" s="12">
        <v>2</v>
      </c>
      <c r="F59" s="8">
        <v>4.26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350</v>
      </c>
      <c r="C60" s="12">
        <v>2</v>
      </c>
      <c r="D60" s="8">
        <v>2.67</v>
      </c>
      <c r="E60" s="12">
        <v>1</v>
      </c>
      <c r="F60" s="8">
        <v>2.13</v>
      </c>
      <c r="G60" s="12">
        <v>1</v>
      </c>
      <c r="H60" s="8">
        <v>4.76</v>
      </c>
      <c r="I60" s="12">
        <v>0</v>
      </c>
    </row>
    <row r="61" spans="2:9" ht="15" customHeight="1" x14ac:dyDescent="0.2">
      <c r="B61" t="s">
        <v>336</v>
      </c>
      <c r="C61" s="12">
        <v>2</v>
      </c>
      <c r="D61" s="8">
        <v>2.67</v>
      </c>
      <c r="E61" s="12">
        <v>1</v>
      </c>
      <c r="F61" s="8">
        <v>2.13</v>
      </c>
      <c r="G61" s="12">
        <v>1</v>
      </c>
      <c r="H61" s="8">
        <v>4.76</v>
      </c>
      <c r="I61" s="12">
        <v>0</v>
      </c>
    </row>
    <row r="62" spans="2:9" ht="15" customHeight="1" x14ac:dyDescent="0.2">
      <c r="B62" t="s">
        <v>292</v>
      </c>
      <c r="C62" s="12">
        <v>2</v>
      </c>
      <c r="D62" s="8">
        <v>2.67</v>
      </c>
      <c r="E62" s="12">
        <v>2</v>
      </c>
      <c r="F62" s="8">
        <v>4.26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337</v>
      </c>
      <c r="C63" s="12">
        <v>2</v>
      </c>
      <c r="D63" s="8">
        <v>2.67</v>
      </c>
      <c r="E63" s="12">
        <v>2</v>
      </c>
      <c r="F63" s="8">
        <v>4.26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422</v>
      </c>
      <c r="C64" s="12">
        <v>2</v>
      </c>
      <c r="D64" s="8">
        <v>2.67</v>
      </c>
      <c r="E64" s="12">
        <v>2</v>
      </c>
      <c r="F64" s="8">
        <v>4.26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405</v>
      </c>
      <c r="C65" s="12">
        <v>2</v>
      </c>
      <c r="D65" s="8">
        <v>2.67</v>
      </c>
      <c r="E65" s="12">
        <v>1</v>
      </c>
      <c r="F65" s="8">
        <v>2.13</v>
      </c>
      <c r="G65" s="12">
        <v>1</v>
      </c>
      <c r="H65" s="8">
        <v>4.76</v>
      </c>
      <c r="I65" s="12">
        <v>0</v>
      </c>
    </row>
    <row r="66" spans="2:9" ht="15" customHeight="1" x14ac:dyDescent="0.2">
      <c r="B66" t="s">
        <v>301</v>
      </c>
      <c r="C66" s="12">
        <v>2</v>
      </c>
      <c r="D66" s="8">
        <v>2.67</v>
      </c>
      <c r="E66" s="12">
        <v>2</v>
      </c>
      <c r="F66" s="8">
        <v>4.26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325</v>
      </c>
      <c r="C67" s="12">
        <v>2</v>
      </c>
      <c r="D67" s="8">
        <v>2.67</v>
      </c>
      <c r="E67" s="12">
        <v>1</v>
      </c>
      <c r="F67" s="8">
        <v>2.13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303</v>
      </c>
      <c r="C68" s="12">
        <v>2</v>
      </c>
      <c r="D68" s="8">
        <v>2.67</v>
      </c>
      <c r="E68" s="12">
        <v>2</v>
      </c>
      <c r="F68" s="8">
        <v>4.26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304</v>
      </c>
      <c r="C69" s="12">
        <v>2</v>
      </c>
      <c r="D69" s="8">
        <v>2.67</v>
      </c>
      <c r="E69" s="12">
        <v>2</v>
      </c>
      <c r="F69" s="8">
        <v>4.26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368</v>
      </c>
      <c r="C70" s="12">
        <v>2</v>
      </c>
      <c r="D70" s="8">
        <v>2.67</v>
      </c>
      <c r="E70" s="12">
        <v>1</v>
      </c>
      <c r="F70" s="8">
        <v>2.13</v>
      </c>
      <c r="G70" s="12">
        <v>0</v>
      </c>
      <c r="H70" s="8">
        <v>0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E0C11-60BA-4299-97CD-F22EC2824D7B}">
  <sheetPr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</v>
      </c>
      <c r="D6" s="8">
        <v>2.86</v>
      </c>
      <c r="E6" s="12">
        <v>0</v>
      </c>
      <c r="F6" s="8">
        <v>0</v>
      </c>
      <c r="G6" s="12">
        <v>2</v>
      </c>
      <c r="H6" s="8">
        <v>7.41</v>
      </c>
      <c r="I6" s="12">
        <v>0</v>
      </c>
    </row>
    <row r="7" spans="2:9" ht="15" customHeight="1" x14ac:dyDescent="0.2">
      <c r="B7" t="s">
        <v>192</v>
      </c>
      <c r="C7" s="12">
        <v>4</v>
      </c>
      <c r="D7" s="8">
        <v>5.71</v>
      </c>
      <c r="E7" s="12">
        <v>3</v>
      </c>
      <c r="F7" s="8">
        <v>7.69</v>
      </c>
      <c r="G7" s="12">
        <v>1</v>
      </c>
      <c r="H7" s="8">
        <v>3.7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2.86</v>
      </c>
      <c r="E8" s="12">
        <v>0</v>
      </c>
      <c r="F8" s="8">
        <v>0</v>
      </c>
      <c r="G8" s="12">
        <v>1</v>
      </c>
      <c r="H8" s="8">
        <v>3.7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18</v>
      </c>
      <c r="D11" s="8">
        <v>25.71</v>
      </c>
      <c r="E11" s="12">
        <v>11</v>
      </c>
      <c r="F11" s="8">
        <v>28.21</v>
      </c>
      <c r="G11" s="12">
        <v>7</v>
      </c>
      <c r="H11" s="8">
        <v>25.93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8</v>
      </c>
      <c r="D13" s="8">
        <v>11.43</v>
      </c>
      <c r="E13" s="12">
        <v>7</v>
      </c>
      <c r="F13" s="8">
        <v>17.95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26</v>
      </c>
      <c r="D15" s="8">
        <v>37.14</v>
      </c>
      <c r="E15" s="12">
        <v>14</v>
      </c>
      <c r="F15" s="8">
        <v>35.9</v>
      </c>
      <c r="G15" s="12">
        <v>11</v>
      </c>
      <c r="H15" s="8">
        <v>40.74</v>
      </c>
      <c r="I15" s="12">
        <v>0</v>
      </c>
    </row>
    <row r="16" spans="2:9" ht="15" customHeight="1" x14ac:dyDescent="0.2">
      <c r="B16" t="s">
        <v>201</v>
      </c>
      <c r="C16" s="12">
        <v>2</v>
      </c>
      <c r="D16" s="8">
        <v>2.86</v>
      </c>
      <c r="E16" s="12">
        <v>2</v>
      </c>
      <c r="F16" s="8">
        <v>5.13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2.86</v>
      </c>
      <c r="E17" s="12">
        <v>1</v>
      </c>
      <c r="F17" s="8">
        <v>2.56</v>
      </c>
      <c r="G17" s="12">
        <v>1</v>
      </c>
      <c r="H17" s="8">
        <v>3.7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2.86</v>
      </c>
      <c r="E18" s="12">
        <v>0</v>
      </c>
      <c r="F18" s="8">
        <v>0</v>
      </c>
      <c r="G18" s="12">
        <v>1</v>
      </c>
      <c r="H18" s="8">
        <v>3.7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5.71</v>
      </c>
      <c r="E19" s="12">
        <v>1</v>
      </c>
      <c r="F19" s="8">
        <v>2.56</v>
      </c>
      <c r="G19" s="12">
        <v>3</v>
      </c>
      <c r="H19" s="8">
        <v>11.11</v>
      </c>
      <c r="I19" s="12">
        <v>0</v>
      </c>
    </row>
    <row r="20" spans="2:9" ht="15" customHeight="1" x14ac:dyDescent="0.2">
      <c r="B20" s="9" t="s">
        <v>529</v>
      </c>
      <c r="C20" s="12">
        <f>SUM(LTBL_01397[総数／事業所数])</f>
        <v>70</v>
      </c>
      <c r="E20" s="12">
        <f>SUBTOTAL(109,LTBL_01397[個人／事業所数])</f>
        <v>39</v>
      </c>
      <c r="G20" s="12">
        <f>SUBTOTAL(109,LTBL_01397[法人／事業所数])</f>
        <v>27</v>
      </c>
      <c r="I20" s="12">
        <f>SUBTOTAL(109,LTBL_01397[法人以外の団体／事業所数])</f>
        <v>0</v>
      </c>
    </row>
    <row r="21" spans="2:9" ht="15" customHeight="1" x14ac:dyDescent="0.2">
      <c r="E21" s="11">
        <f>LTBL_01397[[#Totals],[個人／事業所数]]/LTBL_01397[[#Totals],[総数／事業所数]]</f>
        <v>0.55714285714285716</v>
      </c>
      <c r="G21" s="11">
        <f>LTBL_01397[[#Totals],[法人／事業所数]]/LTBL_01397[[#Totals],[総数／事業所数]]</f>
        <v>0.38571428571428573</v>
      </c>
      <c r="I21" s="11">
        <f>LTBL_01397[[#Totals],[法人以外の団体／事業所数]]/LTBL_01397[[#Totals],[総数／事業所数]]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11</v>
      </c>
      <c r="D24" s="8">
        <v>15.71</v>
      </c>
      <c r="E24" s="12">
        <v>10</v>
      </c>
      <c r="F24" s="8">
        <v>25.64</v>
      </c>
      <c r="G24" s="12">
        <v>1</v>
      </c>
      <c r="H24" s="8">
        <v>3.7</v>
      </c>
      <c r="I24" s="12">
        <v>0</v>
      </c>
    </row>
    <row r="25" spans="2:9" ht="15" customHeight="1" x14ac:dyDescent="0.2">
      <c r="B25" t="s">
        <v>221</v>
      </c>
      <c r="C25" s="12">
        <v>10</v>
      </c>
      <c r="D25" s="8">
        <v>14.29</v>
      </c>
      <c r="E25" s="12">
        <v>8</v>
      </c>
      <c r="F25" s="8">
        <v>20.51</v>
      </c>
      <c r="G25" s="12">
        <v>2</v>
      </c>
      <c r="H25" s="8">
        <v>7.41</v>
      </c>
      <c r="I25" s="12">
        <v>0</v>
      </c>
    </row>
    <row r="26" spans="2:9" ht="15" customHeight="1" x14ac:dyDescent="0.2">
      <c r="B26" t="s">
        <v>243</v>
      </c>
      <c r="C26" s="12">
        <v>9</v>
      </c>
      <c r="D26" s="8">
        <v>12.86</v>
      </c>
      <c r="E26" s="12">
        <v>4</v>
      </c>
      <c r="F26" s="8">
        <v>10.26</v>
      </c>
      <c r="G26" s="12">
        <v>5</v>
      </c>
      <c r="H26" s="8">
        <v>18.52</v>
      </c>
      <c r="I26" s="12">
        <v>0</v>
      </c>
    </row>
    <row r="27" spans="2:9" ht="15" customHeight="1" x14ac:dyDescent="0.2">
      <c r="B27" t="s">
        <v>224</v>
      </c>
      <c r="C27" s="12">
        <v>7</v>
      </c>
      <c r="D27" s="8">
        <v>10</v>
      </c>
      <c r="E27" s="12">
        <v>6</v>
      </c>
      <c r="F27" s="8">
        <v>15.38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239</v>
      </c>
      <c r="C28" s="12">
        <v>6</v>
      </c>
      <c r="D28" s="8">
        <v>8.57</v>
      </c>
      <c r="E28" s="12">
        <v>0</v>
      </c>
      <c r="F28" s="8">
        <v>0</v>
      </c>
      <c r="G28" s="12">
        <v>5</v>
      </c>
      <c r="H28" s="8">
        <v>18.52</v>
      </c>
      <c r="I28" s="12">
        <v>0</v>
      </c>
    </row>
    <row r="29" spans="2:9" ht="15" customHeight="1" x14ac:dyDescent="0.2">
      <c r="B29" t="s">
        <v>223</v>
      </c>
      <c r="C29" s="12">
        <v>5</v>
      </c>
      <c r="D29" s="8">
        <v>7.14</v>
      </c>
      <c r="E29" s="12">
        <v>1</v>
      </c>
      <c r="F29" s="8">
        <v>2.56</v>
      </c>
      <c r="G29" s="12">
        <v>4</v>
      </c>
      <c r="H29" s="8">
        <v>14.81</v>
      </c>
      <c r="I29" s="12">
        <v>0</v>
      </c>
    </row>
    <row r="30" spans="2:9" ht="15" customHeight="1" x14ac:dyDescent="0.2">
      <c r="B30" t="s">
        <v>242</v>
      </c>
      <c r="C30" s="12">
        <v>3</v>
      </c>
      <c r="D30" s="8">
        <v>4.29</v>
      </c>
      <c r="E30" s="12">
        <v>1</v>
      </c>
      <c r="F30" s="8">
        <v>2.56</v>
      </c>
      <c r="G30" s="12">
        <v>2</v>
      </c>
      <c r="H30" s="8">
        <v>7.41</v>
      </c>
      <c r="I30" s="12">
        <v>0</v>
      </c>
    </row>
    <row r="31" spans="2:9" ht="15" customHeight="1" x14ac:dyDescent="0.2">
      <c r="B31" t="s">
        <v>241</v>
      </c>
      <c r="C31" s="12">
        <v>2</v>
      </c>
      <c r="D31" s="8">
        <v>2.86</v>
      </c>
      <c r="E31" s="12">
        <v>1</v>
      </c>
      <c r="F31" s="8">
        <v>2.56</v>
      </c>
      <c r="G31" s="12">
        <v>1</v>
      </c>
      <c r="H31" s="8">
        <v>3.7</v>
      </c>
      <c r="I31" s="12">
        <v>0</v>
      </c>
    </row>
    <row r="32" spans="2:9" ht="15" customHeight="1" x14ac:dyDescent="0.2">
      <c r="B32" t="s">
        <v>255</v>
      </c>
      <c r="C32" s="12">
        <v>2</v>
      </c>
      <c r="D32" s="8">
        <v>2.86</v>
      </c>
      <c r="E32" s="12">
        <v>0</v>
      </c>
      <c r="F32" s="8">
        <v>0</v>
      </c>
      <c r="G32" s="12">
        <v>1</v>
      </c>
      <c r="H32" s="8">
        <v>3.7</v>
      </c>
      <c r="I32" s="12">
        <v>0</v>
      </c>
    </row>
    <row r="33" spans="2:9" ht="15" customHeight="1" x14ac:dyDescent="0.2">
      <c r="B33" t="s">
        <v>228</v>
      </c>
      <c r="C33" s="12">
        <v>2</v>
      </c>
      <c r="D33" s="8">
        <v>2.86</v>
      </c>
      <c r="E33" s="12">
        <v>2</v>
      </c>
      <c r="F33" s="8">
        <v>5.13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230</v>
      </c>
      <c r="C34" s="12">
        <v>2</v>
      </c>
      <c r="D34" s="8">
        <v>2.86</v>
      </c>
      <c r="E34" s="12">
        <v>1</v>
      </c>
      <c r="F34" s="8">
        <v>2.56</v>
      </c>
      <c r="G34" s="12">
        <v>1</v>
      </c>
      <c r="H34" s="8">
        <v>3.7</v>
      </c>
      <c r="I34" s="12">
        <v>0</v>
      </c>
    </row>
    <row r="35" spans="2:9" ht="15" customHeight="1" x14ac:dyDescent="0.2">
      <c r="B35" t="s">
        <v>213</v>
      </c>
      <c r="C35" s="12">
        <v>1</v>
      </c>
      <c r="D35" s="8">
        <v>1.43</v>
      </c>
      <c r="E35" s="12">
        <v>0</v>
      </c>
      <c r="F35" s="8">
        <v>0</v>
      </c>
      <c r="G35" s="12">
        <v>1</v>
      </c>
      <c r="H35" s="8">
        <v>3.7</v>
      </c>
      <c r="I35" s="12">
        <v>0</v>
      </c>
    </row>
    <row r="36" spans="2:9" ht="15" customHeight="1" x14ac:dyDescent="0.2">
      <c r="B36" t="s">
        <v>215</v>
      </c>
      <c r="C36" s="12">
        <v>1</v>
      </c>
      <c r="D36" s="8">
        <v>1.43</v>
      </c>
      <c r="E36" s="12">
        <v>0</v>
      </c>
      <c r="F36" s="8">
        <v>0</v>
      </c>
      <c r="G36" s="12">
        <v>1</v>
      </c>
      <c r="H36" s="8">
        <v>3.7</v>
      </c>
      <c r="I36" s="12">
        <v>0</v>
      </c>
    </row>
    <row r="37" spans="2:9" ht="15" customHeight="1" x14ac:dyDescent="0.2">
      <c r="B37" t="s">
        <v>251</v>
      </c>
      <c r="C37" s="12">
        <v>1</v>
      </c>
      <c r="D37" s="8">
        <v>1.43</v>
      </c>
      <c r="E37" s="12">
        <v>1</v>
      </c>
      <c r="F37" s="8">
        <v>2.56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245</v>
      </c>
      <c r="C38" s="12">
        <v>1</v>
      </c>
      <c r="D38" s="8">
        <v>1.43</v>
      </c>
      <c r="E38" s="12">
        <v>1</v>
      </c>
      <c r="F38" s="8">
        <v>2.56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216</v>
      </c>
      <c r="C39" s="12">
        <v>1</v>
      </c>
      <c r="D39" s="8">
        <v>1.43</v>
      </c>
      <c r="E39" s="12">
        <v>0</v>
      </c>
      <c r="F39" s="8">
        <v>0</v>
      </c>
      <c r="G39" s="12">
        <v>1</v>
      </c>
      <c r="H39" s="8">
        <v>3.7</v>
      </c>
      <c r="I39" s="12">
        <v>0</v>
      </c>
    </row>
    <row r="40" spans="2:9" ht="15" customHeight="1" x14ac:dyDescent="0.2">
      <c r="B40" t="s">
        <v>220</v>
      </c>
      <c r="C40" s="12">
        <v>1</v>
      </c>
      <c r="D40" s="8">
        <v>1.43</v>
      </c>
      <c r="E40" s="12">
        <v>1</v>
      </c>
      <c r="F40" s="8">
        <v>2.56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222</v>
      </c>
      <c r="C41" s="12">
        <v>1</v>
      </c>
      <c r="D41" s="8">
        <v>1.43</v>
      </c>
      <c r="E41" s="12">
        <v>1</v>
      </c>
      <c r="F41" s="8">
        <v>2.56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233</v>
      </c>
      <c r="C42" s="12">
        <v>1</v>
      </c>
      <c r="D42" s="8">
        <v>1.43</v>
      </c>
      <c r="E42" s="12">
        <v>1</v>
      </c>
      <c r="F42" s="8">
        <v>2.56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231</v>
      </c>
      <c r="C43" s="12">
        <v>1</v>
      </c>
      <c r="D43" s="8">
        <v>1.43</v>
      </c>
      <c r="E43" s="12">
        <v>0</v>
      </c>
      <c r="F43" s="8">
        <v>0</v>
      </c>
      <c r="G43" s="12">
        <v>1</v>
      </c>
      <c r="H43" s="8">
        <v>3.7</v>
      </c>
      <c r="I43" s="12">
        <v>0</v>
      </c>
    </row>
    <row r="44" spans="2:9" ht="15" customHeight="1" x14ac:dyDescent="0.2">
      <c r="B44" t="s">
        <v>232</v>
      </c>
      <c r="C44" s="12">
        <v>1</v>
      </c>
      <c r="D44" s="8">
        <v>1.43</v>
      </c>
      <c r="E44" s="12">
        <v>0</v>
      </c>
      <c r="F44" s="8">
        <v>0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234</v>
      </c>
      <c r="C45" s="12">
        <v>1</v>
      </c>
      <c r="D45" s="8">
        <v>1.43</v>
      </c>
      <c r="E45" s="12">
        <v>0</v>
      </c>
      <c r="F45" s="8">
        <v>0</v>
      </c>
      <c r="G45" s="12">
        <v>1</v>
      </c>
      <c r="H45" s="8">
        <v>3.7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297</v>
      </c>
      <c r="C49" s="12">
        <v>7</v>
      </c>
      <c r="D49" s="8">
        <v>10</v>
      </c>
      <c r="E49" s="12">
        <v>6</v>
      </c>
      <c r="F49" s="8">
        <v>15.38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339</v>
      </c>
      <c r="C50" s="12">
        <v>6</v>
      </c>
      <c r="D50" s="8">
        <v>8.57</v>
      </c>
      <c r="E50" s="12">
        <v>3</v>
      </c>
      <c r="F50" s="8">
        <v>7.69</v>
      </c>
      <c r="G50" s="12">
        <v>3</v>
      </c>
      <c r="H50" s="8">
        <v>11.11</v>
      </c>
      <c r="I50" s="12">
        <v>0</v>
      </c>
    </row>
    <row r="51" spans="2:9" ht="15" customHeight="1" x14ac:dyDescent="0.2">
      <c r="B51" t="s">
        <v>325</v>
      </c>
      <c r="C51" s="12">
        <v>6</v>
      </c>
      <c r="D51" s="8">
        <v>8.57</v>
      </c>
      <c r="E51" s="12">
        <v>0</v>
      </c>
      <c r="F51" s="8">
        <v>0</v>
      </c>
      <c r="G51" s="12">
        <v>5</v>
      </c>
      <c r="H51" s="8">
        <v>18.52</v>
      </c>
      <c r="I51" s="12">
        <v>0</v>
      </c>
    </row>
    <row r="52" spans="2:9" ht="15" customHeight="1" x14ac:dyDescent="0.2">
      <c r="B52" t="s">
        <v>329</v>
      </c>
      <c r="C52" s="12">
        <v>5</v>
      </c>
      <c r="D52" s="8">
        <v>7.14</v>
      </c>
      <c r="E52" s="12">
        <v>4</v>
      </c>
      <c r="F52" s="8">
        <v>10.26</v>
      </c>
      <c r="G52" s="12">
        <v>1</v>
      </c>
      <c r="H52" s="8">
        <v>3.7</v>
      </c>
      <c r="I52" s="12">
        <v>0</v>
      </c>
    </row>
    <row r="53" spans="2:9" ht="15" customHeight="1" x14ac:dyDescent="0.2">
      <c r="B53" t="s">
        <v>330</v>
      </c>
      <c r="C53" s="12">
        <v>4</v>
      </c>
      <c r="D53" s="8">
        <v>5.71</v>
      </c>
      <c r="E53" s="12">
        <v>0</v>
      </c>
      <c r="F53" s="8">
        <v>0</v>
      </c>
      <c r="G53" s="12">
        <v>4</v>
      </c>
      <c r="H53" s="8">
        <v>14.81</v>
      </c>
      <c r="I53" s="12">
        <v>0</v>
      </c>
    </row>
    <row r="54" spans="2:9" ht="15" customHeight="1" x14ac:dyDescent="0.2">
      <c r="B54" t="s">
        <v>292</v>
      </c>
      <c r="C54" s="12">
        <v>3</v>
      </c>
      <c r="D54" s="8">
        <v>4.29</v>
      </c>
      <c r="E54" s="12">
        <v>2</v>
      </c>
      <c r="F54" s="8">
        <v>5.13</v>
      </c>
      <c r="G54" s="12">
        <v>1</v>
      </c>
      <c r="H54" s="8">
        <v>3.7</v>
      </c>
      <c r="I54" s="12">
        <v>0</v>
      </c>
    </row>
    <row r="55" spans="2:9" ht="15" customHeight="1" x14ac:dyDescent="0.2">
      <c r="B55" t="s">
        <v>422</v>
      </c>
      <c r="C55" s="12">
        <v>3</v>
      </c>
      <c r="D55" s="8">
        <v>4.29</v>
      </c>
      <c r="E55" s="12">
        <v>1</v>
      </c>
      <c r="F55" s="8">
        <v>2.56</v>
      </c>
      <c r="G55" s="12">
        <v>2</v>
      </c>
      <c r="H55" s="8">
        <v>7.41</v>
      </c>
      <c r="I55" s="12">
        <v>0</v>
      </c>
    </row>
    <row r="56" spans="2:9" ht="15" customHeight="1" x14ac:dyDescent="0.2">
      <c r="B56" t="s">
        <v>334</v>
      </c>
      <c r="C56" s="12">
        <v>3</v>
      </c>
      <c r="D56" s="8">
        <v>4.29</v>
      </c>
      <c r="E56" s="12">
        <v>3</v>
      </c>
      <c r="F56" s="8">
        <v>7.69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299</v>
      </c>
      <c r="C57" s="12">
        <v>3</v>
      </c>
      <c r="D57" s="8">
        <v>4.29</v>
      </c>
      <c r="E57" s="12">
        <v>3</v>
      </c>
      <c r="F57" s="8">
        <v>7.69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301</v>
      </c>
      <c r="C58" s="12">
        <v>3</v>
      </c>
      <c r="D58" s="8">
        <v>4.29</v>
      </c>
      <c r="E58" s="12">
        <v>3</v>
      </c>
      <c r="F58" s="8">
        <v>7.69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376</v>
      </c>
      <c r="C59" s="12">
        <v>2</v>
      </c>
      <c r="D59" s="8">
        <v>2.86</v>
      </c>
      <c r="E59" s="12">
        <v>1</v>
      </c>
      <c r="F59" s="8">
        <v>2.56</v>
      </c>
      <c r="G59" s="12">
        <v>1</v>
      </c>
      <c r="H59" s="8">
        <v>3.7</v>
      </c>
      <c r="I59" s="12">
        <v>0</v>
      </c>
    </row>
    <row r="60" spans="2:9" ht="15" customHeight="1" x14ac:dyDescent="0.2">
      <c r="B60" t="s">
        <v>362</v>
      </c>
      <c r="C60" s="12">
        <v>2</v>
      </c>
      <c r="D60" s="8">
        <v>2.86</v>
      </c>
      <c r="E60" s="12">
        <v>0</v>
      </c>
      <c r="F60" s="8">
        <v>0</v>
      </c>
      <c r="G60" s="12">
        <v>1</v>
      </c>
      <c r="H60" s="8">
        <v>3.7</v>
      </c>
      <c r="I60" s="12">
        <v>0</v>
      </c>
    </row>
    <row r="61" spans="2:9" ht="15" customHeight="1" x14ac:dyDescent="0.2">
      <c r="B61" t="s">
        <v>336</v>
      </c>
      <c r="C61" s="12">
        <v>2</v>
      </c>
      <c r="D61" s="8">
        <v>2.86</v>
      </c>
      <c r="E61" s="12">
        <v>2</v>
      </c>
      <c r="F61" s="8">
        <v>5.13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300</v>
      </c>
      <c r="C62" s="12">
        <v>2</v>
      </c>
      <c r="D62" s="8">
        <v>2.86</v>
      </c>
      <c r="E62" s="12">
        <v>1</v>
      </c>
      <c r="F62" s="8">
        <v>2.56</v>
      </c>
      <c r="G62" s="12">
        <v>1</v>
      </c>
      <c r="H62" s="8">
        <v>3.7</v>
      </c>
      <c r="I62" s="12">
        <v>0</v>
      </c>
    </row>
    <row r="63" spans="2:9" ht="15" customHeight="1" x14ac:dyDescent="0.2">
      <c r="B63" t="s">
        <v>305</v>
      </c>
      <c r="C63" s="12">
        <v>2</v>
      </c>
      <c r="D63" s="8">
        <v>2.86</v>
      </c>
      <c r="E63" s="12">
        <v>1</v>
      </c>
      <c r="F63" s="8">
        <v>2.56</v>
      </c>
      <c r="G63" s="12">
        <v>1</v>
      </c>
      <c r="H63" s="8">
        <v>3.7</v>
      </c>
      <c r="I63" s="12">
        <v>0</v>
      </c>
    </row>
    <row r="64" spans="2:9" ht="15" customHeight="1" x14ac:dyDescent="0.2">
      <c r="B64" t="s">
        <v>371</v>
      </c>
      <c r="C64" s="12">
        <v>2</v>
      </c>
      <c r="D64" s="8">
        <v>2.86</v>
      </c>
      <c r="E64" s="12">
        <v>0</v>
      </c>
      <c r="F64" s="8">
        <v>0</v>
      </c>
      <c r="G64" s="12">
        <v>2</v>
      </c>
      <c r="H64" s="8">
        <v>7.41</v>
      </c>
      <c r="I64" s="12">
        <v>0</v>
      </c>
    </row>
    <row r="65" spans="2:9" ht="15" customHeight="1" x14ac:dyDescent="0.2">
      <c r="B65" t="s">
        <v>288</v>
      </c>
      <c r="C65" s="12">
        <v>1</v>
      </c>
      <c r="D65" s="8">
        <v>1.43</v>
      </c>
      <c r="E65" s="12">
        <v>0</v>
      </c>
      <c r="F65" s="8">
        <v>0</v>
      </c>
      <c r="G65" s="12">
        <v>1</v>
      </c>
      <c r="H65" s="8">
        <v>3.7</v>
      </c>
      <c r="I65" s="12">
        <v>0</v>
      </c>
    </row>
    <row r="66" spans="2:9" ht="15" customHeight="1" x14ac:dyDescent="0.2">
      <c r="B66" t="s">
        <v>291</v>
      </c>
      <c r="C66" s="12">
        <v>1</v>
      </c>
      <c r="D66" s="8">
        <v>1.43</v>
      </c>
      <c r="E66" s="12">
        <v>0</v>
      </c>
      <c r="F66" s="8">
        <v>0</v>
      </c>
      <c r="G66" s="12">
        <v>1</v>
      </c>
      <c r="H66" s="8">
        <v>3.7</v>
      </c>
      <c r="I66" s="12">
        <v>0</v>
      </c>
    </row>
    <row r="67" spans="2:9" ht="15" customHeight="1" x14ac:dyDescent="0.2">
      <c r="B67" t="s">
        <v>424</v>
      </c>
      <c r="C67" s="12">
        <v>1</v>
      </c>
      <c r="D67" s="8">
        <v>1.43</v>
      </c>
      <c r="E67" s="12">
        <v>1</v>
      </c>
      <c r="F67" s="8">
        <v>2.56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425</v>
      </c>
      <c r="C68" s="12">
        <v>1</v>
      </c>
      <c r="D68" s="8">
        <v>1.43</v>
      </c>
      <c r="E68" s="12">
        <v>1</v>
      </c>
      <c r="F68" s="8">
        <v>2.56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324</v>
      </c>
      <c r="C69" s="12">
        <v>1</v>
      </c>
      <c r="D69" s="8">
        <v>1.43</v>
      </c>
      <c r="E69" s="12">
        <v>0</v>
      </c>
      <c r="F69" s="8">
        <v>0</v>
      </c>
      <c r="G69" s="12">
        <v>1</v>
      </c>
      <c r="H69" s="8">
        <v>3.7</v>
      </c>
      <c r="I69" s="12">
        <v>0</v>
      </c>
    </row>
    <row r="70" spans="2:9" ht="15" customHeight="1" x14ac:dyDescent="0.2">
      <c r="B70" t="s">
        <v>314</v>
      </c>
      <c r="C70" s="12">
        <v>1</v>
      </c>
      <c r="D70" s="8">
        <v>1.43</v>
      </c>
      <c r="E70" s="12">
        <v>1</v>
      </c>
      <c r="F70" s="8">
        <v>2.56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293</v>
      </c>
      <c r="C71" s="12">
        <v>1</v>
      </c>
      <c r="D71" s="8">
        <v>1.43</v>
      </c>
      <c r="E71" s="12">
        <v>1</v>
      </c>
      <c r="F71" s="8">
        <v>2.56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337</v>
      </c>
      <c r="C72" s="12">
        <v>1</v>
      </c>
      <c r="D72" s="8">
        <v>1.43</v>
      </c>
      <c r="E72" s="12">
        <v>1</v>
      </c>
      <c r="F72" s="8">
        <v>2.56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426</v>
      </c>
      <c r="C73" s="12">
        <v>1</v>
      </c>
      <c r="D73" s="8">
        <v>1.43</v>
      </c>
      <c r="E73" s="12">
        <v>1</v>
      </c>
      <c r="F73" s="8">
        <v>2.56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303</v>
      </c>
      <c r="C74" s="12">
        <v>1</v>
      </c>
      <c r="D74" s="8">
        <v>1.43</v>
      </c>
      <c r="E74" s="12">
        <v>1</v>
      </c>
      <c r="F74" s="8">
        <v>2.56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304</v>
      </c>
      <c r="C75" s="12">
        <v>1</v>
      </c>
      <c r="D75" s="8">
        <v>1.43</v>
      </c>
      <c r="E75" s="12">
        <v>1</v>
      </c>
      <c r="F75" s="8">
        <v>2.56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312</v>
      </c>
      <c r="C76" s="12">
        <v>1</v>
      </c>
      <c r="D76" s="8">
        <v>1.43</v>
      </c>
      <c r="E76" s="12">
        <v>0</v>
      </c>
      <c r="F76" s="8">
        <v>0</v>
      </c>
      <c r="G76" s="12">
        <v>1</v>
      </c>
      <c r="H76" s="8">
        <v>3.7</v>
      </c>
      <c r="I76" s="12">
        <v>0</v>
      </c>
    </row>
    <row r="77" spans="2:9" ht="15" customHeight="1" x14ac:dyDescent="0.2">
      <c r="B77" t="s">
        <v>331</v>
      </c>
      <c r="C77" s="12">
        <v>1</v>
      </c>
      <c r="D77" s="8">
        <v>1.43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392</v>
      </c>
      <c r="C78" s="12">
        <v>1</v>
      </c>
      <c r="D78" s="8">
        <v>1.43</v>
      </c>
      <c r="E78" s="12">
        <v>1</v>
      </c>
      <c r="F78" s="8">
        <v>2.56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318</v>
      </c>
      <c r="C79" s="12">
        <v>1</v>
      </c>
      <c r="D79" s="8">
        <v>1.43</v>
      </c>
      <c r="E79" s="12">
        <v>0</v>
      </c>
      <c r="F79" s="8">
        <v>0</v>
      </c>
      <c r="G79" s="12">
        <v>1</v>
      </c>
      <c r="H79" s="8">
        <v>3.7</v>
      </c>
      <c r="I79" s="12">
        <v>0</v>
      </c>
    </row>
    <row r="81" spans="2:2" ht="15" customHeight="1" x14ac:dyDescent="0.2">
      <c r="B8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33010-2B7A-4458-8992-EB1D096CC044}">
  <sheetPr>
    <pageSetUpPr fitToPage="1"/>
  </sheetPr>
  <dimension ref="B2:I10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1.45</v>
      </c>
      <c r="E5" s="12">
        <v>0</v>
      </c>
      <c r="F5" s="8">
        <v>0</v>
      </c>
      <c r="G5" s="12">
        <v>1</v>
      </c>
      <c r="H5" s="8">
        <v>3.7</v>
      </c>
      <c r="I5" s="12">
        <v>0</v>
      </c>
    </row>
    <row r="6" spans="2:9" ht="15" customHeight="1" x14ac:dyDescent="0.2">
      <c r="B6" t="s">
        <v>191</v>
      </c>
      <c r="C6" s="12">
        <v>5</v>
      </c>
      <c r="D6" s="8">
        <v>7.25</v>
      </c>
      <c r="E6" s="12">
        <v>1</v>
      </c>
      <c r="F6" s="8">
        <v>2.44</v>
      </c>
      <c r="G6" s="12">
        <v>4</v>
      </c>
      <c r="H6" s="8">
        <v>14.81</v>
      </c>
      <c r="I6" s="12">
        <v>0</v>
      </c>
    </row>
    <row r="7" spans="2:9" ht="15" customHeight="1" x14ac:dyDescent="0.2">
      <c r="B7" t="s">
        <v>192</v>
      </c>
      <c r="C7" s="12">
        <v>2</v>
      </c>
      <c r="D7" s="8">
        <v>2.9</v>
      </c>
      <c r="E7" s="12">
        <v>1</v>
      </c>
      <c r="F7" s="8">
        <v>2.44</v>
      </c>
      <c r="G7" s="12">
        <v>1</v>
      </c>
      <c r="H7" s="8">
        <v>3.7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2.9</v>
      </c>
      <c r="E8" s="12">
        <v>0</v>
      </c>
      <c r="F8" s="8">
        <v>0</v>
      </c>
      <c r="G8" s="12">
        <v>1</v>
      </c>
      <c r="H8" s="8">
        <v>3.7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2.9</v>
      </c>
      <c r="E10" s="12">
        <v>0</v>
      </c>
      <c r="F10" s="8">
        <v>0</v>
      </c>
      <c r="G10" s="12">
        <v>2</v>
      </c>
      <c r="H10" s="8">
        <v>7.41</v>
      </c>
      <c r="I10" s="12">
        <v>0</v>
      </c>
    </row>
    <row r="11" spans="2:9" ht="15" customHeight="1" x14ac:dyDescent="0.2">
      <c r="B11" t="s">
        <v>196</v>
      </c>
      <c r="C11" s="12">
        <v>23</v>
      </c>
      <c r="D11" s="8">
        <v>33.33</v>
      </c>
      <c r="E11" s="12">
        <v>16</v>
      </c>
      <c r="F11" s="8">
        <v>39.020000000000003</v>
      </c>
      <c r="G11" s="12">
        <v>7</v>
      </c>
      <c r="H11" s="8">
        <v>25.93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1.45</v>
      </c>
      <c r="E12" s="12">
        <v>1</v>
      </c>
      <c r="F12" s="8">
        <v>2.44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</v>
      </c>
      <c r="D13" s="8">
        <v>1.45</v>
      </c>
      <c r="E13" s="12">
        <v>1</v>
      </c>
      <c r="F13" s="8">
        <v>2.44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4.3499999999999996</v>
      </c>
      <c r="E14" s="12">
        <v>0</v>
      </c>
      <c r="F14" s="8">
        <v>0</v>
      </c>
      <c r="G14" s="12">
        <v>3</v>
      </c>
      <c r="H14" s="8">
        <v>11.11</v>
      </c>
      <c r="I14" s="12">
        <v>0</v>
      </c>
    </row>
    <row r="15" spans="2:9" ht="15" customHeight="1" x14ac:dyDescent="0.2">
      <c r="B15" t="s">
        <v>200</v>
      </c>
      <c r="C15" s="12">
        <v>16</v>
      </c>
      <c r="D15" s="8">
        <v>23.19</v>
      </c>
      <c r="E15" s="12">
        <v>13</v>
      </c>
      <c r="F15" s="8">
        <v>31.71</v>
      </c>
      <c r="G15" s="12">
        <v>3</v>
      </c>
      <c r="H15" s="8">
        <v>11.11</v>
      </c>
      <c r="I15" s="12">
        <v>0</v>
      </c>
    </row>
    <row r="16" spans="2:9" ht="15" customHeight="1" x14ac:dyDescent="0.2">
      <c r="B16" t="s">
        <v>201</v>
      </c>
      <c r="C16" s="12">
        <v>6</v>
      </c>
      <c r="D16" s="8">
        <v>8.6999999999999993</v>
      </c>
      <c r="E16" s="12">
        <v>5</v>
      </c>
      <c r="F16" s="8">
        <v>12.2</v>
      </c>
      <c r="G16" s="12">
        <v>1</v>
      </c>
      <c r="H16" s="8">
        <v>3.7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1.45</v>
      </c>
      <c r="E17" s="12">
        <v>1</v>
      </c>
      <c r="F17" s="8">
        <v>2.44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4.3499999999999996</v>
      </c>
      <c r="E18" s="12">
        <v>0</v>
      </c>
      <c r="F18" s="8">
        <v>0</v>
      </c>
      <c r="G18" s="12">
        <v>3</v>
      </c>
      <c r="H18" s="8">
        <v>11.11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4.3499999999999996</v>
      </c>
      <c r="E19" s="12">
        <v>2</v>
      </c>
      <c r="F19" s="8">
        <v>4.88</v>
      </c>
      <c r="G19" s="12">
        <v>1</v>
      </c>
      <c r="H19" s="8">
        <v>3.7</v>
      </c>
      <c r="I19" s="12">
        <v>0</v>
      </c>
    </row>
    <row r="20" spans="2:9" ht="15" customHeight="1" x14ac:dyDescent="0.2">
      <c r="B20" s="9" t="s">
        <v>529</v>
      </c>
      <c r="C20" s="12">
        <f>SUM(LTBL_01398[総数／事業所数])</f>
        <v>69</v>
      </c>
      <c r="E20" s="12">
        <f>SUBTOTAL(109,LTBL_01398[個人／事業所数])</f>
        <v>41</v>
      </c>
      <c r="G20" s="12">
        <f>SUBTOTAL(109,LTBL_01398[法人／事業所数])</f>
        <v>27</v>
      </c>
      <c r="I20" s="12">
        <f>SUBTOTAL(109,LTBL_01398[法人以外の団体／事業所数])</f>
        <v>0</v>
      </c>
    </row>
    <row r="21" spans="2:9" ht="15" customHeight="1" x14ac:dyDescent="0.2">
      <c r="E21" s="11">
        <f>LTBL_01398[[#Totals],[個人／事業所数]]/LTBL_01398[[#Totals],[総数／事業所数]]</f>
        <v>0.59420289855072461</v>
      </c>
      <c r="G21" s="11">
        <f>LTBL_01398[[#Totals],[法人／事業所数]]/LTBL_01398[[#Totals],[総数／事業所数]]</f>
        <v>0.39130434782608697</v>
      </c>
      <c r="I21" s="11">
        <f>LTBL_01398[[#Totals],[法人以外の団体／事業所数]]/LTBL_01398[[#Totals],[総数／事業所数]]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11</v>
      </c>
      <c r="D24" s="8">
        <v>15.94</v>
      </c>
      <c r="E24" s="12">
        <v>10</v>
      </c>
      <c r="F24" s="8">
        <v>24.39</v>
      </c>
      <c r="G24" s="12">
        <v>1</v>
      </c>
      <c r="H24" s="8">
        <v>3.7</v>
      </c>
      <c r="I24" s="12">
        <v>0</v>
      </c>
    </row>
    <row r="25" spans="2:9" ht="15" customHeight="1" x14ac:dyDescent="0.2">
      <c r="B25" t="s">
        <v>221</v>
      </c>
      <c r="C25" s="12">
        <v>10</v>
      </c>
      <c r="D25" s="8">
        <v>14.49</v>
      </c>
      <c r="E25" s="12">
        <v>9</v>
      </c>
      <c r="F25" s="8">
        <v>21.95</v>
      </c>
      <c r="G25" s="12">
        <v>1</v>
      </c>
      <c r="H25" s="8">
        <v>3.7</v>
      </c>
      <c r="I25" s="12">
        <v>0</v>
      </c>
    </row>
    <row r="26" spans="2:9" ht="15" customHeight="1" x14ac:dyDescent="0.2">
      <c r="B26" t="s">
        <v>223</v>
      </c>
      <c r="C26" s="12">
        <v>8</v>
      </c>
      <c r="D26" s="8">
        <v>11.59</v>
      </c>
      <c r="E26" s="12">
        <v>4</v>
      </c>
      <c r="F26" s="8">
        <v>9.76</v>
      </c>
      <c r="G26" s="12">
        <v>4</v>
      </c>
      <c r="H26" s="8">
        <v>14.81</v>
      </c>
      <c r="I26" s="12">
        <v>0</v>
      </c>
    </row>
    <row r="27" spans="2:9" ht="15" customHeight="1" x14ac:dyDescent="0.2">
      <c r="B27" t="s">
        <v>228</v>
      </c>
      <c r="C27" s="12">
        <v>5</v>
      </c>
      <c r="D27" s="8">
        <v>7.25</v>
      </c>
      <c r="E27" s="12">
        <v>5</v>
      </c>
      <c r="F27" s="8">
        <v>12.2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213</v>
      </c>
      <c r="C28" s="12">
        <v>3</v>
      </c>
      <c r="D28" s="8">
        <v>4.3499999999999996</v>
      </c>
      <c r="E28" s="12">
        <v>1</v>
      </c>
      <c r="F28" s="8">
        <v>2.44</v>
      </c>
      <c r="G28" s="12">
        <v>2</v>
      </c>
      <c r="H28" s="8">
        <v>7.41</v>
      </c>
      <c r="I28" s="12">
        <v>0</v>
      </c>
    </row>
    <row r="29" spans="2:9" ht="15" customHeight="1" x14ac:dyDescent="0.2">
      <c r="B29" t="s">
        <v>225</v>
      </c>
      <c r="C29" s="12">
        <v>3</v>
      </c>
      <c r="D29" s="8">
        <v>4.3499999999999996</v>
      </c>
      <c r="E29" s="12">
        <v>0</v>
      </c>
      <c r="F29" s="8">
        <v>0</v>
      </c>
      <c r="G29" s="12">
        <v>3</v>
      </c>
      <c r="H29" s="8">
        <v>11.11</v>
      </c>
      <c r="I29" s="12">
        <v>0</v>
      </c>
    </row>
    <row r="30" spans="2:9" ht="15" customHeight="1" x14ac:dyDescent="0.2">
      <c r="B30" t="s">
        <v>243</v>
      </c>
      <c r="C30" s="12">
        <v>3</v>
      </c>
      <c r="D30" s="8">
        <v>4.3499999999999996</v>
      </c>
      <c r="E30" s="12">
        <v>2</v>
      </c>
      <c r="F30" s="8">
        <v>4.88</v>
      </c>
      <c r="G30" s="12">
        <v>1</v>
      </c>
      <c r="H30" s="8">
        <v>3.7</v>
      </c>
      <c r="I30" s="12">
        <v>0</v>
      </c>
    </row>
    <row r="31" spans="2:9" ht="15" customHeight="1" x14ac:dyDescent="0.2">
      <c r="B31" t="s">
        <v>232</v>
      </c>
      <c r="C31" s="12">
        <v>3</v>
      </c>
      <c r="D31" s="8">
        <v>4.3499999999999996</v>
      </c>
      <c r="E31" s="12">
        <v>0</v>
      </c>
      <c r="F31" s="8">
        <v>0</v>
      </c>
      <c r="G31" s="12">
        <v>3</v>
      </c>
      <c r="H31" s="8">
        <v>11.11</v>
      </c>
      <c r="I31" s="12">
        <v>0</v>
      </c>
    </row>
    <row r="32" spans="2:9" ht="15" customHeight="1" x14ac:dyDescent="0.2">
      <c r="B32" t="s">
        <v>215</v>
      </c>
      <c r="C32" s="12">
        <v>2</v>
      </c>
      <c r="D32" s="8">
        <v>2.9</v>
      </c>
      <c r="E32" s="12">
        <v>0</v>
      </c>
      <c r="F32" s="8">
        <v>0</v>
      </c>
      <c r="G32" s="12">
        <v>2</v>
      </c>
      <c r="H32" s="8">
        <v>7.41</v>
      </c>
      <c r="I32" s="12">
        <v>0</v>
      </c>
    </row>
    <row r="33" spans="2:9" ht="15" customHeight="1" x14ac:dyDescent="0.2">
      <c r="B33" t="s">
        <v>255</v>
      </c>
      <c r="C33" s="12">
        <v>2</v>
      </c>
      <c r="D33" s="8">
        <v>2.9</v>
      </c>
      <c r="E33" s="12">
        <v>0</v>
      </c>
      <c r="F33" s="8">
        <v>0</v>
      </c>
      <c r="G33" s="12">
        <v>1</v>
      </c>
      <c r="H33" s="8">
        <v>3.7</v>
      </c>
      <c r="I33" s="12">
        <v>0</v>
      </c>
    </row>
    <row r="34" spans="2:9" ht="15" customHeight="1" x14ac:dyDescent="0.2">
      <c r="B34" t="s">
        <v>239</v>
      </c>
      <c r="C34" s="12">
        <v>2</v>
      </c>
      <c r="D34" s="8">
        <v>2.9</v>
      </c>
      <c r="E34" s="12">
        <v>1</v>
      </c>
      <c r="F34" s="8">
        <v>2.44</v>
      </c>
      <c r="G34" s="12">
        <v>1</v>
      </c>
      <c r="H34" s="8">
        <v>3.7</v>
      </c>
      <c r="I34" s="12">
        <v>0</v>
      </c>
    </row>
    <row r="35" spans="2:9" ht="15" customHeight="1" x14ac:dyDescent="0.2">
      <c r="B35" t="s">
        <v>273</v>
      </c>
      <c r="C35" s="12">
        <v>1</v>
      </c>
      <c r="D35" s="8">
        <v>1.45</v>
      </c>
      <c r="E35" s="12">
        <v>0</v>
      </c>
      <c r="F35" s="8">
        <v>0</v>
      </c>
      <c r="G35" s="12">
        <v>1</v>
      </c>
      <c r="H35" s="8">
        <v>3.7</v>
      </c>
      <c r="I35" s="12">
        <v>0</v>
      </c>
    </row>
    <row r="36" spans="2:9" ht="15" customHeight="1" x14ac:dyDescent="0.2">
      <c r="B36" t="s">
        <v>244</v>
      </c>
      <c r="C36" s="12">
        <v>1</v>
      </c>
      <c r="D36" s="8">
        <v>1.45</v>
      </c>
      <c r="E36" s="12">
        <v>0</v>
      </c>
      <c r="F36" s="8">
        <v>0</v>
      </c>
      <c r="G36" s="12">
        <v>1</v>
      </c>
      <c r="H36" s="8">
        <v>3.7</v>
      </c>
      <c r="I36" s="12">
        <v>0</v>
      </c>
    </row>
    <row r="37" spans="2:9" ht="15" customHeight="1" x14ac:dyDescent="0.2">
      <c r="B37" t="s">
        <v>245</v>
      </c>
      <c r="C37" s="12">
        <v>1</v>
      </c>
      <c r="D37" s="8">
        <v>1.45</v>
      </c>
      <c r="E37" s="12">
        <v>1</v>
      </c>
      <c r="F37" s="8">
        <v>2.44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260</v>
      </c>
      <c r="C38" s="12">
        <v>1</v>
      </c>
      <c r="D38" s="8">
        <v>1.45</v>
      </c>
      <c r="E38" s="12">
        <v>0</v>
      </c>
      <c r="F38" s="8">
        <v>0</v>
      </c>
      <c r="G38" s="12">
        <v>1</v>
      </c>
      <c r="H38" s="8">
        <v>3.7</v>
      </c>
      <c r="I38" s="12">
        <v>0</v>
      </c>
    </row>
    <row r="39" spans="2:9" ht="15" customHeight="1" x14ac:dyDescent="0.2">
      <c r="B39" t="s">
        <v>261</v>
      </c>
      <c r="C39" s="12">
        <v>1</v>
      </c>
      <c r="D39" s="8">
        <v>1.45</v>
      </c>
      <c r="E39" s="12">
        <v>0</v>
      </c>
      <c r="F39" s="8">
        <v>0</v>
      </c>
      <c r="G39" s="12">
        <v>1</v>
      </c>
      <c r="H39" s="8">
        <v>3.7</v>
      </c>
      <c r="I39" s="12">
        <v>0</v>
      </c>
    </row>
    <row r="40" spans="2:9" ht="15" customHeight="1" x14ac:dyDescent="0.2">
      <c r="B40" t="s">
        <v>216</v>
      </c>
      <c r="C40" s="12">
        <v>1</v>
      </c>
      <c r="D40" s="8">
        <v>1.45</v>
      </c>
      <c r="E40" s="12">
        <v>1</v>
      </c>
      <c r="F40" s="8">
        <v>2.44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218</v>
      </c>
      <c r="C41" s="12">
        <v>1</v>
      </c>
      <c r="D41" s="8">
        <v>1.45</v>
      </c>
      <c r="E41" s="12">
        <v>0</v>
      </c>
      <c r="F41" s="8">
        <v>0</v>
      </c>
      <c r="G41" s="12">
        <v>1</v>
      </c>
      <c r="H41" s="8">
        <v>3.7</v>
      </c>
      <c r="I41" s="12">
        <v>0</v>
      </c>
    </row>
    <row r="42" spans="2:9" ht="15" customHeight="1" x14ac:dyDescent="0.2">
      <c r="B42" t="s">
        <v>219</v>
      </c>
      <c r="C42" s="12">
        <v>1</v>
      </c>
      <c r="D42" s="8">
        <v>1.45</v>
      </c>
      <c r="E42" s="12">
        <v>0</v>
      </c>
      <c r="F42" s="8">
        <v>0</v>
      </c>
      <c r="G42" s="12">
        <v>1</v>
      </c>
      <c r="H42" s="8">
        <v>3.7</v>
      </c>
      <c r="I42" s="12">
        <v>0</v>
      </c>
    </row>
    <row r="43" spans="2:9" ht="15" customHeight="1" x14ac:dyDescent="0.2">
      <c r="B43" t="s">
        <v>220</v>
      </c>
      <c r="C43" s="12">
        <v>1</v>
      </c>
      <c r="D43" s="8">
        <v>1.45</v>
      </c>
      <c r="E43" s="12">
        <v>1</v>
      </c>
      <c r="F43" s="8">
        <v>2.44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222</v>
      </c>
      <c r="C44" s="12">
        <v>1</v>
      </c>
      <c r="D44" s="8">
        <v>1.45</v>
      </c>
      <c r="E44" s="12">
        <v>1</v>
      </c>
      <c r="F44" s="8">
        <v>2.44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237</v>
      </c>
      <c r="C45" s="12">
        <v>1</v>
      </c>
      <c r="D45" s="8">
        <v>1.45</v>
      </c>
      <c r="E45" s="12">
        <v>1</v>
      </c>
      <c r="F45" s="8">
        <v>2.44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224</v>
      </c>
      <c r="C46" s="12">
        <v>1</v>
      </c>
      <c r="D46" s="8">
        <v>1.45</v>
      </c>
      <c r="E46" s="12">
        <v>1</v>
      </c>
      <c r="F46" s="8">
        <v>2.44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247</v>
      </c>
      <c r="C47" s="12">
        <v>1</v>
      </c>
      <c r="D47" s="8">
        <v>1.45</v>
      </c>
      <c r="E47" s="12">
        <v>0</v>
      </c>
      <c r="F47" s="8">
        <v>0</v>
      </c>
      <c r="G47" s="12">
        <v>1</v>
      </c>
      <c r="H47" s="8">
        <v>3.7</v>
      </c>
      <c r="I47" s="12">
        <v>0</v>
      </c>
    </row>
    <row r="48" spans="2:9" ht="15" customHeight="1" x14ac:dyDescent="0.2">
      <c r="B48" t="s">
        <v>230</v>
      </c>
      <c r="C48" s="12">
        <v>1</v>
      </c>
      <c r="D48" s="8">
        <v>1.45</v>
      </c>
      <c r="E48" s="12">
        <v>1</v>
      </c>
      <c r="F48" s="8">
        <v>2.44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240</v>
      </c>
      <c r="C49" s="12">
        <v>1</v>
      </c>
      <c r="D49" s="8">
        <v>1.45</v>
      </c>
      <c r="E49" s="12">
        <v>1</v>
      </c>
      <c r="F49" s="8">
        <v>2.44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242</v>
      </c>
      <c r="C50" s="12">
        <v>1</v>
      </c>
      <c r="D50" s="8">
        <v>1.45</v>
      </c>
      <c r="E50" s="12">
        <v>1</v>
      </c>
      <c r="F50" s="8">
        <v>2.44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234</v>
      </c>
      <c r="C51" s="12">
        <v>1</v>
      </c>
      <c r="D51" s="8">
        <v>1.45</v>
      </c>
      <c r="E51" s="12">
        <v>0</v>
      </c>
      <c r="F51" s="8">
        <v>0</v>
      </c>
      <c r="G51" s="12">
        <v>1</v>
      </c>
      <c r="H51" s="8">
        <v>3.7</v>
      </c>
      <c r="I51" s="12">
        <v>0</v>
      </c>
    </row>
    <row r="54" spans="2:9" ht="33" customHeight="1" x14ac:dyDescent="0.2">
      <c r="B54" t="s">
        <v>531</v>
      </c>
      <c r="C54" s="10" t="s">
        <v>206</v>
      </c>
      <c r="D54" s="10" t="s">
        <v>207</v>
      </c>
      <c r="E54" s="10" t="s">
        <v>208</v>
      </c>
      <c r="F54" s="10" t="s">
        <v>209</v>
      </c>
      <c r="G54" s="10" t="s">
        <v>210</v>
      </c>
      <c r="H54" s="10" t="s">
        <v>211</v>
      </c>
      <c r="I54" s="10" t="s">
        <v>212</v>
      </c>
    </row>
    <row r="55" spans="2:9" ht="15" customHeight="1" x14ac:dyDescent="0.2">
      <c r="B55" t="s">
        <v>336</v>
      </c>
      <c r="C55" s="12">
        <v>4</v>
      </c>
      <c r="D55" s="8">
        <v>5.8</v>
      </c>
      <c r="E55" s="12">
        <v>4</v>
      </c>
      <c r="F55" s="8">
        <v>9.76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299</v>
      </c>
      <c r="C56" s="12">
        <v>4</v>
      </c>
      <c r="D56" s="8">
        <v>5.8</v>
      </c>
      <c r="E56" s="12">
        <v>4</v>
      </c>
      <c r="F56" s="8">
        <v>9.76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292</v>
      </c>
      <c r="C57" s="12">
        <v>3</v>
      </c>
      <c r="D57" s="8">
        <v>4.3499999999999996</v>
      </c>
      <c r="E57" s="12">
        <v>2</v>
      </c>
      <c r="F57" s="8">
        <v>4.88</v>
      </c>
      <c r="G57" s="12">
        <v>1</v>
      </c>
      <c r="H57" s="8">
        <v>3.7</v>
      </c>
      <c r="I57" s="12">
        <v>0</v>
      </c>
    </row>
    <row r="58" spans="2:9" ht="15" customHeight="1" x14ac:dyDescent="0.2">
      <c r="B58" t="s">
        <v>330</v>
      </c>
      <c r="C58" s="12">
        <v>3</v>
      </c>
      <c r="D58" s="8">
        <v>4.3499999999999996</v>
      </c>
      <c r="E58" s="12">
        <v>0</v>
      </c>
      <c r="F58" s="8">
        <v>0</v>
      </c>
      <c r="G58" s="12">
        <v>3</v>
      </c>
      <c r="H58" s="8">
        <v>11.11</v>
      </c>
      <c r="I58" s="12">
        <v>0</v>
      </c>
    </row>
    <row r="59" spans="2:9" ht="15" customHeight="1" x14ac:dyDescent="0.2">
      <c r="B59" t="s">
        <v>337</v>
      </c>
      <c r="C59" s="12">
        <v>3</v>
      </c>
      <c r="D59" s="8">
        <v>4.3499999999999996</v>
      </c>
      <c r="E59" s="12">
        <v>3</v>
      </c>
      <c r="F59" s="8">
        <v>7.32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304</v>
      </c>
      <c r="C60" s="12">
        <v>3</v>
      </c>
      <c r="D60" s="8">
        <v>4.3499999999999996</v>
      </c>
      <c r="E60" s="12">
        <v>3</v>
      </c>
      <c r="F60" s="8">
        <v>7.32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347</v>
      </c>
      <c r="C61" s="12">
        <v>3</v>
      </c>
      <c r="D61" s="8">
        <v>4.3499999999999996</v>
      </c>
      <c r="E61" s="12">
        <v>0</v>
      </c>
      <c r="F61" s="8">
        <v>0</v>
      </c>
      <c r="G61" s="12">
        <v>3</v>
      </c>
      <c r="H61" s="8">
        <v>11.11</v>
      </c>
      <c r="I61" s="12">
        <v>0</v>
      </c>
    </row>
    <row r="62" spans="2:9" ht="15" customHeight="1" x14ac:dyDescent="0.2">
      <c r="B62" t="s">
        <v>328</v>
      </c>
      <c r="C62" s="12">
        <v>2</v>
      </c>
      <c r="D62" s="8">
        <v>2.9</v>
      </c>
      <c r="E62" s="12">
        <v>1</v>
      </c>
      <c r="F62" s="8">
        <v>2.44</v>
      </c>
      <c r="G62" s="12">
        <v>1</v>
      </c>
      <c r="H62" s="8">
        <v>3.7</v>
      </c>
      <c r="I62" s="12">
        <v>0</v>
      </c>
    </row>
    <row r="63" spans="2:9" ht="15" customHeight="1" x14ac:dyDescent="0.2">
      <c r="B63" t="s">
        <v>329</v>
      </c>
      <c r="C63" s="12">
        <v>2</v>
      </c>
      <c r="D63" s="8">
        <v>2.9</v>
      </c>
      <c r="E63" s="12">
        <v>2</v>
      </c>
      <c r="F63" s="8">
        <v>4.88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429</v>
      </c>
      <c r="C64" s="12">
        <v>2</v>
      </c>
      <c r="D64" s="8">
        <v>2.9</v>
      </c>
      <c r="E64" s="12">
        <v>0</v>
      </c>
      <c r="F64" s="8">
        <v>0</v>
      </c>
      <c r="G64" s="12">
        <v>2</v>
      </c>
      <c r="H64" s="8">
        <v>7.41</v>
      </c>
      <c r="I64" s="12">
        <v>0</v>
      </c>
    </row>
    <row r="65" spans="2:9" ht="15" customHeight="1" x14ac:dyDescent="0.2">
      <c r="B65" t="s">
        <v>422</v>
      </c>
      <c r="C65" s="12">
        <v>2</v>
      </c>
      <c r="D65" s="8">
        <v>2.9</v>
      </c>
      <c r="E65" s="12">
        <v>1</v>
      </c>
      <c r="F65" s="8">
        <v>2.44</v>
      </c>
      <c r="G65" s="12">
        <v>1</v>
      </c>
      <c r="H65" s="8">
        <v>3.7</v>
      </c>
      <c r="I65" s="12">
        <v>0</v>
      </c>
    </row>
    <row r="66" spans="2:9" ht="15" customHeight="1" x14ac:dyDescent="0.2">
      <c r="B66" t="s">
        <v>334</v>
      </c>
      <c r="C66" s="12">
        <v>2</v>
      </c>
      <c r="D66" s="8">
        <v>2.9</v>
      </c>
      <c r="E66" s="12">
        <v>2</v>
      </c>
      <c r="F66" s="8">
        <v>4.88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300</v>
      </c>
      <c r="C67" s="12">
        <v>2</v>
      </c>
      <c r="D67" s="8">
        <v>2.9</v>
      </c>
      <c r="E67" s="12">
        <v>2</v>
      </c>
      <c r="F67" s="8">
        <v>4.88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302</v>
      </c>
      <c r="C68" s="12">
        <v>2</v>
      </c>
      <c r="D68" s="8">
        <v>2.9</v>
      </c>
      <c r="E68" s="12">
        <v>1</v>
      </c>
      <c r="F68" s="8">
        <v>2.44</v>
      </c>
      <c r="G68" s="12">
        <v>1</v>
      </c>
      <c r="H68" s="8">
        <v>3.7</v>
      </c>
      <c r="I68" s="12">
        <v>0</v>
      </c>
    </row>
    <row r="69" spans="2:9" ht="15" customHeight="1" x14ac:dyDescent="0.2">
      <c r="B69" t="s">
        <v>325</v>
      </c>
      <c r="C69" s="12">
        <v>2</v>
      </c>
      <c r="D69" s="8">
        <v>2.9</v>
      </c>
      <c r="E69" s="12">
        <v>1</v>
      </c>
      <c r="F69" s="8">
        <v>2.44</v>
      </c>
      <c r="G69" s="12">
        <v>1</v>
      </c>
      <c r="H69" s="8">
        <v>3.7</v>
      </c>
      <c r="I69" s="12">
        <v>0</v>
      </c>
    </row>
    <row r="70" spans="2:9" ht="15" customHeight="1" x14ac:dyDescent="0.2">
      <c r="B70" t="s">
        <v>427</v>
      </c>
      <c r="C70" s="12">
        <v>1</v>
      </c>
      <c r="D70" s="8">
        <v>1.45</v>
      </c>
      <c r="E70" s="12">
        <v>0</v>
      </c>
      <c r="F70" s="8">
        <v>0</v>
      </c>
      <c r="G70" s="12">
        <v>1</v>
      </c>
      <c r="H70" s="8">
        <v>3.7</v>
      </c>
      <c r="I70" s="12">
        <v>0</v>
      </c>
    </row>
    <row r="71" spans="2:9" ht="15" customHeight="1" x14ac:dyDescent="0.2">
      <c r="B71" t="s">
        <v>319</v>
      </c>
      <c r="C71" s="12">
        <v>1</v>
      </c>
      <c r="D71" s="8">
        <v>1.45</v>
      </c>
      <c r="E71" s="12">
        <v>0</v>
      </c>
      <c r="F71" s="8">
        <v>0</v>
      </c>
      <c r="G71" s="12">
        <v>1</v>
      </c>
      <c r="H71" s="8">
        <v>3.7</v>
      </c>
      <c r="I71" s="12">
        <v>0</v>
      </c>
    </row>
    <row r="72" spans="2:9" ht="15" customHeight="1" x14ac:dyDescent="0.2">
      <c r="B72" t="s">
        <v>290</v>
      </c>
      <c r="C72" s="12">
        <v>1</v>
      </c>
      <c r="D72" s="8">
        <v>1.45</v>
      </c>
      <c r="E72" s="12">
        <v>0</v>
      </c>
      <c r="F72" s="8">
        <v>0</v>
      </c>
      <c r="G72" s="12">
        <v>1</v>
      </c>
      <c r="H72" s="8">
        <v>3.7</v>
      </c>
      <c r="I72" s="12">
        <v>0</v>
      </c>
    </row>
    <row r="73" spans="2:9" ht="15" customHeight="1" x14ac:dyDescent="0.2">
      <c r="B73" t="s">
        <v>291</v>
      </c>
      <c r="C73" s="12">
        <v>1</v>
      </c>
      <c r="D73" s="8">
        <v>1.45</v>
      </c>
      <c r="E73" s="12">
        <v>0</v>
      </c>
      <c r="F73" s="8">
        <v>0</v>
      </c>
      <c r="G73" s="12">
        <v>1</v>
      </c>
      <c r="H73" s="8">
        <v>3.7</v>
      </c>
      <c r="I73" s="12">
        <v>0</v>
      </c>
    </row>
    <row r="74" spans="2:9" ht="15" customHeight="1" x14ac:dyDescent="0.2">
      <c r="B74" t="s">
        <v>384</v>
      </c>
      <c r="C74" s="12">
        <v>1</v>
      </c>
      <c r="D74" s="8">
        <v>1.45</v>
      </c>
      <c r="E74" s="12">
        <v>0</v>
      </c>
      <c r="F74" s="8">
        <v>0</v>
      </c>
      <c r="G74" s="12">
        <v>1</v>
      </c>
      <c r="H74" s="8">
        <v>3.7</v>
      </c>
      <c r="I74" s="12">
        <v>0</v>
      </c>
    </row>
    <row r="75" spans="2:9" ht="15" customHeight="1" x14ac:dyDescent="0.2">
      <c r="B75" t="s">
        <v>425</v>
      </c>
      <c r="C75" s="12">
        <v>1</v>
      </c>
      <c r="D75" s="8">
        <v>1.45</v>
      </c>
      <c r="E75" s="12">
        <v>1</v>
      </c>
      <c r="F75" s="8">
        <v>2.44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362</v>
      </c>
      <c r="C76" s="12">
        <v>1</v>
      </c>
      <c r="D76" s="8">
        <v>1.45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407</v>
      </c>
      <c r="C77" s="12">
        <v>1</v>
      </c>
      <c r="D77" s="8">
        <v>1.45</v>
      </c>
      <c r="E77" s="12">
        <v>0</v>
      </c>
      <c r="F77" s="8">
        <v>0</v>
      </c>
      <c r="G77" s="12">
        <v>1</v>
      </c>
      <c r="H77" s="8">
        <v>3.7</v>
      </c>
      <c r="I77" s="12">
        <v>0</v>
      </c>
    </row>
    <row r="78" spans="2:9" ht="15" customHeight="1" x14ac:dyDescent="0.2">
      <c r="B78" t="s">
        <v>363</v>
      </c>
      <c r="C78" s="12">
        <v>1</v>
      </c>
      <c r="D78" s="8">
        <v>1.45</v>
      </c>
      <c r="E78" s="12">
        <v>0</v>
      </c>
      <c r="F78" s="8">
        <v>0</v>
      </c>
      <c r="G78" s="12">
        <v>1</v>
      </c>
      <c r="H78" s="8">
        <v>3.7</v>
      </c>
      <c r="I78" s="12">
        <v>0</v>
      </c>
    </row>
    <row r="79" spans="2:9" ht="15" customHeight="1" x14ac:dyDescent="0.2">
      <c r="B79" t="s">
        <v>364</v>
      </c>
      <c r="C79" s="12">
        <v>1</v>
      </c>
      <c r="D79" s="8">
        <v>1.45</v>
      </c>
      <c r="E79" s="12">
        <v>0</v>
      </c>
      <c r="F79" s="8">
        <v>0</v>
      </c>
      <c r="G79" s="12">
        <v>1</v>
      </c>
      <c r="H79" s="8">
        <v>3.7</v>
      </c>
      <c r="I79" s="12">
        <v>0</v>
      </c>
    </row>
    <row r="80" spans="2:9" ht="15" customHeight="1" x14ac:dyDescent="0.2">
      <c r="B80" t="s">
        <v>324</v>
      </c>
      <c r="C80" s="12">
        <v>1</v>
      </c>
      <c r="D80" s="8">
        <v>1.45</v>
      </c>
      <c r="E80" s="12">
        <v>1</v>
      </c>
      <c r="F80" s="8">
        <v>2.44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321</v>
      </c>
      <c r="C81" s="12">
        <v>1</v>
      </c>
      <c r="D81" s="8">
        <v>1.45</v>
      </c>
      <c r="E81" s="12">
        <v>0</v>
      </c>
      <c r="F81" s="8">
        <v>0</v>
      </c>
      <c r="G81" s="12">
        <v>1</v>
      </c>
      <c r="H81" s="8">
        <v>3.7</v>
      </c>
      <c r="I81" s="12">
        <v>0</v>
      </c>
    </row>
    <row r="82" spans="2:9" ht="15" customHeight="1" x14ac:dyDescent="0.2">
      <c r="B82" t="s">
        <v>309</v>
      </c>
      <c r="C82" s="12">
        <v>1</v>
      </c>
      <c r="D82" s="8">
        <v>1.45</v>
      </c>
      <c r="E82" s="12">
        <v>0</v>
      </c>
      <c r="F82" s="8">
        <v>0</v>
      </c>
      <c r="G82" s="12">
        <v>1</v>
      </c>
      <c r="H82" s="8">
        <v>3.7</v>
      </c>
      <c r="I82" s="12">
        <v>0</v>
      </c>
    </row>
    <row r="83" spans="2:9" ht="15" customHeight="1" x14ac:dyDescent="0.2">
      <c r="B83" t="s">
        <v>428</v>
      </c>
      <c r="C83" s="12">
        <v>1</v>
      </c>
      <c r="D83" s="8">
        <v>1.45</v>
      </c>
      <c r="E83" s="12">
        <v>1</v>
      </c>
      <c r="F83" s="8">
        <v>2.44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332</v>
      </c>
      <c r="C84" s="12">
        <v>1</v>
      </c>
      <c r="D84" s="8">
        <v>1.45</v>
      </c>
      <c r="E84" s="12">
        <v>1</v>
      </c>
      <c r="F84" s="8">
        <v>2.44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335</v>
      </c>
      <c r="C85" s="12">
        <v>1</v>
      </c>
      <c r="D85" s="8">
        <v>1.45</v>
      </c>
      <c r="E85" s="12">
        <v>1</v>
      </c>
      <c r="F85" s="8">
        <v>2.44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294</v>
      </c>
      <c r="C86" s="12">
        <v>1</v>
      </c>
      <c r="D86" s="8">
        <v>1.45</v>
      </c>
      <c r="E86" s="12">
        <v>0</v>
      </c>
      <c r="F86" s="8">
        <v>0</v>
      </c>
      <c r="G86" s="12">
        <v>1</v>
      </c>
      <c r="H86" s="8">
        <v>3.7</v>
      </c>
      <c r="I86" s="12">
        <v>0</v>
      </c>
    </row>
    <row r="87" spans="2:9" ht="15" customHeight="1" x14ac:dyDescent="0.2">
      <c r="B87" t="s">
        <v>373</v>
      </c>
      <c r="C87" s="12">
        <v>1</v>
      </c>
      <c r="D87" s="8">
        <v>1.45</v>
      </c>
      <c r="E87" s="12">
        <v>1</v>
      </c>
      <c r="F87" s="8">
        <v>2.44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322</v>
      </c>
      <c r="C88" s="12">
        <v>1</v>
      </c>
      <c r="D88" s="8">
        <v>1.45</v>
      </c>
      <c r="E88" s="12">
        <v>1</v>
      </c>
      <c r="F88" s="8">
        <v>2.44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297</v>
      </c>
      <c r="C89" s="12">
        <v>1</v>
      </c>
      <c r="D89" s="8">
        <v>1.45</v>
      </c>
      <c r="E89" s="12">
        <v>1</v>
      </c>
      <c r="F89" s="8">
        <v>2.44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430</v>
      </c>
      <c r="C90" s="12">
        <v>1</v>
      </c>
      <c r="D90" s="8">
        <v>1.45</v>
      </c>
      <c r="E90" s="12">
        <v>0</v>
      </c>
      <c r="F90" s="8">
        <v>0</v>
      </c>
      <c r="G90" s="12">
        <v>1</v>
      </c>
      <c r="H90" s="8">
        <v>3.7</v>
      </c>
      <c r="I90" s="12">
        <v>0</v>
      </c>
    </row>
    <row r="91" spans="2:9" ht="15" customHeight="1" x14ac:dyDescent="0.2">
      <c r="B91" t="s">
        <v>339</v>
      </c>
      <c r="C91" s="12">
        <v>1</v>
      </c>
      <c r="D91" s="8">
        <v>1.45</v>
      </c>
      <c r="E91" s="12">
        <v>1</v>
      </c>
      <c r="F91" s="8">
        <v>2.44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419</v>
      </c>
      <c r="C92" s="12">
        <v>1</v>
      </c>
      <c r="D92" s="8">
        <v>1.45</v>
      </c>
      <c r="E92" s="12">
        <v>1</v>
      </c>
      <c r="F92" s="8">
        <v>2.44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323</v>
      </c>
      <c r="C93" s="12">
        <v>1</v>
      </c>
      <c r="D93" s="8">
        <v>1.45</v>
      </c>
      <c r="E93" s="12">
        <v>1</v>
      </c>
      <c r="F93" s="8">
        <v>2.44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303</v>
      </c>
      <c r="C94" s="12">
        <v>1</v>
      </c>
      <c r="D94" s="8">
        <v>1.45</v>
      </c>
      <c r="E94" s="12">
        <v>1</v>
      </c>
      <c r="F94" s="8">
        <v>2.44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368</v>
      </c>
      <c r="C95" s="12">
        <v>1</v>
      </c>
      <c r="D95" s="8">
        <v>1.45</v>
      </c>
      <c r="E95" s="12">
        <v>0</v>
      </c>
      <c r="F95" s="8">
        <v>0</v>
      </c>
      <c r="G95" s="12">
        <v>1</v>
      </c>
      <c r="H95" s="8">
        <v>3.7</v>
      </c>
      <c r="I95" s="12">
        <v>0</v>
      </c>
    </row>
    <row r="96" spans="2:9" ht="15" customHeight="1" x14ac:dyDescent="0.2">
      <c r="B96" t="s">
        <v>305</v>
      </c>
      <c r="C96" s="12">
        <v>1</v>
      </c>
      <c r="D96" s="8">
        <v>1.45</v>
      </c>
      <c r="E96" s="12">
        <v>1</v>
      </c>
      <c r="F96" s="8">
        <v>2.44</v>
      </c>
      <c r="G96" s="12">
        <v>0</v>
      </c>
      <c r="H96" s="8">
        <v>0</v>
      </c>
      <c r="I96" s="12">
        <v>0</v>
      </c>
    </row>
    <row r="97" spans="2:9" ht="15" customHeight="1" x14ac:dyDescent="0.2">
      <c r="B97" t="s">
        <v>307</v>
      </c>
      <c r="C97" s="12">
        <v>1</v>
      </c>
      <c r="D97" s="8">
        <v>1.45</v>
      </c>
      <c r="E97" s="12">
        <v>1</v>
      </c>
      <c r="F97" s="8">
        <v>2.44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371</v>
      </c>
      <c r="C98" s="12">
        <v>1</v>
      </c>
      <c r="D98" s="8">
        <v>1.45</v>
      </c>
      <c r="E98" s="12">
        <v>1</v>
      </c>
      <c r="F98" s="8">
        <v>2.44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318</v>
      </c>
      <c r="C99" s="12">
        <v>1</v>
      </c>
      <c r="D99" s="8">
        <v>1.45</v>
      </c>
      <c r="E99" s="12">
        <v>0</v>
      </c>
      <c r="F99" s="8">
        <v>0</v>
      </c>
      <c r="G99" s="12">
        <v>1</v>
      </c>
      <c r="H99" s="8">
        <v>3.7</v>
      </c>
      <c r="I99" s="12">
        <v>0</v>
      </c>
    </row>
    <row r="101" spans="2:9" ht="15" customHeight="1" x14ac:dyDescent="0.2">
      <c r="B10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F5A34-F207-4012-851F-1EB4EAAAD9F9}">
  <sheetPr>
    <pageSetUpPr fitToPage="1"/>
  </sheetPr>
  <dimension ref="B2:I104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11</v>
      </c>
      <c r="D6" s="8">
        <v>12.94</v>
      </c>
      <c r="E6" s="12">
        <v>4</v>
      </c>
      <c r="F6" s="8">
        <v>8.16</v>
      </c>
      <c r="G6" s="12">
        <v>7</v>
      </c>
      <c r="H6" s="8">
        <v>20.59</v>
      </c>
      <c r="I6" s="12">
        <v>0</v>
      </c>
    </row>
    <row r="7" spans="2:9" ht="15" customHeight="1" x14ac:dyDescent="0.2">
      <c r="B7" t="s">
        <v>192</v>
      </c>
      <c r="C7" s="12">
        <v>5</v>
      </c>
      <c r="D7" s="8">
        <v>5.88</v>
      </c>
      <c r="E7" s="12">
        <v>1</v>
      </c>
      <c r="F7" s="8">
        <v>2.04</v>
      </c>
      <c r="G7" s="12">
        <v>4</v>
      </c>
      <c r="H7" s="8">
        <v>11.76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1.18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3.53</v>
      </c>
      <c r="E10" s="12">
        <v>0</v>
      </c>
      <c r="F10" s="8">
        <v>0</v>
      </c>
      <c r="G10" s="12">
        <v>3</v>
      </c>
      <c r="H10" s="8">
        <v>8.82</v>
      </c>
      <c r="I10" s="12">
        <v>0</v>
      </c>
    </row>
    <row r="11" spans="2:9" ht="15" customHeight="1" x14ac:dyDescent="0.2">
      <c r="B11" t="s">
        <v>196</v>
      </c>
      <c r="C11" s="12">
        <v>21</v>
      </c>
      <c r="D11" s="8">
        <v>24.71</v>
      </c>
      <c r="E11" s="12">
        <v>15</v>
      </c>
      <c r="F11" s="8">
        <v>30.61</v>
      </c>
      <c r="G11" s="12">
        <v>6</v>
      </c>
      <c r="H11" s="8">
        <v>17.649999999999999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10</v>
      </c>
      <c r="D13" s="8">
        <v>11.76</v>
      </c>
      <c r="E13" s="12">
        <v>4</v>
      </c>
      <c r="F13" s="8">
        <v>8.16</v>
      </c>
      <c r="G13" s="12">
        <v>6</v>
      </c>
      <c r="H13" s="8">
        <v>17.649999999999999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1.18</v>
      </c>
      <c r="E14" s="12">
        <v>0</v>
      </c>
      <c r="F14" s="8">
        <v>0</v>
      </c>
      <c r="G14" s="12">
        <v>1</v>
      </c>
      <c r="H14" s="8">
        <v>2.94</v>
      </c>
      <c r="I14" s="12">
        <v>0</v>
      </c>
    </row>
    <row r="15" spans="2:9" ht="15" customHeight="1" x14ac:dyDescent="0.2">
      <c r="B15" t="s">
        <v>200</v>
      </c>
      <c r="C15" s="12">
        <v>16</v>
      </c>
      <c r="D15" s="8">
        <v>18.82</v>
      </c>
      <c r="E15" s="12">
        <v>12</v>
      </c>
      <c r="F15" s="8">
        <v>24.49</v>
      </c>
      <c r="G15" s="12">
        <v>3</v>
      </c>
      <c r="H15" s="8">
        <v>8.82</v>
      </c>
      <c r="I15" s="12">
        <v>0</v>
      </c>
    </row>
    <row r="16" spans="2:9" ht="15" customHeight="1" x14ac:dyDescent="0.2">
      <c r="B16" t="s">
        <v>201</v>
      </c>
      <c r="C16" s="12">
        <v>10</v>
      </c>
      <c r="D16" s="8">
        <v>11.76</v>
      </c>
      <c r="E16" s="12">
        <v>10</v>
      </c>
      <c r="F16" s="8">
        <v>20.41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2.35</v>
      </c>
      <c r="E17" s="12">
        <v>1</v>
      </c>
      <c r="F17" s="8">
        <v>2.04</v>
      </c>
      <c r="G17" s="12">
        <v>1</v>
      </c>
      <c r="H17" s="8">
        <v>2.94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1.18</v>
      </c>
      <c r="E18" s="12">
        <v>1</v>
      </c>
      <c r="F18" s="8">
        <v>2.04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4.71</v>
      </c>
      <c r="E19" s="12">
        <v>1</v>
      </c>
      <c r="F19" s="8">
        <v>2.04</v>
      </c>
      <c r="G19" s="12">
        <v>3</v>
      </c>
      <c r="H19" s="8">
        <v>8.82</v>
      </c>
      <c r="I19" s="12">
        <v>0</v>
      </c>
    </row>
    <row r="20" spans="2:9" ht="15" customHeight="1" x14ac:dyDescent="0.2">
      <c r="B20" s="9" t="s">
        <v>529</v>
      </c>
      <c r="C20" s="12">
        <f>SUM(LTBL_01399[総数／事業所数])</f>
        <v>85</v>
      </c>
      <c r="E20" s="12">
        <f>SUBTOTAL(109,LTBL_01399[個人／事業所数])</f>
        <v>49</v>
      </c>
      <c r="G20" s="12">
        <f>SUBTOTAL(109,LTBL_01399[法人／事業所数])</f>
        <v>34</v>
      </c>
      <c r="I20" s="12">
        <f>SUBTOTAL(109,LTBL_01399[法人以外の団体／事業所数])</f>
        <v>0</v>
      </c>
    </row>
    <row r="21" spans="2:9" ht="15" customHeight="1" x14ac:dyDescent="0.2">
      <c r="E21" s="11">
        <f>LTBL_01399[[#Totals],[個人／事業所数]]/LTBL_01399[[#Totals],[総数／事業所数]]</f>
        <v>0.57647058823529407</v>
      </c>
      <c r="G21" s="11">
        <f>LTBL_01399[[#Totals],[法人／事業所数]]/LTBL_01399[[#Totals],[総数／事業所数]]</f>
        <v>0.4</v>
      </c>
      <c r="I21" s="11">
        <f>LTBL_01399[[#Totals],[法人以外の団体／事業所数]]/LTBL_01399[[#Totals],[総数／事業所数]]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12</v>
      </c>
      <c r="D24" s="8">
        <v>14.12</v>
      </c>
      <c r="E24" s="12">
        <v>11</v>
      </c>
      <c r="F24" s="8">
        <v>22.45</v>
      </c>
      <c r="G24" s="12">
        <v>1</v>
      </c>
      <c r="H24" s="8">
        <v>2.94</v>
      </c>
      <c r="I24" s="12">
        <v>0</v>
      </c>
    </row>
    <row r="25" spans="2:9" ht="15" customHeight="1" x14ac:dyDescent="0.2">
      <c r="B25" t="s">
        <v>228</v>
      </c>
      <c r="C25" s="12">
        <v>10</v>
      </c>
      <c r="D25" s="8">
        <v>11.76</v>
      </c>
      <c r="E25" s="12">
        <v>10</v>
      </c>
      <c r="F25" s="8">
        <v>20.41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213</v>
      </c>
      <c r="C26" s="12">
        <v>8</v>
      </c>
      <c r="D26" s="8">
        <v>9.41</v>
      </c>
      <c r="E26" s="12">
        <v>4</v>
      </c>
      <c r="F26" s="8">
        <v>8.16</v>
      </c>
      <c r="G26" s="12">
        <v>4</v>
      </c>
      <c r="H26" s="8">
        <v>11.76</v>
      </c>
      <c r="I26" s="12">
        <v>0</v>
      </c>
    </row>
    <row r="27" spans="2:9" ht="15" customHeight="1" x14ac:dyDescent="0.2">
      <c r="B27" t="s">
        <v>221</v>
      </c>
      <c r="C27" s="12">
        <v>8</v>
      </c>
      <c r="D27" s="8">
        <v>9.41</v>
      </c>
      <c r="E27" s="12">
        <v>7</v>
      </c>
      <c r="F27" s="8">
        <v>14.29</v>
      </c>
      <c r="G27" s="12">
        <v>1</v>
      </c>
      <c r="H27" s="8">
        <v>2.94</v>
      </c>
      <c r="I27" s="12">
        <v>0</v>
      </c>
    </row>
    <row r="28" spans="2:9" ht="15" customHeight="1" x14ac:dyDescent="0.2">
      <c r="B28" t="s">
        <v>224</v>
      </c>
      <c r="C28" s="12">
        <v>8</v>
      </c>
      <c r="D28" s="8">
        <v>9.41</v>
      </c>
      <c r="E28" s="12">
        <v>4</v>
      </c>
      <c r="F28" s="8">
        <v>8.16</v>
      </c>
      <c r="G28" s="12">
        <v>4</v>
      </c>
      <c r="H28" s="8">
        <v>11.76</v>
      </c>
      <c r="I28" s="12">
        <v>0</v>
      </c>
    </row>
    <row r="29" spans="2:9" ht="15" customHeight="1" x14ac:dyDescent="0.2">
      <c r="B29" t="s">
        <v>223</v>
      </c>
      <c r="C29" s="12">
        <v>7</v>
      </c>
      <c r="D29" s="8">
        <v>8.24</v>
      </c>
      <c r="E29" s="12">
        <v>5</v>
      </c>
      <c r="F29" s="8">
        <v>10.199999999999999</v>
      </c>
      <c r="G29" s="12">
        <v>2</v>
      </c>
      <c r="H29" s="8">
        <v>5.88</v>
      </c>
      <c r="I29" s="12">
        <v>0</v>
      </c>
    </row>
    <row r="30" spans="2:9" ht="15" customHeight="1" x14ac:dyDescent="0.2">
      <c r="B30" t="s">
        <v>216</v>
      </c>
      <c r="C30" s="12">
        <v>3</v>
      </c>
      <c r="D30" s="8">
        <v>3.53</v>
      </c>
      <c r="E30" s="12">
        <v>1</v>
      </c>
      <c r="F30" s="8">
        <v>2.04</v>
      </c>
      <c r="G30" s="12">
        <v>2</v>
      </c>
      <c r="H30" s="8">
        <v>5.88</v>
      </c>
      <c r="I30" s="12">
        <v>0</v>
      </c>
    </row>
    <row r="31" spans="2:9" ht="15" customHeight="1" x14ac:dyDescent="0.2">
      <c r="B31" t="s">
        <v>240</v>
      </c>
      <c r="C31" s="12">
        <v>3</v>
      </c>
      <c r="D31" s="8">
        <v>3.53</v>
      </c>
      <c r="E31" s="12">
        <v>1</v>
      </c>
      <c r="F31" s="8">
        <v>2.04</v>
      </c>
      <c r="G31" s="12">
        <v>2</v>
      </c>
      <c r="H31" s="8">
        <v>5.88</v>
      </c>
      <c r="I31" s="12">
        <v>0</v>
      </c>
    </row>
    <row r="32" spans="2:9" ht="15" customHeight="1" x14ac:dyDescent="0.2">
      <c r="B32" t="s">
        <v>215</v>
      </c>
      <c r="C32" s="12">
        <v>2</v>
      </c>
      <c r="D32" s="8">
        <v>2.35</v>
      </c>
      <c r="E32" s="12">
        <v>0</v>
      </c>
      <c r="F32" s="8">
        <v>0</v>
      </c>
      <c r="G32" s="12">
        <v>2</v>
      </c>
      <c r="H32" s="8">
        <v>5.88</v>
      </c>
      <c r="I32" s="12">
        <v>0</v>
      </c>
    </row>
    <row r="33" spans="2:9" ht="15" customHeight="1" x14ac:dyDescent="0.2">
      <c r="B33" t="s">
        <v>254</v>
      </c>
      <c r="C33" s="12">
        <v>2</v>
      </c>
      <c r="D33" s="8">
        <v>2.35</v>
      </c>
      <c r="E33" s="12">
        <v>0</v>
      </c>
      <c r="F33" s="8">
        <v>0</v>
      </c>
      <c r="G33" s="12">
        <v>2</v>
      </c>
      <c r="H33" s="8">
        <v>5.88</v>
      </c>
      <c r="I33" s="12">
        <v>0</v>
      </c>
    </row>
    <row r="34" spans="2:9" ht="15" customHeight="1" x14ac:dyDescent="0.2">
      <c r="B34" t="s">
        <v>267</v>
      </c>
      <c r="C34" s="12">
        <v>2</v>
      </c>
      <c r="D34" s="8">
        <v>2.35</v>
      </c>
      <c r="E34" s="12">
        <v>0</v>
      </c>
      <c r="F34" s="8">
        <v>0</v>
      </c>
      <c r="G34" s="12">
        <v>2</v>
      </c>
      <c r="H34" s="8">
        <v>5.88</v>
      </c>
      <c r="I34" s="12">
        <v>0</v>
      </c>
    </row>
    <row r="35" spans="2:9" ht="15" customHeight="1" x14ac:dyDescent="0.2">
      <c r="B35" t="s">
        <v>246</v>
      </c>
      <c r="C35" s="12">
        <v>2</v>
      </c>
      <c r="D35" s="8">
        <v>2.35</v>
      </c>
      <c r="E35" s="12">
        <v>0</v>
      </c>
      <c r="F35" s="8">
        <v>0</v>
      </c>
      <c r="G35" s="12">
        <v>2</v>
      </c>
      <c r="H35" s="8">
        <v>5.88</v>
      </c>
      <c r="I35" s="12">
        <v>0</v>
      </c>
    </row>
    <row r="36" spans="2:9" ht="15" customHeight="1" x14ac:dyDescent="0.2">
      <c r="B36" t="s">
        <v>243</v>
      </c>
      <c r="C36" s="12">
        <v>2</v>
      </c>
      <c r="D36" s="8">
        <v>2.35</v>
      </c>
      <c r="E36" s="12">
        <v>1</v>
      </c>
      <c r="F36" s="8">
        <v>2.04</v>
      </c>
      <c r="G36" s="12">
        <v>1</v>
      </c>
      <c r="H36" s="8">
        <v>2.94</v>
      </c>
      <c r="I36" s="12">
        <v>0</v>
      </c>
    </row>
    <row r="37" spans="2:9" ht="15" customHeight="1" x14ac:dyDescent="0.2">
      <c r="B37" t="s">
        <v>239</v>
      </c>
      <c r="C37" s="12">
        <v>2</v>
      </c>
      <c r="D37" s="8">
        <v>2.35</v>
      </c>
      <c r="E37" s="12">
        <v>0</v>
      </c>
      <c r="F37" s="8">
        <v>0</v>
      </c>
      <c r="G37" s="12">
        <v>1</v>
      </c>
      <c r="H37" s="8">
        <v>2.94</v>
      </c>
      <c r="I37" s="12">
        <v>0</v>
      </c>
    </row>
    <row r="38" spans="2:9" ht="15" customHeight="1" x14ac:dyDescent="0.2">
      <c r="B38" t="s">
        <v>230</v>
      </c>
      <c r="C38" s="12">
        <v>2</v>
      </c>
      <c r="D38" s="8">
        <v>2.35</v>
      </c>
      <c r="E38" s="12">
        <v>1</v>
      </c>
      <c r="F38" s="8">
        <v>2.04</v>
      </c>
      <c r="G38" s="12">
        <v>1</v>
      </c>
      <c r="H38" s="8">
        <v>2.94</v>
      </c>
      <c r="I38" s="12">
        <v>0</v>
      </c>
    </row>
    <row r="39" spans="2:9" ht="15" customHeight="1" x14ac:dyDescent="0.2">
      <c r="B39" t="s">
        <v>214</v>
      </c>
      <c r="C39" s="12">
        <v>1</v>
      </c>
      <c r="D39" s="8">
        <v>1.18</v>
      </c>
      <c r="E39" s="12">
        <v>0</v>
      </c>
      <c r="F39" s="8">
        <v>0</v>
      </c>
      <c r="G39" s="12">
        <v>1</v>
      </c>
      <c r="H39" s="8">
        <v>2.94</v>
      </c>
      <c r="I39" s="12">
        <v>0</v>
      </c>
    </row>
    <row r="40" spans="2:9" ht="15" customHeight="1" x14ac:dyDescent="0.2">
      <c r="B40" t="s">
        <v>241</v>
      </c>
      <c r="C40" s="12">
        <v>1</v>
      </c>
      <c r="D40" s="8">
        <v>1.18</v>
      </c>
      <c r="E40" s="12">
        <v>1</v>
      </c>
      <c r="F40" s="8">
        <v>2.04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255</v>
      </c>
      <c r="C41" s="12">
        <v>1</v>
      </c>
      <c r="D41" s="8">
        <v>1.18</v>
      </c>
      <c r="E41" s="12">
        <v>0</v>
      </c>
      <c r="F41" s="8">
        <v>0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238</v>
      </c>
      <c r="C42" s="12">
        <v>1</v>
      </c>
      <c r="D42" s="8">
        <v>1.18</v>
      </c>
      <c r="E42" s="12">
        <v>0</v>
      </c>
      <c r="F42" s="8">
        <v>0</v>
      </c>
      <c r="G42" s="12">
        <v>1</v>
      </c>
      <c r="H42" s="8">
        <v>2.94</v>
      </c>
      <c r="I42" s="12">
        <v>0</v>
      </c>
    </row>
    <row r="43" spans="2:9" ht="15" customHeight="1" x14ac:dyDescent="0.2">
      <c r="B43" t="s">
        <v>248</v>
      </c>
      <c r="C43" s="12">
        <v>1</v>
      </c>
      <c r="D43" s="8">
        <v>1.18</v>
      </c>
      <c r="E43" s="12">
        <v>0</v>
      </c>
      <c r="F43" s="8">
        <v>0</v>
      </c>
      <c r="G43" s="12">
        <v>1</v>
      </c>
      <c r="H43" s="8">
        <v>2.94</v>
      </c>
      <c r="I43" s="12">
        <v>0</v>
      </c>
    </row>
    <row r="44" spans="2:9" ht="15" customHeight="1" x14ac:dyDescent="0.2">
      <c r="B44" t="s">
        <v>261</v>
      </c>
      <c r="C44" s="12">
        <v>1</v>
      </c>
      <c r="D44" s="8">
        <v>1.18</v>
      </c>
      <c r="E44" s="12">
        <v>0</v>
      </c>
      <c r="F44" s="8">
        <v>0</v>
      </c>
      <c r="G44" s="12">
        <v>1</v>
      </c>
      <c r="H44" s="8">
        <v>2.94</v>
      </c>
      <c r="I44" s="12">
        <v>0</v>
      </c>
    </row>
    <row r="45" spans="2:9" ht="15" customHeight="1" x14ac:dyDescent="0.2">
      <c r="B45" t="s">
        <v>217</v>
      </c>
      <c r="C45" s="12">
        <v>1</v>
      </c>
      <c r="D45" s="8">
        <v>1.18</v>
      </c>
      <c r="E45" s="12">
        <v>1</v>
      </c>
      <c r="F45" s="8">
        <v>2.04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220</v>
      </c>
      <c r="C46" s="12">
        <v>1</v>
      </c>
      <c r="D46" s="8">
        <v>1.18</v>
      </c>
      <c r="E46" s="12">
        <v>1</v>
      </c>
      <c r="F46" s="8">
        <v>2.04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222</v>
      </c>
      <c r="C47" s="12">
        <v>1</v>
      </c>
      <c r="D47" s="8">
        <v>1.18</v>
      </c>
      <c r="E47" s="12">
        <v>0</v>
      </c>
      <c r="F47" s="8">
        <v>0</v>
      </c>
      <c r="G47" s="12">
        <v>1</v>
      </c>
      <c r="H47" s="8">
        <v>2.94</v>
      </c>
      <c r="I47" s="12">
        <v>0</v>
      </c>
    </row>
    <row r="48" spans="2:9" ht="15" customHeight="1" x14ac:dyDescent="0.2">
      <c r="B48" t="s">
        <v>226</v>
      </c>
      <c r="C48" s="12">
        <v>1</v>
      </c>
      <c r="D48" s="8">
        <v>1.18</v>
      </c>
      <c r="E48" s="12">
        <v>0</v>
      </c>
      <c r="F48" s="8">
        <v>0</v>
      </c>
      <c r="G48" s="12">
        <v>1</v>
      </c>
      <c r="H48" s="8">
        <v>2.94</v>
      </c>
      <c r="I48" s="12">
        <v>0</v>
      </c>
    </row>
    <row r="49" spans="2:9" ht="15" customHeight="1" x14ac:dyDescent="0.2">
      <c r="B49" t="s">
        <v>231</v>
      </c>
      <c r="C49" s="12">
        <v>1</v>
      </c>
      <c r="D49" s="8">
        <v>1.18</v>
      </c>
      <c r="E49" s="12">
        <v>1</v>
      </c>
      <c r="F49" s="8">
        <v>2.04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234</v>
      </c>
      <c r="C50" s="12">
        <v>1</v>
      </c>
      <c r="D50" s="8">
        <v>1.18</v>
      </c>
      <c r="E50" s="12">
        <v>0</v>
      </c>
      <c r="F50" s="8">
        <v>0</v>
      </c>
      <c r="G50" s="12">
        <v>1</v>
      </c>
      <c r="H50" s="8">
        <v>2.94</v>
      </c>
      <c r="I50" s="12">
        <v>0</v>
      </c>
    </row>
    <row r="53" spans="2:9" ht="33" customHeight="1" x14ac:dyDescent="0.2">
      <c r="B53" t="s">
        <v>531</v>
      </c>
      <c r="C53" s="10" t="s">
        <v>206</v>
      </c>
      <c r="D53" s="10" t="s">
        <v>207</v>
      </c>
      <c r="E53" s="10" t="s">
        <v>208</v>
      </c>
      <c r="F53" s="10" t="s">
        <v>209</v>
      </c>
      <c r="G53" s="10" t="s">
        <v>210</v>
      </c>
      <c r="H53" s="10" t="s">
        <v>211</v>
      </c>
      <c r="I53" s="10" t="s">
        <v>212</v>
      </c>
    </row>
    <row r="54" spans="2:9" ht="15" customHeight="1" x14ac:dyDescent="0.2">
      <c r="B54" t="s">
        <v>297</v>
      </c>
      <c r="C54" s="12">
        <v>6</v>
      </c>
      <c r="D54" s="8">
        <v>7.06</v>
      </c>
      <c r="E54" s="12">
        <v>4</v>
      </c>
      <c r="F54" s="8">
        <v>8.16</v>
      </c>
      <c r="G54" s="12">
        <v>2</v>
      </c>
      <c r="H54" s="8">
        <v>5.88</v>
      </c>
      <c r="I54" s="12">
        <v>0</v>
      </c>
    </row>
    <row r="55" spans="2:9" ht="15" customHeight="1" x14ac:dyDescent="0.2">
      <c r="B55" t="s">
        <v>304</v>
      </c>
      <c r="C55" s="12">
        <v>5</v>
      </c>
      <c r="D55" s="8">
        <v>5.88</v>
      </c>
      <c r="E55" s="12">
        <v>5</v>
      </c>
      <c r="F55" s="8">
        <v>10.199999999999999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292</v>
      </c>
      <c r="C56" s="12">
        <v>4</v>
      </c>
      <c r="D56" s="8">
        <v>4.71</v>
      </c>
      <c r="E56" s="12">
        <v>4</v>
      </c>
      <c r="F56" s="8">
        <v>8.16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303</v>
      </c>
      <c r="C57" s="12">
        <v>4</v>
      </c>
      <c r="D57" s="8">
        <v>4.71</v>
      </c>
      <c r="E57" s="12">
        <v>4</v>
      </c>
      <c r="F57" s="8">
        <v>8.16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289</v>
      </c>
      <c r="C58" s="12">
        <v>3</v>
      </c>
      <c r="D58" s="8">
        <v>3.53</v>
      </c>
      <c r="E58" s="12">
        <v>1</v>
      </c>
      <c r="F58" s="8">
        <v>2.04</v>
      </c>
      <c r="G58" s="12">
        <v>2</v>
      </c>
      <c r="H58" s="8">
        <v>5.88</v>
      </c>
      <c r="I58" s="12">
        <v>0</v>
      </c>
    </row>
    <row r="59" spans="2:9" ht="15" customHeight="1" x14ac:dyDescent="0.2">
      <c r="B59" t="s">
        <v>324</v>
      </c>
      <c r="C59" s="12">
        <v>3</v>
      </c>
      <c r="D59" s="8">
        <v>3.53</v>
      </c>
      <c r="E59" s="12">
        <v>1</v>
      </c>
      <c r="F59" s="8">
        <v>2.04</v>
      </c>
      <c r="G59" s="12">
        <v>2</v>
      </c>
      <c r="H59" s="8">
        <v>5.88</v>
      </c>
      <c r="I59" s="12">
        <v>0</v>
      </c>
    </row>
    <row r="60" spans="2:9" ht="15" customHeight="1" x14ac:dyDescent="0.2">
      <c r="B60" t="s">
        <v>337</v>
      </c>
      <c r="C60" s="12">
        <v>3</v>
      </c>
      <c r="D60" s="8">
        <v>3.53</v>
      </c>
      <c r="E60" s="12">
        <v>2</v>
      </c>
      <c r="F60" s="8">
        <v>4.08</v>
      </c>
      <c r="G60" s="12">
        <v>1</v>
      </c>
      <c r="H60" s="8">
        <v>2.94</v>
      </c>
      <c r="I60" s="12">
        <v>0</v>
      </c>
    </row>
    <row r="61" spans="2:9" ht="15" customHeight="1" x14ac:dyDescent="0.2">
      <c r="B61" t="s">
        <v>334</v>
      </c>
      <c r="C61" s="12">
        <v>3</v>
      </c>
      <c r="D61" s="8">
        <v>3.53</v>
      </c>
      <c r="E61" s="12">
        <v>3</v>
      </c>
      <c r="F61" s="8">
        <v>6.12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301</v>
      </c>
      <c r="C62" s="12">
        <v>3</v>
      </c>
      <c r="D62" s="8">
        <v>3.53</v>
      </c>
      <c r="E62" s="12">
        <v>3</v>
      </c>
      <c r="F62" s="8">
        <v>6.12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307</v>
      </c>
      <c r="C63" s="12">
        <v>3</v>
      </c>
      <c r="D63" s="8">
        <v>3.53</v>
      </c>
      <c r="E63" s="12">
        <v>1</v>
      </c>
      <c r="F63" s="8">
        <v>2.04</v>
      </c>
      <c r="G63" s="12">
        <v>2</v>
      </c>
      <c r="H63" s="8">
        <v>5.88</v>
      </c>
      <c r="I63" s="12">
        <v>0</v>
      </c>
    </row>
    <row r="64" spans="2:9" ht="15" customHeight="1" x14ac:dyDescent="0.2">
      <c r="B64" t="s">
        <v>288</v>
      </c>
      <c r="C64" s="12">
        <v>2</v>
      </c>
      <c r="D64" s="8">
        <v>2.35</v>
      </c>
      <c r="E64" s="12">
        <v>0</v>
      </c>
      <c r="F64" s="8">
        <v>0</v>
      </c>
      <c r="G64" s="12">
        <v>2</v>
      </c>
      <c r="H64" s="8">
        <v>5.88</v>
      </c>
      <c r="I64" s="12">
        <v>0</v>
      </c>
    </row>
    <row r="65" spans="2:9" ht="15" customHeight="1" x14ac:dyDescent="0.2">
      <c r="B65" t="s">
        <v>319</v>
      </c>
      <c r="C65" s="12">
        <v>2</v>
      </c>
      <c r="D65" s="8">
        <v>2.35</v>
      </c>
      <c r="E65" s="12">
        <v>2</v>
      </c>
      <c r="F65" s="8">
        <v>4.08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402</v>
      </c>
      <c r="C66" s="12">
        <v>2</v>
      </c>
      <c r="D66" s="8">
        <v>2.35</v>
      </c>
      <c r="E66" s="12">
        <v>2</v>
      </c>
      <c r="F66" s="8">
        <v>4.08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296</v>
      </c>
      <c r="C67" s="12">
        <v>2</v>
      </c>
      <c r="D67" s="8">
        <v>2.35</v>
      </c>
      <c r="E67" s="12">
        <v>0</v>
      </c>
      <c r="F67" s="8">
        <v>0</v>
      </c>
      <c r="G67" s="12">
        <v>2</v>
      </c>
      <c r="H67" s="8">
        <v>5.88</v>
      </c>
      <c r="I67" s="12">
        <v>0</v>
      </c>
    </row>
    <row r="68" spans="2:9" ht="15" customHeight="1" x14ac:dyDescent="0.2">
      <c r="B68" t="s">
        <v>415</v>
      </c>
      <c r="C68" s="12">
        <v>2</v>
      </c>
      <c r="D68" s="8">
        <v>2.35</v>
      </c>
      <c r="E68" s="12">
        <v>0</v>
      </c>
      <c r="F68" s="8">
        <v>0</v>
      </c>
      <c r="G68" s="12">
        <v>2</v>
      </c>
      <c r="H68" s="8">
        <v>5.88</v>
      </c>
      <c r="I68" s="12">
        <v>0</v>
      </c>
    </row>
    <row r="69" spans="2:9" ht="15" customHeight="1" x14ac:dyDescent="0.2">
      <c r="B69" t="s">
        <v>339</v>
      </c>
      <c r="C69" s="12">
        <v>2</v>
      </c>
      <c r="D69" s="8">
        <v>2.35</v>
      </c>
      <c r="E69" s="12">
        <v>1</v>
      </c>
      <c r="F69" s="8">
        <v>2.04</v>
      </c>
      <c r="G69" s="12">
        <v>1</v>
      </c>
      <c r="H69" s="8">
        <v>2.94</v>
      </c>
      <c r="I69" s="12">
        <v>0</v>
      </c>
    </row>
    <row r="70" spans="2:9" ht="15" customHeight="1" x14ac:dyDescent="0.2">
      <c r="B70" t="s">
        <v>300</v>
      </c>
      <c r="C70" s="12">
        <v>2</v>
      </c>
      <c r="D70" s="8">
        <v>2.35</v>
      </c>
      <c r="E70" s="12">
        <v>2</v>
      </c>
      <c r="F70" s="8">
        <v>4.08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302</v>
      </c>
      <c r="C71" s="12">
        <v>2</v>
      </c>
      <c r="D71" s="8">
        <v>2.35</v>
      </c>
      <c r="E71" s="12">
        <v>1</v>
      </c>
      <c r="F71" s="8">
        <v>2.04</v>
      </c>
      <c r="G71" s="12">
        <v>1</v>
      </c>
      <c r="H71" s="8">
        <v>2.94</v>
      </c>
      <c r="I71" s="12">
        <v>0</v>
      </c>
    </row>
    <row r="72" spans="2:9" ht="15" customHeight="1" x14ac:dyDescent="0.2">
      <c r="B72" t="s">
        <v>325</v>
      </c>
      <c r="C72" s="12">
        <v>2</v>
      </c>
      <c r="D72" s="8">
        <v>2.35</v>
      </c>
      <c r="E72" s="12">
        <v>0</v>
      </c>
      <c r="F72" s="8">
        <v>0</v>
      </c>
      <c r="G72" s="12">
        <v>1</v>
      </c>
      <c r="H72" s="8">
        <v>2.94</v>
      </c>
      <c r="I72" s="12">
        <v>0</v>
      </c>
    </row>
    <row r="73" spans="2:9" ht="15" customHeight="1" x14ac:dyDescent="0.2">
      <c r="B73" t="s">
        <v>328</v>
      </c>
      <c r="C73" s="12">
        <v>1</v>
      </c>
      <c r="D73" s="8">
        <v>1.18</v>
      </c>
      <c r="E73" s="12">
        <v>1</v>
      </c>
      <c r="F73" s="8">
        <v>2.04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320</v>
      </c>
      <c r="C74" s="12">
        <v>1</v>
      </c>
      <c r="D74" s="8">
        <v>1.18</v>
      </c>
      <c r="E74" s="12">
        <v>0</v>
      </c>
      <c r="F74" s="8">
        <v>0</v>
      </c>
      <c r="G74" s="12">
        <v>1</v>
      </c>
      <c r="H74" s="8">
        <v>2.94</v>
      </c>
      <c r="I74" s="12">
        <v>0</v>
      </c>
    </row>
    <row r="75" spans="2:9" ht="15" customHeight="1" x14ac:dyDescent="0.2">
      <c r="B75" t="s">
        <v>290</v>
      </c>
      <c r="C75" s="12">
        <v>1</v>
      </c>
      <c r="D75" s="8">
        <v>1.18</v>
      </c>
      <c r="E75" s="12">
        <v>0</v>
      </c>
      <c r="F75" s="8">
        <v>0</v>
      </c>
      <c r="G75" s="12">
        <v>1</v>
      </c>
      <c r="H75" s="8">
        <v>2.94</v>
      </c>
      <c r="I75" s="12">
        <v>0</v>
      </c>
    </row>
    <row r="76" spans="2:9" ht="15" customHeight="1" x14ac:dyDescent="0.2">
      <c r="B76" t="s">
        <v>291</v>
      </c>
      <c r="C76" s="12">
        <v>1</v>
      </c>
      <c r="D76" s="8">
        <v>1.18</v>
      </c>
      <c r="E76" s="12">
        <v>0</v>
      </c>
      <c r="F76" s="8">
        <v>0</v>
      </c>
      <c r="G76" s="12">
        <v>1</v>
      </c>
      <c r="H76" s="8">
        <v>2.94</v>
      </c>
      <c r="I76" s="12">
        <v>0</v>
      </c>
    </row>
    <row r="77" spans="2:9" ht="15" customHeight="1" x14ac:dyDescent="0.2">
      <c r="B77" t="s">
        <v>431</v>
      </c>
      <c r="C77" s="12">
        <v>1</v>
      </c>
      <c r="D77" s="8">
        <v>1.18</v>
      </c>
      <c r="E77" s="12">
        <v>1</v>
      </c>
      <c r="F77" s="8">
        <v>2.04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385</v>
      </c>
      <c r="C78" s="12">
        <v>1</v>
      </c>
      <c r="D78" s="8">
        <v>1.18</v>
      </c>
      <c r="E78" s="12">
        <v>0</v>
      </c>
      <c r="F78" s="8">
        <v>0</v>
      </c>
      <c r="G78" s="12">
        <v>1</v>
      </c>
      <c r="H78" s="8">
        <v>2.94</v>
      </c>
      <c r="I78" s="12">
        <v>0</v>
      </c>
    </row>
    <row r="79" spans="2:9" ht="15" customHeight="1" x14ac:dyDescent="0.2">
      <c r="B79" t="s">
        <v>432</v>
      </c>
      <c r="C79" s="12">
        <v>1</v>
      </c>
      <c r="D79" s="8">
        <v>1.18</v>
      </c>
      <c r="E79" s="12">
        <v>0</v>
      </c>
      <c r="F79" s="8">
        <v>0</v>
      </c>
      <c r="G79" s="12">
        <v>1</v>
      </c>
      <c r="H79" s="8">
        <v>2.94</v>
      </c>
      <c r="I79" s="12">
        <v>0</v>
      </c>
    </row>
    <row r="80" spans="2:9" ht="15" customHeight="1" x14ac:dyDescent="0.2">
      <c r="B80" t="s">
        <v>433</v>
      </c>
      <c r="C80" s="12">
        <v>1</v>
      </c>
      <c r="D80" s="8">
        <v>1.18</v>
      </c>
      <c r="E80" s="12">
        <v>0</v>
      </c>
      <c r="F80" s="8">
        <v>0</v>
      </c>
      <c r="G80" s="12">
        <v>1</v>
      </c>
      <c r="H80" s="8">
        <v>2.94</v>
      </c>
      <c r="I80" s="12">
        <v>0</v>
      </c>
    </row>
    <row r="81" spans="2:9" ht="15" customHeight="1" x14ac:dyDescent="0.2">
      <c r="B81" t="s">
        <v>386</v>
      </c>
      <c r="C81" s="12">
        <v>1</v>
      </c>
      <c r="D81" s="8">
        <v>1.18</v>
      </c>
      <c r="E81" s="12">
        <v>0</v>
      </c>
      <c r="F81" s="8">
        <v>0</v>
      </c>
      <c r="G81" s="12">
        <v>1</v>
      </c>
      <c r="H81" s="8">
        <v>2.94</v>
      </c>
      <c r="I81" s="12">
        <v>0</v>
      </c>
    </row>
    <row r="82" spans="2:9" ht="15" customHeight="1" x14ac:dyDescent="0.2">
      <c r="B82" t="s">
        <v>362</v>
      </c>
      <c r="C82" s="12">
        <v>1</v>
      </c>
      <c r="D82" s="8">
        <v>1.18</v>
      </c>
      <c r="E82" s="12">
        <v>0</v>
      </c>
      <c r="F82" s="8">
        <v>0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326</v>
      </c>
      <c r="C83" s="12">
        <v>1</v>
      </c>
      <c r="D83" s="8">
        <v>1.18</v>
      </c>
      <c r="E83" s="12">
        <v>0</v>
      </c>
      <c r="F83" s="8">
        <v>0</v>
      </c>
      <c r="G83" s="12">
        <v>1</v>
      </c>
      <c r="H83" s="8">
        <v>2.94</v>
      </c>
      <c r="I83" s="12">
        <v>0</v>
      </c>
    </row>
    <row r="84" spans="2:9" ht="15" customHeight="1" x14ac:dyDescent="0.2">
      <c r="B84" t="s">
        <v>350</v>
      </c>
      <c r="C84" s="12">
        <v>1</v>
      </c>
      <c r="D84" s="8">
        <v>1.18</v>
      </c>
      <c r="E84" s="12">
        <v>0</v>
      </c>
      <c r="F84" s="8">
        <v>0</v>
      </c>
      <c r="G84" s="12">
        <v>1</v>
      </c>
      <c r="H84" s="8">
        <v>2.94</v>
      </c>
      <c r="I84" s="12">
        <v>0</v>
      </c>
    </row>
    <row r="85" spans="2:9" ht="15" customHeight="1" x14ac:dyDescent="0.2">
      <c r="B85" t="s">
        <v>364</v>
      </c>
      <c r="C85" s="12">
        <v>1</v>
      </c>
      <c r="D85" s="8">
        <v>1.18</v>
      </c>
      <c r="E85" s="12">
        <v>0</v>
      </c>
      <c r="F85" s="8">
        <v>0</v>
      </c>
      <c r="G85" s="12">
        <v>1</v>
      </c>
      <c r="H85" s="8">
        <v>2.94</v>
      </c>
      <c r="I85" s="12">
        <v>0</v>
      </c>
    </row>
    <row r="86" spans="2:9" ht="15" customHeight="1" x14ac:dyDescent="0.2">
      <c r="B86" t="s">
        <v>346</v>
      </c>
      <c r="C86" s="12">
        <v>1</v>
      </c>
      <c r="D86" s="8">
        <v>1.18</v>
      </c>
      <c r="E86" s="12">
        <v>1</v>
      </c>
      <c r="F86" s="8">
        <v>2.04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314</v>
      </c>
      <c r="C87" s="12">
        <v>1</v>
      </c>
      <c r="D87" s="8">
        <v>1.18</v>
      </c>
      <c r="E87" s="12">
        <v>1</v>
      </c>
      <c r="F87" s="8">
        <v>2.04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336</v>
      </c>
      <c r="C88" s="12">
        <v>1</v>
      </c>
      <c r="D88" s="8">
        <v>1.18</v>
      </c>
      <c r="E88" s="12">
        <v>1</v>
      </c>
      <c r="F88" s="8">
        <v>2.04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366</v>
      </c>
      <c r="C89" s="12">
        <v>1</v>
      </c>
      <c r="D89" s="8">
        <v>1.18</v>
      </c>
      <c r="E89" s="12">
        <v>1</v>
      </c>
      <c r="F89" s="8">
        <v>2.04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332</v>
      </c>
      <c r="C90" s="12">
        <v>1</v>
      </c>
      <c r="D90" s="8">
        <v>1.18</v>
      </c>
      <c r="E90" s="12">
        <v>0</v>
      </c>
      <c r="F90" s="8">
        <v>0</v>
      </c>
      <c r="G90" s="12">
        <v>1</v>
      </c>
      <c r="H90" s="8">
        <v>2.94</v>
      </c>
      <c r="I90" s="12">
        <v>0</v>
      </c>
    </row>
    <row r="91" spans="2:9" ht="15" customHeight="1" x14ac:dyDescent="0.2">
      <c r="B91" t="s">
        <v>329</v>
      </c>
      <c r="C91" s="12">
        <v>1</v>
      </c>
      <c r="D91" s="8">
        <v>1.18</v>
      </c>
      <c r="E91" s="12">
        <v>1</v>
      </c>
      <c r="F91" s="8">
        <v>2.04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335</v>
      </c>
      <c r="C92" s="12">
        <v>1</v>
      </c>
      <c r="D92" s="8">
        <v>1.18</v>
      </c>
      <c r="E92" s="12">
        <v>0</v>
      </c>
      <c r="F92" s="8">
        <v>0</v>
      </c>
      <c r="G92" s="12">
        <v>1</v>
      </c>
      <c r="H92" s="8">
        <v>2.94</v>
      </c>
      <c r="I92" s="12">
        <v>0</v>
      </c>
    </row>
    <row r="93" spans="2:9" ht="15" customHeight="1" x14ac:dyDescent="0.2">
      <c r="B93" t="s">
        <v>294</v>
      </c>
      <c r="C93" s="12">
        <v>1</v>
      </c>
      <c r="D93" s="8">
        <v>1.18</v>
      </c>
      <c r="E93" s="12">
        <v>0</v>
      </c>
      <c r="F93" s="8">
        <v>0</v>
      </c>
      <c r="G93" s="12">
        <v>1</v>
      </c>
      <c r="H93" s="8">
        <v>2.94</v>
      </c>
      <c r="I93" s="12">
        <v>0</v>
      </c>
    </row>
    <row r="94" spans="2:9" ht="15" customHeight="1" x14ac:dyDescent="0.2">
      <c r="B94" t="s">
        <v>295</v>
      </c>
      <c r="C94" s="12">
        <v>1</v>
      </c>
      <c r="D94" s="8">
        <v>1.18</v>
      </c>
      <c r="E94" s="12">
        <v>1</v>
      </c>
      <c r="F94" s="8">
        <v>2.04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418</v>
      </c>
      <c r="C95" s="12">
        <v>1</v>
      </c>
      <c r="D95" s="8">
        <v>1.18</v>
      </c>
      <c r="E95" s="12">
        <v>0</v>
      </c>
      <c r="F95" s="8">
        <v>0</v>
      </c>
      <c r="G95" s="12">
        <v>1</v>
      </c>
      <c r="H95" s="8">
        <v>2.94</v>
      </c>
      <c r="I95" s="12">
        <v>0</v>
      </c>
    </row>
    <row r="96" spans="2:9" ht="15" customHeight="1" x14ac:dyDescent="0.2">
      <c r="B96" t="s">
        <v>299</v>
      </c>
      <c r="C96" s="12">
        <v>1</v>
      </c>
      <c r="D96" s="8">
        <v>1.18</v>
      </c>
      <c r="E96" s="12">
        <v>1</v>
      </c>
      <c r="F96" s="8">
        <v>2.04</v>
      </c>
      <c r="G96" s="12">
        <v>0</v>
      </c>
      <c r="H96" s="8">
        <v>0</v>
      </c>
      <c r="I96" s="12">
        <v>0</v>
      </c>
    </row>
    <row r="97" spans="2:9" ht="15" customHeight="1" x14ac:dyDescent="0.2">
      <c r="B97" t="s">
        <v>349</v>
      </c>
      <c r="C97" s="12">
        <v>1</v>
      </c>
      <c r="D97" s="8">
        <v>1.18</v>
      </c>
      <c r="E97" s="12">
        <v>1</v>
      </c>
      <c r="F97" s="8">
        <v>2.04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323</v>
      </c>
      <c r="C98" s="12">
        <v>1</v>
      </c>
      <c r="D98" s="8">
        <v>1.18</v>
      </c>
      <c r="E98" s="12">
        <v>1</v>
      </c>
      <c r="F98" s="8">
        <v>2.04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327</v>
      </c>
      <c r="C99" s="12">
        <v>1</v>
      </c>
      <c r="D99" s="8">
        <v>1.18</v>
      </c>
      <c r="E99" s="12">
        <v>0</v>
      </c>
      <c r="F99" s="8">
        <v>0</v>
      </c>
      <c r="G99" s="12">
        <v>1</v>
      </c>
      <c r="H99" s="8">
        <v>2.94</v>
      </c>
      <c r="I99" s="12">
        <v>0</v>
      </c>
    </row>
    <row r="100" spans="2:9" ht="15" customHeight="1" x14ac:dyDescent="0.2">
      <c r="B100" t="s">
        <v>305</v>
      </c>
      <c r="C100" s="12">
        <v>1</v>
      </c>
      <c r="D100" s="8">
        <v>1.18</v>
      </c>
      <c r="E100" s="12">
        <v>1</v>
      </c>
      <c r="F100" s="8">
        <v>2.04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306</v>
      </c>
      <c r="C101" s="12">
        <v>1</v>
      </c>
      <c r="D101" s="8">
        <v>1.18</v>
      </c>
      <c r="E101" s="12">
        <v>1</v>
      </c>
      <c r="F101" s="8">
        <v>2.04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348</v>
      </c>
      <c r="C102" s="12">
        <v>1</v>
      </c>
      <c r="D102" s="8">
        <v>1.18</v>
      </c>
      <c r="E102" s="12">
        <v>0</v>
      </c>
      <c r="F102" s="8">
        <v>0</v>
      </c>
      <c r="G102" s="12">
        <v>1</v>
      </c>
      <c r="H102" s="8">
        <v>2.94</v>
      </c>
      <c r="I102" s="12">
        <v>0</v>
      </c>
    </row>
    <row r="104" spans="2:9" ht="15" customHeight="1" x14ac:dyDescent="0.2">
      <c r="B104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8174B-0233-4855-9C80-F6DC62B916B8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49</v>
      </c>
      <c r="D6" s="8">
        <v>9.32</v>
      </c>
      <c r="E6" s="12">
        <v>15</v>
      </c>
      <c r="F6" s="8">
        <v>5.62</v>
      </c>
      <c r="G6" s="12">
        <v>34</v>
      </c>
      <c r="H6" s="8">
        <v>13.71</v>
      </c>
      <c r="I6" s="12">
        <v>0</v>
      </c>
    </row>
    <row r="7" spans="2:9" ht="15" customHeight="1" x14ac:dyDescent="0.2">
      <c r="B7" t="s">
        <v>192</v>
      </c>
      <c r="C7" s="12">
        <v>11</v>
      </c>
      <c r="D7" s="8">
        <v>2.09</v>
      </c>
      <c r="E7" s="12">
        <v>3</v>
      </c>
      <c r="F7" s="8">
        <v>1.1200000000000001</v>
      </c>
      <c r="G7" s="12">
        <v>8</v>
      </c>
      <c r="H7" s="8">
        <v>3.23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0.19</v>
      </c>
      <c r="E8" s="12">
        <v>0</v>
      </c>
      <c r="F8" s="8">
        <v>0</v>
      </c>
      <c r="G8" s="12">
        <v>1</v>
      </c>
      <c r="H8" s="8">
        <v>0.4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0.38</v>
      </c>
      <c r="E9" s="12">
        <v>0</v>
      </c>
      <c r="F9" s="8">
        <v>0</v>
      </c>
      <c r="G9" s="12">
        <v>2</v>
      </c>
      <c r="H9" s="8">
        <v>0.81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0.95</v>
      </c>
      <c r="E10" s="12">
        <v>2</v>
      </c>
      <c r="F10" s="8">
        <v>0.75</v>
      </c>
      <c r="G10" s="12">
        <v>3</v>
      </c>
      <c r="H10" s="8">
        <v>1.21</v>
      </c>
      <c r="I10" s="12">
        <v>0</v>
      </c>
    </row>
    <row r="11" spans="2:9" ht="15" customHeight="1" x14ac:dyDescent="0.2">
      <c r="B11" t="s">
        <v>196</v>
      </c>
      <c r="C11" s="12">
        <v>74</v>
      </c>
      <c r="D11" s="8">
        <v>14.07</v>
      </c>
      <c r="E11" s="12">
        <v>24</v>
      </c>
      <c r="F11" s="8">
        <v>8.99</v>
      </c>
      <c r="G11" s="12">
        <v>50</v>
      </c>
      <c r="H11" s="8">
        <v>20.16</v>
      </c>
      <c r="I11" s="12">
        <v>0</v>
      </c>
    </row>
    <row r="12" spans="2:9" ht="15" customHeight="1" x14ac:dyDescent="0.2">
      <c r="B12" t="s">
        <v>197</v>
      </c>
      <c r="C12" s="12">
        <v>4</v>
      </c>
      <c r="D12" s="8">
        <v>0.76</v>
      </c>
      <c r="E12" s="12">
        <v>0</v>
      </c>
      <c r="F12" s="8">
        <v>0</v>
      </c>
      <c r="G12" s="12">
        <v>4</v>
      </c>
      <c r="H12" s="8">
        <v>1.61</v>
      </c>
      <c r="I12" s="12">
        <v>0</v>
      </c>
    </row>
    <row r="13" spans="2:9" ht="15" customHeight="1" x14ac:dyDescent="0.2">
      <c r="B13" t="s">
        <v>198</v>
      </c>
      <c r="C13" s="12">
        <v>93</v>
      </c>
      <c r="D13" s="8">
        <v>17.68</v>
      </c>
      <c r="E13" s="12">
        <v>49</v>
      </c>
      <c r="F13" s="8">
        <v>18.350000000000001</v>
      </c>
      <c r="G13" s="12">
        <v>42</v>
      </c>
      <c r="H13" s="8">
        <v>16.940000000000001</v>
      </c>
      <c r="I13" s="12">
        <v>0</v>
      </c>
    </row>
    <row r="14" spans="2:9" ht="15" customHeight="1" x14ac:dyDescent="0.2">
      <c r="B14" t="s">
        <v>199</v>
      </c>
      <c r="C14" s="12">
        <v>20</v>
      </c>
      <c r="D14" s="8">
        <v>3.8</v>
      </c>
      <c r="E14" s="12">
        <v>10</v>
      </c>
      <c r="F14" s="8">
        <v>3.75</v>
      </c>
      <c r="G14" s="12">
        <v>9</v>
      </c>
      <c r="H14" s="8">
        <v>3.63</v>
      </c>
      <c r="I14" s="12">
        <v>1</v>
      </c>
    </row>
    <row r="15" spans="2:9" ht="15" customHeight="1" x14ac:dyDescent="0.2">
      <c r="B15" t="s">
        <v>200</v>
      </c>
      <c r="C15" s="12">
        <v>137</v>
      </c>
      <c r="D15" s="8">
        <v>26.05</v>
      </c>
      <c r="E15" s="12">
        <v>94</v>
      </c>
      <c r="F15" s="8">
        <v>35.21</v>
      </c>
      <c r="G15" s="12">
        <v>43</v>
      </c>
      <c r="H15" s="8">
        <v>17.34</v>
      </c>
      <c r="I15" s="12">
        <v>0</v>
      </c>
    </row>
    <row r="16" spans="2:9" ht="15" customHeight="1" x14ac:dyDescent="0.2">
      <c r="B16" t="s">
        <v>201</v>
      </c>
      <c r="C16" s="12">
        <v>57</v>
      </c>
      <c r="D16" s="8">
        <v>10.84</v>
      </c>
      <c r="E16" s="12">
        <v>37</v>
      </c>
      <c r="F16" s="8">
        <v>13.86</v>
      </c>
      <c r="G16" s="12">
        <v>18</v>
      </c>
      <c r="H16" s="8">
        <v>7.26</v>
      </c>
      <c r="I16" s="12">
        <v>0</v>
      </c>
    </row>
    <row r="17" spans="2:9" ht="15" customHeight="1" x14ac:dyDescent="0.2">
      <c r="B17" t="s">
        <v>202</v>
      </c>
      <c r="C17" s="12">
        <v>21</v>
      </c>
      <c r="D17" s="8">
        <v>3.99</v>
      </c>
      <c r="E17" s="12">
        <v>12</v>
      </c>
      <c r="F17" s="8">
        <v>4.49</v>
      </c>
      <c r="G17" s="12">
        <v>6</v>
      </c>
      <c r="H17" s="8">
        <v>2.42</v>
      </c>
      <c r="I17" s="12">
        <v>1</v>
      </c>
    </row>
    <row r="18" spans="2:9" ht="15" customHeight="1" x14ac:dyDescent="0.2">
      <c r="B18" t="s">
        <v>203</v>
      </c>
      <c r="C18" s="12">
        <v>29</v>
      </c>
      <c r="D18" s="8">
        <v>5.51</v>
      </c>
      <c r="E18" s="12">
        <v>15</v>
      </c>
      <c r="F18" s="8">
        <v>5.62</v>
      </c>
      <c r="G18" s="12">
        <v>13</v>
      </c>
      <c r="H18" s="8">
        <v>5.24</v>
      </c>
      <c r="I18" s="12">
        <v>0</v>
      </c>
    </row>
    <row r="19" spans="2:9" ht="15" customHeight="1" x14ac:dyDescent="0.2">
      <c r="B19" t="s">
        <v>204</v>
      </c>
      <c r="C19" s="12">
        <v>23</v>
      </c>
      <c r="D19" s="8">
        <v>4.37</v>
      </c>
      <c r="E19" s="12">
        <v>6</v>
      </c>
      <c r="F19" s="8">
        <v>2.25</v>
      </c>
      <c r="G19" s="12">
        <v>15</v>
      </c>
      <c r="H19" s="8">
        <v>6.05</v>
      </c>
      <c r="I19" s="12">
        <v>1</v>
      </c>
    </row>
    <row r="20" spans="2:9" ht="15" customHeight="1" x14ac:dyDescent="0.2">
      <c r="B20" s="9" t="s">
        <v>529</v>
      </c>
      <c r="C20" s="12">
        <f>SUM(LTBL_01400[総数／事業所数])</f>
        <v>526</v>
      </c>
      <c r="E20" s="12">
        <f>SUBTOTAL(109,LTBL_01400[個人／事業所数])</f>
        <v>267</v>
      </c>
      <c r="G20" s="12">
        <f>SUBTOTAL(109,LTBL_01400[法人／事業所数])</f>
        <v>248</v>
      </c>
      <c r="I20" s="12">
        <f>SUBTOTAL(109,LTBL_01400[法人以外の団体／事業所数])</f>
        <v>3</v>
      </c>
    </row>
    <row r="21" spans="2:9" ht="15" customHeight="1" x14ac:dyDescent="0.2">
      <c r="E21" s="11">
        <f>LTBL_01400[[#Totals],[個人／事業所数]]/LTBL_01400[[#Totals],[総数／事業所数]]</f>
        <v>0.50760456273764254</v>
      </c>
      <c r="G21" s="11">
        <f>LTBL_01400[[#Totals],[法人／事業所数]]/LTBL_01400[[#Totals],[総数／事業所数]]</f>
        <v>0.47148288973384028</v>
      </c>
      <c r="I21" s="11">
        <f>LTBL_01400[[#Totals],[法人以外の団体／事業所数]]/LTBL_01400[[#Totals],[総数／事業所数]]</f>
        <v>5.7034220532319393E-3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93</v>
      </c>
      <c r="D24" s="8">
        <v>17.68</v>
      </c>
      <c r="E24" s="12">
        <v>68</v>
      </c>
      <c r="F24" s="8">
        <v>25.47</v>
      </c>
      <c r="G24" s="12">
        <v>25</v>
      </c>
      <c r="H24" s="8">
        <v>10.08</v>
      </c>
      <c r="I24" s="12">
        <v>0</v>
      </c>
    </row>
    <row r="25" spans="2:9" ht="15" customHeight="1" x14ac:dyDescent="0.2">
      <c r="B25" t="s">
        <v>224</v>
      </c>
      <c r="C25" s="12">
        <v>75</v>
      </c>
      <c r="D25" s="8">
        <v>14.26</v>
      </c>
      <c r="E25" s="12">
        <v>49</v>
      </c>
      <c r="F25" s="8">
        <v>18.350000000000001</v>
      </c>
      <c r="G25" s="12">
        <v>24</v>
      </c>
      <c r="H25" s="8">
        <v>9.68</v>
      </c>
      <c r="I25" s="12">
        <v>0</v>
      </c>
    </row>
    <row r="26" spans="2:9" ht="15" customHeight="1" x14ac:dyDescent="0.2">
      <c r="B26" t="s">
        <v>243</v>
      </c>
      <c r="C26" s="12">
        <v>42</v>
      </c>
      <c r="D26" s="8">
        <v>7.98</v>
      </c>
      <c r="E26" s="12">
        <v>26</v>
      </c>
      <c r="F26" s="8">
        <v>9.74</v>
      </c>
      <c r="G26" s="12">
        <v>16</v>
      </c>
      <c r="H26" s="8">
        <v>6.45</v>
      </c>
      <c r="I26" s="12">
        <v>0</v>
      </c>
    </row>
    <row r="27" spans="2:9" ht="15" customHeight="1" x14ac:dyDescent="0.2">
      <c r="B27" t="s">
        <v>228</v>
      </c>
      <c r="C27" s="12">
        <v>38</v>
      </c>
      <c r="D27" s="8">
        <v>7.22</v>
      </c>
      <c r="E27" s="12">
        <v>30</v>
      </c>
      <c r="F27" s="8">
        <v>11.24</v>
      </c>
      <c r="G27" s="12">
        <v>8</v>
      </c>
      <c r="H27" s="8">
        <v>3.23</v>
      </c>
      <c r="I27" s="12">
        <v>0</v>
      </c>
    </row>
    <row r="28" spans="2:9" ht="15" customHeight="1" x14ac:dyDescent="0.2">
      <c r="B28" t="s">
        <v>213</v>
      </c>
      <c r="C28" s="12">
        <v>22</v>
      </c>
      <c r="D28" s="8">
        <v>4.18</v>
      </c>
      <c r="E28" s="12">
        <v>7</v>
      </c>
      <c r="F28" s="8">
        <v>2.62</v>
      </c>
      <c r="G28" s="12">
        <v>15</v>
      </c>
      <c r="H28" s="8">
        <v>6.05</v>
      </c>
      <c r="I28" s="12">
        <v>0</v>
      </c>
    </row>
    <row r="29" spans="2:9" ht="15" customHeight="1" x14ac:dyDescent="0.2">
      <c r="B29" t="s">
        <v>230</v>
      </c>
      <c r="C29" s="12">
        <v>21</v>
      </c>
      <c r="D29" s="8">
        <v>3.99</v>
      </c>
      <c r="E29" s="12">
        <v>12</v>
      </c>
      <c r="F29" s="8">
        <v>4.49</v>
      </c>
      <c r="G29" s="12">
        <v>6</v>
      </c>
      <c r="H29" s="8">
        <v>2.42</v>
      </c>
      <c r="I29" s="12">
        <v>1</v>
      </c>
    </row>
    <row r="30" spans="2:9" ht="15" customHeight="1" x14ac:dyDescent="0.2">
      <c r="B30" t="s">
        <v>223</v>
      </c>
      <c r="C30" s="12">
        <v>19</v>
      </c>
      <c r="D30" s="8">
        <v>3.61</v>
      </c>
      <c r="E30" s="12">
        <v>6</v>
      </c>
      <c r="F30" s="8">
        <v>2.25</v>
      </c>
      <c r="G30" s="12">
        <v>13</v>
      </c>
      <c r="H30" s="8">
        <v>5.24</v>
      </c>
      <c r="I30" s="12">
        <v>0</v>
      </c>
    </row>
    <row r="31" spans="2:9" ht="15" customHeight="1" x14ac:dyDescent="0.2">
      <c r="B31" t="s">
        <v>214</v>
      </c>
      <c r="C31" s="12">
        <v>18</v>
      </c>
      <c r="D31" s="8">
        <v>3.42</v>
      </c>
      <c r="E31" s="12">
        <v>7</v>
      </c>
      <c r="F31" s="8">
        <v>2.62</v>
      </c>
      <c r="G31" s="12">
        <v>11</v>
      </c>
      <c r="H31" s="8">
        <v>4.4400000000000004</v>
      </c>
      <c r="I31" s="12">
        <v>0</v>
      </c>
    </row>
    <row r="32" spans="2:9" ht="15" customHeight="1" x14ac:dyDescent="0.2">
      <c r="B32" t="s">
        <v>231</v>
      </c>
      <c r="C32" s="12">
        <v>16</v>
      </c>
      <c r="D32" s="8">
        <v>3.04</v>
      </c>
      <c r="E32" s="12">
        <v>15</v>
      </c>
      <c r="F32" s="8">
        <v>5.62</v>
      </c>
      <c r="G32" s="12">
        <v>1</v>
      </c>
      <c r="H32" s="8">
        <v>0.4</v>
      </c>
      <c r="I32" s="12">
        <v>0</v>
      </c>
    </row>
    <row r="33" spans="2:9" ht="15" customHeight="1" x14ac:dyDescent="0.2">
      <c r="B33" t="s">
        <v>221</v>
      </c>
      <c r="C33" s="12">
        <v>15</v>
      </c>
      <c r="D33" s="8">
        <v>2.85</v>
      </c>
      <c r="E33" s="12">
        <v>8</v>
      </c>
      <c r="F33" s="8">
        <v>3</v>
      </c>
      <c r="G33" s="12">
        <v>7</v>
      </c>
      <c r="H33" s="8">
        <v>2.82</v>
      </c>
      <c r="I33" s="12">
        <v>0</v>
      </c>
    </row>
    <row r="34" spans="2:9" ht="15" customHeight="1" x14ac:dyDescent="0.2">
      <c r="B34" t="s">
        <v>232</v>
      </c>
      <c r="C34" s="12">
        <v>13</v>
      </c>
      <c r="D34" s="8">
        <v>2.4700000000000002</v>
      </c>
      <c r="E34" s="12">
        <v>0</v>
      </c>
      <c r="F34" s="8">
        <v>0</v>
      </c>
      <c r="G34" s="12">
        <v>12</v>
      </c>
      <c r="H34" s="8">
        <v>4.84</v>
      </c>
      <c r="I34" s="12">
        <v>0</v>
      </c>
    </row>
    <row r="35" spans="2:9" ht="15" customHeight="1" x14ac:dyDescent="0.2">
      <c r="B35" t="s">
        <v>233</v>
      </c>
      <c r="C35" s="12">
        <v>11</v>
      </c>
      <c r="D35" s="8">
        <v>2.09</v>
      </c>
      <c r="E35" s="12">
        <v>0</v>
      </c>
      <c r="F35" s="8">
        <v>0</v>
      </c>
      <c r="G35" s="12">
        <v>11</v>
      </c>
      <c r="H35" s="8">
        <v>4.4400000000000004</v>
      </c>
      <c r="I35" s="12">
        <v>0</v>
      </c>
    </row>
    <row r="36" spans="2:9" ht="15" customHeight="1" x14ac:dyDescent="0.2">
      <c r="B36" t="s">
        <v>220</v>
      </c>
      <c r="C36" s="12">
        <v>10</v>
      </c>
      <c r="D36" s="8">
        <v>1.9</v>
      </c>
      <c r="E36" s="12">
        <v>5</v>
      </c>
      <c r="F36" s="8">
        <v>1.87</v>
      </c>
      <c r="G36" s="12">
        <v>5</v>
      </c>
      <c r="H36" s="8">
        <v>2.02</v>
      </c>
      <c r="I36" s="12">
        <v>0</v>
      </c>
    </row>
    <row r="37" spans="2:9" ht="15" customHeight="1" x14ac:dyDescent="0.2">
      <c r="B37" t="s">
        <v>225</v>
      </c>
      <c r="C37" s="12">
        <v>10</v>
      </c>
      <c r="D37" s="8">
        <v>1.9</v>
      </c>
      <c r="E37" s="12">
        <v>6</v>
      </c>
      <c r="F37" s="8">
        <v>2.25</v>
      </c>
      <c r="G37" s="12">
        <v>3</v>
      </c>
      <c r="H37" s="8">
        <v>1.21</v>
      </c>
      <c r="I37" s="12">
        <v>1</v>
      </c>
    </row>
    <row r="38" spans="2:9" ht="15" customHeight="1" x14ac:dyDescent="0.2">
      <c r="B38" t="s">
        <v>226</v>
      </c>
      <c r="C38" s="12">
        <v>10</v>
      </c>
      <c r="D38" s="8">
        <v>1.9</v>
      </c>
      <c r="E38" s="12">
        <v>4</v>
      </c>
      <c r="F38" s="8">
        <v>1.5</v>
      </c>
      <c r="G38" s="12">
        <v>6</v>
      </c>
      <c r="H38" s="8">
        <v>2.42</v>
      </c>
      <c r="I38" s="12">
        <v>0</v>
      </c>
    </row>
    <row r="39" spans="2:9" ht="15" customHeight="1" x14ac:dyDescent="0.2">
      <c r="B39" t="s">
        <v>229</v>
      </c>
      <c r="C39" s="12">
        <v>10</v>
      </c>
      <c r="D39" s="8">
        <v>1.9</v>
      </c>
      <c r="E39" s="12">
        <v>4</v>
      </c>
      <c r="F39" s="8">
        <v>1.5</v>
      </c>
      <c r="G39" s="12">
        <v>5</v>
      </c>
      <c r="H39" s="8">
        <v>2.02</v>
      </c>
      <c r="I39" s="12">
        <v>0</v>
      </c>
    </row>
    <row r="40" spans="2:9" ht="15" customHeight="1" x14ac:dyDescent="0.2">
      <c r="B40" t="s">
        <v>215</v>
      </c>
      <c r="C40" s="12">
        <v>9</v>
      </c>
      <c r="D40" s="8">
        <v>1.71</v>
      </c>
      <c r="E40" s="12">
        <v>1</v>
      </c>
      <c r="F40" s="8">
        <v>0.37</v>
      </c>
      <c r="G40" s="12">
        <v>8</v>
      </c>
      <c r="H40" s="8">
        <v>3.23</v>
      </c>
      <c r="I40" s="12">
        <v>0</v>
      </c>
    </row>
    <row r="41" spans="2:9" ht="15" customHeight="1" x14ac:dyDescent="0.2">
      <c r="B41" t="s">
        <v>218</v>
      </c>
      <c r="C41" s="12">
        <v>9</v>
      </c>
      <c r="D41" s="8">
        <v>1.71</v>
      </c>
      <c r="E41" s="12">
        <v>0</v>
      </c>
      <c r="F41" s="8">
        <v>0</v>
      </c>
      <c r="G41" s="12">
        <v>9</v>
      </c>
      <c r="H41" s="8">
        <v>3.63</v>
      </c>
      <c r="I41" s="12">
        <v>0</v>
      </c>
    </row>
    <row r="42" spans="2:9" ht="15" customHeight="1" x14ac:dyDescent="0.2">
      <c r="B42" t="s">
        <v>247</v>
      </c>
      <c r="C42" s="12">
        <v>9</v>
      </c>
      <c r="D42" s="8">
        <v>1.71</v>
      </c>
      <c r="E42" s="12">
        <v>3</v>
      </c>
      <c r="F42" s="8">
        <v>1.1200000000000001</v>
      </c>
      <c r="G42" s="12">
        <v>5</v>
      </c>
      <c r="H42" s="8">
        <v>2.02</v>
      </c>
      <c r="I42" s="12">
        <v>0</v>
      </c>
    </row>
    <row r="43" spans="2:9" ht="15" customHeight="1" x14ac:dyDescent="0.2">
      <c r="B43" t="s">
        <v>240</v>
      </c>
      <c r="C43" s="12">
        <v>9</v>
      </c>
      <c r="D43" s="8">
        <v>1.71</v>
      </c>
      <c r="E43" s="12">
        <v>4</v>
      </c>
      <c r="F43" s="8">
        <v>1.5</v>
      </c>
      <c r="G43" s="12">
        <v>5</v>
      </c>
      <c r="H43" s="8">
        <v>2.02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62</v>
      </c>
      <c r="D47" s="8">
        <v>11.79</v>
      </c>
      <c r="E47" s="12">
        <v>46</v>
      </c>
      <c r="F47" s="8">
        <v>17.23</v>
      </c>
      <c r="G47" s="12">
        <v>14</v>
      </c>
      <c r="H47" s="8">
        <v>5.65</v>
      </c>
      <c r="I47" s="12">
        <v>0</v>
      </c>
    </row>
    <row r="48" spans="2:9" ht="15" customHeight="1" x14ac:dyDescent="0.2">
      <c r="B48" t="s">
        <v>339</v>
      </c>
      <c r="C48" s="12">
        <v>30</v>
      </c>
      <c r="D48" s="8">
        <v>5.7</v>
      </c>
      <c r="E48" s="12">
        <v>17</v>
      </c>
      <c r="F48" s="8">
        <v>6.37</v>
      </c>
      <c r="G48" s="12">
        <v>13</v>
      </c>
      <c r="H48" s="8">
        <v>5.24</v>
      </c>
      <c r="I48" s="12">
        <v>0</v>
      </c>
    </row>
    <row r="49" spans="2:9" ht="15" customHeight="1" x14ac:dyDescent="0.2">
      <c r="B49" t="s">
        <v>301</v>
      </c>
      <c r="C49" s="12">
        <v>23</v>
      </c>
      <c r="D49" s="8">
        <v>4.37</v>
      </c>
      <c r="E49" s="12">
        <v>20</v>
      </c>
      <c r="F49" s="8">
        <v>7.49</v>
      </c>
      <c r="G49" s="12">
        <v>3</v>
      </c>
      <c r="H49" s="8">
        <v>1.21</v>
      </c>
      <c r="I49" s="12">
        <v>0</v>
      </c>
    </row>
    <row r="50" spans="2:9" ht="15" customHeight="1" x14ac:dyDescent="0.2">
      <c r="B50" t="s">
        <v>304</v>
      </c>
      <c r="C50" s="12">
        <v>21</v>
      </c>
      <c r="D50" s="8">
        <v>3.99</v>
      </c>
      <c r="E50" s="12">
        <v>19</v>
      </c>
      <c r="F50" s="8">
        <v>7.12</v>
      </c>
      <c r="G50" s="12">
        <v>2</v>
      </c>
      <c r="H50" s="8">
        <v>0.81</v>
      </c>
      <c r="I50" s="12">
        <v>0</v>
      </c>
    </row>
    <row r="51" spans="2:9" ht="15" customHeight="1" x14ac:dyDescent="0.2">
      <c r="B51" t="s">
        <v>299</v>
      </c>
      <c r="C51" s="12">
        <v>20</v>
      </c>
      <c r="D51" s="8">
        <v>3.8</v>
      </c>
      <c r="E51" s="12">
        <v>10</v>
      </c>
      <c r="F51" s="8">
        <v>3.75</v>
      </c>
      <c r="G51" s="12">
        <v>10</v>
      </c>
      <c r="H51" s="8">
        <v>4.03</v>
      </c>
      <c r="I51" s="12">
        <v>0</v>
      </c>
    </row>
    <row r="52" spans="2:9" ht="15" customHeight="1" x14ac:dyDescent="0.2">
      <c r="B52" t="s">
        <v>300</v>
      </c>
      <c r="C52" s="12">
        <v>18</v>
      </c>
      <c r="D52" s="8">
        <v>3.42</v>
      </c>
      <c r="E52" s="12">
        <v>13</v>
      </c>
      <c r="F52" s="8">
        <v>4.87</v>
      </c>
      <c r="G52" s="12">
        <v>5</v>
      </c>
      <c r="H52" s="8">
        <v>2.02</v>
      </c>
      <c r="I52" s="12">
        <v>0</v>
      </c>
    </row>
    <row r="53" spans="2:9" ht="15" customHeight="1" x14ac:dyDescent="0.2">
      <c r="B53" t="s">
        <v>305</v>
      </c>
      <c r="C53" s="12">
        <v>15</v>
      </c>
      <c r="D53" s="8">
        <v>2.85</v>
      </c>
      <c r="E53" s="12">
        <v>11</v>
      </c>
      <c r="F53" s="8">
        <v>4.12</v>
      </c>
      <c r="G53" s="12">
        <v>4</v>
      </c>
      <c r="H53" s="8">
        <v>1.61</v>
      </c>
      <c r="I53" s="12">
        <v>0</v>
      </c>
    </row>
    <row r="54" spans="2:9" ht="15" customHeight="1" x14ac:dyDescent="0.2">
      <c r="B54" t="s">
        <v>306</v>
      </c>
      <c r="C54" s="12">
        <v>12</v>
      </c>
      <c r="D54" s="8">
        <v>2.2799999999999998</v>
      </c>
      <c r="E54" s="12">
        <v>12</v>
      </c>
      <c r="F54" s="8">
        <v>4.49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302</v>
      </c>
      <c r="C55" s="12">
        <v>11</v>
      </c>
      <c r="D55" s="8">
        <v>2.09</v>
      </c>
      <c r="E55" s="12">
        <v>9</v>
      </c>
      <c r="F55" s="8">
        <v>3.37</v>
      </c>
      <c r="G55" s="12">
        <v>2</v>
      </c>
      <c r="H55" s="8">
        <v>0.81</v>
      </c>
      <c r="I55" s="12">
        <v>0</v>
      </c>
    </row>
    <row r="56" spans="2:9" ht="15" customHeight="1" x14ac:dyDescent="0.2">
      <c r="B56" t="s">
        <v>289</v>
      </c>
      <c r="C56" s="12">
        <v>9</v>
      </c>
      <c r="D56" s="8">
        <v>1.71</v>
      </c>
      <c r="E56" s="12">
        <v>0</v>
      </c>
      <c r="F56" s="8">
        <v>0</v>
      </c>
      <c r="G56" s="12">
        <v>9</v>
      </c>
      <c r="H56" s="8">
        <v>3.63</v>
      </c>
      <c r="I56" s="12">
        <v>0</v>
      </c>
    </row>
    <row r="57" spans="2:9" ht="15" customHeight="1" x14ac:dyDescent="0.2">
      <c r="B57" t="s">
        <v>422</v>
      </c>
      <c r="C57" s="12">
        <v>9</v>
      </c>
      <c r="D57" s="8">
        <v>1.71</v>
      </c>
      <c r="E57" s="12">
        <v>7</v>
      </c>
      <c r="F57" s="8">
        <v>2.62</v>
      </c>
      <c r="G57" s="12">
        <v>2</v>
      </c>
      <c r="H57" s="8">
        <v>0.81</v>
      </c>
      <c r="I57" s="12">
        <v>0</v>
      </c>
    </row>
    <row r="58" spans="2:9" ht="15" customHeight="1" x14ac:dyDescent="0.2">
      <c r="B58" t="s">
        <v>307</v>
      </c>
      <c r="C58" s="12">
        <v>9</v>
      </c>
      <c r="D58" s="8">
        <v>1.71</v>
      </c>
      <c r="E58" s="12">
        <v>4</v>
      </c>
      <c r="F58" s="8">
        <v>1.5</v>
      </c>
      <c r="G58" s="12">
        <v>5</v>
      </c>
      <c r="H58" s="8">
        <v>2.02</v>
      </c>
      <c r="I58" s="12">
        <v>0</v>
      </c>
    </row>
    <row r="59" spans="2:9" ht="15" customHeight="1" x14ac:dyDescent="0.2">
      <c r="B59" t="s">
        <v>310</v>
      </c>
      <c r="C59" s="12">
        <v>8</v>
      </c>
      <c r="D59" s="8">
        <v>1.52</v>
      </c>
      <c r="E59" s="12">
        <v>0</v>
      </c>
      <c r="F59" s="8">
        <v>0</v>
      </c>
      <c r="G59" s="12">
        <v>8</v>
      </c>
      <c r="H59" s="8">
        <v>3.23</v>
      </c>
      <c r="I59" s="12">
        <v>0</v>
      </c>
    </row>
    <row r="60" spans="2:9" ht="15" customHeight="1" x14ac:dyDescent="0.2">
      <c r="B60" t="s">
        <v>334</v>
      </c>
      <c r="C60" s="12">
        <v>8</v>
      </c>
      <c r="D60" s="8">
        <v>1.52</v>
      </c>
      <c r="E60" s="12">
        <v>6</v>
      </c>
      <c r="F60" s="8">
        <v>2.25</v>
      </c>
      <c r="G60" s="12">
        <v>2</v>
      </c>
      <c r="H60" s="8">
        <v>0.81</v>
      </c>
      <c r="I60" s="12">
        <v>0</v>
      </c>
    </row>
    <row r="61" spans="2:9" ht="15" customHeight="1" x14ac:dyDescent="0.2">
      <c r="B61" t="s">
        <v>323</v>
      </c>
      <c r="C61" s="12">
        <v>8</v>
      </c>
      <c r="D61" s="8">
        <v>1.52</v>
      </c>
      <c r="E61" s="12">
        <v>2</v>
      </c>
      <c r="F61" s="8">
        <v>0.75</v>
      </c>
      <c r="G61" s="12">
        <v>6</v>
      </c>
      <c r="H61" s="8">
        <v>2.42</v>
      </c>
      <c r="I61" s="12">
        <v>0</v>
      </c>
    </row>
    <row r="62" spans="2:9" ht="15" customHeight="1" x14ac:dyDescent="0.2">
      <c r="B62" t="s">
        <v>303</v>
      </c>
      <c r="C62" s="12">
        <v>8</v>
      </c>
      <c r="D62" s="8">
        <v>1.52</v>
      </c>
      <c r="E62" s="12">
        <v>8</v>
      </c>
      <c r="F62" s="8">
        <v>3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347</v>
      </c>
      <c r="C63" s="12">
        <v>8</v>
      </c>
      <c r="D63" s="8">
        <v>1.52</v>
      </c>
      <c r="E63" s="12">
        <v>0</v>
      </c>
      <c r="F63" s="8">
        <v>0</v>
      </c>
      <c r="G63" s="12">
        <v>8</v>
      </c>
      <c r="H63" s="8">
        <v>3.23</v>
      </c>
      <c r="I63" s="12">
        <v>0</v>
      </c>
    </row>
    <row r="64" spans="2:9" ht="15" customHeight="1" x14ac:dyDescent="0.2">
      <c r="B64" t="s">
        <v>311</v>
      </c>
      <c r="C64" s="12">
        <v>7</v>
      </c>
      <c r="D64" s="8">
        <v>1.33</v>
      </c>
      <c r="E64" s="12">
        <v>0</v>
      </c>
      <c r="F64" s="8">
        <v>0</v>
      </c>
      <c r="G64" s="12">
        <v>7</v>
      </c>
      <c r="H64" s="8">
        <v>2.82</v>
      </c>
      <c r="I64" s="12">
        <v>0</v>
      </c>
    </row>
    <row r="65" spans="2:9" ht="15" customHeight="1" x14ac:dyDescent="0.2">
      <c r="B65" t="s">
        <v>333</v>
      </c>
      <c r="C65" s="12">
        <v>6</v>
      </c>
      <c r="D65" s="8">
        <v>1.1399999999999999</v>
      </c>
      <c r="E65" s="12">
        <v>3</v>
      </c>
      <c r="F65" s="8">
        <v>1.1200000000000001</v>
      </c>
      <c r="G65" s="12">
        <v>3</v>
      </c>
      <c r="H65" s="8">
        <v>1.21</v>
      </c>
      <c r="I65" s="12">
        <v>0</v>
      </c>
    </row>
    <row r="66" spans="2:9" ht="15" customHeight="1" x14ac:dyDescent="0.2">
      <c r="B66" t="s">
        <v>329</v>
      </c>
      <c r="C66" s="12">
        <v>6</v>
      </c>
      <c r="D66" s="8">
        <v>1.1399999999999999</v>
      </c>
      <c r="E66" s="12">
        <v>4</v>
      </c>
      <c r="F66" s="8">
        <v>1.5</v>
      </c>
      <c r="G66" s="12">
        <v>2</v>
      </c>
      <c r="H66" s="8">
        <v>0.81</v>
      </c>
      <c r="I66" s="12">
        <v>0</v>
      </c>
    </row>
    <row r="67" spans="2:9" ht="15" customHeight="1" x14ac:dyDescent="0.2">
      <c r="B67" t="s">
        <v>295</v>
      </c>
      <c r="C67" s="12">
        <v>6</v>
      </c>
      <c r="D67" s="8">
        <v>1.1399999999999999</v>
      </c>
      <c r="E67" s="12">
        <v>3</v>
      </c>
      <c r="F67" s="8">
        <v>1.1200000000000001</v>
      </c>
      <c r="G67" s="12">
        <v>3</v>
      </c>
      <c r="H67" s="8">
        <v>1.21</v>
      </c>
      <c r="I67" s="12">
        <v>0</v>
      </c>
    </row>
    <row r="68" spans="2:9" ht="15" customHeight="1" x14ac:dyDescent="0.2">
      <c r="B68" t="s">
        <v>296</v>
      </c>
      <c r="C68" s="12">
        <v>6</v>
      </c>
      <c r="D68" s="8">
        <v>1.1399999999999999</v>
      </c>
      <c r="E68" s="12">
        <v>3</v>
      </c>
      <c r="F68" s="8">
        <v>1.1200000000000001</v>
      </c>
      <c r="G68" s="12">
        <v>3</v>
      </c>
      <c r="H68" s="8">
        <v>1.21</v>
      </c>
      <c r="I68" s="12">
        <v>0</v>
      </c>
    </row>
    <row r="69" spans="2:9" ht="15" customHeight="1" x14ac:dyDescent="0.2">
      <c r="B69" t="s">
        <v>352</v>
      </c>
      <c r="C69" s="12">
        <v>6</v>
      </c>
      <c r="D69" s="8">
        <v>1.1399999999999999</v>
      </c>
      <c r="E69" s="12">
        <v>3</v>
      </c>
      <c r="F69" s="8">
        <v>1.1200000000000001</v>
      </c>
      <c r="G69" s="12">
        <v>3</v>
      </c>
      <c r="H69" s="8">
        <v>1.21</v>
      </c>
      <c r="I69" s="12">
        <v>0</v>
      </c>
    </row>
    <row r="70" spans="2:9" ht="15" customHeight="1" x14ac:dyDescent="0.2">
      <c r="B70" t="s">
        <v>318</v>
      </c>
      <c r="C70" s="12">
        <v>6</v>
      </c>
      <c r="D70" s="8">
        <v>1.1399999999999999</v>
      </c>
      <c r="E70" s="12">
        <v>0</v>
      </c>
      <c r="F70" s="8">
        <v>0</v>
      </c>
      <c r="G70" s="12">
        <v>6</v>
      </c>
      <c r="H70" s="8">
        <v>2.42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CE4B0-64AD-40B9-91A0-CE416C9666B7}">
  <sheetPr>
    <pageSetUpPr fitToPage="1"/>
  </sheetPr>
  <dimension ref="B2:I7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0.86</v>
      </c>
      <c r="E5" s="12">
        <v>0</v>
      </c>
      <c r="F5" s="8">
        <v>0</v>
      </c>
      <c r="G5" s="12">
        <v>1</v>
      </c>
      <c r="H5" s="8">
        <v>1.59</v>
      </c>
      <c r="I5" s="12">
        <v>0</v>
      </c>
    </row>
    <row r="6" spans="2:9" ht="15" customHeight="1" x14ac:dyDescent="0.2">
      <c r="B6" t="s">
        <v>191</v>
      </c>
      <c r="C6" s="12">
        <v>18</v>
      </c>
      <c r="D6" s="8">
        <v>15.52</v>
      </c>
      <c r="E6" s="12">
        <v>3</v>
      </c>
      <c r="F6" s="8">
        <v>8.33</v>
      </c>
      <c r="G6" s="12">
        <v>15</v>
      </c>
      <c r="H6" s="8">
        <v>23.81</v>
      </c>
      <c r="I6" s="12">
        <v>0</v>
      </c>
    </row>
    <row r="7" spans="2:9" ht="15" customHeight="1" x14ac:dyDescent="0.2">
      <c r="B7" t="s">
        <v>192</v>
      </c>
      <c r="C7" s="12">
        <v>10</v>
      </c>
      <c r="D7" s="8">
        <v>8.6199999999999992</v>
      </c>
      <c r="E7" s="12">
        <v>2</v>
      </c>
      <c r="F7" s="8">
        <v>5.56</v>
      </c>
      <c r="G7" s="12">
        <v>8</v>
      </c>
      <c r="H7" s="8">
        <v>12.7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0.86</v>
      </c>
      <c r="E8" s="12">
        <v>0</v>
      </c>
      <c r="F8" s="8">
        <v>0</v>
      </c>
      <c r="G8" s="12">
        <v>1</v>
      </c>
      <c r="H8" s="8">
        <v>1.59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2.59</v>
      </c>
      <c r="E10" s="12">
        <v>0</v>
      </c>
      <c r="F10" s="8">
        <v>0</v>
      </c>
      <c r="G10" s="12">
        <v>2</v>
      </c>
      <c r="H10" s="8">
        <v>3.17</v>
      </c>
      <c r="I10" s="12">
        <v>1</v>
      </c>
    </row>
    <row r="11" spans="2:9" ht="15" customHeight="1" x14ac:dyDescent="0.2">
      <c r="B11" t="s">
        <v>196</v>
      </c>
      <c r="C11" s="12">
        <v>23</v>
      </c>
      <c r="D11" s="8">
        <v>19.829999999999998</v>
      </c>
      <c r="E11" s="12">
        <v>5</v>
      </c>
      <c r="F11" s="8">
        <v>13.89</v>
      </c>
      <c r="G11" s="12">
        <v>18</v>
      </c>
      <c r="H11" s="8">
        <v>28.57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7</v>
      </c>
      <c r="D13" s="8">
        <v>6.03</v>
      </c>
      <c r="E13" s="12">
        <v>5</v>
      </c>
      <c r="F13" s="8">
        <v>13.89</v>
      </c>
      <c r="G13" s="12">
        <v>1</v>
      </c>
      <c r="H13" s="8">
        <v>1.59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1.72</v>
      </c>
      <c r="E14" s="12">
        <v>0</v>
      </c>
      <c r="F14" s="8">
        <v>0</v>
      </c>
      <c r="G14" s="12">
        <v>1</v>
      </c>
      <c r="H14" s="8">
        <v>1.59</v>
      </c>
      <c r="I14" s="12">
        <v>0</v>
      </c>
    </row>
    <row r="15" spans="2:9" ht="15" customHeight="1" x14ac:dyDescent="0.2">
      <c r="B15" t="s">
        <v>200</v>
      </c>
      <c r="C15" s="12">
        <v>17</v>
      </c>
      <c r="D15" s="8">
        <v>14.66</v>
      </c>
      <c r="E15" s="12">
        <v>7</v>
      </c>
      <c r="F15" s="8">
        <v>19.440000000000001</v>
      </c>
      <c r="G15" s="12">
        <v>9</v>
      </c>
      <c r="H15" s="8">
        <v>14.29</v>
      </c>
      <c r="I15" s="12">
        <v>0</v>
      </c>
    </row>
    <row r="16" spans="2:9" ht="15" customHeight="1" x14ac:dyDescent="0.2">
      <c r="B16" t="s">
        <v>201</v>
      </c>
      <c r="C16" s="12">
        <v>12</v>
      </c>
      <c r="D16" s="8">
        <v>10.34</v>
      </c>
      <c r="E16" s="12">
        <v>8</v>
      </c>
      <c r="F16" s="8">
        <v>22.22</v>
      </c>
      <c r="G16" s="12">
        <v>4</v>
      </c>
      <c r="H16" s="8">
        <v>6.35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2.59</v>
      </c>
      <c r="E17" s="12">
        <v>1</v>
      </c>
      <c r="F17" s="8">
        <v>2.78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8</v>
      </c>
      <c r="D18" s="8">
        <v>6.9</v>
      </c>
      <c r="E18" s="12">
        <v>1</v>
      </c>
      <c r="F18" s="8">
        <v>2.78</v>
      </c>
      <c r="G18" s="12">
        <v>1</v>
      </c>
      <c r="H18" s="8">
        <v>1.59</v>
      </c>
      <c r="I18" s="12">
        <v>0</v>
      </c>
    </row>
    <row r="19" spans="2:9" ht="15" customHeight="1" x14ac:dyDescent="0.2">
      <c r="B19" t="s">
        <v>204</v>
      </c>
      <c r="C19" s="12">
        <v>11</v>
      </c>
      <c r="D19" s="8">
        <v>9.48</v>
      </c>
      <c r="E19" s="12">
        <v>4</v>
      </c>
      <c r="F19" s="8">
        <v>11.11</v>
      </c>
      <c r="G19" s="12">
        <v>2</v>
      </c>
      <c r="H19" s="8">
        <v>3.17</v>
      </c>
      <c r="I19" s="12">
        <v>0</v>
      </c>
    </row>
    <row r="20" spans="2:9" ht="15" customHeight="1" x14ac:dyDescent="0.2">
      <c r="B20" s="9" t="s">
        <v>529</v>
      </c>
      <c r="C20" s="12">
        <f>SUM(LTBL_01401[総数／事業所数])</f>
        <v>116</v>
      </c>
      <c r="E20" s="12">
        <f>SUBTOTAL(109,LTBL_01401[個人／事業所数])</f>
        <v>36</v>
      </c>
      <c r="G20" s="12">
        <f>SUBTOTAL(109,LTBL_01401[法人／事業所数])</f>
        <v>63</v>
      </c>
      <c r="I20" s="12">
        <f>SUBTOTAL(109,LTBL_01401[法人以外の団体／事業所数])</f>
        <v>1</v>
      </c>
    </row>
    <row r="21" spans="2:9" ht="15" customHeight="1" x14ac:dyDescent="0.2">
      <c r="E21" s="11">
        <f>LTBL_01401[[#Totals],[個人／事業所数]]/LTBL_01401[[#Totals],[総数／事業所数]]</f>
        <v>0.31034482758620691</v>
      </c>
      <c r="G21" s="11">
        <f>LTBL_01401[[#Totals],[法人／事業所数]]/LTBL_01401[[#Totals],[総数／事業所数]]</f>
        <v>0.5431034482758621</v>
      </c>
      <c r="I21" s="11">
        <f>LTBL_01401[[#Totals],[法人以外の団体／事業所数]]/LTBL_01401[[#Totals],[総数／事業所数]]</f>
        <v>8.6206896551724137E-3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243</v>
      </c>
      <c r="C24" s="12">
        <v>11</v>
      </c>
      <c r="D24" s="8">
        <v>9.48</v>
      </c>
      <c r="E24" s="12">
        <v>3</v>
      </c>
      <c r="F24" s="8">
        <v>8.33</v>
      </c>
      <c r="G24" s="12">
        <v>8</v>
      </c>
      <c r="H24" s="8">
        <v>12.7</v>
      </c>
      <c r="I24" s="12">
        <v>0</v>
      </c>
    </row>
    <row r="25" spans="2:9" ht="15" customHeight="1" x14ac:dyDescent="0.2">
      <c r="B25" t="s">
        <v>228</v>
      </c>
      <c r="C25" s="12">
        <v>10</v>
      </c>
      <c r="D25" s="8">
        <v>8.6199999999999992</v>
      </c>
      <c r="E25" s="12">
        <v>8</v>
      </c>
      <c r="F25" s="8">
        <v>22.22</v>
      </c>
      <c r="G25" s="12">
        <v>2</v>
      </c>
      <c r="H25" s="8">
        <v>3.17</v>
      </c>
      <c r="I25" s="12">
        <v>0</v>
      </c>
    </row>
    <row r="26" spans="2:9" ht="15" customHeight="1" x14ac:dyDescent="0.2">
      <c r="B26" t="s">
        <v>213</v>
      </c>
      <c r="C26" s="12">
        <v>9</v>
      </c>
      <c r="D26" s="8">
        <v>7.76</v>
      </c>
      <c r="E26" s="12">
        <v>0</v>
      </c>
      <c r="F26" s="8">
        <v>0</v>
      </c>
      <c r="G26" s="12">
        <v>9</v>
      </c>
      <c r="H26" s="8">
        <v>14.29</v>
      </c>
      <c r="I26" s="12">
        <v>0</v>
      </c>
    </row>
    <row r="27" spans="2:9" ht="15" customHeight="1" x14ac:dyDescent="0.2">
      <c r="B27" t="s">
        <v>223</v>
      </c>
      <c r="C27" s="12">
        <v>9</v>
      </c>
      <c r="D27" s="8">
        <v>7.76</v>
      </c>
      <c r="E27" s="12">
        <v>0</v>
      </c>
      <c r="F27" s="8">
        <v>0</v>
      </c>
      <c r="G27" s="12">
        <v>9</v>
      </c>
      <c r="H27" s="8">
        <v>14.29</v>
      </c>
      <c r="I27" s="12">
        <v>0</v>
      </c>
    </row>
    <row r="28" spans="2:9" ht="15" customHeight="1" x14ac:dyDescent="0.2">
      <c r="B28" t="s">
        <v>214</v>
      </c>
      <c r="C28" s="12">
        <v>6</v>
      </c>
      <c r="D28" s="8">
        <v>5.17</v>
      </c>
      <c r="E28" s="12">
        <v>2</v>
      </c>
      <c r="F28" s="8">
        <v>5.56</v>
      </c>
      <c r="G28" s="12">
        <v>4</v>
      </c>
      <c r="H28" s="8">
        <v>6.35</v>
      </c>
      <c r="I28" s="12">
        <v>0</v>
      </c>
    </row>
    <row r="29" spans="2:9" ht="15" customHeight="1" x14ac:dyDescent="0.2">
      <c r="B29" t="s">
        <v>232</v>
      </c>
      <c r="C29" s="12">
        <v>6</v>
      </c>
      <c r="D29" s="8">
        <v>5.17</v>
      </c>
      <c r="E29" s="12">
        <v>0</v>
      </c>
      <c r="F29" s="8">
        <v>0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224</v>
      </c>
      <c r="C30" s="12">
        <v>5</v>
      </c>
      <c r="D30" s="8">
        <v>4.3099999999999996</v>
      </c>
      <c r="E30" s="12">
        <v>3</v>
      </c>
      <c r="F30" s="8">
        <v>8.33</v>
      </c>
      <c r="G30" s="12">
        <v>1</v>
      </c>
      <c r="H30" s="8">
        <v>1.59</v>
      </c>
      <c r="I30" s="12">
        <v>0</v>
      </c>
    </row>
    <row r="31" spans="2:9" ht="15" customHeight="1" x14ac:dyDescent="0.2">
      <c r="B31" t="s">
        <v>227</v>
      </c>
      <c r="C31" s="12">
        <v>5</v>
      </c>
      <c r="D31" s="8">
        <v>4.3099999999999996</v>
      </c>
      <c r="E31" s="12">
        <v>4</v>
      </c>
      <c r="F31" s="8">
        <v>11.11</v>
      </c>
      <c r="G31" s="12">
        <v>1</v>
      </c>
      <c r="H31" s="8">
        <v>1.59</v>
      </c>
      <c r="I31" s="12">
        <v>0</v>
      </c>
    </row>
    <row r="32" spans="2:9" ht="15" customHeight="1" x14ac:dyDescent="0.2">
      <c r="B32" t="s">
        <v>250</v>
      </c>
      <c r="C32" s="12">
        <v>5</v>
      </c>
      <c r="D32" s="8">
        <v>4.3099999999999996</v>
      </c>
      <c r="E32" s="12">
        <v>0</v>
      </c>
      <c r="F32" s="8">
        <v>0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221</v>
      </c>
      <c r="C33" s="12">
        <v>4</v>
      </c>
      <c r="D33" s="8">
        <v>3.45</v>
      </c>
      <c r="E33" s="12">
        <v>4</v>
      </c>
      <c r="F33" s="8">
        <v>11.11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215</v>
      </c>
      <c r="C34" s="12">
        <v>3</v>
      </c>
      <c r="D34" s="8">
        <v>2.59</v>
      </c>
      <c r="E34" s="12">
        <v>1</v>
      </c>
      <c r="F34" s="8">
        <v>2.78</v>
      </c>
      <c r="G34" s="12">
        <v>2</v>
      </c>
      <c r="H34" s="8">
        <v>3.17</v>
      </c>
      <c r="I34" s="12">
        <v>0</v>
      </c>
    </row>
    <row r="35" spans="2:9" ht="15" customHeight="1" x14ac:dyDescent="0.2">
      <c r="B35" t="s">
        <v>264</v>
      </c>
      <c r="C35" s="12">
        <v>3</v>
      </c>
      <c r="D35" s="8">
        <v>2.59</v>
      </c>
      <c r="E35" s="12">
        <v>0</v>
      </c>
      <c r="F35" s="8">
        <v>0</v>
      </c>
      <c r="G35" s="12">
        <v>3</v>
      </c>
      <c r="H35" s="8">
        <v>4.76</v>
      </c>
      <c r="I35" s="12">
        <v>0</v>
      </c>
    </row>
    <row r="36" spans="2:9" ht="15" customHeight="1" x14ac:dyDescent="0.2">
      <c r="B36" t="s">
        <v>230</v>
      </c>
      <c r="C36" s="12">
        <v>3</v>
      </c>
      <c r="D36" s="8">
        <v>2.59</v>
      </c>
      <c r="E36" s="12">
        <v>1</v>
      </c>
      <c r="F36" s="8">
        <v>2.78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240</v>
      </c>
      <c r="C37" s="12">
        <v>3</v>
      </c>
      <c r="D37" s="8">
        <v>2.59</v>
      </c>
      <c r="E37" s="12">
        <v>2</v>
      </c>
      <c r="F37" s="8">
        <v>5.56</v>
      </c>
      <c r="G37" s="12">
        <v>1</v>
      </c>
      <c r="H37" s="8">
        <v>1.59</v>
      </c>
      <c r="I37" s="12">
        <v>0</v>
      </c>
    </row>
    <row r="38" spans="2:9" ht="15" customHeight="1" x14ac:dyDescent="0.2">
      <c r="B38" t="s">
        <v>242</v>
      </c>
      <c r="C38" s="12">
        <v>3</v>
      </c>
      <c r="D38" s="8">
        <v>2.59</v>
      </c>
      <c r="E38" s="12">
        <v>2</v>
      </c>
      <c r="F38" s="8">
        <v>5.56</v>
      </c>
      <c r="G38" s="12">
        <v>1</v>
      </c>
      <c r="H38" s="8">
        <v>1.59</v>
      </c>
      <c r="I38" s="12">
        <v>0</v>
      </c>
    </row>
    <row r="39" spans="2:9" ht="15" customHeight="1" x14ac:dyDescent="0.2">
      <c r="B39" t="s">
        <v>241</v>
      </c>
      <c r="C39" s="12">
        <v>2</v>
      </c>
      <c r="D39" s="8">
        <v>1.72</v>
      </c>
      <c r="E39" s="12">
        <v>1</v>
      </c>
      <c r="F39" s="8">
        <v>2.78</v>
      </c>
      <c r="G39" s="12">
        <v>1</v>
      </c>
      <c r="H39" s="8">
        <v>1.59</v>
      </c>
      <c r="I39" s="12">
        <v>0</v>
      </c>
    </row>
    <row r="40" spans="2:9" ht="15" customHeight="1" x14ac:dyDescent="0.2">
      <c r="B40" t="s">
        <v>268</v>
      </c>
      <c r="C40" s="12">
        <v>2</v>
      </c>
      <c r="D40" s="8">
        <v>1.72</v>
      </c>
      <c r="E40" s="12">
        <v>1</v>
      </c>
      <c r="F40" s="8">
        <v>2.78</v>
      </c>
      <c r="G40" s="12">
        <v>1</v>
      </c>
      <c r="H40" s="8">
        <v>1.59</v>
      </c>
      <c r="I40" s="12">
        <v>0</v>
      </c>
    </row>
    <row r="41" spans="2:9" ht="15" customHeight="1" x14ac:dyDescent="0.2">
      <c r="B41" t="s">
        <v>248</v>
      </c>
      <c r="C41" s="12">
        <v>2</v>
      </c>
      <c r="D41" s="8">
        <v>1.72</v>
      </c>
      <c r="E41" s="12">
        <v>0</v>
      </c>
      <c r="F41" s="8">
        <v>0</v>
      </c>
      <c r="G41" s="12">
        <v>1</v>
      </c>
      <c r="H41" s="8">
        <v>1.59</v>
      </c>
      <c r="I41" s="12">
        <v>1</v>
      </c>
    </row>
    <row r="42" spans="2:9" ht="15" customHeight="1" x14ac:dyDescent="0.2">
      <c r="B42" t="s">
        <v>216</v>
      </c>
      <c r="C42" s="12">
        <v>2</v>
      </c>
      <c r="D42" s="8">
        <v>1.72</v>
      </c>
      <c r="E42" s="12">
        <v>0</v>
      </c>
      <c r="F42" s="8">
        <v>0</v>
      </c>
      <c r="G42" s="12">
        <v>2</v>
      </c>
      <c r="H42" s="8">
        <v>3.17</v>
      </c>
      <c r="I42" s="12">
        <v>0</v>
      </c>
    </row>
    <row r="43" spans="2:9" ht="15" customHeight="1" x14ac:dyDescent="0.2">
      <c r="B43" t="s">
        <v>217</v>
      </c>
      <c r="C43" s="12">
        <v>2</v>
      </c>
      <c r="D43" s="8">
        <v>1.72</v>
      </c>
      <c r="E43" s="12">
        <v>0</v>
      </c>
      <c r="F43" s="8">
        <v>0</v>
      </c>
      <c r="G43" s="12">
        <v>2</v>
      </c>
      <c r="H43" s="8">
        <v>3.17</v>
      </c>
      <c r="I43" s="12">
        <v>0</v>
      </c>
    </row>
    <row r="44" spans="2:9" ht="15" customHeight="1" x14ac:dyDescent="0.2">
      <c r="B44" t="s">
        <v>219</v>
      </c>
      <c r="C44" s="12">
        <v>2</v>
      </c>
      <c r="D44" s="8">
        <v>1.72</v>
      </c>
      <c r="E44" s="12">
        <v>0</v>
      </c>
      <c r="F44" s="8">
        <v>0</v>
      </c>
      <c r="G44" s="12">
        <v>2</v>
      </c>
      <c r="H44" s="8">
        <v>3.17</v>
      </c>
      <c r="I44" s="12">
        <v>0</v>
      </c>
    </row>
    <row r="45" spans="2:9" ht="15" customHeight="1" x14ac:dyDescent="0.2">
      <c r="B45" t="s">
        <v>246</v>
      </c>
      <c r="C45" s="12">
        <v>2</v>
      </c>
      <c r="D45" s="8">
        <v>1.72</v>
      </c>
      <c r="E45" s="12">
        <v>2</v>
      </c>
      <c r="F45" s="8">
        <v>5.56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231</v>
      </c>
      <c r="C46" s="12">
        <v>2</v>
      </c>
      <c r="D46" s="8">
        <v>1.72</v>
      </c>
      <c r="E46" s="12">
        <v>1</v>
      </c>
      <c r="F46" s="8">
        <v>2.78</v>
      </c>
      <c r="G46" s="12">
        <v>1</v>
      </c>
      <c r="H46" s="8">
        <v>1.59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339</v>
      </c>
      <c r="C50" s="12">
        <v>6</v>
      </c>
      <c r="D50" s="8">
        <v>5.17</v>
      </c>
      <c r="E50" s="12">
        <v>3</v>
      </c>
      <c r="F50" s="8">
        <v>8.33</v>
      </c>
      <c r="G50" s="12">
        <v>3</v>
      </c>
      <c r="H50" s="8">
        <v>4.76</v>
      </c>
      <c r="I50" s="12">
        <v>0</v>
      </c>
    </row>
    <row r="51" spans="2:9" ht="15" customHeight="1" x14ac:dyDescent="0.2">
      <c r="B51" t="s">
        <v>330</v>
      </c>
      <c r="C51" s="12">
        <v>5</v>
      </c>
      <c r="D51" s="8">
        <v>4.3099999999999996</v>
      </c>
      <c r="E51" s="12">
        <v>0</v>
      </c>
      <c r="F51" s="8">
        <v>0</v>
      </c>
      <c r="G51" s="12">
        <v>5</v>
      </c>
      <c r="H51" s="8">
        <v>7.94</v>
      </c>
      <c r="I51" s="12">
        <v>0</v>
      </c>
    </row>
    <row r="52" spans="2:9" ht="15" customHeight="1" x14ac:dyDescent="0.2">
      <c r="B52" t="s">
        <v>297</v>
      </c>
      <c r="C52" s="12">
        <v>5</v>
      </c>
      <c r="D52" s="8">
        <v>4.3099999999999996</v>
      </c>
      <c r="E52" s="12">
        <v>3</v>
      </c>
      <c r="F52" s="8">
        <v>8.33</v>
      </c>
      <c r="G52" s="12">
        <v>1</v>
      </c>
      <c r="H52" s="8">
        <v>1.59</v>
      </c>
      <c r="I52" s="12">
        <v>0</v>
      </c>
    </row>
    <row r="53" spans="2:9" ht="15" customHeight="1" x14ac:dyDescent="0.2">
      <c r="B53" t="s">
        <v>405</v>
      </c>
      <c r="C53" s="12">
        <v>5</v>
      </c>
      <c r="D53" s="8">
        <v>4.3099999999999996</v>
      </c>
      <c r="E53" s="12">
        <v>0</v>
      </c>
      <c r="F53" s="8">
        <v>0</v>
      </c>
      <c r="G53" s="12">
        <v>5</v>
      </c>
      <c r="H53" s="8">
        <v>7.94</v>
      </c>
      <c r="I53" s="12">
        <v>0</v>
      </c>
    </row>
    <row r="54" spans="2:9" ht="15" customHeight="1" x14ac:dyDescent="0.2">
      <c r="B54" t="s">
        <v>345</v>
      </c>
      <c r="C54" s="12">
        <v>5</v>
      </c>
      <c r="D54" s="8">
        <v>4.3099999999999996</v>
      </c>
      <c r="E54" s="12">
        <v>0</v>
      </c>
      <c r="F54" s="8">
        <v>0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289</v>
      </c>
      <c r="C55" s="12">
        <v>4</v>
      </c>
      <c r="D55" s="8">
        <v>3.45</v>
      </c>
      <c r="E55" s="12">
        <v>0</v>
      </c>
      <c r="F55" s="8">
        <v>0</v>
      </c>
      <c r="G55" s="12">
        <v>4</v>
      </c>
      <c r="H55" s="8">
        <v>6.35</v>
      </c>
      <c r="I55" s="12">
        <v>0</v>
      </c>
    </row>
    <row r="56" spans="2:9" ht="15" customHeight="1" x14ac:dyDescent="0.2">
      <c r="B56" t="s">
        <v>303</v>
      </c>
      <c r="C56" s="12">
        <v>4</v>
      </c>
      <c r="D56" s="8">
        <v>3.45</v>
      </c>
      <c r="E56" s="12">
        <v>4</v>
      </c>
      <c r="F56" s="8">
        <v>11.11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304</v>
      </c>
      <c r="C57" s="12">
        <v>4</v>
      </c>
      <c r="D57" s="8">
        <v>3.45</v>
      </c>
      <c r="E57" s="12">
        <v>4</v>
      </c>
      <c r="F57" s="8">
        <v>11.11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333</v>
      </c>
      <c r="C58" s="12">
        <v>3</v>
      </c>
      <c r="D58" s="8">
        <v>2.59</v>
      </c>
      <c r="E58" s="12">
        <v>1</v>
      </c>
      <c r="F58" s="8">
        <v>2.78</v>
      </c>
      <c r="G58" s="12">
        <v>2</v>
      </c>
      <c r="H58" s="8">
        <v>3.17</v>
      </c>
      <c r="I58" s="12">
        <v>0</v>
      </c>
    </row>
    <row r="59" spans="2:9" ht="15" customHeight="1" x14ac:dyDescent="0.2">
      <c r="B59" t="s">
        <v>291</v>
      </c>
      <c r="C59" s="12">
        <v>3</v>
      </c>
      <c r="D59" s="8">
        <v>2.59</v>
      </c>
      <c r="E59" s="12">
        <v>1</v>
      </c>
      <c r="F59" s="8">
        <v>2.78</v>
      </c>
      <c r="G59" s="12">
        <v>2</v>
      </c>
      <c r="H59" s="8">
        <v>3.17</v>
      </c>
      <c r="I59" s="12">
        <v>0</v>
      </c>
    </row>
    <row r="60" spans="2:9" ht="15" customHeight="1" x14ac:dyDescent="0.2">
      <c r="B60" t="s">
        <v>434</v>
      </c>
      <c r="C60" s="12">
        <v>3</v>
      </c>
      <c r="D60" s="8">
        <v>2.59</v>
      </c>
      <c r="E60" s="12">
        <v>0</v>
      </c>
      <c r="F60" s="8">
        <v>0</v>
      </c>
      <c r="G60" s="12">
        <v>3</v>
      </c>
      <c r="H60" s="8">
        <v>4.76</v>
      </c>
      <c r="I60" s="12">
        <v>0</v>
      </c>
    </row>
    <row r="61" spans="2:9" ht="15" customHeight="1" x14ac:dyDescent="0.2">
      <c r="B61" t="s">
        <v>341</v>
      </c>
      <c r="C61" s="12">
        <v>3</v>
      </c>
      <c r="D61" s="8">
        <v>2.59</v>
      </c>
      <c r="E61" s="12">
        <v>0</v>
      </c>
      <c r="F61" s="8">
        <v>0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331</v>
      </c>
      <c r="C62" s="12">
        <v>3</v>
      </c>
      <c r="D62" s="8">
        <v>2.59</v>
      </c>
      <c r="E62" s="12">
        <v>0</v>
      </c>
      <c r="F62" s="8">
        <v>0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307</v>
      </c>
      <c r="C63" s="12">
        <v>3</v>
      </c>
      <c r="D63" s="8">
        <v>2.59</v>
      </c>
      <c r="E63" s="12">
        <v>2</v>
      </c>
      <c r="F63" s="8">
        <v>5.56</v>
      </c>
      <c r="G63" s="12">
        <v>1</v>
      </c>
      <c r="H63" s="8">
        <v>1.59</v>
      </c>
      <c r="I63" s="12">
        <v>0</v>
      </c>
    </row>
    <row r="64" spans="2:9" ht="15" customHeight="1" x14ac:dyDescent="0.2">
      <c r="B64" t="s">
        <v>371</v>
      </c>
      <c r="C64" s="12">
        <v>3</v>
      </c>
      <c r="D64" s="8">
        <v>2.59</v>
      </c>
      <c r="E64" s="12">
        <v>2</v>
      </c>
      <c r="F64" s="8">
        <v>5.56</v>
      </c>
      <c r="G64" s="12">
        <v>1</v>
      </c>
      <c r="H64" s="8">
        <v>1.59</v>
      </c>
      <c r="I64" s="12">
        <v>0</v>
      </c>
    </row>
    <row r="65" spans="2:9" ht="15" customHeight="1" x14ac:dyDescent="0.2">
      <c r="B65" t="s">
        <v>288</v>
      </c>
      <c r="C65" s="12">
        <v>2</v>
      </c>
      <c r="D65" s="8">
        <v>1.72</v>
      </c>
      <c r="E65" s="12">
        <v>0</v>
      </c>
      <c r="F65" s="8">
        <v>0</v>
      </c>
      <c r="G65" s="12">
        <v>2</v>
      </c>
      <c r="H65" s="8">
        <v>3.17</v>
      </c>
      <c r="I65" s="12">
        <v>0</v>
      </c>
    </row>
    <row r="66" spans="2:9" ht="15" customHeight="1" x14ac:dyDescent="0.2">
      <c r="B66" t="s">
        <v>343</v>
      </c>
      <c r="C66" s="12">
        <v>2</v>
      </c>
      <c r="D66" s="8">
        <v>1.72</v>
      </c>
      <c r="E66" s="12">
        <v>0</v>
      </c>
      <c r="F66" s="8">
        <v>0</v>
      </c>
      <c r="G66" s="12">
        <v>2</v>
      </c>
      <c r="H66" s="8">
        <v>3.17</v>
      </c>
      <c r="I66" s="12">
        <v>0</v>
      </c>
    </row>
    <row r="67" spans="2:9" ht="15" customHeight="1" x14ac:dyDescent="0.2">
      <c r="B67" t="s">
        <v>435</v>
      </c>
      <c r="C67" s="12">
        <v>2</v>
      </c>
      <c r="D67" s="8">
        <v>1.72</v>
      </c>
      <c r="E67" s="12">
        <v>1</v>
      </c>
      <c r="F67" s="8">
        <v>2.78</v>
      </c>
      <c r="G67" s="12">
        <v>1</v>
      </c>
      <c r="H67" s="8">
        <v>1.59</v>
      </c>
      <c r="I67" s="12">
        <v>0</v>
      </c>
    </row>
    <row r="68" spans="2:9" ht="15" customHeight="1" x14ac:dyDescent="0.2">
      <c r="B68" t="s">
        <v>350</v>
      </c>
      <c r="C68" s="12">
        <v>2</v>
      </c>
      <c r="D68" s="8">
        <v>1.72</v>
      </c>
      <c r="E68" s="12">
        <v>0</v>
      </c>
      <c r="F68" s="8">
        <v>0</v>
      </c>
      <c r="G68" s="12">
        <v>1</v>
      </c>
      <c r="H68" s="8">
        <v>1.59</v>
      </c>
      <c r="I68" s="12">
        <v>1</v>
      </c>
    </row>
    <row r="69" spans="2:9" ht="15" customHeight="1" x14ac:dyDescent="0.2">
      <c r="B69" t="s">
        <v>324</v>
      </c>
      <c r="C69" s="12">
        <v>2</v>
      </c>
      <c r="D69" s="8">
        <v>1.72</v>
      </c>
      <c r="E69" s="12">
        <v>0</v>
      </c>
      <c r="F69" s="8">
        <v>0</v>
      </c>
      <c r="G69" s="12">
        <v>2</v>
      </c>
      <c r="H69" s="8">
        <v>3.17</v>
      </c>
      <c r="I69" s="12">
        <v>0</v>
      </c>
    </row>
    <row r="70" spans="2:9" ht="15" customHeight="1" x14ac:dyDescent="0.2">
      <c r="B70" t="s">
        <v>309</v>
      </c>
      <c r="C70" s="12">
        <v>2</v>
      </c>
      <c r="D70" s="8">
        <v>1.72</v>
      </c>
      <c r="E70" s="12">
        <v>0</v>
      </c>
      <c r="F70" s="8">
        <v>0</v>
      </c>
      <c r="G70" s="12">
        <v>2</v>
      </c>
      <c r="H70" s="8">
        <v>3.17</v>
      </c>
      <c r="I70" s="12">
        <v>0</v>
      </c>
    </row>
    <row r="71" spans="2:9" ht="15" customHeight="1" x14ac:dyDescent="0.2">
      <c r="B71" t="s">
        <v>332</v>
      </c>
      <c r="C71" s="12">
        <v>2</v>
      </c>
      <c r="D71" s="8">
        <v>1.72</v>
      </c>
      <c r="E71" s="12">
        <v>2</v>
      </c>
      <c r="F71" s="8">
        <v>5.56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372</v>
      </c>
      <c r="C72" s="12">
        <v>2</v>
      </c>
      <c r="D72" s="8">
        <v>1.72</v>
      </c>
      <c r="E72" s="12">
        <v>0</v>
      </c>
      <c r="F72" s="8">
        <v>0</v>
      </c>
      <c r="G72" s="12">
        <v>2</v>
      </c>
      <c r="H72" s="8">
        <v>3.17</v>
      </c>
      <c r="I72" s="12">
        <v>0</v>
      </c>
    </row>
    <row r="73" spans="2:9" ht="15" customHeight="1" x14ac:dyDescent="0.2">
      <c r="B73" t="s">
        <v>302</v>
      </c>
      <c r="C73" s="12">
        <v>2</v>
      </c>
      <c r="D73" s="8">
        <v>1.72</v>
      </c>
      <c r="E73" s="12">
        <v>2</v>
      </c>
      <c r="F73" s="8">
        <v>5.56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323</v>
      </c>
      <c r="C74" s="12">
        <v>2</v>
      </c>
      <c r="D74" s="8">
        <v>1.72</v>
      </c>
      <c r="E74" s="12">
        <v>0</v>
      </c>
      <c r="F74" s="8">
        <v>0</v>
      </c>
      <c r="G74" s="12">
        <v>2</v>
      </c>
      <c r="H74" s="8">
        <v>3.17</v>
      </c>
      <c r="I74" s="12">
        <v>0</v>
      </c>
    </row>
    <row r="75" spans="2:9" ht="15" customHeight="1" x14ac:dyDescent="0.2">
      <c r="B75" t="s">
        <v>340</v>
      </c>
      <c r="C75" s="12">
        <v>2</v>
      </c>
      <c r="D75" s="8">
        <v>1.72</v>
      </c>
      <c r="E75" s="12">
        <v>0</v>
      </c>
      <c r="F75" s="8">
        <v>0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312</v>
      </c>
      <c r="C76" s="12">
        <v>2</v>
      </c>
      <c r="D76" s="8">
        <v>1.72</v>
      </c>
      <c r="E76" s="12">
        <v>1</v>
      </c>
      <c r="F76" s="8">
        <v>2.78</v>
      </c>
      <c r="G76" s="12">
        <v>1</v>
      </c>
      <c r="H76" s="8">
        <v>1.59</v>
      </c>
      <c r="I76" s="12">
        <v>0</v>
      </c>
    </row>
    <row r="78" spans="2:9" ht="15" customHeight="1" x14ac:dyDescent="0.2">
      <c r="B7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0C626-87BF-40AB-8086-A2CA5D78B6FB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535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971</v>
      </c>
      <c r="D6" s="8">
        <v>19.55</v>
      </c>
      <c r="E6" s="12">
        <v>45</v>
      </c>
      <c r="F6" s="8">
        <v>2.86</v>
      </c>
      <c r="G6" s="12">
        <v>926</v>
      </c>
      <c r="H6" s="8">
        <v>27.41</v>
      </c>
      <c r="I6" s="12">
        <v>0</v>
      </c>
    </row>
    <row r="7" spans="2:9" ht="15" customHeight="1" x14ac:dyDescent="0.2">
      <c r="B7" t="s">
        <v>192</v>
      </c>
      <c r="C7" s="12">
        <v>206</v>
      </c>
      <c r="D7" s="8">
        <v>4.1500000000000004</v>
      </c>
      <c r="E7" s="12">
        <v>30</v>
      </c>
      <c r="F7" s="8">
        <v>1.91</v>
      </c>
      <c r="G7" s="12">
        <v>176</v>
      </c>
      <c r="H7" s="8">
        <v>5.21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0.02</v>
      </c>
      <c r="E8" s="12">
        <v>0</v>
      </c>
      <c r="F8" s="8">
        <v>0</v>
      </c>
      <c r="G8" s="12">
        <v>1</v>
      </c>
      <c r="H8" s="8">
        <v>0.03</v>
      </c>
      <c r="I8" s="12">
        <v>0</v>
      </c>
    </row>
    <row r="9" spans="2:9" ht="15" customHeight="1" x14ac:dyDescent="0.2">
      <c r="B9" t="s">
        <v>194</v>
      </c>
      <c r="C9" s="12">
        <v>90</v>
      </c>
      <c r="D9" s="8">
        <v>1.81</v>
      </c>
      <c r="E9" s="12">
        <v>0</v>
      </c>
      <c r="F9" s="8">
        <v>0</v>
      </c>
      <c r="G9" s="12">
        <v>90</v>
      </c>
      <c r="H9" s="8">
        <v>2.66</v>
      </c>
      <c r="I9" s="12">
        <v>0</v>
      </c>
    </row>
    <row r="10" spans="2:9" ht="15" customHeight="1" x14ac:dyDescent="0.2">
      <c r="B10" t="s">
        <v>195</v>
      </c>
      <c r="C10" s="12">
        <v>80</v>
      </c>
      <c r="D10" s="8">
        <v>1.61</v>
      </c>
      <c r="E10" s="12">
        <v>39</v>
      </c>
      <c r="F10" s="8">
        <v>2.48</v>
      </c>
      <c r="G10" s="12">
        <v>41</v>
      </c>
      <c r="H10" s="8">
        <v>1.21</v>
      </c>
      <c r="I10" s="12">
        <v>0</v>
      </c>
    </row>
    <row r="11" spans="2:9" ht="15" customHeight="1" x14ac:dyDescent="0.2">
      <c r="B11" t="s">
        <v>196</v>
      </c>
      <c r="C11" s="12">
        <v>944</v>
      </c>
      <c r="D11" s="8">
        <v>19</v>
      </c>
      <c r="E11" s="12">
        <v>165</v>
      </c>
      <c r="F11" s="8">
        <v>10.48</v>
      </c>
      <c r="G11" s="12">
        <v>779</v>
      </c>
      <c r="H11" s="8">
        <v>23.06</v>
      </c>
      <c r="I11" s="12">
        <v>0</v>
      </c>
    </row>
    <row r="12" spans="2:9" ht="15" customHeight="1" x14ac:dyDescent="0.2">
      <c r="B12" t="s">
        <v>197</v>
      </c>
      <c r="C12" s="12">
        <v>50</v>
      </c>
      <c r="D12" s="8">
        <v>1.01</v>
      </c>
      <c r="E12" s="12">
        <v>5</v>
      </c>
      <c r="F12" s="8">
        <v>0.32</v>
      </c>
      <c r="G12" s="12">
        <v>45</v>
      </c>
      <c r="H12" s="8">
        <v>1.33</v>
      </c>
      <c r="I12" s="12">
        <v>0</v>
      </c>
    </row>
    <row r="13" spans="2:9" ht="15" customHeight="1" x14ac:dyDescent="0.2">
      <c r="B13" t="s">
        <v>198</v>
      </c>
      <c r="C13" s="12">
        <v>625</v>
      </c>
      <c r="D13" s="8">
        <v>12.58</v>
      </c>
      <c r="E13" s="12">
        <v>194</v>
      </c>
      <c r="F13" s="8">
        <v>12.33</v>
      </c>
      <c r="G13" s="12">
        <v>429</v>
      </c>
      <c r="H13" s="8">
        <v>12.7</v>
      </c>
      <c r="I13" s="12">
        <v>2</v>
      </c>
    </row>
    <row r="14" spans="2:9" ht="15" customHeight="1" x14ac:dyDescent="0.2">
      <c r="B14" t="s">
        <v>199</v>
      </c>
      <c r="C14" s="12">
        <v>356</v>
      </c>
      <c r="D14" s="8">
        <v>7.17</v>
      </c>
      <c r="E14" s="12">
        <v>113</v>
      </c>
      <c r="F14" s="8">
        <v>7.18</v>
      </c>
      <c r="G14" s="12">
        <v>242</v>
      </c>
      <c r="H14" s="8">
        <v>7.16</v>
      </c>
      <c r="I14" s="12">
        <v>0</v>
      </c>
    </row>
    <row r="15" spans="2:9" ht="15" customHeight="1" x14ac:dyDescent="0.2">
      <c r="B15" t="s">
        <v>200</v>
      </c>
      <c r="C15" s="12">
        <v>440</v>
      </c>
      <c r="D15" s="8">
        <v>8.86</v>
      </c>
      <c r="E15" s="12">
        <v>307</v>
      </c>
      <c r="F15" s="8">
        <v>19.5</v>
      </c>
      <c r="G15" s="12">
        <v>132</v>
      </c>
      <c r="H15" s="8">
        <v>3.91</v>
      </c>
      <c r="I15" s="12">
        <v>1</v>
      </c>
    </row>
    <row r="16" spans="2:9" ht="15" customHeight="1" x14ac:dyDescent="0.2">
      <c r="B16" t="s">
        <v>201</v>
      </c>
      <c r="C16" s="12">
        <v>585</v>
      </c>
      <c r="D16" s="8">
        <v>11.78</v>
      </c>
      <c r="E16" s="12">
        <v>417</v>
      </c>
      <c r="F16" s="8">
        <v>26.49</v>
      </c>
      <c r="G16" s="12">
        <v>168</v>
      </c>
      <c r="H16" s="8">
        <v>4.97</v>
      </c>
      <c r="I16" s="12">
        <v>0</v>
      </c>
    </row>
    <row r="17" spans="2:9" ht="15" customHeight="1" x14ac:dyDescent="0.2">
      <c r="B17" t="s">
        <v>202</v>
      </c>
      <c r="C17" s="12">
        <v>128</v>
      </c>
      <c r="D17" s="8">
        <v>2.58</v>
      </c>
      <c r="E17" s="12">
        <v>71</v>
      </c>
      <c r="F17" s="8">
        <v>4.51</v>
      </c>
      <c r="G17" s="12">
        <v>56</v>
      </c>
      <c r="H17" s="8">
        <v>1.66</v>
      </c>
      <c r="I17" s="12">
        <v>0</v>
      </c>
    </row>
    <row r="18" spans="2:9" ht="15" customHeight="1" x14ac:dyDescent="0.2">
      <c r="B18" t="s">
        <v>203</v>
      </c>
      <c r="C18" s="12">
        <v>293</v>
      </c>
      <c r="D18" s="8">
        <v>5.9</v>
      </c>
      <c r="E18" s="12">
        <v>161</v>
      </c>
      <c r="F18" s="8">
        <v>10.23</v>
      </c>
      <c r="G18" s="12">
        <v>131</v>
      </c>
      <c r="H18" s="8">
        <v>3.88</v>
      </c>
      <c r="I18" s="12">
        <v>1</v>
      </c>
    </row>
    <row r="19" spans="2:9" ht="15" customHeight="1" x14ac:dyDescent="0.2">
      <c r="B19" t="s">
        <v>204</v>
      </c>
      <c r="C19" s="12">
        <v>199</v>
      </c>
      <c r="D19" s="8">
        <v>4.01</v>
      </c>
      <c r="E19" s="12">
        <v>27</v>
      </c>
      <c r="F19" s="8">
        <v>1.72</v>
      </c>
      <c r="G19" s="12">
        <v>162</v>
      </c>
      <c r="H19" s="8">
        <v>4.8</v>
      </c>
      <c r="I19" s="12">
        <v>9</v>
      </c>
    </row>
    <row r="20" spans="2:9" ht="15" customHeight="1" x14ac:dyDescent="0.2">
      <c r="B20" s="9" t="s">
        <v>529</v>
      </c>
      <c r="C20" s="12">
        <f>SUM(LTBL_01102[総数／事業所数])</f>
        <v>4968</v>
      </c>
      <c r="E20" s="12">
        <f>SUBTOTAL(109,LTBL_01102[個人／事業所数])</f>
        <v>1574</v>
      </c>
      <c r="G20" s="12">
        <f>SUBTOTAL(109,LTBL_01102[法人／事業所数])</f>
        <v>3378</v>
      </c>
      <c r="I20" s="12">
        <f>SUBTOTAL(109,LTBL_01102[法人以外の団体／事業所数])</f>
        <v>13</v>
      </c>
    </row>
    <row r="21" spans="2:9" ht="15" customHeight="1" x14ac:dyDescent="0.2">
      <c r="E21" s="11">
        <f>LTBL_01102[[#Totals],[個人／事業所数]]/LTBL_01102[[#Totals],[総数／事業所数]]</f>
        <v>0.31682769726247989</v>
      </c>
      <c r="G21" s="11">
        <f>LTBL_01102[[#Totals],[法人／事業所数]]/LTBL_01102[[#Totals],[総数／事業所数]]</f>
        <v>0.67995169082125606</v>
      </c>
      <c r="I21" s="11">
        <f>LTBL_01102[[#Totals],[法人以外の団体／事業所数]]/LTBL_01102[[#Totals],[総数／事業所数]]</f>
        <v>2.6167471819645732E-3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508</v>
      </c>
      <c r="D24" s="8">
        <v>10.23</v>
      </c>
      <c r="E24" s="12">
        <v>192</v>
      </c>
      <c r="F24" s="8">
        <v>12.2</v>
      </c>
      <c r="G24" s="12">
        <v>314</v>
      </c>
      <c r="H24" s="8">
        <v>9.3000000000000007</v>
      </c>
      <c r="I24" s="12">
        <v>2</v>
      </c>
    </row>
    <row r="25" spans="2:9" ht="15" customHeight="1" x14ac:dyDescent="0.2">
      <c r="B25" t="s">
        <v>228</v>
      </c>
      <c r="C25" s="12">
        <v>499</v>
      </c>
      <c r="D25" s="8">
        <v>10.039999999999999</v>
      </c>
      <c r="E25" s="12">
        <v>389</v>
      </c>
      <c r="F25" s="8">
        <v>24.71</v>
      </c>
      <c r="G25" s="12">
        <v>110</v>
      </c>
      <c r="H25" s="8">
        <v>3.26</v>
      </c>
      <c r="I25" s="12">
        <v>0</v>
      </c>
    </row>
    <row r="26" spans="2:9" ht="15" customHeight="1" x14ac:dyDescent="0.2">
      <c r="B26" t="s">
        <v>227</v>
      </c>
      <c r="C26" s="12">
        <v>384</v>
      </c>
      <c r="D26" s="8">
        <v>7.73</v>
      </c>
      <c r="E26" s="12">
        <v>299</v>
      </c>
      <c r="F26" s="8">
        <v>19</v>
      </c>
      <c r="G26" s="12">
        <v>85</v>
      </c>
      <c r="H26" s="8">
        <v>2.52</v>
      </c>
      <c r="I26" s="12">
        <v>0</v>
      </c>
    </row>
    <row r="27" spans="2:9" ht="15" customHeight="1" x14ac:dyDescent="0.2">
      <c r="B27" t="s">
        <v>214</v>
      </c>
      <c r="C27" s="12">
        <v>365</v>
      </c>
      <c r="D27" s="8">
        <v>7.35</v>
      </c>
      <c r="E27" s="12">
        <v>25</v>
      </c>
      <c r="F27" s="8">
        <v>1.59</v>
      </c>
      <c r="G27" s="12">
        <v>340</v>
      </c>
      <c r="H27" s="8">
        <v>10.07</v>
      </c>
      <c r="I27" s="12">
        <v>0</v>
      </c>
    </row>
    <row r="28" spans="2:9" ht="15" customHeight="1" x14ac:dyDescent="0.2">
      <c r="B28" t="s">
        <v>215</v>
      </c>
      <c r="C28" s="12">
        <v>306</v>
      </c>
      <c r="D28" s="8">
        <v>6.16</v>
      </c>
      <c r="E28" s="12">
        <v>12</v>
      </c>
      <c r="F28" s="8">
        <v>0.76</v>
      </c>
      <c r="G28" s="12">
        <v>294</v>
      </c>
      <c r="H28" s="8">
        <v>8.6999999999999993</v>
      </c>
      <c r="I28" s="12">
        <v>0</v>
      </c>
    </row>
    <row r="29" spans="2:9" ht="15" customHeight="1" x14ac:dyDescent="0.2">
      <c r="B29" t="s">
        <v>213</v>
      </c>
      <c r="C29" s="12">
        <v>300</v>
      </c>
      <c r="D29" s="8">
        <v>6.04</v>
      </c>
      <c r="E29" s="12">
        <v>8</v>
      </c>
      <c r="F29" s="8">
        <v>0.51</v>
      </c>
      <c r="G29" s="12">
        <v>292</v>
      </c>
      <c r="H29" s="8">
        <v>8.64</v>
      </c>
      <c r="I29" s="12">
        <v>0</v>
      </c>
    </row>
    <row r="30" spans="2:9" ht="15" customHeight="1" x14ac:dyDescent="0.2">
      <c r="B30" t="s">
        <v>223</v>
      </c>
      <c r="C30" s="12">
        <v>220</v>
      </c>
      <c r="D30" s="8">
        <v>4.43</v>
      </c>
      <c r="E30" s="12">
        <v>60</v>
      </c>
      <c r="F30" s="8">
        <v>3.81</v>
      </c>
      <c r="G30" s="12">
        <v>160</v>
      </c>
      <c r="H30" s="8">
        <v>4.74</v>
      </c>
      <c r="I30" s="12">
        <v>0</v>
      </c>
    </row>
    <row r="31" spans="2:9" ht="15" customHeight="1" x14ac:dyDescent="0.2">
      <c r="B31" t="s">
        <v>231</v>
      </c>
      <c r="C31" s="12">
        <v>211</v>
      </c>
      <c r="D31" s="8">
        <v>4.25</v>
      </c>
      <c r="E31" s="12">
        <v>159</v>
      </c>
      <c r="F31" s="8">
        <v>10.1</v>
      </c>
      <c r="G31" s="12">
        <v>52</v>
      </c>
      <c r="H31" s="8">
        <v>1.54</v>
      </c>
      <c r="I31" s="12">
        <v>0</v>
      </c>
    </row>
    <row r="32" spans="2:9" ht="15" customHeight="1" x14ac:dyDescent="0.2">
      <c r="B32" t="s">
        <v>225</v>
      </c>
      <c r="C32" s="12">
        <v>185</v>
      </c>
      <c r="D32" s="8">
        <v>3.72</v>
      </c>
      <c r="E32" s="12">
        <v>92</v>
      </c>
      <c r="F32" s="8">
        <v>5.84</v>
      </c>
      <c r="G32" s="12">
        <v>93</v>
      </c>
      <c r="H32" s="8">
        <v>2.75</v>
      </c>
      <c r="I32" s="12">
        <v>0</v>
      </c>
    </row>
    <row r="33" spans="2:9" ht="15" customHeight="1" x14ac:dyDescent="0.2">
      <c r="B33" t="s">
        <v>226</v>
      </c>
      <c r="C33" s="12">
        <v>149</v>
      </c>
      <c r="D33" s="8">
        <v>3</v>
      </c>
      <c r="E33" s="12">
        <v>20</v>
      </c>
      <c r="F33" s="8">
        <v>1.27</v>
      </c>
      <c r="G33" s="12">
        <v>128</v>
      </c>
      <c r="H33" s="8">
        <v>3.79</v>
      </c>
      <c r="I33" s="12">
        <v>0</v>
      </c>
    </row>
    <row r="34" spans="2:9" ht="15" customHeight="1" x14ac:dyDescent="0.2">
      <c r="B34" t="s">
        <v>230</v>
      </c>
      <c r="C34" s="12">
        <v>128</v>
      </c>
      <c r="D34" s="8">
        <v>2.58</v>
      </c>
      <c r="E34" s="12">
        <v>71</v>
      </c>
      <c r="F34" s="8">
        <v>4.51</v>
      </c>
      <c r="G34" s="12">
        <v>56</v>
      </c>
      <c r="H34" s="8">
        <v>1.66</v>
      </c>
      <c r="I34" s="12">
        <v>0</v>
      </c>
    </row>
    <row r="35" spans="2:9" ht="15" customHeight="1" x14ac:dyDescent="0.2">
      <c r="B35" t="s">
        <v>218</v>
      </c>
      <c r="C35" s="12">
        <v>127</v>
      </c>
      <c r="D35" s="8">
        <v>2.56</v>
      </c>
      <c r="E35" s="12">
        <v>1</v>
      </c>
      <c r="F35" s="8">
        <v>0.06</v>
      </c>
      <c r="G35" s="12">
        <v>126</v>
      </c>
      <c r="H35" s="8">
        <v>3.73</v>
      </c>
      <c r="I35" s="12">
        <v>0</v>
      </c>
    </row>
    <row r="36" spans="2:9" ht="15" customHeight="1" x14ac:dyDescent="0.2">
      <c r="B36" t="s">
        <v>222</v>
      </c>
      <c r="C36" s="12">
        <v>116</v>
      </c>
      <c r="D36" s="8">
        <v>2.33</v>
      </c>
      <c r="E36" s="12">
        <v>37</v>
      </c>
      <c r="F36" s="8">
        <v>2.35</v>
      </c>
      <c r="G36" s="12">
        <v>79</v>
      </c>
      <c r="H36" s="8">
        <v>2.34</v>
      </c>
      <c r="I36" s="12">
        <v>0</v>
      </c>
    </row>
    <row r="37" spans="2:9" ht="15" customHeight="1" x14ac:dyDescent="0.2">
      <c r="B37" t="s">
        <v>221</v>
      </c>
      <c r="C37" s="12">
        <v>109</v>
      </c>
      <c r="D37" s="8">
        <v>2.19</v>
      </c>
      <c r="E37" s="12">
        <v>39</v>
      </c>
      <c r="F37" s="8">
        <v>2.48</v>
      </c>
      <c r="G37" s="12">
        <v>70</v>
      </c>
      <c r="H37" s="8">
        <v>2.0699999999999998</v>
      </c>
      <c r="I37" s="12">
        <v>0</v>
      </c>
    </row>
    <row r="38" spans="2:9" ht="15" customHeight="1" x14ac:dyDescent="0.2">
      <c r="B38" t="s">
        <v>219</v>
      </c>
      <c r="C38" s="12">
        <v>103</v>
      </c>
      <c r="D38" s="8">
        <v>2.0699999999999998</v>
      </c>
      <c r="E38" s="12">
        <v>8</v>
      </c>
      <c r="F38" s="8">
        <v>0.51</v>
      </c>
      <c r="G38" s="12">
        <v>95</v>
      </c>
      <c r="H38" s="8">
        <v>2.81</v>
      </c>
      <c r="I38" s="12">
        <v>0</v>
      </c>
    </row>
    <row r="39" spans="2:9" ht="15" customHeight="1" x14ac:dyDescent="0.2">
      <c r="B39" t="s">
        <v>233</v>
      </c>
      <c r="C39" s="12">
        <v>97</v>
      </c>
      <c r="D39" s="8">
        <v>1.95</v>
      </c>
      <c r="E39" s="12">
        <v>2</v>
      </c>
      <c r="F39" s="8">
        <v>0.13</v>
      </c>
      <c r="G39" s="12">
        <v>95</v>
      </c>
      <c r="H39" s="8">
        <v>2.81</v>
      </c>
      <c r="I39" s="12">
        <v>0</v>
      </c>
    </row>
    <row r="40" spans="2:9" ht="15" customHeight="1" x14ac:dyDescent="0.2">
      <c r="B40" t="s">
        <v>234</v>
      </c>
      <c r="C40" s="12">
        <v>88</v>
      </c>
      <c r="D40" s="8">
        <v>1.77</v>
      </c>
      <c r="E40" s="12">
        <v>5</v>
      </c>
      <c r="F40" s="8">
        <v>0.32</v>
      </c>
      <c r="G40" s="12">
        <v>81</v>
      </c>
      <c r="H40" s="8">
        <v>2.4</v>
      </c>
      <c r="I40" s="12">
        <v>2</v>
      </c>
    </row>
    <row r="41" spans="2:9" ht="15" customHeight="1" x14ac:dyDescent="0.2">
      <c r="B41" t="s">
        <v>220</v>
      </c>
      <c r="C41" s="12">
        <v>84</v>
      </c>
      <c r="D41" s="8">
        <v>1.69</v>
      </c>
      <c r="E41" s="12">
        <v>17</v>
      </c>
      <c r="F41" s="8">
        <v>1.08</v>
      </c>
      <c r="G41" s="12">
        <v>67</v>
      </c>
      <c r="H41" s="8">
        <v>1.98</v>
      </c>
      <c r="I41" s="12">
        <v>0</v>
      </c>
    </row>
    <row r="42" spans="2:9" ht="15" customHeight="1" x14ac:dyDescent="0.2">
      <c r="B42" t="s">
        <v>232</v>
      </c>
      <c r="C42" s="12">
        <v>82</v>
      </c>
      <c r="D42" s="8">
        <v>1.65</v>
      </c>
      <c r="E42" s="12">
        <v>2</v>
      </c>
      <c r="F42" s="8">
        <v>0.13</v>
      </c>
      <c r="G42" s="12">
        <v>79</v>
      </c>
      <c r="H42" s="8">
        <v>2.34</v>
      </c>
      <c r="I42" s="12">
        <v>1</v>
      </c>
    </row>
    <row r="43" spans="2:9" ht="15" customHeight="1" x14ac:dyDescent="0.2">
      <c r="B43" t="s">
        <v>229</v>
      </c>
      <c r="C43" s="12">
        <v>73</v>
      </c>
      <c r="D43" s="8">
        <v>1.47</v>
      </c>
      <c r="E43" s="12">
        <v>23</v>
      </c>
      <c r="F43" s="8">
        <v>1.46</v>
      </c>
      <c r="G43" s="12">
        <v>50</v>
      </c>
      <c r="H43" s="8">
        <v>1.48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368</v>
      </c>
      <c r="D47" s="8">
        <v>7.41</v>
      </c>
      <c r="E47" s="12">
        <v>178</v>
      </c>
      <c r="F47" s="8">
        <v>11.31</v>
      </c>
      <c r="G47" s="12">
        <v>190</v>
      </c>
      <c r="H47" s="8">
        <v>5.62</v>
      </c>
      <c r="I47" s="12">
        <v>0</v>
      </c>
    </row>
    <row r="48" spans="2:9" ht="15" customHeight="1" x14ac:dyDescent="0.2">
      <c r="B48" t="s">
        <v>304</v>
      </c>
      <c r="C48" s="12">
        <v>237</v>
      </c>
      <c r="D48" s="8">
        <v>4.7699999999999996</v>
      </c>
      <c r="E48" s="12">
        <v>195</v>
      </c>
      <c r="F48" s="8">
        <v>12.39</v>
      </c>
      <c r="G48" s="12">
        <v>42</v>
      </c>
      <c r="H48" s="8">
        <v>1.24</v>
      </c>
      <c r="I48" s="12">
        <v>0</v>
      </c>
    </row>
    <row r="49" spans="2:9" ht="15" customHeight="1" x14ac:dyDescent="0.2">
      <c r="B49" t="s">
        <v>303</v>
      </c>
      <c r="C49" s="12">
        <v>171</v>
      </c>
      <c r="D49" s="8">
        <v>3.44</v>
      </c>
      <c r="E49" s="12">
        <v>154</v>
      </c>
      <c r="F49" s="8">
        <v>9.7799999999999994</v>
      </c>
      <c r="G49" s="12">
        <v>17</v>
      </c>
      <c r="H49" s="8">
        <v>0.5</v>
      </c>
      <c r="I49" s="12">
        <v>0</v>
      </c>
    </row>
    <row r="50" spans="2:9" ht="15" customHeight="1" x14ac:dyDescent="0.2">
      <c r="B50" t="s">
        <v>291</v>
      </c>
      <c r="C50" s="12">
        <v>133</v>
      </c>
      <c r="D50" s="8">
        <v>2.68</v>
      </c>
      <c r="E50" s="12">
        <v>6</v>
      </c>
      <c r="F50" s="8">
        <v>0.38</v>
      </c>
      <c r="G50" s="12">
        <v>127</v>
      </c>
      <c r="H50" s="8">
        <v>3.76</v>
      </c>
      <c r="I50" s="12">
        <v>0</v>
      </c>
    </row>
    <row r="51" spans="2:9" ht="15" customHeight="1" x14ac:dyDescent="0.2">
      <c r="B51" t="s">
        <v>306</v>
      </c>
      <c r="C51" s="12">
        <v>131</v>
      </c>
      <c r="D51" s="8">
        <v>2.64</v>
      </c>
      <c r="E51" s="12">
        <v>103</v>
      </c>
      <c r="F51" s="8">
        <v>6.54</v>
      </c>
      <c r="G51" s="12">
        <v>28</v>
      </c>
      <c r="H51" s="8">
        <v>0.83</v>
      </c>
      <c r="I51" s="12">
        <v>0</v>
      </c>
    </row>
    <row r="52" spans="2:9" ht="15" customHeight="1" x14ac:dyDescent="0.2">
      <c r="B52" t="s">
        <v>298</v>
      </c>
      <c r="C52" s="12">
        <v>113</v>
      </c>
      <c r="D52" s="8">
        <v>2.27</v>
      </c>
      <c r="E52" s="12">
        <v>12</v>
      </c>
      <c r="F52" s="8">
        <v>0.76</v>
      </c>
      <c r="G52" s="12">
        <v>101</v>
      </c>
      <c r="H52" s="8">
        <v>2.99</v>
      </c>
      <c r="I52" s="12">
        <v>0</v>
      </c>
    </row>
    <row r="53" spans="2:9" ht="15" customHeight="1" x14ac:dyDescent="0.2">
      <c r="B53" t="s">
        <v>290</v>
      </c>
      <c r="C53" s="12">
        <v>107</v>
      </c>
      <c r="D53" s="8">
        <v>2.15</v>
      </c>
      <c r="E53" s="12">
        <v>4</v>
      </c>
      <c r="F53" s="8">
        <v>0.25</v>
      </c>
      <c r="G53" s="12">
        <v>103</v>
      </c>
      <c r="H53" s="8">
        <v>3.05</v>
      </c>
      <c r="I53" s="12">
        <v>0</v>
      </c>
    </row>
    <row r="54" spans="2:9" ht="15" customHeight="1" x14ac:dyDescent="0.2">
      <c r="B54" t="s">
        <v>300</v>
      </c>
      <c r="C54" s="12">
        <v>99</v>
      </c>
      <c r="D54" s="8">
        <v>1.99</v>
      </c>
      <c r="E54" s="12">
        <v>83</v>
      </c>
      <c r="F54" s="8">
        <v>5.27</v>
      </c>
      <c r="G54" s="12">
        <v>16</v>
      </c>
      <c r="H54" s="8">
        <v>0.47</v>
      </c>
      <c r="I54" s="12">
        <v>0</v>
      </c>
    </row>
    <row r="55" spans="2:9" ht="15" customHeight="1" x14ac:dyDescent="0.2">
      <c r="B55" t="s">
        <v>299</v>
      </c>
      <c r="C55" s="12">
        <v>94</v>
      </c>
      <c r="D55" s="8">
        <v>1.89</v>
      </c>
      <c r="E55" s="12">
        <v>63</v>
      </c>
      <c r="F55" s="8">
        <v>4</v>
      </c>
      <c r="G55" s="12">
        <v>31</v>
      </c>
      <c r="H55" s="8">
        <v>0.92</v>
      </c>
      <c r="I55" s="12">
        <v>0</v>
      </c>
    </row>
    <row r="56" spans="2:9" ht="15" customHeight="1" x14ac:dyDescent="0.2">
      <c r="B56" t="s">
        <v>289</v>
      </c>
      <c r="C56" s="12">
        <v>84</v>
      </c>
      <c r="D56" s="8">
        <v>1.69</v>
      </c>
      <c r="E56" s="12">
        <v>0</v>
      </c>
      <c r="F56" s="8">
        <v>0</v>
      </c>
      <c r="G56" s="12">
        <v>84</v>
      </c>
      <c r="H56" s="8">
        <v>2.4900000000000002</v>
      </c>
      <c r="I56" s="12">
        <v>0</v>
      </c>
    </row>
    <row r="57" spans="2:9" ht="15" customHeight="1" x14ac:dyDescent="0.2">
      <c r="B57" t="s">
        <v>320</v>
      </c>
      <c r="C57" s="12">
        <v>83</v>
      </c>
      <c r="D57" s="8">
        <v>1.67</v>
      </c>
      <c r="E57" s="12">
        <v>6</v>
      </c>
      <c r="F57" s="8">
        <v>0.38</v>
      </c>
      <c r="G57" s="12">
        <v>77</v>
      </c>
      <c r="H57" s="8">
        <v>2.2799999999999998</v>
      </c>
      <c r="I57" s="12">
        <v>0</v>
      </c>
    </row>
    <row r="58" spans="2:9" ht="15" customHeight="1" x14ac:dyDescent="0.2">
      <c r="B58" t="s">
        <v>301</v>
      </c>
      <c r="C58" s="12">
        <v>77</v>
      </c>
      <c r="D58" s="8">
        <v>1.55</v>
      </c>
      <c r="E58" s="12">
        <v>71</v>
      </c>
      <c r="F58" s="8">
        <v>4.51</v>
      </c>
      <c r="G58" s="12">
        <v>6</v>
      </c>
      <c r="H58" s="8">
        <v>0.18</v>
      </c>
      <c r="I58" s="12">
        <v>0</v>
      </c>
    </row>
    <row r="59" spans="2:9" ht="15" customHeight="1" x14ac:dyDescent="0.2">
      <c r="B59" t="s">
        <v>293</v>
      </c>
      <c r="C59" s="12">
        <v>76</v>
      </c>
      <c r="D59" s="8">
        <v>1.53</v>
      </c>
      <c r="E59" s="12">
        <v>20</v>
      </c>
      <c r="F59" s="8">
        <v>1.27</v>
      </c>
      <c r="G59" s="12">
        <v>56</v>
      </c>
      <c r="H59" s="8">
        <v>1.66</v>
      </c>
      <c r="I59" s="12">
        <v>0</v>
      </c>
    </row>
    <row r="60" spans="2:9" ht="15" customHeight="1" x14ac:dyDescent="0.2">
      <c r="B60" t="s">
        <v>319</v>
      </c>
      <c r="C60" s="12">
        <v>75</v>
      </c>
      <c r="D60" s="8">
        <v>1.51</v>
      </c>
      <c r="E60" s="12">
        <v>4</v>
      </c>
      <c r="F60" s="8">
        <v>0.25</v>
      </c>
      <c r="G60" s="12">
        <v>71</v>
      </c>
      <c r="H60" s="8">
        <v>2.1</v>
      </c>
      <c r="I60" s="12">
        <v>0</v>
      </c>
    </row>
    <row r="61" spans="2:9" ht="15" customHeight="1" x14ac:dyDescent="0.2">
      <c r="B61" t="s">
        <v>296</v>
      </c>
      <c r="C61" s="12">
        <v>72</v>
      </c>
      <c r="D61" s="8">
        <v>1.45</v>
      </c>
      <c r="E61" s="12">
        <v>9</v>
      </c>
      <c r="F61" s="8">
        <v>0.56999999999999995</v>
      </c>
      <c r="G61" s="12">
        <v>62</v>
      </c>
      <c r="H61" s="8">
        <v>1.84</v>
      </c>
      <c r="I61" s="12">
        <v>1</v>
      </c>
    </row>
    <row r="62" spans="2:9" ht="15" customHeight="1" x14ac:dyDescent="0.2">
      <c r="B62" t="s">
        <v>305</v>
      </c>
      <c r="C62" s="12">
        <v>72</v>
      </c>
      <c r="D62" s="8">
        <v>1.45</v>
      </c>
      <c r="E62" s="12">
        <v>49</v>
      </c>
      <c r="F62" s="8">
        <v>3.11</v>
      </c>
      <c r="G62" s="12">
        <v>23</v>
      </c>
      <c r="H62" s="8">
        <v>0.68</v>
      </c>
      <c r="I62" s="12">
        <v>0</v>
      </c>
    </row>
    <row r="63" spans="2:9" ht="15" customHeight="1" x14ac:dyDescent="0.2">
      <c r="B63" t="s">
        <v>308</v>
      </c>
      <c r="C63" s="12">
        <v>71</v>
      </c>
      <c r="D63" s="8">
        <v>1.43</v>
      </c>
      <c r="E63" s="12">
        <v>3</v>
      </c>
      <c r="F63" s="8">
        <v>0.19</v>
      </c>
      <c r="G63" s="12">
        <v>68</v>
      </c>
      <c r="H63" s="8">
        <v>2.0099999999999998</v>
      </c>
      <c r="I63" s="12">
        <v>0</v>
      </c>
    </row>
    <row r="64" spans="2:9" ht="15" customHeight="1" x14ac:dyDescent="0.2">
      <c r="B64" t="s">
        <v>295</v>
      </c>
      <c r="C64" s="12">
        <v>68</v>
      </c>
      <c r="D64" s="8">
        <v>1.37</v>
      </c>
      <c r="E64" s="12">
        <v>25</v>
      </c>
      <c r="F64" s="8">
        <v>1.59</v>
      </c>
      <c r="G64" s="12">
        <v>43</v>
      </c>
      <c r="H64" s="8">
        <v>1.27</v>
      </c>
      <c r="I64" s="12">
        <v>0</v>
      </c>
    </row>
    <row r="65" spans="2:9" ht="15" customHeight="1" x14ac:dyDescent="0.2">
      <c r="B65" t="s">
        <v>288</v>
      </c>
      <c r="C65" s="12">
        <v>67</v>
      </c>
      <c r="D65" s="8">
        <v>1.35</v>
      </c>
      <c r="E65" s="12">
        <v>2</v>
      </c>
      <c r="F65" s="8">
        <v>0.13</v>
      </c>
      <c r="G65" s="12">
        <v>65</v>
      </c>
      <c r="H65" s="8">
        <v>1.92</v>
      </c>
      <c r="I65" s="12">
        <v>0</v>
      </c>
    </row>
    <row r="66" spans="2:9" ht="15" customHeight="1" x14ac:dyDescent="0.2">
      <c r="B66" t="s">
        <v>310</v>
      </c>
      <c r="C66" s="12">
        <v>67</v>
      </c>
      <c r="D66" s="8">
        <v>1.35</v>
      </c>
      <c r="E66" s="12">
        <v>2</v>
      </c>
      <c r="F66" s="8">
        <v>0.13</v>
      </c>
      <c r="G66" s="12">
        <v>65</v>
      </c>
      <c r="H66" s="8">
        <v>1.92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A570E-A47D-4926-BBF9-7CD9FAB4C599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50</v>
      </c>
      <c r="D6" s="8">
        <v>10.99</v>
      </c>
      <c r="E6" s="12">
        <v>23</v>
      </c>
      <c r="F6" s="8">
        <v>8.68</v>
      </c>
      <c r="G6" s="12">
        <v>27</v>
      </c>
      <c r="H6" s="8">
        <v>15</v>
      </c>
      <c r="I6" s="12">
        <v>0</v>
      </c>
    </row>
    <row r="7" spans="2:9" ht="15" customHeight="1" x14ac:dyDescent="0.2">
      <c r="B7" t="s">
        <v>192</v>
      </c>
      <c r="C7" s="12">
        <v>25</v>
      </c>
      <c r="D7" s="8">
        <v>5.49</v>
      </c>
      <c r="E7" s="12">
        <v>8</v>
      </c>
      <c r="F7" s="8">
        <v>3.02</v>
      </c>
      <c r="G7" s="12">
        <v>17</v>
      </c>
      <c r="H7" s="8">
        <v>9.44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0.22</v>
      </c>
      <c r="E9" s="12">
        <v>0</v>
      </c>
      <c r="F9" s="8">
        <v>0</v>
      </c>
      <c r="G9" s="12">
        <v>1</v>
      </c>
      <c r="H9" s="8">
        <v>0.56000000000000005</v>
      </c>
      <c r="I9" s="12">
        <v>0</v>
      </c>
    </row>
    <row r="10" spans="2:9" ht="15" customHeight="1" x14ac:dyDescent="0.2">
      <c r="B10" t="s">
        <v>195</v>
      </c>
      <c r="C10" s="12">
        <v>7</v>
      </c>
      <c r="D10" s="8">
        <v>1.54</v>
      </c>
      <c r="E10" s="12">
        <v>0</v>
      </c>
      <c r="F10" s="8">
        <v>0</v>
      </c>
      <c r="G10" s="12">
        <v>7</v>
      </c>
      <c r="H10" s="8">
        <v>3.89</v>
      </c>
      <c r="I10" s="12">
        <v>0</v>
      </c>
    </row>
    <row r="11" spans="2:9" ht="15" customHeight="1" x14ac:dyDescent="0.2">
      <c r="B11" t="s">
        <v>196</v>
      </c>
      <c r="C11" s="12">
        <v>106</v>
      </c>
      <c r="D11" s="8">
        <v>23.3</v>
      </c>
      <c r="E11" s="12">
        <v>49</v>
      </c>
      <c r="F11" s="8">
        <v>18.489999999999998</v>
      </c>
      <c r="G11" s="12">
        <v>56</v>
      </c>
      <c r="H11" s="8">
        <v>31.11</v>
      </c>
      <c r="I11" s="12">
        <v>1</v>
      </c>
    </row>
    <row r="12" spans="2:9" ht="15" customHeight="1" x14ac:dyDescent="0.2">
      <c r="B12" t="s">
        <v>197</v>
      </c>
      <c r="C12" s="12">
        <v>7</v>
      </c>
      <c r="D12" s="8">
        <v>1.54</v>
      </c>
      <c r="E12" s="12">
        <v>2</v>
      </c>
      <c r="F12" s="8">
        <v>0.75</v>
      </c>
      <c r="G12" s="12">
        <v>5</v>
      </c>
      <c r="H12" s="8">
        <v>2.78</v>
      </c>
      <c r="I12" s="12">
        <v>0</v>
      </c>
    </row>
    <row r="13" spans="2:9" ht="15" customHeight="1" x14ac:dyDescent="0.2">
      <c r="B13" t="s">
        <v>198</v>
      </c>
      <c r="C13" s="12">
        <v>54</v>
      </c>
      <c r="D13" s="8">
        <v>11.87</v>
      </c>
      <c r="E13" s="12">
        <v>39</v>
      </c>
      <c r="F13" s="8">
        <v>14.72</v>
      </c>
      <c r="G13" s="12">
        <v>15</v>
      </c>
      <c r="H13" s="8">
        <v>8.33</v>
      </c>
      <c r="I13" s="12">
        <v>0</v>
      </c>
    </row>
    <row r="14" spans="2:9" ht="15" customHeight="1" x14ac:dyDescent="0.2">
      <c r="B14" t="s">
        <v>199</v>
      </c>
      <c r="C14" s="12">
        <v>13</v>
      </c>
      <c r="D14" s="8">
        <v>2.86</v>
      </c>
      <c r="E14" s="12">
        <v>8</v>
      </c>
      <c r="F14" s="8">
        <v>3.02</v>
      </c>
      <c r="G14" s="12">
        <v>4</v>
      </c>
      <c r="H14" s="8">
        <v>2.2200000000000002</v>
      </c>
      <c r="I14" s="12">
        <v>0</v>
      </c>
    </row>
    <row r="15" spans="2:9" ht="15" customHeight="1" x14ac:dyDescent="0.2">
      <c r="B15" t="s">
        <v>200</v>
      </c>
      <c r="C15" s="12">
        <v>96</v>
      </c>
      <c r="D15" s="8">
        <v>21.1</v>
      </c>
      <c r="E15" s="12">
        <v>67</v>
      </c>
      <c r="F15" s="8">
        <v>25.28</v>
      </c>
      <c r="G15" s="12">
        <v>29</v>
      </c>
      <c r="H15" s="8">
        <v>16.11</v>
      </c>
      <c r="I15" s="12">
        <v>0</v>
      </c>
    </row>
    <row r="16" spans="2:9" ht="15" customHeight="1" x14ac:dyDescent="0.2">
      <c r="B16" t="s">
        <v>201</v>
      </c>
      <c r="C16" s="12">
        <v>56</v>
      </c>
      <c r="D16" s="8">
        <v>12.31</v>
      </c>
      <c r="E16" s="12">
        <v>48</v>
      </c>
      <c r="F16" s="8">
        <v>18.11</v>
      </c>
      <c r="G16" s="12">
        <v>7</v>
      </c>
      <c r="H16" s="8">
        <v>3.89</v>
      </c>
      <c r="I16" s="12">
        <v>0</v>
      </c>
    </row>
    <row r="17" spans="2:9" ht="15" customHeight="1" x14ac:dyDescent="0.2">
      <c r="B17" t="s">
        <v>202</v>
      </c>
      <c r="C17" s="12">
        <v>11</v>
      </c>
      <c r="D17" s="8">
        <v>2.42</v>
      </c>
      <c r="E17" s="12">
        <v>4</v>
      </c>
      <c r="F17" s="8">
        <v>1.51</v>
      </c>
      <c r="G17" s="12">
        <v>5</v>
      </c>
      <c r="H17" s="8">
        <v>2.78</v>
      </c>
      <c r="I17" s="12">
        <v>0</v>
      </c>
    </row>
    <row r="18" spans="2:9" ht="15" customHeight="1" x14ac:dyDescent="0.2">
      <c r="B18" t="s">
        <v>203</v>
      </c>
      <c r="C18" s="12">
        <v>21</v>
      </c>
      <c r="D18" s="8">
        <v>4.62</v>
      </c>
      <c r="E18" s="12">
        <v>16</v>
      </c>
      <c r="F18" s="8">
        <v>6.04</v>
      </c>
      <c r="G18" s="12">
        <v>2</v>
      </c>
      <c r="H18" s="8">
        <v>1.1100000000000001</v>
      </c>
      <c r="I18" s="12">
        <v>0</v>
      </c>
    </row>
    <row r="19" spans="2:9" ht="15" customHeight="1" x14ac:dyDescent="0.2">
      <c r="B19" t="s">
        <v>204</v>
      </c>
      <c r="C19" s="12">
        <v>8</v>
      </c>
      <c r="D19" s="8">
        <v>1.76</v>
      </c>
      <c r="E19" s="12">
        <v>1</v>
      </c>
      <c r="F19" s="8">
        <v>0.38</v>
      </c>
      <c r="G19" s="12">
        <v>5</v>
      </c>
      <c r="H19" s="8">
        <v>2.78</v>
      </c>
      <c r="I19" s="12">
        <v>0</v>
      </c>
    </row>
    <row r="20" spans="2:9" ht="15" customHeight="1" x14ac:dyDescent="0.2">
      <c r="B20" s="9" t="s">
        <v>529</v>
      </c>
      <c r="C20" s="12">
        <f>SUM(LTBL_01402[総数／事業所数])</f>
        <v>455</v>
      </c>
      <c r="E20" s="12">
        <f>SUBTOTAL(109,LTBL_01402[個人／事業所数])</f>
        <v>265</v>
      </c>
      <c r="G20" s="12">
        <f>SUBTOTAL(109,LTBL_01402[法人／事業所数])</f>
        <v>180</v>
      </c>
      <c r="I20" s="12">
        <f>SUBTOTAL(109,LTBL_01402[法人以外の団体／事業所数])</f>
        <v>1</v>
      </c>
    </row>
    <row r="21" spans="2:9" ht="15" customHeight="1" x14ac:dyDescent="0.2">
      <c r="E21" s="11">
        <f>LTBL_01402[[#Totals],[個人／事業所数]]/LTBL_01402[[#Totals],[総数／事業所数]]</f>
        <v>0.58241758241758246</v>
      </c>
      <c r="G21" s="11">
        <f>LTBL_01402[[#Totals],[法人／事業所数]]/LTBL_01402[[#Totals],[総数／事業所数]]</f>
        <v>0.39560439560439559</v>
      </c>
      <c r="I21" s="11">
        <f>LTBL_01402[[#Totals],[法人以外の団体／事業所数]]/LTBL_01402[[#Totals],[総数／事業所数]]</f>
        <v>2.1978021978021978E-3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76</v>
      </c>
      <c r="D24" s="8">
        <v>16.7</v>
      </c>
      <c r="E24" s="12">
        <v>61</v>
      </c>
      <c r="F24" s="8">
        <v>23.02</v>
      </c>
      <c r="G24" s="12">
        <v>15</v>
      </c>
      <c r="H24" s="8">
        <v>8.33</v>
      </c>
      <c r="I24" s="12">
        <v>0</v>
      </c>
    </row>
    <row r="25" spans="2:9" ht="15" customHeight="1" x14ac:dyDescent="0.2">
      <c r="B25" t="s">
        <v>224</v>
      </c>
      <c r="C25" s="12">
        <v>52</v>
      </c>
      <c r="D25" s="8">
        <v>11.43</v>
      </c>
      <c r="E25" s="12">
        <v>39</v>
      </c>
      <c r="F25" s="8">
        <v>14.72</v>
      </c>
      <c r="G25" s="12">
        <v>13</v>
      </c>
      <c r="H25" s="8">
        <v>7.22</v>
      </c>
      <c r="I25" s="12">
        <v>0</v>
      </c>
    </row>
    <row r="26" spans="2:9" ht="15" customHeight="1" x14ac:dyDescent="0.2">
      <c r="B26" t="s">
        <v>228</v>
      </c>
      <c r="C26" s="12">
        <v>52</v>
      </c>
      <c r="D26" s="8">
        <v>11.43</v>
      </c>
      <c r="E26" s="12">
        <v>47</v>
      </c>
      <c r="F26" s="8">
        <v>17.739999999999998</v>
      </c>
      <c r="G26" s="12">
        <v>5</v>
      </c>
      <c r="H26" s="8">
        <v>2.78</v>
      </c>
      <c r="I26" s="12">
        <v>0</v>
      </c>
    </row>
    <row r="27" spans="2:9" ht="15" customHeight="1" x14ac:dyDescent="0.2">
      <c r="B27" t="s">
        <v>223</v>
      </c>
      <c r="C27" s="12">
        <v>36</v>
      </c>
      <c r="D27" s="8">
        <v>7.91</v>
      </c>
      <c r="E27" s="12">
        <v>15</v>
      </c>
      <c r="F27" s="8">
        <v>5.66</v>
      </c>
      <c r="G27" s="12">
        <v>21</v>
      </c>
      <c r="H27" s="8">
        <v>11.67</v>
      </c>
      <c r="I27" s="12">
        <v>0</v>
      </c>
    </row>
    <row r="28" spans="2:9" ht="15" customHeight="1" x14ac:dyDescent="0.2">
      <c r="B28" t="s">
        <v>221</v>
      </c>
      <c r="C28" s="12">
        <v>26</v>
      </c>
      <c r="D28" s="8">
        <v>5.71</v>
      </c>
      <c r="E28" s="12">
        <v>16</v>
      </c>
      <c r="F28" s="8">
        <v>6.04</v>
      </c>
      <c r="G28" s="12">
        <v>10</v>
      </c>
      <c r="H28" s="8">
        <v>5.56</v>
      </c>
      <c r="I28" s="12">
        <v>0</v>
      </c>
    </row>
    <row r="29" spans="2:9" ht="15" customHeight="1" x14ac:dyDescent="0.2">
      <c r="B29" t="s">
        <v>213</v>
      </c>
      <c r="C29" s="12">
        <v>18</v>
      </c>
      <c r="D29" s="8">
        <v>3.96</v>
      </c>
      <c r="E29" s="12">
        <v>4</v>
      </c>
      <c r="F29" s="8">
        <v>1.51</v>
      </c>
      <c r="G29" s="12">
        <v>14</v>
      </c>
      <c r="H29" s="8">
        <v>7.78</v>
      </c>
      <c r="I29" s="12">
        <v>0</v>
      </c>
    </row>
    <row r="30" spans="2:9" ht="15" customHeight="1" x14ac:dyDescent="0.2">
      <c r="B30" t="s">
        <v>214</v>
      </c>
      <c r="C30" s="12">
        <v>18</v>
      </c>
      <c r="D30" s="8">
        <v>3.96</v>
      </c>
      <c r="E30" s="12">
        <v>12</v>
      </c>
      <c r="F30" s="8">
        <v>4.53</v>
      </c>
      <c r="G30" s="12">
        <v>6</v>
      </c>
      <c r="H30" s="8">
        <v>3.33</v>
      </c>
      <c r="I30" s="12">
        <v>0</v>
      </c>
    </row>
    <row r="31" spans="2:9" ht="15" customHeight="1" x14ac:dyDescent="0.2">
      <c r="B31" t="s">
        <v>231</v>
      </c>
      <c r="C31" s="12">
        <v>16</v>
      </c>
      <c r="D31" s="8">
        <v>3.52</v>
      </c>
      <c r="E31" s="12">
        <v>16</v>
      </c>
      <c r="F31" s="8">
        <v>6.04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215</v>
      </c>
      <c r="C32" s="12">
        <v>14</v>
      </c>
      <c r="D32" s="8">
        <v>3.08</v>
      </c>
      <c r="E32" s="12">
        <v>7</v>
      </c>
      <c r="F32" s="8">
        <v>2.64</v>
      </c>
      <c r="G32" s="12">
        <v>7</v>
      </c>
      <c r="H32" s="8">
        <v>3.89</v>
      </c>
      <c r="I32" s="12">
        <v>0</v>
      </c>
    </row>
    <row r="33" spans="2:9" ht="15" customHeight="1" x14ac:dyDescent="0.2">
      <c r="B33" t="s">
        <v>220</v>
      </c>
      <c r="C33" s="12">
        <v>14</v>
      </c>
      <c r="D33" s="8">
        <v>3.08</v>
      </c>
      <c r="E33" s="12">
        <v>9</v>
      </c>
      <c r="F33" s="8">
        <v>3.4</v>
      </c>
      <c r="G33" s="12">
        <v>5</v>
      </c>
      <c r="H33" s="8">
        <v>2.78</v>
      </c>
      <c r="I33" s="12">
        <v>0</v>
      </c>
    </row>
    <row r="34" spans="2:9" ht="15" customHeight="1" x14ac:dyDescent="0.2">
      <c r="B34" t="s">
        <v>222</v>
      </c>
      <c r="C34" s="12">
        <v>12</v>
      </c>
      <c r="D34" s="8">
        <v>2.64</v>
      </c>
      <c r="E34" s="12">
        <v>6</v>
      </c>
      <c r="F34" s="8">
        <v>2.2599999999999998</v>
      </c>
      <c r="G34" s="12">
        <v>6</v>
      </c>
      <c r="H34" s="8">
        <v>3.33</v>
      </c>
      <c r="I34" s="12">
        <v>0</v>
      </c>
    </row>
    <row r="35" spans="2:9" ht="15" customHeight="1" x14ac:dyDescent="0.2">
      <c r="B35" t="s">
        <v>230</v>
      </c>
      <c r="C35" s="12">
        <v>11</v>
      </c>
      <c r="D35" s="8">
        <v>2.42</v>
      </c>
      <c r="E35" s="12">
        <v>4</v>
      </c>
      <c r="F35" s="8">
        <v>1.51</v>
      </c>
      <c r="G35" s="12">
        <v>5</v>
      </c>
      <c r="H35" s="8">
        <v>2.78</v>
      </c>
      <c r="I35" s="12">
        <v>0</v>
      </c>
    </row>
    <row r="36" spans="2:9" ht="15" customHeight="1" x14ac:dyDescent="0.2">
      <c r="B36" t="s">
        <v>243</v>
      </c>
      <c r="C36" s="12">
        <v>10</v>
      </c>
      <c r="D36" s="8">
        <v>2.2000000000000002</v>
      </c>
      <c r="E36" s="12">
        <v>6</v>
      </c>
      <c r="F36" s="8">
        <v>2.2599999999999998</v>
      </c>
      <c r="G36" s="12">
        <v>4</v>
      </c>
      <c r="H36" s="8">
        <v>2.2200000000000002</v>
      </c>
      <c r="I36" s="12">
        <v>0</v>
      </c>
    </row>
    <row r="37" spans="2:9" ht="15" customHeight="1" x14ac:dyDescent="0.2">
      <c r="B37" t="s">
        <v>239</v>
      </c>
      <c r="C37" s="12">
        <v>10</v>
      </c>
      <c r="D37" s="8">
        <v>2.2000000000000002</v>
      </c>
      <c r="E37" s="12">
        <v>0</v>
      </c>
      <c r="F37" s="8">
        <v>0</v>
      </c>
      <c r="G37" s="12">
        <v>10</v>
      </c>
      <c r="H37" s="8">
        <v>5.56</v>
      </c>
      <c r="I37" s="12">
        <v>0</v>
      </c>
    </row>
    <row r="38" spans="2:9" ht="15" customHeight="1" x14ac:dyDescent="0.2">
      <c r="B38" t="s">
        <v>241</v>
      </c>
      <c r="C38" s="12">
        <v>9</v>
      </c>
      <c r="D38" s="8">
        <v>1.98</v>
      </c>
      <c r="E38" s="12">
        <v>2</v>
      </c>
      <c r="F38" s="8">
        <v>0.75</v>
      </c>
      <c r="G38" s="12">
        <v>7</v>
      </c>
      <c r="H38" s="8">
        <v>3.89</v>
      </c>
      <c r="I38" s="12">
        <v>0</v>
      </c>
    </row>
    <row r="39" spans="2:9" ht="15" customHeight="1" x14ac:dyDescent="0.2">
      <c r="B39" t="s">
        <v>225</v>
      </c>
      <c r="C39" s="12">
        <v>9</v>
      </c>
      <c r="D39" s="8">
        <v>1.98</v>
      </c>
      <c r="E39" s="12">
        <v>7</v>
      </c>
      <c r="F39" s="8">
        <v>2.64</v>
      </c>
      <c r="G39" s="12">
        <v>2</v>
      </c>
      <c r="H39" s="8">
        <v>1.1100000000000001</v>
      </c>
      <c r="I39" s="12">
        <v>0</v>
      </c>
    </row>
    <row r="40" spans="2:9" ht="15" customHeight="1" x14ac:dyDescent="0.2">
      <c r="B40" t="s">
        <v>237</v>
      </c>
      <c r="C40" s="12">
        <v>7</v>
      </c>
      <c r="D40" s="8">
        <v>1.54</v>
      </c>
      <c r="E40" s="12">
        <v>2</v>
      </c>
      <c r="F40" s="8">
        <v>0.75</v>
      </c>
      <c r="G40" s="12">
        <v>5</v>
      </c>
      <c r="H40" s="8">
        <v>2.78</v>
      </c>
      <c r="I40" s="12">
        <v>0</v>
      </c>
    </row>
    <row r="41" spans="2:9" ht="15" customHeight="1" x14ac:dyDescent="0.2">
      <c r="B41" t="s">
        <v>216</v>
      </c>
      <c r="C41" s="12">
        <v>6</v>
      </c>
      <c r="D41" s="8">
        <v>1.32</v>
      </c>
      <c r="E41" s="12">
        <v>0</v>
      </c>
      <c r="F41" s="8">
        <v>0</v>
      </c>
      <c r="G41" s="12">
        <v>6</v>
      </c>
      <c r="H41" s="8">
        <v>3.33</v>
      </c>
      <c r="I41" s="12">
        <v>0</v>
      </c>
    </row>
    <row r="42" spans="2:9" ht="15" customHeight="1" x14ac:dyDescent="0.2">
      <c r="B42" t="s">
        <v>219</v>
      </c>
      <c r="C42" s="12">
        <v>6</v>
      </c>
      <c r="D42" s="8">
        <v>1.32</v>
      </c>
      <c r="E42" s="12">
        <v>1</v>
      </c>
      <c r="F42" s="8">
        <v>0.38</v>
      </c>
      <c r="G42" s="12">
        <v>4</v>
      </c>
      <c r="H42" s="8">
        <v>2.2200000000000002</v>
      </c>
      <c r="I42" s="12">
        <v>1</v>
      </c>
    </row>
    <row r="43" spans="2:9" ht="15" customHeight="1" x14ac:dyDescent="0.2">
      <c r="B43" t="s">
        <v>252</v>
      </c>
      <c r="C43" s="12">
        <v>5</v>
      </c>
      <c r="D43" s="8">
        <v>1.1000000000000001</v>
      </c>
      <c r="E43" s="12">
        <v>2</v>
      </c>
      <c r="F43" s="8">
        <v>0.75</v>
      </c>
      <c r="G43" s="12">
        <v>3</v>
      </c>
      <c r="H43" s="8">
        <v>1.67</v>
      </c>
      <c r="I43" s="12">
        <v>0</v>
      </c>
    </row>
    <row r="44" spans="2:9" ht="15" customHeight="1" x14ac:dyDescent="0.2">
      <c r="B44" t="s">
        <v>217</v>
      </c>
      <c r="C44" s="12">
        <v>5</v>
      </c>
      <c r="D44" s="8">
        <v>1.1000000000000001</v>
      </c>
      <c r="E44" s="12">
        <v>1</v>
      </c>
      <c r="F44" s="8">
        <v>0.38</v>
      </c>
      <c r="G44" s="12">
        <v>4</v>
      </c>
      <c r="H44" s="8">
        <v>2.2200000000000002</v>
      </c>
      <c r="I44" s="12">
        <v>0</v>
      </c>
    </row>
    <row r="45" spans="2:9" ht="15" customHeight="1" x14ac:dyDescent="0.2">
      <c r="B45" t="s">
        <v>232</v>
      </c>
      <c r="C45" s="12">
        <v>5</v>
      </c>
      <c r="D45" s="8">
        <v>1.1000000000000001</v>
      </c>
      <c r="E45" s="12">
        <v>0</v>
      </c>
      <c r="F45" s="8">
        <v>0</v>
      </c>
      <c r="G45" s="12">
        <v>2</v>
      </c>
      <c r="H45" s="8">
        <v>1.1100000000000001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297</v>
      </c>
      <c r="C49" s="12">
        <v>42</v>
      </c>
      <c r="D49" s="8">
        <v>9.23</v>
      </c>
      <c r="E49" s="12">
        <v>33</v>
      </c>
      <c r="F49" s="8">
        <v>12.45</v>
      </c>
      <c r="G49" s="12">
        <v>9</v>
      </c>
      <c r="H49" s="8">
        <v>5</v>
      </c>
      <c r="I49" s="12">
        <v>0</v>
      </c>
    </row>
    <row r="50" spans="2:9" ht="15" customHeight="1" x14ac:dyDescent="0.2">
      <c r="B50" t="s">
        <v>301</v>
      </c>
      <c r="C50" s="12">
        <v>42</v>
      </c>
      <c r="D50" s="8">
        <v>9.23</v>
      </c>
      <c r="E50" s="12">
        <v>37</v>
      </c>
      <c r="F50" s="8">
        <v>13.96</v>
      </c>
      <c r="G50" s="12">
        <v>5</v>
      </c>
      <c r="H50" s="8">
        <v>2.78</v>
      </c>
      <c r="I50" s="12">
        <v>0</v>
      </c>
    </row>
    <row r="51" spans="2:9" ht="15" customHeight="1" x14ac:dyDescent="0.2">
      <c r="B51" t="s">
        <v>304</v>
      </c>
      <c r="C51" s="12">
        <v>26</v>
      </c>
      <c r="D51" s="8">
        <v>5.71</v>
      </c>
      <c r="E51" s="12">
        <v>25</v>
      </c>
      <c r="F51" s="8">
        <v>9.43</v>
      </c>
      <c r="G51" s="12">
        <v>1</v>
      </c>
      <c r="H51" s="8">
        <v>0.56000000000000005</v>
      </c>
      <c r="I51" s="12">
        <v>0</v>
      </c>
    </row>
    <row r="52" spans="2:9" ht="15" customHeight="1" x14ac:dyDescent="0.2">
      <c r="B52" t="s">
        <v>303</v>
      </c>
      <c r="C52" s="12">
        <v>19</v>
      </c>
      <c r="D52" s="8">
        <v>4.18</v>
      </c>
      <c r="E52" s="12">
        <v>19</v>
      </c>
      <c r="F52" s="8">
        <v>7.17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306</v>
      </c>
      <c r="C53" s="12">
        <v>12</v>
      </c>
      <c r="D53" s="8">
        <v>2.64</v>
      </c>
      <c r="E53" s="12">
        <v>12</v>
      </c>
      <c r="F53" s="8">
        <v>4.53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330</v>
      </c>
      <c r="C54" s="12">
        <v>10</v>
      </c>
      <c r="D54" s="8">
        <v>2.2000000000000002</v>
      </c>
      <c r="E54" s="12">
        <v>1</v>
      </c>
      <c r="F54" s="8">
        <v>0.38</v>
      </c>
      <c r="G54" s="12">
        <v>9</v>
      </c>
      <c r="H54" s="8">
        <v>5</v>
      </c>
      <c r="I54" s="12">
        <v>0</v>
      </c>
    </row>
    <row r="55" spans="2:9" ht="15" customHeight="1" x14ac:dyDescent="0.2">
      <c r="B55" t="s">
        <v>325</v>
      </c>
      <c r="C55" s="12">
        <v>10</v>
      </c>
      <c r="D55" s="8">
        <v>2.2000000000000002</v>
      </c>
      <c r="E55" s="12">
        <v>0</v>
      </c>
      <c r="F55" s="8">
        <v>0</v>
      </c>
      <c r="G55" s="12">
        <v>10</v>
      </c>
      <c r="H55" s="8">
        <v>5.56</v>
      </c>
      <c r="I55" s="12">
        <v>0</v>
      </c>
    </row>
    <row r="56" spans="2:9" ht="15" customHeight="1" x14ac:dyDescent="0.2">
      <c r="B56" t="s">
        <v>333</v>
      </c>
      <c r="C56" s="12">
        <v>9</v>
      </c>
      <c r="D56" s="8">
        <v>1.98</v>
      </c>
      <c r="E56" s="12">
        <v>7</v>
      </c>
      <c r="F56" s="8">
        <v>2.64</v>
      </c>
      <c r="G56" s="12">
        <v>2</v>
      </c>
      <c r="H56" s="8">
        <v>1.1100000000000001</v>
      </c>
      <c r="I56" s="12">
        <v>0</v>
      </c>
    </row>
    <row r="57" spans="2:9" ht="15" customHeight="1" x14ac:dyDescent="0.2">
      <c r="B57" t="s">
        <v>295</v>
      </c>
      <c r="C57" s="12">
        <v>9</v>
      </c>
      <c r="D57" s="8">
        <v>1.98</v>
      </c>
      <c r="E57" s="12">
        <v>6</v>
      </c>
      <c r="F57" s="8">
        <v>2.2599999999999998</v>
      </c>
      <c r="G57" s="12">
        <v>3</v>
      </c>
      <c r="H57" s="8">
        <v>1.67</v>
      </c>
      <c r="I57" s="12">
        <v>0</v>
      </c>
    </row>
    <row r="58" spans="2:9" ht="15" customHeight="1" x14ac:dyDescent="0.2">
      <c r="B58" t="s">
        <v>296</v>
      </c>
      <c r="C58" s="12">
        <v>9</v>
      </c>
      <c r="D58" s="8">
        <v>1.98</v>
      </c>
      <c r="E58" s="12">
        <v>6</v>
      </c>
      <c r="F58" s="8">
        <v>2.2599999999999998</v>
      </c>
      <c r="G58" s="12">
        <v>3</v>
      </c>
      <c r="H58" s="8">
        <v>1.67</v>
      </c>
      <c r="I58" s="12">
        <v>0</v>
      </c>
    </row>
    <row r="59" spans="2:9" ht="15" customHeight="1" x14ac:dyDescent="0.2">
      <c r="B59" t="s">
        <v>339</v>
      </c>
      <c r="C59" s="12">
        <v>9</v>
      </c>
      <c r="D59" s="8">
        <v>1.98</v>
      </c>
      <c r="E59" s="12">
        <v>5</v>
      </c>
      <c r="F59" s="8">
        <v>1.89</v>
      </c>
      <c r="G59" s="12">
        <v>4</v>
      </c>
      <c r="H59" s="8">
        <v>2.2200000000000002</v>
      </c>
      <c r="I59" s="12">
        <v>0</v>
      </c>
    </row>
    <row r="60" spans="2:9" ht="15" customHeight="1" x14ac:dyDescent="0.2">
      <c r="B60" t="s">
        <v>334</v>
      </c>
      <c r="C60" s="12">
        <v>9</v>
      </c>
      <c r="D60" s="8">
        <v>1.98</v>
      </c>
      <c r="E60" s="12">
        <v>7</v>
      </c>
      <c r="F60" s="8">
        <v>2.64</v>
      </c>
      <c r="G60" s="12">
        <v>2</v>
      </c>
      <c r="H60" s="8">
        <v>1.1100000000000001</v>
      </c>
      <c r="I60" s="12">
        <v>0</v>
      </c>
    </row>
    <row r="61" spans="2:9" ht="15" customHeight="1" x14ac:dyDescent="0.2">
      <c r="B61" t="s">
        <v>300</v>
      </c>
      <c r="C61" s="12">
        <v>9</v>
      </c>
      <c r="D61" s="8">
        <v>1.98</v>
      </c>
      <c r="E61" s="12">
        <v>8</v>
      </c>
      <c r="F61" s="8">
        <v>3.02</v>
      </c>
      <c r="G61" s="12">
        <v>1</v>
      </c>
      <c r="H61" s="8">
        <v>0.56000000000000005</v>
      </c>
      <c r="I61" s="12">
        <v>0</v>
      </c>
    </row>
    <row r="62" spans="2:9" ht="15" customHeight="1" x14ac:dyDescent="0.2">
      <c r="B62" t="s">
        <v>288</v>
      </c>
      <c r="C62" s="12">
        <v>8</v>
      </c>
      <c r="D62" s="8">
        <v>1.76</v>
      </c>
      <c r="E62" s="12">
        <v>0</v>
      </c>
      <c r="F62" s="8">
        <v>0</v>
      </c>
      <c r="G62" s="12">
        <v>8</v>
      </c>
      <c r="H62" s="8">
        <v>4.4400000000000004</v>
      </c>
      <c r="I62" s="12">
        <v>0</v>
      </c>
    </row>
    <row r="63" spans="2:9" ht="15" customHeight="1" x14ac:dyDescent="0.2">
      <c r="B63" t="s">
        <v>290</v>
      </c>
      <c r="C63" s="12">
        <v>8</v>
      </c>
      <c r="D63" s="8">
        <v>1.76</v>
      </c>
      <c r="E63" s="12">
        <v>3</v>
      </c>
      <c r="F63" s="8">
        <v>1.1299999999999999</v>
      </c>
      <c r="G63" s="12">
        <v>5</v>
      </c>
      <c r="H63" s="8">
        <v>2.78</v>
      </c>
      <c r="I63" s="12">
        <v>0</v>
      </c>
    </row>
    <row r="64" spans="2:9" ht="15" customHeight="1" x14ac:dyDescent="0.2">
      <c r="B64" t="s">
        <v>292</v>
      </c>
      <c r="C64" s="12">
        <v>8</v>
      </c>
      <c r="D64" s="8">
        <v>1.76</v>
      </c>
      <c r="E64" s="12">
        <v>6</v>
      </c>
      <c r="F64" s="8">
        <v>2.2599999999999998</v>
      </c>
      <c r="G64" s="12">
        <v>2</v>
      </c>
      <c r="H64" s="8">
        <v>1.1100000000000001</v>
      </c>
      <c r="I64" s="12">
        <v>0</v>
      </c>
    </row>
    <row r="65" spans="2:9" ht="15" customHeight="1" x14ac:dyDescent="0.2">
      <c r="B65" t="s">
        <v>328</v>
      </c>
      <c r="C65" s="12">
        <v>7</v>
      </c>
      <c r="D65" s="8">
        <v>1.54</v>
      </c>
      <c r="E65" s="12">
        <v>3</v>
      </c>
      <c r="F65" s="8">
        <v>1.1299999999999999</v>
      </c>
      <c r="G65" s="12">
        <v>4</v>
      </c>
      <c r="H65" s="8">
        <v>2.2200000000000002</v>
      </c>
      <c r="I65" s="12">
        <v>0</v>
      </c>
    </row>
    <row r="66" spans="2:9" ht="15" customHeight="1" x14ac:dyDescent="0.2">
      <c r="B66" t="s">
        <v>299</v>
      </c>
      <c r="C66" s="12">
        <v>7</v>
      </c>
      <c r="D66" s="8">
        <v>1.54</v>
      </c>
      <c r="E66" s="12">
        <v>4</v>
      </c>
      <c r="F66" s="8">
        <v>1.51</v>
      </c>
      <c r="G66" s="12">
        <v>3</v>
      </c>
      <c r="H66" s="8">
        <v>1.67</v>
      </c>
      <c r="I66" s="12">
        <v>0</v>
      </c>
    </row>
    <row r="67" spans="2:9" ht="15" customHeight="1" x14ac:dyDescent="0.2">
      <c r="B67" t="s">
        <v>314</v>
      </c>
      <c r="C67" s="12">
        <v>6</v>
      </c>
      <c r="D67" s="8">
        <v>1.32</v>
      </c>
      <c r="E67" s="12">
        <v>4</v>
      </c>
      <c r="F67" s="8">
        <v>1.51</v>
      </c>
      <c r="G67" s="12">
        <v>2</v>
      </c>
      <c r="H67" s="8">
        <v>1.1100000000000001</v>
      </c>
      <c r="I67" s="12">
        <v>0</v>
      </c>
    </row>
    <row r="68" spans="2:9" ht="15" customHeight="1" x14ac:dyDescent="0.2">
      <c r="B68" t="s">
        <v>329</v>
      </c>
      <c r="C68" s="12">
        <v>6</v>
      </c>
      <c r="D68" s="8">
        <v>1.32</v>
      </c>
      <c r="E68" s="12">
        <v>4</v>
      </c>
      <c r="F68" s="8">
        <v>1.51</v>
      </c>
      <c r="G68" s="12">
        <v>2</v>
      </c>
      <c r="H68" s="8">
        <v>1.1100000000000001</v>
      </c>
      <c r="I68" s="12">
        <v>0</v>
      </c>
    </row>
    <row r="69" spans="2:9" ht="15" customHeight="1" x14ac:dyDescent="0.2">
      <c r="B69" t="s">
        <v>335</v>
      </c>
      <c r="C69" s="12">
        <v>6</v>
      </c>
      <c r="D69" s="8">
        <v>1.32</v>
      </c>
      <c r="E69" s="12">
        <v>2</v>
      </c>
      <c r="F69" s="8">
        <v>0.75</v>
      </c>
      <c r="G69" s="12">
        <v>4</v>
      </c>
      <c r="H69" s="8">
        <v>2.2200000000000002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283D6-D3DC-44C4-9ED4-70999BFAD53F}">
  <sheetPr>
    <pageSetUpPr fitToPage="1"/>
  </sheetPr>
  <dimension ref="B2:I7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16</v>
      </c>
      <c r="D6" s="8">
        <v>30.19</v>
      </c>
      <c r="E6" s="12">
        <v>4</v>
      </c>
      <c r="F6" s="8">
        <v>16</v>
      </c>
      <c r="G6" s="12">
        <v>12</v>
      </c>
      <c r="H6" s="8">
        <v>50</v>
      </c>
      <c r="I6" s="12">
        <v>0</v>
      </c>
    </row>
    <row r="7" spans="2:9" ht="15" customHeight="1" x14ac:dyDescent="0.2">
      <c r="B7" t="s">
        <v>192</v>
      </c>
      <c r="C7" s="12">
        <v>1</v>
      </c>
      <c r="D7" s="8">
        <v>1.89</v>
      </c>
      <c r="E7" s="12">
        <v>0</v>
      </c>
      <c r="F7" s="8">
        <v>0</v>
      </c>
      <c r="G7" s="12">
        <v>1</v>
      </c>
      <c r="H7" s="8">
        <v>4.17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3.77</v>
      </c>
      <c r="E8" s="12">
        <v>0</v>
      </c>
      <c r="F8" s="8">
        <v>0</v>
      </c>
      <c r="G8" s="12">
        <v>1</v>
      </c>
      <c r="H8" s="8">
        <v>4.17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15</v>
      </c>
      <c r="D11" s="8">
        <v>28.3</v>
      </c>
      <c r="E11" s="12">
        <v>9</v>
      </c>
      <c r="F11" s="8">
        <v>36</v>
      </c>
      <c r="G11" s="12">
        <v>6</v>
      </c>
      <c r="H11" s="8">
        <v>25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1.89</v>
      </c>
      <c r="E12" s="12">
        <v>0</v>
      </c>
      <c r="F12" s="8">
        <v>0</v>
      </c>
      <c r="G12" s="12">
        <v>1</v>
      </c>
      <c r="H12" s="8">
        <v>4.17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3.77</v>
      </c>
      <c r="E13" s="12">
        <v>2</v>
      </c>
      <c r="F13" s="8">
        <v>8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8</v>
      </c>
      <c r="D15" s="8">
        <v>15.09</v>
      </c>
      <c r="E15" s="12">
        <v>5</v>
      </c>
      <c r="F15" s="8">
        <v>20</v>
      </c>
      <c r="G15" s="12">
        <v>3</v>
      </c>
      <c r="H15" s="8">
        <v>12.5</v>
      </c>
      <c r="I15" s="12">
        <v>0</v>
      </c>
    </row>
    <row r="16" spans="2:9" ht="15" customHeight="1" x14ac:dyDescent="0.2">
      <c r="B16" t="s">
        <v>201</v>
      </c>
      <c r="C16" s="12">
        <v>4</v>
      </c>
      <c r="D16" s="8">
        <v>7.55</v>
      </c>
      <c r="E16" s="12">
        <v>4</v>
      </c>
      <c r="F16" s="8">
        <v>16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3.77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3.77</v>
      </c>
      <c r="E18" s="12">
        <v>1</v>
      </c>
      <c r="F18" s="8">
        <v>4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0</v>
      </c>
      <c r="D19" s="8">
        <v>0</v>
      </c>
      <c r="E19" s="12">
        <v>0</v>
      </c>
      <c r="F19" s="8">
        <v>0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SUM(LTBL_01403[総数／事業所数])</f>
        <v>53</v>
      </c>
      <c r="E20" s="12">
        <f>SUBTOTAL(109,LTBL_01403[個人／事業所数])</f>
        <v>25</v>
      </c>
      <c r="G20" s="12">
        <f>SUBTOTAL(109,LTBL_01403[法人／事業所数])</f>
        <v>24</v>
      </c>
      <c r="I20" s="12">
        <f>SUBTOTAL(109,LTBL_01403[法人以外の団体／事業所数])</f>
        <v>0</v>
      </c>
    </row>
    <row r="21" spans="2:9" ht="15" customHeight="1" x14ac:dyDescent="0.2">
      <c r="E21" s="11">
        <f>LTBL_01403[[#Totals],[個人／事業所数]]/LTBL_01403[[#Totals],[総数／事業所数]]</f>
        <v>0.47169811320754718</v>
      </c>
      <c r="G21" s="11">
        <f>LTBL_01403[[#Totals],[法人／事業所数]]/LTBL_01403[[#Totals],[総数／事業所数]]</f>
        <v>0.45283018867924529</v>
      </c>
      <c r="I21" s="11">
        <f>LTBL_01403[[#Totals],[法人以外の団体／事業所数]]/LTBL_01403[[#Totals],[総数／事業所数]]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221</v>
      </c>
      <c r="C24" s="12">
        <v>8</v>
      </c>
      <c r="D24" s="8">
        <v>15.09</v>
      </c>
      <c r="E24" s="12">
        <v>7</v>
      </c>
      <c r="F24" s="8">
        <v>28</v>
      </c>
      <c r="G24" s="12">
        <v>1</v>
      </c>
      <c r="H24" s="8">
        <v>4.17</v>
      </c>
      <c r="I24" s="12">
        <v>0</v>
      </c>
    </row>
    <row r="25" spans="2:9" ht="15" customHeight="1" x14ac:dyDescent="0.2">
      <c r="B25" t="s">
        <v>215</v>
      </c>
      <c r="C25" s="12">
        <v>7</v>
      </c>
      <c r="D25" s="8">
        <v>13.21</v>
      </c>
      <c r="E25" s="12">
        <v>1</v>
      </c>
      <c r="F25" s="8">
        <v>4</v>
      </c>
      <c r="G25" s="12">
        <v>6</v>
      </c>
      <c r="H25" s="8">
        <v>25</v>
      </c>
      <c r="I25" s="12">
        <v>0</v>
      </c>
    </row>
    <row r="26" spans="2:9" ht="15" customHeight="1" x14ac:dyDescent="0.2">
      <c r="B26" t="s">
        <v>243</v>
      </c>
      <c r="C26" s="12">
        <v>6</v>
      </c>
      <c r="D26" s="8">
        <v>11.32</v>
      </c>
      <c r="E26" s="12">
        <v>5</v>
      </c>
      <c r="F26" s="8">
        <v>20</v>
      </c>
      <c r="G26" s="12">
        <v>1</v>
      </c>
      <c r="H26" s="8">
        <v>4.17</v>
      </c>
      <c r="I26" s="12">
        <v>0</v>
      </c>
    </row>
    <row r="27" spans="2:9" ht="15" customHeight="1" x14ac:dyDescent="0.2">
      <c r="B27" t="s">
        <v>213</v>
      </c>
      <c r="C27" s="12">
        <v>5</v>
      </c>
      <c r="D27" s="8">
        <v>9.43</v>
      </c>
      <c r="E27" s="12">
        <v>1</v>
      </c>
      <c r="F27" s="8">
        <v>4</v>
      </c>
      <c r="G27" s="12">
        <v>4</v>
      </c>
      <c r="H27" s="8">
        <v>16.670000000000002</v>
      </c>
      <c r="I27" s="12">
        <v>0</v>
      </c>
    </row>
    <row r="28" spans="2:9" ht="15" customHeight="1" x14ac:dyDescent="0.2">
      <c r="B28" t="s">
        <v>214</v>
      </c>
      <c r="C28" s="12">
        <v>4</v>
      </c>
      <c r="D28" s="8">
        <v>7.55</v>
      </c>
      <c r="E28" s="12">
        <v>2</v>
      </c>
      <c r="F28" s="8">
        <v>8</v>
      </c>
      <c r="G28" s="12">
        <v>2</v>
      </c>
      <c r="H28" s="8">
        <v>8.33</v>
      </c>
      <c r="I28" s="12">
        <v>0</v>
      </c>
    </row>
    <row r="29" spans="2:9" ht="15" customHeight="1" x14ac:dyDescent="0.2">
      <c r="B29" t="s">
        <v>228</v>
      </c>
      <c r="C29" s="12">
        <v>4</v>
      </c>
      <c r="D29" s="8">
        <v>7.55</v>
      </c>
      <c r="E29" s="12">
        <v>4</v>
      </c>
      <c r="F29" s="8">
        <v>16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218</v>
      </c>
      <c r="C30" s="12">
        <v>3</v>
      </c>
      <c r="D30" s="8">
        <v>5.66</v>
      </c>
      <c r="E30" s="12">
        <v>0</v>
      </c>
      <c r="F30" s="8">
        <v>0</v>
      </c>
      <c r="G30" s="12">
        <v>3</v>
      </c>
      <c r="H30" s="8">
        <v>12.5</v>
      </c>
      <c r="I30" s="12">
        <v>0</v>
      </c>
    </row>
    <row r="31" spans="2:9" ht="15" customHeight="1" x14ac:dyDescent="0.2">
      <c r="B31" t="s">
        <v>223</v>
      </c>
      <c r="C31" s="12">
        <v>3</v>
      </c>
      <c r="D31" s="8">
        <v>5.66</v>
      </c>
      <c r="E31" s="12">
        <v>1</v>
      </c>
      <c r="F31" s="8">
        <v>4</v>
      </c>
      <c r="G31" s="12">
        <v>2</v>
      </c>
      <c r="H31" s="8">
        <v>8.33</v>
      </c>
      <c r="I31" s="12">
        <v>0</v>
      </c>
    </row>
    <row r="32" spans="2:9" ht="15" customHeight="1" x14ac:dyDescent="0.2">
      <c r="B32" t="s">
        <v>224</v>
      </c>
      <c r="C32" s="12">
        <v>2</v>
      </c>
      <c r="D32" s="8">
        <v>3.77</v>
      </c>
      <c r="E32" s="12">
        <v>2</v>
      </c>
      <c r="F32" s="8">
        <v>8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239</v>
      </c>
      <c r="C33" s="12">
        <v>2</v>
      </c>
      <c r="D33" s="8">
        <v>3.77</v>
      </c>
      <c r="E33" s="12">
        <v>0</v>
      </c>
      <c r="F33" s="8">
        <v>0</v>
      </c>
      <c r="G33" s="12">
        <v>2</v>
      </c>
      <c r="H33" s="8">
        <v>8.33</v>
      </c>
      <c r="I33" s="12">
        <v>0</v>
      </c>
    </row>
    <row r="34" spans="2:9" ht="15" customHeight="1" x14ac:dyDescent="0.2">
      <c r="B34" t="s">
        <v>230</v>
      </c>
      <c r="C34" s="12">
        <v>2</v>
      </c>
      <c r="D34" s="8">
        <v>3.77</v>
      </c>
      <c r="E34" s="12">
        <v>0</v>
      </c>
      <c r="F34" s="8">
        <v>0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268</v>
      </c>
      <c r="C35" s="12">
        <v>1</v>
      </c>
      <c r="D35" s="8">
        <v>1.89</v>
      </c>
      <c r="E35" s="12">
        <v>0</v>
      </c>
      <c r="F35" s="8">
        <v>0</v>
      </c>
      <c r="G35" s="12">
        <v>1</v>
      </c>
      <c r="H35" s="8">
        <v>4.17</v>
      </c>
      <c r="I35" s="12">
        <v>0</v>
      </c>
    </row>
    <row r="36" spans="2:9" ht="15" customHeight="1" x14ac:dyDescent="0.2">
      <c r="B36" t="s">
        <v>265</v>
      </c>
      <c r="C36" s="12">
        <v>1</v>
      </c>
      <c r="D36" s="8">
        <v>1.89</v>
      </c>
      <c r="E36" s="12">
        <v>0</v>
      </c>
      <c r="F36" s="8">
        <v>0</v>
      </c>
      <c r="G36" s="12">
        <v>1</v>
      </c>
      <c r="H36" s="8">
        <v>4.17</v>
      </c>
      <c r="I36" s="12">
        <v>0</v>
      </c>
    </row>
    <row r="37" spans="2:9" ht="15" customHeight="1" x14ac:dyDescent="0.2">
      <c r="B37" t="s">
        <v>255</v>
      </c>
      <c r="C37" s="12">
        <v>1</v>
      </c>
      <c r="D37" s="8">
        <v>1.89</v>
      </c>
      <c r="E37" s="12">
        <v>0</v>
      </c>
      <c r="F37" s="8">
        <v>0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222</v>
      </c>
      <c r="C38" s="12">
        <v>1</v>
      </c>
      <c r="D38" s="8">
        <v>1.89</v>
      </c>
      <c r="E38" s="12">
        <v>1</v>
      </c>
      <c r="F38" s="8">
        <v>4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237</v>
      </c>
      <c r="C39" s="12">
        <v>1</v>
      </c>
      <c r="D39" s="8">
        <v>1.89</v>
      </c>
      <c r="E39" s="12">
        <v>0</v>
      </c>
      <c r="F39" s="8">
        <v>0</v>
      </c>
      <c r="G39" s="12">
        <v>1</v>
      </c>
      <c r="H39" s="8">
        <v>4.17</v>
      </c>
      <c r="I39" s="12">
        <v>0</v>
      </c>
    </row>
    <row r="40" spans="2:9" ht="15" customHeight="1" x14ac:dyDescent="0.2">
      <c r="B40" t="s">
        <v>231</v>
      </c>
      <c r="C40" s="12">
        <v>1</v>
      </c>
      <c r="D40" s="8">
        <v>1.89</v>
      </c>
      <c r="E40" s="12">
        <v>1</v>
      </c>
      <c r="F40" s="8">
        <v>4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232</v>
      </c>
      <c r="C41" s="12">
        <v>1</v>
      </c>
      <c r="D41" s="8">
        <v>1.89</v>
      </c>
      <c r="E41" s="12">
        <v>0</v>
      </c>
      <c r="F41" s="8">
        <v>0</v>
      </c>
      <c r="G41" s="12">
        <v>0</v>
      </c>
      <c r="H41" s="8">
        <v>0</v>
      </c>
      <c r="I41" s="12">
        <v>0</v>
      </c>
    </row>
    <row r="44" spans="2:9" ht="33" customHeight="1" x14ac:dyDescent="0.2">
      <c r="B44" t="s">
        <v>531</v>
      </c>
      <c r="C44" s="10" t="s">
        <v>206</v>
      </c>
      <c r="D44" s="10" t="s">
        <v>207</v>
      </c>
      <c r="E44" s="10" t="s">
        <v>208</v>
      </c>
      <c r="F44" s="10" t="s">
        <v>209</v>
      </c>
      <c r="G44" s="10" t="s">
        <v>210</v>
      </c>
      <c r="H44" s="10" t="s">
        <v>211</v>
      </c>
      <c r="I44" s="10" t="s">
        <v>212</v>
      </c>
    </row>
    <row r="45" spans="2:9" ht="15" customHeight="1" x14ac:dyDescent="0.2">
      <c r="B45" t="s">
        <v>339</v>
      </c>
      <c r="C45" s="12">
        <v>5</v>
      </c>
      <c r="D45" s="8">
        <v>9.43</v>
      </c>
      <c r="E45" s="12">
        <v>5</v>
      </c>
      <c r="F45" s="8">
        <v>20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291</v>
      </c>
      <c r="C46" s="12">
        <v>4</v>
      </c>
      <c r="D46" s="8">
        <v>7.55</v>
      </c>
      <c r="E46" s="12">
        <v>1</v>
      </c>
      <c r="F46" s="8">
        <v>4</v>
      </c>
      <c r="G46" s="12">
        <v>3</v>
      </c>
      <c r="H46" s="8">
        <v>12.5</v>
      </c>
      <c r="I46" s="12">
        <v>0</v>
      </c>
    </row>
    <row r="47" spans="2:9" ht="15" customHeight="1" x14ac:dyDescent="0.2">
      <c r="B47" t="s">
        <v>328</v>
      </c>
      <c r="C47" s="12">
        <v>3</v>
      </c>
      <c r="D47" s="8">
        <v>5.66</v>
      </c>
      <c r="E47" s="12">
        <v>1</v>
      </c>
      <c r="F47" s="8">
        <v>4</v>
      </c>
      <c r="G47" s="12">
        <v>2</v>
      </c>
      <c r="H47" s="8">
        <v>8.33</v>
      </c>
      <c r="I47" s="12">
        <v>0</v>
      </c>
    </row>
    <row r="48" spans="2:9" ht="15" customHeight="1" x14ac:dyDescent="0.2">
      <c r="B48" t="s">
        <v>295</v>
      </c>
      <c r="C48" s="12">
        <v>3</v>
      </c>
      <c r="D48" s="8">
        <v>5.66</v>
      </c>
      <c r="E48" s="12">
        <v>1</v>
      </c>
      <c r="F48" s="8">
        <v>4</v>
      </c>
      <c r="G48" s="12">
        <v>2</v>
      </c>
      <c r="H48" s="8">
        <v>8.33</v>
      </c>
      <c r="I48" s="12">
        <v>0</v>
      </c>
    </row>
    <row r="49" spans="2:9" ht="15" customHeight="1" x14ac:dyDescent="0.2">
      <c r="B49" t="s">
        <v>303</v>
      </c>
      <c r="C49" s="12">
        <v>3</v>
      </c>
      <c r="D49" s="8">
        <v>5.66</v>
      </c>
      <c r="E49" s="12">
        <v>3</v>
      </c>
      <c r="F49" s="8">
        <v>12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333</v>
      </c>
      <c r="C50" s="12">
        <v>2</v>
      </c>
      <c r="D50" s="8">
        <v>3.77</v>
      </c>
      <c r="E50" s="12">
        <v>1</v>
      </c>
      <c r="F50" s="8">
        <v>4</v>
      </c>
      <c r="G50" s="12">
        <v>1</v>
      </c>
      <c r="H50" s="8">
        <v>4.17</v>
      </c>
      <c r="I50" s="12">
        <v>0</v>
      </c>
    </row>
    <row r="51" spans="2:9" ht="15" customHeight="1" x14ac:dyDescent="0.2">
      <c r="B51" t="s">
        <v>437</v>
      </c>
      <c r="C51" s="12">
        <v>2</v>
      </c>
      <c r="D51" s="8">
        <v>3.77</v>
      </c>
      <c r="E51" s="12">
        <v>0</v>
      </c>
      <c r="F51" s="8">
        <v>0</v>
      </c>
      <c r="G51" s="12">
        <v>2</v>
      </c>
      <c r="H51" s="8">
        <v>8.33</v>
      </c>
      <c r="I51" s="12">
        <v>0</v>
      </c>
    </row>
    <row r="52" spans="2:9" ht="15" customHeight="1" x14ac:dyDescent="0.2">
      <c r="B52" t="s">
        <v>336</v>
      </c>
      <c r="C52" s="12">
        <v>2</v>
      </c>
      <c r="D52" s="8">
        <v>3.77</v>
      </c>
      <c r="E52" s="12">
        <v>2</v>
      </c>
      <c r="F52" s="8">
        <v>8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292</v>
      </c>
      <c r="C53" s="12">
        <v>2</v>
      </c>
      <c r="D53" s="8">
        <v>3.77</v>
      </c>
      <c r="E53" s="12">
        <v>1</v>
      </c>
      <c r="F53" s="8">
        <v>4</v>
      </c>
      <c r="G53" s="12">
        <v>1</v>
      </c>
      <c r="H53" s="8">
        <v>4.17</v>
      </c>
      <c r="I53" s="12">
        <v>0</v>
      </c>
    </row>
    <row r="54" spans="2:9" ht="15" customHeight="1" x14ac:dyDescent="0.2">
      <c r="B54" t="s">
        <v>297</v>
      </c>
      <c r="C54" s="12">
        <v>2</v>
      </c>
      <c r="D54" s="8">
        <v>3.77</v>
      </c>
      <c r="E54" s="12">
        <v>2</v>
      </c>
      <c r="F54" s="8">
        <v>8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325</v>
      </c>
      <c r="C55" s="12">
        <v>2</v>
      </c>
      <c r="D55" s="8">
        <v>3.77</v>
      </c>
      <c r="E55" s="12">
        <v>0</v>
      </c>
      <c r="F55" s="8">
        <v>0</v>
      </c>
      <c r="G55" s="12">
        <v>2</v>
      </c>
      <c r="H55" s="8">
        <v>8.33</v>
      </c>
      <c r="I55" s="12">
        <v>0</v>
      </c>
    </row>
    <row r="56" spans="2:9" ht="15" customHeight="1" x14ac:dyDescent="0.2">
      <c r="B56" t="s">
        <v>340</v>
      </c>
      <c r="C56" s="12">
        <v>2</v>
      </c>
      <c r="D56" s="8">
        <v>3.77</v>
      </c>
      <c r="E56" s="12">
        <v>0</v>
      </c>
      <c r="F56" s="8">
        <v>0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288</v>
      </c>
      <c r="C57" s="12">
        <v>1</v>
      </c>
      <c r="D57" s="8">
        <v>1.89</v>
      </c>
      <c r="E57" s="12">
        <v>0</v>
      </c>
      <c r="F57" s="8">
        <v>0</v>
      </c>
      <c r="G57" s="12">
        <v>1</v>
      </c>
      <c r="H57" s="8">
        <v>4.17</v>
      </c>
      <c r="I57" s="12">
        <v>0</v>
      </c>
    </row>
    <row r="58" spans="2:9" ht="15" customHeight="1" x14ac:dyDescent="0.2">
      <c r="B58" t="s">
        <v>289</v>
      </c>
      <c r="C58" s="12">
        <v>1</v>
      </c>
      <c r="D58" s="8">
        <v>1.89</v>
      </c>
      <c r="E58" s="12">
        <v>0</v>
      </c>
      <c r="F58" s="8">
        <v>0</v>
      </c>
      <c r="G58" s="12">
        <v>1</v>
      </c>
      <c r="H58" s="8">
        <v>4.17</v>
      </c>
      <c r="I58" s="12">
        <v>0</v>
      </c>
    </row>
    <row r="59" spans="2:9" ht="15" customHeight="1" x14ac:dyDescent="0.2">
      <c r="B59" t="s">
        <v>353</v>
      </c>
      <c r="C59" s="12">
        <v>1</v>
      </c>
      <c r="D59" s="8">
        <v>1.89</v>
      </c>
      <c r="E59" s="12">
        <v>1</v>
      </c>
      <c r="F59" s="8">
        <v>4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375</v>
      </c>
      <c r="C60" s="12">
        <v>1</v>
      </c>
      <c r="D60" s="8">
        <v>1.89</v>
      </c>
      <c r="E60" s="12">
        <v>0</v>
      </c>
      <c r="F60" s="8">
        <v>0</v>
      </c>
      <c r="G60" s="12">
        <v>1</v>
      </c>
      <c r="H60" s="8">
        <v>4.17</v>
      </c>
      <c r="I60" s="12">
        <v>0</v>
      </c>
    </row>
    <row r="61" spans="2:9" ht="15" customHeight="1" x14ac:dyDescent="0.2">
      <c r="B61" t="s">
        <v>436</v>
      </c>
      <c r="C61" s="12">
        <v>1</v>
      </c>
      <c r="D61" s="8">
        <v>1.89</v>
      </c>
      <c r="E61" s="12">
        <v>0</v>
      </c>
      <c r="F61" s="8">
        <v>0</v>
      </c>
      <c r="G61" s="12">
        <v>1</v>
      </c>
      <c r="H61" s="8">
        <v>4.17</v>
      </c>
      <c r="I61" s="12">
        <v>0</v>
      </c>
    </row>
    <row r="62" spans="2:9" ht="15" customHeight="1" x14ac:dyDescent="0.2">
      <c r="B62" t="s">
        <v>438</v>
      </c>
      <c r="C62" s="12">
        <v>1</v>
      </c>
      <c r="D62" s="8">
        <v>1.89</v>
      </c>
      <c r="E62" s="12">
        <v>0</v>
      </c>
      <c r="F62" s="8">
        <v>0</v>
      </c>
      <c r="G62" s="12">
        <v>1</v>
      </c>
      <c r="H62" s="8">
        <v>4.17</v>
      </c>
      <c r="I62" s="12">
        <v>0</v>
      </c>
    </row>
    <row r="63" spans="2:9" ht="15" customHeight="1" x14ac:dyDescent="0.2">
      <c r="B63" t="s">
        <v>439</v>
      </c>
      <c r="C63" s="12">
        <v>1</v>
      </c>
      <c r="D63" s="8">
        <v>1.89</v>
      </c>
      <c r="E63" s="12">
        <v>0</v>
      </c>
      <c r="F63" s="8">
        <v>0</v>
      </c>
      <c r="G63" s="12">
        <v>1</v>
      </c>
      <c r="H63" s="8">
        <v>4.17</v>
      </c>
      <c r="I63" s="12">
        <v>0</v>
      </c>
    </row>
    <row r="64" spans="2:9" ht="15" customHeight="1" x14ac:dyDescent="0.2">
      <c r="B64" t="s">
        <v>361</v>
      </c>
      <c r="C64" s="12">
        <v>1</v>
      </c>
      <c r="D64" s="8">
        <v>1.89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421</v>
      </c>
      <c r="C65" s="12">
        <v>1</v>
      </c>
      <c r="D65" s="8">
        <v>1.89</v>
      </c>
      <c r="E65" s="12">
        <v>0</v>
      </c>
      <c r="F65" s="8">
        <v>0</v>
      </c>
      <c r="G65" s="12">
        <v>1</v>
      </c>
      <c r="H65" s="8">
        <v>4.17</v>
      </c>
      <c r="I65" s="12">
        <v>0</v>
      </c>
    </row>
    <row r="66" spans="2:9" ht="15" customHeight="1" x14ac:dyDescent="0.2">
      <c r="B66" t="s">
        <v>440</v>
      </c>
      <c r="C66" s="12">
        <v>1</v>
      </c>
      <c r="D66" s="8">
        <v>1.89</v>
      </c>
      <c r="E66" s="12">
        <v>0</v>
      </c>
      <c r="F66" s="8">
        <v>0</v>
      </c>
      <c r="G66" s="12">
        <v>1</v>
      </c>
      <c r="H66" s="8">
        <v>4.17</v>
      </c>
      <c r="I66" s="12">
        <v>0</v>
      </c>
    </row>
    <row r="67" spans="2:9" ht="15" customHeight="1" x14ac:dyDescent="0.2">
      <c r="B67" t="s">
        <v>441</v>
      </c>
      <c r="C67" s="12">
        <v>1</v>
      </c>
      <c r="D67" s="8">
        <v>1.89</v>
      </c>
      <c r="E67" s="12">
        <v>0</v>
      </c>
      <c r="F67" s="8">
        <v>0</v>
      </c>
      <c r="G67" s="12">
        <v>1</v>
      </c>
      <c r="H67" s="8">
        <v>4.17</v>
      </c>
      <c r="I67" s="12">
        <v>0</v>
      </c>
    </row>
    <row r="68" spans="2:9" ht="15" customHeight="1" x14ac:dyDescent="0.2">
      <c r="B68" t="s">
        <v>354</v>
      </c>
      <c r="C68" s="12">
        <v>1</v>
      </c>
      <c r="D68" s="8">
        <v>1.89</v>
      </c>
      <c r="E68" s="12">
        <v>1</v>
      </c>
      <c r="F68" s="8">
        <v>4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366</v>
      </c>
      <c r="C69" s="12">
        <v>1</v>
      </c>
      <c r="D69" s="8">
        <v>1.89</v>
      </c>
      <c r="E69" s="12">
        <v>1</v>
      </c>
      <c r="F69" s="8">
        <v>4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380</v>
      </c>
      <c r="C70" s="12">
        <v>1</v>
      </c>
      <c r="D70" s="8">
        <v>1.89</v>
      </c>
      <c r="E70" s="12">
        <v>1</v>
      </c>
      <c r="F70" s="8">
        <v>4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332</v>
      </c>
      <c r="C71" s="12">
        <v>1</v>
      </c>
      <c r="D71" s="8">
        <v>1.89</v>
      </c>
      <c r="E71" s="12">
        <v>1</v>
      </c>
      <c r="F71" s="8">
        <v>4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335</v>
      </c>
      <c r="C72" s="12">
        <v>1</v>
      </c>
      <c r="D72" s="8">
        <v>1.89</v>
      </c>
      <c r="E72" s="12">
        <v>1</v>
      </c>
      <c r="F72" s="8">
        <v>4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322</v>
      </c>
      <c r="C73" s="12">
        <v>1</v>
      </c>
      <c r="D73" s="8">
        <v>1.89</v>
      </c>
      <c r="E73" s="12">
        <v>0</v>
      </c>
      <c r="F73" s="8">
        <v>0</v>
      </c>
      <c r="G73" s="12">
        <v>1</v>
      </c>
      <c r="H73" s="8">
        <v>4.17</v>
      </c>
      <c r="I73" s="12">
        <v>0</v>
      </c>
    </row>
    <row r="74" spans="2:9" ht="15" customHeight="1" x14ac:dyDescent="0.2">
      <c r="B74" t="s">
        <v>405</v>
      </c>
      <c r="C74" s="12">
        <v>1</v>
      </c>
      <c r="D74" s="8">
        <v>1.89</v>
      </c>
      <c r="E74" s="12">
        <v>0</v>
      </c>
      <c r="F74" s="8">
        <v>0</v>
      </c>
      <c r="G74" s="12">
        <v>1</v>
      </c>
      <c r="H74" s="8">
        <v>4.17</v>
      </c>
      <c r="I74" s="12">
        <v>0</v>
      </c>
    </row>
    <row r="75" spans="2:9" ht="15" customHeight="1" x14ac:dyDescent="0.2">
      <c r="B75" t="s">
        <v>304</v>
      </c>
      <c r="C75" s="12">
        <v>1</v>
      </c>
      <c r="D75" s="8">
        <v>1.89</v>
      </c>
      <c r="E75" s="12">
        <v>1</v>
      </c>
      <c r="F75" s="8">
        <v>4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312</v>
      </c>
      <c r="C76" s="12">
        <v>1</v>
      </c>
      <c r="D76" s="8">
        <v>1.89</v>
      </c>
      <c r="E76" s="12">
        <v>1</v>
      </c>
      <c r="F76" s="8">
        <v>4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331</v>
      </c>
      <c r="C77" s="12">
        <v>1</v>
      </c>
      <c r="D77" s="8">
        <v>1.89</v>
      </c>
      <c r="E77" s="12">
        <v>0</v>
      </c>
      <c r="F77" s="8">
        <v>0</v>
      </c>
      <c r="G77" s="12">
        <v>0</v>
      </c>
      <c r="H77" s="8">
        <v>0</v>
      </c>
      <c r="I77" s="12">
        <v>0</v>
      </c>
    </row>
    <row r="79" spans="2:9" ht="15" customHeight="1" x14ac:dyDescent="0.2">
      <c r="B7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78419-5D8F-47AF-8862-A1FBC162FDCF}">
  <sheetPr>
    <pageSetUpPr fitToPage="1"/>
  </sheetPr>
  <dimension ref="B2:I7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609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</v>
      </c>
      <c r="D6" s="8">
        <v>8.11</v>
      </c>
      <c r="E6" s="12">
        <v>0</v>
      </c>
      <c r="F6" s="8">
        <v>0</v>
      </c>
      <c r="G6" s="12">
        <v>3</v>
      </c>
      <c r="H6" s="8">
        <v>23.08</v>
      </c>
      <c r="I6" s="12">
        <v>0</v>
      </c>
    </row>
    <row r="7" spans="2:9" ht="15" customHeight="1" x14ac:dyDescent="0.2">
      <c r="B7" t="s">
        <v>192</v>
      </c>
      <c r="C7" s="12">
        <v>1</v>
      </c>
      <c r="D7" s="8">
        <v>2.7</v>
      </c>
      <c r="E7" s="12">
        <v>1</v>
      </c>
      <c r="F7" s="8">
        <v>4.3499999999999996</v>
      </c>
      <c r="G7" s="12">
        <v>0</v>
      </c>
      <c r="H7" s="8">
        <v>0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2.7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2.7</v>
      </c>
      <c r="E9" s="12">
        <v>0</v>
      </c>
      <c r="F9" s="8">
        <v>0</v>
      </c>
      <c r="G9" s="12">
        <v>1</v>
      </c>
      <c r="H9" s="8">
        <v>7.69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11</v>
      </c>
      <c r="D11" s="8">
        <v>29.73</v>
      </c>
      <c r="E11" s="12">
        <v>9</v>
      </c>
      <c r="F11" s="8">
        <v>39.130000000000003</v>
      </c>
      <c r="G11" s="12">
        <v>2</v>
      </c>
      <c r="H11" s="8">
        <v>15.38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1</v>
      </c>
      <c r="D13" s="8">
        <v>2.7</v>
      </c>
      <c r="E13" s="12">
        <v>0</v>
      </c>
      <c r="F13" s="8">
        <v>0</v>
      </c>
      <c r="G13" s="12">
        <v>1</v>
      </c>
      <c r="H13" s="8">
        <v>7.69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11</v>
      </c>
      <c r="D15" s="8">
        <v>29.73</v>
      </c>
      <c r="E15" s="12">
        <v>7</v>
      </c>
      <c r="F15" s="8">
        <v>30.43</v>
      </c>
      <c r="G15" s="12">
        <v>4</v>
      </c>
      <c r="H15" s="8">
        <v>30.77</v>
      </c>
      <c r="I15" s="12">
        <v>0</v>
      </c>
    </row>
    <row r="16" spans="2:9" ht="15" customHeight="1" x14ac:dyDescent="0.2">
      <c r="B16" t="s">
        <v>201</v>
      </c>
      <c r="C16" s="12">
        <v>3</v>
      </c>
      <c r="D16" s="8">
        <v>8.11</v>
      </c>
      <c r="E16" s="12">
        <v>3</v>
      </c>
      <c r="F16" s="8">
        <v>13.04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8.11</v>
      </c>
      <c r="E18" s="12">
        <v>1</v>
      </c>
      <c r="F18" s="8">
        <v>4.3499999999999996</v>
      </c>
      <c r="G18" s="12">
        <v>2</v>
      </c>
      <c r="H18" s="8">
        <v>15.38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5.41</v>
      </c>
      <c r="E19" s="12">
        <v>2</v>
      </c>
      <c r="F19" s="8">
        <v>8.6999999999999993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SUM(LTBL_01404[総数／事業所数])</f>
        <v>37</v>
      </c>
      <c r="E20" s="12">
        <f>SUBTOTAL(109,LTBL_01404[個人／事業所数])</f>
        <v>23</v>
      </c>
      <c r="G20" s="12">
        <f>SUBTOTAL(109,LTBL_01404[法人／事業所数])</f>
        <v>13</v>
      </c>
      <c r="I20" s="12">
        <f>SUBTOTAL(109,LTBL_01404[法人以外の団体／事業所数])</f>
        <v>0</v>
      </c>
    </row>
    <row r="21" spans="2:9" ht="15" customHeight="1" x14ac:dyDescent="0.2">
      <c r="E21" s="11">
        <f>LTBL_01404[[#Totals],[個人／事業所数]]/LTBL_01404[[#Totals],[総数／事業所数]]</f>
        <v>0.6216216216216216</v>
      </c>
      <c r="G21" s="11">
        <f>LTBL_01404[[#Totals],[法人／事業所数]]/LTBL_01404[[#Totals],[総数／事業所数]]</f>
        <v>0.35135135135135137</v>
      </c>
      <c r="I21" s="11">
        <f>LTBL_01404[[#Totals],[法人以外の団体／事業所数]]/LTBL_01404[[#Totals],[総数／事業所数]]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221</v>
      </c>
      <c r="C24" s="12">
        <v>7</v>
      </c>
      <c r="D24" s="8">
        <v>18.920000000000002</v>
      </c>
      <c r="E24" s="12">
        <v>6</v>
      </c>
      <c r="F24" s="8">
        <v>26.09</v>
      </c>
      <c r="G24" s="12">
        <v>1</v>
      </c>
      <c r="H24" s="8">
        <v>7.69</v>
      </c>
      <c r="I24" s="12">
        <v>0</v>
      </c>
    </row>
    <row r="25" spans="2:9" ht="15" customHeight="1" x14ac:dyDescent="0.2">
      <c r="B25" t="s">
        <v>227</v>
      </c>
      <c r="C25" s="12">
        <v>7</v>
      </c>
      <c r="D25" s="8">
        <v>18.920000000000002</v>
      </c>
      <c r="E25" s="12">
        <v>5</v>
      </c>
      <c r="F25" s="8">
        <v>21.74</v>
      </c>
      <c r="G25" s="12">
        <v>2</v>
      </c>
      <c r="H25" s="8">
        <v>15.38</v>
      </c>
      <c r="I25" s="12">
        <v>0</v>
      </c>
    </row>
    <row r="26" spans="2:9" ht="15" customHeight="1" x14ac:dyDescent="0.2">
      <c r="B26" t="s">
        <v>223</v>
      </c>
      <c r="C26" s="12">
        <v>4</v>
      </c>
      <c r="D26" s="8">
        <v>10.81</v>
      </c>
      <c r="E26" s="12">
        <v>3</v>
      </c>
      <c r="F26" s="8">
        <v>13.04</v>
      </c>
      <c r="G26" s="12">
        <v>1</v>
      </c>
      <c r="H26" s="8">
        <v>7.69</v>
      </c>
      <c r="I26" s="12">
        <v>0</v>
      </c>
    </row>
    <row r="27" spans="2:9" ht="15" customHeight="1" x14ac:dyDescent="0.2">
      <c r="B27" t="s">
        <v>243</v>
      </c>
      <c r="C27" s="12">
        <v>4</v>
      </c>
      <c r="D27" s="8">
        <v>10.81</v>
      </c>
      <c r="E27" s="12">
        <v>2</v>
      </c>
      <c r="F27" s="8">
        <v>8.6999999999999993</v>
      </c>
      <c r="G27" s="12">
        <v>2</v>
      </c>
      <c r="H27" s="8">
        <v>15.38</v>
      </c>
      <c r="I27" s="12">
        <v>0</v>
      </c>
    </row>
    <row r="28" spans="2:9" ht="15" customHeight="1" x14ac:dyDescent="0.2">
      <c r="B28" t="s">
        <v>228</v>
      </c>
      <c r="C28" s="12">
        <v>3</v>
      </c>
      <c r="D28" s="8">
        <v>8.11</v>
      </c>
      <c r="E28" s="12">
        <v>3</v>
      </c>
      <c r="F28" s="8">
        <v>13.04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232</v>
      </c>
      <c r="C29" s="12">
        <v>2</v>
      </c>
      <c r="D29" s="8">
        <v>5.41</v>
      </c>
      <c r="E29" s="12">
        <v>0</v>
      </c>
      <c r="F29" s="8">
        <v>0</v>
      </c>
      <c r="G29" s="12">
        <v>2</v>
      </c>
      <c r="H29" s="8">
        <v>15.38</v>
      </c>
      <c r="I29" s="12">
        <v>0</v>
      </c>
    </row>
    <row r="30" spans="2:9" ht="15" customHeight="1" x14ac:dyDescent="0.2">
      <c r="B30" t="s">
        <v>213</v>
      </c>
      <c r="C30" s="12">
        <v>1</v>
      </c>
      <c r="D30" s="8">
        <v>2.7</v>
      </c>
      <c r="E30" s="12">
        <v>0</v>
      </c>
      <c r="F30" s="8">
        <v>0</v>
      </c>
      <c r="G30" s="12">
        <v>1</v>
      </c>
      <c r="H30" s="8">
        <v>7.69</v>
      </c>
      <c r="I30" s="12">
        <v>0</v>
      </c>
    </row>
    <row r="31" spans="2:9" ht="15" customHeight="1" x14ac:dyDescent="0.2">
      <c r="B31" t="s">
        <v>214</v>
      </c>
      <c r="C31" s="12">
        <v>1</v>
      </c>
      <c r="D31" s="8">
        <v>2.7</v>
      </c>
      <c r="E31" s="12">
        <v>0</v>
      </c>
      <c r="F31" s="8">
        <v>0</v>
      </c>
      <c r="G31" s="12">
        <v>1</v>
      </c>
      <c r="H31" s="8">
        <v>7.69</v>
      </c>
      <c r="I31" s="12">
        <v>0</v>
      </c>
    </row>
    <row r="32" spans="2:9" ht="15" customHeight="1" x14ac:dyDescent="0.2">
      <c r="B32" t="s">
        <v>215</v>
      </c>
      <c r="C32" s="12">
        <v>1</v>
      </c>
      <c r="D32" s="8">
        <v>2.7</v>
      </c>
      <c r="E32" s="12">
        <v>0</v>
      </c>
      <c r="F32" s="8">
        <v>0</v>
      </c>
      <c r="G32" s="12">
        <v>1</v>
      </c>
      <c r="H32" s="8">
        <v>7.69</v>
      </c>
      <c r="I32" s="12">
        <v>0</v>
      </c>
    </row>
    <row r="33" spans="2:9" ht="15" customHeight="1" x14ac:dyDescent="0.2">
      <c r="B33" t="s">
        <v>241</v>
      </c>
      <c r="C33" s="12">
        <v>1</v>
      </c>
      <c r="D33" s="8">
        <v>2.7</v>
      </c>
      <c r="E33" s="12">
        <v>1</v>
      </c>
      <c r="F33" s="8">
        <v>4.3499999999999996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255</v>
      </c>
      <c r="C34" s="12">
        <v>1</v>
      </c>
      <c r="D34" s="8">
        <v>2.7</v>
      </c>
      <c r="E34" s="12">
        <v>0</v>
      </c>
      <c r="F34" s="8">
        <v>0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235</v>
      </c>
      <c r="C35" s="12">
        <v>1</v>
      </c>
      <c r="D35" s="8">
        <v>2.7</v>
      </c>
      <c r="E35" s="12">
        <v>0</v>
      </c>
      <c r="F35" s="8">
        <v>0</v>
      </c>
      <c r="G35" s="12">
        <v>1</v>
      </c>
      <c r="H35" s="8">
        <v>7.69</v>
      </c>
      <c r="I35" s="12">
        <v>0</v>
      </c>
    </row>
    <row r="36" spans="2:9" ht="15" customHeight="1" x14ac:dyDescent="0.2">
      <c r="B36" t="s">
        <v>224</v>
      </c>
      <c r="C36" s="12">
        <v>1</v>
      </c>
      <c r="D36" s="8">
        <v>2.7</v>
      </c>
      <c r="E36" s="12">
        <v>0</v>
      </c>
      <c r="F36" s="8">
        <v>0</v>
      </c>
      <c r="G36" s="12">
        <v>1</v>
      </c>
      <c r="H36" s="8">
        <v>7.69</v>
      </c>
      <c r="I36" s="12">
        <v>0</v>
      </c>
    </row>
    <row r="37" spans="2:9" ht="15" customHeight="1" x14ac:dyDescent="0.2">
      <c r="B37" t="s">
        <v>231</v>
      </c>
      <c r="C37" s="12">
        <v>1</v>
      </c>
      <c r="D37" s="8">
        <v>2.7</v>
      </c>
      <c r="E37" s="12">
        <v>1</v>
      </c>
      <c r="F37" s="8">
        <v>4.3499999999999996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249</v>
      </c>
      <c r="C38" s="12">
        <v>1</v>
      </c>
      <c r="D38" s="8">
        <v>2.7</v>
      </c>
      <c r="E38" s="12">
        <v>1</v>
      </c>
      <c r="F38" s="8">
        <v>4.3499999999999996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240</v>
      </c>
      <c r="C39" s="12">
        <v>1</v>
      </c>
      <c r="D39" s="8">
        <v>2.7</v>
      </c>
      <c r="E39" s="12">
        <v>1</v>
      </c>
      <c r="F39" s="8">
        <v>4.3499999999999996</v>
      </c>
      <c r="G39" s="12">
        <v>0</v>
      </c>
      <c r="H39" s="8">
        <v>0</v>
      </c>
      <c r="I39" s="12">
        <v>0</v>
      </c>
    </row>
    <row r="42" spans="2:9" ht="33" customHeight="1" x14ac:dyDescent="0.2">
      <c r="B42" t="s">
        <v>531</v>
      </c>
      <c r="C42" s="10" t="s">
        <v>206</v>
      </c>
      <c r="D42" s="10" t="s">
        <v>207</v>
      </c>
      <c r="E42" s="10" t="s">
        <v>208</v>
      </c>
      <c r="F42" s="10" t="s">
        <v>209</v>
      </c>
      <c r="G42" s="10" t="s">
        <v>210</v>
      </c>
      <c r="H42" s="10" t="s">
        <v>211</v>
      </c>
      <c r="I42" s="10" t="s">
        <v>212</v>
      </c>
    </row>
    <row r="43" spans="2:9" ht="15" customHeight="1" x14ac:dyDescent="0.2">
      <c r="B43" t="s">
        <v>292</v>
      </c>
      <c r="C43" s="12">
        <v>3</v>
      </c>
      <c r="D43" s="8">
        <v>8.11</v>
      </c>
      <c r="E43" s="12">
        <v>3</v>
      </c>
      <c r="F43" s="8">
        <v>13.04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339</v>
      </c>
      <c r="C44" s="12">
        <v>3</v>
      </c>
      <c r="D44" s="8">
        <v>8.11</v>
      </c>
      <c r="E44" s="12">
        <v>2</v>
      </c>
      <c r="F44" s="8">
        <v>8.6999999999999993</v>
      </c>
      <c r="G44" s="12">
        <v>1</v>
      </c>
      <c r="H44" s="8">
        <v>7.69</v>
      </c>
      <c r="I44" s="12">
        <v>0</v>
      </c>
    </row>
    <row r="45" spans="2:9" ht="15" customHeight="1" x14ac:dyDescent="0.2">
      <c r="B45" t="s">
        <v>354</v>
      </c>
      <c r="C45" s="12">
        <v>2</v>
      </c>
      <c r="D45" s="8">
        <v>5.41</v>
      </c>
      <c r="E45" s="12">
        <v>1</v>
      </c>
      <c r="F45" s="8">
        <v>4.3499999999999996</v>
      </c>
      <c r="G45" s="12">
        <v>1</v>
      </c>
      <c r="H45" s="8">
        <v>7.69</v>
      </c>
      <c r="I45" s="12">
        <v>0</v>
      </c>
    </row>
    <row r="46" spans="2:9" ht="15" customHeight="1" x14ac:dyDescent="0.2">
      <c r="B46" t="s">
        <v>337</v>
      </c>
      <c r="C46" s="12">
        <v>2</v>
      </c>
      <c r="D46" s="8">
        <v>5.41</v>
      </c>
      <c r="E46" s="12">
        <v>2</v>
      </c>
      <c r="F46" s="8">
        <v>8.6999999999999993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301</v>
      </c>
      <c r="C47" s="12">
        <v>2</v>
      </c>
      <c r="D47" s="8">
        <v>5.41</v>
      </c>
      <c r="E47" s="12">
        <v>2</v>
      </c>
      <c r="F47" s="8">
        <v>8.6999999999999993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303</v>
      </c>
      <c r="C48" s="12">
        <v>2</v>
      </c>
      <c r="D48" s="8">
        <v>5.41</v>
      </c>
      <c r="E48" s="12">
        <v>2</v>
      </c>
      <c r="F48" s="8">
        <v>8.6999999999999993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288</v>
      </c>
      <c r="C49" s="12">
        <v>1</v>
      </c>
      <c r="D49" s="8">
        <v>2.7</v>
      </c>
      <c r="E49" s="12">
        <v>0</v>
      </c>
      <c r="F49" s="8">
        <v>0</v>
      </c>
      <c r="G49" s="12">
        <v>1</v>
      </c>
      <c r="H49" s="8">
        <v>7.69</v>
      </c>
      <c r="I49" s="12">
        <v>0</v>
      </c>
    </row>
    <row r="50" spans="2:9" ht="15" customHeight="1" x14ac:dyDescent="0.2">
      <c r="B50" t="s">
        <v>375</v>
      </c>
      <c r="C50" s="12">
        <v>1</v>
      </c>
      <c r="D50" s="8">
        <v>2.7</v>
      </c>
      <c r="E50" s="12">
        <v>0</v>
      </c>
      <c r="F50" s="8">
        <v>0</v>
      </c>
      <c r="G50" s="12">
        <v>1</v>
      </c>
      <c r="H50" s="8">
        <v>7.69</v>
      </c>
      <c r="I50" s="12">
        <v>0</v>
      </c>
    </row>
    <row r="51" spans="2:9" ht="15" customHeight="1" x14ac:dyDescent="0.2">
      <c r="B51" t="s">
        <v>291</v>
      </c>
      <c r="C51" s="12">
        <v>1</v>
      </c>
      <c r="D51" s="8">
        <v>2.7</v>
      </c>
      <c r="E51" s="12">
        <v>0</v>
      </c>
      <c r="F51" s="8">
        <v>0</v>
      </c>
      <c r="G51" s="12">
        <v>1</v>
      </c>
      <c r="H51" s="8">
        <v>7.69</v>
      </c>
      <c r="I51" s="12">
        <v>0</v>
      </c>
    </row>
    <row r="52" spans="2:9" ht="15" customHeight="1" x14ac:dyDescent="0.2">
      <c r="B52" t="s">
        <v>342</v>
      </c>
      <c r="C52" s="12">
        <v>1</v>
      </c>
      <c r="D52" s="8">
        <v>2.7</v>
      </c>
      <c r="E52" s="12">
        <v>1</v>
      </c>
      <c r="F52" s="8">
        <v>4.3499999999999996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361</v>
      </c>
      <c r="C53" s="12">
        <v>1</v>
      </c>
      <c r="D53" s="8">
        <v>2.7</v>
      </c>
      <c r="E53" s="12">
        <v>0</v>
      </c>
      <c r="F53" s="8">
        <v>0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313</v>
      </c>
      <c r="C54" s="12">
        <v>1</v>
      </c>
      <c r="D54" s="8">
        <v>2.7</v>
      </c>
      <c r="E54" s="12">
        <v>0</v>
      </c>
      <c r="F54" s="8">
        <v>0</v>
      </c>
      <c r="G54" s="12">
        <v>1</v>
      </c>
      <c r="H54" s="8">
        <v>7.69</v>
      </c>
      <c r="I54" s="12">
        <v>0</v>
      </c>
    </row>
    <row r="55" spans="2:9" ht="15" customHeight="1" x14ac:dyDescent="0.2">
      <c r="B55" t="s">
        <v>366</v>
      </c>
      <c r="C55" s="12">
        <v>1</v>
      </c>
      <c r="D55" s="8">
        <v>2.7</v>
      </c>
      <c r="E55" s="12">
        <v>1</v>
      </c>
      <c r="F55" s="8">
        <v>4.3499999999999996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329</v>
      </c>
      <c r="C56" s="12">
        <v>1</v>
      </c>
      <c r="D56" s="8">
        <v>2.7</v>
      </c>
      <c r="E56" s="12">
        <v>1</v>
      </c>
      <c r="F56" s="8">
        <v>4.3499999999999996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330</v>
      </c>
      <c r="C57" s="12">
        <v>1</v>
      </c>
      <c r="D57" s="8">
        <v>2.7</v>
      </c>
      <c r="E57" s="12">
        <v>0</v>
      </c>
      <c r="F57" s="8">
        <v>0</v>
      </c>
      <c r="G57" s="12">
        <v>1</v>
      </c>
      <c r="H57" s="8">
        <v>7.69</v>
      </c>
      <c r="I57" s="12">
        <v>0</v>
      </c>
    </row>
    <row r="58" spans="2:9" ht="15" customHeight="1" x14ac:dyDescent="0.2">
      <c r="B58" t="s">
        <v>295</v>
      </c>
      <c r="C58" s="12">
        <v>1</v>
      </c>
      <c r="D58" s="8">
        <v>2.7</v>
      </c>
      <c r="E58" s="12">
        <v>1</v>
      </c>
      <c r="F58" s="8">
        <v>4.3499999999999996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297</v>
      </c>
      <c r="C59" s="12">
        <v>1</v>
      </c>
      <c r="D59" s="8">
        <v>2.7</v>
      </c>
      <c r="E59" s="12">
        <v>0</v>
      </c>
      <c r="F59" s="8">
        <v>0</v>
      </c>
      <c r="G59" s="12">
        <v>1</v>
      </c>
      <c r="H59" s="8">
        <v>7.69</v>
      </c>
      <c r="I59" s="12">
        <v>0</v>
      </c>
    </row>
    <row r="60" spans="2:9" ht="15" customHeight="1" x14ac:dyDescent="0.2">
      <c r="B60" t="s">
        <v>405</v>
      </c>
      <c r="C60" s="12">
        <v>1</v>
      </c>
      <c r="D60" s="8">
        <v>2.7</v>
      </c>
      <c r="E60" s="12">
        <v>0</v>
      </c>
      <c r="F60" s="8">
        <v>0</v>
      </c>
      <c r="G60" s="12">
        <v>1</v>
      </c>
      <c r="H60" s="8">
        <v>7.69</v>
      </c>
      <c r="I60" s="12">
        <v>0</v>
      </c>
    </row>
    <row r="61" spans="2:9" ht="15" customHeight="1" x14ac:dyDescent="0.2">
      <c r="B61" t="s">
        <v>334</v>
      </c>
      <c r="C61" s="12">
        <v>1</v>
      </c>
      <c r="D61" s="8">
        <v>2.7</v>
      </c>
      <c r="E61" s="12">
        <v>1</v>
      </c>
      <c r="F61" s="8">
        <v>4.3499999999999996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299</v>
      </c>
      <c r="C62" s="12">
        <v>1</v>
      </c>
      <c r="D62" s="8">
        <v>2.7</v>
      </c>
      <c r="E62" s="12">
        <v>0</v>
      </c>
      <c r="F62" s="8">
        <v>0</v>
      </c>
      <c r="G62" s="12">
        <v>1</v>
      </c>
      <c r="H62" s="8">
        <v>7.69</v>
      </c>
      <c r="I62" s="12">
        <v>0</v>
      </c>
    </row>
    <row r="63" spans="2:9" ht="15" customHeight="1" x14ac:dyDescent="0.2">
      <c r="B63" t="s">
        <v>349</v>
      </c>
      <c r="C63" s="12">
        <v>1</v>
      </c>
      <c r="D63" s="8">
        <v>2.7</v>
      </c>
      <c r="E63" s="12">
        <v>0</v>
      </c>
      <c r="F63" s="8">
        <v>0</v>
      </c>
      <c r="G63" s="12">
        <v>1</v>
      </c>
      <c r="H63" s="8">
        <v>7.69</v>
      </c>
      <c r="I63" s="12">
        <v>0</v>
      </c>
    </row>
    <row r="64" spans="2:9" ht="15" customHeight="1" x14ac:dyDescent="0.2">
      <c r="B64" t="s">
        <v>300</v>
      </c>
      <c r="C64" s="12">
        <v>1</v>
      </c>
      <c r="D64" s="8">
        <v>2.7</v>
      </c>
      <c r="E64" s="12">
        <v>1</v>
      </c>
      <c r="F64" s="8">
        <v>4.3499999999999996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302</v>
      </c>
      <c r="C65" s="12">
        <v>1</v>
      </c>
      <c r="D65" s="8">
        <v>2.7</v>
      </c>
      <c r="E65" s="12">
        <v>1</v>
      </c>
      <c r="F65" s="8">
        <v>4.3499999999999996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304</v>
      </c>
      <c r="C66" s="12">
        <v>1</v>
      </c>
      <c r="D66" s="8">
        <v>2.7</v>
      </c>
      <c r="E66" s="12">
        <v>1</v>
      </c>
      <c r="F66" s="8">
        <v>4.3499999999999996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312</v>
      </c>
      <c r="C67" s="12">
        <v>1</v>
      </c>
      <c r="D67" s="8">
        <v>2.7</v>
      </c>
      <c r="E67" s="12">
        <v>1</v>
      </c>
      <c r="F67" s="8">
        <v>4.3499999999999996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331</v>
      </c>
      <c r="C68" s="12">
        <v>1</v>
      </c>
      <c r="D68" s="8">
        <v>2.7</v>
      </c>
      <c r="E68" s="12">
        <v>0</v>
      </c>
      <c r="F68" s="8">
        <v>0</v>
      </c>
      <c r="G68" s="12">
        <v>1</v>
      </c>
      <c r="H68" s="8">
        <v>7.69</v>
      </c>
      <c r="I68" s="12">
        <v>0</v>
      </c>
    </row>
    <row r="69" spans="2:9" ht="15" customHeight="1" x14ac:dyDescent="0.2">
      <c r="B69" t="s">
        <v>369</v>
      </c>
      <c r="C69" s="12">
        <v>1</v>
      </c>
      <c r="D69" s="8">
        <v>2.7</v>
      </c>
      <c r="E69" s="12">
        <v>0</v>
      </c>
      <c r="F69" s="8">
        <v>0</v>
      </c>
      <c r="G69" s="12">
        <v>1</v>
      </c>
      <c r="H69" s="8">
        <v>7.69</v>
      </c>
      <c r="I69" s="12">
        <v>0</v>
      </c>
    </row>
    <row r="70" spans="2:9" ht="15" customHeight="1" x14ac:dyDescent="0.2">
      <c r="B70" t="s">
        <v>370</v>
      </c>
      <c r="C70" s="12">
        <v>1</v>
      </c>
      <c r="D70" s="8">
        <v>2.7</v>
      </c>
      <c r="E70" s="12">
        <v>1</v>
      </c>
      <c r="F70" s="8">
        <v>4.3499999999999996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307</v>
      </c>
      <c r="C71" s="12">
        <v>1</v>
      </c>
      <c r="D71" s="8">
        <v>2.7</v>
      </c>
      <c r="E71" s="12">
        <v>1</v>
      </c>
      <c r="F71" s="8">
        <v>4.3499999999999996</v>
      </c>
      <c r="G71" s="12">
        <v>0</v>
      </c>
      <c r="H71" s="8">
        <v>0</v>
      </c>
      <c r="I71" s="12">
        <v>0</v>
      </c>
    </row>
    <row r="73" spans="2:9" ht="15" customHeight="1" x14ac:dyDescent="0.2">
      <c r="B7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36668-8E8D-4841-9D2D-92D219EAED45}">
  <sheetPr>
    <pageSetUpPr fitToPage="1"/>
  </sheetPr>
  <dimension ref="B2:I70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</v>
      </c>
      <c r="D6" s="8">
        <v>8.99</v>
      </c>
      <c r="E6" s="12">
        <v>3</v>
      </c>
      <c r="F6" s="8">
        <v>5.66</v>
      </c>
      <c r="G6" s="12">
        <v>5</v>
      </c>
      <c r="H6" s="8">
        <v>16.13</v>
      </c>
      <c r="I6" s="12">
        <v>0</v>
      </c>
    </row>
    <row r="7" spans="2:9" ht="15" customHeight="1" x14ac:dyDescent="0.2">
      <c r="B7" t="s">
        <v>192</v>
      </c>
      <c r="C7" s="12">
        <v>5</v>
      </c>
      <c r="D7" s="8">
        <v>5.62</v>
      </c>
      <c r="E7" s="12">
        <v>0</v>
      </c>
      <c r="F7" s="8">
        <v>0</v>
      </c>
      <c r="G7" s="12">
        <v>4</v>
      </c>
      <c r="H7" s="8">
        <v>12.9</v>
      </c>
      <c r="I7" s="12">
        <v>1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2.25</v>
      </c>
      <c r="E10" s="12">
        <v>2</v>
      </c>
      <c r="F10" s="8">
        <v>3.77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33</v>
      </c>
      <c r="D11" s="8">
        <v>37.08</v>
      </c>
      <c r="E11" s="12">
        <v>19</v>
      </c>
      <c r="F11" s="8">
        <v>35.85</v>
      </c>
      <c r="G11" s="12">
        <v>14</v>
      </c>
      <c r="H11" s="8">
        <v>45.16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27</v>
      </c>
      <c r="D15" s="8">
        <v>30.34</v>
      </c>
      <c r="E15" s="12">
        <v>19</v>
      </c>
      <c r="F15" s="8">
        <v>35.85</v>
      </c>
      <c r="G15" s="12">
        <v>7</v>
      </c>
      <c r="H15" s="8">
        <v>22.58</v>
      </c>
      <c r="I15" s="12">
        <v>0</v>
      </c>
    </row>
    <row r="16" spans="2:9" ht="15" customHeight="1" x14ac:dyDescent="0.2">
      <c r="B16" t="s">
        <v>201</v>
      </c>
      <c r="C16" s="12">
        <v>9</v>
      </c>
      <c r="D16" s="8">
        <v>10.11</v>
      </c>
      <c r="E16" s="12">
        <v>8</v>
      </c>
      <c r="F16" s="8">
        <v>15.09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1.1200000000000001</v>
      </c>
      <c r="E17" s="12">
        <v>1</v>
      </c>
      <c r="F17" s="8">
        <v>1.89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4.49</v>
      </c>
      <c r="E18" s="12">
        <v>1</v>
      </c>
      <c r="F18" s="8">
        <v>1.89</v>
      </c>
      <c r="G18" s="12">
        <v>1</v>
      </c>
      <c r="H18" s="8">
        <v>3.23</v>
      </c>
      <c r="I18" s="12">
        <v>0</v>
      </c>
    </row>
    <row r="19" spans="2:9" ht="15" customHeight="1" x14ac:dyDescent="0.2">
      <c r="B19" t="s">
        <v>204</v>
      </c>
      <c r="C19" s="12">
        <v>0</v>
      </c>
      <c r="D19" s="8">
        <v>0</v>
      </c>
      <c r="E19" s="12">
        <v>0</v>
      </c>
      <c r="F19" s="8">
        <v>0</v>
      </c>
      <c r="G19" s="12">
        <v>0</v>
      </c>
      <c r="H19" s="8">
        <v>0</v>
      </c>
      <c r="I19" s="12">
        <v>0</v>
      </c>
    </row>
    <row r="20" spans="2:9" ht="15" customHeight="1" x14ac:dyDescent="0.2">
      <c r="B20" s="9" t="s">
        <v>529</v>
      </c>
      <c r="C20" s="12">
        <f>SUM(LTBL_01405[総数／事業所数])</f>
        <v>89</v>
      </c>
      <c r="E20" s="12">
        <f>SUBTOTAL(109,LTBL_01405[個人／事業所数])</f>
        <v>53</v>
      </c>
      <c r="G20" s="12">
        <f>SUBTOTAL(109,LTBL_01405[法人／事業所数])</f>
        <v>31</v>
      </c>
      <c r="I20" s="12">
        <f>SUBTOTAL(109,LTBL_01405[法人以外の団体／事業所数])</f>
        <v>1</v>
      </c>
    </row>
    <row r="21" spans="2:9" ht="15" customHeight="1" x14ac:dyDescent="0.2">
      <c r="E21" s="11">
        <f>LTBL_01405[[#Totals],[個人／事業所数]]/LTBL_01405[[#Totals],[総数／事業所数]]</f>
        <v>0.5955056179775281</v>
      </c>
      <c r="G21" s="11">
        <f>LTBL_01405[[#Totals],[法人／事業所数]]/LTBL_01405[[#Totals],[総数／事業所数]]</f>
        <v>0.34831460674157305</v>
      </c>
      <c r="I21" s="11">
        <f>LTBL_01405[[#Totals],[法人以外の団体／事業所数]]/LTBL_01405[[#Totals],[総数／事業所数]]</f>
        <v>1.1235955056179775E-2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15</v>
      </c>
      <c r="D24" s="8">
        <v>16.850000000000001</v>
      </c>
      <c r="E24" s="12">
        <v>10</v>
      </c>
      <c r="F24" s="8">
        <v>18.87</v>
      </c>
      <c r="G24" s="12">
        <v>5</v>
      </c>
      <c r="H24" s="8">
        <v>16.13</v>
      </c>
      <c r="I24" s="12">
        <v>0</v>
      </c>
    </row>
    <row r="25" spans="2:9" ht="15" customHeight="1" x14ac:dyDescent="0.2">
      <c r="B25" t="s">
        <v>227</v>
      </c>
      <c r="C25" s="12">
        <v>15</v>
      </c>
      <c r="D25" s="8">
        <v>16.850000000000001</v>
      </c>
      <c r="E25" s="12">
        <v>11</v>
      </c>
      <c r="F25" s="8">
        <v>20.75</v>
      </c>
      <c r="G25" s="12">
        <v>4</v>
      </c>
      <c r="H25" s="8">
        <v>12.9</v>
      </c>
      <c r="I25" s="12">
        <v>0</v>
      </c>
    </row>
    <row r="26" spans="2:9" ht="15" customHeight="1" x14ac:dyDescent="0.2">
      <c r="B26" t="s">
        <v>221</v>
      </c>
      <c r="C26" s="12">
        <v>10</v>
      </c>
      <c r="D26" s="8">
        <v>11.24</v>
      </c>
      <c r="E26" s="12">
        <v>8</v>
      </c>
      <c r="F26" s="8">
        <v>15.09</v>
      </c>
      <c r="G26" s="12">
        <v>2</v>
      </c>
      <c r="H26" s="8">
        <v>6.45</v>
      </c>
      <c r="I26" s="12">
        <v>0</v>
      </c>
    </row>
    <row r="27" spans="2:9" ht="15" customHeight="1" x14ac:dyDescent="0.2">
      <c r="B27" t="s">
        <v>243</v>
      </c>
      <c r="C27" s="12">
        <v>10</v>
      </c>
      <c r="D27" s="8">
        <v>11.24</v>
      </c>
      <c r="E27" s="12">
        <v>8</v>
      </c>
      <c r="F27" s="8">
        <v>15.09</v>
      </c>
      <c r="G27" s="12">
        <v>2</v>
      </c>
      <c r="H27" s="8">
        <v>6.45</v>
      </c>
      <c r="I27" s="12">
        <v>0</v>
      </c>
    </row>
    <row r="28" spans="2:9" ht="15" customHeight="1" x14ac:dyDescent="0.2">
      <c r="B28" t="s">
        <v>213</v>
      </c>
      <c r="C28" s="12">
        <v>6</v>
      </c>
      <c r="D28" s="8">
        <v>6.74</v>
      </c>
      <c r="E28" s="12">
        <v>3</v>
      </c>
      <c r="F28" s="8">
        <v>5.66</v>
      </c>
      <c r="G28" s="12">
        <v>3</v>
      </c>
      <c r="H28" s="8">
        <v>9.68</v>
      </c>
      <c r="I28" s="12">
        <v>0</v>
      </c>
    </row>
    <row r="29" spans="2:9" ht="15" customHeight="1" x14ac:dyDescent="0.2">
      <c r="B29" t="s">
        <v>247</v>
      </c>
      <c r="C29" s="12">
        <v>5</v>
      </c>
      <c r="D29" s="8">
        <v>5.62</v>
      </c>
      <c r="E29" s="12">
        <v>4</v>
      </c>
      <c r="F29" s="8">
        <v>7.55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228</v>
      </c>
      <c r="C30" s="12">
        <v>4</v>
      </c>
      <c r="D30" s="8">
        <v>4.49</v>
      </c>
      <c r="E30" s="12">
        <v>4</v>
      </c>
      <c r="F30" s="8">
        <v>7.55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241</v>
      </c>
      <c r="C31" s="12">
        <v>3</v>
      </c>
      <c r="D31" s="8">
        <v>3.37</v>
      </c>
      <c r="E31" s="12">
        <v>0</v>
      </c>
      <c r="F31" s="8">
        <v>0</v>
      </c>
      <c r="G31" s="12">
        <v>2</v>
      </c>
      <c r="H31" s="8">
        <v>6.45</v>
      </c>
      <c r="I31" s="12">
        <v>1</v>
      </c>
    </row>
    <row r="32" spans="2:9" ht="15" customHeight="1" x14ac:dyDescent="0.2">
      <c r="B32" t="s">
        <v>216</v>
      </c>
      <c r="C32" s="12">
        <v>3</v>
      </c>
      <c r="D32" s="8">
        <v>3.37</v>
      </c>
      <c r="E32" s="12">
        <v>0</v>
      </c>
      <c r="F32" s="8">
        <v>0</v>
      </c>
      <c r="G32" s="12">
        <v>3</v>
      </c>
      <c r="H32" s="8">
        <v>9.68</v>
      </c>
      <c r="I32" s="12">
        <v>0</v>
      </c>
    </row>
    <row r="33" spans="2:9" ht="15" customHeight="1" x14ac:dyDescent="0.2">
      <c r="B33" t="s">
        <v>232</v>
      </c>
      <c r="C33" s="12">
        <v>3</v>
      </c>
      <c r="D33" s="8">
        <v>3.37</v>
      </c>
      <c r="E33" s="12">
        <v>0</v>
      </c>
      <c r="F33" s="8">
        <v>0</v>
      </c>
      <c r="G33" s="12">
        <v>1</v>
      </c>
      <c r="H33" s="8">
        <v>3.23</v>
      </c>
      <c r="I33" s="12">
        <v>0</v>
      </c>
    </row>
    <row r="34" spans="2:9" ht="15" customHeight="1" x14ac:dyDescent="0.2">
      <c r="B34" t="s">
        <v>215</v>
      </c>
      <c r="C34" s="12">
        <v>2</v>
      </c>
      <c r="D34" s="8">
        <v>2.25</v>
      </c>
      <c r="E34" s="12">
        <v>0</v>
      </c>
      <c r="F34" s="8">
        <v>0</v>
      </c>
      <c r="G34" s="12">
        <v>2</v>
      </c>
      <c r="H34" s="8">
        <v>6.45</v>
      </c>
      <c r="I34" s="12">
        <v>0</v>
      </c>
    </row>
    <row r="35" spans="2:9" ht="15" customHeight="1" x14ac:dyDescent="0.2">
      <c r="B35" t="s">
        <v>262</v>
      </c>
      <c r="C35" s="12">
        <v>2</v>
      </c>
      <c r="D35" s="8">
        <v>2.25</v>
      </c>
      <c r="E35" s="12">
        <v>0</v>
      </c>
      <c r="F35" s="8">
        <v>0</v>
      </c>
      <c r="G35" s="12">
        <v>2</v>
      </c>
      <c r="H35" s="8">
        <v>6.45</v>
      </c>
      <c r="I35" s="12">
        <v>0</v>
      </c>
    </row>
    <row r="36" spans="2:9" ht="15" customHeight="1" x14ac:dyDescent="0.2">
      <c r="B36" t="s">
        <v>220</v>
      </c>
      <c r="C36" s="12">
        <v>2</v>
      </c>
      <c r="D36" s="8">
        <v>2.25</v>
      </c>
      <c r="E36" s="12">
        <v>1</v>
      </c>
      <c r="F36" s="8">
        <v>1.89</v>
      </c>
      <c r="G36" s="12">
        <v>1</v>
      </c>
      <c r="H36" s="8">
        <v>3.23</v>
      </c>
      <c r="I36" s="12">
        <v>0</v>
      </c>
    </row>
    <row r="37" spans="2:9" ht="15" customHeight="1" x14ac:dyDescent="0.2">
      <c r="B37" t="s">
        <v>239</v>
      </c>
      <c r="C37" s="12">
        <v>2</v>
      </c>
      <c r="D37" s="8">
        <v>2.25</v>
      </c>
      <c r="E37" s="12">
        <v>0</v>
      </c>
      <c r="F37" s="8">
        <v>0</v>
      </c>
      <c r="G37" s="12">
        <v>1</v>
      </c>
      <c r="H37" s="8">
        <v>3.23</v>
      </c>
      <c r="I37" s="12">
        <v>0</v>
      </c>
    </row>
    <row r="38" spans="2:9" ht="15" customHeight="1" x14ac:dyDescent="0.2">
      <c r="B38" t="s">
        <v>238</v>
      </c>
      <c r="C38" s="12">
        <v>1</v>
      </c>
      <c r="D38" s="8">
        <v>1.1200000000000001</v>
      </c>
      <c r="E38" s="12">
        <v>1</v>
      </c>
      <c r="F38" s="8">
        <v>1.89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274</v>
      </c>
      <c r="C39" s="12">
        <v>1</v>
      </c>
      <c r="D39" s="8">
        <v>1.1200000000000001</v>
      </c>
      <c r="E39" s="12">
        <v>1</v>
      </c>
      <c r="F39" s="8">
        <v>1.89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217</v>
      </c>
      <c r="C40" s="12">
        <v>1</v>
      </c>
      <c r="D40" s="8">
        <v>1.1200000000000001</v>
      </c>
      <c r="E40" s="12">
        <v>0</v>
      </c>
      <c r="F40" s="8">
        <v>0</v>
      </c>
      <c r="G40" s="12">
        <v>1</v>
      </c>
      <c r="H40" s="8">
        <v>3.23</v>
      </c>
      <c r="I40" s="12">
        <v>0</v>
      </c>
    </row>
    <row r="41" spans="2:9" ht="15" customHeight="1" x14ac:dyDescent="0.2">
      <c r="B41" t="s">
        <v>219</v>
      </c>
      <c r="C41" s="12">
        <v>1</v>
      </c>
      <c r="D41" s="8">
        <v>1.1200000000000001</v>
      </c>
      <c r="E41" s="12">
        <v>0</v>
      </c>
      <c r="F41" s="8">
        <v>0</v>
      </c>
      <c r="G41" s="12">
        <v>1</v>
      </c>
      <c r="H41" s="8">
        <v>3.23</v>
      </c>
      <c r="I41" s="12">
        <v>0</v>
      </c>
    </row>
    <row r="42" spans="2:9" ht="15" customHeight="1" x14ac:dyDescent="0.2">
      <c r="B42" t="s">
        <v>236</v>
      </c>
      <c r="C42" s="12">
        <v>1</v>
      </c>
      <c r="D42" s="8">
        <v>1.1200000000000001</v>
      </c>
      <c r="E42" s="12">
        <v>0</v>
      </c>
      <c r="F42" s="8">
        <v>0</v>
      </c>
      <c r="G42" s="12">
        <v>1</v>
      </c>
      <c r="H42" s="8">
        <v>3.23</v>
      </c>
      <c r="I42" s="12">
        <v>0</v>
      </c>
    </row>
    <row r="43" spans="2:9" ht="15" customHeight="1" x14ac:dyDescent="0.2">
      <c r="B43" t="s">
        <v>230</v>
      </c>
      <c r="C43" s="12">
        <v>1</v>
      </c>
      <c r="D43" s="8">
        <v>1.1200000000000001</v>
      </c>
      <c r="E43" s="12">
        <v>1</v>
      </c>
      <c r="F43" s="8">
        <v>1.89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231</v>
      </c>
      <c r="C44" s="12">
        <v>1</v>
      </c>
      <c r="D44" s="8">
        <v>1.1200000000000001</v>
      </c>
      <c r="E44" s="12">
        <v>1</v>
      </c>
      <c r="F44" s="8">
        <v>1.89</v>
      </c>
      <c r="G44" s="12">
        <v>0</v>
      </c>
      <c r="H44" s="8">
        <v>0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339</v>
      </c>
      <c r="C48" s="12">
        <v>8</v>
      </c>
      <c r="D48" s="8">
        <v>8.99</v>
      </c>
      <c r="E48" s="12">
        <v>6</v>
      </c>
      <c r="F48" s="8">
        <v>11.32</v>
      </c>
      <c r="G48" s="12">
        <v>2</v>
      </c>
      <c r="H48" s="8">
        <v>6.45</v>
      </c>
      <c r="I48" s="12">
        <v>0</v>
      </c>
    </row>
    <row r="49" spans="2:9" ht="15" customHeight="1" x14ac:dyDescent="0.2">
      <c r="B49" t="s">
        <v>330</v>
      </c>
      <c r="C49" s="12">
        <v>6</v>
      </c>
      <c r="D49" s="8">
        <v>6.74</v>
      </c>
      <c r="E49" s="12">
        <v>3</v>
      </c>
      <c r="F49" s="8">
        <v>5.66</v>
      </c>
      <c r="G49" s="12">
        <v>3</v>
      </c>
      <c r="H49" s="8">
        <v>9.68</v>
      </c>
      <c r="I49" s="12">
        <v>0</v>
      </c>
    </row>
    <row r="50" spans="2:9" ht="15" customHeight="1" x14ac:dyDescent="0.2">
      <c r="B50" t="s">
        <v>292</v>
      </c>
      <c r="C50" s="12">
        <v>5</v>
      </c>
      <c r="D50" s="8">
        <v>5.62</v>
      </c>
      <c r="E50" s="12">
        <v>5</v>
      </c>
      <c r="F50" s="8">
        <v>9.43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337</v>
      </c>
      <c r="C51" s="12">
        <v>4</v>
      </c>
      <c r="D51" s="8">
        <v>4.49</v>
      </c>
      <c r="E51" s="12">
        <v>4</v>
      </c>
      <c r="F51" s="8">
        <v>7.55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299</v>
      </c>
      <c r="C52" s="12">
        <v>4</v>
      </c>
      <c r="D52" s="8">
        <v>4.49</v>
      </c>
      <c r="E52" s="12">
        <v>4</v>
      </c>
      <c r="F52" s="8">
        <v>7.55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411</v>
      </c>
      <c r="C53" s="12">
        <v>4</v>
      </c>
      <c r="D53" s="8">
        <v>4.49</v>
      </c>
      <c r="E53" s="12">
        <v>4</v>
      </c>
      <c r="F53" s="8">
        <v>7.55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289</v>
      </c>
      <c r="C54" s="12">
        <v>3</v>
      </c>
      <c r="D54" s="8">
        <v>3.37</v>
      </c>
      <c r="E54" s="12">
        <v>2</v>
      </c>
      <c r="F54" s="8">
        <v>3.77</v>
      </c>
      <c r="G54" s="12">
        <v>1</v>
      </c>
      <c r="H54" s="8">
        <v>3.23</v>
      </c>
      <c r="I54" s="12">
        <v>0</v>
      </c>
    </row>
    <row r="55" spans="2:9" ht="15" customHeight="1" x14ac:dyDescent="0.2">
      <c r="B55" t="s">
        <v>342</v>
      </c>
      <c r="C55" s="12">
        <v>3</v>
      </c>
      <c r="D55" s="8">
        <v>3.37</v>
      </c>
      <c r="E55" s="12">
        <v>0</v>
      </c>
      <c r="F55" s="8">
        <v>0</v>
      </c>
      <c r="G55" s="12">
        <v>2</v>
      </c>
      <c r="H55" s="8">
        <v>6.45</v>
      </c>
      <c r="I55" s="12">
        <v>1</v>
      </c>
    </row>
    <row r="56" spans="2:9" ht="15" customHeight="1" x14ac:dyDescent="0.2">
      <c r="B56" t="s">
        <v>329</v>
      </c>
      <c r="C56" s="12">
        <v>3</v>
      </c>
      <c r="D56" s="8">
        <v>3.37</v>
      </c>
      <c r="E56" s="12">
        <v>2</v>
      </c>
      <c r="F56" s="8">
        <v>3.77</v>
      </c>
      <c r="G56" s="12">
        <v>1</v>
      </c>
      <c r="H56" s="8">
        <v>3.23</v>
      </c>
      <c r="I56" s="12">
        <v>0</v>
      </c>
    </row>
    <row r="57" spans="2:9" ht="15" customHeight="1" x14ac:dyDescent="0.2">
      <c r="B57" t="s">
        <v>334</v>
      </c>
      <c r="C57" s="12">
        <v>3</v>
      </c>
      <c r="D57" s="8">
        <v>3.37</v>
      </c>
      <c r="E57" s="12">
        <v>2</v>
      </c>
      <c r="F57" s="8">
        <v>3.77</v>
      </c>
      <c r="G57" s="12">
        <v>1</v>
      </c>
      <c r="H57" s="8">
        <v>3.23</v>
      </c>
      <c r="I57" s="12">
        <v>0</v>
      </c>
    </row>
    <row r="58" spans="2:9" ht="15" customHeight="1" x14ac:dyDescent="0.2">
      <c r="B58" t="s">
        <v>301</v>
      </c>
      <c r="C58" s="12">
        <v>3</v>
      </c>
      <c r="D58" s="8">
        <v>3.37</v>
      </c>
      <c r="E58" s="12">
        <v>3</v>
      </c>
      <c r="F58" s="8">
        <v>5.66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304</v>
      </c>
      <c r="C59" s="12">
        <v>3</v>
      </c>
      <c r="D59" s="8">
        <v>3.37</v>
      </c>
      <c r="E59" s="12">
        <v>3</v>
      </c>
      <c r="F59" s="8">
        <v>5.66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395</v>
      </c>
      <c r="C60" s="12">
        <v>2</v>
      </c>
      <c r="D60" s="8">
        <v>2.25</v>
      </c>
      <c r="E60" s="12">
        <v>0</v>
      </c>
      <c r="F60" s="8">
        <v>0</v>
      </c>
      <c r="G60" s="12">
        <v>2</v>
      </c>
      <c r="H60" s="8">
        <v>6.45</v>
      </c>
      <c r="I60" s="12">
        <v>0</v>
      </c>
    </row>
    <row r="61" spans="2:9" ht="15" customHeight="1" x14ac:dyDescent="0.2">
      <c r="B61" t="s">
        <v>324</v>
      </c>
      <c r="C61" s="12">
        <v>2</v>
      </c>
      <c r="D61" s="8">
        <v>2.25</v>
      </c>
      <c r="E61" s="12">
        <v>0</v>
      </c>
      <c r="F61" s="8">
        <v>0</v>
      </c>
      <c r="G61" s="12">
        <v>2</v>
      </c>
      <c r="H61" s="8">
        <v>6.45</v>
      </c>
      <c r="I61" s="12">
        <v>0</v>
      </c>
    </row>
    <row r="62" spans="2:9" ht="15" customHeight="1" x14ac:dyDescent="0.2">
      <c r="B62" t="s">
        <v>314</v>
      </c>
      <c r="C62" s="12">
        <v>2</v>
      </c>
      <c r="D62" s="8">
        <v>2.25</v>
      </c>
      <c r="E62" s="12">
        <v>1</v>
      </c>
      <c r="F62" s="8">
        <v>1.89</v>
      </c>
      <c r="G62" s="12">
        <v>1</v>
      </c>
      <c r="H62" s="8">
        <v>3.23</v>
      </c>
      <c r="I62" s="12">
        <v>0</v>
      </c>
    </row>
    <row r="63" spans="2:9" ht="15" customHeight="1" x14ac:dyDescent="0.2">
      <c r="B63" t="s">
        <v>295</v>
      </c>
      <c r="C63" s="12">
        <v>2</v>
      </c>
      <c r="D63" s="8">
        <v>2.25</v>
      </c>
      <c r="E63" s="12">
        <v>2</v>
      </c>
      <c r="F63" s="8">
        <v>3.77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405</v>
      </c>
      <c r="C64" s="12">
        <v>2</v>
      </c>
      <c r="D64" s="8">
        <v>2.25</v>
      </c>
      <c r="E64" s="12">
        <v>2</v>
      </c>
      <c r="F64" s="8">
        <v>3.77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349</v>
      </c>
      <c r="C65" s="12">
        <v>2</v>
      </c>
      <c r="D65" s="8">
        <v>2.25</v>
      </c>
      <c r="E65" s="12">
        <v>0</v>
      </c>
      <c r="F65" s="8">
        <v>0</v>
      </c>
      <c r="G65" s="12">
        <v>2</v>
      </c>
      <c r="H65" s="8">
        <v>6.45</v>
      </c>
      <c r="I65" s="12">
        <v>0</v>
      </c>
    </row>
    <row r="66" spans="2:9" ht="15" customHeight="1" x14ac:dyDescent="0.2">
      <c r="B66" t="s">
        <v>390</v>
      </c>
      <c r="C66" s="12">
        <v>2</v>
      </c>
      <c r="D66" s="8">
        <v>2.25</v>
      </c>
      <c r="E66" s="12">
        <v>1</v>
      </c>
      <c r="F66" s="8">
        <v>1.89</v>
      </c>
      <c r="G66" s="12">
        <v>1</v>
      </c>
      <c r="H66" s="8">
        <v>3.23</v>
      </c>
      <c r="I66" s="12">
        <v>0</v>
      </c>
    </row>
    <row r="67" spans="2:9" ht="15" customHeight="1" x14ac:dyDescent="0.2">
      <c r="B67" t="s">
        <v>325</v>
      </c>
      <c r="C67" s="12">
        <v>2</v>
      </c>
      <c r="D67" s="8">
        <v>2.25</v>
      </c>
      <c r="E67" s="12">
        <v>0</v>
      </c>
      <c r="F67" s="8">
        <v>0</v>
      </c>
      <c r="G67" s="12">
        <v>1</v>
      </c>
      <c r="H67" s="8">
        <v>3.23</v>
      </c>
      <c r="I67" s="12">
        <v>0</v>
      </c>
    </row>
    <row r="68" spans="2:9" ht="15" customHeight="1" x14ac:dyDescent="0.2">
      <c r="B68" t="s">
        <v>341</v>
      </c>
      <c r="C68" s="12">
        <v>2</v>
      </c>
      <c r="D68" s="8">
        <v>2.25</v>
      </c>
      <c r="E68" s="12">
        <v>0</v>
      </c>
      <c r="F68" s="8">
        <v>0</v>
      </c>
      <c r="G68" s="12">
        <v>0</v>
      </c>
      <c r="H68" s="8">
        <v>0</v>
      </c>
      <c r="I68" s="12">
        <v>0</v>
      </c>
    </row>
    <row r="70" spans="2:9" ht="15" customHeight="1" x14ac:dyDescent="0.2">
      <c r="B70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00B82-C6B2-4855-BE7D-3ECEEA889EAC}">
  <sheetPr>
    <pageSetUpPr fitToPage="1"/>
  </sheetPr>
  <dimension ref="B2:I8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16</v>
      </c>
      <c r="D6" s="8">
        <v>15.24</v>
      </c>
      <c r="E6" s="12">
        <v>7</v>
      </c>
      <c r="F6" s="8">
        <v>11.29</v>
      </c>
      <c r="G6" s="12">
        <v>9</v>
      </c>
      <c r="H6" s="8">
        <v>25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7.62</v>
      </c>
      <c r="E7" s="12">
        <v>3</v>
      </c>
      <c r="F7" s="8">
        <v>4.84</v>
      </c>
      <c r="G7" s="12">
        <v>5</v>
      </c>
      <c r="H7" s="8">
        <v>13.89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2.86</v>
      </c>
      <c r="E8" s="12">
        <v>0</v>
      </c>
      <c r="F8" s="8">
        <v>0</v>
      </c>
      <c r="G8" s="12">
        <v>1</v>
      </c>
      <c r="H8" s="8">
        <v>2.78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28</v>
      </c>
      <c r="D11" s="8">
        <v>26.67</v>
      </c>
      <c r="E11" s="12">
        <v>15</v>
      </c>
      <c r="F11" s="8">
        <v>24.19</v>
      </c>
      <c r="G11" s="12">
        <v>13</v>
      </c>
      <c r="H11" s="8">
        <v>36.11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0.95</v>
      </c>
      <c r="E12" s="12">
        <v>0</v>
      </c>
      <c r="F12" s="8">
        <v>0</v>
      </c>
      <c r="G12" s="12">
        <v>1</v>
      </c>
      <c r="H12" s="8">
        <v>2.78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1.9</v>
      </c>
      <c r="E13" s="12">
        <v>1</v>
      </c>
      <c r="F13" s="8">
        <v>1.61</v>
      </c>
      <c r="G13" s="12">
        <v>1</v>
      </c>
      <c r="H13" s="8">
        <v>2.78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14</v>
      </c>
      <c r="D15" s="8">
        <v>13.33</v>
      </c>
      <c r="E15" s="12">
        <v>11</v>
      </c>
      <c r="F15" s="8">
        <v>17.739999999999998</v>
      </c>
      <c r="G15" s="12">
        <v>2</v>
      </c>
      <c r="H15" s="8">
        <v>5.56</v>
      </c>
      <c r="I15" s="12">
        <v>0</v>
      </c>
    </row>
    <row r="16" spans="2:9" ht="15" customHeight="1" x14ac:dyDescent="0.2">
      <c r="B16" t="s">
        <v>201</v>
      </c>
      <c r="C16" s="12">
        <v>20</v>
      </c>
      <c r="D16" s="8">
        <v>19.05</v>
      </c>
      <c r="E16" s="12">
        <v>17</v>
      </c>
      <c r="F16" s="8">
        <v>27.42</v>
      </c>
      <c r="G16" s="12">
        <v>2</v>
      </c>
      <c r="H16" s="8">
        <v>5.56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0.95</v>
      </c>
      <c r="E17" s="12">
        <v>1</v>
      </c>
      <c r="F17" s="8">
        <v>1.61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8</v>
      </c>
      <c r="D18" s="8">
        <v>7.62</v>
      </c>
      <c r="E18" s="12">
        <v>4</v>
      </c>
      <c r="F18" s="8">
        <v>6.45</v>
      </c>
      <c r="G18" s="12">
        <v>1</v>
      </c>
      <c r="H18" s="8">
        <v>2.78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3.81</v>
      </c>
      <c r="E19" s="12">
        <v>3</v>
      </c>
      <c r="F19" s="8">
        <v>4.84</v>
      </c>
      <c r="G19" s="12">
        <v>1</v>
      </c>
      <c r="H19" s="8">
        <v>2.78</v>
      </c>
      <c r="I19" s="12">
        <v>0</v>
      </c>
    </row>
    <row r="20" spans="2:9" ht="15" customHeight="1" x14ac:dyDescent="0.2">
      <c r="B20" s="9" t="s">
        <v>529</v>
      </c>
      <c r="C20" s="12">
        <f>SUM(LTBL_01406[総数／事業所数])</f>
        <v>105</v>
      </c>
      <c r="E20" s="12">
        <f>SUBTOTAL(109,LTBL_01406[個人／事業所数])</f>
        <v>62</v>
      </c>
      <c r="G20" s="12">
        <f>SUBTOTAL(109,LTBL_01406[法人／事業所数])</f>
        <v>36</v>
      </c>
      <c r="I20" s="12">
        <f>SUBTOTAL(109,LTBL_01406[法人以外の団体／事業所数])</f>
        <v>0</v>
      </c>
    </row>
    <row r="21" spans="2:9" ht="15" customHeight="1" x14ac:dyDescent="0.2">
      <c r="E21" s="11">
        <f>LTBL_01406[[#Totals],[個人／事業所数]]/LTBL_01406[[#Totals],[総数／事業所数]]</f>
        <v>0.59047619047619049</v>
      </c>
      <c r="G21" s="11">
        <f>LTBL_01406[[#Totals],[法人／事業所数]]/LTBL_01406[[#Totals],[総数／事業所数]]</f>
        <v>0.34285714285714286</v>
      </c>
      <c r="I21" s="11">
        <f>LTBL_01406[[#Totals],[法人以外の団体／事業所数]]/LTBL_01406[[#Totals],[総数／事業所数]]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14</v>
      </c>
      <c r="D24" s="8">
        <v>13.33</v>
      </c>
      <c r="E24" s="12">
        <v>13</v>
      </c>
      <c r="F24" s="8">
        <v>20.97</v>
      </c>
      <c r="G24" s="12">
        <v>1</v>
      </c>
      <c r="H24" s="8">
        <v>2.78</v>
      </c>
      <c r="I24" s="12">
        <v>0</v>
      </c>
    </row>
    <row r="25" spans="2:9" ht="15" customHeight="1" x14ac:dyDescent="0.2">
      <c r="B25" t="s">
        <v>223</v>
      </c>
      <c r="C25" s="12">
        <v>13</v>
      </c>
      <c r="D25" s="8">
        <v>12.38</v>
      </c>
      <c r="E25" s="12">
        <v>6</v>
      </c>
      <c r="F25" s="8">
        <v>9.68</v>
      </c>
      <c r="G25" s="12">
        <v>7</v>
      </c>
      <c r="H25" s="8">
        <v>19.440000000000001</v>
      </c>
      <c r="I25" s="12">
        <v>0</v>
      </c>
    </row>
    <row r="26" spans="2:9" ht="15" customHeight="1" x14ac:dyDescent="0.2">
      <c r="B26" t="s">
        <v>221</v>
      </c>
      <c r="C26" s="12">
        <v>9</v>
      </c>
      <c r="D26" s="8">
        <v>8.57</v>
      </c>
      <c r="E26" s="12">
        <v>4</v>
      </c>
      <c r="F26" s="8">
        <v>6.45</v>
      </c>
      <c r="G26" s="12">
        <v>5</v>
      </c>
      <c r="H26" s="8">
        <v>13.89</v>
      </c>
      <c r="I26" s="12">
        <v>0</v>
      </c>
    </row>
    <row r="27" spans="2:9" ht="15" customHeight="1" x14ac:dyDescent="0.2">
      <c r="B27" t="s">
        <v>227</v>
      </c>
      <c r="C27" s="12">
        <v>9</v>
      </c>
      <c r="D27" s="8">
        <v>8.57</v>
      </c>
      <c r="E27" s="12">
        <v>9</v>
      </c>
      <c r="F27" s="8">
        <v>14.52</v>
      </c>
      <c r="G27" s="12">
        <v>0</v>
      </c>
      <c r="H27" s="8">
        <v>0</v>
      </c>
      <c r="I27" s="12">
        <v>0</v>
      </c>
    </row>
    <row r="28" spans="2:9" ht="15" customHeight="1" x14ac:dyDescent="0.2">
      <c r="B28" t="s">
        <v>214</v>
      </c>
      <c r="C28" s="12">
        <v>8</v>
      </c>
      <c r="D28" s="8">
        <v>7.62</v>
      </c>
      <c r="E28" s="12">
        <v>4</v>
      </c>
      <c r="F28" s="8">
        <v>6.45</v>
      </c>
      <c r="G28" s="12">
        <v>4</v>
      </c>
      <c r="H28" s="8">
        <v>11.11</v>
      </c>
      <c r="I28" s="12">
        <v>0</v>
      </c>
    </row>
    <row r="29" spans="2:9" ht="15" customHeight="1" x14ac:dyDescent="0.2">
      <c r="B29" t="s">
        <v>247</v>
      </c>
      <c r="C29" s="12">
        <v>5</v>
      </c>
      <c r="D29" s="8">
        <v>4.76</v>
      </c>
      <c r="E29" s="12">
        <v>4</v>
      </c>
      <c r="F29" s="8">
        <v>6.45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213</v>
      </c>
      <c r="C30" s="12">
        <v>4</v>
      </c>
      <c r="D30" s="8">
        <v>3.81</v>
      </c>
      <c r="E30" s="12">
        <v>1</v>
      </c>
      <c r="F30" s="8">
        <v>1.61</v>
      </c>
      <c r="G30" s="12">
        <v>3</v>
      </c>
      <c r="H30" s="8">
        <v>8.33</v>
      </c>
      <c r="I30" s="12">
        <v>0</v>
      </c>
    </row>
    <row r="31" spans="2:9" ht="15" customHeight="1" x14ac:dyDescent="0.2">
      <c r="B31" t="s">
        <v>215</v>
      </c>
      <c r="C31" s="12">
        <v>4</v>
      </c>
      <c r="D31" s="8">
        <v>3.81</v>
      </c>
      <c r="E31" s="12">
        <v>2</v>
      </c>
      <c r="F31" s="8">
        <v>3.23</v>
      </c>
      <c r="G31" s="12">
        <v>2</v>
      </c>
      <c r="H31" s="8">
        <v>5.56</v>
      </c>
      <c r="I31" s="12">
        <v>0</v>
      </c>
    </row>
    <row r="32" spans="2:9" ht="15" customHeight="1" x14ac:dyDescent="0.2">
      <c r="B32" t="s">
        <v>220</v>
      </c>
      <c r="C32" s="12">
        <v>4</v>
      </c>
      <c r="D32" s="8">
        <v>3.81</v>
      </c>
      <c r="E32" s="12">
        <v>3</v>
      </c>
      <c r="F32" s="8">
        <v>4.84</v>
      </c>
      <c r="G32" s="12">
        <v>1</v>
      </c>
      <c r="H32" s="8">
        <v>2.78</v>
      </c>
      <c r="I32" s="12">
        <v>0</v>
      </c>
    </row>
    <row r="33" spans="2:9" ht="15" customHeight="1" x14ac:dyDescent="0.2">
      <c r="B33" t="s">
        <v>231</v>
      </c>
      <c r="C33" s="12">
        <v>4</v>
      </c>
      <c r="D33" s="8">
        <v>3.81</v>
      </c>
      <c r="E33" s="12">
        <v>4</v>
      </c>
      <c r="F33" s="8">
        <v>6.45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232</v>
      </c>
      <c r="C34" s="12">
        <v>4</v>
      </c>
      <c r="D34" s="8">
        <v>3.81</v>
      </c>
      <c r="E34" s="12">
        <v>0</v>
      </c>
      <c r="F34" s="8">
        <v>0</v>
      </c>
      <c r="G34" s="12">
        <v>1</v>
      </c>
      <c r="H34" s="8">
        <v>2.78</v>
      </c>
      <c r="I34" s="12">
        <v>0</v>
      </c>
    </row>
    <row r="35" spans="2:9" ht="15" customHeight="1" x14ac:dyDescent="0.2">
      <c r="B35" t="s">
        <v>255</v>
      </c>
      <c r="C35" s="12">
        <v>3</v>
      </c>
      <c r="D35" s="8">
        <v>2.86</v>
      </c>
      <c r="E35" s="12">
        <v>0</v>
      </c>
      <c r="F35" s="8">
        <v>0</v>
      </c>
      <c r="G35" s="12">
        <v>1</v>
      </c>
      <c r="H35" s="8">
        <v>2.78</v>
      </c>
      <c r="I35" s="12">
        <v>0</v>
      </c>
    </row>
    <row r="36" spans="2:9" ht="15" customHeight="1" x14ac:dyDescent="0.2">
      <c r="B36" t="s">
        <v>239</v>
      </c>
      <c r="C36" s="12">
        <v>3</v>
      </c>
      <c r="D36" s="8">
        <v>2.86</v>
      </c>
      <c r="E36" s="12">
        <v>0</v>
      </c>
      <c r="F36" s="8">
        <v>0</v>
      </c>
      <c r="G36" s="12">
        <v>2</v>
      </c>
      <c r="H36" s="8">
        <v>5.56</v>
      </c>
      <c r="I36" s="12">
        <v>0</v>
      </c>
    </row>
    <row r="37" spans="2:9" ht="15" customHeight="1" x14ac:dyDescent="0.2">
      <c r="B37" t="s">
        <v>241</v>
      </c>
      <c r="C37" s="12">
        <v>2</v>
      </c>
      <c r="D37" s="8">
        <v>1.9</v>
      </c>
      <c r="E37" s="12">
        <v>1</v>
      </c>
      <c r="F37" s="8">
        <v>1.61</v>
      </c>
      <c r="G37" s="12">
        <v>1</v>
      </c>
      <c r="H37" s="8">
        <v>2.78</v>
      </c>
      <c r="I37" s="12">
        <v>0</v>
      </c>
    </row>
    <row r="38" spans="2:9" ht="15" customHeight="1" x14ac:dyDescent="0.2">
      <c r="B38" t="s">
        <v>257</v>
      </c>
      <c r="C38" s="12">
        <v>2</v>
      </c>
      <c r="D38" s="8">
        <v>1.9</v>
      </c>
      <c r="E38" s="12">
        <v>0</v>
      </c>
      <c r="F38" s="8">
        <v>0</v>
      </c>
      <c r="G38" s="12">
        <v>2</v>
      </c>
      <c r="H38" s="8">
        <v>5.56</v>
      </c>
      <c r="I38" s="12">
        <v>0</v>
      </c>
    </row>
    <row r="39" spans="2:9" ht="15" customHeight="1" x14ac:dyDescent="0.2">
      <c r="B39" t="s">
        <v>224</v>
      </c>
      <c r="C39" s="12">
        <v>2</v>
      </c>
      <c r="D39" s="8">
        <v>1.9</v>
      </c>
      <c r="E39" s="12">
        <v>1</v>
      </c>
      <c r="F39" s="8">
        <v>1.61</v>
      </c>
      <c r="G39" s="12">
        <v>1</v>
      </c>
      <c r="H39" s="8">
        <v>2.78</v>
      </c>
      <c r="I39" s="12">
        <v>0</v>
      </c>
    </row>
    <row r="40" spans="2:9" ht="15" customHeight="1" x14ac:dyDescent="0.2">
      <c r="B40" t="s">
        <v>243</v>
      </c>
      <c r="C40" s="12">
        <v>2</v>
      </c>
      <c r="D40" s="8">
        <v>1.9</v>
      </c>
      <c r="E40" s="12">
        <v>2</v>
      </c>
      <c r="F40" s="8">
        <v>3.23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234</v>
      </c>
      <c r="C41" s="12">
        <v>2</v>
      </c>
      <c r="D41" s="8">
        <v>1.9</v>
      </c>
      <c r="E41" s="12">
        <v>2</v>
      </c>
      <c r="F41" s="8">
        <v>3.23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262</v>
      </c>
      <c r="C42" s="12">
        <v>1</v>
      </c>
      <c r="D42" s="8">
        <v>0.95</v>
      </c>
      <c r="E42" s="12">
        <v>0</v>
      </c>
      <c r="F42" s="8">
        <v>0</v>
      </c>
      <c r="G42" s="12">
        <v>1</v>
      </c>
      <c r="H42" s="8">
        <v>2.78</v>
      </c>
      <c r="I42" s="12">
        <v>0</v>
      </c>
    </row>
    <row r="43" spans="2:9" ht="15" customHeight="1" x14ac:dyDescent="0.2">
      <c r="B43" t="s">
        <v>244</v>
      </c>
      <c r="C43" s="12">
        <v>1</v>
      </c>
      <c r="D43" s="8">
        <v>0.95</v>
      </c>
      <c r="E43" s="12">
        <v>0</v>
      </c>
      <c r="F43" s="8">
        <v>0</v>
      </c>
      <c r="G43" s="12">
        <v>1</v>
      </c>
      <c r="H43" s="8">
        <v>2.78</v>
      </c>
      <c r="I43" s="12">
        <v>0</v>
      </c>
    </row>
    <row r="44" spans="2:9" ht="15" customHeight="1" x14ac:dyDescent="0.2">
      <c r="B44" t="s">
        <v>258</v>
      </c>
      <c r="C44" s="12">
        <v>1</v>
      </c>
      <c r="D44" s="8">
        <v>0.95</v>
      </c>
      <c r="E44" s="12">
        <v>1</v>
      </c>
      <c r="F44" s="8">
        <v>1.61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272</v>
      </c>
      <c r="C45" s="12">
        <v>1</v>
      </c>
      <c r="D45" s="8">
        <v>0.95</v>
      </c>
      <c r="E45" s="12">
        <v>1</v>
      </c>
      <c r="F45" s="8">
        <v>1.61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216</v>
      </c>
      <c r="C46" s="12">
        <v>1</v>
      </c>
      <c r="D46" s="8">
        <v>0.95</v>
      </c>
      <c r="E46" s="12">
        <v>1</v>
      </c>
      <c r="F46" s="8">
        <v>1.61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236</v>
      </c>
      <c r="C47" s="12">
        <v>1</v>
      </c>
      <c r="D47" s="8">
        <v>0.95</v>
      </c>
      <c r="E47" s="12">
        <v>1</v>
      </c>
      <c r="F47" s="8">
        <v>1.61</v>
      </c>
      <c r="G47" s="12">
        <v>0</v>
      </c>
      <c r="H47" s="8">
        <v>0</v>
      </c>
      <c r="I47" s="12">
        <v>0</v>
      </c>
    </row>
    <row r="48" spans="2:9" ht="15" customHeight="1" x14ac:dyDescent="0.2">
      <c r="B48" t="s">
        <v>237</v>
      </c>
      <c r="C48" s="12">
        <v>1</v>
      </c>
      <c r="D48" s="8">
        <v>0.95</v>
      </c>
      <c r="E48" s="12">
        <v>0</v>
      </c>
      <c r="F48" s="8">
        <v>0</v>
      </c>
      <c r="G48" s="12">
        <v>1</v>
      </c>
      <c r="H48" s="8">
        <v>2.78</v>
      </c>
      <c r="I48" s="12">
        <v>0</v>
      </c>
    </row>
    <row r="49" spans="2:9" ht="15" customHeight="1" x14ac:dyDescent="0.2">
      <c r="B49" t="s">
        <v>229</v>
      </c>
      <c r="C49" s="12">
        <v>1</v>
      </c>
      <c r="D49" s="8">
        <v>0.95</v>
      </c>
      <c r="E49" s="12">
        <v>0</v>
      </c>
      <c r="F49" s="8">
        <v>0</v>
      </c>
      <c r="G49" s="12">
        <v>1</v>
      </c>
      <c r="H49" s="8">
        <v>2.78</v>
      </c>
      <c r="I49" s="12">
        <v>0</v>
      </c>
    </row>
    <row r="50" spans="2:9" ht="15" customHeight="1" x14ac:dyDescent="0.2">
      <c r="B50" t="s">
        <v>230</v>
      </c>
      <c r="C50" s="12">
        <v>1</v>
      </c>
      <c r="D50" s="8">
        <v>0.95</v>
      </c>
      <c r="E50" s="12">
        <v>1</v>
      </c>
      <c r="F50" s="8">
        <v>1.61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240</v>
      </c>
      <c r="C51" s="12">
        <v>1</v>
      </c>
      <c r="D51" s="8">
        <v>0.95</v>
      </c>
      <c r="E51" s="12">
        <v>0</v>
      </c>
      <c r="F51" s="8">
        <v>0</v>
      </c>
      <c r="G51" s="12">
        <v>1</v>
      </c>
      <c r="H51" s="8">
        <v>2.78</v>
      </c>
      <c r="I51" s="12">
        <v>0</v>
      </c>
    </row>
    <row r="52" spans="2:9" ht="15" customHeight="1" x14ac:dyDescent="0.2">
      <c r="B52" t="s">
        <v>242</v>
      </c>
      <c r="C52" s="12">
        <v>1</v>
      </c>
      <c r="D52" s="8">
        <v>0.95</v>
      </c>
      <c r="E52" s="12">
        <v>1</v>
      </c>
      <c r="F52" s="8">
        <v>1.61</v>
      </c>
      <c r="G52" s="12">
        <v>0</v>
      </c>
      <c r="H52" s="8">
        <v>0</v>
      </c>
      <c r="I52" s="12">
        <v>0</v>
      </c>
    </row>
    <row r="55" spans="2:9" ht="33" customHeight="1" x14ac:dyDescent="0.2">
      <c r="B55" t="s">
        <v>531</v>
      </c>
      <c r="C55" s="10" t="s">
        <v>206</v>
      </c>
      <c r="D55" s="10" t="s">
        <v>207</v>
      </c>
      <c r="E55" s="10" t="s">
        <v>208</v>
      </c>
      <c r="F55" s="10" t="s">
        <v>209</v>
      </c>
      <c r="G55" s="10" t="s">
        <v>210</v>
      </c>
      <c r="H55" s="10" t="s">
        <v>211</v>
      </c>
      <c r="I55" s="10" t="s">
        <v>212</v>
      </c>
    </row>
    <row r="56" spans="2:9" ht="15" customHeight="1" x14ac:dyDescent="0.2">
      <c r="B56" t="s">
        <v>303</v>
      </c>
      <c r="C56" s="12">
        <v>7</v>
      </c>
      <c r="D56" s="8">
        <v>6.67</v>
      </c>
      <c r="E56" s="12">
        <v>7</v>
      </c>
      <c r="F56" s="8">
        <v>11.29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330</v>
      </c>
      <c r="C57" s="12">
        <v>6</v>
      </c>
      <c r="D57" s="8">
        <v>5.71</v>
      </c>
      <c r="E57" s="12">
        <v>2</v>
      </c>
      <c r="F57" s="8">
        <v>3.23</v>
      </c>
      <c r="G57" s="12">
        <v>4</v>
      </c>
      <c r="H57" s="8">
        <v>11.11</v>
      </c>
      <c r="I57" s="12">
        <v>0</v>
      </c>
    </row>
    <row r="58" spans="2:9" ht="15" customHeight="1" x14ac:dyDescent="0.2">
      <c r="B58" t="s">
        <v>304</v>
      </c>
      <c r="C58" s="12">
        <v>5</v>
      </c>
      <c r="D58" s="8">
        <v>4.76</v>
      </c>
      <c r="E58" s="12">
        <v>5</v>
      </c>
      <c r="F58" s="8">
        <v>8.06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411</v>
      </c>
      <c r="C59" s="12">
        <v>4</v>
      </c>
      <c r="D59" s="8">
        <v>3.81</v>
      </c>
      <c r="E59" s="12">
        <v>4</v>
      </c>
      <c r="F59" s="8">
        <v>6.45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353</v>
      </c>
      <c r="C60" s="12">
        <v>3</v>
      </c>
      <c r="D60" s="8">
        <v>2.86</v>
      </c>
      <c r="E60" s="12">
        <v>2</v>
      </c>
      <c r="F60" s="8">
        <v>3.23</v>
      </c>
      <c r="G60" s="12">
        <v>1</v>
      </c>
      <c r="H60" s="8">
        <v>2.78</v>
      </c>
      <c r="I60" s="12">
        <v>0</v>
      </c>
    </row>
    <row r="61" spans="2:9" ht="15" customHeight="1" x14ac:dyDescent="0.2">
      <c r="B61" t="s">
        <v>290</v>
      </c>
      <c r="C61" s="12">
        <v>3</v>
      </c>
      <c r="D61" s="8">
        <v>2.86</v>
      </c>
      <c r="E61" s="12">
        <v>2</v>
      </c>
      <c r="F61" s="8">
        <v>3.23</v>
      </c>
      <c r="G61" s="12">
        <v>1</v>
      </c>
      <c r="H61" s="8">
        <v>2.78</v>
      </c>
      <c r="I61" s="12">
        <v>0</v>
      </c>
    </row>
    <row r="62" spans="2:9" ht="15" customHeight="1" x14ac:dyDescent="0.2">
      <c r="B62" t="s">
        <v>292</v>
      </c>
      <c r="C62" s="12">
        <v>3</v>
      </c>
      <c r="D62" s="8">
        <v>2.86</v>
      </c>
      <c r="E62" s="12">
        <v>3</v>
      </c>
      <c r="F62" s="8">
        <v>4.84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301</v>
      </c>
      <c r="C63" s="12">
        <v>3</v>
      </c>
      <c r="D63" s="8">
        <v>2.86</v>
      </c>
      <c r="E63" s="12">
        <v>3</v>
      </c>
      <c r="F63" s="8">
        <v>4.84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325</v>
      </c>
      <c r="C64" s="12">
        <v>3</v>
      </c>
      <c r="D64" s="8">
        <v>2.86</v>
      </c>
      <c r="E64" s="12">
        <v>0</v>
      </c>
      <c r="F64" s="8">
        <v>0</v>
      </c>
      <c r="G64" s="12">
        <v>2</v>
      </c>
      <c r="H64" s="8">
        <v>5.56</v>
      </c>
      <c r="I64" s="12">
        <v>0</v>
      </c>
    </row>
    <row r="65" spans="2:9" ht="15" customHeight="1" x14ac:dyDescent="0.2">
      <c r="B65" t="s">
        <v>331</v>
      </c>
      <c r="C65" s="12">
        <v>3</v>
      </c>
      <c r="D65" s="8">
        <v>2.86</v>
      </c>
      <c r="E65" s="12">
        <v>0</v>
      </c>
      <c r="F65" s="8">
        <v>0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328</v>
      </c>
      <c r="C66" s="12">
        <v>2</v>
      </c>
      <c r="D66" s="8">
        <v>1.9</v>
      </c>
      <c r="E66" s="12">
        <v>1</v>
      </c>
      <c r="F66" s="8">
        <v>1.61</v>
      </c>
      <c r="G66" s="12">
        <v>1</v>
      </c>
      <c r="H66" s="8">
        <v>2.78</v>
      </c>
      <c r="I66" s="12">
        <v>0</v>
      </c>
    </row>
    <row r="67" spans="2:9" ht="15" customHeight="1" x14ac:dyDescent="0.2">
      <c r="B67" t="s">
        <v>343</v>
      </c>
      <c r="C67" s="12">
        <v>2</v>
      </c>
      <c r="D67" s="8">
        <v>1.9</v>
      </c>
      <c r="E67" s="12">
        <v>1</v>
      </c>
      <c r="F67" s="8">
        <v>1.61</v>
      </c>
      <c r="G67" s="12">
        <v>1</v>
      </c>
      <c r="H67" s="8">
        <v>2.78</v>
      </c>
      <c r="I67" s="12">
        <v>0</v>
      </c>
    </row>
    <row r="68" spans="2:9" ht="15" customHeight="1" x14ac:dyDescent="0.2">
      <c r="B68" t="s">
        <v>333</v>
      </c>
      <c r="C68" s="12">
        <v>2</v>
      </c>
      <c r="D68" s="8">
        <v>1.9</v>
      </c>
      <c r="E68" s="12">
        <v>1</v>
      </c>
      <c r="F68" s="8">
        <v>1.61</v>
      </c>
      <c r="G68" s="12">
        <v>1</v>
      </c>
      <c r="H68" s="8">
        <v>2.78</v>
      </c>
      <c r="I68" s="12">
        <v>0</v>
      </c>
    </row>
    <row r="69" spans="2:9" ht="15" customHeight="1" x14ac:dyDescent="0.2">
      <c r="B69" t="s">
        <v>342</v>
      </c>
      <c r="C69" s="12">
        <v>2</v>
      </c>
      <c r="D69" s="8">
        <v>1.9</v>
      </c>
      <c r="E69" s="12">
        <v>1</v>
      </c>
      <c r="F69" s="8">
        <v>1.61</v>
      </c>
      <c r="G69" s="12">
        <v>1</v>
      </c>
      <c r="H69" s="8">
        <v>2.78</v>
      </c>
      <c r="I69" s="12">
        <v>0</v>
      </c>
    </row>
    <row r="70" spans="2:9" ht="15" customHeight="1" x14ac:dyDescent="0.2">
      <c r="B70" t="s">
        <v>357</v>
      </c>
      <c r="C70" s="12">
        <v>2</v>
      </c>
      <c r="D70" s="8">
        <v>1.9</v>
      </c>
      <c r="E70" s="12">
        <v>0</v>
      </c>
      <c r="F70" s="8">
        <v>0</v>
      </c>
      <c r="G70" s="12">
        <v>2</v>
      </c>
      <c r="H70" s="8">
        <v>5.56</v>
      </c>
      <c r="I70" s="12">
        <v>0</v>
      </c>
    </row>
    <row r="71" spans="2:9" ht="15" customHeight="1" x14ac:dyDescent="0.2">
      <c r="B71" t="s">
        <v>365</v>
      </c>
      <c r="C71" s="12">
        <v>2</v>
      </c>
      <c r="D71" s="8">
        <v>1.9</v>
      </c>
      <c r="E71" s="12">
        <v>2</v>
      </c>
      <c r="F71" s="8">
        <v>3.23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380</v>
      </c>
      <c r="C72" s="12">
        <v>2</v>
      </c>
      <c r="D72" s="8">
        <v>1.9</v>
      </c>
      <c r="E72" s="12">
        <v>0</v>
      </c>
      <c r="F72" s="8">
        <v>0</v>
      </c>
      <c r="G72" s="12">
        <v>2</v>
      </c>
      <c r="H72" s="8">
        <v>5.56</v>
      </c>
      <c r="I72" s="12">
        <v>0</v>
      </c>
    </row>
    <row r="73" spans="2:9" ht="15" customHeight="1" x14ac:dyDescent="0.2">
      <c r="B73" t="s">
        <v>329</v>
      </c>
      <c r="C73" s="12">
        <v>2</v>
      </c>
      <c r="D73" s="8">
        <v>1.9</v>
      </c>
      <c r="E73" s="12">
        <v>1</v>
      </c>
      <c r="F73" s="8">
        <v>1.61</v>
      </c>
      <c r="G73" s="12">
        <v>1</v>
      </c>
      <c r="H73" s="8">
        <v>2.78</v>
      </c>
      <c r="I73" s="12">
        <v>0</v>
      </c>
    </row>
    <row r="74" spans="2:9" ht="15" customHeight="1" x14ac:dyDescent="0.2">
      <c r="B74" t="s">
        <v>401</v>
      </c>
      <c r="C74" s="12">
        <v>2</v>
      </c>
      <c r="D74" s="8">
        <v>1.9</v>
      </c>
      <c r="E74" s="12">
        <v>1</v>
      </c>
      <c r="F74" s="8">
        <v>1.61</v>
      </c>
      <c r="G74" s="12">
        <v>1</v>
      </c>
      <c r="H74" s="8">
        <v>2.78</v>
      </c>
      <c r="I74" s="12">
        <v>0</v>
      </c>
    </row>
    <row r="75" spans="2:9" ht="15" customHeight="1" x14ac:dyDescent="0.2">
      <c r="B75" t="s">
        <v>294</v>
      </c>
      <c r="C75" s="12">
        <v>2</v>
      </c>
      <c r="D75" s="8">
        <v>1.9</v>
      </c>
      <c r="E75" s="12">
        <v>1</v>
      </c>
      <c r="F75" s="8">
        <v>1.61</v>
      </c>
      <c r="G75" s="12">
        <v>1</v>
      </c>
      <c r="H75" s="8">
        <v>2.78</v>
      </c>
      <c r="I75" s="12">
        <v>0</v>
      </c>
    </row>
    <row r="76" spans="2:9" ht="15" customHeight="1" x14ac:dyDescent="0.2">
      <c r="B76" t="s">
        <v>295</v>
      </c>
      <c r="C76" s="12">
        <v>2</v>
      </c>
      <c r="D76" s="8">
        <v>1.9</v>
      </c>
      <c r="E76" s="12">
        <v>1</v>
      </c>
      <c r="F76" s="8">
        <v>1.61</v>
      </c>
      <c r="G76" s="12">
        <v>1</v>
      </c>
      <c r="H76" s="8">
        <v>2.78</v>
      </c>
      <c r="I76" s="12">
        <v>0</v>
      </c>
    </row>
    <row r="77" spans="2:9" ht="15" customHeight="1" x14ac:dyDescent="0.2">
      <c r="B77" t="s">
        <v>297</v>
      </c>
      <c r="C77" s="12">
        <v>2</v>
      </c>
      <c r="D77" s="8">
        <v>1.9</v>
      </c>
      <c r="E77" s="12">
        <v>1</v>
      </c>
      <c r="F77" s="8">
        <v>1.61</v>
      </c>
      <c r="G77" s="12">
        <v>1</v>
      </c>
      <c r="H77" s="8">
        <v>2.78</v>
      </c>
      <c r="I77" s="12">
        <v>0</v>
      </c>
    </row>
    <row r="78" spans="2:9" ht="15" customHeight="1" x14ac:dyDescent="0.2">
      <c r="B78" t="s">
        <v>339</v>
      </c>
      <c r="C78" s="12">
        <v>2</v>
      </c>
      <c r="D78" s="8">
        <v>1.9</v>
      </c>
      <c r="E78" s="12">
        <v>2</v>
      </c>
      <c r="F78" s="8">
        <v>3.23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299</v>
      </c>
      <c r="C79" s="12">
        <v>2</v>
      </c>
      <c r="D79" s="8">
        <v>1.9</v>
      </c>
      <c r="E79" s="12">
        <v>2</v>
      </c>
      <c r="F79" s="8">
        <v>3.23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300</v>
      </c>
      <c r="C80" s="12">
        <v>2</v>
      </c>
      <c r="D80" s="8">
        <v>1.9</v>
      </c>
      <c r="E80" s="12">
        <v>2</v>
      </c>
      <c r="F80" s="8">
        <v>3.23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312</v>
      </c>
      <c r="C81" s="12">
        <v>2</v>
      </c>
      <c r="D81" s="8">
        <v>1.9</v>
      </c>
      <c r="E81" s="12">
        <v>2</v>
      </c>
      <c r="F81" s="8">
        <v>3.23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306</v>
      </c>
      <c r="C82" s="12">
        <v>2</v>
      </c>
      <c r="D82" s="8">
        <v>1.9</v>
      </c>
      <c r="E82" s="12">
        <v>2</v>
      </c>
      <c r="F82" s="8">
        <v>3.23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318</v>
      </c>
      <c r="C83" s="12">
        <v>2</v>
      </c>
      <c r="D83" s="8">
        <v>1.9</v>
      </c>
      <c r="E83" s="12">
        <v>2</v>
      </c>
      <c r="F83" s="8">
        <v>3.23</v>
      </c>
      <c r="G83" s="12">
        <v>0</v>
      </c>
      <c r="H83" s="8">
        <v>0</v>
      </c>
      <c r="I83" s="12">
        <v>0</v>
      </c>
    </row>
    <row r="85" spans="2:9" ht="15" customHeight="1" x14ac:dyDescent="0.2">
      <c r="B8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32D33-13A2-40A6-B21B-E0FF86C044E7}">
  <sheetPr>
    <pageSetUpPr fitToPage="1"/>
  </sheetPr>
  <dimension ref="B2:I9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9</v>
      </c>
      <c r="D6" s="8">
        <v>12</v>
      </c>
      <c r="E6" s="12">
        <v>3</v>
      </c>
      <c r="F6" s="8">
        <v>11.54</v>
      </c>
      <c r="G6" s="12">
        <v>6</v>
      </c>
      <c r="H6" s="8">
        <v>13.33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10.67</v>
      </c>
      <c r="E7" s="12">
        <v>0</v>
      </c>
      <c r="F7" s="8">
        <v>0</v>
      </c>
      <c r="G7" s="12">
        <v>8</v>
      </c>
      <c r="H7" s="8">
        <v>17.78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1.33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1.33</v>
      </c>
      <c r="E9" s="12">
        <v>0</v>
      </c>
      <c r="F9" s="8">
        <v>0</v>
      </c>
      <c r="G9" s="12">
        <v>1</v>
      </c>
      <c r="H9" s="8">
        <v>2.2200000000000002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1.33</v>
      </c>
      <c r="E10" s="12">
        <v>0</v>
      </c>
      <c r="F10" s="8">
        <v>0</v>
      </c>
      <c r="G10" s="12">
        <v>1</v>
      </c>
      <c r="H10" s="8">
        <v>2.2200000000000002</v>
      </c>
      <c r="I10" s="12">
        <v>0</v>
      </c>
    </row>
    <row r="11" spans="2:9" ht="15" customHeight="1" x14ac:dyDescent="0.2">
      <c r="B11" t="s">
        <v>196</v>
      </c>
      <c r="C11" s="12">
        <v>15</v>
      </c>
      <c r="D11" s="8">
        <v>20</v>
      </c>
      <c r="E11" s="12">
        <v>6</v>
      </c>
      <c r="F11" s="8">
        <v>23.08</v>
      </c>
      <c r="G11" s="12">
        <v>9</v>
      </c>
      <c r="H11" s="8">
        <v>20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7</v>
      </c>
      <c r="D13" s="8">
        <v>9.33</v>
      </c>
      <c r="E13" s="12">
        <v>0</v>
      </c>
      <c r="F13" s="8">
        <v>0</v>
      </c>
      <c r="G13" s="12">
        <v>6</v>
      </c>
      <c r="H13" s="8">
        <v>13.33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1.33</v>
      </c>
      <c r="E14" s="12">
        <v>1</v>
      </c>
      <c r="F14" s="8">
        <v>3.85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10</v>
      </c>
      <c r="D15" s="8">
        <v>13.33</v>
      </c>
      <c r="E15" s="12">
        <v>6</v>
      </c>
      <c r="F15" s="8">
        <v>23.08</v>
      </c>
      <c r="G15" s="12">
        <v>4</v>
      </c>
      <c r="H15" s="8">
        <v>8.89</v>
      </c>
      <c r="I15" s="12">
        <v>0</v>
      </c>
    </row>
    <row r="16" spans="2:9" ht="15" customHeight="1" x14ac:dyDescent="0.2">
      <c r="B16" t="s">
        <v>201</v>
      </c>
      <c r="C16" s="12">
        <v>7</v>
      </c>
      <c r="D16" s="8">
        <v>9.33</v>
      </c>
      <c r="E16" s="12">
        <v>7</v>
      </c>
      <c r="F16" s="8">
        <v>26.92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9</v>
      </c>
      <c r="D18" s="8">
        <v>12</v>
      </c>
      <c r="E18" s="12">
        <v>3</v>
      </c>
      <c r="F18" s="8">
        <v>11.54</v>
      </c>
      <c r="G18" s="12">
        <v>5</v>
      </c>
      <c r="H18" s="8">
        <v>11.11</v>
      </c>
      <c r="I18" s="12">
        <v>1</v>
      </c>
    </row>
    <row r="19" spans="2:9" ht="15" customHeight="1" x14ac:dyDescent="0.2">
      <c r="B19" t="s">
        <v>204</v>
      </c>
      <c r="C19" s="12">
        <v>6</v>
      </c>
      <c r="D19" s="8">
        <v>8</v>
      </c>
      <c r="E19" s="12">
        <v>0</v>
      </c>
      <c r="F19" s="8">
        <v>0</v>
      </c>
      <c r="G19" s="12">
        <v>5</v>
      </c>
      <c r="H19" s="8">
        <v>11.11</v>
      </c>
      <c r="I19" s="12">
        <v>1</v>
      </c>
    </row>
    <row r="20" spans="2:9" ht="15" customHeight="1" x14ac:dyDescent="0.2">
      <c r="B20" s="9" t="s">
        <v>529</v>
      </c>
      <c r="C20" s="12">
        <f>SUM(LTBL_01407[総数／事業所数])</f>
        <v>75</v>
      </c>
      <c r="E20" s="12">
        <f>SUBTOTAL(109,LTBL_01407[個人／事業所数])</f>
        <v>26</v>
      </c>
      <c r="G20" s="12">
        <f>SUBTOTAL(109,LTBL_01407[法人／事業所数])</f>
        <v>45</v>
      </c>
      <c r="I20" s="12">
        <f>SUBTOTAL(109,LTBL_01407[法人以外の団体／事業所数])</f>
        <v>2</v>
      </c>
    </row>
    <row r="21" spans="2:9" ht="15" customHeight="1" x14ac:dyDescent="0.2">
      <c r="E21" s="11">
        <f>LTBL_01407[[#Totals],[個人／事業所数]]/LTBL_01407[[#Totals],[総数／事業所数]]</f>
        <v>0.34666666666666668</v>
      </c>
      <c r="G21" s="11">
        <f>LTBL_01407[[#Totals],[法人／事業所数]]/LTBL_01407[[#Totals],[総数／事業所数]]</f>
        <v>0.6</v>
      </c>
      <c r="I21" s="11">
        <f>LTBL_01407[[#Totals],[法人以外の団体／事業所数]]/LTBL_01407[[#Totals],[総数／事業所数]]</f>
        <v>2.6666666666666668E-2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9</v>
      </c>
      <c r="D24" s="8">
        <v>12</v>
      </c>
      <c r="E24" s="12">
        <v>6</v>
      </c>
      <c r="F24" s="8">
        <v>23.08</v>
      </c>
      <c r="G24" s="12">
        <v>3</v>
      </c>
      <c r="H24" s="8">
        <v>6.67</v>
      </c>
      <c r="I24" s="12">
        <v>0</v>
      </c>
    </row>
    <row r="25" spans="2:9" ht="15" customHeight="1" x14ac:dyDescent="0.2">
      <c r="B25" t="s">
        <v>228</v>
      </c>
      <c r="C25" s="12">
        <v>7</v>
      </c>
      <c r="D25" s="8">
        <v>9.33</v>
      </c>
      <c r="E25" s="12">
        <v>7</v>
      </c>
      <c r="F25" s="8">
        <v>26.92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213</v>
      </c>
      <c r="C26" s="12">
        <v>6</v>
      </c>
      <c r="D26" s="8">
        <v>8</v>
      </c>
      <c r="E26" s="12">
        <v>0</v>
      </c>
      <c r="F26" s="8">
        <v>0</v>
      </c>
      <c r="G26" s="12">
        <v>6</v>
      </c>
      <c r="H26" s="8">
        <v>13.33</v>
      </c>
      <c r="I26" s="12">
        <v>0</v>
      </c>
    </row>
    <row r="27" spans="2:9" ht="15" customHeight="1" x14ac:dyDescent="0.2">
      <c r="B27" t="s">
        <v>224</v>
      </c>
      <c r="C27" s="12">
        <v>6</v>
      </c>
      <c r="D27" s="8">
        <v>8</v>
      </c>
      <c r="E27" s="12">
        <v>0</v>
      </c>
      <c r="F27" s="8">
        <v>0</v>
      </c>
      <c r="G27" s="12">
        <v>5</v>
      </c>
      <c r="H27" s="8">
        <v>11.11</v>
      </c>
      <c r="I27" s="12">
        <v>0</v>
      </c>
    </row>
    <row r="28" spans="2:9" ht="15" customHeight="1" x14ac:dyDescent="0.2">
      <c r="B28" t="s">
        <v>232</v>
      </c>
      <c r="C28" s="12">
        <v>6</v>
      </c>
      <c r="D28" s="8">
        <v>8</v>
      </c>
      <c r="E28" s="12">
        <v>0</v>
      </c>
      <c r="F28" s="8">
        <v>0</v>
      </c>
      <c r="G28" s="12">
        <v>5</v>
      </c>
      <c r="H28" s="8">
        <v>11.11</v>
      </c>
      <c r="I28" s="12">
        <v>1</v>
      </c>
    </row>
    <row r="29" spans="2:9" ht="15" customHeight="1" x14ac:dyDescent="0.2">
      <c r="B29" t="s">
        <v>262</v>
      </c>
      <c r="C29" s="12">
        <v>5</v>
      </c>
      <c r="D29" s="8">
        <v>6.67</v>
      </c>
      <c r="E29" s="12">
        <v>0</v>
      </c>
      <c r="F29" s="8">
        <v>0</v>
      </c>
      <c r="G29" s="12">
        <v>5</v>
      </c>
      <c r="H29" s="8">
        <v>11.11</v>
      </c>
      <c r="I29" s="12">
        <v>0</v>
      </c>
    </row>
    <row r="30" spans="2:9" ht="15" customHeight="1" x14ac:dyDescent="0.2">
      <c r="B30" t="s">
        <v>221</v>
      </c>
      <c r="C30" s="12">
        <v>5</v>
      </c>
      <c r="D30" s="8">
        <v>6.67</v>
      </c>
      <c r="E30" s="12">
        <v>3</v>
      </c>
      <c r="F30" s="8">
        <v>11.54</v>
      </c>
      <c r="G30" s="12">
        <v>2</v>
      </c>
      <c r="H30" s="8">
        <v>4.4400000000000004</v>
      </c>
      <c r="I30" s="12">
        <v>0</v>
      </c>
    </row>
    <row r="31" spans="2:9" ht="15" customHeight="1" x14ac:dyDescent="0.2">
      <c r="B31" t="s">
        <v>223</v>
      </c>
      <c r="C31" s="12">
        <v>5</v>
      </c>
      <c r="D31" s="8">
        <v>6.67</v>
      </c>
      <c r="E31" s="12">
        <v>1</v>
      </c>
      <c r="F31" s="8">
        <v>3.85</v>
      </c>
      <c r="G31" s="12">
        <v>4</v>
      </c>
      <c r="H31" s="8">
        <v>8.89</v>
      </c>
      <c r="I31" s="12">
        <v>0</v>
      </c>
    </row>
    <row r="32" spans="2:9" ht="15" customHeight="1" x14ac:dyDescent="0.2">
      <c r="B32" t="s">
        <v>216</v>
      </c>
      <c r="C32" s="12">
        <v>3</v>
      </c>
      <c r="D32" s="8">
        <v>4</v>
      </c>
      <c r="E32" s="12">
        <v>1</v>
      </c>
      <c r="F32" s="8">
        <v>3.85</v>
      </c>
      <c r="G32" s="12">
        <v>2</v>
      </c>
      <c r="H32" s="8">
        <v>4.4400000000000004</v>
      </c>
      <c r="I32" s="12">
        <v>0</v>
      </c>
    </row>
    <row r="33" spans="2:9" ht="15" customHeight="1" x14ac:dyDescent="0.2">
      <c r="B33" t="s">
        <v>231</v>
      </c>
      <c r="C33" s="12">
        <v>3</v>
      </c>
      <c r="D33" s="8">
        <v>4</v>
      </c>
      <c r="E33" s="12">
        <v>3</v>
      </c>
      <c r="F33" s="8">
        <v>11.54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250</v>
      </c>
      <c r="C34" s="12">
        <v>3</v>
      </c>
      <c r="D34" s="8">
        <v>4</v>
      </c>
      <c r="E34" s="12">
        <v>0</v>
      </c>
      <c r="F34" s="8">
        <v>0</v>
      </c>
      <c r="G34" s="12">
        <v>2</v>
      </c>
      <c r="H34" s="8">
        <v>4.4400000000000004</v>
      </c>
      <c r="I34" s="12">
        <v>1</v>
      </c>
    </row>
    <row r="35" spans="2:9" ht="15" customHeight="1" x14ac:dyDescent="0.2">
      <c r="B35" t="s">
        <v>214</v>
      </c>
      <c r="C35" s="12">
        <v>2</v>
      </c>
      <c r="D35" s="8">
        <v>2.67</v>
      </c>
      <c r="E35" s="12">
        <v>2</v>
      </c>
      <c r="F35" s="8">
        <v>7.69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254</v>
      </c>
      <c r="C36" s="12">
        <v>2</v>
      </c>
      <c r="D36" s="8">
        <v>2.67</v>
      </c>
      <c r="E36" s="12">
        <v>0</v>
      </c>
      <c r="F36" s="8">
        <v>0</v>
      </c>
      <c r="G36" s="12">
        <v>2</v>
      </c>
      <c r="H36" s="8">
        <v>4.4400000000000004</v>
      </c>
      <c r="I36" s="12">
        <v>0</v>
      </c>
    </row>
    <row r="37" spans="2:9" ht="15" customHeight="1" x14ac:dyDescent="0.2">
      <c r="B37" t="s">
        <v>240</v>
      </c>
      <c r="C37" s="12">
        <v>2</v>
      </c>
      <c r="D37" s="8">
        <v>2.67</v>
      </c>
      <c r="E37" s="12">
        <v>0</v>
      </c>
      <c r="F37" s="8">
        <v>0</v>
      </c>
      <c r="G37" s="12">
        <v>2</v>
      </c>
      <c r="H37" s="8">
        <v>4.4400000000000004</v>
      </c>
      <c r="I37" s="12">
        <v>0</v>
      </c>
    </row>
    <row r="38" spans="2:9" ht="15" customHeight="1" x14ac:dyDescent="0.2">
      <c r="B38" t="s">
        <v>215</v>
      </c>
      <c r="C38" s="12">
        <v>1</v>
      </c>
      <c r="D38" s="8">
        <v>1.33</v>
      </c>
      <c r="E38" s="12">
        <v>1</v>
      </c>
      <c r="F38" s="8">
        <v>3.85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263</v>
      </c>
      <c r="C39" s="12">
        <v>1</v>
      </c>
      <c r="D39" s="8">
        <v>1.33</v>
      </c>
      <c r="E39" s="12">
        <v>0</v>
      </c>
      <c r="F39" s="8">
        <v>0</v>
      </c>
      <c r="G39" s="12">
        <v>1</v>
      </c>
      <c r="H39" s="8">
        <v>2.2200000000000002</v>
      </c>
      <c r="I39" s="12">
        <v>0</v>
      </c>
    </row>
    <row r="40" spans="2:9" ht="15" customHeight="1" x14ac:dyDescent="0.2">
      <c r="B40" t="s">
        <v>255</v>
      </c>
      <c r="C40" s="12">
        <v>1</v>
      </c>
      <c r="D40" s="8">
        <v>1.33</v>
      </c>
      <c r="E40" s="12">
        <v>0</v>
      </c>
      <c r="F40" s="8">
        <v>0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275</v>
      </c>
      <c r="C41" s="12">
        <v>1</v>
      </c>
      <c r="D41" s="8">
        <v>1.33</v>
      </c>
      <c r="E41" s="12">
        <v>0</v>
      </c>
      <c r="F41" s="8">
        <v>0</v>
      </c>
      <c r="G41" s="12">
        <v>1</v>
      </c>
      <c r="H41" s="8">
        <v>2.2200000000000002</v>
      </c>
      <c r="I41" s="12">
        <v>0</v>
      </c>
    </row>
    <row r="42" spans="2:9" ht="15" customHeight="1" x14ac:dyDescent="0.2">
      <c r="B42" t="s">
        <v>261</v>
      </c>
      <c r="C42" s="12">
        <v>1</v>
      </c>
      <c r="D42" s="8">
        <v>1.33</v>
      </c>
      <c r="E42" s="12">
        <v>0</v>
      </c>
      <c r="F42" s="8">
        <v>0</v>
      </c>
      <c r="G42" s="12">
        <v>1</v>
      </c>
      <c r="H42" s="8">
        <v>2.2200000000000002</v>
      </c>
      <c r="I42" s="12">
        <v>0</v>
      </c>
    </row>
    <row r="43" spans="2:9" ht="15" customHeight="1" x14ac:dyDescent="0.2">
      <c r="B43" t="s">
        <v>217</v>
      </c>
      <c r="C43" s="12">
        <v>1</v>
      </c>
      <c r="D43" s="8">
        <v>1.33</v>
      </c>
      <c r="E43" s="12">
        <v>1</v>
      </c>
      <c r="F43" s="8">
        <v>3.85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236</v>
      </c>
      <c r="C44" s="12">
        <v>1</v>
      </c>
      <c r="D44" s="8">
        <v>1.33</v>
      </c>
      <c r="E44" s="12">
        <v>0</v>
      </c>
      <c r="F44" s="8">
        <v>0</v>
      </c>
      <c r="G44" s="12">
        <v>1</v>
      </c>
      <c r="H44" s="8">
        <v>2.2200000000000002</v>
      </c>
      <c r="I44" s="12">
        <v>0</v>
      </c>
    </row>
    <row r="45" spans="2:9" ht="15" customHeight="1" x14ac:dyDescent="0.2">
      <c r="B45" t="s">
        <v>246</v>
      </c>
      <c r="C45" s="12">
        <v>1</v>
      </c>
      <c r="D45" s="8">
        <v>1.33</v>
      </c>
      <c r="E45" s="12">
        <v>0</v>
      </c>
      <c r="F45" s="8">
        <v>0</v>
      </c>
      <c r="G45" s="12">
        <v>1</v>
      </c>
      <c r="H45" s="8">
        <v>2.2200000000000002</v>
      </c>
      <c r="I45" s="12">
        <v>0</v>
      </c>
    </row>
    <row r="46" spans="2:9" ht="15" customHeight="1" x14ac:dyDescent="0.2">
      <c r="B46" t="s">
        <v>225</v>
      </c>
      <c r="C46" s="12">
        <v>1</v>
      </c>
      <c r="D46" s="8">
        <v>1.33</v>
      </c>
      <c r="E46" s="12">
        <v>1</v>
      </c>
      <c r="F46" s="8">
        <v>3.85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239</v>
      </c>
      <c r="C47" s="12">
        <v>1</v>
      </c>
      <c r="D47" s="8">
        <v>1.33</v>
      </c>
      <c r="E47" s="12">
        <v>0</v>
      </c>
      <c r="F47" s="8">
        <v>0</v>
      </c>
      <c r="G47" s="12">
        <v>1</v>
      </c>
      <c r="H47" s="8">
        <v>2.2200000000000002</v>
      </c>
      <c r="I47" s="12">
        <v>0</v>
      </c>
    </row>
    <row r="48" spans="2:9" ht="15" customHeight="1" x14ac:dyDescent="0.2">
      <c r="B48" t="s">
        <v>249</v>
      </c>
      <c r="C48" s="12">
        <v>1</v>
      </c>
      <c r="D48" s="8">
        <v>1.33</v>
      </c>
      <c r="E48" s="12">
        <v>0</v>
      </c>
      <c r="F48" s="8">
        <v>0</v>
      </c>
      <c r="G48" s="12">
        <v>1</v>
      </c>
      <c r="H48" s="8">
        <v>2.2200000000000002</v>
      </c>
      <c r="I48" s="12">
        <v>0</v>
      </c>
    </row>
    <row r="51" spans="2:9" ht="33" customHeight="1" x14ac:dyDescent="0.2">
      <c r="B51" t="s">
        <v>531</v>
      </c>
      <c r="C51" s="10" t="s">
        <v>206</v>
      </c>
      <c r="D51" s="10" t="s">
        <v>207</v>
      </c>
      <c r="E51" s="10" t="s">
        <v>208</v>
      </c>
      <c r="F51" s="10" t="s">
        <v>209</v>
      </c>
      <c r="G51" s="10" t="s">
        <v>210</v>
      </c>
      <c r="H51" s="10" t="s">
        <v>211</v>
      </c>
      <c r="I51" s="10" t="s">
        <v>212</v>
      </c>
    </row>
    <row r="52" spans="2:9" ht="15" customHeight="1" x14ac:dyDescent="0.2">
      <c r="B52" t="s">
        <v>297</v>
      </c>
      <c r="C52" s="12">
        <v>5</v>
      </c>
      <c r="D52" s="8">
        <v>6.67</v>
      </c>
      <c r="E52" s="12">
        <v>0</v>
      </c>
      <c r="F52" s="8">
        <v>0</v>
      </c>
      <c r="G52" s="12">
        <v>4</v>
      </c>
      <c r="H52" s="8">
        <v>8.89</v>
      </c>
      <c r="I52" s="12">
        <v>0</v>
      </c>
    </row>
    <row r="53" spans="2:9" ht="15" customHeight="1" x14ac:dyDescent="0.2">
      <c r="B53" t="s">
        <v>299</v>
      </c>
      <c r="C53" s="12">
        <v>4</v>
      </c>
      <c r="D53" s="8">
        <v>5.33</v>
      </c>
      <c r="E53" s="12">
        <v>3</v>
      </c>
      <c r="F53" s="8">
        <v>11.54</v>
      </c>
      <c r="G53" s="12">
        <v>1</v>
      </c>
      <c r="H53" s="8">
        <v>2.2200000000000002</v>
      </c>
      <c r="I53" s="12">
        <v>0</v>
      </c>
    </row>
    <row r="54" spans="2:9" ht="15" customHeight="1" x14ac:dyDescent="0.2">
      <c r="B54" t="s">
        <v>395</v>
      </c>
      <c r="C54" s="12">
        <v>3</v>
      </c>
      <c r="D54" s="8">
        <v>4</v>
      </c>
      <c r="E54" s="12">
        <v>0</v>
      </c>
      <c r="F54" s="8">
        <v>0</v>
      </c>
      <c r="G54" s="12">
        <v>3</v>
      </c>
      <c r="H54" s="8">
        <v>6.67</v>
      </c>
      <c r="I54" s="12">
        <v>0</v>
      </c>
    </row>
    <row r="55" spans="2:9" ht="15" customHeight="1" x14ac:dyDescent="0.2">
      <c r="B55" t="s">
        <v>324</v>
      </c>
      <c r="C55" s="12">
        <v>3</v>
      </c>
      <c r="D55" s="8">
        <v>4</v>
      </c>
      <c r="E55" s="12">
        <v>1</v>
      </c>
      <c r="F55" s="8">
        <v>3.85</v>
      </c>
      <c r="G55" s="12">
        <v>2</v>
      </c>
      <c r="H55" s="8">
        <v>4.4400000000000004</v>
      </c>
      <c r="I55" s="12">
        <v>0</v>
      </c>
    </row>
    <row r="56" spans="2:9" ht="15" customHeight="1" x14ac:dyDescent="0.2">
      <c r="B56" t="s">
        <v>303</v>
      </c>
      <c r="C56" s="12">
        <v>3</v>
      </c>
      <c r="D56" s="8">
        <v>4</v>
      </c>
      <c r="E56" s="12">
        <v>3</v>
      </c>
      <c r="F56" s="8">
        <v>11.54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304</v>
      </c>
      <c r="C57" s="12">
        <v>3</v>
      </c>
      <c r="D57" s="8">
        <v>4</v>
      </c>
      <c r="E57" s="12">
        <v>3</v>
      </c>
      <c r="F57" s="8">
        <v>11.54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345</v>
      </c>
      <c r="C58" s="12">
        <v>3</v>
      </c>
      <c r="D58" s="8">
        <v>4</v>
      </c>
      <c r="E58" s="12">
        <v>0</v>
      </c>
      <c r="F58" s="8">
        <v>0</v>
      </c>
      <c r="G58" s="12">
        <v>2</v>
      </c>
      <c r="H58" s="8">
        <v>4.4400000000000004</v>
      </c>
      <c r="I58" s="12">
        <v>1</v>
      </c>
    </row>
    <row r="59" spans="2:9" ht="15" customHeight="1" x14ac:dyDescent="0.2">
      <c r="B59" t="s">
        <v>288</v>
      </c>
      <c r="C59" s="12">
        <v>2</v>
      </c>
      <c r="D59" s="8">
        <v>2.67</v>
      </c>
      <c r="E59" s="12">
        <v>0</v>
      </c>
      <c r="F59" s="8">
        <v>0</v>
      </c>
      <c r="G59" s="12">
        <v>2</v>
      </c>
      <c r="H59" s="8">
        <v>4.4400000000000004</v>
      </c>
      <c r="I59" s="12">
        <v>0</v>
      </c>
    </row>
    <row r="60" spans="2:9" ht="15" customHeight="1" x14ac:dyDescent="0.2">
      <c r="B60" t="s">
        <v>398</v>
      </c>
      <c r="C60" s="12">
        <v>2</v>
      </c>
      <c r="D60" s="8">
        <v>2.67</v>
      </c>
      <c r="E60" s="12">
        <v>0</v>
      </c>
      <c r="F60" s="8">
        <v>0</v>
      </c>
      <c r="G60" s="12">
        <v>2</v>
      </c>
      <c r="H60" s="8">
        <v>4.4400000000000004</v>
      </c>
      <c r="I60" s="12">
        <v>0</v>
      </c>
    </row>
    <row r="61" spans="2:9" ht="15" customHeight="1" x14ac:dyDescent="0.2">
      <c r="B61" t="s">
        <v>443</v>
      </c>
      <c r="C61" s="12">
        <v>2</v>
      </c>
      <c r="D61" s="8">
        <v>2.67</v>
      </c>
      <c r="E61" s="12">
        <v>0</v>
      </c>
      <c r="F61" s="8">
        <v>0</v>
      </c>
      <c r="G61" s="12">
        <v>2</v>
      </c>
      <c r="H61" s="8">
        <v>4.4400000000000004</v>
      </c>
      <c r="I61" s="12">
        <v>0</v>
      </c>
    </row>
    <row r="62" spans="2:9" ht="15" customHeight="1" x14ac:dyDescent="0.2">
      <c r="B62" t="s">
        <v>292</v>
      </c>
      <c r="C62" s="12">
        <v>2</v>
      </c>
      <c r="D62" s="8">
        <v>2.67</v>
      </c>
      <c r="E62" s="12">
        <v>2</v>
      </c>
      <c r="F62" s="8">
        <v>7.69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330</v>
      </c>
      <c r="C63" s="12">
        <v>2</v>
      </c>
      <c r="D63" s="8">
        <v>2.67</v>
      </c>
      <c r="E63" s="12">
        <v>0</v>
      </c>
      <c r="F63" s="8">
        <v>0</v>
      </c>
      <c r="G63" s="12">
        <v>2</v>
      </c>
      <c r="H63" s="8">
        <v>4.4400000000000004</v>
      </c>
      <c r="I63" s="12">
        <v>0</v>
      </c>
    </row>
    <row r="64" spans="2:9" ht="15" customHeight="1" x14ac:dyDescent="0.2">
      <c r="B64" t="s">
        <v>337</v>
      </c>
      <c r="C64" s="12">
        <v>2</v>
      </c>
      <c r="D64" s="8">
        <v>2.67</v>
      </c>
      <c r="E64" s="12">
        <v>1</v>
      </c>
      <c r="F64" s="8">
        <v>3.85</v>
      </c>
      <c r="G64" s="12">
        <v>1</v>
      </c>
      <c r="H64" s="8">
        <v>2.2200000000000002</v>
      </c>
      <c r="I64" s="12">
        <v>0</v>
      </c>
    </row>
    <row r="65" spans="2:9" ht="15" customHeight="1" x14ac:dyDescent="0.2">
      <c r="B65" t="s">
        <v>419</v>
      </c>
      <c r="C65" s="12">
        <v>2</v>
      </c>
      <c r="D65" s="8">
        <v>2.67</v>
      </c>
      <c r="E65" s="12">
        <v>1</v>
      </c>
      <c r="F65" s="8">
        <v>3.85</v>
      </c>
      <c r="G65" s="12">
        <v>1</v>
      </c>
      <c r="H65" s="8">
        <v>2.2200000000000002</v>
      </c>
      <c r="I65" s="12">
        <v>0</v>
      </c>
    </row>
    <row r="66" spans="2:9" ht="15" customHeight="1" x14ac:dyDescent="0.2">
      <c r="B66" t="s">
        <v>300</v>
      </c>
      <c r="C66" s="12">
        <v>2</v>
      </c>
      <c r="D66" s="8">
        <v>2.67</v>
      </c>
      <c r="E66" s="12">
        <v>2</v>
      </c>
      <c r="F66" s="8">
        <v>7.69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306</v>
      </c>
      <c r="C67" s="12">
        <v>2</v>
      </c>
      <c r="D67" s="8">
        <v>2.67</v>
      </c>
      <c r="E67" s="12">
        <v>2</v>
      </c>
      <c r="F67" s="8">
        <v>7.69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341</v>
      </c>
      <c r="C68" s="12">
        <v>2</v>
      </c>
      <c r="D68" s="8">
        <v>2.67</v>
      </c>
      <c r="E68" s="12">
        <v>0</v>
      </c>
      <c r="F68" s="8">
        <v>0</v>
      </c>
      <c r="G68" s="12">
        <v>1</v>
      </c>
      <c r="H68" s="8">
        <v>2.2200000000000002</v>
      </c>
      <c r="I68" s="12">
        <v>1</v>
      </c>
    </row>
    <row r="69" spans="2:9" ht="15" customHeight="1" x14ac:dyDescent="0.2">
      <c r="B69" t="s">
        <v>331</v>
      </c>
      <c r="C69" s="12">
        <v>2</v>
      </c>
      <c r="D69" s="8">
        <v>2.67</v>
      </c>
      <c r="E69" s="12">
        <v>0</v>
      </c>
      <c r="F69" s="8">
        <v>0</v>
      </c>
      <c r="G69" s="12">
        <v>2</v>
      </c>
      <c r="H69" s="8">
        <v>4.4400000000000004</v>
      </c>
      <c r="I69" s="12">
        <v>0</v>
      </c>
    </row>
    <row r="70" spans="2:9" ht="15" customHeight="1" x14ac:dyDescent="0.2">
      <c r="B70" t="s">
        <v>307</v>
      </c>
      <c r="C70" s="12">
        <v>2</v>
      </c>
      <c r="D70" s="8">
        <v>2.67</v>
      </c>
      <c r="E70" s="12">
        <v>0</v>
      </c>
      <c r="F70" s="8">
        <v>0</v>
      </c>
      <c r="G70" s="12">
        <v>2</v>
      </c>
      <c r="H70" s="8">
        <v>4.4400000000000004</v>
      </c>
      <c r="I70" s="12">
        <v>0</v>
      </c>
    </row>
    <row r="71" spans="2:9" ht="15" customHeight="1" x14ac:dyDescent="0.2">
      <c r="B71" t="s">
        <v>442</v>
      </c>
      <c r="C71" s="12">
        <v>1</v>
      </c>
      <c r="D71" s="8">
        <v>1.33</v>
      </c>
      <c r="E71" s="12">
        <v>0</v>
      </c>
      <c r="F71" s="8">
        <v>0</v>
      </c>
      <c r="G71" s="12">
        <v>1</v>
      </c>
      <c r="H71" s="8">
        <v>2.2200000000000002</v>
      </c>
      <c r="I71" s="12">
        <v>0</v>
      </c>
    </row>
    <row r="72" spans="2:9" ht="15" customHeight="1" x14ac:dyDescent="0.2">
      <c r="B72" t="s">
        <v>319</v>
      </c>
      <c r="C72" s="12">
        <v>1</v>
      </c>
      <c r="D72" s="8">
        <v>1.33</v>
      </c>
      <c r="E72" s="12">
        <v>0</v>
      </c>
      <c r="F72" s="8">
        <v>0</v>
      </c>
      <c r="G72" s="12">
        <v>1</v>
      </c>
      <c r="H72" s="8">
        <v>2.2200000000000002</v>
      </c>
      <c r="I72" s="12">
        <v>0</v>
      </c>
    </row>
    <row r="73" spans="2:9" ht="15" customHeight="1" x14ac:dyDescent="0.2">
      <c r="B73" t="s">
        <v>343</v>
      </c>
      <c r="C73" s="12">
        <v>1</v>
      </c>
      <c r="D73" s="8">
        <v>1.33</v>
      </c>
      <c r="E73" s="12">
        <v>1</v>
      </c>
      <c r="F73" s="8">
        <v>3.85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333</v>
      </c>
      <c r="C74" s="12">
        <v>1</v>
      </c>
      <c r="D74" s="8">
        <v>1.33</v>
      </c>
      <c r="E74" s="12">
        <v>1</v>
      </c>
      <c r="F74" s="8">
        <v>3.85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291</v>
      </c>
      <c r="C75" s="12">
        <v>1</v>
      </c>
      <c r="D75" s="8">
        <v>1.33</v>
      </c>
      <c r="E75" s="12">
        <v>1</v>
      </c>
      <c r="F75" s="8">
        <v>3.85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444</v>
      </c>
      <c r="C76" s="12">
        <v>1</v>
      </c>
      <c r="D76" s="8">
        <v>1.33</v>
      </c>
      <c r="E76" s="12">
        <v>0</v>
      </c>
      <c r="F76" s="8">
        <v>0</v>
      </c>
      <c r="G76" s="12">
        <v>1</v>
      </c>
      <c r="H76" s="8">
        <v>2.2200000000000002</v>
      </c>
      <c r="I76" s="12">
        <v>0</v>
      </c>
    </row>
    <row r="77" spans="2:9" ht="15" customHeight="1" x14ac:dyDescent="0.2">
      <c r="B77" t="s">
        <v>385</v>
      </c>
      <c r="C77" s="12">
        <v>1</v>
      </c>
      <c r="D77" s="8">
        <v>1.33</v>
      </c>
      <c r="E77" s="12">
        <v>0</v>
      </c>
      <c r="F77" s="8">
        <v>0</v>
      </c>
      <c r="G77" s="12">
        <v>1</v>
      </c>
      <c r="H77" s="8">
        <v>2.2200000000000002</v>
      </c>
      <c r="I77" s="12">
        <v>0</v>
      </c>
    </row>
    <row r="78" spans="2:9" ht="15" customHeight="1" x14ac:dyDescent="0.2">
      <c r="B78" t="s">
        <v>432</v>
      </c>
      <c r="C78" s="12">
        <v>1</v>
      </c>
      <c r="D78" s="8">
        <v>1.33</v>
      </c>
      <c r="E78" s="12">
        <v>0</v>
      </c>
      <c r="F78" s="8">
        <v>0</v>
      </c>
      <c r="G78" s="12">
        <v>1</v>
      </c>
      <c r="H78" s="8">
        <v>2.2200000000000002</v>
      </c>
      <c r="I78" s="12">
        <v>0</v>
      </c>
    </row>
    <row r="79" spans="2:9" ht="15" customHeight="1" x14ac:dyDescent="0.2">
      <c r="B79" t="s">
        <v>362</v>
      </c>
      <c r="C79" s="12">
        <v>1</v>
      </c>
      <c r="D79" s="8">
        <v>1.33</v>
      </c>
      <c r="E79" s="12">
        <v>0</v>
      </c>
      <c r="F79" s="8">
        <v>0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445</v>
      </c>
      <c r="C80" s="12">
        <v>1</v>
      </c>
      <c r="D80" s="8">
        <v>1.33</v>
      </c>
      <c r="E80" s="12">
        <v>0</v>
      </c>
      <c r="F80" s="8">
        <v>0</v>
      </c>
      <c r="G80" s="12">
        <v>1</v>
      </c>
      <c r="H80" s="8">
        <v>2.2200000000000002</v>
      </c>
      <c r="I80" s="12">
        <v>0</v>
      </c>
    </row>
    <row r="81" spans="2:9" ht="15" customHeight="1" x14ac:dyDescent="0.2">
      <c r="B81" t="s">
        <v>364</v>
      </c>
      <c r="C81" s="12">
        <v>1</v>
      </c>
      <c r="D81" s="8">
        <v>1.33</v>
      </c>
      <c r="E81" s="12">
        <v>0</v>
      </c>
      <c r="F81" s="8">
        <v>0</v>
      </c>
      <c r="G81" s="12">
        <v>1</v>
      </c>
      <c r="H81" s="8">
        <v>2.2200000000000002</v>
      </c>
      <c r="I81" s="12">
        <v>0</v>
      </c>
    </row>
    <row r="82" spans="2:9" ht="15" customHeight="1" x14ac:dyDescent="0.2">
      <c r="B82" t="s">
        <v>446</v>
      </c>
      <c r="C82" s="12">
        <v>1</v>
      </c>
      <c r="D82" s="8">
        <v>1.33</v>
      </c>
      <c r="E82" s="12">
        <v>1</v>
      </c>
      <c r="F82" s="8">
        <v>3.85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336</v>
      </c>
      <c r="C83" s="12">
        <v>1</v>
      </c>
      <c r="D83" s="8">
        <v>1.33</v>
      </c>
      <c r="E83" s="12">
        <v>0</v>
      </c>
      <c r="F83" s="8">
        <v>0</v>
      </c>
      <c r="G83" s="12">
        <v>1</v>
      </c>
      <c r="H83" s="8">
        <v>2.2200000000000002</v>
      </c>
      <c r="I83" s="12">
        <v>0</v>
      </c>
    </row>
    <row r="84" spans="2:9" ht="15" customHeight="1" x14ac:dyDescent="0.2">
      <c r="B84" t="s">
        <v>332</v>
      </c>
      <c r="C84" s="12">
        <v>1</v>
      </c>
      <c r="D84" s="8">
        <v>1.33</v>
      </c>
      <c r="E84" s="12">
        <v>1</v>
      </c>
      <c r="F84" s="8">
        <v>3.85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329</v>
      </c>
      <c r="C85" s="12">
        <v>1</v>
      </c>
      <c r="D85" s="8">
        <v>1.33</v>
      </c>
      <c r="E85" s="12">
        <v>0</v>
      </c>
      <c r="F85" s="8">
        <v>0</v>
      </c>
      <c r="G85" s="12">
        <v>1</v>
      </c>
      <c r="H85" s="8">
        <v>2.2200000000000002</v>
      </c>
      <c r="I85" s="12">
        <v>0</v>
      </c>
    </row>
    <row r="86" spans="2:9" ht="15" customHeight="1" x14ac:dyDescent="0.2">
      <c r="B86" t="s">
        <v>372</v>
      </c>
      <c r="C86" s="12">
        <v>1</v>
      </c>
      <c r="D86" s="8">
        <v>1.33</v>
      </c>
      <c r="E86" s="12">
        <v>0</v>
      </c>
      <c r="F86" s="8">
        <v>0</v>
      </c>
      <c r="G86" s="12">
        <v>1</v>
      </c>
      <c r="H86" s="8">
        <v>2.2200000000000002</v>
      </c>
      <c r="I86" s="12">
        <v>0</v>
      </c>
    </row>
    <row r="87" spans="2:9" ht="15" customHeight="1" x14ac:dyDescent="0.2">
      <c r="B87" t="s">
        <v>344</v>
      </c>
      <c r="C87" s="12">
        <v>1</v>
      </c>
      <c r="D87" s="8">
        <v>1.33</v>
      </c>
      <c r="E87" s="12">
        <v>0</v>
      </c>
      <c r="F87" s="8">
        <v>0</v>
      </c>
      <c r="G87" s="12">
        <v>1</v>
      </c>
      <c r="H87" s="8">
        <v>2.2200000000000002</v>
      </c>
      <c r="I87" s="12">
        <v>0</v>
      </c>
    </row>
    <row r="88" spans="2:9" ht="15" customHeight="1" x14ac:dyDescent="0.2">
      <c r="B88" t="s">
        <v>296</v>
      </c>
      <c r="C88" s="12">
        <v>1</v>
      </c>
      <c r="D88" s="8">
        <v>1.33</v>
      </c>
      <c r="E88" s="12">
        <v>0</v>
      </c>
      <c r="F88" s="8">
        <v>0</v>
      </c>
      <c r="G88" s="12">
        <v>1</v>
      </c>
      <c r="H88" s="8">
        <v>2.2200000000000002</v>
      </c>
      <c r="I88" s="12">
        <v>0</v>
      </c>
    </row>
    <row r="89" spans="2:9" ht="15" customHeight="1" x14ac:dyDescent="0.2">
      <c r="B89" t="s">
        <v>415</v>
      </c>
      <c r="C89" s="12">
        <v>1</v>
      </c>
      <c r="D89" s="8">
        <v>1.33</v>
      </c>
      <c r="E89" s="12">
        <v>0</v>
      </c>
      <c r="F89" s="8">
        <v>0</v>
      </c>
      <c r="G89" s="12">
        <v>1</v>
      </c>
      <c r="H89" s="8">
        <v>2.2200000000000002</v>
      </c>
      <c r="I89" s="12">
        <v>0</v>
      </c>
    </row>
    <row r="90" spans="2:9" ht="15" customHeight="1" x14ac:dyDescent="0.2">
      <c r="B90" t="s">
        <v>383</v>
      </c>
      <c r="C90" s="12">
        <v>1</v>
      </c>
      <c r="D90" s="8">
        <v>1.33</v>
      </c>
      <c r="E90" s="12">
        <v>1</v>
      </c>
      <c r="F90" s="8">
        <v>3.85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334</v>
      </c>
      <c r="C91" s="12">
        <v>1</v>
      </c>
      <c r="D91" s="8">
        <v>1.33</v>
      </c>
      <c r="E91" s="12">
        <v>0</v>
      </c>
      <c r="F91" s="8">
        <v>0</v>
      </c>
      <c r="G91" s="12">
        <v>1</v>
      </c>
      <c r="H91" s="8">
        <v>2.2200000000000002</v>
      </c>
      <c r="I91" s="12">
        <v>0</v>
      </c>
    </row>
    <row r="92" spans="2:9" ht="15" customHeight="1" x14ac:dyDescent="0.2">
      <c r="B92" t="s">
        <v>325</v>
      </c>
      <c r="C92" s="12">
        <v>1</v>
      </c>
      <c r="D92" s="8">
        <v>1.33</v>
      </c>
      <c r="E92" s="12">
        <v>0</v>
      </c>
      <c r="F92" s="8">
        <v>0</v>
      </c>
      <c r="G92" s="12">
        <v>1</v>
      </c>
      <c r="H92" s="8">
        <v>2.2200000000000002</v>
      </c>
      <c r="I92" s="12">
        <v>0</v>
      </c>
    </row>
    <row r="93" spans="2:9" ht="15" customHeight="1" x14ac:dyDescent="0.2">
      <c r="B93" t="s">
        <v>323</v>
      </c>
      <c r="C93" s="12">
        <v>1</v>
      </c>
      <c r="D93" s="8">
        <v>1.33</v>
      </c>
      <c r="E93" s="12">
        <v>1</v>
      </c>
      <c r="F93" s="8">
        <v>3.85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312</v>
      </c>
      <c r="C94" s="12">
        <v>1</v>
      </c>
      <c r="D94" s="8">
        <v>1.33</v>
      </c>
      <c r="E94" s="12">
        <v>1</v>
      </c>
      <c r="F94" s="8">
        <v>3.85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447</v>
      </c>
      <c r="C95" s="12">
        <v>1</v>
      </c>
      <c r="D95" s="8">
        <v>1.33</v>
      </c>
      <c r="E95" s="12">
        <v>0</v>
      </c>
      <c r="F95" s="8">
        <v>0</v>
      </c>
      <c r="G95" s="12">
        <v>1</v>
      </c>
      <c r="H95" s="8">
        <v>2.2200000000000002</v>
      </c>
      <c r="I95" s="12">
        <v>0</v>
      </c>
    </row>
    <row r="96" spans="2:9" ht="15" customHeight="1" x14ac:dyDescent="0.2">
      <c r="B96" t="s">
        <v>347</v>
      </c>
      <c r="C96" s="12">
        <v>1</v>
      </c>
      <c r="D96" s="8">
        <v>1.33</v>
      </c>
      <c r="E96" s="12">
        <v>0</v>
      </c>
      <c r="F96" s="8">
        <v>0</v>
      </c>
      <c r="G96" s="12">
        <v>1</v>
      </c>
      <c r="H96" s="8">
        <v>2.2200000000000002</v>
      </c>
      <c r="I96" s="12">
        <v>0</v>
      </c>
    </row>
    <row r="97" spans="2:9" ht="15" customHeight="1" x14ac:dyDescent="0.2">
      <c r="B97" t="s">
        <v>370</v>
      </c>
      <c r="C97" s="12">
        <v>1</v>
      </c>
      <c r="D97" s="8">
        <v>1.33</v>
      </c>
      <c r="E97" s="12">
        <v>0</v>
      </c>
      <c r="F97" s="8">
        <v>0</v>
      </c>
      <c r="G97" s="12">
        <v>1</v>
      </c>
      <c r="H97" s="8">
        <v>2.2200000000000002</v>
      </c>
      <c r="I97" s="12">
        <v>0</v>
      </c>
    </row>
    <row r="99" spans="2:9" ht="15" customHeight="1" x14ac:dyDescent="0.2">
      <c r="B9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EEB1F-4EA1-461E-99AA-98D0F891D077}">
  <sheetPr>
    <pageSetUpPr fitToPage="1"/>
  </sheetPr>
  <dimension ref="B2:I7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1</v>
      </c>
      <c r="D5" s="8">
        <v>0.2</v>
      </c>
      <c r="E5" s="12">
        <v>0</v>
      </c>
      <c r="F5" s="8">
        <v>0</v>
      </c>
      <c r="G5" s="12">
        <v>1</v>
      </c>
      <c r="H5" s="8">
        <v>0.44</v>
      </c>
      <c r="I5" s="12">
        <v>0</v>
      </c>
    </row>
    <row r="6" spans="2:9" ht="15" customHeight="1" x14ac:dyDescent="0.2">
      <c r="B6" t="s">
        <v>191</v>
      </c>
      <c r="C6" s="12">
        <v>49</v>
      </c>
      <c r="D6" s="8">
        <v>9.59</v>
      </c>
      <c r="E6" s="12">
        <v>25</v>
      </c>
      <c r="F6" s="8">
        <v>9.23</v>
      </c>
      <c r="G6" s="12">
        <v>24</v>
      </c>
      <c r="H6" s="8">
        <v>10.57</v>
      </c>
      <c r="I6" s="12">
        <v>0</v>
      </c>
    </row>
    <row r="7" spans="2:9" ht="15" customHeight="1" x14ac:dyDescent="0.2">
      <c r="B7" t="s">
        <v>192</v>
      </c>
      <c r="C7" s="12">
        <v>37</v>
      </c>
      <c r="D7" s="8">
        <v>7.24</v>
      </c>
      <c r="E7" s="12">
        <v>14</v>
      </c>
      <c r="F7" s="8">
        <v>5.17</v>
      </c>
      <c r="G7" s="12">
        <v>23</v>
      </c>
      <c r="H7" s="8">
        <v>10.130000000000001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0.2</v>
      </c>
      <c r="E8" s="12">
        <v>0</v>
      </c>
      <c r="F8" s="8">
        <v>0</v>
      </c>
      <c r="G8" s="12">
        <v>1</v>
      </c>
      <c r="H8" s="8">
        <v>0.44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0.39</v>
      </c>
      <c r="E9" s="12">
        <v>0</v>
      </c>
      <c r="F9" s="8">
        <v>0</v>
      </c>
      <c r="G9" s="12">
        <v>2</v>
      </c>
      <c r="H9" s="8">
        <v>0.88</v>
      </c>
      <c r="I9" s="12">
        <v>0</v>
      </c>
    </row>
    <row r="10" spans="2:9" ht="15" customHeight="1" x14ac:dyDescent="0.2">
      <c r="B10" t="s">
        <v>195</v>
      </c>
      <c r="C10" s="12">
        <v>5</v>
      </c>
      <c r="D10" s="8">
        <v>0.98</v>
      </c>
      <c r="E10" s="12">
        <v>2</v>
      </c>
      <c r="F10" s="8">
        <v>0.74</v>
      </c>
      <c r="G10" s="12">
        <v>3</v>
      </c>
      <c r="H10" s="8">
        <v>1.32</v>
      </c>
      <c r="I10" s="12">
        <v>0</v>
      </c>
    </row>
    <row r="11" spans="2:9" ht="15" customHeight="1" x14ac:dyDescent="0.2">
      <c r="B11" t="s">
        <v>196</v>
      </c>
      <c r="C11" s="12">
        <v>142</v>
      </c>
      <c r="D11" s="8">
        <v>27.79</v>
      </c>
      <c r="E11" s="12">
        <v>51</v>
      </c>
      <c r="F11" s="8">
        <v>18.82</v>
      </c>
      <c r="G11" s="12">
        <v>91</v>
      </c>
      <c r="H11" s="8">
        <v>40.090000000000003</v>
      </c>
      <c r="I11" s="12">
        <v>0</v>
      </c>
    </row>
    <row r="12" spans="2:9" ht="15" customHeight="1" x14ac:dyDescent="0.2">
      <c r="B12" t="s">
        <v>197</v>
      </c>
      <c r="C12" s="12">
        <v>2</v>
      </c>
      <c r="D12" s="8">
        <v>0.39</v>
      </c>
      <c r="E12" s="12">
        <v>0</v>
      </c>
      <c r="F12" s="8">
        <v>0</v>
      </c>
      <c r="G12" s="12">
        <v>2</v>
      </c>
      <c r="H12" s="8">
        <v>0.88</v>
      </c>
      <c r="I12" s="12">
        <v>0</v>
      </c>
    </row>
    <row r="13" spans="2:9" ht="15" customHeight="1" x14ac:dyDescent="0.2">
      <c r="B13" t="s">
        <v>198</v>
      </c>
      <c r="C13" s="12">
        <v>60</v>
      </c>
      <c r="D13" s="8">
        <v>11.74</v>
      </c>
      <c r="E13" s="12">
        <v>38</v>
      </c>
      <c r="F13" s="8">
        <v>14.02</v>
      </c>
      <c r="G13" s="12">
        <v>21</v>
      </c>
      <c r="H13" s="8">
        <v>9.25</v>
      </c>
      <c r="I13" s="12">
        <v>0</v>
      </c>
    </row>
    <row r="14" spans="2:9" ht="15" customHeight="1" x14ac:dyDescent="0.2">
      <c r="B14" t="s">
        <v>199</v>
      </c>
      <c r="C14" s="12">
        <v>13</v>
      </c>
      <c r="D14" s="8">
        <v>2.54</v>
      </c>
      <c r="E14" s="12">
        <v>12</v>
      </c>
      <c r="F14" s="8">
        <v>4.43</v>
      </c>
      <c r="G14" s="12">
        <v>1</v>
      </c>
      <c r="H14" s="8">
        <v>0.44</v>
      </c>
      <c r="I14" s="12">
        <v>0</v>
      </c>
    </row>
    <row r="15" spans="2:9" ht="15" customHeight="1" x14ac:dyDescent="0.2">
      <c r="B15" t="s">
        <v>200</v>
      </c>
      <c r="C15" s="12">
        <v>71</v>
      </c>
      <c r="D15" s="8">
        <v>13.89</v>
      </c>
      <c r="E15" s="12">
        <v>56</v>
      </c>
      <c r="F15" s="8">
        <v>20.66</v>
      </c>
      <c r="G15" s="12">
        <v>15</v>
      </c>
      <c r="H15" s="8">
        <v>6.61</v>
      </c>
      <c r="I15" s="12">
        <v>0</v>
      </c>
    </row>
    <row r="16" spans="2:9" ht="15" customHeight="1" x14ac:dyDescent="0.2">
      <c r="B16" t="s">
        <v>201</v>
      </c>
      <c r="C16" s="12">
        <v>71</v>
      </c>
      <c r="D16" s="8">
        <v>13.89</v>
      </c>
      <c r="E16" s="12">
        <v>54</v>
      </c>
      <c r="F16" s="8">
        <v>19.93</v>
      </c>
      <c r="G16" s="12">
        <v>17</v>
      </c>
      <c r="H16" s="8">
        <v>7.49</v>
      </c>
      <c r="I16" s="12">
        <v>0</v>
      </c>
    </row>
    <row r="17" spans="2:9" ht="15" customHeight="1" x14ac:dyDescent="0.2">
      <c r="B17" t="s">
        <v>202</v>
      </c>
      <c r="C17" s="12">
        <v>9</v>
      </c>
      <c r="D17" s="8">
        <v>1.76</v>
      </c>
      <c r="E17" s="12">
        <v>4</v>
      </c>
      <c r="F17" s="8">
        <v>1.48</v>
      </c>
      <c r="G17" s="12">
        <v>2</v>
      </c>
      <c r="H17" s="8">
        <v>0.88</v>
      </c>
      <c r="I17" s="12">
        <v>0</v>
      </c>
    </row>
    <row r="18" spans="2:9" ht="15" customHeight="1" x14ac:dyDescent="0.2">
      <c r="B18" t="s">
        <v>203</v>
      </c>
      <c r="C18" s="12">
        <v>36</v>
      </c>
      <c r="D18" s="8">
        <v>7.05</v>
      </c>
      <c r="E18" s="12">
        <v>14</v>
      </c>
      <c r="F18" s="8">
        <v>5.17</v>
      </c>
      <c r="G18" s="12">
        <v>18</v>
      </c>
      <c r="H18" s="8">
        <v>7.93</v>
      </c>
      <c r="I18" s="12">
        <v>0</v>
      </c>
    </row>
    <row r="19" spans="2:9" ht="15" customHeight="1" x14ac:dyDescent="0.2">
      <c r="B19" t="s">
        <v>204</v>
      </c>
      <c r="C19" s="12">
        <v>12</v>
      </c>
      <c r="D19" s="8">
        <v>2.35</v>
      </c>
      <c r="E19" s="12">
        <v>1</v>
      </c>
      <c r="F19" s="8">
        <v>0.37</v>
      </c>
      <c r="G19" s="12">
        <v>6</v>
      </c>
      <c r="H19" s="8">
        <v>2.64</v>
      </c>
      <c r="I19" s="12">
        <v>0</v>
      </c>
    </row>
    <row r="20" spans="2:9" ht="15" customHeight="1" x14ac:dyDescent="0.2">
      <c r="B20" s="9" t="s">
        <v>529</v>
      </c>
      <c r="C20" s="12">
        <f>SUM(LTBL_01408[総数／事業所数])</f>
        <v>511</v>
      </c>
      <c r="E20" s="12">
        <f>SUBTOTAL(109,LTBL_01408[個人／事業所数])</f>
        <v>271</v>
      </c>
      <c r="G20" s="12">
        <f>SUBTOTAL(109,LTBL_01408[法人／事業所数])</f>
        <v>227</v>
      </c>
      <c r="I20" s="12">
        <f>SUBTOTAL(109,LTBL_01408[法人以外の団体／事業所数])</f>
        <v>0</v>
      </c>
    </row>
    <row r="21" spans="2:9" ht="15" customHeight="1" x14ac:dyDescent="0.2">
      <c r="E21" s="11">
        <f>LTBL_01408[[#Totals],[個人／事業所数]]/LTBL_01408[[#Totals],[総数／事業所数]]</f>
        <v>0.53033268101761255</v>
      </c>
      <c r="G21" s="11">
        <f>LTBL_01408[[#Totals],[法人／事業所数]]/LTBL_01408[[#Totals],[総数／事業所数]]</f>
        <v>0.44422700587084146</v>
      </c>
      <c r="I21" s="11">
        <f>LTBL_01408[[#Totals],[法人以外の団体／事業所数]]/LTBL_01408[[#Totals],[総数／事業所数]]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62</v>
      </c>
      <c r="D24" s="8">
        <v>12.13</v>
      </c>
      <c r="E24" s="12">
        <v>53</v>
      </c>
      <c r="F24" s="8">
        <v>19.559999999999999</v>
      </c>
      <c r="G24" s="12">
        <v>9</v>
      </c>
      <c r="H24" s="8">
        <v>3.96</v>
      </c>
      <c r="I24" s="12">
        <v>0</v>
      </c>
    </row>
    <row r="25" spans="2:9" ht="15" customHeight="1" x14ac:dyDescent="0.2">
      <c r="B25" t="s">
        <v>227</v>
      </c>
      <c r="C25" s="12">
        <v>51</v>
      </c>
      <c r="D25" s="8">
        <v>9.98</v>
      </c>
      <c r="E25" s="12">
        <v>41</v>
      </c>
      <c r="F25" s="8">
        <v>15.13</v>
      </c>
      <c r="G25" s="12">
        <v>10</v>
      </c>
      <c r="H25" s="8">
        <v>4.41</v>
      </c>
      <c r="I25" s="12">
        <v>0</v>
      </c>
    </row>
    <row r="26" spans="2:9" ht="15" customHeight="1" x14ac:dyDescent="0.2">
      <c r="B26" t="s">
        <v>224</v>
      </c>
      <c r="C26" s="12">
        <v>50</v>
      </c>
      <c r="D26" s="8">
        <v>9.7799999999999994</v>
      </c>
      <c r="E26" s="12">
        <v>36</v>
      </c>
      <c r="F26" s="8">
        <v>13.28</v>
      </c>
      <c r="G26" s="12">
        <v>13</v>
      </c>
      <c r="H26" s="8">
        <v>5.73</v>
      </c>
      <c r="I26" s="12">
        <v>0</v>
      </c>
    </row>
    <row r="27" spans="2:9" ht="15" customHeight="1" x14ac:dyDescent="0.2">
      <c r="B27" t="s">
        <v>223</v>
      </c>
      <c r="C27" s="12">
        <v>46</v>
      </c>
      <c r="D27" s="8">
        <v>9</v>
      </c>
      <c r="E27" s="12">
        <v>13</v>
      </c>
      <c r="F27" s="8">
        <v>4.8</v>
      </c>
      <c r="G27" s="12">
        <v>33</v>
      </c>
      <c r="H27" s="8">
        <v>14.54</v>
      </c>
      <c r="I27" s="12">
        <v>0</v>
      </c>
    </row>
    <row r="28" spans="2:9" ht="15" customHeight="1" x14ac:dyDescent="0.2">
      <c r="B28" t="s">
        <v>221</v>
      </c>
      <c r="C28" s="12">
        <v>38</v>
      </c>
      <c r="D28" s="8">
        <v>7.44</v>
      </c>
      <c r="E28" s="12">
        <v>24</v>
      </c>
      <c r="F28" s="8">
        <v>8.86</v>
      </c>
      <c r="G28" s="12">
        <v>14</v>
      </c>
      <c r="H28" s="8">
        <v>6.17</v>
      </c>
      <c r="I28" s="12">
        <v>0</v>
      </c>
    </row>
    <row r="29" spans="2:9" ht="15" customHeight="1" x14ac:dyDescent="0.2">
      <c r="B29" t="s">
        <v>214</v>
      </c>
      <c r="C29" s="12">
        <v>23</v>
      </c>
      <c r="D29" s="8">
        <v>4.5</v>
      </c>
      <c r="E29" s="12">
        <v>17</v>
      </c>
      <c r="F29" s="8">
        <v>6.27</v>
      </c>
      <c r="G29" s="12">
        <v>6</v>
      </c>
      <c r="H29" s="8">
        <v>2.64</v>
      </c>
      <c r="I29" s="12">
        <v>0</v>
      </c>
    </row>
    <row r="30" spans="2:9" ht="15" customHeight="1" x14ac:dyDescent="0.2">
      <c r="B30" t="s">
        <v>213</v>
      </c>
      <c r="C30" s="12">
        <v>21</v>
      </c>
      <c r="D30" s="8">
        <v>4.1100000000000003</v>
      </c>
      <c r="E30" s="12">
        <v>6</v>
      </c>
      <c r="F30" s="8">
        <v>2.21</v>
      </c>
      <c r="G30" s="12">
        <v>15</v>
      </c>
      <c r="H30" s="8">
        <v>6.61</v>
      </c>
      <c r="I30" s="12">
        <v>0</v>
      </c>
    </row>
    <row r="31" spans="2:9" ht="15" customHeight="1" x14ac:dyDescent="0.2">
      <c r="B31" t="s">
        <v>232</v>
      </c>
      <c r="C31" s="12">
        <v>20</v>
      </c>
      <c r="D31" s="8">
        <v>3.91</v>
      </c>
      <c r="E31" s="12">
        <v>0</v>
      </c>
      <c r="F31" s="8">
        <v>0</v>
      </c>
      <c r="G31" s="12">
        <v>16</v>
      </c>
      <c r="H31" s="8">
        <v>7.05</v>
      </c>
      <c r="I31" s="12">
        <v>0</v>
      </c>
    </row>
    <row r="32" spans="2:9" ht="15" customHeight="1" x14ac:dyDescent="0.2">
      <c r="B32" t="s">
        <v>243</v>
      </c>
      <c r="C32" s="12">
        <v>18</v>
      </c>
      <c r="D32" s="8">
        <v>3.52</v>
      </c>
      <c r="E32" s="12">
        <v>15</v>
      </c>
      <c r="F32" s="8">
        <v>5.54</v>
      </c>
      <c r="G32" s="12">
        <v>3</v>
      </c>
      <c r="H32" s="8">
        <v>1.32</v>
      </c>
      <c r="I32" s="12">
        <v>0</v>
      </c>
    </row>
    <row r="33" spans="2:9" ht="15" customHeight="1" x14ac:dyDescent="0.2">
      <c r="B33" t="s">
        <v>231</v>
      </c>
      <c r="C33" s="12">
        <v>16</v>
      </c>
      <c r="D33" s="8">
        <v>3.13</v>
      </c>
      <c r="E33" s="12">
        <v>14</v>
      </c>
      <c r="F33" s="8">
        <v>5.17</v>
      </c>
      <c r="G33" s="12">
        <v>2</v>
      </c>
      <c r="H33" s="8">
        <v>0.88</v>
      </c>
      <c r="I33" s="12">
        <v>0</v>
      </c>
    </row>
    <row r="34" spans="2:9" ht="15" customHeight="1" x14ac:dyDescent="0.2">
      <c r="B34" t="s">
        <v>216</v>
      </c>
      <c r="C34" s="12">
        <v>15</v>
      </c>
      <c r="D34" s="8">
        <v>2.94</v>
      </c>
      <c r="E34" s="12">
        <v>3</v>
      </c>
      <c r="F34" s="8">
        <v>1.1100000000000001</v>
      </c>
      <c r="G34" s="12">
        <v>12</v>
      </c>
      <c r="H34" s="8">
        <v>5.29</v>
      </c>
      <c r="I34" s="12">
        <v>0</v>
      </c>
    </row>
    <row r="35" spans="2:9" ht="15" customHeight="1" x14ac:dyDescent="0.2">
      <c r="B35" t="s">
        <v>222</v>
      </c>
      <c r="C35" s="12">
        <v>15</v>
      </c>
      <c r="D35" s="8">
        <v>2.94</v>
      </c>
      <c r="E35" s="12">
        <v>5</v>
      </c>
      <c r="F35" s="8">
        <v>1.85</v>
      </c>
      <c r="G35" s="12">
        <v>10</v>
      </c>
      <c r="H35" s="8">
        <v>4.41</v>
      </c>
      <c r="I35" s="12">
        <v>0</v>
      </c>
    </row>
    <row r="36" spans="2:9" ht="15" customHeight="1" x14ac:dyDescent="0.2">
      <c r="B36" t="s">
        <v>220</v>
      </c>
      <c r="C36" s="12">
        <v>11</v>
      </c>
      <c r="D36" s="8">
        <v>2.15</v>
      </c>
      <c r="E36" s="12">
        <v>2</v>
      </c>
      <c r="F36" s="8">
        <v>0.74</v>
      </c>
      <c r="G36" s="12">
        <v>9</v>
      </c>
      <c r="H36" s="8">
        <v>3.96</v>
      </c>
      <c r="I36" s="12">
        <v>0</v>
      </c>
    </row>
    <row r="37" spans="2:9" ht="15" customHeight="1" x14ac:dyDescent="0.2">
      <c r="B37" t="s">
        <v>241</v>
      </c>
      <c r="C37" s="12">
        <v>10</v>
      </c>
      <c r="D37" s="8">
        <v>1.96</v>
      </c>
      <c r="E37" s="12">
        <v>2</v>
      </c>
      <c r="F37" s="8">
        <v>0.74</v>
      </c>
      <c r="G37" s="12">
        <v>8</v>
      </c>
      <c r="H37" s="8">
        <v>3.52</v>
      </c>
      <c r="I37" s="12">
        <v>0</v>
      </c>
    </row>
    <row r="38" spans="2:9" ht="15" customHeight="1" x14ac:dyDescent="0.2">
      <c r="B38" t="s">
        <v>230</v>
      </c>
      <c r="C38" s="12">
        <v>9</v>
      </c>
      <c r="D38" s="8">
        <v>1.76</v>
      </c>
      <c r="E38" s="12">
        <v>4</v>
      </c>
      <c r="F38" s="8">
        <v>1.48</v>
      </c>
      <c r="G38" s="12">
        <v>2</v>
      </c>
      <c r="H38" s="8">
        <v>0.88</v>
      </c>
      <c r="I38" s="12">
        <v>0</v>
      </c>
    </row>
    <row r="39" spans="2:9" ht="15" customHeight="1" x14ac:dyDescent="0.2">
      <c r="B39" t="s">
        <v>233</v>
      </c>
      <c r="C39" s="12">
        <v>7</v>
      </c>
      <c r="D39" s="8">
        <v>1.37</v>
      </c>
      <c r="E39" s="12">
        <v>1</v>
      </c>
      <c r="F39" s="8">
        <v>0.37</v>
      </c>
      <c r="G39" s="12">
        <v>6</v>
      </c>
      <c r="H39" s="8">
        <v>2.64</v>
      </c>
      <c r="I39" s="12">
        <v>0</v>
      </c>
    </row>
    <row r="40" spans="2:9" ht="15" customHeight="1" x14ac:dyDescent="0.2">
      <c r="B40" t="s">
        <v>225</v>
      </c>
      <c r="C40" s="12">
        <v>7</v>
      </c>
      <c r="D40" s="8">
        <v>1.37</v>
      </c>
      <c r="E40" s="12">
        <v>6</v>
      </c>
      <c r="F40" s="8">
        <v>2.21</v>
      </c>
      <c r="G40" s="12">
        <v>1</v>
      </c>
      <c r="H40" s="8">
        <v>0.44</v>
      </c>
      <c r="I40" s="12">
        <v>0</v>
      </c>
    </row>
    <row r="41" spans="2:9" ht="15" customHeight="1" x14ac:dyDescent="0.2">
      <c r="B41" t="s">
        <v>217</v>
      </c>
      <c r="C41" s="12">
        <v>6</v>
      </c>
      <c r="D41" s="8">
        <v>1.17</v>
      </c>
      <c r="E41" s="12">
        <v>1</v>
      </c>
      <c r="F41" s="8">
        <v>0.37</v>
      </c>
      <c r="G41" s="12">
        <v>5</v>
      </c>
      <c r="H41" s="8">
        <v>2.2000000000000002</v>
      </c>
      <c r="I41" s="12">
        <v>0</v>
      </c>
    </row>
    <row r="42" spans="2:9" ht="15" customHeight="1" x14ac:dyDescent="0.2">
      <c r="B42" t="s">
        <v>226</v>
      </c>
      <c r="C42" s="12">
        <v>6</v>
      </c>
      <c r="D42" s="8">
        <v>1.17</v>
      </c>
      <c r="E42" s="12">
        <v>6</v>
      </c>
      <c r="F42" s="8">
        <v>2.21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215</v>
      </c>
      <c r="C43" s="12">
        <v>5</v>
      </c>
      <c r="D43" s="8">
        <v>0.98</v>
      </c>
      <c r="E43" s="12">
        <v>2</v>
      </c>
      <c r="F43" s="8">
        <v>0.74</v>
      </c>
      <c r="G43" s="12">
        <v>3</v>
      </c>
      <c r="H43" s="8">
        <v>1.32</v>
      </c>
      <c r="I43" s="12">
        <v>0</v>
      </c>
    </row>
    <row r="44" spans="2:9" ht="15" customHeight="1" x14ac:dyDescent="0.2">
      <c r="B44" t="s">
        <v>236</v>
      </c>
      <c r="C44" s="12">
        <v>5</v>
      </c>
      <c r="D44" s="8">
        <v>0.98</v>
      </c>
      <c r="E44" s="12">
        <v>0</v>
      </c>
      <c r="F44" s="8">
        <v>0</v>
      </c>
      <c r="G44" s="12">
        <v>5</v>
      </c>
      <c r="H44" s="8">
        <v>2.2000000000000002</v>
      </c>
      <c r="I44" s="12">
        <v>0</v>
      </c>
    </row>
    <row r="45" spans="2:9" ht="15" customHeight="1" x14ac:dyDescent="0.2">
      <c r="B45" t="s">
        <v>229</v>
      </c>
      <c r="C45" s="12">
        <v>5</v>
      </c>
      <c r="D45" s="8">
        <v>0.98</v>
      </c>
      <c r="E45" s="12">
        <v>1</v>
      </c>
      <c r="F45" s="8">
        <v>0.37</v>
      </c>
      <c r="G45" s="12">
        <v>4</v>
      </c>
      <c r="H45" s="8">
        <v>1.76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297</v>
      </c>
      <c r="C49" s="12">
        <v>47</v>
      </c>
      <c r="D49" s="8">
        <v>9.1999999999999993</v>
      </c>
      <c r="E49" s="12">
        <v>36</v>
      </c>
      <c r="F49" s="8">
        <v>13.28</v>
      </c>
      <c r="G49" s="12">
        <v>10</v>
      </c>
      <c r="H49" s="8">
        <v>4.41</v>
      </c>
      <c r="I49" s="12">
        <v>0</v>
      </c>
    </row>
    <row r="50" spans="2:9" ht="15" customHeight="1" x14ac:dyDescent="0.2">
      <c r="B50" t="s">
        <v>303</v>
      </c>
      <c r="C50" s="12">
        <v>28</v>
      </c>
      <c r="D50" s="8">
        <v>5.48</v>
      </c>
      <c r="E50" s="12">
        <v>27</v>
      </c>
      <c r="F50" s="8">
        <v>9.9600000000000009</v>
      </c>
      <c r="G50" s="12">
        <v>1</v>
      </c>
      <c r="H50" s="8">
        <v>0.44</v>
      </c>
      <c r="I50" s="12">
        <v>0</v>
      </c>
    </row>
    <row r="51" spans="2:9" ht="15" customHeight="1" x14ac:dyDescent="0.2">
      <c r="B51" t="s">
        <v>304</v>
      </c>
      <c r="C51" s="12">
        <v>27</v>
      </c>
      <c r="D51" s="8">
        <v>5.28</v>
      </c>
      <c r="E51" s="12">
        <v>23</v>
      </c>
      <c r="F51" s="8">
        <v>8.49</v>
      </c>
      <c r="G51" s="12">
        <v>4</v>
      </c>
      <c r="H51" s="8">
        <v>1.76</v>
      </c>
      <c r="I51" s="12">
        <v>0</v>
      </c>
    </row>
    <row r="52" spans="2:9" ht="15" customHeight="1" x14ac:dyDescent="0.2">
      <c r="B52" t="s">
        <v>301</v>
      </c>
      <c r="C52" s="12">
        <v>18</v>
      </c>
      <c r="D52" s="8">
        <v>3.52</v>
      </c>
      <c r="E52" s="12">
        <v>17</v>
      </c>
      <c r="F52" s="8">
        <v>6.27</v>
      </c>
      <c r="G52" s="12">
        <v>1</v>
      </c>
      <c r="H52" s="8">
        <v>0.44</v>
      </c>
      <c r="I52" s="12">
        <v>0</v>
      </c>
    </row>
    <row r="53" spans="2:9" ht="15" customHeight="1" x14ac:dyDescent="0.2">
      <c r="B53" t="s">
        <v>324</v>
      </c>
      <c r="C53" s="12">
        <v>13</v>
      </c>
      <c r="D53" s="8">
        <v>2.54</v>
      </c>
      <c r="E53" s="12">
        <v>3</v>
      </c>
      <c r="F53" s="8">
        <v>1.1100000000000001</v>
      </c>
      <c r="G53" s="12">
        <v>10</v>
      </c>
      <c r="H53" s="8">
        <v>4.41</v>
      </c>
      <c r="I53" s="12">
        <v>0</v>
      </c>
    </row>
    <row r="54" spans="2:9" ht="15" customHeight="1" x14ac:dyDescent="0.2">
      <c r="B54" t="s">
        <v>292</v>
      </c>
      <c r="C54" s="12">
        <v>13</v>
      </c>
      <c r="D54" s="8">
        <v>2.54</v>
      </c>
      <c r="E54" s="12">
        <v>10</v>
      </c>
      <c r="F54" s="8">
        <v>3.69</v>
      </c>
      <c r="G54" s="12">
        <v>3</v>
      </c>
      <c r="H54" s="8">
        <v>1.32</v>
      </c>
      <c r="I54" s="12">
        <v>0</v>
      </c>
    </row>
    <row r="55" spans="2:9" ht="15" customHeight="1" x14ac:dyDescent="0.2">
      <c r="B55" t="s">
        <v>295</v>
      </c>
      <c r="C55" s="12">
        <v>13</v>
      </c>
      <c r="D55" s="8">
        <v>2.54</v>
      </c>
      <c r="E55" s="12">
        <v>6</v>
      </c>
      <c r="F55" s="8">
        <v>2.21</v>
      </c>
      <c r="G55" s="12">
        <v>7</v>
      </c>
      <c r="H55" s="8">
        <v>3.08</v>
      </c>
      <c r="I55" s="12">
        <v>0</v>
      </c>
    </row>
    <row r="56" spans="2:9" ht="15" customHeight="1" x14ac:dyDescent="0.2">
      <c r="B56" t="s">
        <v>306</v>
      </c>
      <c r="C56" s="12">
        <v>13</v>
      </c>
      <c r="D56" s="8">
        <v>2.54</v>
      </c>
      <c r="E56" s="12">
        <v>12</v>
      </c>
      <c r="F56" s="8">
        <v>4.43</v>
      </c>
      <c r="G56" s="12">
        <v>1</v>
      </c>
      <c r="H56" s="8">
        <v>0.44</v>
      </c>
      <c r="I56" s="12">
        <v>0</v>
      </c>
    </row>
    <row r="57" spans="2:9" ht="15" customHeight="1" x14ac:dyDescent="0.2">
      <c r="B57" t="s">
        <v>448</v>
      </c>
      <c r="C57" s="12">
        <v>12</v>
      </c>
      <c r="D57" s="8">
        <v>2.35</v>
      </c>
      <c r="E57" s="12">
        <v>11</v>
      </c>
      <c r="F57" s="8">
        <v>4.0599999999999996</v>
      </c>
      <c r="G57" s="12">
        <v>1</v>
      </c>
      <c r="H57" s="8">
        <v>0.44</v>
      </c>
      <c r="I57" s="12">
        <v>0</v>
      </c>
    </row>
    <row r="58" spans="2:9" ht="15" customHeight="1" x14ac:dyDescent="0.2">
      <c r="B58" t="s">
        <v>329</v>
      </c>
      <c r="C58" s="12">
        <v>10</v>
      </c>
      <c r="D58" s="8">
        <v>1.96</v>
      </c>
      <c r="E58" s="12">
        <v>6</v>
      </c>
      <c r="F58" s="8">
        <v>2.21</v>
      </c>
      <c r="G58" s="12">
        <v>4</v>
      </c>
      <c r="H58" s="8">
        <v>1.76</v>
      </c>
      <c r="I58" s="12">
        <v>0</v>
      </c>
    </row>
    <row r="59" spans="2:9" ht="15" customHeight="1" x14ac:dyDescent="0.2">
      <c r="B59" t="s">
        <v>331</v>
      </c>
      <c r="C59" s="12">
        <v>10</v>
      </c>
      <c r="D59" s="8">
        <v>1.96</v>
      </c>
      <c r="E59" s="12">
        <v>0</v>
      </c>
      <c r="F59" s="8">
        <v>0</v>
      </c>
      <c r="G59" s="12">
        <v>9</v>
      </c>
      <c r="H59" s="8">
        <v>3.96</v>
      </c>
      <c r="I59" s="12">
        <v>0</v>
      </c>
    </row>
    <row r="60" spans="2:9" ht="15" customHeight="1" x14ac:dyDescent="0.2">
      <c r="B60" t="s">
        <v>333</v>
      </c>
      <c r="C60" s="12">
        <v>9</v>
      </c>
      <c r="D60" s="8">
        <v>1.76</v>
      </c>
      <c r="E60" s="12">
        <v>9</v>
      </c>
      <c r="F60" s="8">
        <v>3.32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330</v>
      </c>
      <c r="C61" s="12">
        <v>9</v>
      </c>
      <c r="D61" s="8">
        <v>1.76</v>
      </c>
      <c r="E61" s="12">
        <v>2</v>
      </c>
      <c r="F61" s="8">
        <v>0.74</v>
      </c>
      <c r="G61" s="12">
        <v>7</v>
      </c>
      <c r="H61" s="8">
        <v>3.08</v>
      </c>
      <c r="I61" s="12">
        <v>0</v>
      </c>
    </row>
    <row r="62" spans="2:9" ht="15" customHeight="1" x14ac:dyDescent="0.2">
      <c r="B62" t="s">
        <v>302</v>
      </c>
      <c r="C62" s="12">
        <v>9</v>
      </c>
      <c r="D62" s="8">
        <v>1.76</v>
      </c>
      <c r="E62" s="12">
        <v>6</v>
      </c>
      <c r="F62" s="8">
        <v>2.21</v>
      </c>
      <c r="G62" s="12">
        <v>3</v>
      </c>
      <c r="H62" s="8">
        <v>1.32</v>
      </c>
      <c r="I62" s="12">
        <v>0</v>
      </c>
    </row>
    <row r="63" spans="2:9" ht="15" customHeight="1" x14ac:dyDescent="0.2">
      <c r="B63" t="s">
        <v>328</v>
      </c>
      <c r="C63" s="12">
        <v>8</v>
      </c>
      <c r="D63" s="8">
        <v>1.57</v>
      </c>
      <c r="E63" s="12">
        <v>2</v>
      </c>
      <c r="F63" s="8">
        <v>0.74</v>
      </c>
      <c r="G63" s="12">
        <v>6</v>
      </c>
      <c r="H63" s="8">
        <v>2.64</v>
      </c>
      <c r="I63" s="12">
        <v>0</v>
      </c>
    </row>
    <row r="64" spans="2:9" ht="15" customHeight="1" x14ac:dyDescent="0.2">
      <c r="B64" t="s">
        <v>332</v>
      </c>
      <c r="C64" s="12">
        <v>8</v>
      </c>
      <c r="D64" s="8">
        <v>1.57</v>
      </c>
      <c r="E64" s="12">
        <v>3</v>
      </c>
      <c r="F64" s="8">
        <v>1.1100000000000001</v>
      </c>
      <c r="G64" s="12">
        <v>5</v>
      </c>
      <c r="H64" s="8">
        <v>2.2000000000000002</v>
      </c>
      <c r="I64" s="12">
        <v>0</v>
      </c>
    </row>
    <row r="65" spans="2:9" ht="15" customHeight="1" x14ac:dyDescent="0.2">
      <c r="B65" t="s">
        <v>335</v>
      </c>
      <c r="C65" s="12">
        <v>8</v>
      </c>
      <c r="D65" s="8">
        <v>1.57</v>
      </c>
      <c r="E65" s="12">
        <v>3</v>
      </c>
      <c r="F65" s="8">
        <v>1.1100000000000001</v>
      </c>
      <c r="G65" s="12">
        <v>5</v>
      </c>
      <c r="H65" s="8">
        <v>2.2000000000000002</v>
      </c>
      <c r="I65" s="12">
        <v>0</v>
      </c>
    </row>
    <row r="66" spans="2:9" ht="15" customHeight="1" x14ac:dyDescent="0.2">
      <c r="B66" t="s">
        <v>294</v>
      </c>
      <c r="C66" s="12">
        <v>8</v>
      </c>
      <c r="D66" s="8">
        <v>1.57</v>
      </c>
      <c r="E66" s="12">
        <v>0</v>
      </c>
      <c r="F66" s="8">
        <v>0</v>
      </c>
      <c r="G66" s="12">
        <v>8</v>
      </c>
      <c r="H66" s="8">
        <v>3.52</v>
      </c>
      <c r="I66" s="12">
        <v>0</v>
      </c>
    </row>
    <row r="67" spans="2:9" ht="15" customHeight="1" x14ac:dyDescent="0.2">
      <c r="B67" t="s">
        <v>299</v>
      </c>
      <c r="C67" s="12">
        <v>8</v>
      </c>
      <c r="D67" s="8">
        <v>1.57</v>
      </c>
      <c r="E67" s="12">
        <v>6</v>
      </c>
      <c r="F67" s="8">
        <v>2.21</v>
      </c>
      <c r="G67" s="12">
        <v>2</v>
      </c>
      <c r="H67" s="8">
        <v>0.88</v>
      </c>
      <c r="I67" s="12">
        <v>0</v>
      </c>
    </row>
    <row r="68" spans="2:9" ht="15" customHeight="1" x14ac:dyDescent="0.2">
      <c r="B68" t="s">
        <v>342</v>
      </c>
      <c r="C68" s="12">
        <v>7</v>
      </c>
      <c r="D68" s="8">
        <v>1.37</v>
      </c>
      <c r="E68" s="12">
        <v>1</v>
      </c>
      <c r="F68" s="8">
        <v>0.37</v>
      </c>
      <c r="G68" s="12">
        <v>6</v>
      </c>
      <c r="H68" s="8">
        <v>2.64</v>
      </c>
      <c r="I68" s="12">
        <v>0</v>
      </c>
    </row>
    <row r="69" spans="2:9" ht="15" customHeight="1" x14ac:dyDescent="0.2">
      <c r="B69" t="s">
        <v>314</v>
      </c>
      <c r="C69" s="12">
        <v>7</v>
      </c>
      <c r="D69" s="8">
        <v>1.37</v>
      </c>
      <c r="E69" s="12">
        <v>1</v>
      </c>
      <c r="F69" s="8">
        <v>0.37</v>
      </c>
      <c r="G69" s="12">
        <v>6</v>
      </c>
      <c r="H69" s="8">
        <v>2.64</v>
      </c>
      <c r="I69" s="12">
        <v>0</v>
      </c>
    </row>
    <row r="70" spans="2:9" ht="15" customHeight="1" x14ac:dyDescent="0.2">
      <c r="B70" t="s">
        <v>300</v>
      </c>
      <c r="C70" s="12">
        <v>7</v>
      </c>
      <c r="D70" s="8">
        <v>1.37</v>
      </c>
      <c r="E70" s="12">
        <v>6</v>
      </c>
      <c r="F70" s="8">
        <v>2.21</v>
      </c>
      <c r="G70" s="12">
        <v>1</v>
      </c>
      <c r="H70" s="8">
        <v>0.44</v>
      </c>
      <c r="I70" s="12">
        <v>0</v>
      </c>
    </row>
    <row r="72" spans="2:9" ht="15" customHeight="1" x14ac:dyDescent="0.2">
      <c r="B7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1C1C4-6B3A-4B24-BD39-B98F278A1A03}">
  <sheetPr>
    <pageSetUpPr fitToPage="1"/>
  </sheetPr>
  <dimension ref="B2:I62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3</v>
      </c>
      <c r="D6" s="8">
        <v>12.5</v>
      </c>
      <c r="E6" s="12">
        <v>0</v>
      </c>
      <c r="F6" s="8">
        <v>0</v>
      </c>
      <c r="G6" s="12">
        <v>3</v>
      </c>
      <c r="H6" s="8">
        <v>25</v>
      </c>
      <c r="I6" s="12">
        <v>0</v>
      </c>
    </row>
    <row r="7" spans="2:9" ht="15" customHeight="1" x14ac:dyDescent="0.2">
      <c r="B7" t="s">
        <v>192</v>
      </c>
      <c r="C7" s="12">
        <v>2</v>
      </c>
      <c r="D7" s="8">
        <v>8.33</v>
      </c>
      <c r="E7" s="12">
        <v>1</v>
      </c>
      <c r="F7" s="8">
        <v>10</v>
      </c>
      <c r="G7" s="12">
        <v>1</v>
      </c>
      <c r="H7" s="8">
        <v>8.33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4.17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4.17</v>
      </c>
      <c r="E10" s="12">
        <v>0</v>
      </c>
      <c r="F10" s="8">
        <v>0</v>
      </c>
      <c r="G10" s="12">
        <v>1</v>
      </c>
      <c r="H10" s="8">
        <v>8.33</v>
      </c>
      <c r="I10" s="12">
        <v>0</v>
      </c>
    </row>
    <row r="11" spans="2:9" ht="15" customHeight="1" x14ac:dyDescent="0.2">
      <c r="B11" t="s">
        <v>196</v>
      </c>
      <c r="C11" s="12">
        <v>6</v>
      </c>
      <c r="D11" s="8">
        <v>25</v>
      </c>
      <c r="E11" s="12">
        <v>3</v>
      </c>
      <c r="F11" s="8">
        <v>30</v>
      </c>
      <c r="G11" s="12">
        <v>3</v>
      </c>
      <c r="H11" s="8">
        <v>25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7</v>
      </c>
      <c r="D15" s="8">
        <v>29.17</v>
      </c>
      <c r="E15" s="12">
        <v>4</v>
      </c>
      <c r="F15" s="8">
        <v>40</v>
      </c>
      <c r="G15" s="12">
        <v>3</v>
      </c>
      <c r="H15" s="8">
        <v>25</v>
      </c>
      <c r="I15" s="12">
        <v>0</v>
      </c>
    </row>
    <row r="16" spans="2:9" ht="15" customHeight="1" x14ac:dyDescent="0.2">
      <c r="B16" t="s">
        <v>201</v>
      </c>
      <c r="C16" s="12">
        <v>1</v>
      </c>
      <c r="D16" s="8">
        <v>4.17</v>
      </c>
      <c r="E16" s="12">
        <v>1</v>
      </c>
      <c r="F16" s="8">
        <v>10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0</v>
      </c>
      <c r="D18" s="8">
        <v>0</v>
      </c>
      <c r="E18" s="12">
        <v>0</v>
      </c>
      <c r="F18" s="8">
        <v>0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12.5</v>
      </c>
      <c r="E19" s="12">
        <v>1</v>
      </c>
      <c r="F19" s="8">
        <v>10</v>
      </c>
      <c r="G19" s="12">
        <v>1</v>
      </c>
      <c r="H19" s="8">
        <v>8.33</v>
      </c>
      <c r="I19" s="12">
        <v>0</v>
      </c>
    </row>
    <row r="20" spans="2:9" ht="15" customHeight="1" x14ac:dyDescent="0.2">
      <c r="B20" s="9" t="s">
        <v>529</v>
      </c>
      <c r="C20" s="12">
        <f>SUM(LTBL_01409[総数／事業所数])</f>
        <v>24</v>
      </c>
      <c r="E20" s="12">
        <f>SUBTOTAL(109,LTBL_01409[個人／事業所数])</f>
        <v>10</v>
      </c>
      <c r="G20" s="12">
        <f>SUBTOTAL(109,LTBL_01409[法人／事業所数])</f>
        <v>12</v>
      </c>
      <c r="I20" s="12">
        <f>SUBTOTAL(109,LTBL_01409[法人以外の団体／事業所数])</f>
        <v>0</v>
      </c>
    </row>
    <row r="21" spans="2:9" ht="15" customHeight="1" x14ac:dyDescent="0.2">
      <c r="E21" s="11">
        <f>LTBL_01409[[#Totals],[個人／事業所数]]/LTBL_01409[[#Totals],[総数／事業所数]]</f>
        <v>0.41666666666666669</v>
      </c>
      <c r="G21" s="11">
        <f>LTBL_01409[[#Totals],[法人／事業所数]]/LTBL_01409[[#Totals],[総数／事業所数]]</f>
        <v>0.5</v>
      </c>
      <c r="I21" s="11">
        <f>LTBL_01409[[#Totals],[法人以外の団体／事業所数]]/LTBL_01409[[#Totals],[総数／事業所数]]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243</v>
      </c>
      <c r="C24" s="12">
        <v>4</v>
      </c>
      <c r="D24" s="8">
        <v>16.670000000000002</v>
      </c>
      <c r="E24" s="12">
        <v>3</v>
      </c>
      <c r="F24" s="8">
        <v>30</v>
      </c>
      <c r="G24" s="12">
        <v>1</v>
      </c>
      <c r="H24" s="8">
        <v>8.33</v>
      </c>
      <c r="I24" s="12">
        <v>0</v>
      </c>
    </row>
    <row r="25" spans="2:9" ht="15" customHeight="1" x14ac:dyDescent="0.2">
      <c r="B25" t="s">
        <v>213</v>
      </c>
      <c r="C25" s="12">
        <v>3</v>
      </c>
      <c r="D25" s="8">
        <v>12.5</v>
      </c>
      <c r="E25" s="12">
        <v>0</v>
      </c>
      <c r="F25" s="8">
        <v>0</v>
      </c>
      <c r="G25" s="12">
        <v>3</v>
      </c>
      <c r="H25" s="8">
        <v>25</v>
      </c>
      <c r="I25" s="12">
        <v>0</v>
      </c>
    </row>
    <row r="26" spans="2:9" ht="15" customHeight="1" x14ac:dyDescent="0.2">
      <c r="B26" t="s">
        <v>223</v>
      </c>
      <c r="C26" s="12">
        <v>3</v>
      </c>
      <c r="D26" s="8">
        <v>12.5</v>
      </c>
      <c r="E26" s="12">
        <v>2</v>
      </c>
      <c r="F26" s="8">
        <v>20</v>
      </c>
      <c r="G26" s="12">
        <v>1</v>
      </c>
      <c r="H26" s="8">
        <v>8.33</v>
      </c>
      <c r="I26" s="12">
        <v>0</v>
      </c>
    </row>
    <row r="27" spans="2:9" ht="15" customHeight="1" x14ac:dyDescent="0.2">
      <c r="B27" t="s">
        <v>227</v>
      </c>
      <c r="C27" s="12">
        <v>3</v>
      </c>
      <c r="D27" s="8">
        <v>12.5</v>
      </c>
      <c r="E27" s="12">
        <v>1</v>
      </c>
      <c r="F27" s="8">
        <v>10</v>
      </c>
      <c r="G27" s="12">
        <v>2</v>
      </c>
      <c r="H27" s="8">
        <v>16.670000000000002</v>
      </c>
      <c r="I27" s="12">
        <v>0</v>
      </c>
    </row>
    <row r="28" spans="2:9" ht="15" customHeight="1" x14ac:dyDescent="0.2">
      <c r="B28" t="s">
        <v>258</v>
      </c>
      <c r="C28" s="12">
        <v>1</v>
      </c>
      <c r="D28" s="8">
        <v>4.17</v>
      </c>
      <c r="E28" s="12">
        <v>1</v>
      </c>
      <c r="F28" s="8">
        <v>10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254</v>
      </c>
      <c r="C29" s="12">
        <v>1</v>
      </c>
      <c r="D29" s="8">
        <v>4.17</v>
      </c>
      <c r="E29" s="12">
        <v>0</v>
      </c>
      <c r="F29" s="8">
        <v>0</v>
      </c>
      <c r="G29" s="12">
        <v>1</v>
      </c>
      <c r="H29" s="8">
        <v>8.33</v>
      </c>
      <c r="I29" s="12">
        <v>0</v>
      </c>
    </row>
    <row r="30" spans="2:9" ht="15" customHeight="1" x14ac:dyDescent="0.2">
      <c r="B30" t="s">
        <v>255</v>
      </c>
      <c r="C30" s="12">
        <v>1</v>
      </c>
      <c r="D30" s="8">
        <v>4.17</v>
      </c>
      <c r="E30" s="12">
        <v>0</v>
      </c>
      <c r="F30" s="8">
        <v>0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238</v>
      </c>
      <c r="C31" s="12">
        <v>1</v>
      </c>
      <c r="D31" s="8">
        <v>4.17</v>
      </c>
      <c r="E31" s="12">
        <v>0</v>
      </c>
      <c r="F31" s="8">
        <v>0</v>
      </c>
      <c r="G31" s="12">
        <v>1</v>
      </c>
      <c r="H31" s="8">
        <v>8.33</v>
      </c>
      <c r="I31" s="12">
        <v>0</v>
      </c>
    </row>
    <row r="32" spans="2:9" ht="15" customHeight="1" x14ac:dyDescent="0.2">
      <c r="B32" t="s">
        <v>217</v>
      </c>
      <c r="C32" s="12">
        <v>1</v>
      </c>
      <c r="D32" s="8">
        <v>4.17</v>
      </c>
      <c r="E32" s="12">
        <v>0</v>
      </c>
      <c r="F32" s="8">
        <v>0</v>
      </c>
      <c r="G32" s="12">
        <v>1</v>
      </c>
      <c r="H32" s="8">
        <v>8.33</v>
      </c>
      <c r="I32" s="12">
        <v>0</v>
      </c>
    </row>
    <row r="33" spans="2:9" ht="15" customHeight="1" x14ac:dyDescent="0.2">
      <c r="B33" t="s">
        <v>219</v>
      </c>
      <c r="C33" s="12">
        <v>1</v>
      </c>
      <c r="D33" s="8">
        <v>4.17</v>
      </c>
      <c r="E33" s="12">
        <v>0</v>
      </c>
      <c r="F33" s="8">
        <v>0</v>
      </c>
      <c r="G33" s="12">
        <v>1</v>
      </c>
      <c r="H33" s="8">
        <v>8.33</v>
      </c>
      <c r="I33" s="12">
        <v>0</v>
      </c>
    </row>
    <row r="34" spans="2:9" ht="15" customHeight="1" x14ac:dyDescent="0.2">
      <c r="B34" t="s">
        <v>236</v>
      </c>
      <c r="C34" s="12">
        <v>1</v>
      </c>
      <c r="D34" s="8">
        <v>4.17</v>
      </c>
      <c r="E34" s="12">
        <v>1</v>
      </c>
      <c r="F34" s="8">
        <v>10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228</v>
      </c>
      <c r="C35" s="12">
        <v>1</v>
      </c>
      <c r="D35" s="8">
        <v>4.17</v>
      </c>
      <c r="E35" s="12">
        <v>1</v>
      </c>
      <c r="F35" s="8">
        <v>10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249</v>
      </c>
      <c r="C36" s="12">
        <v>1</v>
      </c>
      <c r="D36" s="8">
        <v>4.17</v>
      </c>
      <c r="E36" s="12">
        <v>0</v>
      </c>
      <c r="F36" s="8">
        <v>0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240</v>
      </c>
      <c r="C37" s="12">
        <v>1</v>
      </c>
      <c r="D37" s="8">
        <v>4.17</v>
      </c>
      <c r="E37" s="12">
        <v>1</v>
      </c>
      <c r="F37" s="8">
        <v>10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234</v>
      </c>
      <c r="C38" s="12">
        <v>1</v>
      </c>
      <c r="D38" s="8">
        <v>4.17</v>
      </c>
      <c r="E38" s="12">
        <v>0</v>
      </c>
      <c r="F38" s="8">
        <v>0</v>
      </c>
      <c r="G38" s="12">
        <v>1</v>
      </c>
      <c r="H38" s="8">
        <v>8.33</v>
      </c>
      <c r="I38" s="12">
        <v>0</v>
      </c>
    </row>
    <row r="41" spans="2:9" ht="33" customHeight="1" x14ac:dyDescent="0.2">
      <c r="B41" t="s">
        <v>531</v>
      </c>
      <c r="C41" s="10" t="s">
        <v>206</v>
      </c>
      <c r="D41" s="10" t="s">
        <v>207</v>
      </c>
      <c r="E41" s="10" t="s">
        <v>208</v>
      </c>
      <c r="F41" s="10" t="s">
        <v>209</v>
      </c>
      <c r="G41" s="10" t="s">
        <v>210</v>
      </c>
      <c r="H41" s="10" t="s">
        <v>211</v>
      </c>
      <c r="I41" s="10" t="s">
        <v>212</v>
      </c>
    </row>
    <row r="42" spans="2:9" ht="15" customHeight="1" x14ac:dyDescent="0.2">
      <c r="B42" t="s">
        <v>339</v>
      </c>
      <c r="C42" s="12">
        <v>4</v>
      </c>
      <c r="D42" s="8">
        <v>16.670000000000002</v>
      </c>
      <c r="E42" s="12">
        <v>3</v>
      </c>
      <c r="F42" s="8">
        <v>30</v>
      </c>
      <c r="G42" s="12">
        <v>1</v>
      </c>
      <c r="H42" s="8">
        <v>8.33</v>
      </c>
      <c r="I42" s="12">
        <v>0</v>
      </c>
    </row>
    <row r="43" spans="2:9" ht="15" customHeight="1" x14ac:dyDescent="0.2">
      <c r="B43" t="s">
        <v>288</v>
      </c>
      <c r="C43" s="12">
        <v>2</v>
      </c>
      <c r="D43" s="8">
        <v>8.33</v>
      </c>
      <c r="E43" s="12">
        <v>0</v>
      </c>
      <c r="F43" s="8">
        <v>0</v>
      </c>
      <c r="G43" s="12">
        <v>2</v>
      </c>
      <c r="H43" s="8">
        <v>16.670000000000002</v>
      </c>
      <c r="I43" s="12">
        <v>0</v>
      </c>
    </row>
    <row r="44" spans="2:9" ht="15" customHeight="1" x14ac:dyDescent="0.2">
      <c r="B44" t="s">
        <v>330</v>
      </c>
      <c r="C44" s="12">
        <v>2</v>
      </c>
      <c r="D44" s="8">
        <v>8.33</v>
      </c>
      <c r="E44" s="12">
        <v>1</v>
      </c>
      <c r="F44" s="8">
        <v>10</v>
      </c>
      <c r="G44" s="12">
        <v>1</v>
      </c>
      <c r="H44" s="8">
        <v>8.33</v>
      </c>
      <c r="I44" s="12">
        <v>0</v>
      </c>
    </row>
    <row r="45" spans="2:9" ht="15" customHeight="1" x14ac:dyDescent="0.2">
      <c r="B45" t="s">
        <v>289</v>
      </c>
      <c r="C45" s="12">
        <v>1</v>
      </c>
      <c r="D45" s="8">
        <v>4.17</v>
      </c>
      <c r="E45" s="12">
        <v>0</v>
      </c>
      <c r="F45" s="8">
        <v>0</v>
      </c>
      <c r="G45" s="12">
        <v>1</v>
      </c>
      <c r="H45" s="8">
        <v>8.33</v>
      </c>
      <c r="I45" s="12">
        <v>0</v>
      </c>
    </row>
    <row r="46" spans="2:9" ht="15" customHeight="1" x14ac:dyDescent="0.2">
      <c r="B46" t="s">
        <v>359</v>
      </c>
      <c r="C46" s="12">
        <v>1</v>
      </c>
      <c r="D46" s="8">
        <v>4.17</v>
      </c>
      <c r="E46" s="12">
        <v>1</v>
      </c>
      <c r="F46" s="8">
        <v>10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385</v>
      </c>
      <c r="C47" s="12">
        <v>1</v>
      </c>
      <c r="D47" s="8">
        <v>4.17</v>
      </c>
      <c r="E47" s="12">
        <v>0</v>
      </c>
      <c r="F47" s="8">
        <v>0</v>
      </c>
      <c r="G47" s="12">
        <v>1</v>
      </c>
      <c r="H47" s="8">
        <v>8.33</v>
      </c>
      <c r="I47" s="12">
        <v>0</v>
      </c>
    </row>
    <row r="48" spans="2:9" ht="15" customHeight="1" x14ac:dyDescent="0.2">
      <c r="B48" t="s">
        <v>362</v>
      </c>
      <c r="C48" s="12">
        <v>1</v>
      </c>
      <c r="D48" s="8">
        <v>4.17</v>
      </c>
      <c r="E48" s="12">
        <v>0</v>
      </c>
      <c r="F48" s="8">
        <v>0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326</v>
      </c>
      <c r="C49" s="12">
        <v>1</v>
      </c>
      <c r="D49" s="8">
        <v>4.17</v>
      </c>
      <c r="E49" s="12">
        <v>0</v>
      </c>
      <c r="F49" s="8">
        <v>0</v>
      </c>
      <c r="G49" s="12">
        <v>1</v>
      </c>
      <c r="H49" s="8">
        <v>8.33</v>
      </c>
      <c r="I49" s="12">
        <v>0</v>
      </c>
    </row>
    <row r="50" spans="2:9" ht="15" customHeight="1" x14ac:dyDescent="0.2">
      <c r="B50" t="s">
        <v>346</v>
      </c>
      <c r="C50" s="12">
        <v>1</v>
      </c>
      <c r="D50" s="8">
        <v>4.17</v>
      </c>
      <c r="E50" s="12">
        <v>0</v>
      </c>
      <c r="F50" s="8">
        <v>0</v>
      </c>
      <c r="G50" s="12">
        <v>1</v>
      </c>
      <c r="H50" s="8">
        <v>8.33</v>
      </c>
      <c r="I50" s="12">
        <v>0</v>
      </c>
    </row>
    <row r="51" spans="2:9" ht="15" customHeight="1" x14ac:dyDescent="0.2">
      <c r="B51" t="s">
        <v>309</v>
      </c>
      <c r="C51" s="12">
        <v>1</v>
      </c>
      <c r="D51" s="8">
        <v>4.17</v>
      </c>
      <c r="E51" s="12">
        <v>0</v>
      </c>
      <c r="F51" s="8">
        <v>0</v>
      </c>
      <c r="G51" s="12">
        <v>1</v>
      </c>
      <c r="H51" s="8">
        <v>8.33</v>
      </c>
      <c r="I51" s="12">
        <v>0</v>
      </c>
    </row>
    <row r="52" spans="2:9" ht="15" customHeight="1" x14ac:dyDescent="0.2">
      <c r="B52" t="s">
        <v>295</v>
      </c>
      <c r="C52" s="12">
        <v>1</v>
      </c>
      <c r="D52" s="8">
        <v>4.17</v>
      </c>
      <c r="E52" s="12">
        <v>1</v>
      </c>
      <c r="F52" s="8">
        <v>10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449</v>
      </c>
      <c r="C53" s="12">
        <v>1</v>
      </c>
      <c r="D53" s="8">
        <v>4.17</v>
      </c>
      <c r="E53" s="12">
        <v>1</v>
      </c>
      <c r="F53" s="8">
        <v>10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299</v>
      </c>
      <c r="C54" s="12">
        <v>1</v>
      </c>
      <c r="D54" s="8">
        <v>4.17</v>
      </c>
      <c r="E54" s="12">
        <v>0</v>
      </c>
      <c r="F54" s="8">
        <v>0</v>
      </c>
      <c r="G54" s="12">
        <v>1</v>
      </c>
      <c r="H54" s="8">
        <v>8.33</v>
      </c>
      <c r="I54" s="12">
        <v>0</v>
      </c>
    </row>
    <row r="55" spans="2:9" ht="15" customHeight="1" x14ac:dyDescent="0.2">
      <c r="B55" t="s">
        <v>300</v>
      </c>
      <c r="C55" s="12">
        <v>1</v>
      </c>
      <c r="D55" s="8">
        <v>4.17</v>
      </c>
      <c r="E55" s="12">
        <v>1</v>
      </c>
      <c r="F55" s="8">
        <v>10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302</v>
      </c>
      <c r="C56" s="12">
        <v>1</v>
      </c>
      <c r="D56" s="8">
        <v>4.17</v>
      </c>
      <c r="E56" s="12">
        <v>0</v>
      </c>
      <c r="F56" s="8">
        <v>0</v>
      </c>
      <c r="G56" s="12">
        <v>1</v>
      </c>
      <c r="H56" s="8">
        <v>8.33</v>
      </c>
      <c r="I56" s="12">
        <v>0</v>
      </c>
    </row>
    <row r="57" spans="2:9" ht="15" customHeight="1" x14ac:dyDescent="0.2">
      <c r="B57" t="s">
        <v>303</v>
      </c>
      <c r="C57" s="12">
        <v>1</v>
      </c>
      <c r="D57" s="8">
        <v>4.17</v>
      </c>
      <c r="E57" s="12">
        <v>1</v>
      </c>
      <c r="F57" s="8">
        <v>10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370</v>
      </c>
      <c r="C58" s="12">
        <v>1</v>
      </c>
      <c r="D58" s="8">
        <v>4.17</v>
      </c>
      <c r="E58" s="12">
        <v>0</v>
      </c>
      <c r="F58" s="8">
        <v>0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307</v>
      </c>
      <c r="C59" s="12">
        <v>1</v>
      </c>
      <c r="D59" s="8">
        <v>4.17</v>
      </c>
      <c r="E59" s="12">
        <v>1</v>
      </c>
      <c r="F59" s="8">
        <v>10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318</v>
      </c>
      <c r="C60" s="12">
        <v>1</v>
      </c>
      <c r="D60" s="8">
        <v>4.17</v>
      </c>
      <c r="E60" s="12">
        <v>0</v>
      </c>
      <c r="F60" s="8">
        <v>0</v>
      </c>
      <c r="G60" s="12">
        <v>1</v>
      </c>
      <c r="H60" s="8">
        <v>8.33</v>
      </c>
      <c r="I60" s="12">
        <v>0</v>
      </c>
    </row>
    <row r="62" spans="2:9" ht="15" customHeight="1" x14ac:dyDescent="0.2">
      <c r="B62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FA5A-29C6-40D4-82AF-10D002099BDE}">
  <sheetPr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23</v>
      </c>
      <c r="D6" s="8">
        <v>16.55</v>
      </c>
      <c r="E6" s="12">
        <v>4</v>
      </c>
      <c r="F6" s="8">
        <v>6.67</v>
      </c>
      <c r="G6" s="12">
        <v>19</v>
      </c>
      <c r="H6" s="8">
        <v>26.39</v>
      </c>
      <c r="I6" s="12">
        <v>0</v>
      </c>
    </row>
    <row r="7" spans="2:9" ht="15" customHeight="1" x14ac:dyDescent="0.2">
      <c r="B7" t="s">
        <v>192</v>
      </c>
      <c r="C7" s="12">
        <v>15</v>
      </c>
      <c r="D7" s="8">
        <v>10.79</v>
      </c>
      <c r="E7" s="12">
        <v>0</v>
      </c>
      <c r="F7" s="8">
        <v>0</v>
      </c>
      <c r="G7" s="12">
        <v>15</v>
      </c>
      <c r="H7" s="8">
        <v>20.83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0.72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0.72</v>
      </c>
      <c r="E9" s="12">
        <v>0</v>
      </c>
      <c r="F9" s="8">
        <v>0</v>
      </c>
      <c r="G9" s="12">
        <v>1</v>
      </c>
      <c r="H9" s="8">
        <v>1.39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2.88</v>
      </c>
      <c r="E10" s="12">
        <v>1</v>
      </c>
      <c r="F10" s="8">
        <v>1.67</v>
      </c>
      <c r="G10" s="12">
        <v>2</v>
      </c>
      <c r="H10" s="8">
        <v>2.78</v>
      </c>
      <c r="I10" s="12">
        <v>1</v>
      </c>
    </row>
    <row r="11" spans="2:9" ht="15" customHeight="1" x14ac:dyDescent="0.2">
      <c r="B11" t="s">
        <v>196</v>
      </c>
      <c r="C11" s="12">
        <v>23</v>
      </c>
      <c r="D11" s="8">
        <v>16.55</v>
      </c>
      <c r="E11" s="12">
        <v>8</v>
      </c>
      <c r="F11" s="8">
        <v>13.33</v>
      </c>
      <c r="G11" s="12">
        <v>15</v>
      </c>
      <c r="H11" s="8">
        <v>20.83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5</v>
      </c>
      <c r="D13" s="8">
        <v>3.6</v>
      </c>
      <c r="E13" s="12">
        <v>4</v>
      </c>
      <c r="F13" s="8">
        <v>6.67</v>
      </c>
      <c r="G13" s="12">
        <v>1</v>
      </c>
      <c r="H13" s="8">
        <v>1.39</v>
      </c>
      <c r="I13" s="12">
        <v>0</v>
      </c>
    </row>
    <row r="14" spans="2:9" ht="15" customHeight="1" x14ac:dyDescent="0.2">
      <c r="B14" t="s">
        <v>199</v>
      </c>
      <c r="C14" s="12">
        <v>6</v>
      </c>
      <c r="D14" s="8">
        <v>4.32</v>
      </c>
      <c r="E14" s="12">
        <v>1</v>
      </c>
      <c r="F14" s="8">
        <v>1.67</v>
      </c>
      <c r="G14" s="12">
        <v>4</v>
      </c>
      <c r="H14" s="8">
        <v>5.56</v>
      </c>
      <c r="I14" s="12">
        <v>1</v>
      </c>
    </row>
    <row r="15" spans="2:9" ht="15" customHeight="1" x14ac:dyDescent="0.2">
      <c r="B15" t="s">
        <v>200</v>
      </c>
      <c r="C15" s="12">
        <v>24</v>
      </c>
      <c r="D15" s="8">
        <v>17.27</v>
      </c>
      <c r="E15" s="12">
        <v>18</v>
      </c>
      <c r="F15" s="8">
        <v>30</v>
      </c>
      <c r="G15" s="12">
        <v>5</v>
      </c>
      <c r="H15" s="8">
        <v>6.94</v>
      </c>
      <c r="I15" s="12">
        <v>0</v>
      </c>
    </row>
    <row r="16" spans="2:9" ht="15" customHeight="1" x14ac:dyDescent="0.2">
      <c r="B16" t="s">
        <v>201</v>
      </c>
      <c r="C16" s="12">
        <v>21</v>
      </c>
      <c r="D16" s="8">
        <v>15.11</v>
      </c>
      <c r="E16" s="12">
        <v>17</v>
      </c>
      <c r="F16" s="8">
        <v>28.33</v>
      </c>
      <c r="G16" s="12">
        <v>1</v>
      </c>
      <c r="H16" s="8">
        <v>1.39</v>
      </c>
      <c r="I16" s="12">
        <v>2</v>
      </c>
    </row>
    <row r="17" spans="2:9" ht="15" customHeight="1" x14ac:dyDescent="0.2">
      <c r="B17" t="s">
        <v>202</v>
      </c>
      <c r="C17" s="12">
        <v>2</v>
      </c>
      <c r="D17" s="8">
        <v>1.44</v>
      </c>
      <c r="E17" s="12">
        <v>2</v>
      </c>
      <c r="F17" s="8">
        <v>3.33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8</v>
      </c>
      <c r="D18" s="8">
        <v>5.76</v>
      </c>
      <c r="E18" s="12">
        <v>5</v>
      </c>
      <c r="F18" s="8">
        <v>8.33</v>
      </c>
      <c r="G18" s="12">
        <v>3</v>
      </c>
      <c r="H18" s="8">
        <v>4.17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4.32</v>
      </c>
      <c r="E19" s="12">
        <v>0</v>
      </c>
      <c r="F19" s="8">
        <v>0</v>
      </c>
      <c r="G19" s="12">
        <v>6</v>
      </c>
      <c r="H19" s="8">
        <v>8.33</v>
      </c>
      <c r="I19" s="12">
        <v>0</v>
      </c>
    </row>
    <row r="20" spans="2:9" ht="15" customHeight="1" x14ac:dyDescent="0.2">
      <c r="B20" s="9" t="s">
        <v>529</v>
      </c>
      <c r="C20" s="12">
        <f>SUM(LTBL_01423[総数／事業所数])</f>
        <v>139</v>
      </c>
      <c r="E20" s="12">
        <f>SUBTOTAL(109,LTBL_01423[個人／事業所数])</f>
        <v>60</v>
      </c>
      <c r="G20" s="12">
        <f>SUBTOTAL(109,LTBL_01423[法人／事業所数])</f>
        <v>72</v>
      </c>
      <c r="I20" s="12">
        <f>SUBTOTAL(109,LTBL_01423[法人以外の団体／事業所数])</f>
        <v>4</v>
      </c>
    </row>
    <row r="21" spans="2:9" ht="15" customHeight="1" x14ac:dyDescent="0.2">
      <c r="E21" s="11">
        <f>LTBL_01423[[#Totals],[個人／事業所数]]/LTBL_01423[[#Totals],[総数／事業所数]]</f>
        <v>0.43165467625899279</v>
      </c>
      <c r="G21" s="11">
        <f>LTBL_01423[[#Totals],[法人／事業所数]]/LTBL_01423[[#Totals],[総数／事業所数]]</f>
        <v>0.51798561151079137</v>
      </c>
      <c r="I21" s="11">
        <f>LTBL_01423[[#Totals],[法人以外の団体／事業所数]]/LTBL_01423[[#Totals],[総数／事業所数]]</f>
        <v>2.8776978417266189E-2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20</v>
      </c>
      <c r="D24" s="8">
        <v>14.39</v>
      </c>
      <c r="E24" s="12">
        <v>17</v>
      </c>
      <c r="F24" s="8">
        <v>28.33</v>
      </c>
      <c r="G24" s="12">
        <v>3</v>
      </c>
      <c r="H24" s="8">
        <v>4.17</v>
      </c>
      <c r="I24" s="12">
        <v>0</v>
      </c>
    </row>
    <row r="25" spans="2:9" ht="15" customHeight="1" x14ac:dyDescent="0.2">
      <c r="B25" t="s">
        <v>228</v>
      </c>
      <c r="C25" s="12">
        <v>15</v>
      </c>
      <c r="D25" s="8">
        <v>10.79</v>
      </c>
      <c r="E25" s="12">
        <v>15</v>
      </c>
      <c r="F25" s="8">
        <v>25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213</v>
      </c>
      <c r="C26" s="12">
        <v>11</v>
      </c>
      <c r="D26" s="8">
        <v>7.91</v>
      </c>
      <c r="E26" s="12">
        <v>1</v>
      </c>
      <c r="F26" s="8">
        <v>1.67</v>
      </c>
      <c r="G26" s="12">
        <v>10</v>
      </c>
      <c r="H26" s="8">
        <v>13.89</v>
      </c>
      <c r="I26" s="12">
        <v>0</v>
      </c>
    </row>
    <row r="27" spans="2:9" ht="15" customHeight="1" x14ac:dyDescent="0.2">
      <c r="B27" t="s">
        <v>223</v>
      </c>
      <c r="C27" s="12">
        <v>7</v>
      </c>
      <c r="D27" s="8">
        <v>5.04</v>
      </c>
      <c r="E27" s="12">
        <v>5</v>
      </c>
      <c r="F27" s="8">
        <v>8.33</v>
      </c>
      <c r="G27" s="12">
        <v>2</v>
      </c>
      <c r="H27" s="8">
        <v>2.78</v>
      </c>
      <c r="I27" s="12">
        <v>0</v>
      </c>
    </row>
    <row r="28" spans="2:9" ht="15" customHeight="1" x14ac:dyDescent="0.2">
      <c r="B28" t="s">
        <v>231</v>
      </c>
      <c r="C28" s="12">
        <v>7</v>
      </c>
      <c r="D28" s="8">
        <v>5.04</v>
      </c>
      <c r="E28" s="12">
        <v>5</v>
      </c>
      <c r="F28" s="8">
        <v>8.33</v>
      </c>
      <c r="G28" s="12">
        <v>2</v>
      </c>
      <c r="H28" s="8">
        <v>2.78</v>
      </c>
      <c r="I28" s="12">
        <v>0</v>
      </c>
    </row>
    <row r="29" spans="2:9" ht="15" customHeight="1" x14ac:dyDescent="0.2">
      <c r="B29" t="s">
        <v>214</v>
      </c>
      <c r="C29" s="12">
        <v>6</v>
      </c>
      <c r="D29" s="8">
        <v>4.32</v>
      </c>
      <c r="E29" s="12">
        <v>1</v>
      </c>
      <c r="F29" s="8">
        <v>1.67</v>
      </c>
      <c r="G29" s="12">
        <v>5</v>
      </c>
      <c r="H29" s="8">
        <v>6.94</v>
      </c>
      <c r="I29" s="12">
        <v>0</v>
      </c>
    </row>
    <row r="30" spans="2:9" ht="15" customHeight="1" x14ac:dyDescent="0.2">
      <c r="B30" t="s">
        <v>215</v>
      </c>
      <c r="C30" s="12">
        <v>6</v>
      </c>
      <c r="D30" s="8">
        <v>4.32</v>
      </c>
      <c r="E30" s="12">
        <v>2</v>
      </c>
      <c r="F30" s="8">
        <v>3.33</v>
      </c>
      <c r="G30" s="12">
        <v>4</v>
      </c>
      <c r="H30" s="8">
        <v>5.56</v>
      </c>
      <c r="I30" s="12">
        <v>0</v>
      </c>
    </row>
    <row r="31" spans="2:9" ht="15" customHeight="1" x14ac:dyDescent="0.2">
      <c r="B31" t="s">
        <v>241</v>
      </c>
      <c r="C31" s="12">
        <v>6</v>
      </c>
      <c r="D31" s="8">
        <v>4.32</v>
      </c>
      <c r="E31" s="12">
        <v>0</v>
      </c>
      <c r="F31" s="8">
        <v>0</v>
      </c>
      <c r="G31" s="12">
        <v>6</v>
      </c>
      <c r="H31" s="8">
        <v>8.33</v>
      </c>
      <c r="I31" s="12">
        <v>0</v>
      </c>
    </row>
    <row r="32" spans="2:9" ht="15" customHeight="1" x14ac:dyDescent="0.2">
      <c r="B32" t="s">
        <v>222</v>
      </c>
      <c r="C32" s="12">
        <v>5</v>
      </c>
      <c r="D32" s="8">
        <v>3.6</v>
      </c>
      <c r="E32" s="12">
        <v>2</v>
      </c>
      <c r="F32" s="8">
        <v>3.33</v>
      </c>
      <c r="G32" s="12">
        <v>3</v>
      </c>
      <c r="H32" s="8">
        <v>4.17</v>
      </c>
      <c r="I32" s="12">
        <v>0</v>
      </c>
    </row>
    <row r="33" spans="2:9" ht="15" customHeight="1" x14ac:dyDescent="0.2">
      <c r="B33" t="s">
        <v>224</v>
      </c>
      <c r="C33" s="12">
        <v>5</v>
      </c>
      <c r="D33" s="8">
        <v>3.6</v>
      </c>
      <c r="E33" s="12">
        <v>4</v>
      </c>
      <c r="F33" s="8">
        <v>6.67</v>
      </c>
      <c r="G33" s="12">
        <v>1</v>
      </c>
      <c r="H33" s="8">
        <v>1.39</v>
      </c>
      <c r="I33" s="12">
        <v>0</v>
      </c>
    </row>
    <row r="34" spans="2:9" ht="15" customHeight="1" x14ac:dyDescent="0.2">
      <c r="B34" t="s">
        <v>240</v>
      </c>
      <c r="C34" s="12">
        <v>5</v>
      </c>
      <c r="D34" s="8">
        <v>3.6</v>
      </c>
      <c r="E34" s="12">
        <v>0</v>
      </c>
      <c r="F34" s="8">
        <v>0</v>
      </c>
      <c r="G34" s="12">
        <v>5</v>
      </c>
      <c r="H34" s="8">
        <v>6.94</v>
      </c>
      <c r="I34" s="12">
        <v>0</v>
      </c>
    </row>
    <row r="35" spans="2:9" ht="15" customHeight="1" x14ac:dyDescent="0.2">
      <c r="B35" t="s">
        <v>216</v>
      </c>
      <c r="C35" s="12">
        <v>4</v>
      </c>
      <c r="D35" s="8">
        <v>2.88</v>
      </c>
      <c r="E35" s="12">
        <v>0</v>
      </c>
      <c r="F35" s="8">
        <v>0</v>
      </c>
      <c r="G35" s="12">
        <v>4</v>
      </c>
      <c r="H35" s="8">
        <v>5.56</v>
      </c>
      <c r="I35" s="12">
        <v>0</v>
      </c>
    </row>
    <row r="36" spans="2:9" ht="15" customHeight="1" x14ac:dyDescent="0.2">
      <c r="B36" t="s">
        <v>226</v>
      </c>
      <c r="C36" s="12">
        <v>4</v>
      </c>
      <c r="D36" s="8">
        <v>2.88</v>
      </c>
      <c r="E36" s="12">
        <v>0</v>
      </c>
      <c r="F36" s="8">
        <v>0</v>
      </c>
      <c r="G36" s="12">
        <v>3</v>
      </c>
      <c r="H36" s="8">
        <v>4.17</v>
      </c>
      <c r="I36" s="12">
        <v>1</v>
      </c>
    </row>
    <row r="37" spans="2:9" ht="15" customHeight="1" x14ac:dyDescent="0.2">
      <c r="B37" t="s">
        <v>239</v>
      </c>
      <c r="C37" s="12">
        <v>4</v>
      </c>
      <c r="D37" s="8">
        <v>2.88</v>
      </c>
      <c r="E37" s="12">
        <v>1</v>
      </c>
      <c r="F37" s="8">
        <v>1.67</v>
      </c>
      <c r="G37" s="12">
        <v>2</v>
      </c>
      <c r="H37" s="8">
        <v>2.78</v>
      </c>
      <c r="I37" s="12">
        <v>0</v>
      </c>
    </row>
    <row r="38" spans="2:9" ht="15" customHeight="1" x14ac:dyDescent="0.2">
      <c r="B38" t="s">
        <v>247</v>
      </c>
      <c r="C38" s="12">
        <v>4</v>
      </c>
      <c r="D38" s="8">
        <v>2.88</v>
      </c>
      <c r="E38" s="12">
        <v>0</v>
      </c>
      <c r="F38" s="8">
        <v>0</v>
      </c>
      <c r="G38" s="12">
        <v>1</v>
      </c>
      <c r="H38" s="8">
        <v>1.39</v>
      </c>
      <c r="I38" s="12">
        <v>2</v>
      </c>
    </row>
    <row r="39" spans="2:9" ht="15" customHeight="1" x14ac:dyDescent="0.2">
      <c r="B39" t="s">
        <v>253</v>
      </c>
      <c r="C39" s="12">
        <v>3</v>
      </c>
      <c r="D39" s="8">
        <v>2.16</v>
      </c>
      <c r="E39" s="12">
        <v>0</v>
      </c>
      <c r="F39" s="8">
        <v>0</v>
      </c>
      <c r="G39" s="12">
        <v>3</v>
      </c>
      <c r="H39" s="8">
        <v>4.17</v>
      </c>
      <c r="I39" s="12">
        <v>0</v>
      </c>
    </row>
    <row r="40" spans="2:9" ht="15" customHeight="1" x14ac:dyDescent="0.2">
      <c r="B40" t="s">
        <v>268</v>
      </c>
      <c r="C40" s="12">
        <v>3</v>
      </c>
      <c r="D40" s="8">
        <v>2.16</v>
      </c>
      <c r="E40" s="12">
        <v>0</v>
      </c>
      <c r="F40" s="8">
        <v>0</v>
      </c>
      <c r="G40" s="12">
        <v>3</v>
      </c>
      <c r="H40" s="8">
        <v>4.17</v>
      </c>
      <c r="I40" s="12">
        <v>0</v>
      </c>
    </row>
    <row r="41" spans="2:9" ht="15" customHeight="1" x14ac:dyDescent="0.2">
      <c r="B41" t="s">
        <v>217</v>
      </c>
      <c r="C41" s="12">
        <v>3</v>
      </c>
      <c r="D41" s="8">
        <v>2.16</v>
      </c>
      <c r="E41" s="12">
        <v>0</v>
      </c>
      <c r="F41" s="8">
        <v>0</v>
      </c>
      <c r="G41" s="12">
        <v>3</v>
      </c>
      <c r="H41" s="8">
        <v>4.17</v>
      </c>
      <c r="I41" s="12">
        <v>0</v>
      </c>
    </row>
    <row r="42" spans="2:9" ht="15" customHeight="1" x14ac:dyDescent="0.2">
      <c r="B42" t="s">
        <v>261</v>
      </c>
      <c r="C42" s="12">
        <v>2</v>
      </c>
      <c r="D42" s="8">
        <v>1.44</v>
      </c>
      <c r="E42" s="12">
        <v>0</v>
      </c>
      <c r="F42" s="8">
        <v>0</v>
      </c>
      <c r="G42" s="12">
        <v>1</v>
      </c>
      <c r="H42" s="8">
        <v>1.39</v>
      </c>
      <c r="I42" s="12">
        <v>1</v>
      </c>
    </row>
    <row r="43" spans="2:9" ht="15" customHeight="1" x14ac:dyDescent="0.2">
      <c r="B43" t="s">
        <v>221</v>
      </c>
      <c r="C43" s="12">
        <v>2</v>
      </c>
      <c r="D43" s="8">
        <v>1.44</v>
      </c>
      <c r="E43" s="12">
        <v>1</v>
      </c>
      <c r="F43" s="8">
        <v>1.67</v>
      </c>
      <c r="G43" s="12">
        <v>1</v>
      </c>
      <c r="H43" s="8">
        <v>1.39</v>
      </c>
      <c r="I43" s="12">
        <v>0</v>
      </c>
    </row>
    <row r="44" spans="2:9" ht="15" customHeight="1" x14ac:dyDescent="0.2">
      <c r="B44" t="s">
        <v>225</v>
      </c>
      <c r="C44" s="12">
        <v>2</v>
      </c>
      <c r="D44" s="8">
        <v>1.44</v>
      </c>
      <c r="E44" s="12">
        <v>1</v>
      </c>
      <c r="F44" s="8">
        <v>1.67</v>
      </c>
      <c r="G44" s="12">
        <v>1</v>
      </c>
      <c r="H44" s="8">
        <v>1.39</v>
      </c>
      <c r="I44" s="12">
        <v>0</v>
      </c>
    </row>
    <row r="45" spans="2:9" ht="15" customHeight="1" x14ac:dyDescent="0.2">
      <c r="B45" t="s">
        <v>229</v>
      </c>
      <c r="C45" s="12">
        <v>2</v>
      </c>
      <c r="D45" s="8">
        <v>1.44</v>
      </c>
      <c r="E45" s="12">
        <v>2</v>
      </c>
      <c r="F45" s="8">
        <v>3.33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230</v>
      </c>
      <c r="C46" s="12">
        <v>2</v>
      </c>
      <c r="D46" s="8">
        <v>1.44</v>
      </c>
      <c r="E46" s="12">
        <v>2</v>
      </c>
      <c r="F46" s="8">
        <v>3.33</v>
      </c>
      <c r="G46" s="12">
        <v>0</v>
      </c>
      <c r="H46" s="8">
        <v>0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304</v>
      </c>
      <c r="C50" s="12">
        <v>10</v>
      </c>
      <c r="D50" s="8">
        <v>7.19</v>
      </c>
      <c r="E50" s="12">
        <v>10</v>
      </c>
      <c r="F50" s="8">
        <v>16.670000000000002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301</v>
      </c>
      <c r="C51" s="12">
        <v>8</v>
      </c>
      <c r="D51" s="8">
        <v>5.76</v>
      </c>
      <c r="E51" s="12">
        <v>7</v>
      </c>
      <c r="F51" s="8">
        <v>11.67</v>
      </c>
      <c r="G51" s="12">
        <v>1</v>
      </c>
      <c r="H51" s="8">
        <v>1.39</v>
      </c>
      <c r="I51" s="12">
        <v>0</v>
      </c>
    </row>
    <row r="52" spans="2:9" ht="15" customHeight="1" x14ac:dyDescent="0.2">
      <c r="B52" t="s">
        <v>288</v>
      </c>
      <c r="C52" s="12">
        <v>5</v>
      </c>
      <c r="D52" s="8">
        <v>3.6</v>
      </c>
      <c r="E52" s="12">
        <v>0</v>
      </c>
      <c r="F52" s="8">
        <v>0</v>
      </c>
      <c r="G52" s="12">
        <v>5</v>
      </c>
      <c r="H52" s="8">
        <v>6.94</v>
      </c>
      <c r="I52" s="12">
        <v>0</v>
      </c>
    </row>
    <row r="53" spans="2:9" ht="15" customHeight="1" x14ac:dyDescent="0.2">
      <c r="B53" t="s">
        <v>299</v>
      </c>
      <c r="C53" s="12">
        <v>5</v>
      </c>
      <c r="D53" s="8">
        <v>3.6</v>
      </c>
      <c r="E53" s="12">
        <v>4</v>
      </c>
      <c r="F53" s="8">
        <v>6.67</v>
      </c>
      <c r="G53" s="12">
        <v>1</v>
      </c>
      <c r="H53" s="8">
        <v>1.39</v>
      </c>
      <c r="I53" s="12">
        <v>0</v>
      </c>
    </row>
    <row r="54" spans="2:9" ht="15" customHeight="1" x14ac:dyDescent="0.2">
      <c r="B54" t="s">
        <v>303</v>
      </c>
      <c r="C54" s="12">
        <v>5</v>
      </c>
      <c r="D54" s="8">
        <v>3.6</v>
      </c>
      <c r="E54" s="12">
        <v>5</v>
      </c>
      <c r="F54" s="8">
        <v>8.33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307</v>
      </c>
      <c r="C55" s="12">
        <v>5</v>
      </c>
      <c r="D55" s="8">
        <v>3.6</v>
      </c>
      <c r="E55" s="12">
        <v>0</v>
      </c>
      <c r="F55" s="8">
        <v>0</v>
      </c>
      <c r="G55" s="12">
        <v>5</v>
      </c>
      <c r="H55" s="8">
        <v>6.94</v>
      </c>
      <c r="I55" s="12">
        <v>0</v>
      </c>
    </row>
    <row r="56" spans="2:9" ht="15" customHeight="1" x14ac:dyDescent="0.2">
      <c r="B56" t="s">
        <v>291</v>
      </c>
      <c r="C56" s="12">
        <v>4</v>
      </c>
      <c r="D56" s="8">
        <v>2.88</v>
      </c>
      <c r="E56" s="12">
        <v>1</v>
      </c>
      <c r="F56" s="8">
        <v>1.67</v>
      </c>
      <c r="G56" s="12">
        <v>3</v>
      </c>
      <c r="H56" s="8">
        <v>4.17</v>
      </c>
      <c r="I56" s="12">
        <v>0</v>
      </c>
    </row>
    <row r="57" spans="2:9" ht="15" customHeight="1" x14ac:dyDescent="0.2">
      <c r="B57" t="s">
        <v>293</v>
      </c>
      <c r="C57" s="12">
        <v>4</v>
      </c>
      <c r="D57" s="8">
        <v>2.88</v>
      </c>
      <c r="E57" s="12">
        <v>2</v>
      </c>
      <c r="F57" s="8">
        <v>3.33</v>
      </c>
      <c r="G57" s="12">
        <v>2</v>
      </c>
      <c r="H57" s="8">
        <v>2.78</v>
      </c>
      <c r="I57" s="12">
        <v>0</v>
      </c>
    </row>
    <row r="58" spans="2:9" ht="15" customHeight="1" x14ac:dyDescent="0.2">
      <c r="B58" t="s">
        <v>297</v>
      </c>
      <c r="C58" s="12">
        <v>4</v>
      </c>
      <c r="D58" s="8">
        <v>2.88</v>
      </c>
      <c r="E58" s="12">
        <v>3</v>
      </c>
      <c r="F58" s="8">
        <v>5</v>
      </c>
      <c r="G58" s="12">
        <v>1</v>
      </c>
      <c r="H58" s="8">
        <v>1.39</v>
      </c>
      <c r="I58" s="12">
        <v>0</v>
      </c>
    </row>
    <row r="59" spans="2:9" ht="15" customHeight="1" x14ac:dyDescent="0.2">
      <c r="B59" t="s">
        <v>298</v>
      </c>
      <c r="C59" s="12">
        <v>4</v>
      </c>
      <c r="D59" s="8">
        <v>2.88</v>
      </c>
      <c r="E59" s="12">
        <v>0</v>
      </c>
      <c r="F59" s="8">
        <v>0</v>
      </c>
      <c r="G59" s="12">
        <v>3</v>
      </c>
      <c r="H59" s="8">
        <v>4.17</v>
      </c>
      <c r="I59" s="12">
        <v>1</v>
      </c>
    </row>
    <row r="60" spans="2:9" ht="15" customHeight="1" x14ac:dyDescent="0.2">
      <c r="B60" t="s">
        <v>306</v>
      </c>
      <c r="C60" s="12">
        <v>4</v>
      </c>
      <c r="D60" s="8">
        <v>2.88</v>
      </c>
      <c r="E60" s="12">
        <v>4</v>
      </c>
      <c r="F60" s="8">
        <v>6.67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319</v>
      </c>
      <c r="C61" s="12">
        <v>3</v>
      </c>
      <c r="D61" s="8">
        <v>2.16</v>
      </c>
      <c r="E61" s="12">
        <v>1</v>
      </c>
      <c r="F61" s="8">
        <v>1.67</v>
      </c>
      <c r="G61" s="12">
        <v>2</v>
      </c>
      <c r="H61" s="8">
        <v>2.78</v>
      </c>
      <c r="I61" s="12">
        <v>0</v>
      </c>
    </row>
    <row r="62" spans="2:9" ht="15" customHeight="1" x14ac:dyDescent="0.2">
      <c r="B62" t="s">
        <v>324</v>
      </c>
      <c r="C62" s="12">
        <v>3</v>
      </c>
      <c r="D62" s="8">
        <v>2.16</v>
      </c>
      <c r="E62" s="12">
        <v>0</v>
      </c>
      <c r="F62" s="8">
        <v>0</v>
      </c>
      <c r="G62" s="12">
        <v>3</v>
      </c>
      <c r="H62" s="8">
        <v>4.17</v>
      </c>
      <c r="I62" s="12">
        <v>0</v>
      </c>
    </row>
    <row r="63" spans="2:9" ht="15" customHeight="1" x14ac:dyDescent="0.2">
      <c r="B63" t="s">
        <v>295</v>
      </c>
      <c r="C63" s="12">
        <v>3</v>
      </c>
      <c r="D63" s="8">
        <v>2.16</v>
      </c>
      <c r="E63" s="12">
        <v>1</v>
      </c>
      <c r="F63" s="8">
        <v>1.67</v>
      </c>
      <c r="G63" s="12">
        <v>2</v>
      </c>
      <c r="H63" s="8">
        <v>2.78</v>
      </c>
      <c r="I63" s="12">
        <v>0</v>
      </c>
    </row>
    <row r="64" spans="2:9" ht="15" customHeight="1" x14ac:dyDescent="0.2">
      <c r="B64" t="s">
        <v>302</v>
      </c>
      <c r="C64" s="12">
        <v>3</v>
      </c>
      <c r="D64" s="8">
        <v>2.16</v>
      </c>
      <c r="E64" s="12">
        <v>3</v>
      </c>
      <c r="F64" s="8">
        <v>5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325</v>
      </c>
      <c r="C65" s="12">
        <v>3</v>
      </c>
      <c r="D65" s="8">
        <v>2.16</v>
      </c>
      <c r="E65" s="12">
        <v>0</v>
      </c>
      <c r="F65" s="8">
        <v>0</v>
      </c>
      <c r="G65" s="12">
        <v>2</v>
      </c>
      <c r="H65" s="8">
        <v>2.78</v>
      </c>
      <c r="I65" s="12">
        <v>0</v>
      </c>
    </row>
    <row r="66" spans="2:9" ht="15" customHeight="1" x14ac:dyDescent="0.2">
      <c r="B66" t="s">
        <v>368</v>
      </c>
      <c r="C66" s="12">
        <v>3</v>
      </c>
      <c r="D66" s="8">
        <v>2.16</v>
      </c>
      <c r="E66" s="12">
        <v>0</v>
      </c>
      <c r="F66" s="8">
        <v>0</v>
      </c>
      <c r="G66" s="12">
        <v>1</v>
      </c>
      <c r="H66" s="8">
        <v>1.39</v>
      </c>
      <c r="I66" s="12">
        <v>1</v>
      </c>
    </row>
    <row r="67" spans="2:9" ht="15" customHeight="1" x14ac:dyDescent="0.2">
      <c r="B67" t="s">
        <v>289</v>
      </c>
      <c r="C67" s="12">
        <v>2</v>
      </c>
      <c r="D67" s="8">
        <v>1.44</v>
      </c>
      <c r="E67" s="12">
        <v>0</v>
      </c>
      <c r="F67" s="8">
        <v>0</v>
      </c>
      <c r="G67" s="12">
        <v>2</v>
      </c>
      <c r="H67" s="8">
        <v>2.78</v>
      </c>
      <c r="I67" s="12">
        <v>0</v>
      </c>
    </row>
    <row r="68" spans="2:9" ht="15" customHeight="1" x14ac:dyDescent="0.2">
      <c r="B68" t="s">
        <v>450</v>
      </c>
      <c r="C68" s="12">
        <v>2</v>
      </c>
      <c r="D68" s="8">
        <v>1.44</v>
      </c>
      <c r="E68" s="12">
        <v>0</v>
      </c>
      <c r="F68" s="8">
        <v>0</v>
      </c>
      <c r="G68" s="12">
        <v>2</v>
      </c>
      <c r="H68" s="8">
        <v>2.78</v>
      </c>
      <c r="I68" s="12">
        <v>0</v>
      </c>
    </row>
    <row r="69" spans="2:9" ht="15" customHeight="1" x14ac:dyDescent="0.2">
      <c r="B69" t="s">
        <v>343</v>
      </c>
      <c r="C69" s="12">
        <v>2</v>
      </c>
      <c r="D69" s="8">
        <v>1.44</v>
      </c>
      <c r="E69" s="12">
        <v>0</v>
      </c>
      <c r="F69" s="8">
        <v>0</v>
      </c>
      <c r="G69" s="12">
        <v>2</v>
      </c>
      <c r="H69" s="8">
        <v>2.78</v>
      </c>
      <c r="I69" s="12">
        <v>0</v>
      </c>
    </row>
    <row r="70" spans="2:9" ht="15" customHeight="1" x14ac:dyDescent="0.2">
      <c r="B70" t="s">
        <v>290</v>
      </c>
      <c r="C70" s="12">
        <v>2</v>
      </c>
      <c r="D70" s="8">
        <v>1.44</v>
      </c>
      <c r="E70" s="12">
        <v>1</v>
      </c>
      <c r="F70" s="8">
        <v>1.67</v>
      </c>
      <c r="G70" s="12">
        <v>1</v>
      </c>
      <c r="H70" s="8">
        <v>1.39</v>
      </c>
      <c r="I70" s="12">
        <v>0</v>
      </c>
    </row>
    <row r="71" spans="2:9" ht="15" customHeight="1" x14ac:dyDescent="0.2">
      <c r="B71" t="s">
        <v>413</v>
      </c>
      <c r="C71" s="12">
        <v>2</v>
      </c>
      <c r="D71" s="8">
        <v>1.44</v>
      </c>
      <c r="E71" s="12">
        <v>0</v>
      </c>
      <c r="F71" s="8">
        <v>0</v>
      </c>
      <c r="G71" s="12">
        <v>2</v>
      </c>
      <c r="H71" s="8">
        <v>2.78</v>
      </c>
      <c r="I71" s="12">
        <v>0</v>
      </c>
    </row>
    <row r="72" spans="2:9" ht="15" customHeight="1" x14ac:dyDescent="0.2">
      <c r="B72" t="s">
        <v>351</v>
      </c>
      <c r="C72" s="12">
        <v>2</v>
      </c>
      <c r="D72" s="8">
        <v>1.44</v>
      </c>
      <c r="E72" s="12">
        <v>0</v>
      </c>
      <c r="F72" s="8">
        <v>0</v>
      </c>
      <c r="G72" s="12">
        <v>2</v>
      </c>
      <c r="H72" s="8">
        <v>2.78</v>
      </c>
      <c r="I72" s="12">
        <v>0</v>
      </c>
    </row>
    <row r="73" spans="2:9" ht="15" customHeight="1" x14ac:dyDescent="0.2">
      <c r="B73" t="s">
        <v>374</v>
      </c>
      <c r="C73" s="12">
        <v>2</v>
      </c>
      <c r="D73" s="8">
        <v>1.44</v>
      </c>
      <c r="E73" s="12">
        <v>0</v>
      </c>
      <c r="F73" s="8">
        <v>0</v>
      </c>
      <c r="G73" s="12">
        <v>2</v>
      </c>
      <c r="H73" s="8">
        <v>2.78</v>
      </c>
      <c r="I73" s="12">
        <v>0</v>
      </c>
    </row>
    <row r="74" spans="2:9" ht="15" customHeight="1" x14ac:dyDescent="0.2">
      <c r="B74" t="s">
        <v>451</v>
      </c>
      <c r="C74" s="12">
        <v>2</v>
      </c>
      <c r="D74" s="8">
        <v>1.44</v>
      </c>
      <c r="E74" s="12">
        <v>0</v>
      </c>
      <c r="F74" s="8">
        <v>0</v>
      </c>
      <c r="G74" s="12">
        <v>2</v>
      </c>
      <c r="H74" s="8">
        <v>2.78</v>
      </c>
      <c r="I74" s="12">
        <v>0</v>
      </c>
    </row>
    <row r="75" spans="2:9" ht="15" customHeight="1" x14ac:dyDescent="0.2">
      <c r="B75" t="s">
        <v>364</v>
      </c>
      <c r="C75" s="12">
        <v>2</v>
      </c>
      <c r="D75" s="8">
        <v>1.44</v>
      </c>
      <c r="E75" s="12">
        <v>0</v>
      </c>
      <c r="F75" s="8">
        <v>0</v>
      </c>
      <c r="G75" s="12">
        <v>1</v>
      </c>
      <c r="H75" s="8">
        <v>1.39</v>
      </c>
      <c r="I75" s="12">
        <v>1</v>
      </c>
    </row>
    <row r="76" spans="2:9" ht="15" customHeight="1" x14ac:dyDescent="0.2">
      <c r="B76" t="s">
        <v>372</v>
      </c>
      <c r="C76" s="12">
        <v>2</v>
      </c>
      <c r="D76" s="8">
        <v>1.44</v>
      </c>
      <c r="E76" s="12">
        <v>2</v>
      </c>
      <c r="F76" s="8">
        <v>3.33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300</v>
      </c>
      <c r="C77" s="12">
        <v>2</v>
      </c>
      <c r="D77" s="8">
        <v>1.44</v>
      </c>
      <c r="E77" s="12">
        <v>1</v>
      </c>
      <c r="F77" s="8">
        <v>1.67</v>
      </c>
      <c r="G77" s="12">
        <v>1</v>
      </c>
      <c r="H77" s="8">
        <v>1.39</v>
      </c>
      <c r="I77" s="12">
        <v>0</v>
      </c>
    </row>
    <row r="78" spans="2:9" ht="15" customHeight="1" x14ac:dyDescent="0.2">
      <c r="B78" t="s">
        <v>352</v>
      </c>
      <c r="C78" s="12">
        <v>2</v>
      </c>
      <c r="D78" s="8">
        <v>1.44</v>
      </c>
      <c r="E78" s="12">
        <v>2</v>
      </c>
      <c r="F78" s="8">
        <v>3.33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305</v>
      </c>
      <c r="C79" s="12">
        <v>2</v>
      </c>
      <c r="D79" s="8">
        <v>1.44</v>
      </c>
      <c r="E79" s="12">
        <v>2</v>
      </c>
      <c r="F79" s="8">
        <v>3.33</v>
      </c>
      <c r="G79" s="12">
        <v>0</v>
      </c>
      <c r="H79" s="8">
        <v>0</v>
      </c>
      <c r="I79" s="12">
        <v>0</v>
      </c>
    </row>
    <row r="81" spans="2:2" ht="15" customHeight="1" x14ac:dyDescent="0.2">
      <c r="B8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C141D-AD13-4D73-A071-EAFA3BDFAEE5}">
  <sheetPr>
    <pageSetUpPr fitToPage="1"/>
  </sheetPr>
  <dimension ref="B2:I7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29</v>
      </c>
      <c r="D6" s="8">
        <v>22.14</v>
      </c>
      <c r="E6" s="12">
        <v>8</v>
      </c>
      <c r="F6" s="8">
        <v>15.69</v>
      </c>
      <c r="G6" s="12">
        <v>21</v>
      </c>
      <c r="H6" s="8">
        <v>30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6.11</v>
      </c>
      <c r="E7" s="12">
        <v>1</v>
      </c>
      <c r="F7" s="8">
        <v>1.96</v>
      </c>
      <c r="G7" s="12">
        <v>7</v>
      </c>
      <c r="H7" s="8">
        <v>10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1.53</v>
      </c>
      <c r="E8" s="12">
        <v>0</v>
      </c>
      <c r="F8" s="8">
        <v>0</v>
      </c>
      <c r="G8" s="12">
        <v>1</v>
      </c>
      <c r="H8" s="8">
        <v>1.43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0.76</v>
      </c>
      <c r="E10" s="12">
        <v>0</v>
      </c>
      <c r="F10" s="8">
        <v>0</v>
      </c>
      <c r="G10" s="12">
        <v>1</v>
      </c>
      <c r="H10" s="8">
        <v>1.43</v>
      </c>
      <c r="I10" s="12">
        <v>0</v>
      </c>
    </row>
    <row r="11" spans="2:9" ht="15" customHeight="1" x14ac:dyDescent="0.2">
      <c r="B11" t="s">
        <v>196</v>
      </c>
      <c r="C11" s="12">
        <v>30</v>
      </c>
      <c r="D11" s="8">
        <v>22.9</v>
      </c>
      <c r="E11" s="12">
        <v>10</v>
      </c>
      <c r="F11" s="8">
        <v>19.61</v>
      </c>
      <c r="G11" s="12">
        <v>20</v>
      </c>
      <c r="H11" s="8">
        <v>28.57</v>
      </c>
      <c r="I11" s="12">
        <v>0</v>
      </c>
    </row>
    <row r="12" spans="2:9" ht="15" customHeight="1" x14ac:dyDescent="0.2">
      <c r="B12" t="s">
        <v>197</v>
      </c>
      <c r="C12" s="12">
        <v>1</v>
      </c>
      <c r="D12" s="8">
        <v>0.76</v>
      </c>
      <c r="E12" s="12">
        <v>0</v>
      </c>
      <c r="F12" s="8">
        <v>0</v>
      </c>
      <c r="G12" s="12">
        <v>1</v>
      </c>
      <c r="H12" s="8">
        <v>1.43</v>
      </c>
      <c r="I12" s="12">
        <v>0</v>
      </c>
    </row>
    <row r="13" spans="2:9" ht="15" customHeight="1" x14ac:dyDescent="0.2">
      <c r="B13" t="s">
        <v>198</v>
      </c>
      <c r="C13" s="12">
        <v>11</v>
      </c>
      <c r="D13" s="8">
        <v>8.4</v>
      </c>
      <c r="E13" s="12">
        <v>5</v>
      </c>
      <c r="F13" s="8">
        <v>9.8000000000000007</v>
      </c>
      <c r="G13" s="12">
        <v>4</v>
      </c>
      <c r="H13" s="8">
        <v>5.71</v>
      </c>
      <c r="I13" s="12">
        <v>0</v>
      </c>
    </row>
    <row r="14" spans="2:9" ht="15" customHeight="1" x14ac:dyDescent="0.2">
      <c r="B14" t="s">
        <v>199</v>
      </c>
      <c r="C14" s="12">
        <v>4</v>
      </c>
      <c r="D14" s="8">
        <v>3.05</v>
      </c>
      <c r="E14" s="12">
        <v>0</v>
      </c>
      <c r="F14" s="8">
        <v>0</v>
      </c>
      <c r="G14" s="12">
        <v>4</v>
      </c>
      <c r="H14" s="8">
        <v>5.71</v>
      </c>
      <c r="I14" s="12">
        <v>0</v>
      </c>
    </row>
    <row r="15" spans="2:9" ht="15" customHeight="1" x14ac:dyDescent="0.2">
      <c r="B15" t="s">
        <v>200</v>
      </c>
      <c r="C15" s="12">
        <v>14</v>
      </c>
      <c r="D15" s="8">
        <v>10.69</v>
      </c>
      <c r="E15" s="12">
        <v>11</v>
      </c>
      <c r="F15" s="8">
        <v>21.57</v>
      </c>
      <c r="G15" s="12">
        <v>3</v>
      </c>
      <c r="H15" s="8">
        <v>4.29</v>
      </c>
      <c r="I15" s="12">
        <v>0</v>
      </c>
    </row>
    <row r="16" spans="2:9" ht="15" customHeight="1" x14ac:dyDescent="0.2">
      <c r="B16" t="s">
        <v>201</v>
      </c>
      <c r="C16" s="12">
        <v>10</v>
      </c>
      <c r="D16" s="8">
        <v>7.63</v>
      </c>
      <c r="E16" s="12">
        <v>9</v>
      </c>
      <c r="F16" s="8">
        <v>17.649999999999999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3.82</v>
      </c>
      <c r="E17" s="12">
        <v>3</v>
      </c>
      <c r="F17" s="8">
        <v>5.88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15</v>
      </c>
      <c r="D18" s="8">
        <v>11.45</v>
      </c>
      <c r="E18" s="12">
        <v>4</v>
      </c>
      <c r="F18" s="8">
        <v>7.84</v>
      </c>
      <c r="G18" s="12">
        <v>7</v>
      </c>
      <c r="H18" s="8">
        <v>10</v>
      </c>
      <c r="I18" s="12">
        <v>0</v>
      </c>
    </row>
    <row r="19" spans="2:9" ht="15" customHeight="1" x14ac:dyDescent="0.2">
      <c r="B19" t="s">
        <v>204</v>
      </c>
      <c r="C19" s="12">
        <v>1</v>
      </c>
      <c r="D19" s="8">
        <v>0.76</v>
      </c>
      <c r="E19" s="12">
        <v>0</v>
      </c>
      <c r="F19" s="8">
        <v>0</v>
      </c>
      <c r="G19" s="12">
        <v>1</v>
      </c>
      <c r="H19" s="8">
        <v>1.43</v>
      </c>
      <c r="I19" s="12">
        <v>0</v>
      </c>
    </row>
    <row r="20" spans="2:9" ht="15" customHeight="1" x14ac:dyDescent="0.2">
      <c r="B20" s="9" t="s">
        <v>529</v>
      </c>
      <c r="C20" s="12">
        <f>SUM(LTBL_01424[総数／事業所数])</f>
        <v>131</v>
      </c>
      <c r="E20" s="12">
        <f>SUBTOTAL(109,LTBL_01424[個人／事業所数])</f>
        <v>51</v>
      </c>
      <c r="G20" s="12">
        <f>SUBTOTAL(109,LTBL_01424[法人／事業所数])</f>
        <v>70</v>
      </c>
      <c r="I20" s="12">
        <f>SUBTOTAL(109,LTBL_01424[法人以外の団体／事業所数])</f>
        <v>0</v>
      </c>
    </row>
    <row r="21" spans="2:9" ht="15" customHeight="1" x14ac:dyDescent="0.2">
      <c r="E21" s="11">
        <f>LTBL_01424[[#Totals],[個人／事業所数]]/LTBL_01424[[#Totals],[総数／事業所数]]</f>
        <v>0.38931297709923662</v>
      </c>
      <c r="G21" s="11">
        <f>LTBL_01424[[#Totals],[法人／事業所数]]/LTBL_01424[[#Totals],[総数／事業所数]]</f>
        <v>0.53435114503816794</v>
      </c>
      <c r="I21" s="11">
        <f>LTBL_01424[[#Totals],[法人以外の団体／事業所数]]/LTBL_01424[[#Totals],[総数／事業所数]]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214</v>
      </c>
      <c r="C24" s="12">
        <v>13</v>
      </c>
      <c r="D24" s="8">
        <v>9.92</v>
      </c>
      <c r="E24" s="12">
        <v>6</v>
      </c>
      <c r="F24" s="8">
        <v>11.76</v>
      </c>
      <c r="G24" s="12">
        <v>7</v>
      </c>
      <c r="H24" s="8">
        <v>10</v>
      </c>
      <c r="I24" s="12">
        <v>0</v>
      </c>
    </row>
    <row r="25" spans="2:9" ht="15" customHeight="1" x14ac:dyDescent="0.2">
      <c r="B25" t="s">
        <v>213</v>
      </c>
      <c r="C25" s="12">
        <v>11</v>
      </c>
      <c r="D25" s="8">
        <v>8.4</v>
      </c>
      <c r="E25" s="12">
        <v>1</v>
      </c>
      <c r="F25" s="8">
        <v>1.96</v>
      </c>
      <c r="G25" s="12">
        <v>10</v>
      </c>
      <c r="H25" s="8">
        <v>14.29</v>
      </c>
      <c r="I25" s="12">
        <v>0</v>
      </c>
    </row>
    <row r="26" spans="2:9" ht="15" customHeight="1" x14ac:dyDescent="0.2">
      <c r="B26" t="s">
        <v>227</v>
      </c>
      <c r="C26" s="12">
        <v>11</v>
      </c>
      <c r="D26" s="8">
        <v>8.4</v>
      </c>
      <c r="E26" s="12">
        <v>9</v>
      </c>
      <c r="F26" s="8">
        <v>17.649999999999999</v>
      </c>
      <c r="G26" s="12">
        <v>2</v>
      </c>
      <c r="H26" s="8">
        <v>2.86</v>
      </c>
      <c r="I26" s="12">
        <v>0</v>
      </c>
    </row>
    <row r="27" spans="2:9" ht="15" customHeight="1" x14ac:dyDescent="0.2">
      <c r="B27" t="s">
        <v>223</v>
      </c>
      <c r="C27" s="12">
        <v>10</v>
      </c>
      <c r="D27" s="8">
        <v>7.63</v>
      </c>
      <c r="E27" s="12">
        <v>3</v>
      </c>
      <c r="F27" s="8">
        <v>5.88</v>
      </c>
      <c r="G27" s="12">
        <v>7</v>
      </c>
      <c r="H27" s="8">
        <v>10</v>
      </c>
      <c r="I27" s="12">
        <v>0</v>
      </c>
    </row>
    <row r="28" spans="2:9" ht="15" customHeight="1" x14ac:dyDescent="0.2">
      <c r="B28" t="s">
        <v>232</v>
      </c>
      <c r="C28" s="12">
        <v>10</v>
      </c>
      <c r="D28" s="8">
        <v>7.63</v>
      </c>
      <c r="E28" s="12">
        <v>0</v>
      </c>
      <c r="F28" s="8">
        <v>0</v>
      </c>
      <c r="G28" s="12">
        <v>6</v>
      </c>
      <c r="H28" s="8">
        <v>8.57</v>
      </c>
      <c r="I28" s="12">
        <v>0</v>
      </c>
    </row>
    <row r="29" spans="2:9" ht="15" customHeight="1" x14ac:dyDescent="0.2">
      <c r="B29" t="s">
        <v>224</v>
      </c>
      <c r="C29" s="12">
        <v>8</v>
      </c>
      <c r="D29" s="8">
        <v>6.11</v>
      </c>
      <c r="E29" s="12">
        <v>4</v>
      </c>
      <c r="F29" s="8">
        <v>7.84</v>
      </c>
      <c r="G29" s="12">
        <v>2</v>
      </c>
      <c r="H29" s="8">
        <v>2.86</v>
      </c>
      <c r="I29" s="12">
        <v>0</v>
      </c>
    </row>
    <row r="30" spans="2:9" ht="15" customHeight="1" x14ac:dyDescent="0.2">
      <c r="B30" t="s">
        <v>228</v>
      </c>
      <c r="C30" s="12">
        <v>7</v>
      </c>
      <c r="D30" s="8">
        <v>5.34</v>
      </c>
      <c r="E30" s="12">
        <v>7</v>
      </c>
      <c r="F30" s="8">
        <v>13.73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221</v>
      </c>
      <c r="C31" s="12">
        <v>6</v>
      </c>
      <c r="D31" s="8">
        <v>4.58</v>
      </c>
      <c r="E31" s="12">
        <v>3</v>
      </c>
      <c r="F31" s="8">
        <v>5.88</v>
      </c>
      <c r="G31" s="12">
        <v>3</v>
      </c>
      <c r="H31" s="8">
        <v>4.29</v>
      </c>
      <c r="I31" s="12">
        <v>0</v>
      </c>
    </row>
    <row r="32" spans="2:9" ht="15" customHeight="1" x14ac:dyDescent="0.2">
      <c r="B32" t="s">
        <v>215</v>
      </c>
      <c r="C32" s="12">
        <v>5</v>
      </c>
      <c r="D32" s="8">
        <v>3.82</v>
      </c>
      <c r="E32" s="12">
        <v>1</v>
      </c>
      <c r="F32" s="8">
        <v>1.96</v>
      </c>
      <c r="G32" s="12">
        <v>4</v>
      </c>
      <c r="H32" s="8">
        <v>5.71</v>
      </c>
      <c r="I32" s="12">
        <v>0</v>
      </c>
    </row>
    <row r="33" spans="2:9" ht="15" customHeight="1" x14ac:dyDescent="0.2">
      <c r="B33" t="s">
        <v>230</v>
      </c>
      <c r="C33" s="12">
        <v>5</v>
      </c>
      <c r="D33" s="8">
        <v>3.82</v>
      </c>
      <c r="E33" s="12">
        <v>3</v>
      </c>
      <c r="F33" s="8">
        <v>5.88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231</v>
      </c>
      <c r="C34" s="12">
        <v>5</v>
      </c>
      <c r="D34" s="8">
        <v>3.82</v>
      </c>
      <c r="E34" s="12">
        <v>4</v>
      </c>
      <c r="F34" s="8">
        <v>7.84</v>
      </c>
      <c r="G34" s="12">
        <v>1</v>
      </c>
      <c r="H34" s="8">
        <v>1.43</v>
      </c>
      <c r="I34" s="12">
        <v>0</v>
      </c>
    </row>
    <row r="35" spans="2:9" ht="15" customHeight="1" x14ac:dyDescent="0.2">
      <c r="B35" t="s">
        <v>217</v>
      </c>
      <c r="C35" s="12">
        <v>3</v>
      </c>
      <c r="D35" s="8">
        <v>2.29</v>
      </c>
      <c r="E35" s="12">
        <v>0</v>
      </c>
      <c r="F35" s="8">
        <v>0</v>
      </c>
      <c r="G35" s="12">
        <v>3</v>
      </c>
      <c r="H35" s="8">
        <v>4.29</v>
      </c>
      <c r="I35" s="12">
        <v>0</v>
      </c>
    </row>
    <row r="36" spans="2:9" ht="15" customHeight="1" x14ac:dyDescent="0.2">
      <c r="B36" t="s">
        <v>220</v>
      </c>
      <c r="C36" s="12">
        <v>3</v>
      </c>
      <c r="D36" s="8">
        <v>2.29</v>
      </c>
      <c r="E36" s="12">
        <v>2</v>
      </c>
      <c r="F36" s="8">
        <v>3.92</v>
      </c>
      <c r="G36" s="12">
        <v>1</v>
      </c>
      <c r="H36" s="8">
        <v>1.43</v>
      </c>
      <c r="I36" s="12">
        <v>0</v>
      </c>
    </row>
    <row r="37" spans="2:9" ht="15" customHeight="1" x14ac:dyDescent="0.2">
      <c r="B37" t="s">
        <v>222</v>
      </c>
      <c r="C37" s="12">
        <v>3</v>
      </c>
      <c r="D37" s="8">
        <v>2.29</v>
      </c>
      <c r="E37" s="12">
        <v>1</v>
      </c>
      <c r="F37" s="8">
        <v>1.96</v>
      </c>
      <c r="G37" s="12">
        <v>2</v>
      </c>
      <c r="H37" s="8">
        <v>2.86</v>
      </c>
      <c r="I37" s="12">
        <v>0</v>
      </c>
    </row>
    <row r="38" spans="2:9" ht="15" customHeight="1" x14ac:dyDescent="0.2">
      <c r="B38" t="s">
        <v>241</v>
      </c>
      <c r="C38" s="12">
        <v>2</v>
      </c>
      <c r="D38" s="8">
        <v>1.53</v>
      </c>
      <c r="E38" s="12">
        <v>1</v>
      </c>
      <c r="F38" s="8">
        <v>1.96</v>
      </c>
      <c r="G38" s="12">
        <v>1</v>
      </c>
      <c r="H38" s="8">
        <v>1.43</v>
      </c>
      <c r="I38" s="12">
        <v>0</v>
      </c>
    </row>
    <row r="39" spans="2:9" ht="15" customHeight="1" x14ac:dyDescent="0.2">
      <c r="B39" t="s">
        <v>262</v>
      </c>
      <c r="C39" s="12">
        <v>2</v>
      </c>
      <c r="D39" s="8">
        <v>1.53</v>
      </c>
      <c r="E39" s="12">
        <v>0</v>
      </c>
      <c r="F39" s="8">
        <v>0</v>
      </c>
      <c r="G39" s="12">
        <v>2</v>
      </c>
      <c r="H39" s="8">
        <v>2.86</v>
      </c>
      <c r="I39" s="12">
        <v>0</v>
      </c>
    </row>
    <row r="40" spans="2:9" ht="15" customHeight="1" x14ac:dyDescent="0.2">
      <c r="B40" t="s">
        <v>254</v>
      </c>
      <c r="C40" s="12">
        <v>2</v>
      </c>
      <c r="D40" s="8">
        <v>1.53</v>
      </c>
      <c r="E40" s="12">
        <v>0</v>
      </c>
      <c r="F40" s="8">
        <v>0</v>
      </c>
      <c r="G40" s="12">
        <v>2</v>
      </c>
      <c r="H40" s="8">
        <v>2.86</v>
      </c>
      <c r="I40" s="12">
        <v>0</v>
      </c>
    </row>
    <row r="41" spans="2:9" ht="15" customHeight="1" x14ac:dyDescent="0.2">
      <c r="B41" t="s">
        <v>246</v>
      </c>
      <c r="C41" s="12">
        <v>2</v>
      </c>
      <c r="D41" s="8">
        <v>1.53</v>
      </c>
      <c r="E41" s="12">
        <v>0</v>
      </c>
      <c r="F41" s="8">
        <v>0</v>
      </c>
      <c r="G41" s="12">
        <v>2</v>
      </c>
      <c r="H41" s="8">
        <v>2.86</v>
      </c>
      <c r="I41" s="12">
        <v>0</v>
      </c>
    </row>
    <row r="42" spans="2:9" ht="15" customHeight="1" x14ac:dyDescent="0.2">
      <c r="B42" t="s">
        <v>225</v>
      </c>
      <c r="C42" s="12">
        <v>2</v>
      </c>
      <c r="D42" s="8">
        <v>1.53</v>
      </c>
      <c r="E42" s="12">
        <v>0</v>
      </c>
      <c r="F42" s="8">
        <v>0</v>
      </c>
      <c r="G42" s="12">
        <v>2</v>
      </c>
      <c r="H42" s="8">
        <v>2.86</v>
      </c>
      <c r="I42" s="12">
        <v>0</v>
      </c>
    </row>
    <row r="43" spans="2:9" ht="15" customHeight="1" x14ac:dyDescent="0.2">
      <c r="B43" t="s">
        <v>226</v>
      </c>
      <c r="C43" s="12">
        <v>2</v>
      </c>
      <c r="D43" s="8">
        <v>1.53</v>
      </c>
      <c r="E43" s="12">
        <v>0</v>
      </c>
      <c r="F43" s="8">
        <v>0</v>
      </c>
      <c r="G43" s="12">
        <v>2</v>
      </c>
      <c r="H43" s="8">
        <v>2.86</v>
      </c>
      <c r="I43" s="12">
        <v>0</v>
      </c>
    </row>
    <row r="44" spans="2:9" ht="15" customHeight="1" x14ac:dyDescent="0.2">
      <c r="B44" t="s">
        <v>239</v>
      </c>
      <c r="C44" s="12">
        <v>2</v>
      </c>
      <c r="D44" s="8">
        <v>1.53</v>
      </c>
      <c r="E44" s="12">
        <v>1</v>
      </c>
      <c r="F44" s="8">
        <v>1.96</v>
      </c>
      <c r="G44" s="12">
        <v>1</v>
      </c>
      <c r="H44" s="8">
        <v>1.43</v>
      </c>
      <c r="I44" s="12">
        <v>0</v>
      </c>
    </row>
    <row r="45" spans="2:9" ht="15" customHeight="1" x14ac:dyDescent="0.2">
      <c r="B45" t="s">
        <v>229</v>
      </c>
      <c r="C45" s="12">
        <v>2</v>
      </c>
      <c r="D45" s="8">
        <v>1.53</v>
      </c>
      <c r="E45" s="12">
        <v>2</v>
      </c>
      <c r="F45" s="8">
        <v>3.92</v>
      </c>
      <c r="G45" s="12">
        <v>0</v>
      </c>
      <c r="H45" s="8">
        <v>0</v>
      </c>
      <c r="I45" s="12">
        <v>0</v>
      </c>
    </row>
    <row r="48" spans="2:9" ht="33" customHeight="1" x14ac:dyDescent="0.2">
      <c r="B48" t="s">
        <v>531</v>
      </c>
      <c r="C48" s="10" t="s">
        <v>206</v>
      </c>
      <c r="D48" s="10" t="s">
        <v>207</v>
      </c>
      <c r="E48" s="10" t="s">
        <v>208</v>
      </c>
      <c r="F48" s="10" t="s">
        <v>209</v>
      </c>
      <c r="G48" s="10" t="s">
        <v>210</v>
      </c>
      <c r="H48" s="10" t="s">
        <v>211</v>
      </c>
      <c r="I48" s="10" t="s">
        <v>212</v>
      </c>
    </row>
    <row r="49" spans="2:9" ht="15" customHeight="1" x14ac:dyDescent="0.2">
      <c r="B49" t="s">
        <v>288</v>
      </c>
      <c r="C49" s="12">
        <v>8</v>
      </c>
      <c r="D49" s="8">
        <v>6.11</v>
      </c>
      <c r="E49" s="12">
        <v>0</v>
      </c>
      <c r="F49" s="8">
        <v>0</v>
      </c>
      <c r="G49" s="12">
        <v>8</v>
      </c>
      <c r="H49" s="8">
        <v>11.43</v>
      </c>
      <c r="I49" s="12">
        <v>0</v>
      </c>
    </row>
    <row r="50" spans="2:9" ht="15" customHeight="1" x14ac:dyDescent="0.2">
      <c r="B50" t="s">
        <v>297</v>
      </c>
      <c r="C50" s="12">
        <v>8</v>
      </c>
      <c r="D50" s="8">
        <v>6.11</v>
      </c>
      <c r="E50" s="12">
        <v>4</v>
      </c>
      <c r="F50" s="8">
        <v>7.84</v>
      </c>
      <c r="G50" s="12">
        <v>2</v>
      </c>
      <c r="H50" s="8">
        <v>2.86</v>
      </c>
      <c r="I50" s="12">
        <v>0</v>
      </c>
    </row>
    <row r="51" spans="2:9" ht="15" customHeight="1" x14ac:dyDescent="0.2">
      <c r="B51" t="s">
        <v>330</v>
      </c>
      <c r="C51" s="12">
        <v>4</v>
      </c>
      <c r="D51" s="8">
        <v>3.05</v>
      </c>
      <c r="E51" s="12">
        <v>0</v>
      </c>
      <c r="F51" s="8">
        <v>0</v>
      </c>
      <c r="G51" s="12">
        <v>4</v>
      </c>
      <c r="H51" s="8">
        <v>5.71</v>
      </c>
      <c r="I51" s="12">
        <v>0</v>
      </c>
    </row>
    <row r="52" spans="2:9" ht="15" customHeight="1" x14ac:dyDescent="0.2">
      <c r="B52" t="s">
        <v>300</v>
      </c>
      <c r="C52" s="12">
        <v>4</v>
      </c>
      <c r="D52" s="8">
        <v>3.05</v>
      </c>
      <c r="E52" s="12">
        <v>4</v>
      </c>
      <c r="F52" s="8">
        <v>7.84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304</v>
      </c>
      <c r="C53" s="12">
        <v>4</v>
      </c>
      <c r="D53" s="8">
        <v>3.05</v>
      </c>
      <c r="E53" s="12">
        <v>4</v>
      </c>
      <c r="F53" s="8">
        <v>7.84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343</v>
      </c>
      <c r="C54" s="12">
        <v>3</v>
      </c>
      <c r="D54" s="8">
        <v>2.29</v>
      </c>
      <c r="E54" s="12">
        <v>2</v>
      </c>
      <c r="F54" s="8">
        <v>3.92</v>
      </c>
      <c r="G54" s="12">
        <v>1</v>
      </c>
      <c r="H54" s="8">
        <v>1.43</v>
      </c>
      <c r="I54" s="12">
        <v>0</v>
      </c>
    </row>
    <row r="55" spans="2:9" ht="15" customHeight="1" x14ac:dyDescent="0.2">
      <c r="B55" t="s">
        <v>333</v>
      </c>
      <c r="C55" s="12">
        <v>3</v>
      </c>
      <c r="D55" s="8">
        <v>2.29</v>
      </c>
      <c r="E55" s="12">
        <v>2</v>
      </c>
      <c r="F55" s="8">
        <v>3.92</v>
      </c>
      <c r="G55" s="12">
        <v>1</v>
      </c>
      <c r="H55" s="8">
        <v>1.43</v>
      </c>
      <c r="I55" s="12">
        <v>0</v>
      </c>
    </row>
    <row r="56" spans="2:9" ht="15" customHeight="1" x14ac:dyDescent="0.2">
      <c r="B56" t="s">
        <v>308</v>
      </c>
      <c r="C56" s="12">
        <v>3</v>
      </c>
      <c r="D56" s="8">
        <v>2.29</v>
      </c>
      <c r="E56" s="12">
        <v>2</v>
      </c>
      <c r="F56" s="8">
        <v>3.92</v>
      </c>
      <c r="G56" s="12">
        <v>1</v>
      </c>
      <c r="H56" s="8">
        <v>1.43</v>
      </c>
      <c r="I56" s="12">
        <v>0</v>
      </c>
    </row>
    <row r="57" spans="2:9" ht="15" customHeight="1" x14ac:dyDescent="0.2">
      <c r="B57" t="s">
        <v>290</v>
      </c>
      <c r="C57" s="12">
        <v>3</v>
      </c>
      <c r="D57" s="8">
        <v>2.29</v>
      </c>
      <c r="E57" s="12">
        <v>1</v>
      </c>
      <c r="F57" s="8">
        <v>1.96</v>
      </c>
      <c r="G57" s="12">
        <v>2</v>
      </c>
      <c r="H57" s="8">
        <v>2.86</v>
      </c>
      <c r="I57" s="12">
        <v>0</v>
      </c>
    </row>
    <row r="58" spans="2:9" ht="15" customHeight="1" x14ac:dyDescent="0.2">
      <c r="B58" t="s">
        <v>332</v>
      </c>
      <c r="C58" s="12">
        <v>3</v>
      </c>
      <c r="D58" s="8">
        <v>2.29</v>
      </c>
      <c r="E58" s="12">
        <v>2</v>
      </c>
      <c r="F58" s="8">
        <v>3.92</v>
      </c>
      <c r="G58" s="12">
        <v>1</v>
      </c>
      <c r="H58" s="8">
        <v>1.43</v>
      </c>
      <c r="I58" s="12">
        <v>0</v>
      </c>
    </row>
    <row r="59" spans="2:9" ht="15" customHeight="1" x14ac:dyDescent="0.2">
      <c r="B59" t="s">
        <v>295</v>
      </c>
      <c r="C59" s="12">
        <v>3</v>
      </c>
      <c r="D59" s="8">
        <v>2.29</v>
      </c>
      <c r="E59" s="12">
        <v>2</v>
      </c>
      <c r="F59" s="8">
        <v>3.92</v>
      </c>
      <c r="G59" s="12">
        <v>1</v>
      </c>
      <c r="H59" s="8">
        <v>1.43</v>
      </c>
      <c r="I59" s="12">
        <v>0</v>
      </c>
    </row>
    <row r="60" spans="2:9" ht="15" customHeight="1" x14ac:dyDescent="0.2">
      <c r="B60" t="s">
        <v>299</v>
      </c>
      <c r="C60" s="12">
        <v>3</v>
      </c>
      <c r="D60" s="8">
        <v>2.29</v>
      </c>
      <c r="E60" s="12">
        <v>2</v>
      </c>
      <c r="F60" s="8">
        <v>3.92</v>
      </c>
      <c r="G60" s="12">
        <v>1</v>
      </c>
      <c r="H60" s="8">
        <v>1.43</v>
      </c>
      <c r="I60" s="12">
        <v>0</v>
      </c>
    </row>
    <row r="61" spans="2:9" ht="15" customHeight="1" x14ac:dyDescent="0.2">
      <c r="B61" t="s">
        <v>301</v>
      </c>
      <c r="C61" s="12">
        <v>3</v>
      </c>
      <c r="D61" s="8">
        <v>2.29</v>
      </c>
      <c r="E61" s="12">
        <v>2</v>
      </c>
      <c r="F61" s="8">
        <v>3.92</v>
      </c>
      <c r="G61" s="12">
        <v>1</v>
      </c>
      <c r="H61" s="8">
        <v>1.43</v>
      </c>
      <c r="I61" s="12">
        <v>0</v>
      </c>
    </row>
    <row r="62" spans="2:9" ht="15" customHeight="1" x14ac:dyDescent="0.2">
      <c r="B62" t="s">
        <v>305</v>
      </c>
      <c r="C62" s="12">
        <v>3</v>
      </c>
      <c r="D62" s="8">
        <v>2.29</v>
      </c>
      <c r="E62" s="12">
        <v>3</v>
      </c>
      <c r="F62" s="8">
        <v>5.88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306</v>
      </c>
      <c r="C63" s="12">
        <v>3</v>
      </c>
      <c r="D63" s="8">
        <v>2.29</v>
      </c>
      <c r="E63" s="12">
        <v>3</v>
      </c>
      <c r="F63" s="8">
        <v>5.88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341</v>
      </c>
      <c r="C64" s="12">
        <v>3</v>
      </c>
      <c r="D64" s="8">
        <v>2.29</v>
      </c>
      <c r="E64" s="12">
        <v>0</v>
      </c>
      <c r="F64" s="8">
        <v>0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331</v>
      </c>
      <c r="C65" s="12">
        <v>3</v>
      </c>
      <c r="D65" s="8">
        <v>2.29</v>
      </c>
      <c r="E65" s="12">
        <v>0</v>
      </c>
      <c r="F65" s="8">
        <v>0</v>
      </c>
      <c r="G65" s="12">
        <v>2</v>
      </c>
      <c r="H65" s="8">
        <v>2.86</v>
      </c>
      <c r="I65" s="12">
        <v>0</v>
      </c>
    </row>
    <row r="66" spans="2:9" ht="15" customHeight="1" x14ac:dyDescent="0.2">
      <c r="B66" t="s">
        <v>347</v>
      </c>
      <c r="C66" s="12">
        <v>3</v>
      </c>
      <c r="D66" s="8">
        <v>2.29</v>
      </c>
      <c r="E66" s="12">
        <v>0</v>
      </c>
      <c r="F66" s="8">
        <v>0</v>
      </c>
      <c r="G66" s="12">
        <v>3</v>
      </c>
      <c r="H66" s="8">
        <v>4.29</v>
      </c>
      <c r="I66" s="12">
        <v>0</v>
      </c>
    </row>
    <row r="67" spans="2:9" ht="15" customHeight="1" x14ac:dyDescent="0.2">
      <c r="B67" t="s">
        <v>353</v>
      </c>
      <c r="C67" s="12">
        <v>2</v>
      </c>
      <c r="D67" s="8">
        <v>1.53</v>
      </c>
      <c r="E67" s="12">
        <v>0</v>
      </c>
      <c r="F67" s="8">
        <v>0</v>
      </c>
      <c r="G67" s="12">
        <v>2</v>
      </c>
      <c r="H67" s="8">
        <v>2.86</v>
      </c>
      <c r="I67" s="12">
        <v>0</v>
      </c>
    </row>
    <row r="68" spans="2:9" ht="15" customHeight="1" x14ac:dyDescent="0.2">
      <c r="B68" t="s">
        <v>291</v>
      </c>
      <c r="C68" s="12">
        <v>2</v>
      </c>
      <c r="D68" s="8">
        <v>1.53</v>
      </c>
      <c r="E68" s="12">
        <v>0</v>
      </c>
      <c r="F68" s="8">
        <v>0</v>
      </c>
      <c r="G68" s="12">
        <v>2</v>
      </c>
      <c r="H68" s="8">
        <v>2.86</v>
      </c>
      <c r="I68" s="12">
        <v>0</v>
      </c>
    </row>
    <row r="69" spans="2:9" ht="15" customHeight="1" x14ac:dyDescent="0.2">
      <c r="B69" t="s">
        <v>378</v>
      </c>
      <c r="C69" s="12">
        <v>2</v>
      </c>
      <c r="D69" s="8">
        <v>1.53</v>
      </c>
      <c r="E69" s="12">
        <v>0</v>
      </c>
      <c r="F69" s="8">
        <v>0</v>
      </c>
      <c r="G69" s="12">
        <v>2</v>
      </c>
      <c r="H69" s="8">
        <v>2.86</v>
      </c>
      <c r="I69" s="12">
        <v>0</v>
      </c>
    </row>
    <row r="70" spans="2:9" ht="15" customHeight="1" x14ac:dyDescent="0.2">
      <c r="B70" t="s">
        <v>385</v>
      </c>
      <c r="C70" s="12">
        <v>2</v>
      </c>
      <c r="D70" s="8">
        <v>1.53</v>
      </c>
      <c r="E70" s="12">
        <v>0</v>
      </c>
      <c r="F70" s="8">
        <v>0</v>
      </c>
      <c r="G70" s="12">
        <v>2</v>
      </c>
      <c r="H70" s="8">
        <v>2.86</v>
      </c>
      <c r="I70" s="12">
        <v>0</v>
      </c>
    </row>
    <row r="71" spans="2:9" ht="15" customHeight="1" x14ac:dyDescent="0.2">
      <c r="B71" t="s">
        <v>452</v>
      </c>
      <c r="C71" s="12">
        <v>2</v>
      </c>
      <c r="D71" s="8">
        <v>1.53</v>
      </c>
      <c r="E71" s="12">
        <v>0</v>
      </c>
      <c r="F71" s="8">
        <v>0</v>
      </c>
      <c r="G71" s="12">
        <v>2</v>
      </c>
      <c r="H71" s="8">
        <v>2.86</v>
      </c>
      <c r="I71" s="12">
        <v>0</v>
      </c>
    </row>
    <row r="72" spans="2:9" ht="15" customHeight="1" x14ac:dyDescent="0.2">
      <c r="B72" t="s">
        <v>314</v>
      </c>
      <c r="C72" s="12">
        <v>2</v>
      </c>
      <c r="D72" s="8">
        <v>1.53</v>
      </c>
      <c r="E72" s="12">
        <v>1</v>
      </c>
      <c r="F72" s="8">
        <v>1.96</v>
      </c>
      <c r="G72" s="12">
        <v>1</v>
      </c>
      <c r="H72" s="8">
        <v>1.43</v>
      </c>
      <c r="I72" s="12">
        <v>0</v>
      </c>
    </row>
    <row r="73" spans="2:9" ht="15" customHeight="1" x14ac:dyDescent="0.2">
      <c r="B73" t="s">
        <v>335</v>
      </c>
      <c r="C73" s="12">
        <v>2</v>
      </c>
      <c r="D73" s="8">
        <v>1.53</v>
      </c>
      <c r="E73" s="12">
        <v>1</v>
      </c>
      <c r="F73" s="8">
        <v>1.96</v>
      </c>
      <c r="G73" s="12">
        <v>1</v>
      </c>
      <c r="H73" s="8">
        <v>1.43</v>
      </c>
      <c r="I73" s="12">
        <v>0</v>
      </c>
    </row>
    <row r="74" spans="2:9" ht="15" customHeight="1" x14ac:dyDescent="0.2">
      <c r="B74" t="s">
        <v>415</v>
      </c>
      <c r="C74" s="12">
        <v>2</v>
      </c>
      <c r="D74" s="8">
        <v>1.53</v>
      </c>
      <c r="E74" s="12">
        <v>0</v>
      </c>
      <c r="F74" s="8">
        <v>0</v>
      </c>
      <c r="G74" s="12">
        <v>2</v>
      </c>
      <c r="H74" s="8">
        <v>2.86</v>
      </c>
      <c r="I74" s="12">
        <v>0</v>
      </c>
    </row>
    <row r="75" spans="2:9" ht="15" customHeight="1" x14ac:dyDescent="0.2">
      <c r="B75" t="s">
        <v>303</v>
      </c>
      <c r="C75" s="12">
        <v>2</v>
      </c>
      <c r="D75" s="8">
        <v>1.53</v>
      </c>
      <c r="E75" s="12">
        <v>2</v>
      </c>
      <c r="F75" s="8">
        <v>3.92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340</v>
      </c>
      <c r="C76" s="12">
        <v>2</v>
      </c>
      <c r="D76" s="8">
        <v>1.53</v>
      </c>
      <c r="E76" s="12">
        <v>0</v>
      </c>
      <c r="F76" s="8">
        <v>0</v>
      </c>
      <c r="G76" s="12">
        <v>0</v>
      </c>
      <c r="H76" s="8">
        <v>0</v>
      </c>
      <c r="I76" s="12">
        <v>0</v>
      </c>
    </row>
    <row r="78" spans="2:9" ht="15" customHeight="1" x14ac:dyDescent="0.2">
      <c r="B7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12DA-B3BE-435E-9F05-61D298FA5068}">
  <sheetPr>
    <pageSetUpPr fitToPage="1"/>
  </sheetPr>
  <dimension ref="B2:I68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536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886</v>
      </c>
      <c r="D6" s="8">
        <v>19.05</v>
      </c>
      <c r="E6" s="12">
        <v>46</v>
      </c>
      <c r="F6" s="8">
        <v>3.39</v>
      </c>
      <c r="G6" s="12">
        <v>840</v>
      </c>
      <c r="H6" s="8">
        <v>25.61</v>
      </c>
      <c r="I6" s="12">
        <v>0</v>
      </c>
    </row>
    <row r="7" spans="2:9" ht="15" customHeight="1" x14ac:dyDescent="0.2">
      <c r="B7" t="s">
        <v>192</v>
      </c>
      <c r="C7" s="12">
        <v>319</v>
      </c>
      <c r="D7" s="8">
        <v>6.86</v>
      </c>
      <c r="E7" s="12">
        <v>34</v>
      </c>
      <c r="F7" s="8">
        <v>2.5</v>
      </c>
      <c r="G7" s="12">
        <v>285</v>
      </c>
      <c r="H7" s="8">
        <v>8.69</v>
      </c>
      <c r="I7" s="12">
        <v>0</v>
      </c>
    </row>
    <row r="8" spans="2:9" ht="15" customHeight="1" x14ac:dyDescent="0.2">
      <c r="B8" t="s">
        <v>193</v>
      </c>
      <c r="C8" s="12">
        <v>3</v>
      </c>
      <c r="D8" s="8">
        <v>0.06</v>
      </c>
      <c r="E8" s="12">
        <v>0</v>
      </c>
      <c r="F8" s="8">
        <v>0</v>
      </c>
      <c r="G8" s="12">
        <v>3</v>
      </c>
      <c r="H8" s="8">
        <v>0.09</v>
      </c>
      <c r="I8" s="12">
        <v>0</v>
      </c>
    </row>
    <row r="9" spans="2:9" ht="15" customHeight="1" x14ac:dyDescent="0.2">
      <c r="B9" t="s">
        <v>194</v>
      </c>
      <c r="C9" s="12">
        <v>62</v>
      </c>
      <c r="D9" s="8">
        <v>1.33</v>
      </c>
      <c r="E9" s="12">
        <v>3</v>
      </c>
      <c r="F9" s="8">
        <v>0.22</v>
      </c>
      <c r="G9" s="12">
        <v>57</v>
      </c>
      <c r="H9" s="8">
        <v>1.74</v>
      </c>
      <c r="I9" s="12">
        <v>2</v>
      </c>
    </row>
    <row r="10" spans="2:9" ht="15" customHeight="1" x14ac:dyDescent="0.2">
      <c r="B10" t="s">
        <v>195</v>
      </c>
      <c r="C10" s="12">
        <v>74</v>
      </c>
      <c r="D10" s="8">
        <v>1.59</v>
      </c>
      <c r="E10" s="12">
        <v>29</v>
      </c>
      <c r="F10" s="8">
        <v>2.14</v>
      </c>
      <c r="G10" s="12">
        <v>45</v>
      </c>
      <c r="H10" s="8">
        <v>1.37</v>
      </c>
      <c r="I10" s="12">
        <v>0</v>
      </c>
    </row>
    <row r="11" spans="2:9" ht="15" customHeight="1" x14ac:dyDescent="0.2">
      <c r="B11" t="s">
        <v>196</v>
      </c>
      <c r="C11" s="12">
        <v>981</v>
      </c>
      <c r="D11" s="8">
        <v>21.09</v>
      </c>
      <c r="E11" s="12">
        <v>129</v>
      </c>
      <c r="F11" s="8">
        <v>9.5</v>
      </c>
      <c r="G11" s="12">
        <v>850</v>
      </c>
      <c r="H11" s="8">
        <v>25.91</v>
      </c>
      <c r="I11" s="12">
        <v>2</v>
      </c>
    </row>
    <row r="12" spans="2:9" ht="15" customHeight="1" x14ac:dyDescent="0.2">
      <c r="B12" t="s">
        <v>197</v>
      </c>
      <c r="C12" s="12">
        <v>30</v>
      </c>
      <c r="D12" s="8">
        <v>0.64</v>
      </c>
      <c r="E12" s="12">
        <v>3</v>
      </c>
      <c r="F12" s="8">
        <v>0.22</v>
      </c>
      <c r="G12" s="12">
        <v>27</v>
      </c>
      <c r="H12" s="8">
        <v>0.82</v>
      </c>
      <c r="I12" s="12">
        <v>0</v>
      </c>
    </row>
    <row r="13" spans="2:9" ht="15" customHeight="1" x14ac:dyDescent="0.2">
      <c r="B13" t="s">
        <v>198</v>
      </c>
      <c r="C13" s="12">
        <v>752</v>
      </c>
      <c r="D13" s="8">
        <v>16.170000000000002</v>
      </c>
      <c r="E13" s="12">
        <v>282</v>
      </c>
      <c r="F13" s="8">
        <v>20.77</v>
      </c>
      <c r="G13" s="12">
        <v>469</v>
      </c>
      <c r="H13" s="8">
        <v>14.3</v>
      </c>
      <c r="I13" s="12">
        <v>1</v>
      </c>
    </row>
    <row r="14" spans="2:9" ht="15" customHeight="1" x14ac:dyDescent="0.2">
      <c r="B14" t="s">
        <v>199</v>
      </c>
      <c r="C14" s="12">
        <v>233</v>
      </c>
      <c r="D14" s="8">
        <v>5.01</v>
      </c>
      <c r="E14" s="12">
        <v>72</v>
      </c>
      <c r="F14" s="8">
        <v>5.3</v>
      </c>
      <c r="G14" s="12">
        <v>160</v>
      </c>
      <c r="H14" s="8">
        <v>4.88</v>
      </c>
      <c r="I14" s="12">
        <v>1</v>
      </c>
    </row>
    <row r="15" spans="2:9" ht="15" customHeight="1" x14ac:dyDescent="0.2">
      <c r="B15" t="s">
        <v>200</v>
      </c>
      <c r="C15" s="12">
        <v>304</v>
      </c>
      <c r="D15" s="8">
        <v>6.53</v>
      </c>
      <c r="E15" s="12">
        <v>223</v>
      </c>
      <c r="F15" s="8">
        <v>16.420000000000002</v>
      </c>
      <c r="G15" s="12">
        <v>79</v>
      </c>
      <c r="H15" s="8">
        <v>2.41</v>
      </c>
      <c r="I15" s="12">
        <v>2</v>
      </c>
    </row>
    <row r="16" spans="2:9" ht="15" customHeight="1" x14ac:dyDescent="0.2">
      <c r="B16" t="s">
        <v>201</v>
      </c>
      <c r="C16" s="12">
        <v>454</v>
      </c>
      <c r="D16" s="8">
        <v>9.76</v>
      </c>
      <c r="E16" s="12">
        <v>321</v>
      </c>
      <c r="F16" s="8">
        <v>23.64</v>
      </c>
      <c r="G16" s="12">
        <v>133</v>
      </c>
      <c r="H16" s="8">
        <v>4.05</v>
      </c>
      <c r="I16" s="12">
        <v>0</v>
      </c>
    </row>
    <row r="17" spans="2:9" ht="15" customHeight="1" x14ac:dyDescent="0.2">
      <c r="B17" t="s">
        <v>202</v>
      </c>
      <c r="C17" s="12">
        <v>101</v>
      </c>
      <c r="D17" s="8">
        <v>2.17</v>
      </c>
      <c r="E17" s="12">
        <v>60</v>
      </c>
      <c r="F17" s="8">
        <v>4.42</v>
      </c>
      <c r="G17" s="12">
        <v>40</v>
      </c>
      <c r="H17" s="8">
        <v>1.22</v>
      </c>
      <c r="I17" s="12">
        <v>0</v>
      </c>
    </row>
    <row r="18" spans="2:9" ht="15" customHeight="1" x14ac:dyDescent="0.2">
      <c r="B18" t="s">
        <v>203</v>
      </c>
      <c r="C18" s="12">
        <v>256</v>
      </c>
      <c r="D18" s="8">
        <v>5.5</v>
      </c>
      <c r="E18" s="12">
        <v>122</v>
      </c>
      <c r="F18" s="8">
        <v>8.98</v>
      </c>
      <c r="G18" s="12">
        <v>134</v>
      </c>
      <c r="H18" s="8">
        <v>4.09</v>
      </c>
      <c r="I18" s="12">
        <v>0</v>
      </c>
    </row>
    <row r="19" spans="2:9" ht="15" customHeight="1" x14ac:dyDescent="0.2">
      <c r="B19" t="s">
        <v>204</v>
      </c>
      <c r="C19" s="12">
        <v>197</v>
      </c>
      <c r="D19" s="8">
        <v>4.2300000000000004</v>
      </c>
      <c r="E19" s="12">
        <v>34</v>
      </c>
      <c r="F19" s="8">
        <v>2.5</v>
      </c>
      <c r="G19" s="12">
        <v>158</v>
      </c>
      <c r="H19" s="8">
        <v>4.82</v>
      </c>
      <c r="I19" s="12">
        <v>5</v>
      </c>
    </row>
    <row r="20" spans="2:9" ht="15" customHeight="1" x14ac:dyDescent="0.2">
      <c r="B20" s="9" t="s">
        <v>529</v>
      </c>
      <c r="C20" s="12">
        <f>SUM(LTBL_01103[総数／事業所数])</f>
        <v>4652</v>
      </c>
      <c r="E20" s="12">
        <f>SUBTOTAL(109,LTBL_01103[個人／事業所数])</f>
        <v>1358</v>
      </c>
      <c r="G20" s="12">
        <f>SUBTOTAL(109,LTBL_01103[法人／事業所数])</f>
        <v>3280</v>
      </c>
      <c r="I20" s="12">
        <f>SUBTOTAL(109,LTBL_01103[法人以外の団体／事業所数])</f>
        <v>13</v>
      </c>
    </row>
    <row r="21" spans="2:9" ht="15" customHeight="1" x14ac:dyDescent="0.2">
      <c r="E21" s="11">
        <f>LTBL_01103[[#Totals],[個人／事業所数]]/LTBL_01103[[#Totals],[総数／事業所数]]</f>
        <v>0.29191745485812554</v>
      </c>
      <c r="G21" s="11">
        <f>LTBL_01103[[#Totals],[法人／事業所数]]/LTBL_01103[[#Totals],[総数／事業所数]]</f>
        <v>0.70507308684436798</v>
      </c>
      <c r="I21" s="11">
        <f>LTBL_01103[[#Totals],[法人以外の団体／事業所数]]/LTBL_01103[[#Totals],[総数／事業所数]]</f>
        <v>2.7944969905417025E-3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224</v>
      </c>
      <c r="C24" s="12">
        <v>629</v>
      </c>
      <c r="D24" s="8">
        <v>13.52</v>
      </c>
      <c r="E24" s="12">
        <v>279</v>
      </c>
      <c r="F24" s="8">
        <v>20.54</v>
      </c>
      <c r="G24" s="12">
        <v>349</v>
      </c>
      <c r="H24" s="8">
        <v>10.64</v>
      </c>
      <c r="I24" s="12">
        <v>1</v>
      </c>
    </row>
    <row r="25" spans="2:9" ht="15" customHeight="1" x14ac:dyDescent="0.2">
      <c r="B25" t="s">
        <v>228</v>
      </c>
      <c r="C25" s="12">
        <v>392</v>
      </c>
      <c r="D25" s="8">
        <v>8.43</v>
      </c>
      <c r="E25" s="12">
        <v>305</v>
      </c>
      <c r="F25" s="8">
        <v>22.46</v>
      </c>
      <c r="G25" s="12">
        <v>87</v>
      </c>
      <c r="H25" s="8">
        <v>2.65</v>
      </c>
      <c r="I25" s="12">
        <v>0</v>
      </c>
    </row>
    <row r="26" spans="2:9" ht="15" customHeight="1" x14ac:dyDescent="0.2">
      <c r="B26" t="s">
        <v>214</v>
      </c>
      <c r="C26" s="12">
        <v>351</v>
      </c>
      <c r="D26" s="8">
        <v>7.55</v>
      </c>
      <c r="E26" s="12">
        <v>24</v>
      </c>
      <c r="F26" s="8">
        <v>1.77</v>
      </c>
      <c r="G26" s="12">
        <v>327</v>
      </c>
      <c r="H26" s="8">
        <v>9.9700000000000006</v>
      </c>
      <c r="I26" s="12">
        <v>0</v>
      </c>
    </row>
    <row r="27" spans="2:9" ht="15" customHeight="1" x14ac:dyDescent="0.2">
      <c r="B27" t="s">
        <v>215</v>
      </c>
      <c r="C27" s="12">
        <v>276</v>
      </c>
      <c r="D27" s="8">
        <v>5.93</v>
      </c>
      <c r="E27" s="12">
        <v>11</v>
      </c>
      <c r="F27" s="8">
        <v>0.81</v>
      </c>
      <c r="G27" s="12">
        <v>265</v>
      </c>
      <c r="H27" s="8">
        <v>8.08</v>
      </c>
      <c r="I27" s="12">
        <v>0</v>
      </c>
    </row>
    <row r="28" spans="2:9" ht="15" customHeight="1" x14ac:dyDescent="0.2">
      <c r="B28" t="s">
        <v>227</v>
      </c>
      <c r="C28" s="12">
        <v>261</v>
      </c>
      <c r="D28" s="8">
        <v>5.61</v>
      </c>
      <c r="E28" s="12">
        <v>218</v>
      </c>
      <c r="F28" s="8">
        <v>16.05</v>
      </c>
      <c r="G28" s="12">
        <v>43</v>
      </c>
      <c r="H28" s="8">
        <v>1.31</v>
      </c>
      <c r="I28" s="12">
        <v>0</v>
      </c>
    </row>
    <row r="29" spans="2:9" ht="15" customHeight="1" x14ac:dyDescent="0.2">
      <c r="B29" t="s">
        <v>213</v>
      </c>
      <c r="C29" s="12">
        <v>259</v>
      </c>
      <c r="D29" s="8">
        <v>5.57</v>
      </c>
      <c r="E29" s="12">
        <v>11</v>
      </c>
      <c r="F29" s="8">
        <v>0.81</v>
      </c>
      <c r="G29" s="12">
        <v>248</v>
      </c>
      <c r="H29" s="8">
        <v>7.56</v>
      </c>
      <c r="I29" s="12">
        <v>0</v>
      </c>
    </row>
    <row r="30" spans="2:9" ht="15" customHeight="1" x14ac:dyDescent="0.2">
      <c r="B30" t="s">
        <v>223</v>
      </c>
      <c r="C30" s="12">
        <v>192</v>
      </c>
      <c r="D30" s="8">
        <v>4.13</v>
      </c>
      <c r="E30" s="12">
        <v>43</v>
      </c>
      <c r="F30" s="8">
        <v>3.17</v>
      </c>
      <c r="G30" s="12">
        <v>149</v>
      </c>
      <c r="H30" s="8">
        <v>4.54</v>
      </c>
      <c r="I30" s="12">
        <v>0</v>
      </c>
    </row>
    <row r="31" spans="2:9" ht="15" customHeight="1" x14ac:dyDescent="0.2">
      <c r="B31" t="s">
        <v>218</v>
      </c>
      <c r="C31" s="12">
        <v>172</v>
      </c>
      <c r="D31" s="8">
        <v>3.7</v>
      </c>
      <c r="E31" s="12">
        <v>2</v>
      </c>
      <c r="F31" s="8">
        <v>0.15</v>
      </c>
      <c r="G31" s="12">
        <v>170</v>
      </c>
      <c r="H31" s="8">
        <v>5.18</v>
      </c>
      <c r="I31" s="12">
        <v>0</v>
      </c>
    </row>
    <row r="32" spans="2:9" ht="15" customHeight="1" x14ac:dyDescent="0.2">
      <c r="B32" t="s">
        <v>231</v>
      </c>
      <c r="C32" s="12">
        <v>160</v>
      </c>
      <c r="D32" s="8">
        <v>3.44</v>
      </c>
      <c r="E32" s="12">
        <v>122</v>
      </c>
      <c r="F32" s="8">
        <v>8.98</v>
      </c>
      <c r="G32" s="12">
        <v>38</v>
      </c>
      <c r="H32" s="8">
        <v>1.1599999999999999</v>
      </c>
      <c r="I32" s="12">
        <v>0</v>
      </c>
    </row>
    <row r="33" spans="2:9" ht="15" customHeight="1" x14ac:dyDescent="0.2">
      <c r="B33" t="s">
        <v>219</v>
      </c>
      <c r="C33" s="12">
        <v>120</v>
      </c>
      <c r="D33" s="8">
        <v>2.58</v>
      </c>
      <c r="E33" s="12">
        <v>3</v>
      </c>
      <c r="F33" s="8">
        <v>0.22</v>
      </c>
      <c r="G33" s="12">
        <v>116</v>
      </c>
      <c r="H33" s="8">
        <v>3.54</v>
      </c>
      <c r="I33" s="12">
        <v>1</v>
      </c>
    </row>
    <row r="34" spans="2:9" ht="15" customHeight="1" x14ac:dyDescent="0.2">
      <c r="B34" t="s">
        <v>222</v>
      </c>
      <c r="C34" s="12">
        <v>117</v>
      </c>
      <c r="D34" s="8">
        <v>2.52</v>
      </c>
      <c r="E34" s="12">
        <v>21</v>
      </c>
      <c r="F34" s="8">
        <v>1.55</v>
      </c>
      <c r="G34" s="12">
        <v>96</v>
      </c>
      <c r="H34" s="8">
        <v>2.93</v>
      </c>
      <c r="I34" s="12">
        <v>0</v>
      </c>
    </row>
    <row r="35" spans="2:9" ht="15" customHeight="1" x14ac:dyDescent="0.2">
      <c r="B35" t="s">
        <v>225</v>
      </c>
      <c r="C35" s="12">
        <v>114</v>
      </c>
      <c r="D35" s="8">
        <v>2.4500000000000002</v>
      </c>
      <c r="E35" s="12">
        <v>54</v>
      </c>
      <c r="F35" s="8">
        <v>3.98</v>
      </c>
      <c r="G35" s="12">
        <v>60</v>
      </c>
      <c r="H35" s="8">
        <v>1.83</v>
      </c>
      <c r="I35" s="12">
        <v>0</v>
      </c>
    </row>
    <row r="36" spans="2:9" ht="15" customHeight="1" x14ac:dyDescent="0.2">
      <c r="B36" t="s">
        <v>226</v>
      </c>
      <c r="C36" s="12">
        <v>109</v>
      </c>
      <c r="D36" s="8">
        <v>2.34</v>
      </c>
      <c r="E36" s="12">
        <v>18</v>
      </c>
      <c r="F36" s="8">
        <v>1.33</v>
      </c>
      <c r="G36" s="12">
        <v>91</v>
      </c>
      <c r="H36" s="8">
        <v>2.77</v>
      </c>
      <c r="I36" s="12">
        <v>0</v>
      </c>
    </row>
    <row r="37" spans="2:9" ht="15" customHeight="1" x14ac:dyDescent="0.2">
      <c r="B37" t="s">
        <v>230</v>
      </c>
      <c r="C37" s="12">
        <v>101</v>
      </c>
      <c r="D37" s="8">
        <v>2.17</v>
      </c>
      <c r="E37" s="12">
        <v>60</v>
      </c>
      <c r="F37" s="8">
        <v>4.42</v>
      </c>
      <c r="G37" s="12">
        <v>40</v>
      </c>
      <c r="H37" s="8">
        <v>1.22</v>
      </c>
      <c r="I37" s="12">
        <v>0</v>
      </c>
    </row>
    <row r="38" spans="2:9" ht="15" customHeight="1" x14ac:dyDescent="0.2">
      <c r="B38" t="s">
        <v>217</v>
      </c>
      <c r="C38" s="12">
        <v>100</v>
      </c>
      <c r="D38" s="8">
        <v>2.15</v>
      </c>
      <c r="E38" s="12">
        <v>8</v>
      </c>
      <c r="F38" s="8">
        <v>0.59</v>
      </c>
      <c r="G38" s="12">
        <v>92</v>
      </c>
      <c r="H38" s="8">
        <v>2.8</v>
      </c>
      <c r="I38" s="12">
        <v>0</v>
      </c>
    </row>
    <row r="39" spans="2:9" ht="15" customHeight="1" x14ac:dyDescent="0.2">
      <c r="B39" t="s">
        <v>232</v>
      </c>
      <c r="C39" s="12">
        <v>96</v>
      </c>
      <c r="D39" s="8">
        <v>2.06</v>
      </c>
      <c r="E39" s="12">
        <v>0</v>
      </c>
      <c r="F39" s="8">
        <v>0</v>
      </c>
      <c r="G39" s="12">
        <v>96</v>
      </c>
      <c r="H39" s="8">
        <v>2.93</v>
      </c>
      <c r="I39" s="12">
        <v>0</v>
      </c>
    </row>
    <row r="40" spans="2:9" ht="15" customHeight="1" x14ac:dyDescent="0.2">
      <c r="B40" t="s">
        <v>233</v>
      </c>
      <c r="C40" s="12">
        <v>91</v>
      </c>
      <c r="D40" s="8">
        <v>1.96</v>
      </c>
      <c r="E40" s="12">
        <v>3</v>
      </c>
      <c r="F40" s="8">
        <v>0.22</v>
      </c>
      <c r="G40" s="12">
        <v>88</v>
      </c>
      <c r="H40" s="8">
        <v>2.68</v>
      </c>
      <c r="I40" s="12">
        <v>0</v>
      </c>
    </row>
    <row r="41" spans="2:9" ht="15" customHeight="1" x14ac:dyDescent="0.2">
      <c r="B41" t="s">
        <v>221</v>
      </c>
      <c r="C41" s="12">
        <v>88</v>
      </c>
      <c r="D41" s="8">
        <v>1.89</v>
      </c>
      <c r="E41" s="12">
        <v>35</v>
      </c>
      <c r="F41" s="8">
        <v>2.58</v>
      </c>
      <c r="G41" s="12">
        <v>52</v>
      </c>
      <c r="H41" s="8">
        <v>1.59</v>
      </c>
      <c r="I41" s="12">
        <v>1</v>
      </c>
    </row>
    <row r="42" spans="2:9" ht="15" customHeight="1" x14ac:dyDescent="0.2">
      <c r="B42" t="s">
        <v>234</v>
      </c>
      <c r="C42" s="12">
        <v>71</v>
      </c>
      <c r="D42" s="8">
        <v>1.53</v>
      </c>
      <c r="E42" s="12">
        <v>5</v>
      </c>
      <c r="F42" s="8">
        <v>0.37</v>
      </c>
      <c r="G42" s="12">
        <v>66</v>
      </c>
      <c r="H42" s="8">
        <v>2.0099999999999998</v>
      </c>
      <c r="I42" s="12">
        <v>0</v>
      </c>
    </row>
    <row r="43" spans="2:9" ht="15" customHeight="1" x14ac:dyDescent="0.2">
      <c r="B43" t="s">
        <v>220</v>
      </c>
      <c r="C43" s="12">
        <v>64</v>
      </c>
      <c r="D43" s="8">
        <v>1.38</v>
      </c>
      <c r="E43" s="12">
        <v>10</v>
      </c>
      <c r="F43" s="8">
        <v>0.74</v>
      </c>
      <c r="G43" s="12">
        <v>54</v>
      </c>
      <c r="H43" s="8">
        <v>1.65</v>
      </c>
      <c r="I43" s="12">
        <v>0</v>
      </c>
    </row>
    <row r="46" spans="2:9" ht="33" customHeight="1" x14ac:dyDescent="0.2">
      <c r="B46" t="s">
        <v>531</v>
      </c>
      <c r="C46" s="10" t="s">
        <v>206</v>
      </c>
      <c r="D46" s="10" t="s">
        <v>207</v>
      </c>
      <c r="E46" s="10" t="s">
        <v>208</v>
      </c>
      <c r="F46" s="10" t="s">
        <v>209</v>
      </c>
      <c r="G46" s="10" t="s">
        <v>210</v>
      </c>
      <c r="H46" s="10" t="s">
        <v>211</v>
      </c>
      <c r="I46" s="10" t="s">
        <v>212</v>
      </c>
    </row>
    <row r="47" spans="2:9" ht="15" customHeight="1" x14ac:dyDescent="0.2">
      <c r="B47" t="s">
        <v>297</v>
      </c>
      <c r="C47" s="12">
        <v>434</v>
      </c>
      <c r="D47" s="8">
        <v>9.33</v>
      </c>
      <c r="E47" s="12">
        <v>254</v>
      </c>
      <c r="F47" s="8">
        <v>18.7</v>
      </c>
      <c r="G47" s="12">
        <v>180</v>
      </c>
      <c r="H47" s="8">
        <v>5.49</v>
      </c>
      <c r="I47" s="12">
        <v>0</v>
      </c>
    </row>
    <row r="48" spans="2:9" ht="15" customHeight="1" x14ac:dyDescent="0.2">
      <c r="B48" t="s">
        <v>304</v>
      </c>
      <c r="C48" s="12">
        <v>170</v>
      </c>
      <c r="D48" s="8">
        <v>3.65</v>
      </c>
      <c r="E48" s="12">
        <v>142</v>
      </c>
      <c r="F48" s="8">
        <v>10.46</v>
      </c>
      <c r="G48" s="12">
        <v>28</v>
      </c>
      <c r="H48" s="8">
        <v>0.85</v>
      </c>
      <c r="I48" s="12">
        <v>0</v>
      </c>
    </row>
    <row r="49" spans="2:9" ht="15" customHeight="1" x14ac:dyDescent="0.2">
      <c r="B49" t="s">
        <v>303</v>
      </c>
      <c r="C49" s="12">
        <v>145</v>
      </c>
      <c r="D49" s="8">
        <v>3.12</v>
      </c>
      <c r="E49" s="12">
        <v>131</v>
      </c>
      <c r="F49" s="8">
        <v>9.65</v>
      </c>
      <c r="G49" s="12">
        <v>14</v>
      </c>
      <c r="H49" s="8">
        <v>0.43</v>
      </c>
      <c r="I49" s="12">
        <v>0</v>
      </c>
    </row>
    <row r="50" spans="2:9" ht="15" customHeight="1" x14ac:dyDescent="0.2">
      <c r="B50" t="s">
        <v>296</v>
      </c>
      <c r="C50" s="12">
        <v>115</v>
      </c>
      <c r="D50" s="8">
        <v>2.4700000000000002</v>
      </c>
      <c r="E50" s="12">
        <v>17</v>
      </c>
      <c r="F50" s="8">
        <v>1.25</v>
      </c>
      <c r="G50" s="12">
        <v>97</v>
      </c>
      <c r="H50" s="8">
        <v>2.96</v>
      </c>
      <c r="I50" s="12">
        <v>1</v>
      </c>
    </row>
    <row r="51" spans="2:9" ht="15" customHeight="1" x14ac:dyDescent="0.2">
      <c r="B51" t="s">
        <v>291</v>
      </c>
      <c r="C51" s="12">
        <v>107</v>
      </c>
      <c r="D51" s="8">
        <v>2.2999999999999998</v>
      </c>
      <c r="E51" s="12">
        <v>3</v>
      </c>
      <c r="F51" s="8">
        <v>0.22</v>
      </c>
      <c r="G51" s="12">
        <v>104</v>
      </c>
      <c r="H51" s="8">
        <v>3.17</v>
      </c>
      <c r="I51" s="12">
        <v>0</v>
      </c>
    </row>
    <row r="52" spans="2:9" ht="15" customHeight="1" x14ac:dyDescent="0.2">
      <c r="B52" t="s">
        <v>306</v>
      </c>
      <c r="C52" s="12">
        <v>93</v>
      </c>
      <c r="D52" s="8">
        <v>2</v>
      </c>
      <c r="E52" s="12">
        <v>80</v>
      </c>
      <c r="F52" s="8">
        <v>5.89</v>
      </c>
      <c r="G52" s="12">
        <v>13</v>
      </c>
      <c r="H52" s="8">
        <v>0.4</v>
      </c>
      <c r="I52" s="12">
        <v>0</v>
      </c>
    </row>
    <row r="53" spans="2:9" ht="15" customHeight="1" x14ac:dyDescent="0.2">
      <c r="B53" t="s">
        <v>320</v>
      </c>
      <c r="C53" s="12">
        <v>90</v>
      </c>
      <c r="D53" s="8">
        <v>1.93</v>
      </c>
      <c r="E53" s="12">
        <v>6</v>
      </c>
      <c r="F53" s="8">
        <v>0.44</v>
      </c>
      <c r="G53" s="12">
        <v>84</v>
      </c>
      <c r="H53" s="8">
        <v>2.56</v>
      </c>
      <c r="I53" s="12">
        <v>0</v>
      </c>
    </row>
    <row r="54" spans="2:9" ht="15" customHeight="1" x14ac:dyDescent="0.2">
      <c r="B54" t="s">
        <v>290</v>
      </c>
      <c r="C54" s="12">
        <v>90</v>
      </c>
      <c r="D54" s="8">
        <v>1.93</v>
      </c>
      <c r="E54" s="12">
        <v>6</v>
      </c>
      <c r="F54" s="8">
        <v>0.44</v>
      </c>
      <c r="G54" s="12">
        <v>84</v>
      </c>
      <c r="H54" s="8">
        <v>2.56</v>
      </c>
      <c r="I54" s="12">
        <v>0</v>
      </c>
    </row>
    <row r="55" spans="2:9" ht="15" customHeight="1" x14ac:dyDescent="0.2">
      <c r="B55" t="s">
        <v>293</v>
      </c>
      <c r="C55" s="12">
        <v>84</v>
      </c>
      <c r="D55" s="8">
        <v>1.81</v>
      </c>
      <c r="E55" s="12">
        <v>5</v>
      </c>
      <c r="F55" s="8">
        <v>0.37</v>
      </c>
      <c r="G55" s="12">
        <v>79</v>
      </c>
      <c r="H55" s="8">
        <v>2.41</v>
      </c>
      <c r="I55" s="12">
        <v>0</v>
      </c>
    </row>
    <row r="56" spans="2:9" ht="15" customHeight="1" x14ac:dyDescent="0.2">
      <c r="B56" t="s">
        <v>309</v>
      </c>
      <c r="C56" s="12">
        <v>79</v>
      </c>
      <c r="D56" s="8">
        <v>1.7</v>
      </c>
      <c r="E56" s="12">
        <v>1</v>
      </c>
      <c r="F56" s="8">
        <v>7.0000000000000007E-2</v>
      </c>
      <c r="G56" s="12">
        <v>77</v>
      </c>
      <c r="H56" s="8">
        <v>2.35</v>
      </c>
      <c r="I56" s="12">
        <v>1</v>
      </c>
    </row>
    <row r="57" spans="2:9" ht="15" customHeight="1" x14ac:dyDescent="0.2">
      <c r="B57" t="s">
        <v>319</v>
      </c>
      <c r="C57" s="12">
        <v>78</v>
      </c>
      <c r="D57" s="8">
        <v>1.68</v>
      </c>
      <c r="E57" s="12">
        <v>5</v>
      </c>
      <c r="F57" s="8">
        <v>0.37</v>
      </c>
      <c r="G57" s="12">
        <v>73</v>
      </c>
      <c r="H57" s="8">
        <v>2.23</v>
      </c>
      <c r="I57" s="12">
        <v>0</v>
      </c>
    </row>
    <row r="58" spans="2:9" ht="15" customHeight="1" x14ac:dyDescent="0.2">
      <c r="B58" t="s">
        <v>321</v>
      </c>
      <c r="C58" s="12">
        <v>78</v>
      </c>
      <c r="D58" s="8">
        <v>1.68</v>
      </c>
      <c r="E58" s="12">
        <v>2</v>
      </c>
      <c r="F58" s="8">
        <v>0.15</v>
      </c>
      <c r="G58" s="12">
        <v>76</v>
      </c>
      <c r="H58" s="8">
        <v>2.3199999999999998</v>
      </c>
      <c r="I58" s="12">
        <v>0</v>
      </c>
    </row>
    <row r="59" spans="2:9" ht="15" customHeight="1" x14ac:dyDescent="0.2">
      <c r="B59" t="s">
        <v>289</v>
      </c>
      <c r="C59" s="12">
        <v>77</v>
      </c>
      <c r="D59" s="8">
        <v>1.66</v>
      </c>
      <c r="E59" s="12">
        <v>2</v>
      </c>
      <c r="F59" s="8">
        <v>0.15</v>
      </c>
      <c r="G59" s="12">
        <v>75</v>
      </c>
      <c r="H59" s="8">
        <v>2.29</v>
      </c>
      <c r="I59" s="12">
        <v>0</v>
      </c>
    </row>
    <row r="60" spans="2:9" ht="15" customHeight="1" x14ac:dyDescent="0.2">
      <c r="B60" t="s">
        <v>299</v>
      </c>
      <c r="C60" s="12">
        <v>72</v>
      </c>
      <c r="D60" s="8">
        <v>1.55</v>
      </c>
      <c r="E60" s="12">
        <v>53</v>
      </c>
      <c r="F60" s="8">
        <v>3.9</v>
      </c>
      <c r="G60" s="12">
        <v>19</v>
      </c>
      <c r="H60" s="8">
        <v>0.57999999999999996</v>
      </c>
      <c r="I60" s="12">
        <v>0</v>
      </c>
    </row>
    <row r="61" spans="2:9" ht="15" customHeight="1" x14ac:dyDescent="0.2">
      <c r="B61" t="s">
        <v>298</v>
      </c>
      <c r="C61" s="12">
        <v>71</v>
      </c>
      <c r="D61" s="8">
        <v>1.53</v>
      </c>
      <c r="E61" s="12">
        <v>10</v>
      </c>
      <c r="F61" s="8">
        <v>0.74</v>
      </c>
      <c r="G61" s="12">
        <v>61</v>
      </c>
      <c r="H61" s="8">
        <v>1.86</v>
      </c>
      <c r="I61" s="12">
        <v>0</v>
      </c>
    </row>
    <row r="62" spans="2:9" ht="15" customHeight="1" x14ac:dyDescent="0.2">
      <c r="B62" t="s">
        <v>308</v>
      </c>
      <c r="C62" s="12">
        <v>68</v>
      </c>
      <c r="D62" s="8">
        <v>1.46</v>
      </c>
      <c r="E62" s="12">
        <v>5</v>
      </c>
      <c r="F62" s="8">
        <v>0.37</v>
      </c>
      <c r="G62" s="12">
        <v>63</v>
      </c>
      <c r="H62" s="8">
        <v>1.92</v>
      </c>
      <c r="I62" s="12">
        <v>0</v>
      </c>
    </row>
    <row r="63" spans="2:9" ht="15" customHeight="1" x14ac:dyDescent="0.2">
      <c r="B63" t="s">
        <v>310</v>
      </c>
      <c r="C63" s="12">
        <v>68</v>
      </c>
      <c r="D63" s="8">
        <v>1.46</v>
      </c>
      <c r="E63" s="12">
        <v>3</v>
      </c>
      <c r="F63" s="8">
        <v>0.22</v>
      </c>
      <c r="G63" s="12">
        <v>65</v>
      </c>
      <c r="H63" s="8">
        <v>1.98</v>
      </c>
      <c r="I63" s="12">
        <v>0</v>
      </c>
    </row>
    <row r="64" spans="2:9" ht="15" customHeight="1" x14ac:dyDescent="0.2">
      <c r="B64" t="s">
        <v>311</v>
      </c>
      <c r="C64" s="12">
        <v>67</v>
      </c>
      <c r="D64" s="8">
        <v>1.44</v>
      </c>
      <c r="E64" s="12">
        <v>2</v>
      </c>
      <c r="F64" s="8">
        <v>0.15</v>
      </c>
      <c r="G64" s="12">
        <v>65</v>
      </c>
      <c r="H64" s="8">
        <v>1.98</v>
      </c>
      <c r="I64" s="12">
        <v>0</v>
      </c>
    </row>
    <row r="65" spans="2:9" ht="15" customHeight="1" x14ac:dyDescent="0.2">
      <c r="B65" t="s">
        <v>305</v>
      </c>
      <c r="C65" s="12">
        <v>64</v>
      </c>
      <c r="D65" s="8">
        <v>1.38</v>
      </c>
      <c r="E65" s="12">
        <v>48</v>
      </c>
      <c r="F65" s="8">
        <v>3.53</v>
      </c>
      <c r="G65" s="12">
        <v>16</v>
      </c>
      <c r="H65" s="8">
        <v>0.49</v>
      </c>
      <c r="I65" s="12">
        <v>0</v>
      </c>
    </row>
    <row r="66" spans="2:9" ht="15" customHeight="1" x14ac:dyDescent="0.2">
      <c r="B66" t="s">
        <v>295</v>
      </c>
      <c r="C66" s="12">
        <v>63</v>
      </c>
      <c r="D66" s="8">
        <v>1.35</v>
      </c>
      <c r="E66" s="12">
        <v>13</v>
      </c>
      <c r="F66" s="8">
        <v>0.96</v>
      </c>
      <c r="G66" s="12">
        <v>50</v>
      </c>
      <c r="H66" s="8">
        <v>1.52</v>
      </c>
      <c r="I66" s="12">
        <v>0</v>
      </c>
    </row>
    <row r="68" spans="2:9" ht="15" customHeight="1" x14ac:dyDescent="0.2">
      <c r="B68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7EE72-17FF-4FBC-BA3C-56B09964BE0B}">
  <sheetPr>
    <pageSetUpPr fitToPage="1"/>
  </sheetPr>
  <dimension ref="B2:I95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617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12</v>
      </c>
      <c r="D6" s="8">
        <v>19.350000000000001</v>
      </c>
      <c r="E6" s="12">
        <v>8</v>
      </c>
      <c r="F6" s="8">
        <v>25.81</v>
      </c>
      <c r="G6" s="12">
        <v>4</v>
      </c>
      <c r="H6" s="8">
        <v>19.05</v>
      </c>
      <c r="I6" s="12">
        <v>0</v>
      </c>
    </row>
    <row r="7" spans="2:9" ht="15" customHeight="1" x14ac:dyDescent="0.2">
      <c r="B7" t="s">
        <v>192</v>
      </c>
      <c r="C7" s="12">
        <v>5</v>
      </c>
      <c r="D7" s="8">
        <v>8.06</v>
      </c>
      <c r="E7" s="12">
        <v>2</v>
      </c>
      <c r="F7" s="8">
        <v>6.45</v>
      </c>
      <c r="G7" s="12">
        <v>3</v>
      </c>
      <c r="H7" s="8">
        <v>14.29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1.61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1.61</v>
      </c>
      <c r="E9" s="12">
        <v>0</v>
      </c>
      <c r="F9" s="8">
        <v>0</v>
      </c>
      <c r="G9" s="12">
        <v>1</v>
      </c>
      <c r="H9" s="8">
        <v>4.76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1.61</v>
      </c>
      <c r="E10" s="12">
        <v>0</v>
      </c>
      <c r="F10" s="8">
        <v>0</v>
      </c>
      <c r="G10" s="12">
        <v>1</v>
      </c>
      <c r="H10" s="8">
        <v>4.76</v>
      </c>
      <c r="I10" s="12">
        <v>0</v>
      </c>
    </row>
    <row r="11" spans="2:9" ht="15" customHeight="1" x14ac:dyDescent="0.2">
      <c r="B11" t="s">
        <v>196</v>
      </c>
      <c r="C11" s="12">
        <v>16</v>
      </c>
      <c r="D11" s="8">
        <v>25.81</v>
      </c>
      <c r="E11" s="12">
        <v>9</v>
      </c>
      <c r="F11" s="8">
        <v>29.03</v>
      </c>
      <c r="G11" s="12">
        <v>7</v>
      </c>
      <c r="H11" s="8">
        <v>33.33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</v>
      </c>
      <c r="D13" s="8">
        <v>3.23</v>
      </c>
      <c r="E13" s="12">
        <v>0</v>
      </c>
      <c r="F13" s="8">
        <v>0</v>
      </c>
      <c r="G13" s="12">
        <v>1</v>
      </c>
      <c r="H13" s="8">
        <v>4.76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</v>
      </c>
      <c r="D15" s="8">
        <v>1.61</v>
      </c>
      <c r="E15" s="12">
        <v>1</v>
      </c>
      <c r="F15" s="8">
        <v>3.23</v>
      </c>
      <c r="G15" s="12">
        <v>0</v>
      </c>
      <c r="H15" s="8">
        <v>0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22.58</v>
      </c>
      <c r="E16" s="12">
        <v>10</v>
      </c>
      <c r="F16" s="8">
        <v>32.26</v>
      </c>
      <c r="G16" s="12">
        <v>0</v>
      </c>
      <c r="H16" s="8">
        <v>0</v>
      </c>
      <c r="I16" s="12">
        <v>2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6.45</v>
      </c>
      <c r="E18" s="12">
        <v>0</v>
      </c>
      <c r="F18" s="8">
        <v>0</v>
      </c>
      <c r="G18" s="12">
        <v>3</v>
      </c>
      <c r="H18" s="8">
        <v>14.29</v>
      </c>
      <c r="I18" s="12">
        <v>0</v>
      </c>
    </row>
    <row r="19" spans="2:9" ht="15" customHeight="1" x14ac:dyDescent="0.2">
      <c r="B19" t="s">
        <v>204</v>
      </c>
      <c r="C19" s="12">
        <v>5</v>
      </c>
      <c r="D19" s="8">
        <v>8.06</v>
      </c>
      <c r="E19" s="12">
        <v>1</v>
      </c>
      <c r="F19" s="8">
        <v>3.23</v>
      </c>
      <c r="G19" s="12">
        <v>1</v>
      </c>
      <c r="H19" s="8">
        <v>4.76</v>
      </c>
      <c r="I19" s="12">
        <v>0</v>
      </c>
    </row>
    <row r="20" spans="2:9" ht="15" customHeight="1" x14ac:dyDescent="0.2">
      <c r="B20" s="9" t="s">
        <v>529</v>
      </c>
      <c r="C20" s="12">
        <f>SUM(LTBL_01425[総数／事業所数])</f>
        <v>62</v>
      </c>
      <c r="E20" s="12">
        <f>SUBTOTAL(109,LTBL_01425[個人／事業所数])</f>
        <v>31</v>
      </c>
      <c r="G20" s="12">
        <f>SUBTOTAL(109,LTBL_01425[法人／事業所数])</f>
        <v>21</v>
      </c>
      <c r="I20" s="12">
        <f>SUBTOTAL(109,LTBL_01425[法人以外の団体／事業所数])</f>
        <v>2</v>
      </c>
    </row>
    <row r="21" spans="2:9" ht="15" customHeight="1" x14ac:dyDescent="0.2">
      <c r="E21" s="11">
        <f>LTBL_01425[[#Totals],[個人／事業所数]]/LTBL_01425[[#Totals],[総数／事業所数]]</f>
        <v>0.5</v>
      </c>
      <c r="G21" s="11">
        <f>LTBL_01425[[#Totals],[法人／事業所数]]/LTBL_01425[[#Totals],[総数／事業所数]]</f>
        <v>0.33870967741935482</v>
      </c>
      <c r="I21" s="11">
        <f>LTBL_01425[[#Totals],[法人以外の団体／事業所数]]/LTBL_01425[[#Totals],[総数／事業所数]]</f>
        <v>3.2258064516129031E-2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12</v>
      </c>
      <c r="D24" s="8">
        <v>19.350000000000001</v>
      </c>
      <c r="E24" s="12">
        <v>10</v>
      </c>
      <c r="F24" s="8">
        <v>32.26</v>
      </c>
      <c r="G24" s="12">
        <v>0</v>
      </c>
      <c r="H24" s="8">
        <v>0</v>
      </c>
      <c r="I24" s="12">
        <v>2</v>
      </c>
    </row>
    <row r="25" spans="2:9" ht="15" customHeight="1" x14ac:dyDescent="0.2">
      <c r="B25" t="s">
        <v>214</v>
      </c>
      <c r="C25" s="12">
        <v>6</v>
      </c>
      <c r="D25" s="8">
        <v>9.68</v>
      </c>
      <c r="E25" s="12">
        <v>5</v>
      </c>
      <c r="F25" s="8">
        <v>16.13</v>
      </c>
      <c r="G25" s="12">
        <v>1</v>
      </c>
      <c r="H25" s="8">
        <v>4.76</v>
      </c>
      <c r="I25" s="12">
        <v>0</v>
      </c>
    </row>
    <row r="26" spans="2:9" ht="15" customHeight="1" x14ac:dyDescent="0.2">
      <c r="B26" t="s">
        <v>223</v>
      </c>
      <c r="C26" s="12">
        <v>6</v>
      </c>
      <c r="D26" s="8">
        <v>9.68</v>
      </c>
      <c r="E26" s="12">
        <v>5</v>
      </c>
      <c r="F26" s="8">
        <v>16.13</v>
      </c>
      <c r="G26" s="12">
        <v>1</v>
      </c>
      <c r="H26" s="8">
        <v>4.76</v>
      </c>
      <c r="I26" s="12">
        <v>0</v>
      </c>
    </row>
    <row r="27" spans="2:9" ht="15" customHeight="1" x14ac:dyDescent="0.2">
      <c r="B27" t="s">
        <v>213</v>
      </c>
      <c r="C27" s="12">
        <v>4</v>
      </c>
      <c r="D27" s="8">
        <v>6.45</v>
      </c>
      <c r="E27" s="12">
        <v>1</v>
      </c>
      <c r="F27" s="8">
        <v>3.23</v>
      </c>
      <c r="G27" s="12">
        <v>3</v>
      </c>
      <c r="H27" s="8">
        <v>14.29</v>
      </c>
      <c r="I27" s="12">
        <v>0</v>
      </c>
    </row>
    <row r="28" spans="2:9" ht="15" customHeight="1" x14ac:dyDescent="0.2">
      <c r="B28" t="s">
        <v>221</v>
      </c>
      <c r="C28" s="12">
        <v>4</v>
      </c>
      <c r="D28" s="8">
        <v>6.45</v>
      </c>
      <c r="E28" s="12">
        <v>1</v>
      </c>
      <c r="F28" s="8">
        <v>3.23</v>
      </c>
      <c r="G28" s="12">
        <v>3</v>
      </c>
      <c r="H28" s="8">
        <v>14.29</v>
      </c>
      <c r="I28" s="12">
        <v>0</v>
      </c>
    </row>
    <row r="29" spans="2:9" ht="15" customHeight="1" x14ac:dyDescent="0.2">
      <c r="B29" t="s">
        <v>232</v>
      </c>
      <c r="C29" s="12">
        <v>4</v>
      </c>
      <c r="D29" s="8">
        <v>6.45</v>
      </c>
      <c r="E29" s="12">
        <v>0</v>
      </c>
      <c r="F29" s="8">
        <v>0</v>
      </c>
      <c r="G29" s="12">
        <v>3</v>
      </c>
      <c r="H29" s="8">
        <v>14.29</v>
      </c>
      <c r="I29" s="12">
        <v>0</v>
      </c>
    </row>
    <row r="30" spans="2:9" ht="15" customHeight="1" x14ac:dyDescent="0.2">
      <c r="B30" t="s">
        <v>249</v>
      </c>
      <c r="C30" s="12">
        <v>3</v>
      </c>
      <c r="D30" s="8">
        <v>4.84</v>
      </c>
      <c r="E30" s="12">
        <v>1</v>
      </c>
      <c r="F30" s="8">
        <v>3.23</v>
      </c>
      <c r="G30" s="12">
        <v>1</v>
      </c>
      <c r="H30" s="8">
        <v>4.76</v>
      </c>
      <c r="I30" s="12">
        <v>0</v>
      </c>
    </row>
    <row r="31" spans="2:9" ht="15" customHeight="1" x14ac:dyDescent="0.2">
      <c r="B31" t="s">
        <v>215</v>
      </c>
      <c r="C31" s="12">
        <v>2</v>
      </c>
      <c r="D31" s="8">
        <v>3.23</v>
      </c>
      <c r="E31" s="12">
        <v>2</v>
      </c>
      <c r="F31" s="8">
        <v>6.45</v>
      </c>
      <c r="G31" s="12">
        <v>0</v>
      </c>
      <c r="H31" s="8">
        <v>0</v>
      </c>
      <c r="I31" s="12">
        <v>0</v>
      </c>
    </row>
    <row r="32" spans="2:9" ht="15" customHeight="1" x14ac:dyDescent="0.2">
      <c r="B32" t="s">
        <v>241</v>
      </c>
      <c r="C32" s="12">
        <v>2</v>
      </c>
      <c r="D32" s="8">
        <v>3.23</v>
      </c>
      <c r="E32" s="12">
        <v>2</v>
      </c>
      <c r="F32" s="8">
        <v>6.45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220</v>
      </c>
      <c r="C33" s="12">
        <v>2</v>
      </c>
      <c r="D33" s="8">
        <v>3.23</v>
      </c>
      <c r="E33" s="12">
        <v>2</v>
      </c>
      <c r="F33" s="8">
        <v>6.45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222</v>
      </c>
      <c r="C34" s="12">
        <v>2</v>
      </c>
      <c r="D34" s="8">
        <v>3.23</v>
      </c>
      <c r="E34" s="12">
        <v>0</v>
      </c>
      <c r="F34" s="8">
        <v>0</v>
      </c>
      <c r="G34" s="12">
        <v>2</v>
      </c>
      <c r="H34" s="8">
        <v>9.52</v>
      </c>
      <c r="I34" s="12">
        <v>0</v>
      </c>
    </row>
    <row r="35" spans="2:9" ht="15" customHeight="1" x14ac:dyDescent="0.2">
      <c r="B35" t="s">
        <v>224</v>
      </c>
      <c r="C35" s="12">
        <v>2</v>
      </c>
      <c r="D35" s="8">
        <v>3.23</v>
      </c>
      <c r="E35" s="12">
        <v>0</v>
      </c>
      <c r="F35" s="8">
        <v>0</v>
      </c>
      <c r="G35" s="12">
        <v>1</v>
      </c>
      <c r="H35" s="8">
        <v>4.76</v>
      </c>
      <c r="I35" s="12">
        <v>0</v>
      </c>
    </row>
    <row r="36" spans="2:9" ht="15" customHeight="1" x14ac:dyDescent="0.2">
      <c r="B36" t="s">
        <v>247</v>
      </c>
      <c r="C36" s="12">
        <v>2</v>
      </c>
      <c r="D36" s="8">
        <v>3.23</v>
      </c>
      <c r="E36" s="12">
        <v>0</v>
      </c>
      <c r="F36" s="8">
        <v>0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250</v>
      </c>
      <c r="C37" s="12">
        <v>2</v>
      </c>
      <c r="D37" s="8">
        <v>3.23</v>
      </c>
      <c r="E37" s="12">
        <v>0</v>
      </c>
      <c r="F37" s="8">
        <v>0</v>
      </c>
      <c r="G37" s="12">
        <v>0</v>
      </c>
      <c r="H37" s="8">
        <v>0</v>
      </c>
      <c r="I37" s="12">
        <v>0</v>
      </c>
    </row>
    <row r="38" spans="2:9" ht="15" customHeight="1" x14ac:dyDescent="0.2">
      <c r="B38" t="s">
        <v>252</v>
      </c>
      <c r="C38" s="12">
        <v>1</v>
      </c>
      <c r="D38" s="8">
        <v>1.61</v>
      </c>
      <c r="E38" s="12">
        <v>0</v>
      </c>
      <c r="F38" s="8">
        <v>0</v>
      </c>
      <c r="G38" s="12">
        <v>1</v>
      </c>
      <c r="H38" s="8">
        <v>4.76</v>
      </c>
      <c r="I38" s="12">
        <v>0</v>
      </c>
    </row>
    <row r="39" spans="2:9" ht="15" customHeight="1" x14ac:dyDescent="0.2">
      <c r="B39" t="s">
        <v>264</v>
      </c>
      <c r="C39" s="12">
        <v>1</v>
      </c>
      <c r="D39" s="8">
        <v>1.61</v>
      </c>
      <c r="E39" s="12">
        <v>0</v>
      </c>
      <c r="F39" s="8">
        <v>0</v>
      </c>
      <c r="G39" s="12">
        <v>1</v>
      </c>
      <c r="H39" s="8">
        <v>4.76</v>
      </c>
      <c r="I39" s="12">
        <v>0</v>
      </c>
    </row>
    <row r="40" spans="2:9" ht="15" customHeight="1" x14ac:dyDescent="0.2">
      <c r="B40" t="s">
        <v>276</v>
      </c>
      <c r="C40" s="12">
        <v>1</v>
      </c>
      <c r="D40" s="8">
        <v>1.61</v>
      </c>
      <c r="E40" s="12">
        <v>0</v>
      </c>
      <c r="F40" s="8">
        <v>0</v>
      </c>
      <c r="G40" s="12">
        <v>1</v>
      </c>
      <c r="H40" s="8">
        <v>4.76</v>
      </c>
      <c r="I40" s="12">
        <v>0</v>
      </c>
    </row>
    <row r="41" spans="2:9" ht="15" customHeight="1" x14ac:dyDescent="0.2">
      <c r="B41" t="s">
        <v>255</v>
      </c>
      <c r="C41" s="12">
        <v>1</v>
      </c>
      <c r="D41" s="8">
        <v>1.61</v>
      </c>
      <c r="E41" s="12">
        <v>0</v>
      </c>
      <c r="F41" s="8">
        <v>0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235</v>
      </c>
      <c r="C42" s="12">
        <v>1</v>
      </c>
      <c r="D42" s="8">
        <v>1.61</v>
      </c>
      <c r="E42" s="12">
        <v>0</v>
      </c>
      <c r="F42" s="8">
        <v>0</v>
      </c>
      <c r="G42" s="12">
        <v>1</v>
      </c>
      <c r="H42" s="8">
        <v>4.76</v>
      </c>
      <c r="I42" s="12">
        <v>0</v>
      </c>
    </row>
    <row r="43" spans="2:9" ht="15" customHeight="1" x14ac:dyDescent="0.2">
      <c r="B43" t="s">
        <v>248</v>
      </c>
      <c r="C43" s="12">
        <v>1</v>
      </c>
      <c r="D43" s="8">
        <v>1.61</v>
      </c>
      <c r="E43" s="12">
        <v>0</v>
      </c>
      <c r="F43" s="8">
        <v>0</v>
      </c>
      <c r="G43" s="12">
        <v>1</v>
      </c>
      <c r="H43" s="8">
        <v>4.76</v>
      </c>
      <c r="I43" s="12">
        <v>0</v>
      </c>
    </row>
    <row r="44" spans="2:9" ht="15" customHeight="1" x14ac:dyDescent="0.2">
      <c r="B44" t="s">
        <v>217</v>
      </c>
      <c r="C44" s="12">
        <v>1</v>
      </c>
      <c r="D44" s="8">
        <v>1.61</v>
      </c>
      <c r="E44" s="12">
        <v>0</v>
      </c>
      <c r="F44" s="8">
        <v>0</v>
      </c>
      <c r="G44" s="12">
        <v>1</v>
      </c>
      <c r="H44" s="8">
        <v>4.76</v>
      </c>
      <c r="I44" s="12">
        <v>0</v>
      </c>
    </row>
    <row r="45" spans="2:9" ht="15" customHeight="1" x14ac:dyDescent="0.2">
      <c r="B45" t="s">
        <v>219</v>
      </c>
      <c r="C45" s="12">
        <v>1</v>
      </c>
      <c r="D45" s="8">
        <v>1.61</v>
      </c>
      <c r="E45" s="12">
        <v>1</v>
      </c>
      <c r="F45" s="8">
        <v>3.23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227</v>
      </c>
      <c r="C46" s="12">
        <v>1</v>
      </c>
      <c r="D46" s="8">
        <v>1.61</v>
      </c>
      <c r="E46" s="12">
        <v>1</v>
      </c>
      <c r="F46" s="8">
        <v>3.23</v>
      </c>
      <c r="G46" s="12">
        <v>0</v>
      </c>
      <c r="H46" s="8">
        <v>0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304</v>
      </c>
      <c r="C50" s="12">
        <v>6</v>
      </c>
      <c r="D50" s="8">
        <v>9.68</v>
      </c>
      <c r="E50" s="12">
        <v>6</v>
      </c>
      <c r="F50" s="8">
        <v>19.350000000000001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303</v>
      </c>
      <c r="C51" s="12">
        <v>4</v>
      </c>
      <c r="D51" s="8">
        <v>6.45</v>
      </c>
      <c r="E51" s="12">
        <v>4</v>
      </c>
      <c r="F51" s="8">
        <v>12.9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289</v>
      </c>
      <c r="C52" s="12">
        <v>2</v>
      </c>
      <c r="D52" s="8">
        <v>3.23</v>
      </c>
      <c r="E52" s="12">
        <v>1</v>
      </c>
      <c r="F52" s="8">
        <v>3.23</v>
      </c>
      <c r="G52" s="12">
        <v>1</v>
      </c>
      <c r="H52" s="8">
        <v>4.76</v>
      </c>
      <c r="I52" s="12">
        <v>0</v>
      </c>
    </row>
    <row r="53" spans="2:9" ht="15" customHeight="1" x14ac:dyDescent="0.2">
      <c r="B53" t="s">
        <v>450</v>
      </c>
      <c r="C53" s="12">
        <v>2</v>
      </c>
      <c r="D53" s="8">
        <v>3.23</v>
      </c>
      <c r="E53" s="12">
        <v>2</v>
      </c>
      <c r="F53" s="8">
        <v>6.45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333</v>
      </c>
      <c r="C54" s="12">
        <v>2</v>
      </c>
      <c r="D54" s="8">
        <v>3.23</v>
      </c>
      <c r="E54" s="12">
        <v>2</v>
      </c>
      <c r="F54" s="8">
        <v>6.45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354</v>
      </c>
      <c r="C55" s="12">
        <v>2</v>
      </c>
      <c r="D55" s="8">
        <v>3.23</v>
      </c>
      <c r="E55" s="12">
        <v>0</v>
      </c>
      <c r="F55" s="8">
        <v>0</v>
      </c>
      <c r="G55" s="12">
        <v>2</v>
      </c>
      <c r="H55" s="8">
        <v>9.52</v>
      </c>
      <c r="I55" s="12">
        <v>0</v>
      </c>
    </row>
    <row r="56" spans="2:9" ht="15" customHeight="1" x14ac:dyDescent="0.2">
      <c r="B56" t="s">
        <v>335</v>
      </c>
      <c r="C56" s="12">
        <v>2</v>
      </c>
      <c r="D56" s="8">
        <v>3.23</v>
      </c>
      <c r="E56" s="12">
        <v>0</v>
      </c>
      <c r="F56" s="8">
        <v>0</v>
      </c>
      <c r="G56" s="12">
        <v>2</v>
      </c>
      <c r="H56" s="8">
        <v>9.52</v>
      </c>
      <c r="I56" s="12">
        <v>0</v>
      </c>
    </row>
    <row r="57" spans="2:9" ht="15" customHeight="1" x14ac:dyDescent="0.2">
      <c r="B57" t="s">
        <v>294</v>
      </c>
      <c r="C57" s="12">
        <v>2</v>
      </c>
      <c r="D57" s="8">
        <v>3.23</v>
      </c>
      <c r="E57" s="12">
        <v>2</v>
      </c>
      <c r="F57" s="8">
        <v>6.45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356</v>
      </c>
      <c r="C58" s="12">
        <v>2</v>
      </c>
      <c r="D58" s="8">
        <v>3.23</v>
      </c>
      <c r="E58" s="12">
        <v>0</v>
      </c>
      <c r="F58" s="8">
        <v>0</v>
      </c>
      <c r="G58" s="12">
        <v>0</v>
      </c>
      <c r="H58" s="8">
        <v>0</v>
      </c>
      <c r="I58" s="12">
        <v>2</v>
      </c>
    </row>
    <row r="59" spans="2:9" ht="15" customHeight="1" x14ac:dyDescent="0.2">
      <c r="B59" t="s">
        <v>368</v>
      </c>
      <c r="C59" s="12">
        <v>2</v>
      </c>
      <c r="D59" s="8">
        <v>3.23</v>
      </c>
      <c r="E59" s="12">
        <v>0</v>
      </c>
      <c r="F59" s="8">
        <v>0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331</v>
      </c>
      <c r="C60" s="12">
        <v>2</v>
      </c>
      <c r="D60" s="8">
        <v>3.23</v>
      </c>
      <c r="E60" s="12">
        <v>0</v>
      </c>
      <c r="F60" s="8">
        <v>0</v>
      </c>
      <c r="G60" s="12">
        <v>2</v>
      </c>
      <c r="H60" s="8">
        <v>9.52</v>
      </c>
      <c r="I60" s="12">
        <v>0</v>
      </c>
    </row>
    <row r="61" spans="2:9" ht="15" customHeight="1" x14ac:dyDescent="0.2">
      <c r="B61" t="s">
        <v>370</v>
      </c>
      <c r="C61" s="12">
        <v>2</v>
      </c>
      <c r="D61" s="8">
        <v>3.23</v>
      </c>
      <c r="E61" s="12">
        <v>1</v>
      </c>
      <c r="F61" s="8">
        <v>3.23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442</v>
      </c>
      <c r="C62" s="12">
        <v>1</v>
      </c>
      <c r="D62" s="8">
        <v>1.61</v>
      </c>
      <c r="E62" s="12">
        <v>0</v>
      </c>
      <c r="F62" s="8">
        <v>0</v>
      </c>
      <c r="G62" s="12">
        <v>1</v>
      </c>
      <c r="H62" s="8">
        <v>4.76</v>
      </c>
      <c r="I62" s="12">
        <v>0</v>
      </c>
    </row>
    <row r="63" spans="2:9" ht="15" customHeight="1" x14ac:dyDescent="0.2">
      <c r="B63" t="s">
        <v>288</v>
      </c>
      <c r="C63" s="12">
        <v>1</v>
      </c>
      <c r="D63" s="8">
        <v>1.61</v>
      </c>
      <c r="E63" s="12">
        <v>0</v>
      </c>
      <c r="F63" s="8">
        <v>0</v>
      </c>
      <c r="G63" s="12">
        <v>1</v>
      </c>
      <c r="H63" s="8">
        <v>4.76</v>
      </c>
      <c r="I63" s="12">
        <v>0</v>
      </c>
    </row>
    <row r="64" spans="2:9" ht="15" customHeight="1" x14ac:dyDescent="0.2">
      <c r="B64" t="s">
        <v>375</v>
      </c>
      <c r="C64" s="12">
        <v>1</v>
      </c>
      <c r="D64" s="8">
        <v>1.61</v>
      </c>
      <c r="E64" s="12">
        <v>0</v>
      </c>
      <c r="F64" s="8">
        <v>0</v>
      </c>
      <c r="G64" s="12">
        <v>1</v>
      </c>
      <c r="H64" s="8">
        <v>4.76</v>
      </c>
      <c r="I64" s="12">
        <v>0</v>
      </c>
    </row>
    <row r="65" spans="2:9" ht="15" customHeight="1" x14ac:dyDescent="0.2">
      <c r="B65" t="s">
        <v>343</v>
      </c>
      <c r="C65" s="12">
        <v>1</v>
      </c>
      <c r="D65" s="8">
        <v>1.61</v>
      </c>
      <c r="E65" s="12">
        <v>1</v>
      </c>
      <c r="F65" s="8">
        <v>3.23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291</v>
      </c>
      <c r="C66" s="12">
        <v>1</v>
      </c>
      <c r="D66" s="8">
        <v>1.61</v>
      </c>
      <c r="E66" s="12">
        <v>1</v>
      </c>
      <c r="F66" s="8">
        <v>3.23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453</v>
      </c>
      <c r="C67" s="12">
        <v>1</v>
      </c>
      <c r="D67" s="8">
        <v>1.61</v>
      </c>
      <c r="E67" s="12">
        <v>1</v>
      </c>
      <c r="F67" s="8">
        <v>3.23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413</v>
      </c>
      <c r="C68" s="12">
        <v>1</v>
      </c>
      <c r="D68" s="8">
        <v>1.61</v>
      </c>
      <c r="E68" s="12">
        <v>1</v>
      </c>
      <c r="F68" s="8">
        <v>3.23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351</v>
      </c>
      <c r="C69" s="12">
        <v>1</v>
      </c>
      <c r="D69" s="8">
        <v>1.61</v>
      </c>
      <c r="E69" s="12">
        <v>1</v>
      </c>
      <c r="F69" s="8">
        <v>3.23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399</v>
      </c>
      <c r="C70" s="12">
        <v>1</v>
      </c>
      <c r="D70" s="8">
        <v>1.61</v>
      </c>
      <c r="E70" s="12">
        <v>0</v>
      </c>
      <c r="F70" s="8">
        <v>0</v>
      </c>
      <c r="G70" s="12">
        <v>1</v>
      </c>
      <c r="H70" s="8">
        <v>4.76</v>
      </c>
      <c r="I70" s="12">
        <v>0</v>
      </c>
    </row>
    <row r="71" spans="2:9" ht="15" customHeight="1" x14ac:dyDescent="0.2">
      <c r="B71" t="s">
        <v>454</v>
      </c>
      <c r="C71" s="12">
        <v>1</v>
      </c>
      <c r="D71" s="8">
        <v>1.61</v>
      </c>
      <c r="E71" s="12">
        <v>0</v>
      </c>
      <c r="F71" s="8">
        <v>0</v>
      </c>
      <c r="G71" s="12">
        <v>1</v>
      </c>
      <c r="H71" s="8">
        <v>4.76</v>
      </c>
      <c r="I71" s="12">
        <v>0</v>
      </c>
    </row>
    <row r="72" spans="2:9" ht="15" customHeight="1" x14ac:dyDescent="0.2">
      <c r="B72" t="s">
        <v>455</v>
      </c>
      <c r="C72" s="12">
        <v>1</v>
      </c>
      <c r="D72" s="8">
        <v>1.61</v>
      </c>
      <c r="E72" s="12">
        <v>0</v>
      </c>
      <c r="F72" s="8">
        <v>0</v>
      </c>
      <c r="G72" s="12">
        <v>1</v>
      </c>
      <c r="H72" s="8">
        <v>4.76</v>
      </c>
      <c r="I72" s="12">
        <v>0</v>
      </c>
    </row>
    <row r="73" spans="2:9" ht="15" customHeight="1" x14ac:dyDescent="0.2">
      <c r="B73" t="s">
        <v>361</v>
      </c>
      <c r="C73" s="12">
        <v>1</v>
      </c>
      <c r="D73" s="8">
        <v>1.61</v>
      </c>
      <c r="E73" s="12">
        <v>0</v>
      </c>
      <c r="F73" s="8">
        <v>0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313</v>
      </c>
      <c r="C74" s="12">
        <v>1</v>
      </c>
      <c r="D74" s="8">
        <v>1.61</v>
      </c>
      <c r="E74" s="12">
        <v>0</v>
      </c>
      <c r="F74" s="8">
        <v>0</v>
      </c>
      <c r="G74" s="12">
        <v>1</v>
      </c>
      <c r="H74" s="8">
        <v>4.76</v>
      </c>
      <c r="I74" s="12">
        <v>0</v>
      </c>
    </row>
    <row r="75" spans="2:9" ht="15" customHeight="1" x14ac:dyDescent="0.2">
      <c r="B75" t="s">
        <v>350</v>
      </c>
      <c r="C75" s="12">
        <v>1</v>
      </c>
      <c r="D75" s="8">
        <v>1.61</v>
      </c>
      <c r="E75" s="12">
        <v>0</v>
      </c>
      <c r="F75" s="8">
        <v>0</v>
      </c>
      <c r="G75" s="12">
        <v>1</v>
      </c>
      <c r="H75" s="8">
        <v>4.76</v>
      </c>
      <c r="I75" s="12">
        <v>0</v>
      </c>
    </row>
    <row r="76" spans="2:9" ht="15" customHeight="1" x14ac:dyDescent="0.2">
      <c r="B76" t="s">
        <v>346</v>
      </c>
      <c r="C76" s="12">
        <v>1</v>
      </c>
      <c r="D76" s="8">
        <v>1.61</v>
      </c>
      <c r="E76" s="12">
        <v>0</v>
      </c>
      <c r="F76" s="8">
        <v>0</v>
      </c>
      <c r="G76" s="12">
        <v>1</v>
      </c>
      <c r="H76" s="8">
        <v>4.76</v>
      </c>
      <c r="I76" s="12">
        <v>0</v>
      </c>
    </row>
    <row r="77" spans="2:9" ht="15" customHeight="1" x14ac:dyDescent="0.2">
      <c r="B77" t="s">
        <v>309</v>
      </c>
      <c r="C77" s="12">
        <v>1</v>
      </c>
      <c r="D77" s="8">
        <v>1.61</v>
      </c>
      <c r="E77" s="12">
        <v>1</v>
      </c>
      <c r="F77" s="8">
        <v>3.23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314</v>
      </c>
      <c r="C78" s="12">
        <v>1</v>
      </c>
      <c r="D78" s="8">
        <v>1.61</v>
      </c>
      <c r="E78" s="12">
        <v>1</v>
      </c>
      <c r="F78" s="8">
        <v>3.23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365</v>
      </c>
      <c r="C79" s="12">
        <v>1</v>
      </c>
      <c r="D79" s="8">
        <v>1.61</v>
      </c>
      <c r="E79" s="12">
        <v>1</v>
      </c>
      <c r="F79" s="8">
        <v>3.23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380</v>
      </c>
      <c r="C80" s="12">
        <v>1</v>
      </c>
      <c r="D80" s="8">
        <v>1.61</v>
      </c>
      <c r="E80" s="12">
        <v>1</v>
      </c>
      <c r="F80" s="8">
        <v>3.23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332</v>
      </c>
      <c r="C81" s="12">
        <v>1</v>
      </c>
      <c r="D81" s="8">
        <v>1.61</v>
      </c>
      <c r="E81" s="12">
        <v>0</v>
      </c>
      <c r="F81" s="8">
        <v>0</v>
      </c>
      <c r="G81" s="12">
        <v>1</v>
      </c>
      <c r="H81" s="8">
        <v>4.76</v>
      </c>
      <c r="I81" s="12">
        <v>0</v>
      </c>
    </row>
    <row r="82" spans="2:9" ht="15" customHeight="1" x14ac:dyDescent="0.2">
      <c r="B82" t="s">
        <v>402</v>
      </c>
      <c r="C82" s="12">
        <v>1</v>
      </c>
      <c r="D82" s="8">
        <v>1.61</v>
      </c>
      <c r="E82" s="12">
        <v>1</v>
      </c>
      <c r="F82" s="8">
        <v>3.23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372</v>
      </c>
      <c r="C83" s="12">
        <v>1</v>
      </c>
      <c r="D83" s="8">
        <v>1.61</v>
      </c>
      <c r="E83" s="12">
        <v>1</v>
      </c>
      <c r="F83" s="8">
        <v>3.23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338</v>
      </c>
      <c r="C84" s="12">
        <v>1</v>
      </c>
      <c r="D84" s="8">
        <v>1.61</v>
      </c>
      <c r="E84" s="12">
        <v>0</v>
      </c>
      <c r="F84" s="8">
        <v>0</v>
      </c>
      <c r="G84" s="12">
        <v>1</v>
      </c>
      <c r="H84" s="8">
        <v>4.76</v>
      </c>
      <c r="I84" s="12">
        <v>0</v>
      </c>
    </row>
    <row r="85" spans="2:9" ht="15" customHeight="1" x14ac:dyDescent="0.2">
      <c r="B85" t="s">
        <v>295</v>
      </c>
      <c r="C85" s="12">
        <v>1</v>
      </c>
      <c r="D85" s="8">
        <v>1.61</v>
      </c>
      <c r="E85" s="12">
        <v>1</v>
      </c>
      <c r="F85" s="8">
        <v>3.23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297</v>
      </c>
      <c r="C86" s="12">
        <v>1</v>
      </c>
      <c r="D86" s="8">
        <v>1.61</v>
      </c>
      <c r="E86" s="12">
        <v>0</v>
      </c>
      <c r="F86" s="8">
        <v>0</v>
      </c>
      <c r="G86" s="12">
        <v>1</v>
      </c>
      <c r="H86" s="8">
        <v>4.76</v>
      </c>
      <c r="I86" s="12">
        <v>0</v>
      </c>
    </row>
    <row r="87" spans="2:9" ht="15" customHeight="1" x14ac:dyDescent="0.2">
      <c r="B87" t="s">
        <v>311</v>
      </c>
      <c r="C87" s="12">
        <v>1</v>
      </c>
      <c r="D87" s="8">
        <v>1.61</v>
      </c>
      <c r="E87" s="12">
        <v>0</v>
      </c>
      <c r="F87" s="8">
        <v>0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299</v>
      </c>
      <c r="C88" s="12">
        <v>1</v>
      </c>
      <c r="D88" s="8">
        <v>1.61</v>
      </c>
      <c r="E88" s="12">
        <v>1</v>
      </c>
      <c r="F88" s="8">
        <v>3.23</v>
      </c>
      <c r="G88" s="12">
        <v>0</v>
      </c>
      <c r="H88" s="8">
        <v>0</v>
      </c>
      <c r="I88" s="12">
        <v>0</v>
      </c>
    </row>
    <row r="89" spans="2:9" ht="15" customHeight="1" x14ac:dyDescent="0.2">
      <c r="B89" t="s">
        <v>341</v>
      </c>
      <c r="C89" s="12">
        <v>1</v>
      </c>
      <c r="D89" s="8">
        <v>1.61</v>
      </c>
      <c r="E89" s="12">
        <v>0</v>
      </c>
      <c r="F89" s="8">
        <v>0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347</v>
      </c>
      <c r="C90" s="12">
        <v>1</v>
      </c>
      <c r="D90" s="8">
        <v>1.61</v>
      </c>
      <c r="E90" s="12">
        <v>0</v>
      </c>
      <c r="F90" s="8">
        <v>0</v>
      </c>
      <c r="G90" s="12">
        <v>1</v>
      </c>
      <c r="H90" s="8">
        <v>4.76</v>
      </c>
      <c r="I90" s="12">
        <v>0</v>
      </c>
    </row>
    <row r="91" spans="2:9" ht="15" customHeight="1" x14ac:dyDescent="0.2">
      <c r="B91" t="s">
        <v>397</v>
      </c>
      <c r="C91" s="12">
        <v>1</v>
      </c>
      <c r="D91" s="8">
        <v>1.61</v>
      </c>
      <c r="E91" s="12">
        <v>0</v>
      </c>
      <c r="F91" s="8">
        <v>0</v>
      </c>
      <c r="G91" s="12">
        <v>1</v>
      </c>
      <c r="H91" s="8">
        <v>4.76</v>
      </c>
      <c r="I91" s="12">
        <v>0</v>
      </c>
    </row>
    <row r="92" spans="2:9" ht="15" customHeight="1" x14ac:dyDescent="0.2">
      <c r="B92" t="s">
        <v>345</v>
      </c>
      <c r="C92" s="12">
        <v>1</v>
      </c>
      <c r="D92" s="8">
        <v>1.61</v>
      </c>
      <c r="E92" s="12">
        <v>0</v>
      </c>
      <c r="F92" s="8">
        <v>0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456</v>
      </c>
      <c r="C93" s="12">
        <v>1</v>
      </c>
      <c r="D93" s="8">
        <v>1.61</v>
      </c>
      <c r="E93" s="12">
        <v>0</v>
      </c>
      <c r="F93" s="8">
        <v>0</v>
      </c>
      <c r="G93" s="12">
        <v>0</v>
      </c>
      <c r="H93" s="8">
        <v>0</v>
      </c>
      <c r="I93" s="12">
        <v>0</v>
      </c>
    </row>
    <row r="95" spans="2:9" ht="15" customHeight="1" x14ac:dyDescent="0.2">
      <c r="B95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BC32D-F6FE-4DF9-B1F8-AE5D55C8C22C}">
  <sheetPr>
    <pageSetUpPr fitToPage="1"/>
  </sheetPr>
  <dimension ref="B2:I8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618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15</v>
      </c>
      <c r="D6" s="8">
        <v>10.71</v>
      </c>
      <c r="E6" s="12">
        <v>6</v>
      </c>
      <c r="F6" s="8">
        <v>10</v>
      </c>
      <c r="G6" s="12">
        <v>9</v>
      </c>
      <c r="H6" s="8">
        <v>12.33</v>
      </c>
      <c r="I6" s="12">
        <v>0</v>
      </c>
    </row>
    <row r="7" spans="2:9" ht="15" customHeight="1" x14ac:dyDescent="0.2">
      <c r="B7" t="s">
        <v>192</v>
      </c>
      <c r="C7" s="12">
        <v>21</v>
      </c>
      <c r="D7" s="8">
        <v>15</v>
      </c>
      <c r="E7" s="12">
        <v>3</v>
      </c>
      <c r="F7" s="8">
        <v>5</v>
      </c>
      <c r="G7" s="12">
        <v>18</v>
      </c>
      <c r="H7" s="8">
        <v>24.66</v>
      </c>
      <c r="I7" s="12">
        <v>0</v>
      </c>
    </row>
    <row r="8" spans="2:9" ht="15" customHeight="1" x14ac:dyDescent="0.2">
      <c r="B8" t="s">
        <v>193</v>
      </c>
      <c r="C8" s="12">
        <v>2</v>
      </c>
      <c r="D8" s="8">
        <v>1.43</v>
      </c>
      <c r="E8" s="12">
        <v>0</v>
      </c>
      <c r="F8" s="8">
        <v>0</v>
      </c>
      <c r="G8" s="12">
        <v>2</v>
      </c>
      <c r="H8" s="8">
        <v>2.74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3</v>
      </c>
      <c r="D10" s="8">
        <v>2.14</v>
      </c>
      <c r="E10" s="12">
        <v>0</v>
      </c>
      <c r="F10" s="8">
        <v>0</v>
      </c>
      <c r="G10" s="12">
        <v>3</v>
      </c>
      <c r="H10" s="8">
        <v>4.1100000000000003</v>
      </c>
      <c r="I10" s="12">
        <v>0</v>
      </c>
    </row>
    <row r="11" spans="2:9" ht="15" customHeight="1" x14ac:dyDescent="0.2">
      <c r="B11" t="s">
        <v>196</v>
      </c>
      <c r="C11" s="12">
        <v>35</v>
      </c>
      <c r="D11" s="8">
        <v>25</v>
      </c>
      <c r="E11" s="12">
        <v>17</v>
      </c>
      <c r="F11" s="8">
        <v>28.33</v>
      </c>
      <c r="G11" s="12">
        <v>18</v>
      </c>
      <c r="H11" s="8">
        <v>24.66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4</v>
      </c>
      <c r="D13" s="8">
        <v>2.86</v>
      </c>
      <c r="E13" s="12">
        <v>1</v>
      </c>
      <c r="F13" s="8">
        <v>1.67</v>
      </c>
      <c r="G13" s="12">
        <v>3</v>
      </c>
      <c r="H13" s="8">
        <v>4.1100000000000003</v>
      </c>
      <c r="I13" s="12">
        <v>0</v>
      </c>
    </row>
    <row r="14" spans="2:9" ht="15" customHeight="1" x14ac:dyDescent="0.2">
      <c r="B14" t="s">
        <v>199</v>
      </c>
      <c r="C14" s="12">
        <v>3</v>
      </c>
      <c r="D14" s="8">
        <v>2.14</v>
      </c>
      <c r="E14" s="12">
        <v>0</v>
      </c>
      <c r="F14" s="8">
        <v>0</v>
      </c>
      <c r="G14" s="12">
        <v>3</v>
      </c>
      <c r="H14" s="8">
        <v>4.1100000000000003</v>
      </c>
      <c r="I14" s="12">
        <v>0</v>
      </c>
    </row>
    <row r="15" spans="2:9" ht="15" customHeight="1" x14ac:dyDescent="0.2">
      <c r="B15" t="s">
        <v>200</v>
      </c>
      <c r="C15" s="12">
        <v>18</v>
      </c>
      <c r="D15" s="8">
        <v>12.86</v>
      </c>
      <c r="E15" s="12">
        <v>12</v>
      </c>
      <c r="F15" s="8">
        <v>20</v>
      </c>
      <c r="G15" s="12">
        <v>5</v>
      </c>
      <c r="H15" s="8">
        <v>6.85</v>
      </c>
      <c r="I15" s="12">
        <v>0</v>
      </c>
    </row>
    <row r="16" spans="2:9" ht="15" customHeight="1" x14ac:dyDescent="0.2">
      <c r="B16" t="s">
        <v>201</v>
      </c>
      <c r="C16" s="12">
        <v>14</v>
      </c>
      <c r="D16" s="8">
        <v>10</v>
      </c>
      <c r="E16" s="12">
        <v>10</v>
      </c>
      <c r="F16" s="8">
        <v>16.670000000000002</v>
      </c>
      <c r="G16" s="12">
        <v>3</v>
      </c>
      <c r="H16" s="8">
        <v>4.1100000000000003</v>
      </c>
      <c r="I16" s="12">
        <v>0</v>
      </c>
    </row>
    <row r="17" spans="2:9" ht="15" customHeight="1" x14ac:dyDescent="0.2">
      <c r="B17" t="s">
        <v>202</v>
      </c>
      <c r="C17" s="12">
        <v>5</v>
      </c>
      <c r="D17" s="8">
        <v>3.57</v>
      </c>
      <c r="E17" s="12">
        <v>4</v>
      </c>
      <c r="F17" s="8">
        <v>6.67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8</v>
      </c>
      <c r="D18" s="8">
        <v>5.71</v>
      </c>
      <c r="E18" s="12">
        <v>3</v>
      </c>
      <c r="F18" s="8">
        <v>5</v>
      </c>
      <c r="G18" s="12">
        <v>2</v>
      </c>
      <c r="H18" s="8">
        <v>2.74</v>
      </c>
      <c r="I18" s="12">
        <v>2</v>
      </c>
    </row>
    <row r="19" spans="2:9" ht="15" customHeight="1" x14ac:dyDescent="0.2">
      <c r="B19" t="s">
        <v>204</v>
      </c>
      <c r="C19" s="12">
        <v>12</v>
      </c>
      <c r="D19" s="8">
        <v>8.57</v>
      </c>
      <c r="E19" s="12">
        <v>4</v>
      </c>
      <c r="F19" s="8">
        <v>6.67</v>
      </c>
      <c r="G19" s="12">
        <v>7</v>
      </c>
      <c r="H19" s="8">
        <v>9.59</v>
      </c>
      <c r="I19" s="12">
        <v>1</v>
      </c>
    </row>
    <row r="20" spans="2:9" ht="15" customHeight="1" x14ac:dyDescent="0.2">
      <c r="B20" s="9" t="s">
        <v>529</v>
      </c>
      <c r="C20" s="12">
        <f>SUM(LTBL_01427[総数／事業所数])</f>
        <v>140</v>
      </c>
      <c r="E20" s="12">
        <f>SUBTOTAL(109,LTBL_01427[個人／事業所数])</f>
        <v>60</v>
      </c>
      <c r="G20" s="12">
        <f>SUBTOTAL(109,LTBL_01427[法人／事業所数])</f>
        <v>73</v>
      </c>
      <c r="I20" s="12">
        <f>SUBTOTAL(109,LTBL_01427[法人以外の団体／事業所数])</f>
        <v>3</v>
      </c>
    </row>
    <row r="21" spans="2:9" ht="15" customHeight="1" x14ac:dyDescent="0.2">
      <c r="E21" s="11">
        <f>LTBL_01427[[#Totals],[個人／事業所数]]/LTBL_01427[[#Totals],[総数／事業所数]]</f>
        <v>0.42857142857142855</v>
      </c>
      <c r="G21" s="11">
        <f>LTBL_01427[[#Totals],[法人／事業所数]]/LTBL_01427[[#Totals],[総数／事業所数]]</f>
        <v>0.52142857142857146</v>
      </c>
      <c r="I21" s="11">
        <f>LTBL_01427[[#Totals],[法人以外の団体／事業所数]]/LTBL_01427[[#Totals],[総数／事業所数]]</f>
        <v>2.1428571428571429E-2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12</v>
      </c>
      <c r="D24" s="8">
        <v>8.57</v>
      </c>
      <c r="E24" s="12">
        <v>10</v>
      </c>
      <c r="F24" s="8">
        <v>16.670000000000002</v>
      </c>
      <c r="G24" s="12">
        <v>2</v>
      </c>
      <c r="H24" s="8">
        <v>2.74</v>
      </c>
      <c r="I24" s="12">
        <v>0</v>
      </c>
    </row>
    <row r="25" spans="2:9" ht="15" customHeight="1" x14ac:dyDescent="0.2">
      <c r="B25" t="s">
        <v>227</v>
      </c>
      <c r="C25" s="12">
        <v>11</v>
      </c>
      <c r="D25" s="8">
        <v>7.86</v>
      </c>
      <c r="E25" s="12">
        <v>10</v>
      </c>
      <c r="F25" s="8">
        <v>16.670000000000002</v>
      </c>
      <c r="G25" s="12">
        <v>1</v>
      </c>
      <c r="H25" s="8">
        <v>1.37</v>
      </c>
      <c r="I25" s="12">
        <v>0</v>
      </c>
    </row>
    <row r="26" spans="2:9" ht="15" customHeight="1" x14ac:dyDescent="0.2">
      <c r="B26" t="s">
        <v>221</v>
      </c>
      <c r="C26" s="12">
        <v>10</v>
      </c>
      <c r="D26" s="8">
        <v>7.14</v>
      </c>
      <c r="E26" s="12">
        <v>4</v>
      </c>
      <c r="F26" s="8">
        <v>6.67</v>
      </c>
      <c r="G26" s="12">
        <v>6</v>
      </c>
      <c r="H26" s="8">
        <v>8.2200000000000006</v>
      </c>
      <c r="I26" s="12">
        <v>0</v>
      </c>
    </row>
    <row r="27" spans="2:9" ht="15" customHeight="1" x14ac:dyDescent="0.2">
      <c r="B27" t="s">
        <v>223</v>
      </c>
      <c r="C27" s="12">
        <v>9</v>
      </c>
      <c r="D27" s="8">
        <v>6.43</v>
      </c>
      <c r="E27" s="12">
        <v>4</v>
      </c>
      <c r="F27" s="8">
        <v>6.67</v>
      </c>
      <c r="G27" s="12">
        <v>5</v>
      </c>
      <c r="H27" s="8">
        <v>6.85</v>
      </c>
      <c r="I27" s="12">
        <v>0</v>
      </c>
    </row>
    <row r="28" spans="2:9" ht="15" customHeight="1" x14ac:dyDescent="0.2">
      <c r="B28" t="s">
        <v>215</v>
      </c>
      <c r="C28" s="12">
        <v>6</v>
      </c>
      <c r="D28" s="8">
        <v>4.29</v>
      </c>
      <c r="E28" s="12">
        <v>1</v>
      </c>
      <c r="F28" s="8">
        <v>1.67</v>
      </c>
      <c r="G28" s="12">
        <v>5</v>
      </c>
      <c r="H28" s="8">
        <v>6.85</v>
      </c>
      <c r="I28" s="12">
        <v>0</v>
      </c>
    </row>
    <row r="29" spans="2:9" ht="15" customHeight="1" x14ac:dyDescent="0.2">
      <c r="B29" t="s">
        <v>222</v>
      </c>
      <c r="C29" s="12">
        <v>6</v>
      </c>
      <c r="D29" s="8">
        <v>4.29</v>
      </c>
      <c r="E29" s="12">
        <v>4</v>
      </c>
      <c r="F29" s="8">
        <v>6.67</v>
      </c>
      <c r="G29" s="12">
        <v>2</v>
      </c>
      <c r="H29" s="8">
        <v>2.74</v>
      </c>
      <c r="I29" s="12">
        <v>0</v>
      </c>
    </row>
    <row r="30" spans="2:9" ht="15" customHeight="1" x14ac:dyDescent="0.2">
      <c r="B30" t="s">
        <v>214</v>
      </c>
      <c r="C30" s="12">
        <v>5</v>
      </c>
      <c r="D30" s="8">
        <v>3.57</v>
      </c>
      <c r="E30" s="12">
        <v>4</v>
      </c>
      <c r="F30" s="8">
        <v>6.67</v>
      </c>
      <c r="G30" s="12">
        <v>1</v>
      </c>
      <c r="H30" s="8">
        <v>1.37</v>
      </c>
      <c r="I30" s="12">
        <v>0</v>
      </c>
    </row>
    <row r="31" spans="2:9" ht="15" customHeight="1" x14ac:dyDescent="0.2">
      <c r="B31" t="s">
        <v>254</v>
      </c>
      <c r="C31" s="12">
        <v>5</v>
      </c>
      <c r="D31" s="8">
        <v>3.57</v>
      </c>
      <c r="E31" s="12">
        <v>1</v>
      </c>
      <c r="F31" s="8">
        <v>1.67</v>
      </c>
      <c r="G31" s="12">
        <v>4</v>
      </c>
      <c r="H31" s="8">
        <v>5.48</v>
      </c>
      <c r="I31" s="12">
        <v>0</v>
      </c>
    </row>
    <row r="32" spans="2:9" ht="15" customHeight="1" x14ac:dyDescent="0.2">
      <c r="B32" t="s">
        <v>230</v>
      </c>
      <c r="C32" s="12">
        <v>5</v>
      </c>
      <c r="D32" s="8">
        <v>3.57</v>
      </c>
      <c r="E32" s="12">
        <v>4</v>
      </c>
      <c r="F32" s="8">
        <v>6.67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232</v>
      </c>
      <c r="C33" s="12">
        <v>5</v>
      </c>
      <c r="D33" s="8">
        <v>3.57</v>
      </c>
      <c r="E33" s="12">
        <v>0</v>
      </c>
      <c r="F33" s="8">
        <v>0</v>
      </c>
      <c r="G33" s="12">
        <v>2</v>
      </c>
      <c r="H33" s="8">
        <v>2.74</v>
      </c>
      <c r="I33" s="12">
        <v>2</v>
      </c>
    </row>
    <row r="34" spans="2:9" ht="15" customHeight="1" x14ac:dyDescent="0.2">
      <c r="B34" t="s">
        <v>242</v>
      </c>
      <c r="C34" s="12">
        <v>5</v>
      </c>
      <c r="D34" s="8">
        <v>3.57</v>
      </c>
      <c r="E34" s="12">
        <v>3</v>
      </c>
      <c r="F34" s="8">
        <v>5</v>
      </c>
      <c r="G34" s="12">
        <v>2</v>
      </c>
      <c r="H34" s="8">
        <v>2.74</v>
      </c>
      <c r="I34" s="12">
        <v>0</v>
      </c>
    </row>
    <row r="35" spans="2:9" ht="15" customHeight="1" x14ac:dyDescent="0.2">
      <c r="B35" t="s">
        <v>213</v>
      </c>
      <c r="C35" s="12">
        <v>4</v>
      </c>
      <c r="D35" s="8">
        <v>2.86</v>
      </c>
      <c r="E35" s="12">
        <v>1</v>
      </c>
      <c r="F35" s="8">
        <v>1.67</v>
      </c>
      <c r="G35" s="12">
        <v>3</v>
      </c>
      <c r="H35" s="8">
        <v>4.1100000000000003</v>
      </c>
      <c r="I35" s="12">
        <v>0</v>
      </c>
    </row>
    <row r="36" spans="2:9" ht="15" customHeight="1" x14ac:dyDescent="0.2">
      <c r="B36" t="s">
        <v>224</v>
      </c>
      <c r="C36" s="12">
        <v>4</v>
      </c>
      <c r="D36" s="8">
        <v>2.86</v>
      </c>
      <c r="E36" s="12">
        <v>1</v>
      </c>
      <c r="F36" s="8">
        <v>1.67</v>
      </c>
      <c r="G36" s="12">
        <v>3</v>
      </c>
      <c r="H36" s="8">
        <v>4.1100000000000003</v>
      </c>
      <c r="I36" s="12">
        <v>0</v>
      </c>
    </row>
    <row r="37" spans="2:9" ht="15" customHeight="1" x14ac:dyDescent="0.2">
      <c r="B37" t="s">
        <v>239</v>
      </c>
      <c r="C37" s="12">
        <v>4</v>
      </c>
      <c r="D37" s="8">
        <v>2.86</v>
      </c>
      <c r="E37" s="12">
        <v>0</v>
      </c>
      <c r="F37" s="8">
        <v>0</v>
      </c>
      <c r="G37" s="12">
        <v>3</v>
      </c>
      <c r="H37" s="8">
        <v>4.1100000000000003</v>
      </c>
      <c r="I37" s="12">
        <v>0</v>
      </c>
    </row>
    <row r="38" spans="2:9" ht="15" customHeight="1" x14ac:dyDescent="0.2">
      <c r="B38" t="s">
        <v>241</v>
      </c>
      <c r="C38" s="12">
        <v>3</v>
      </c>
      <c r="D38" s="8">
        <v>2.14</v>
      </c>
      <c r="E38" s="12">
        <v>0</v>
      </c>
      <c r="F38" s="8">
        <v>0</v>
      </c>
      <c r="G38" s="12">
        <v>3</v>
      </c>
      <c r="H38" s="8">
        <v>4.1100000000000003</v>
      </c>
      <c r="I38" s="12">
        <v>0</v>
      </c>
    </row>
    <row r="39" spans="2:9" ht="15" customHeight="1" x14ac:dyDescent="0.2">
      <c r="B39" t="s">
        <v>252</v>
      </c>
      <c r="C39" s="12">
        <v>3</v>
      </c>
      <c r="D39" s="8">
        <v>2.14</v>
      </c>
      <c r="E39" s="12">
        <v>0</v>
      </c>
      <c r="F39" s="8">
        <v>0</v>
      </c>
      <c r="G39" s="12">
        <v>3</v>
      </c>
      <c r="H39" s="8">
        <v>4.1100000000000003</v>
      </c>
      <c r="I39" s="12">
        <v>0</v>
      </c>
    </row>
    <row r="40" spans="2:9" ht="15" customHeight="1" x14ac:dyDescent="0.2">
      <c r="B40" t="s">
        <v>218</v>
      </c>
      <c r="C40" s="12">
        <v>3</v>
      </c>
      <c r="D40" s="8">
        <v>2.14</v>
      </c>
      <c r="E40" s="12">
        <v>0</v>
      </c>
      <c r="F40" s="8">
        <v>0</v>
      </c>
      <c r="G40" s="12">
        <v>3</v>
      </c>
      <c r="H40" s="8">
        <v>4.1100000000000003</v>
      </c>
      <c r="I40" s="12">
        <v>0</v>
      </c>
    </row>
    <row r="41" spans="2:9" ht="15" customHeight="1" x14ac:dyDescent="0.2">
      <c r="B41" t="s">
        <v>226</v>
      </c>
      <c r="C41" s="12">
        <v>3</v>
      </c>
      <c r="D41" s="8">
        <v>2.14</v>
      </c>
      <c r="E41" s="12">
        <v>0</v>
      </c>
      <c r="F41" s="8">
        <v>0</v>
      </c>
      <c r="G41" s="12">
        <v>3</v>
      </c>
      <c r="H41" s="8">
        <v>4.1100000000000003</v>
      </c>
      <c r="I41" s="12">
        <v>0</v>
      </c>
    </row>
    <row r="42" spans="2:9" ht="15" customHeight="1" x14ac:dyDescent="0.2">
      <c r="B42" t="s">
        <v>243</v>
      </c>
      <c r="C42" s="12">
        <v>3</v>
      </c>
      <c r="D42" s="8">
        <v>2.14</v>
      </c>
      <c r="E42" s="12">
        <v>2</v>
      </c>
      <c r="F42" s="8">
        <v>3.33</v>
      </c>
      <c r="G42" s="12">
        <v>1</v>
      </c>
      <c r="H42" s="8">
        <v>1.37</v>
      </c>
      <c r="I42" s="12">
        <v>0</v>
      </c>
    </row>
    <row r="43" spans="2:9" ht="15" customHeight="1" x14ac:dyDescent="0.2">
      <c r="B43" t="s">
        <v>231</v>
      </c>
      <c r="C43" s="12">
        <v>3</v>
      </c>
      <c r="D43" s="8">
        <v>2.14</v>
      </c>
      <c r="E43" s="12">
        <v>3</v>
      </c>
      <c r="F43" s="8">
        <v>5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234</v>
      </c>
      <c r="C44" s="12">
        <v>3</v>
      </c>
      <c r="D44" s="8">
        <v>2.14</v>
      </c>
      <c r="E44" s="12">
        <v>0</v>
      </c>
      <c r="F44" s="8">
        <v>0</v>
      </c>
      <c r="G44" s="12">
        <v>3</v>
      </c>
      <c r="H44" s="8">
        <v>4.1100000000000003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292</v>
      </c>
      <c r="C48" s="12">
        <v>7</v>
      </c>
      <c r="D48" s="8">
        <v>5</v>
      </c>
      <c r="E48" s="12">
        <v>2</v>
      </c>
      <c r="F48" s="8">
        <v>3.33</v>
      </c>
      <c r="G48" s="12">
        <v>5</v>
      </c>
      <c r="H48" s="8">
        <v>6.85</v>
      </c>
      <c r="I48" s="12">
        <v>0</v>
      </c>
    </row>
    <row r="49" spans="2:9" ht="15" customHeight="1" x14ac:dyDescent="0.2">
      <c r="B49" t="s">
        <v>303</v>
      </c>
      <c r="C49" s="12">
        <v>7</v>
      </c>
      <c r="D49" s="8">
        <v>5</v>
      </c>
      <c r="E49" s="12">
        <v>7</v>
      </c>
      <c r="F49" s="8">
        <v>11.67</v>
      </c>
      <c r="G49" s="12">
        <v>0</v>
      </c>
      <c r="H49" s="8">
        <v>0</v>
      </c>
      <c r="I49" s="12">
        <v>0</v>
      </c>
    </row>
    <row r="50" spans="2:9" ht="15" customHeight="1" x14ac:dyDescent="0.2">
      <c r="B50" t="s">
        <v>291</v>
      </c>
      <c r="C50" s="12">
        <v>4</v>
      </c>
      <c r="D50" s="8">
        <v>2.86</v>
      </c>
      <c r="E50" s="12">
        <v>1</v>
      </c>
      <c r="F50" s="8">
        <v>1.67</v>
      </c>
      <c r="G50" s="12">
        <v>3</v>
      </c>
      <c r="H50" s="8">
        <v>4.1100000000000003</v>
      </c>
      <c r="I50" s="12">
        <v>0</v>
      </c>
    </row>
    <row r="51" spans="2:9" ht="15" customHeight="1" x14ac:dyDescent="0.2">
      <c r="B51" t="s">
        <v>335</v>
      </c>
      <c r="C51" s="12">
        <v>4</v>
      </c>
      <c r="D51" s="8">
        <v>2.86</v>
      </c>
      <c r="E51" s="12">
        <v>2</v>
      </c>
      <c r="F51" s="8">
        <v>3.33</v>
      </c>
      <c r="G51" s="12">
        <v>2</v>
      </c>
      <c r="H51" s="8">
        <v>2.74</v>
      </c>
      <c r="I51" s="12">
        <v>0</v>
      </c>
    </row>
    <row r="52" spans="2:9" ht="15" customHeight="1" x14ac:dyDescent="0.2">
      <c r="B52" t="s">
        <v>330</v>
      </c>
      <c r="C52" s="12">
        <v>4</v>
      </c>
      <c r="D52" s="8">
        <v>2.86</v>
      </c>
      <c r="E52" s="12">
        <v>0</v>
      </c>
      <c r="F52" s="8">
        <v>0</v>
      </c>
      <c r="G52" s="12">
        <v>4</v>
      </c>
      <c r="H52" s="8">
        <v>5.48</v>
      </c>
      <c r="I52" s="12">
        <v>0</v>
      </c>
    </row>
    <row r="53" spans="2:9" ht="15" customHeight="1" x14ac:dyDescent="0.2">
      <c r="B53" t="s">
        <v>299</v>
      </c>
      <c r="C53" s="12">
        <v>4</v>
      </c>
      <c r="D53" s="8">
        <v>2.86</v>
      </c>
      <c r="E53" s="12">
        <v>4</v>
      </c>
      <c r="F53" s="8">
        <v>6.67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325</v>
      </c>
      <c r="C54" s="12">
        <v>4</v>
      </c>
      <c r="D54" s="8">
        <v>2.86</v>
      </c>
      <c r="E54" s="12">
        <v>0</v>
      </c>
      <c r="F54" s="8">
        <v>0</v>
      </c>
      <c r="G54" s="12">
        <v>3</v>
      </c>
      <c r="H54" s="8">
        <v>4.1100000000000003</v>
      </c>
      <c r="I54" s="12">
        <v>0</v>
      </c>
    </row>
    <row r="55" spans="2:9" ht="15" customHeight="1" x14ac:dyDescent="0.2">
      <c r="B55" t="s">
        <v>304</v>
      </c>
      <c r="C55" s="12">
        <v>4</v>
      </c>
      <c r="D55" s="8">
        <v>2.86</v>
      </c>
      <c r="E55" s="12">
        <v>3</v>
      </c>
      <c r="F55" s="8">
        <v>5</v>
      </c>
      <c r="G55" s="12">
        <v>1</v>
      </c>
      <c r="H55" s="8">
        <v>1.37</v>
      </c>
      <c r="I55" s="12">
        <v>0</v>
      </c>
    </row>
    <row r="56" spans="2:9" ht="15" customHeight="1" x14ac:dyDescent="0.2">
      <c r="B56" t="s">
        <v>371</v>
      </c>
      <c r="C56" s="12">
        <v>4</v>
      </c>
      <c r="D56" s="8">
        <v>2.86</v>
      </c>
      <c r="E56" s="12">
        <v>2</v>
      </c>
      <c r="F56" s="8">
        <v>3.33</v>
      </c>
      <c r="G56" s="12">
        <v>2</v>
      </c>
      <c r="H56" s="8">
        <v>2.74</v>
      </c>
      <c r="I56" s="12">
        <v>0</v>
      </c>
    </row>
    <row r="57" spans="2:9" ht="15" customHeight="1" x14ac:dyDescent="0.2">
      <c r="B57" t="s">
        <v>399</v>
      </c>
      <c r="C57" s="12">
        <v>3</v>
      </c>
      <c r="D57" s="8">
        <v>2.14</v>
      </c>
      <c r="E57" s="12">
        <v>0</v>
      </c>
      <c r="F57" s="8">
        <v>0</v>
      </c>
      <c r="G57" s="12">
        <v>3</v>
      </c>
      <c r="H57" s="8">
        <v>4.1100000000000003</v>
      </c>
      <c r="I57" s="12">
        <v>0</v>
      </c>
    </row>
    <row r="58" spans="2:9" ht="15" customHeight="1" x14ac:dyDescent="0.2">
      <c r="B58" t="s">
        <v>385</v>
      </c>
      <c r="C58" s="12">
        <v>3</v>
      </c>
      <c r="D58" s="8">
        <v>2.14</v>
      </c>
      <c r="E58" s="12">
        <v>0</v>
      </c>
      <c r="F58" s="8">
        <v>0</v>
      </c>
      <c r="G58" s="12">
        <v>3</v>
      </c>
      <c r="H58" s="8">
        <v>4.1100000000000003</v>
      </c>
      <c r="I58" s="12">
        <v>0</v>
      </c>
    </row>
    <row r="59" spans="2:9" ht="15" customHeight="1" x14ac:dyDescent="0.2">
      <c r="B59" t="s">
        <v>321</v>
      </c>
      <c r="C59" s="12">
        <v>3</v>
      </c>
      <c r="D59" s="8">
        <v>2.14</v>
      </c>
      <c r="E59" s="12">
        <v>0</v>
      </c>
      <c r="F59" s="8">
        <v>0</v>
      </c>
      <c r="G59" s="12">
        <v>3</v>
      </c>
      <c r="H59" s="8">
        <v>4.1100000000000003</v>
      </c>
      <c r="I59" s="12">
        <v>0</v>
      </c>
    </row>
    <row r="60" spans="2:9" ht="15" customHeight="1" x14ac:dyDescent="0.2">
      <c r="B60" t="s">
        <v>305</v>
      </c>
      <c r="C60" s="12">
        <v>3</v>
      </c>
      <c r="D60" s="8">
        <v>2.14</v>
      </c>
      <c r="E60" s="12">
        <v>3</v>
      </c>
      <c r="F60" s="8">
        <v>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312</v>
      </c>
      <c r="C61" s="12">
        <v>3</v>
      </c>
      <c r="D61" s="8">
        <v>2.14</v>
      </c>
      <c r="E61" s="12">
        <v>3</v>
      </c>
      <c r="F61" s="8">
        <v>5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318</v>
      </c>
      <c r="C62" s="12">
        <v>3</v>
      </c>
      <c r="D62" s="8">
        <v>2.14</v>
      </c>
      <c r="E62" s="12">
        <v>0</v>
      </c>
      <c r="F62" s="8">
        <v>0</v>
      </c>
      <c r="G62" s="12">
        <v>3</v>
      </c>
      <c r="H62" s="8">
        <v>4.1100000000000003</v>
      </c>
      <c r="I62" s="12">
        <v>0</v>
      </c>
    </row>
    <row r="63" spans="2:9" ht="15" customHeight="1" x14ac:dyDescent="0.2">
      <c r="B63" t="s">
        <v>289</v>
      </c>
      <c r="C63" s="12">
        <v>2</v>
      </c>
      <c r="D63" s="8">
        <v>1.43</v>
      </c>
      <c r="E63" s="12">
        <v>1</v>
      </c>
      <c r="F63" s="8">
        <v>1.67</v>
      </c>
      <c r="G63" s="12">
        <v>1</v>
      </c>
      <c r="H63" s="8">
        <v>1.37</v>
      </c>
      <c r="I63" s="12">
        <v>0</v>
      </c>
    </row>
    <row r="64" spans="2:9" ht="15" customHeight="1" x14ac:dyDescent="0.2">
      <c r="B64" t="s">
        <v>333</v>
      </c>
      <c r="C64" s="12">
        <v>2</v>
      </c>
      <c r="D64" s="8">
        <v>1.43</v>
      </c>
      <c r="E64" s="12">
        <v>1</v>
      </c>
      <c r="F64" s="8">
        <v>1.67</v>
      </c>
      <c r="G64" s="12">
        <v>1</v>
      </c>
      <c r="H64" s="8">
        <v>1.37</v>
      </c>
      <c r="I64" s="12">
        <v>0</v>
      </c>
    </row>
    <row r="65" spans="2:9" ht="15" customHeight="1" x14ac:dyDescent="0.2">
      <c r="B65" t="s">
        <v>290</v>
      </c>
      <c r="C65" s="12">
        <v>2</v>
      </c>
      <c r="D65" s="8">
        <v>1.43</v>
      </c>
      <c r="E65" s="12">
        <v>0</v>
      </c>
      <c r="F65" s="8">
        <v>0</v>
      </c>
      <c r="G65" s="12">
        <v>2</v>
      </c>
      <c r="H65" s="8">
        <v>2.74</v>
      </c>
      <c r="I65" s="12">
        <v>0</v>
      </c>
    </row>
    <row r="66" spans="2:9" ht="15" customHeight="1" x14ac:dyDescent="0.2">
      <c r="B66" t="s">
        <v>351</v>
      </c>
      <c r="C66" s="12">
        <v>2</v>
      </c>
      <c r="D66" s="8">
        <v>1.43</v>
      </c>
      <c r="E66" s="12">
        <v>0</v>
      </c>
      <c r="F66" s="8">
        <v>0</v>
      </c>
      <c r="G66" s="12">
        <v>2</v>
      </c>
      <c r="H66" s="8">
        <v>2.74</v>
      </c>
      <c r="I66" s="12">
        <v>0</v>
      </c>
    </row>
    <row r="67" spans="2:9" ht="15" customHeight="1" x14ac:dyDescent="0.2">
      <c r="B67" t="s">
        <v>350</v>
      </c>
      <c r="C67" s="12">
        <v>2</v>
      </c>
      <c r="D67" s="8">
        <v>1.43</v>
      </c>
      <c r="E67" s="12">
        <v>0</v>
      </c>
      <c r="F67" s="8">
        <v>0</v>
      </c>
      <c r="G67" s="12">
        <v>2</v>
      </c>
      <c r="H67" s="8">
        <v>2.74</v>
      </c>
      <c r="I67" s="12">
        <v>0</v>
      </c>
    </row>
    <row r="68" spans="2:9" ht="15" customHeight="1" x14ac:dyDescent="0.2">
      <c r="B68" t="s">
        <v>314</v>
      </c>
      <c r="C68" s="12">
        <v>2</v>
      </c>
      <c r="D68" s="8">
        <v>1.43</v>
      </c>
      <c r="E68" s="12">
        <v>2</v>
      </c>
      <c r="F68" s="8">
        <v>3.33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329</v>
      </c>
      <c r="C69" s="12">
        <v>2</v>
      </c>
      <c r="D69" s="8">
        <v>1.43</v>
      </c>
      <c r="E69" s="12">
        <v>2</v>
      </c>
      <c r="F69" s="8">
        <v>3.33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293</v>
      </c>
      <c r="C70" s="12">
        <v>2</v>
      </c>
      <c r="D70" s="8">
        <v>1.43</v>
      </c>
      <c r="E70" s="12">
        <v>2</v>
      </c>
      <c r="F70" s="8">
        <v>3.33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337</v>
      </c>
      <c r="C71" s="12">
        <v>2</v>
      </c>
      <c r="D71" s="8">
        <v>1.43</v>
      </c>
      <c r="E71" s="12">
        <v>2</v>
      </c>
      <c r="F71" s="8">
        <v>3.33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295</v>
      </c>
      <c r="C72" s="12">
        <v>2</v>
      </c>
      <c r="D72" s="8">
        <v>1.43</v>
      </c>
      <c r="E72" s="12">
        <v>1</v>
      </c>
      <c r="F72" s="8">
        <v>1.67</v>
      </c>
      <c r="G72" s="12">
        <v>1</v>
      </c>
      <c r="H72" s="8">
        <v>1.37</v>
      </c>
      <c r="I72" s="12">
        <v>0</v>
      </c>
    </row>
    <row r="73" spans="2:9" ht="15" customHeight="1" x14ac:dyDescent="0.2">
      <c r="B73" t="s">
        <v>297</v>
      </c>
      <c r="C73" s="12">
        <v>2</v>
      </c>
      <c r="D73" s="8">
        <v>1.43</v>
      </c>
      <c r="E73" s="12">
        <v>1</v>
      </c>
      <c r="F73" s="8">
        <v>1.67</v>
      </c>
      <c r="G73" s="12">
        <v>1</v>
      </c>
      <c r="H73" s="8">
        <v>1.37</v>
      </c>
      <c r="I73" s="12">
        <v>0</v>
      </c>
    </row>
    <row r="74" spans="2:9" ht="15" customHeight="1" x14ac:dyDescent="0.2">
      <c r="B74" t="s">
        <v>298</v>
      </c>
      <c r="C74" s="12">
        <v>2</v>
      </c>
      <c r="D74" s="8">
        <v>1.43</v>
      </c>
      <c r="E74" s="12">
        <v>0</v>
      </c>
      <c r="F74" s="8">
        <v>0</v>
      </c>
      <c r="G74" s="12">
        <v>2</v>
      </c>
      <c r="H74" s="8">
        <v>2.74</v>
      </c>
      <c r="I74" s="12">
        <v>0</v>
      </c>
    </row>
    <row r="75" spans="2:9" ht="15" customHeight="1" x14ac:dyDescent="0.2">
      <c r="B75" t="s">
        <v>334</v>
      </c>
      <c r="C75" s="12">
        <v>2</v>
      </c>
      <c r="D75" s="8">
        <v>1.43</v>
      </c>
      <c r="E75" s="12">
        <v>2</v>
      </c>
      <c r="F75" s="8">
        <v>3.33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302</v>
      </c>
      <c r="C76" s="12">
        <v>2</v>
      </c>
      <c r="D76" s="8">
        <v>1.43</v>
      </c>
      <c r="E76" s="12">
        <v>1</v>
      </c>
      <c r="F76" s="8">
        <v>1.67</v>
      </c>
      <c r="G76" s="12">
        <v>1</v>
      </c>
      <c r="H76" s="8">
        <v>1.37</v>
      </c>
      <c r="I76" s="12">
        <v>0</v>
      </c>
    </row>
    <row r="77" spans="2:9" ht="15" customHeight="1" x14ac:dyDescent="0.2">
      <c r="B77" t="s">
        <v>341</v>
      </c>
      <c r="C77" s="12">
        <v>2</v>
      </c>
      <c r="D77" s="8">
        <v>1.43</v>
      </c>
      <c r="E77" s="12">
        <v>0</v>
      </c>
      <c r="F77" s="8">
        <v>0</v>
      </c>
      <c r="G77" s="12">
        <v>0</v>
      </c>
      <c r="H77" s="8">
        <v>0</v>
      </c>
      <c r="I77" s="12">
        <v>2</v>
      </c>
    </row>
    <row r="78" spans="2:9" ht="15" customHeight="1" x14ac:dyDescent="0.2">
      <c r="B78" t="s">
        <v>331</v>
      </c>
      <c r="C78" s="12">
        <v>2</v>
      </c>
      <c r="D78" s="8">
        <v>1.43</v>
      </c>
      <c r="E78" s="12">
        <v>0</v>
      </c>
      <c r="F78" s="8">
        <v>0</v>
      </c>
      <c r="G78" s="12">
        <v>1</v>
      </c>
      <c r="H78" s="8">
        <v>1.37</v>
      </c>
      <c r="I78" s="12">
        <v>0</v>
      </c>
    </row>
    <row r="79" spans="2:9" ht="15" customHeight="1" x14ac:dyDescent="0.2">
      <c r="B79" t="s">
        <v>307</v>
      </c>
      <c r="C79" s="12">
        <v>2</v>
      </c>
      <c r="D79" s="8">
        <v>1.43</v>
      </c>
      <c r="E79" s="12">
        <v>1</v>
      </c>
      <c r="F79" s="8">
        <v>1.67</v>
      </c>
      <c r="G79" s="12">
        <v>1</v>
      </c>
      <c r="H79" s="8">
        <v>1.37</v>
      </c>
      <c r="I79" s="12">
        <v>0</v>
      </c>
    </row>
    <row r="81" spans="2:2" ht="15" customHeight="1" x14ac:dyDescent="0.2">
      <c r="B8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2739F-AA5F-447C-802C-5421B57B917A}">
  <sheetPr>
    <pageSetUpPr fitToPage="1"/>
  </sheetPr>
  <dimension ref="B2:I69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619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2</v>
      </c>
      <c r="D5" s="8">
        <v>0.72</v>
      </c>
      <c r="E5" s="12">
        <v>0</v>
      </c>
      <c r="F5" s="8">
        <v>0</v>
      </c>
      <c r="G5" s="12">
        <v>2</v>
      </c>
      <c r="H5" s="8">
        <v>1.48</v>
      </c>
      <c r="I5" s="12">
        <v>0</v>
      </c>
    </row>
    <row r="6" spans="2:9" ht="15" customHeight="1" x14ac:dyDescent="0.2">
      <c r="B6" t="s">
        <v>191</v>
      </c>
      <c r="C6" s="12">
        <v>34</v>
      </c>
      <c r="D6" s="8">
        <v>12.32</v>
      </c>
      <c r="E6" s="12">
        <v>9</v>
      </c>
      <c r="F6" s="8">
        <v>7.14</v>
      </c>
      <c r="G6" s="12">
        <v>25</v>
      </c>
      <c r="H6" s="8">
        <v>18.52</v>
      </c>
      <c r="I6" s="12">
        <v>0</v>
      </c>
    </row>
    <row r="7" spans="2:9" ht="15" customHeight="1" x14ac:dyDescent="0.2">
      <c r="B7" t="s">
        <v>192</v>
      </c>
      <c r="C7" s="12">
        <v>21</v>
      </c>
      <c r="D7" s="8">
        <v>7.61</v>
      </c>
      <c r="E7" s="12">
        <v>5</v>
      </c>
      <c r="F7" s="8">
        <v>3.97</v>
      </c>
      <c r="G7" s="12">
        <v>14</v>
      </c>
      <c r="H7" s="8">
        <v>10.37</v>
      </c>
      <c r="I7" s="12">
        <v>2</v>
      </c>
    </row>
    <row r="8" spans="2:9" ht="15" customHeight="1" x14ac:dyDescent="0.2">
      <c r="B8" t="s">
        <v>193</v>
      </c>
      <c r="C8" s="12">
        <v>2</v>
      </c>
      <c r="D8" s="8">
        <v>0.72</v>
      </c>
      <c r="E8" s="12">
        <v>0</v>
      </c>
      <c r="F8" s="8">
        <v>0</v>
      </c>
      <c r="G8" s="12">
        <v>1</v>
      </c>
      <c r="H8" s="8">
        <v>0.74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0</v>
      </c>
      <c r="D10" s="8">
        <v>0</v>
      </c>
      <c r="E10" s="12">
        <v>0</v>
      </c>
      <c r="F10" s="8">
        <v>0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71</v>
      </c>
      <c r="D11" s="8">
        <v>25.72</v>
      </c>
      <c r="E11" s="12">
        <v>27</v>
      </c>
      <c r="F11" s="8">
        <v>21.43</v>
      </c>
      <c r="G11" s="12">
        <v>43</v>
      </c>
      <c r="H11" s="8">
        <v>31.85</v>
      </c>
      <c r="I11" s="12">
        <v>1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22</v>
      </c>
      <c r="D13" s="8">
        <v>7.97</v>
      </c>
      <c r="E13" s="12">
        <v>9</v>
      </c>
      <c r="F13" s="8">
        <v>7.14</v>
      </c>
      <c r="G13" s="12">
        <v>12</v>
      </c>
      <c r="H13" s="8">
        <v>8.89</v>
      </c>
      <c r="I13" s="12">
        <v>0</v>
      </c>
    </row>
    <row r="14" spans="2:9" ht="15" customHeight="1" x14ac:dyDescent="0.2">
      <c r="B14" t="s">
        <v>199</v>
      </c>
      <c r="C14" s="12">
        <v>12</v>
      </c>
      <c r="D14" s="8">
        <v>4.3499999999999996</v>
      </c>
      <c r="E14" s="12">
        <v>6</v>
      </c>
      <c r="F14" s="8">
        <v>4.76</v>
      </c>
      <c r="G14" s="12">
        <v>5</v>
      </c>
      <c r="H14" s="8">
        <v>3.7</v>
      </c>
      <c r="I14" s="12">
        <v>0</v>
      </c>
    </row>
    <row r="15" spans="2:9" ht="15" customHeight="1" x14ac:dyDescent="0.2">
      <c r="B15" t="s">
        <v>200</v>
      </c>
      <c r="C15" s="12">
        <v>50</v>
      </c>
      <c r="D15" s="8">
        <v>18.12</v>
      </c>
      <c r="E15" s="12">
        <v>43</v>
      </c>
      <c r="F15" s="8">
        <v>34.130000000000003</v>
      </c>
      <c r="G15" s="12">
        <v>6</v>
      </c>
      <c r="H15" s="8">
        <v>4.4400000000000004</v>
      </c>
      <c r="I15" s="12">
        <v>0</v>
      </c>
    </row>
    <row r="16" spans="2:9" ht="15" customHeight="1" x14ac:dyDescent="0.2">
      <c r="B16" t="s">
        <v>201</v>
      </c>
      <c r="C16" s="12">
        <v>27</v>
      </c>
      <c r="D16" s="8">
        <v>9.7799999999999994</v>
      </c>
      <c r="E16" s="12">
        <v>21</v>
      </c>
      <c r="F16" s="8">
        <v>16.670000000000002</v>
      </c>
      <c r="G16" s="12">
        <v>5</v>
      </c>
      <c r="H16" s="8">
        <v>3.7</v>
      </c>
      <c r="I16" s="12">
        <v>1</v>
      </c>
    </row>
    <row r="17" spans="2:9" ht="15" customHeight="1" x14ac:dyDescent="0.2">
      <c r="B17" t="s">
        <v>202</v>
      </c>
      <c r="C17" s="12">
        <v>3</v>
      </c>
      <c r="D17" s="8">
        <v>1.0900000000000001</v>
      </c>
      <c r="E17" s="12">
        <v>2</v>
      </c>
      <c r="F17" s="8">
        <v>1.59</v>
      </c>
      <c r="G17" s="12">
        <v>1</v>
      </c>
      <c r="H17" s="8">
        <v>0.74</v>
      </c>
      <c r="I17" s="12">
        <v>0</v>
      </c>
    </row>
    <row r="18" spans="2:9" ht="15" customHeight="1" x14ac:dyDescent="0.2">
      <c r="B18" t="s">
        <v>203</v>
      </c>
      <c r="C18" s="12">
        <v>16</v>
      </c>
      <c r="D18" s="8">
        <v>5.8</v>
      </c>
      <c r="E18" s="12">
        <v>3</v>
      </c>
      <c r="F18" s="8">
        <v>2.38</v>
      </c>
      <c r="G18" s="12">
        <v>8</v>
      </c>
      <c r="H18" s="8">
        <v>5.93</v>
      </c>
      <c r="I18" s="12">
        <v>0</v>
      </c>
    </row>
    <row r="19" spans="2:9" ht="15" customHeight="1" x14ac:dyDescent="0.2">
      <c r="B19" t="s">
        <v>204</v>
      </c>
      <c r="C19" s="12">
        <v>16</v>
      </c>
      <c r="D19" s="8">
        <v>5.8</v>
      </c>
      <c r="E19" s="12">
        <v>1</v>
      </c>
      <c r="F19" s="8">
        <v>0.79</v>
      </c>
      <c r="G19" s="12">
        <v>13</v>
      </c>
      <c r="H19" s="8">
        <v>9.6300000000000008</v>
      </c>
      <c r="I19" s="12">
        <v>0</v>
      </c>
    </row>
    <row r="20" spans="2:9" ht="15" customHeight="1" x14ac:dyDescent="0.2">
      <c r="B20" s="9" t="s">
        <v>529</v>
      </c>
      <c r="C20" s="12">
        <f>SUM(LTBL_01428[総数／事業所数])</f>
        <v>276</v>
      </c>
      <c r="E20" s="12">
        <f>SUBTOTAL(109,LTBL_01428[個人／事業所数])</f>
        <v>126</v>
      </c>
      <c r="G20" s="12">
        <f>SUBTOTAL(109,LTBL_01428[法人／事業所数])</f>
        <v>135</v>
      </c>
      <c r="I20" s="12">
        <f>SUBTOTAL(109,LTBL_01428[法人以外の団体／事業所数])</f>
        <v>4</v>
      </c>
    </row>
    <row r="21" spans="2:9" ht="15" customHeight="1" x14ac:dyDescent="0.2">
      <c r="E21" s="11">
        <f>LTBL_01428[[#Totals],[個人／事業所数]]/LTBL_01428[[#Totals],[総数／事業所数]]</f>
        <v>0.45652173913043476</v>
      </c>
      <c r="G21" s="11">
        <f>LTBL_01428[[#Totals],[法人／事業所数]]/LTBL_01428[[#Totals],[総数／事業所数]]</f>
        <v>0.4891304347826087</v>
      </c>
      <c r="I21" s="11">
        <f>LTBL_01428[[#Totals],[法人以外の団体／事業所数]]/LTBL_01428[[#Totals],[総数／事業所数]]</f>
        <v>1.4492753623188406E-2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48</v>
      </c>
      <c r="D24" s="8">
        <v>17.39</v>
      </c>
      <c r="E24" s="12">
        <v>42</v>
      </c>
      <c r="F24" s="8">
        <v>33.33</v>
      </c>
      <c r="G24" s="12">
        <v>6</v>
      </c>
      <c r="H24" s="8">
        <v>4.4400000000000004</v>
      </c>
      <c r="I24" s="12">
        <v>0</v>
      </c>
    </row>
    <row r="25" spans="2:9" ht="15" customHeight="1" x14ac:dyDescent="0.2">
      <c r="B25" t="s">
        <v>223</v>
      </c>
      <c r="C25" s="12">
        <v>23</v>
      </c>
      <c r="D25" s="8">
        <v>8.33</v>
      </c>
      <c r="E25" s="12">
        <v>9</v>
      </c>
      <c r="F25" s="8">
        <v>7.14</v>
      </c>
      <c r="G25" s="12">
        <v>14</v>
      </c>
      <c r="H25" s="8">
        <v>10.37</v>
      </c>
      <c r="I25" s="12">
        <v>0</v>
      </c>
    </row>
    <row r="26" spans="2:9" ht="15" customHeight="1" x14ac:dyDescent="0.2">
      <c r="B26" t="s">
        <v>228</v>
      </c>
      <c r="C26" s="12">
        <v>22</v>
      </c>
      <c r="D26" s="8">
        <v>7.97</v>
      </c>
      <c r="E26" s="12">
        <v>20</v>
      </c>
      <c r="F26" s="8">
        <v>15.87</v>
      </c>
      <c r="G26" s="12">
        <v>1</v>
      </c>
      <c r="H26" s="8">
        <v>0.74</v>
      </c>
      <c r="I26" s="12">
        <v>1</v>
      </c>
    </row>
    <row r="27" spans="2:9" ht="15" customHeight="1" x14ac:dyDescent="0.2">
      <c r="B27" t="s">
        <v>224</v>
      </c>
      <c r="C27" s="12">
        <v>20</v>
      </c>
      <c r="D27" s="8">
        <v>7.25</v>
      </c>
      <c r="E27" s="12">
        <v>9</v>
      </c>
      <c r="F27" s="8">
        <v>7.14</v>
      </c>
      <c r="G27" s="12">
        <v>10</v>
      </c>
      <c r="H27" s="8">
        <v>7.41</v>
      </c>
      <c r="I27" s="12">
        <v>0</v>
      </c>
    </row>
    <row r="28" spans="2:9" ht="15" customHeight="1" x14ac:dyDescent="0.2">
      <c r="B28" t="s">
        <v>214</v>
      </c>
      <c r="C28" s="12">
        <v>18</v>
      </c>
      <c r="D28" s="8">
        <v>6.52</v>
      </c>
      <c r="E28" s="12">
        <v>7</v>
      </c>
      <c r="F28" s="8">
        <v>5.56</v>
      </c>
      <c r="G28" s="12">
        <v>11</v>
      </c>
      <c r="H28" s="8">
        <v>8.15</v>
      </c>
      <c r="I28" s="12">
        <v>0</v>
      </c>
    </row>
    <row r="29" spans="2:9" ht="15" customHeight="1" x14ac:dyDescent="0.2">
      <c r="B29" t="s">
        <v>221</v>
      </c>
      <c r="C29" s="12">
        <v>17</v>
      </c>
      <c r="D29" s="8">
        <v>6.16</v>
      </c>
      <c r="E29" s="12">
        <v>8</v>
      </c>
      <c r="F29" s="8">
        <v>6.35</v>
      </c>
      <c r="G29" s="12">
        <v>8</v>
      </c>
      <c r="H29" s="8">
        <v>5.93</v>
      </c>
      <c r="I29" s="12">
        <v>1</v>
      </c>
    </row>
    <row r="30" spans="2:9" ht="15" customHeight="1" x14ac:dyDescent="0.2">
      <c r="B30" t="s">
        <v>213</v>
      </c>
      <c r="C30" s="12">
        <v>11</v>
      </c>
      <c r="D30" s="8">
        <v>3.99</v>
      </c>
      <c r="E30" s="12">
        <v>0</v>
      </c>
      <c r="F30" s="8">
        <v>0</v>
      </c>
      <c r="G30" s="12">
        <v>11</v>
      </c>
      <c r="H30" s="8">
        <v>8.15</v>
      </c>
      <c r="I30" s="12">
        <v>0</v>
      </c>
    </row>
    <row r="31" spans="2:9" ht="15" customHeight="1" x14ac:dyDescent="0.2">
      <c r="B31" t="s">
        <v>232</v>
      </c>
      <c r="C31" s="12">
        <v>11</v>
      </c>
      <c r="D31" s="8">
        <v>3.99</v>
      </c>
      <c r="E31" s="12">
        <v>0</v>
      </c>
      <c r="F31" s="8">
        <v>0</v>
      </c>
      <c r="G31" s="12">
        <v>6</v>
      </c>
      <c r="H31" s="8">
        <v>4.4400000000000004</v>
      </c>
      <c r="I31" s="12">
        <v>0</v>
      </c>
    </row>
    <row r="32" spans="2:9" ht="15" customHeight="1" x14ac:dyDescent="0.2">
      <c r="B32" t="s">
        <v>222</v>
      </c>
      <c r="C32" s="12">
        <v>8</v>
      </c>
      <c r="D32" s="8">
        <v>2.9</v>
      </c>
      <c r="E32" s="12">
        <v>2</v>
      </c>
      <c r="F32" s="8">
        <v>1.59</v>
      </c>
      <c r="G32" s="12">
        <v>6</v>
      </c>
      <c r="H32" s="8">
        <v>4.4400000000000004</v>
      </c>
      <c r="I32" s="12">
        <v>0</v>
      </c>
    </row>
    <row r="33" spans="2:9" ht="15" customHeight="1" x14ac:dyDescent="0.2">
      <c r="B33" t="s">
        <v>220</v>
      </c>
      <c r="C33" s="12">
        <v>7</v>
      </c>
      <c r="D33" s="8">
        <v>2.54</v>
      </c>
      <c r="E33" s="12">
        <v>5</v>
      </c>
      <c r="F33" s="8">
        <v>3.97</v>
      </c>
      <c r="G33" s="12">
        <v>2</v>
      </c>
      <c r="H33" s="8">
        <v>1.48</v>
      </c>
      <c r="I33" s="12">
        <v>0</v>
      </c>
    </row>
    <row r="34" spans="2:9" ht="15" customHeight="1" x14ac:dyDescent="0.2">
      <c r="B34" t="s">
        <v>225</v>
      </c>
      <c r="C34" s="12">
        <v>7</v>
      </c>
      <c r="D34" s="8">
        <v>2.54</v>
      </c>
      <c r="E34" s="12">
        <v>5</v>
      </c>
      <c r="F34" s="8">
        <v>3.97</v>
      </c>
      <c r="G34" s="12">
        <v>2</v>
      </c>
      <c r="H34" s="8">
        <v>1.48</v>
      </c>
      <c r="I34" s="12">
        <v>0</v>
      </c>
    </row>
    <row r="35" spans="2:9" ht="15" customHeight="1" x14ac:dyDescent="0.2">
      <c r="B35" t="s">
        <v>218</v>
      </c>
      <c r="C35" s="12">
        <v>6</v>
      </c>
      <c r="D35" s="8">
        <v>2.17</v>
      </c>
      <c r="E35" s="12">
        <v>1</v>
      </c>
      <c r="F35" s="8">
        <v>0.79</v>
      </c>
      <c r="G35" s="12">
        <v>5</v>
      </c>
      <c r="H35" s="8">
        <v>3.7</v>
      </c>
      <c r="I35" s="12">
        <v>0</v>
      </c>
    </row>
    <row r="36" spans="2:9" ht="15" customHeight="1" x14ac:dyDescent="0.2">
      <c r="B36" t="s">
        <v>215</v>
      </c>
      <c r="C36" s="12">
        <v>5</v>
      </c>
      <c r="D36" s="8">
        <v>1.81</v>
      </c>
      <c r="E36" s="12">
        <v>2</v>
      </c>
      <c r="F36" s="8">
        <v>1.59</v>
      </c>
      <c r="G36" s="12">
        <v>3</v>
      </c>
      <c r="H36" s="8">
        <v>2.2200000000000002</v>
      </c>
      <c r="I36" s="12">
        <v>0</v>
      </c>
    </row>
    <row r="37" spans="2:9" ht="15" customHeight="1" x14ac:dyDescent="0.2">
      <c r="B37" t="s">
        <v>254</v>
      </c>
      <c r="C37" s="12">
        <v>5</v>
      </c>
      <c r="D37" s="8">
        <v>1.81</v>
      </c>
      <c r="E37" s="12">
        <v>2</v>
      </c>
      <c r="F37" s="8">
        <v>1.59</v>
      </c>
      <c r="G37" s="12">
        <v>3</v>
      </c>
      <c r="H37" s="8">
        <v>2.2200000000000002</v>
      </c>
      <c r="I37" s="12">
        <v>0</v>
      </c>
    </row>
    <row r="38" spans="2:9" ht="15" customHeight="1" x14ac:dyDescent="0.2">
      <c r="B38" t="s">
        <v>231</v>
      </c>
      <c r="C38" s="12">
        <v>5</v>
      </c>
      <c r="D38" s="8">
        <v>1.81</v>
      </c>
      <c r="E38" s="12">
        <v>3</v>
      </c>
      <c r="F38" s="8">
        <v>2.38</v>
      </c>
      <c r="G38" s="12">
        <v>2</v>
      </c>
      <c r="H38" s="8">
        <v>1.48</v>
      </c>
      <c r="I38" s="12">
        <v>0</v>
      </c>
    </row>
    <row r="39" spans="2:9" ht="15" customHeight="1" x14ac:dyDescent="0.2">
      <c r="B39" t="s">
        <v>240</v>
      </c>
      <c r="C39" s="12">
        <v>5</v>
      </c>
      <c r="D39" s="8">
        <v>1.81</v>
      </c>
      <c r="E39" s="12">
        <v>1</v>
      </c>
      <c r="F39" s="8">
        <v>0.79</v>
      </c>
      <c r="G39" s="12">
        <v>4</v>
      </c>
      <c r="H39" s="8">
        <v>2.96</v>
      </c>
      <c r="I39" s="12">
        <v>0</v>
      </c>
    </row>
    <row r="40" spans="2:9" ht="15" customHeight="1" x14ac:dyDescent="0.2">
      <c r="B40" t="s">
        <v>253</v>
      </c>
      <c r="C40" s="12">
        <v>4</v>
      </c>
      <c r="D40" s="8">
        <v>1.45</v>
      </c>
      <c r="E40" s="12">
        <v>0</v>
      </c>
      <c r="F40" s="8">
        <v>0</v>
      </c>
      <c r="G40" s="12">
        <v>4</v>
      </c>
      <c r="H40" s="8">
        <v>2.96</v>
      </c>
      <c r="I40" s="12">
        <v>0</v>
      </c>
    </row>
    <row r="41" spans="2:9" ht="15" customHeight="1" x14ac:dyDescent="0.2">
      <c r="B41" t="s">
        <v>217</v>
      </c>
      <c r="C41" s="12">
        <v>4</v>
      </c>
      <c r="D41" s="8">
        <v>1.45</v>
      </c>
      <c r="E41" s="12">
        <v>0</v>
      </c>
      <c r="F41" s="8">
        <v>0</v>
      </c>
      <c r="G41" s="12">
        <v>4</v>
      </c>
      <c r="H41" s="8">
        <v>2.96</v>
      </c>
      <c r="I41" s="12">
        <v>0</v>
      </c>
    </row>
    <row r="42" spans="2:9" ht="15" customHeight="1" x14ac:dyDescent="0.2">
      <c r="B42" t="s">
        <v>226</v>
      </c>
      <c r="C42" s="12">
        <v>4</v>
      </c>
      <c r="D42" s="8">
        <v>1.45</v>
      </c>
      <c r="E42" s="12">
        <v>1</v>
      </c>
      <c r="F42" s="8">
        <v>0.79</v>
      </c>
      <c r="G42" s="12">
        <v>2</v>
      </c>
      <c r="H42" s="8">
        <v>1.48</v>
      </c>
      <c r="I42" s="12">
        <v>0</v>
      </c>
    </row>
    <row r="43" spans="2:9" ht="15" customHeight="1" x14ac:dyDescent="0.2">
      <c r="B43" t="s">
        <v>229</v>
      </c>
      <c r="C43" s="12">
        <v>4</v>
      </c>
      <c r="D43" s="8">
        <v>1.45</v>
      </c>
      <c r="E43" s="12">
        <v>1</v>
      </c>
      <c r="F43" s="8">
        <v>0.79</v>
      </c>
      <c r="G43" s="12">
        <v>3</v>
      </c>
      <c r="H43" s="8">
        <v>2.2200000000000002</v>
      </c>
      <c r="I43" s="12">
        <v>0</v>
      </c>
    </row>
    <row r="44" spans="2:9" ht="15" customHeight="1" x14ac:dyDescent="0.2">
      <c r="B44" t="s">
        <v>249</v>
      </c>
      <c r="C44" s="12">
        <v>4</v>
      </c>
      <c r="D44" s="8">
        <v>1.45</v>
      </c>
      <c r="E44" s="12">
        <v>0</v>
      </c>
      <c r="F44" s="8">
        <v>0</v>
      </c>
      <c r="G44" s="12">
        <v>4</v>
      </c>
      <c r="H44" s="8">
        <v>2.96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301</v>
      </c>
      <c r="C48" s="12">
        <v>17</v>
      </c>
      <c r="D48" s="8">
        <v>6.16</v>
      </c>
      <c r="E48" s="12">
        <v>16</v>
      </c>
      <c r="F48" s="8">
        <v>12.7</v>
      </c>
      <c r="G48" s="12">
        <v>1</v>
      </c>
      <c r="H48" s="8">
        <v>0.74</v>
      </c>
      <c r="I48" s="12">
        <v>0</v>
      </c>
    </row>
    <row r="49" spans="2:9" ht="15" customHeight="1" x14ac:dyDescent="0.2">
      <c r="B49" t="s">
        <v>297</v>
      </c>
      <c r="C49" s="12">
        <v>15</v>
      </c>
      <c r="D49" s="8">
        <v>5.43</v>
      </c>
      <c r="E49" s="12">
        <v>8</v>
      </c>
      <c r="F49" s="8">
        <v>6.35</v>
      </c>
      <c r="G49" s="12">
        <v>6</v>
      </c>
      <c r="H49" s="8">
        <v>4.4400000000000004</v>
      </c>
      <c r="I49" s="12">
        <v>0</v>
      </c>
    </row>
    <row r="50" spans="2:9" ht="15" customHeight="1" x14ac:dyDescent="0.2">
      <c r="B50" t="s">
        <v>300</v>
      </c>
      <c r="C50" s="12">
        <v>12</v>
      </c>
      <c r="D50" s="8">
        <v>4.3499999999999996</v>
      </c>
      <c r="E50" s="12">
        <v>10</v>
      </c>
      <c r="F50" s="8">
        <v>7.94</v>
      </c>
      <c r="G50" s="12">
        <v>2</v>
      </c>
      <c r="H50" s="8">
        <v>1.48</v>
      </c>
      <c r="I50" s="12">
        <v>0</v>
      </c>
    </row>
    <row r="51" spans="2:9" ht="15" customHeight="1" x14ac:dyDescent="0.2">
      <c r="B51" t="s">
        <v>303</v>
      </c>
      <c r="C51" s="12">
        <v>10</v>
      </c>
      <c r="D51" s="8">
        <v>3.62</v>
      </c>
      <c r="E51" s="12">
        <v>10</v>
      </c>
      <c r="F51" s="8">
        <v>7.94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304</v>
      </c>
      <c r="C52" s="12">
        <v>10</v>
      </c>
      <c r="D52" s="8">
        <v>3.62</v>
      </c>
      <c r="E52" s="12">
        <v>9</v>
      </c>
      <c r="F52" s="8">
        <v>7.14</v>
      </c>
      <c r="G52" s="12">
        <v>1</v>
      </c>
      <c r="H52" s="8">
        <v>0.74</v>
      </c>
      <c r="I52" s="12">
        <v>0</v>
      </c>
    </row>
    <row r="53" spans="2:9" ht="15" customHeight="1" x14ac:dyDescent="0.2">
      <c r="B53" t="s">
        <v>302</v>
      </c>
      <c r="C53" s="12">
        <v>8</v>
      </c>
      <c r="D53" s="8">
        <v>2.9</v>
      </c>
      <c r="E53" s="12">
        <v>7</v>
      </c>
      <c r="F53" s="8">
        <v>5.56</v>
      </c>
      <c r="G53" s="12">
        <v>1</v>
      </c>
      <c r="H53" s="8">
        <v>0.74</v>
      </c>
      <c r="I53" s="12">
        <v>0</v>
      </c>
    </row>
    <row r="54" spans="2:9" ht="15" customHeight="1" x14ac:dyDescent="0.2">
      <c r="B54" t="s">
        <v>333</v>
      </c>
      <c r="C54" s="12">
        <v>6</v>
      </c>
      <c r="D54" s="8">
        <v>2.17</v>
      </c>
      <c r="E54" s="12">
        <v>4</v>
      </c>
      <c r="F54" s="8">
        <v>3.17</v>
      </c>
      <c r="G54" s="12">
        <v>2</v>
      </c>
      <c r="H54" s="8">
        <v>1.48</v>
      </c>
      <c r="I54" s="12">
        <v>0</v>
      </c>
    </row>
    <row r="55" spans="2:9" ht="15" customHeight="1" x14ac:dyDescent="0.2">
      <c r="B55" t="s">
        <v>329</v>
      </c>
      <c r="C55" s="12">
        <v>6</v>
      </c>
      <c r="D55" s="8">
        <v>2.17</v>
      </c>
      <c r="E55" s="12">
        <v>4</v>
      </c>
      <c r="F55" s="8">
        <v>3.17</v>
      </c>
      <c r="G55" s="12">
        <v>2</v>
      </c>
      <c r="H55" s="8">
        <v>1.48</v>
      </c>
      <c r="I55" s="12">
        <v>0</v>
      </c>
    </row>
    <row r="56" spans="2:9" ht="15" customHeight="1" x14ac:dyDescent="0.2">
      <c r="B56" t="s">
        <v>292</v>
      </c>
      <c r="C56" s="12">
        <v>5</v>
      </c>
      <c r="D56" s="8">
        <v>1.81</v>
      </c>
      <c r="E56" s="12">
        <v>2</v>
      </c>
      <c r="F56" s="8">
        <v>1.59</v>
      </c>
      <c r="G56" s="12">
        <v>3</v>
      </c>
      <c r="H56" s="8">
        <v>2.2200000000000002</v>
      </c>
      <c r="I56" s="12">
        <v>0</v>
      </c>
    </row>
    <row r="57" spans="2:9" ht="15" customHeight="1" x14ac:dyDescent="0.2">
      <c r="B57" t="s">
        <v>295</v>
      </c>
      <c r="C57" s="12">
        <v>5</v>
      </c>
      <c r="D57" s="8">
        <v>1.81</v>
      </c>
      <c r="E57" s="12">
        <v>1</v>
      </c>
      <c r="F57" s="8">
        <v>0.79</v>
      </c>
      <c r="G57" s="12">
        <v>4</v>
      </c>
      <c r="H57" s="8">
        <v>2.96</v>
      </c>
      <c r="I57" s="12">
        <v>0</v>
      </c>
    </row>
    <row r="58" spans="2:9" ht="15" customHeight="1" x14ac:dyDescent="0.2">
      <c r="B58" t="s">
        <v>296</v>
      </c>
      <c r="C58" s="12">
        <v>5</v>
      </c>
      <c r="D58" s="8">
        <v>1.81</v>
      </c>
      <c r="E58" s="12">
        <v>1</v>
      </c>
      <c r="F58" s="8">
        <v>0.79</v>
      </c>
      <c r="G58" s="12">
        <v>4</v>
      </c>
      <c r="H58" s="8">
        <v>2.96</v>
      </c>
      <c r="I58" s="12">
        <v>0</v>
      </c>
    </row>
    <row r="59" spans="2:9" ht="15" customHeight="1" x14ac:dyDescent="0.2">
      <c r="B59" t="s">
        <v>299</v>
      </c>
      <c r="C59" s="12">
        <v>5</v>
      </c>
      <c r="D59" s="8">
        <v>1.81</v>
      </c>
      <c r="E59" s="12">
        <v>4</v>
      </c>
      <c r="F59" s="8">
        <v>3.17</v>
      </c>
      <c r="G59" s="12">
        <v>1</v>
      </c>
      <c r="H59" s="8">
        <v>0.74</v>
      </c>
      <c r="I59" s="12">
        <v>0</v>
      </c>
    </row>
    <row r="60" spans="2:9" ht="15" customHeight="1" x14ac:dyDescent="0.2">
      <c r="B60" t="s">
        <v>331</v>
      </c>
      <c r="C60" s="12">
        <v>5</v>
      </c>
      <c r="D60" s="8">
        <v>1.81</v>
      </c>
      <c r="E60" s="12">
        <v>0</v>
      </c>
      <c r="F60" s="8">
        <v>0</v>
      </c>
      <c r="G60" s="12">
        <v>3</v>
      </c>
      <c r="H60" s="8">
        <v>2.2200000000000002</v>
      </c>
      <c r="I60" s="12">
        <v>0</v>
      </c>
    </row>
    <row r="61" spans="2:9" ht="15" customHeight="1" x14ac:dyDescent="0.2">
      <c r="B61" t="s">
        <v>307</v>
      </c>
      <c r="C61" s="12">
        <v>5</v>
      </c>
      <c r="D61" s="8">
        <v>1.81</v>
      </c>
      <c r="E61" s="12">
        <v>1</v>
      </c>
      <c r="F61" s="8">
        <v>0.79</v>
      </c>
      <c r="G61" s="12">
        <v>4</v>
      </c>
      <c r="H61" s="8">
        <v>2.96</v>
      </c>
      <c r="I61" s="12">
        <v>0</v>
      </c>
    </row>
    <row r="62" spans="2:9" ht="15" customHeight="1" x14ac:dyDescent="0.2">
      <c r="B62" t="s">
        <v>374</v>
      </c>
      <c r="C62" s="12">
        <v>4</v>
      </c>
      <c r="D62" s="8">
        <v>1.45</v>
      </c>
      <c r="E62" s="12">
        <v>0</v>
      </c>
      <c r="F62" s="8">
        <v>0</v>
      </c>
      <c r="G62" s="12">
        <v>4</v>
      </c>
      <c r="H62" s="8">
        <v>2.96</v>
      </c>
      <c r="I62" s="12">
        <v>0</v>
      </c>
    </row>
    <row r="63" spans="2:9" ht="15" customHeight="1" x14ac:dyDescent="0.2">
      <c r="B63" t="s">
        <v>321</v>
      </c>
      <c r="C63" s="12">
        <v>4</v>
      </c>
      <c r="D63" s="8">
        <v>1.45</v>
      </c>
      <c r="E63" s="12">
        <v>1</v>
      </c>
      <c r="F63" s="8">
        <v>0.79</v>
      </c>
      <c r="G63" s="12">
        <v>3</v>
      </c>
      <c r="H63" s="8">
        <v>2.2200000000000002</v>
      </c>
      <c r="I63" s="12">
        <v>0</v>
      </c>
    </row>
    <row r="64" spans="2:9" ht="15" customHeight="1" x14ac:dyDescent="0.2">
      <c r="B64" t="s">
        <v>335</v>
      </c>
      <c r="C64" s="12">
        <v>4</v>
      </c>
      <c r="D64" s="8">
        <v>1.45</v>
      </c>
      <c r="E64" s="12">
        <v>1</v>
      </c>
      <c r="F64" s="8">
        <v>0.79</v>
      </c>
      <c r="G64" s="12">
        <v>3</v>
      </c>
      <c r="H64" s="8">
        <v>2.2200000000000002</v>
      </c>
      <c r="I64" s="12">
        <v>0</v>
      </c>
    </row>
    <row r="65" spans="2:9" ht="15" customHeight="1" x14ac:dyDescent="0.2">
      <c r="B65" t="s">
        <v>294</v>
      </c>
      <c r="C65" s="12">
        <v>4</v>
      </c>
      <c r="D65" s="8">
        <v>1.45</v>
      </c>
      <c r="E65" s="12">
        <v>1</v>
      </c>
      <c r="F65" s="8">
        <v>0.79</v>
      </c>
      <c r="G65" s="12">
        <v>3</v>
      </c>
      <c r="H65" s="8">
        <v>2.2200000000000002</v>
      </c>
      <c r="I65" s="12">
        <v>0</v>
      </c>
    </row>
    <row r="66" spans="2:9" ht="15" customHeight="1" x14ac:dyDescent="0.2">
      <c r="B66" t="s">
        <v>330</v>
      </c>
      <c r="C66" s="12">
        <v>4</v>
      </c>
      <c r="D66" s="8">
        <v>1.45</v>
      </c>
      <c r="E66" s="12">
        <v>0</v>
      </c>
      <c r="F66" s="8">
        <v>0</v>
      </c>
      <c r="G66" s="12">
        <v>4</v>
      </c>
      <c r="H66" s="8">
        <v>2.96</v>
      </c>
      <c r="I66" s="12">
        <v>0</v>
      </c>
    </row>
    <row r="67" spans="2:9" ht="15" customHeight="1" x14ac:dyDescent="0.2">
      <c r="B67" t="s">
        <v>306</v>
      </c>
      <c r="C67" s="12">
        <v>4</v>
      </c>
      <c r="D67" s="8">
        <v>1.45</v>
      </c>
      <c r="E67" s="12">
        <v>3</v>
      </c>
      <c r="F67" s="8">
        <v>2.38</v>
      </c>
      <c r="G67" s="12">
        <v>1</v>
      </c>
      <c r="H67" s="8">
        <v>0.74</v>
      </c>
      <c r="I67" s="12">
        <v>0</v>
      </c>
    </row>
    <row r="69" spans="2:9" ht="15" customHeight="1" x14ac:dyDescent="0.2">
      <c r="B69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6125-B23F-4A47-851B-993FBD7F5DAF}">
  <sheetPr>
    <pageSetUpPr fitToPage="1"/>
  </sheetPr>
  <dimension ref="B2:I71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620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43</v>
      </c>
      <c r="D6" s="8">
        <v>13.44</v>
      </c>
      <c r="E6" s="12">
        <v>15</v>
      </c>
      <c r="F6" s="8">
        <v>8.57</v>
      </c>
      <c r="G6" s="12">
        <v>28</v>
      </c>
      <c r="H6" s="8">
        <v>20</v>
      </c>
      <c r="I6" s="12">
        <v>0</v>
      </c>
    </row>
    <row r="7" spans="2:9" ht="15" customHeight="1" x14ac:dyDescent="0.2">
      <c r="B7" t="s">
        <v>192</v>
      </c>
      <c r="C7" s="12">
        <v>21</v>
      </c>
      <c r="D7" s="8">
        <v>6.56</v>
      </c>
      <c r="E7" s="12">
        <v>8</v>
      </c>
      <c r="F7" s="8">
        <v>4.57</v>
      </c>
      <c r="G7" s="12">
        <v>13</v>
      </c>
      <c r="H7" s="8">
        <v>9.2899999999999991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0.31</v>
      </c>
      <c r="E8" s="12">
        <v>0</v>
      </c>
      <c r="F8" s="8">
        <v>0</v>
      </c>
      <c r="G8" s="12">
        <v>1</v>
      </c>
      <c r="H8" s="8">
        <v>0.71</v>
      </c>
      <c r="I8" s="12">
        <v>0</v>
      </c>
    </row>
    <row r="9" spans="2:9" ht="15" customHeight="1" x14ac:dyDescent="0.2">
      <c r="B9" t="s">
        <v>194</v>
      </c>
      <c r="C9" s="12">
        <v>2</v>
      </c>
      <c r="D9" s="8">
        <v>0.63</v>
      </c>
      <c r="E9" s="12">
        <v>0</v>
      </c>
      <c r="F9" s="8">
        <v>0</v>
      </c>
      <c r="G9" s="12">
        <v>2</v>
      </c>
      <c r="H9" s="8">
        <v>1.43</v>
      </c>
      <c r="I9" s="12">
        <v>0</v>
      </c>
    </row>
    <row r="10" spans="2:9" ht="15" customHeight="1" x14ac:dyDescent="0.2">
      <c r="B10" t="s">
        <v>195</v>
      </c>
      <c r="C10" s="12">
        <v>4</v>
      </c>
      <c r="D10" s="8">
        <v>1.25</v>
      </c>
      <c r="E10" s="12">
        <v>0</v>
      </c>
      <c r="F10" s="8">
        <v>0</v>
      </c>
      <c r="G10" s="12">
        <v>3</v>
      </c>
      <c r="H10" s="8">
        <v>2.14</v>
      </c>
      <c r="I10" s="12">
        <v>1</v>
      </c>
    </row>
    <row r="11" spans="2:9" ht="15" customHeight="1" x14ac:dyDescent="0.2">
      <c r="B11" t="s">
        <v>196</v>
      </c>
      <c r="C11" s="12">
        <v>84</v>
      </c>
      <c r="D11" s="8">
        <v>26.25</v>
      </c>
      <c r="E11" s="12">
        <v>38</v>
      </c>
      <c r="F11" s="8">
        <v>21.71</v>
      </c>
      <c r="G11" s="12">
        <v>45</v>
      </c>
      <c r="H11" s="8">
        <v>32.14</v>
      </c>
      <c r="I11" s="12">
        <v>1</v>
      </c>
    </row>
    <row r="12" spans="2:9" ht="15" customHeight="1" x14ac:dyDescent="0.2">
      <c r="B12" t="s">
        <v>197</v>
      </c>
      <c r="C12" s="12">
        <v>1</v>
      </c>
      <c r="D12" s="8">
        <v>0.31</v>
      </c>
      <c r="E12" s="12">
        <v>0</v>
      </c>
      <c r="F12" s="8">
        <v>0</v>
      </c>
      <c r="G12" s="12">
        <v>1</v>
      </c>
      <c r="H12" s="8">
        <v>0.71</v>
      </c>
      <c r="I12" s="12">
        <v>0</v>
      </c>
    </row>
    <row r="13" spans="2:9" ht="15" customHeight="1" x14ac:dyDescent="0.2">
      <c r="B13" t="s">
        <v>198</v>
      </c>
      <c r="C13" s="12">
        <v>30</v>
      </c>
      <c r="D13" s="8">
        <v>9.3800000000000008</v>
      </c>
      <c r="E13" s="12">
        <v>22</v>
      </c>
      <c r="F13" s="8">
        <v>12.57</v>
      </c>
      <c r="G13" s="12">
        <v>7</v>
      </c>
      <c r="H13" s="8">
        <v>5</v>
      </c>
      <c r="I13" s="12">
        <v>0</v>
      </c>
    </row>
    <row r="14" spans="2:9" ht="15" customHeight="1" x14ac:dyDescent="0.2">
      <c r="B14" t="s">
        <v>199</v>
      </c>
      <c r="C14" s="12">
        <v>9</v>
      </c>
      <c r="D14" s="8">
        <v>2.81</v>
      </c>
      <c r="E14" s="12">
        <v>6</v>
      </c>
      <c r="F14" s="8">
        <v>3.43</v>
      </c>
      <c r="G14" s="12">
        <v>3</v>
      </c>
      <c r="H14" s="8">
        <v>2.14</v>
      </c>
      <c r="I14" s="12">
        <v>0</v>
      </c>
    </row>
    <row r="15" spans="2:9" ht="15" customHeight="1" x14ac:dyDescent="0.2">
      <c r="B15" t="s">
        <v>200</v>
      </c>
      <c r="C15" s="12">
        <v>46</v>
      </c>
      <c r="D15" s="8">
        <v>14.38</v>
      </c>
      <c r="E15" s="12">
        <v>34</v>
      </c>
      <c r="F15" s="8">
        <v>19.43</v>
      </c>
      <c r="G15" s="12">
        <v>11</v>
      </c>
      <c r="H15" s="8">
        <v>7.86</v>
      </c>
      <c r="I15" s="12">
        <v>0</v>
      </c>
    </row>
    <row r="16" spans="2:9" ht="15" customHeight="1" x14ac:dyDescent="0.2">
      <c r="B16" t="s">
        <v>201</v>
      </c>
      <c r="C16" s="12">
        <v>41</v>
      </c>
      <c r="D16" s="8">
        <v>12.81</v>
      </c>
      <c r="E16" s="12">
        <v>33</v>
      </c>
      <c r="F16" s="8">
        <v>18.86</v>
      </c>
      <c r="G16" s="12">
        <v>8</v>
      </c>
      <c r="H16" s="8">
        <v>5.71</v>
      </c>
      <c r="I16" s="12">
        <v>0</v>
      </c>
    </row>
    <row r="17" spans="2:9" ht="15" customHeight="1" x14ac:dyDescent="0.2">
      <c r="B17" t="s">
        <v>202</v>
      </c>
      <c r="C17" s="12">
        <v>7</v>
      </c>
      <c r="D17" s="8">
        <v>2.19</v>
      </c>
      <c r="E17" s="12">
        <v>5</v>
      </c>
      <c r="F17" s="8">
        <v>2.86</v>
      </c>
      <c r="G17" s="12">
        <v>1</v>
      </c>
      <c r="H17" s="8">
        <v>0.71</v>
      </c>
      <c r="I17" s="12">
        <v>0</v>
      </c>
    </row>
    <row r="18" spans="2:9" ht="15" customHeight="1" x14ac:dyDescent="0.2">
      <c r="B18" t="s">
        <v>203</v>
      </c>
      <c r="C18" s="12">
        <v>15</v>
      </c>
      <c r="D18" s="8">
        <v>4.6900000000000004</v>
      </c>
      <c r="E18" s="12">
        <v>8</v>
      </c>
      <c r="F18" s="8">
        <v>4.57</v>
      </c>
      <c r="G18" s="12">
        <v>7</v>
      </c>
      <c r="H18" s="8">
        <v>5</v>
      </c>
      <c r="I18" s="12">
        <v>0</v>
      </c>
    </row>
    <row r="19" spans="2:9" ht="15" customHeight="1" x14ac:dyDescent="0.2">
      <c r="B19" t="s">
        <v>204</v>
      </c>
      <c r="C19" s="12">
        <v>16</v>
      </c>
      <c r="D19" s="8">
        <v>5</v>
      </c>
      <c r="E19" s="12">
        <v>6</v>
      </c>
      <c r="F19" s="8">
        <v>3.43</v>
      </c>
      <c r="G19" s="12">
        <v>10</v>
      </c>
      <c r="H19" s="8">
        <v>7.14</v>
      </c>
      <c r="I19" s="12">
        <v>0</v>
      </c>
    </row>
    <row r="20" spans="2:9" ht="15" customHeight="1" x14ac:dyDescent="0.2">
      <c r="B20" s="9" t="s">
        <v>529</v>
      </c>
      <c r="C20" s="12">
        <f>SUM(LTBL_01429[総数／事業所数])</f>
        <v>320</v>
      </c>
      <c r="E20" s="12">
        <f>SUBTOTAL(109,LTBL_01429[個人／事業所数])</f>
        <v>175</v>
      </c>
      <c r="G20" s="12">
        <f>SUBTOTAL(109,LTBL_01429[法人／事業所数])</f>
        <v>140</v>
      </c>
      <c r="I20" s="12">
        <f>SUBTOTAL(109,LTBL_01429[法人以外の団体／事業所数])</f>
        <v>2</v>
      </c>
    </row>
    <row r="21" spans="2:9" ht="15" customHeight="1" x14ac:dyDescent="0.2">
      <c r="E21" s="11">
        <f>LTBL_01429[[#Totals],[個人／事業所数]]/LTBL_01429[[#Totals],[総数／事業所数]]</f>
        <v>0.546875</v>
      </c>
      <c r="G21" s="11">
        <f>LTBL_01429[[#Totals],[法人／事業所数]]/LTBL_01429[[#Totals],[総数／事業所数]]</f>
        <v>0.4375</v>
      </c>
      <c r="I21" s="11">
        <f>LTBL_01429[[#Totals],[法人以外の団体／事業所数]]/LTBL_01429[[#Totals],[総数／事業所数]]</f>
        <v>6.2500000000000003E-3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41</v>
      </c>
      <c r="D24" s="8">
        <v>12.81</v>
      </c>
      <c r="E24" s="12">
        <v>32</v>
      </c>
      <c r="F24" s="8">
        <v>18.29</v>
      </c>
      <c r="G24" s="12">
        <v>9</v>
      </c>
      <c r="H24" s="8">
        <v>6.43</v>
      </c>
      <c r="I24" s="12">
        <v>0</v>
      </c>
    </row>
    <row r="25" spans="2:9" ht="15" customHeight="1" x14ac:dyDescent="0.2">
      <c r="B25" t="s">
        <v>228</v>
      </c>
      <c r="C25" s="12">
        <v>35</v>
      </c>
      <c r="D25" s="8">
        <v>10.94</v>
      </c>
      <c r="E25" s="12">
        <v>32</v>
      </c>
      <c r="F25" s="8">
        <v>18.29</v>
      </c>
      <c r="G25" s="12">
        <v>3</v>
      </c>
      <c r="H25" s="8">
        <v>2.14</v>
      </c>
      <c r="I25" s="12">
        <v>0</v>
      </c>
    </row>
    <row r="26" spans="2:9" ht="15" customHeight="1" x14ac:dyDescent="0.2">
      <c r="B26" t="s">
        <v>223</v>
      </c>
      <c r="C26" s="12">
        <v>30</v>
      </c>
      <c r="D26" s="8">
        <v>9.3800000000000008</v>
      </c>
      <c r="E26" s="12">
        <v>11</v>
      </c>
      <c r="F26" s="8">
        <v>6.29</v>
      </c>
      <c r="G26" s="12">
        <v>19</v>
      </c>
      <c r="H26" s="8">
        <v>13.57</v>
      </c>
      <c r="I26" s="12">
        <v>0</v>
      </c>
    </row>
    <row r="27" spans="2:9" ht="15" customHeight="1" x14ac:dyDescent="0.2">
      <c r="B27" t="s">
        <v>224</v>
      </c>
      <c r="C27" s="12">
        <v>24</v>
      </c>
      <c r="D27" s="8">
        <v>7.5</v>
      </c>
      <c r="E27" s="12">
        <v>20</v>
      </c>
      <c r="F27" s="8">
        <v>11.43</v>
      </c>
      <c r="G27" s="12">
        <v>3</v>
      </c>
      <c r="H27" s="8">
        <v>2.14</v>
      </c>
      <c r="I27" s="12">
        <v>0</v>
      </c>
    </row>
    <row r="28" spans="2:9" ht="15" customHeight="1" x14ac:dyDescent="0.2">
      <c r="B28" t="s">
        <v>213</v>
      </c>
      <c r="C28" s="12">
        <v>19</v>
      </c>
      <c r="D28" s="8">
        <v>5.94</v>
      </c>
      <c r="E28" s="12">
        <v>6</v>
      </c>
      <c r="F28" s="8">
        <v>3.43</v>
      </c>
      <c r="G28" s="12">
        <v>13</v>
      </c>
      <c r="H28" s="8">
        <v>9.2899999999999991</v>
      </c>
      <c r="I28" s="12">
        <v>0</v>
      </c>
    </row>
    <row r="29" spans="2:9" ht="15" customHeight="1" x14ac:dyDescent="0.2">
      <c r="B29" t="s">
        <v>222</v>
      </c>
      <c r="C29" s="12">
        <v>16</v>
      </c>
      <c r="D29" s="8">
        <v>5</v>
      </c>
      <c r="E29" s="12">
        <v>9</v>
      </c>
      <c r="F29" s="8">
        <v>5.14</v>
      </c>
      <c r="G29" s="12">
        <v>7</v>
      </c>
      <c r="H29" s="8">
        <v>5</v>
      </c>
      <c r="I29" s="12">
        <v>0</v>
      </c>
    </row>
    <row r="30" spans="2:9" ht="15" customHeight="1" x14ac:dyDescent="0.2">
      <c r="B30" t="s">
        <v>214</v>
      </c>
      <c r="C30" s="12">
        <v>15</v>
      </c>
      <c r="D30" s="8">
        <v>4.6900000000000004</v>
      </c>
      <c r="E30" s="12">
        <v>6</v>
      </c>
      <c r="F30" s="8">
        <v>3.43</v>
      </c>
      <c r="G30" s="12">
        <v>9</v>
      </c>
      <c r="H30" s="8">
        <v>6.43</v>
      </c>
      <c r="I30" s="12">
        <v>0</v>
      </c>
    </row>
    <row r="31" spans="2:9" ht="15" customHeight="1" x14ac:dyDescent="0.2">
      <c r="B31" t="s">
        <v>221</v>
      </c>
      <c r="C31" s="12">
        <v>12</v>
      </c>
      <c r="D31" s="8">
        <v>3.75</v>
      </c>
      <c r="E31" s="12">
        <v>7</v>
      </c>
      <c r="F31" s="8">
        <v>4</v>
      </c>
      <c r="G31" s="12">
        <v>4</v>
      </c>
      <c r="H31" s="8">
        <v>2.86</v>
      </c>
      <c r="I31" s="12">
        <v>1</v>
      </c>
    </row>
    <row r="32" spans="2:9" ht="15" customHeight="1" x14ac:dyDescent="0.2">
      <c r="B32" t="s">
        <v>240</v>
      </c>
      <c r="C32" s="12">
        <v>10</v>
      </c>
      <c r="D32" s="8">
        <v>3.13</v>
      </c>
      <c r="E32" s="12">
        <v>5</v>
      </c>
      <c r="F32" s="8">
        <v>2.86</v>
      </c>
      <c r="G32" s="12">
        <v>5</v>
      </c>
      <c r="H32" s="8">
        <v>3.57</v>
      </c>
      <c r="I32" s="12">
        <v>0</v>
      </c>
    </row>
    <row r="33" spans="2:9" ht="15" customHeight="1" x14ac:dyDescent="0.2">
      <c r="B33" t="s">
        <v>215</v>
      </c>
      <c r="C33" s="12">
        <v>9</v>
      </c>
      <c r="D33" s="8">
        <v>2.81</v>
      </c>
      <c r="E33" s="12">
        <v>3</v>
      </c>
      <c r="F33" s="8">
        <v>1.71</v>
      </c>
      <c r="G33" s="12">
        <v>6</v>
      </c>
      <c r="H33" s="8">
        <v>4.29</v>
      </c>
      <c r="I33" s="12">
        <v>0</v>
      </c>
    </row>
    <row r="34" spans="2:9" ht="15" customHeight="1" x14ac:dyDescent="0.2">
      <c r="B34" t="s">
        <v>231</v>
      </c>
      <c r="C34" s="12">
        <v>9</v>
      </c>
      <c r="D34" s="8">
        <v>2.81</v>
      </c>
      <c r="E34" s="12">
        <v>8</v>
      </c>
      <c r="F34" s="8">
        <v>4.57</v>
      </c>
      <c r="G34" s="12">
        <v>1</v>
      </c>
      <c r="H34" s="8">
        <v>0.71</v>
      </c>
      <c r="I34" s="12">
        <v>0</v>
      </c>
    </row>
    <row r="35" spans="2:9" ht="15" customHeight="1" x14ac:dyDescent="0.2">
      <c r="B35" t="s">
        <v>230</v>
      </c>
      <c r="C35" s="12">
        <v>7</v>
      </c>
      <c r="D35" s="8">
        <v>2.19</v>
      </c>
      <c r="E35" s="12">
        <v>5</v>
      </c>
      <c r="F35" s="8">
        <v>2.86</v>
      </c>
      <c r="G35" s="12">
        <v>1</v>
      </c>
      <c r="H35" s="8">
        <v>0.71</v>
      </c>
      <c r="I35" s="12">
        <v>0</v>
      </c>
    </row>
    <row r="36" spans="2:9" ht="15" customHeight="1" x14ac:dyDescent="0.2">
      <c r="B36" t="s">
        <v>220</v>
      </c>
      <c r="C36" s="12">
        <v>6</v>
      </c>
      <c r="D36" s="8">
        <v>1.88</v>
      </c>
      <c r="E36" s="12">
        <v>5</v>
      </c>
      <c r="F36" s="8">
        <v>2.86</v>
      </c>
      <c r="G36" s="12">
        <v>1</v>
      </c>
      <c r="H36" s="8">
        <v>0.71</v>
      </c>
      <c r="I36" s="12">
        <v>0</v>
      </c>
    </row>
    <row r="37" spans="2:9" ht="15" customHeight="1" x14ac:dyDescent="0.2">
      <c r="B37" t="s">
        <v>232</v>
      </c>
      <c r="C37" s="12">
        <v>6</v>
      </c>
      <c r="D37" s="8">
        <v>1.88</v>
      </c>
      <c r="E37" s="12">
        <v>0</v>
      </c>
      <c r="F37" s="8">
        <v>0</v>
      </c>
      <c r="G37" s="12">
        <v>6</v>
      </c>
      <c r="H37" s="8">
        <v>4.29</v>
      </c>
      <c r="I37" s="12">
        <v>0</v>
      </c>
    </row>
    <row r="38" spans="2:9" ht="15" customHeight="1" x14ac:dyDescent="0.2">
      <c r="B38" t="s">
        <v>216</v>
      </c>
      <c r="C38" s="12">
        <v>5</v>
      </c>
      <c r="D38" s="8">
        <v>1.56</v>
      </c>
      <c r="E38" s="12">
        <v>1</v>
      </c>
      <c r="F38" s="8">
        <v>0.56999999999999995</v>
      </c>
      <c r="G38" s="12">
        <v>4</v>
      </c>
      <c r="H38" s="8">
        <v>2.86</v>
      </c>
      <c r="I38" s="12">
        <v>0</v>
      </c>
    </row>
    <row r="39" spans="2:9" ht="15" customHeight="1" x14ac:dyDescent="0.2">
      <c r="B39" t="s">
        <v>217</v>
      </c>
      <c r="C39" s="12">
        <v>5</v>
      </c>
      <c r="D39" s="8">
        <v>1.56</v>
      </c>
      <c r="E39" s="12">
        <v>1</v>
      </c>
      <c r="F39" s="8">
        <v>0.56999999999999995</v>
      </c>
      <c r="G39" s="12">
        <v>4</v>
      </c>
      <c r="H39" s="8">
        <v>2.86</v>
      </c>
      <c r="I39" s="12">
        <v>0</v>
      </c>
    </row>
    <row r="40" spans="2:9" ht="15" customHeight="1" x14ac:dyDescent="0.2">
      <c r="B40" t="s">
        <v>218</v>
      </c>
      <c r="C40" s="12">
        <v>5</v>
      </c>
      <c r="D40" s="8">
        <v>1.56</v>
      </c>
      <c r="E40" s="12">
        <v>2</v>
      </c>
      <c r="F40" s="8">
        <v>1.1399999999999999</v>
      </c>
      <c r="G40" s="12">
        <v>3</v>
      </c>
      <c r="H40" s="8">
        <v>2.14</v>
      </c>
      <c r="I40" s="12">
        <v>0</v>
      </c>
    </row>
    <row r="41" spans="2:9" ht="15" customHeight="1" x14ac:dyDescent="0.2">
      <c r="B41" t="s">
        <v>225</v>
      </c>
      <c r="C41" s="12">
        <v>5</v>
      </c>
      <c r="D41" s="8">
        <v>1.56</v>
      </c>
      <c r="E41" s="12">
        <v>5</v>
      </c>
      <c r="F41" s="8">
        <v>2.86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241</v>
      </c>
      <c r="C42" s="12">
        <v>4</v>
      </c>
      <c r="D42" s="8">
        <v>1.25</v>
      </c>
      <c r="E42" s="12">
        <v>1</v>
      </c>
      <c r="F42" s="8">
        <v>0.56999999999999995</v>
      </c>
      <c r="G42" s="12">
        <v>3</v>
      </c>
      <c r="H42" s="8">
        <v>2.14</v>
      </c>
      <c r="I42" s="12">
        <v>0</v>
      </c>
    </row>
    <row r="43" spans="2:9" ht="15" customHeight="1" x14ac:dyDescent="0.2">
      <c r="B43" t="s">
        <v>226</v>
      </c>
      <c r="C43" s="12">
        <v>4</v>
      </c>
      <c r="D43" s="8">
        <v>1.25</v>
      </c>
      <c r="E43" s="12">
        <v>1</v>
      </c>
      <c r="F43" s="8">
        <v>0.56999999999999995</v>
      </c>
      <c r="G43" s="12">
        <v>3</v>
      </c>
      <c r="H43" s="8">
        <v>2.14</v>
      </c>
      <c r="I43" s="12">
        <v>0</v>
      </c>
    </row>
    <row r="44" spans="2:9" ht="15" customHeight="1" x14ac:dyDescent="0.2">
      <c r="B44" t="s">
        <v>239</v>
      </c>
      <c r="C44" s="12">
        <v>4</v>
      </c>
      <c r="D44" s="8">
        <v>1.25</v>
      </c>
      <c r="E44" s="12">
        <v>1</v>
      </c>
      <c r="F44" s="8">
        <v>0.56999999999999995</v>
      </c>
      <c r="G44" s="12">
        <v>2</v>
      </c>
      <c r="H44" s="8">
        <v>1.43</v>
      </c>
      <c r="I44" s="12">
        <v>0</v>
      </c>
    </row>
    <row r="45" spans="2:9" ht="15" customHeight="1" x14ac:dyDescent="0.2">
      <c r="B45" t="s">
        <v>229</v>
      </c>
      <c r="C45" s="12">
        <v>4</v>
      </c>
      <c r="D45" s="8">
        <v>1.25</v>
      </c>
      <c r="E45" s="12">
        <v>0</v>
      </c>
      <c r="F45" s="8">
        <v>0</v>
      </c>
      <c r="G45" s="12">
        <v>4</v>
      </c>
      <c r="H45" s="8">
        <v>2.86</v>
      </c>
      <c r="I45" s="12">
        <v>0</v>
      </c>
    </row>
    <row r="46" spans="2:9" ht="15" customHeight="1" x14ac:dyDescent="0.2">
      <c r="B46" t="s">
        <v>234</v>
      </c>
      <c r="C46" s="12">
        <v>4</v>
      </c>
      <c r="D46" s="8">
        <v>1.25</v>
      </c>
      <c r="E46" s="12">
        <v>1</v>
      </c>
      <c r="F46" s="8">
        <v>0.56999999999999995</v>
      </c>
      <c r="G46" s="12">
        <v>3</v>
      </c>
      <c r="H46" s="8">
        <v>2.14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297</v>
      </c>
      <c r="C50" s="12">
        <v>23</v>
      </c>
      <c r="D50" s="8">
        <v>7.19</v>
      </c>
      <c r="E50" s="12">
        <v>20</v>
      </c>
      <c r="F50" s="8">
        <v>11.43</v>
      </c>
      <c r="G50" s="12">
        <v>2</v>
      </c>
      <c r="H50" s="8">
        <v>1.43</v>
      </c>
      <c r="I50" s="12">
        <v>0</v>
      </c>
    </row>
    <row r="51" spans="2:9" ht="15" customHeight="1" x14ac:dyDescent="0.2">
      <c r="B51" t="s">
        <v>304</v>
      </c>
      <c r="C51" s="12">
        <v>17</v>
      </c>
      <c r="D51" s="8">
        <v>5.31</v>
      </c>
      <c r="E51" s="12">
        <v>16</v>
      </c>
      <c r="F51" s="8">
        <v>9.14</v>
      </c>
      <c r="G51" s="12">
        <v>1</v>
      </c>
      <c r="H51" s="8">
        <v>0.71</v>
      </c>
      <c r="I51" s="12">
        <v>0</v>
      </c>
    </row>
    <row r="52" spans="2:9" ht="15" customHeight="1" x14ac:dyDescent="0.2">
      <c r="B52" t="s">
        <v>303</v>
      </c>
      <c r="C52" s="12">
        <v>13</v>
      </c>
      <c r="D52" s="8">
        <v>4.0599999999999996</v>
      </c>
      <c r="E52" s="12">
        <v>13</v>
      </c>
      <c r="F52" s="8">
        <v>7.43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301</v>
      </c>
      <c r="C53" s="12">
        <v>12</v>
      </c>
      <c r="D53" s="8">
        <v>3.75</v>
      </c>
      <c r="E53" s="12">
        <v>12</v>
      </c>
      <c r="F53" s="8">
        <v>6.86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307</v>
      </c>
      <c r="C54" s="12">
        <v>10</v>
      </c>
      <c r="D54" s="8">
        <v>3.13</v>
      </c>
      <c r="E54" s="12">
        <v>5</v>
      </c>
      <c r="F54" s="8">
        <v>2.86</v>
      </c>
      <c r="G54" s="12">
        <v>5</v>
      </c>
      <c r="H54" s="8">
        <v>3.57</v>
      </c>
      <c r="I54" s="12">
        <v>0</v>
      </c>
    </row>
    <row r="55" spans="2:9" ht="15" customHeight="1" x14ac:dyDescent="0.2">
      <c r="B55" t="s">
        <v>294</v>
      </c>
      <c r="C55" s="12">
        <v>9</v>
      </c>
      <c r="D55" s="8">
        <v>2.81</v>
      </c>
      <c r="E55" s="12">
        <v>2</v>
      </c>
      <c r="F55" s="8">
        <v>1.1399999999999999</v>
      </c>
      <c r="G55" s="12">
        <v>7</v>
      </c>
      <c r="H55" s="8">
        <v>5</v>
      </c>
      <c r="I55" s="12">
        <v>0</v>
      </c>
    </row>
    <row r="56" spans="2:9" ht="15" customHeight="1" x14ac:dyDescent="0.2">
      <c r="B56" t="s">
        <v>329</v>
      </c>
      <c r="C56" s="12">
        <v>8</v>
      </c>
      <c r="D56" s="8">
        <v>2.5</v>
      </c>
      <c r="E56" s="12">
        <v>4</v>
      </c>
      <c r="F56" s="8">
        <v>2.29</v>
      </c>
      <c r="G56" s="12">
        <v>3</v>
      </c>
      <c r="H56" s="8">
        <v>2.14</v>
      </c>
      <c r="I56" s="12">
        <v>1</v>
      </c>
    </row>
    <row r="57" spans="2:9" ht="15" customHeight="1" x14ac:dyDescent="0.2">
      <c r="B57" t="s">
        <v>335</v>
      </c>
      <c r="C57" s="12">
        <v>8</v>
      </c>
      <c r="D57" s="8">
        <v>2.5</v>
      </c>
      <c r="E57" s="12">
        <v>6</v>
      </c>
      <c r="F57" s="8">
        <v>3.43</v>
      </c>
      <c r="G57" s="12">
        <v>2</v>
      </c>
      <c r="H57" s="8">
        <v>1.43</v>
      </c>
      <c r="I57" s="12">
        <v>0</v>
      </c>
    </row>
    <row r="58" spans="2:9" ht="15" customHeight="1" x14ac:dyDescent="0.2">
      <c r="B58" t="s">
        <v>288</v>
      </c>
      <c r="C58" s="12">
        <v>7</v>
      </c>
      <c r="D58" s="8">
        <v>2.19</v>
      </c>
      <c r="E58" s="12">
        <v>1</v>
      </c>
      <c r="F58" s="8">
        <v>0.56999999999999995</v>
      </c>
      <c r="G58" s="12">
        <v>6</v>
      </c>
      <c r="H58" s="8">
        <v>4.29</v>
      </c>
      <c r="I58" s="12">
        <v>0</v>
      </c>
    </row>
    <row r="59" spans="2:9" ht="15" customHeight="1" x14ac:dyDescent="0.2">
      <c r="B59" t="s">
        <v>299</v>
      </c>
      <c r="C59" s="12">
        <v>7</v>
      </c>
      <c r="D59" s="8">
        <v>2.19</v>
      </c>
      <c r="E59" s="12">
        <v>5</v>
      </c>
      <c r="F59" s="8">
        <v>2.86</v>
      </c>
      <c r="G59" s="12">
        <v>2</v>
      </c>
      <c r="H59" s="8">
        <v>1.43</v>
      </c>
      <c r="I59" s="12">
        <v>0</v>
      </c>
    </row>
    <row r="60" spans="2:9" ht="15" customHeight="1" x14ac:dyDescent="0.2">
      <c r="B60" t="s">
        <v>293</v>
      </c>
      <c r="C60" s="12">
        <v>6</v>
      </c>
      <c r="D60" s="8">
        <v>1.88</v>
      </c>
      <c r="E60" s="12">
        <v>1</v>
      </c>
      <c r="F60" s="8">
        <v>0.56999999999999995</v>
      </c>
      <c r="G60" s="12">
        <v>5</v>
      </c>
      <c r="H60" s="8">
        <v>3.57</v>
      </c>
      <c r="I60" s="12">
        <v>0</v>
      </c>
    </row>
    <row r="61" spans="2:9" ht="15" customHeight="1" x14ac:dyDescent="0.2">
      <c r="B61" t="s">
        <v>330</v>
      </c>
      <c r="C61" s="12">
        <v>6</v>
      </c>
      <c r="D61" s="8">
        <v>1.88</v>
      </c>
      <c r="E61" s="12">
        <v>2</v>
      </c>
      <c r="F61" s="8">
        <v>1.1399999999999999</v>
      </c>
      <c r="G61" s="12">
        <v>4</v>
      </c>
      <c r="H61" s="8">
        <v>2.86</v>
      </c>
      <c r="I61" s="12">
        <v>0</v>
      </c>
    </row>
    <row r="62" spans="2:9" ht="15" customHeight="1" x14ac:dyDescent="0.2">
      <c r="B62" t="s">
        <v>295</v>
      </c>
      <c r="C62" s="12">
        <v>6</v>
      </c>
      <c r="D62" s="8">
        <v>1.88</v>
      </c>
      <c r="E62" s="12">
        <v>3</v>
      </c>
      <c r="F62" s="8">
        <v>1.71</v>
      </c>
      <c r="G62" s="12">
        <v>3</v>
      </c>
      <c r="H62" s="8">
        <v>2.14</v>
      </c>
      <c r="I62" s="12">
        <v>0</v>
      </c>
    </row>
    <row r="63" spans="2:9" ht="15" customHeight="1" x14ac:dyDescent="0.2">
      <c r="B63" t="s">
        <v>289</v>
      </c>
      <c r="C63" s="12">
        <v>5</v>
      </c>
      <c r="D63" s="8">
        <v>1.56</v>
      </c>
      <c r="E63" s="12">
        <v>2</v>
      </c>
      <c r="F63" s="8">
        <v>1.1399999999999999</v>
      </c>
      <c r="G63" s="12">
        <v>3</v>
      </c>
      <c r="H63" s="8">
        <v>2.14</v>
      </c>
      <c r="I63" s="12">
        <v>0</v>
      </c>
    </row>
    <row r="64" spans="2:9" ht="15" customHeight="1" x14ac:dyDescent="0.2">
      <c r="B64" t="s">
        <v>328</v>
      </c>
      <c r="C64" s="12">
        <v>5</v>
      </c>
      <c r="D64" s="8">
        <v>1.56</v>
      </c>
      <c r="E64" s="12">
        <v>2</v>
      </c>
      <c r="F64" s="8">
        <v>1.1399999999999999</v>
      </c>
      <c r="G64" s="12">
        <v>3</v>
      </c>
      <c r="H64" s="8">
        <v>2.14</v>
      </c>
      <c r="I64" s="12">
        <v>0</v>
      </c>
    </row>
    <row r="65" spans="2:9" ht="15" customHeight="1" x14ac:dyDescent="0.2">
      <c r="B65" t="s">
        <v>291</v>
      </c>
      <c r="C65" s="12">
        <v>5</v>
      </c>
      <c r="D65" s="8">
        <v>1.56</v>
      </c>
      <c r="E65" s="12">
        <v>2</v>
      </c>
      <c r="F65" s="8">
        <v>1.1399999999999999</v>
      </c>
      <c r="G65" s="12">
        <v>3</v>
      </c>
      <c r="H65" s="8">
        <v>2.14</v>
      </c>
      <c r="I65" s="12">
        <v>0</v>
      </c>
    </row>
    <row r="66" spans="2:9" ht="15" customHeight="1" x14ac:dyDescent="0.2">
      <c r="B66" t="s">
        <v>334</v>
      </c>
      <c r="C66" s="12">
        <v>5</v>
      </c>
      <c r="D66" s="8">
        <v>1.56</v>
      </c>
      <c r="E66" s="12">
        <v>4</v>
      </c>
      <c r="F66" s="8">
        <v>2.29</v>
      </c>
      <c r="G66" s="12">
        <v>1</v>
      </c>
      <c r="H66" s="8">
        <v>0.71</v>
      </c>
      <c r="I66" s="12">
        <v>0</v>
      </c>
    </row>
    <row r="67" spans="2:9" ht="15" customHeight="1" x14ac:dyDescent="0.2">
      <c r="B67" t="s">
        <v>300</v>
      </c>
      <c r="C67" s="12">
        <v>5</v>
      </c>
      <c r="D67" s="8">
        <v>1.56</v>
      </c>
      <c r="E67" s="12">
        <v>3</v>
      </c>
      <c r="F67" s="8">
        <v>1.71</v>
      </c>
      <c r="G67" s="12">
        <v>2</v>
      </c>
      <c r="H67" s="8">
        <v>1.43</v>
      </c>
      <c r="I67" s="12">
        <v>0</v>
      </c>
    </row>
    <row r="68" spans="2:9" ht="15" customHeight="1" x14ac:dyDescent="0.2">
      <c r="B68" t="s">
        <v>302</v>
      </c>
      <c r="C68" s="12">
        <v>5</v>
      </c>
      <c r="D68" s="8">
        <v>1.56</v>
      </c>
      <c r="E68" s="12">
        <v>3</v>
      </c>
      <c r="F68" s="8">
        <v>1.71</v>
      </c>
      <c r="G68" s="12">
        <v>2</v>
      </c>
      <c r="H68" s="8">
        <v>1.43</v>
      </c>
      <c r="I68" s="12">
        <v>0</v>
      </c>
    </row>
    <row r="69" spans="2:9" ht="15" customHeight="1" x14ac:dyDescent="0.2">
      <c r="B69" t="s">
        <v>306</v>
      </c>
      <c r="C69" s="12">
        <v>5</v>
      </c>
      <c r="D69" s="8">
        <v>1.56</v>
      </c>
      <c r="E69" s="12">
        <v>4</v>
      </c>
      <c r="F69" s="8">
        <v>2.29</v>
      </c>
      <c r="G69" s="12">
        <v>1</v>
      </c>
      <c r="H69" s="8">
        <v>0.71</v>
      </c>
      <c r="I69" s="12">
        <v>0</v>
      </c>
    </row>
    <row r="71" spans="2:9" ht="15" customHeight="1" x14ac:dyDescent="0.2">
      <c r="B71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CCAF1-65EF-4C99-A6A3-F9358534C791}">
  <sheetPr>
    <pageSetUpPr fitToPage="1"/>
  </sheetPr>
  <dimension ref="B2:I10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621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13</v>
      </c>
      <c r="D6" s="8">
        <v>18.57</v>
      </c>
      <c r="E6" s="12">
        <v>5</v>
      </c>
      <c r="F6" s="8">
        <v>15.15</v>
      </c>
      <c r="G6" s="12">
        <v>8</v>
      </c>
      <c r="H6" s="8">
        <v>22.22</v>
      </c>
      <c r="I6" s="12">
        <v>0</v>
      </c>
    </row>
    <row r="7" spans="2:9" ht="15" customHeight="1" x14ac:dyDescent="0.2">
      <c r="B7" t="s">
        <v>192</v>
      </c>
      <c r="C7" s="12">
        <v>8</v>
      </c>
      <c r="D7" s="8">
        <v>11.43</v>
      </c>
      <c r="E7" s="12">
        <v>2</v>
      </c>
      <c r="F7" s="8">
        <v>6.06</v>
      </c>
      <c r="G7" s="12">
        <v>6</v>
      </c>
      <c r="H7" s="8">
        <v>16.670000000000002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1.43</v>
      </c>
      <c r="E10" s="12">
        <v>0</v>
      </c>
      <c r="F10" s="8">
        <v>0</v>
      </c>
      <c r="G10" s="12">
        <v>1</v>
      </c>
      <c r="H10" s="8">
        <v>2.78</v>
      </c>
      <c r="I10" s="12">
        <v>0</v>
      </c>
    </row>
    <row r="11" spans="2:9" ht="15" customHeight="1" x14ac:dyDescent="0.2">
      <c r="B11" t="s">
        <v>196</v>
      </c>
      <c r="C11" s="12">
        <v>17</v>
      </c>
      <c r="D11" s="8">
        <v>24.29</v>
      </c>
      <c r="E11" s="12">
        <v>9</v>
      </c>
      <c r="F11" s="8">
        <v>27.27</v>
      </c>
      <c r="G11" s="12">
        <v>8</v>
      </c>
      <c r="H11" s="8">
        <v>22.22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4.29</v>
      </c>
      <c r="E13" s="12">
        <v>3</v>
      </c>
      <c r="F13" s="8">
        <v>9.09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11</v>
      </c>
      <c r="D15" s="8">
        <v>15.71</v>
      </c>
      <c r="E15" s="12">
        <v>7</v>
      </c>
      <c r="F15" s="8">
        <v>21.21</v>
      </c>
      <c r="G15" s="12">
        <v>4</v>
      </c>
      <c r="H15" s="8">
        <v>11.11</v>
      </c>
      <c r="I15" s="12">
        <v>0</v>
      </c>
    </row>
    <row r="16" spans="2:9" ht="15" customHeight="1" x14ac:dyDescent="0.2">
      <c r="B16" t="s">
        <v>201</v>
      </c>
      <c r="C16" s="12">
        <v>6</v>
      </c>
      <c r="D16" s="8">
        <v>8.57</v>
      </c>
      <c r="E16" s="12">
        <v>5</v>
      </c>
      <c r="F16" s="8">
        <v>15.15</v>
      </c>
      <c r="G16" s="12">
        <v>1</v>
      </c>
      <c r="H16" s="8">
        <v>2.78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4.29</v>
      </c>
      <c r="E17" s="12">
        <v>2</v>
      </c>
      <c r="F17" s="8">
        <v>6.06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4</v>
      </c>
      <c r="D18" s="8">
        <v>5.71</v>
      </c>
      <c r="E18" s="12">
        <v>0</v>
      </c>
      <c r="F18" s="8">
        <v>0</v>
      </c>
      <c r="G18" s="12">
        <v>4</v>
      </c>
      <c r="H18" s="8">
        <v>11.11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5.71</v>
      </c>
      <c r="E19" s="12">
        <v>0</v>
      </c>
      <c r="F19" s="8">
        <v>0</v>
      </c>
      <c r="G19" s="12">
        <v>4</v>
      </c>
      <c r="H19" s="8">
        <v>11.11</v>
      </c>
      <c r="I19" s="12">
        <v>0</v>
      </c>
    </row>
    <row r="20" spans="2:9" ht="15" customHeight="1" x14ac:dyDescent="0.2">
      <c r="B20" s="9" t="s">
        <v>529</v>
      </c>
      <c r="C20" s="12">
        <f>SUM(LTBL_01430[総数／事業所数])</f>
        <v>70</v>
      </c>
      <c r="E20" s="12">
        <f>SUBTOTAL(109,LTBL_01430[個人／事業所数])</f>
        <v>33</v>
      </c>
      <c r="G20" s="12">
        <f>SUBTOTAL(109,LTBL_01430[法人／事業所数])</f>
        <v>36</v>
      </c>
      <c r="I20" s="12">
        <f>SUBTOTAL(109,LTBL_01430[法人以外の団体／事業所数])</f>
        <v>0</v>
      </c>
    </row>
    <row r="21" spans="2:9" ht="15" customHeight="1" x14ac:dyDescent="0.2">
      <c r="E21" s="11">
        <f>LTBL_01430[[#Totals],[個人／事業所数]]/LTBL_01430[[#Totals],[総数／事業所数]]</f>
        <v>0.47142857142857142</v>
      </c>
      <c r="G21" s="11">
        <f>LTBL_01430[[#Totals],[法人／事業所数]]/LTBL_01430[[#Totals],[総数／事業所数]]</f>
        <v>0.51428571428571423</v>
      </c>
      <c r="I21" s="11">
        <f>LTBL_01430[[#Totals],[法人以外の団体／事業所数]]/LTBL_01430[[#Totals],[総数／事業所数]]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8</v>
      </c>
      <c r="D24" s="8">
        <v>11.43</v>
      </c>
      <c r="E24" s="12">
        <v>4</v>
      </c>
      <c r="F24" s="8">
        <v>12.12</v>
      </c>
      <c r="G24" s="12">
        <v>4</v>
      </c>
      <c r="H24" s="8">
        <v>11.11</v>
      </c>
      <c r="I24" s="12">
        <v>0</v>
      </c>
    </row>
    <row r="25" spans="2:9" ht="15" customHeight="1" x14ac:dyDescent="0.2">
      <c r="B25" t="s">
        <v>227</v>
      </c>
      <c r="C25" s="12">
        <v>8</v>
      </c>
      <c r="D25" s="8">
        <v>11.43</v>
      </c>
      <c r="E25" s="12">
        <v>7</v>
      </c>
      <c r="F25" s="8">
        <v>21.21</v>
      </c>
      <c r="G25" s="12">
        <v>1</v>
      </c>
      <c r="H25" s="8">
        <v>2.78</v>
      </c>
      <c r="I25" s="12">
        <v>0</v>
      </c>
    </row>
    <row r="26" spans="2:9" ht="15" customHeight="1" x14ac:dyDescent="0.2">
      <c r="B26" t="s">
        <v>221</v>
      </c>
      <c r="C26" s="12">
        <v>7</v>
      </c>
      <c r="D26" s="8">
        <v>10</v>
      </c>
      <c r="E26" s="12">
        <v>4</v>
      </c>
      <c r="F26" s="8">
        <v>12.12</v>
      </c>
      <c r="G26" s="12">
        <v>3</v>
      </c>
      <c r="H26" s="8">
        <v>8.33</v>
      </c>
      <c r="I26" s="12">
        <v>0</v>
      </c>
    </row>
    <row r="27" spans="2:9" ht="15" customHeight="1" x14ac:dyDescent="0.2">
      <c r="B27" t="s">
        <v>213</v>
      </c>
      <c r="C27" s="12">
        <v>6</v>
      </c>
      <c r="D27" s="8">
        <v>8.57</v>
      </c>
      <c r="E27" s="12">
        <v>1</v>
      </c>
      <c r="F27" s="8">
        <v>3.03</v>
      </c>
      <c r="G27" s="12">
        <v>5</v>
      </c>
      <c r="H27" s="8">
        <v>13.89</v>
      </c>
      <c r="I27" s="12">
        <v>0</v>
      </c>
    </row>
    <row r="28" spans="2:9" ht="15" customHeight="1" x14ac:dyDescent="0.2">
      <c r="B28" t="s">
        <v>214</v>
      </c>
      <c r="C28" s="12">
        <v>5</v>
      </c>
      <c r="D28" s="8">
        <v>7.14</v>
      </c>
      <c r="E28" s="12">
        <v>4</v>
      </c>
      <c r="F28" s="8">
        <v>12.12</v>
      </c>
      <c r="G28" s="12">
        <v>1</v>
      </c>
      <c r="H28" s="8">
        <v>2.78</v>
      </c>
      <c r="I28" s="12">
        <v>0</v>
      </c>
    </row>
    <row r="29" spans="2:9" ht="15" customHeight="1" x14ac:dyDescent="0.2">
      <c r="B29" t="s">
        <v>232</v>
      </c>
      <c r="C29" s="12">
        <v>4</v>
      </c>
      <c r="D29" s="8">
        <v>5.71</v>
      </c>
      <c r="E29" s="12">
        <v>0</v>
      </c>
      <c r="F29" s="8">
        <v>0</v>
      </c>
      <c r="G29" s="12">
        <v>4</v>
      </c>
      <c r="H29" s="8">
        <v>11.11</v>
      </c>
      <c r="I29" s="12">
        <v>0</v>
      </c>
    </row>
    <row r="30" spans="2:9" ht="15" customHeight="1" x14ac:dyDescent="0.2">
      <c r="B30" t="s">
        <v>224</v>
      </c>
      <c r="C30" s="12">
        <v>3</v>
      </c>
      <c r="D30" s="8">
        <v>4.29</v>
      </c>
      <c r="E30" s="12">
        <v>3</v>
      </c>
      <c r="F30" s="8">
        <v>9.09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239</v>
      </c>
      <c r="C31" s="12">
        <v>3</v>
      </c>
      <c r="D31" s="8">
        <v>4.29</v>
      </c>
      <c r="E31" s="12">
        <v>0</v>
      </c>
      <c r="F31" s="8">
        <v>0</v>
      </c>
      <c r="G31" s="12">
        <v>3</v>
      </c>
      <c r="H31" s="8">
        <v>8.33</v>
      </c>
      <c r="I31" s="12">
        <v>0</v>
      </c>
    </row>
    <row r="32" spans="2:9" ht="15" customHeight="1" x14ac:dyDescent="0.2">
      <c r="B32" t="s">
        <v>228</v>
      </c>
      <c r="C32" s="12">
        <v>3</v>
      </c>
      <c r="D32" s="8">
        <v>4.29</v>
      </c>
      <c r="E32" s="12">
        <v>3</v>
      </c>
      <c r="F32" s="8">
        <v>9.09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230</v>
      </c>
      <c r="C33" s="12">
        <v>3</v>
      </c>
      <c r="D33" s="8">
        <v>4.29</v>
      </c>
      <c r="E33" s="12">
        <v>2</v>
      </c>
      <c r="F33" s="8">
        <v>6.06</v>
      </c>
      <c r="G33" s="12">
        <v>0</v>
      </c>
      <c r="H33" s="8">
        <v>0</v>
      </c>
      <c r="I33" s="12">
        <v>0</v>
      </c>
    </row>
    <row r="34" spans="2:9" ht="15" customHeight="1" x14ac:dyDescent="0.2">
      <c r="B34" t="s">
        <v>215</v>
      </c>
      <c r="C34" s="12">
        <v>2</v>
      </c>
      <c r="D34" s="8">
        <v>2.86</v>
      </c>
      <c r="E34" s="12">
        <v>0</v>
      </c>
      <c r="F34" s="8">
        <v>0</v>
      </c>
      <c r="G34" s="12">
        <v>2</v>
      </c>
      <c r="H34" s="8">
        <v>5.56</v>
      </c>
      <c r="I34" s="12">
        <v>0</v>
      </c>
    </row>
    <row r="35" spans="2:9" ht="15" customHeight="1" x14ac:dyDescent="0.2">
      <c r="B35" t="s">
        <v>262</v>
      </c>
      <c r="C35" s="12">
        <v>2</v>
      </c>
      <c r="D35" s="8">
        <v>2.86</v>
      </c>
      <c r="E35" s="12">
        <v>0</v>
      </c>
      <c r="F35" s="8">
        <v>0</v>
      </c>
      <c r="G35" s="12">
        <v>2</v>
      </c>
      <c r="H35" s="8">
        <v>5.56</v>
      </c>
      <c r="I35" s="12">
        <v>0</v>
      </c>
    </row>
    <row r="36" spans="2:9" ht="15" customHeight="1" x14ac:dyDescent="0.2">
      <c r="B36" t="s">
        <v>229</v>
      </c>
      <c r="C36" s="12">
        <v>2</v>
      </c>
      <c r="D36" s="8">
        <v>2.86</v>
      </c>
      <c r="E36" s="12">
        <v>2</v>
      </c>
      <c r="F36" s="8">
        <v>6.06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241</v>
      </c>
      <c r="C37" s="12">
        <v>1</v>
      </c>
      <c r="D37" s="8">
        <v>1.43</v>
      </c>
      <c r="E37" s="12">
        <v>0</v>
      </c>
      <c r="F37" s="8">
        <v>0</v>
      </c>
      <c r="G37" s="12">
        <v>1</v>
      </c>
      <c r="H37" s="8">
        <v>2.78</v>
      </c>
      <c r="I37" s="12">
        <v>0</v>
      </c>
    </row>
    <row r="38" spans="2:9" ht="15" customHeight="1" x14ac:dyDescent="0.2">
      <c r="B38" t="s">
        <v>244</v>
      </c>
      <c r="C38" s="12">
        <v>1</v>
      </c>
      <c r="D38" s="8">
        <v>1.43</v>
      </c>
      <c r="E38" s="12">
        <v>0</v>
      </c>
      <c r="F38" s="8">
        <v>0</v>
      </c>
      <c r="G38" s="12">
        <v>1</v>
      </c>
      <c r="H38" s="8">
        <v>2.78</v>
      </c>
      <c r="I38" s="12">
        <v>0</v>
      </c>
    </row>
    <row r="39" spans="2:9" ht="15" customHeight="1" x14ac:dyDescent="0.2">
      <c r="B39" t="s">
        <v>258</v>
      </c>
      <c r="C39" s="12">
        <v>1</v>
      </c>
      <c r="D39" s="8">
        <v>1.43</v>
      </c>
      <c r="E39" s="12">
        <v>1</v>
      </c>
      <c r="F39" s="8">
        <v>3.03</v>
      </c>
      <c r="G39" s="12">
        <v>0</v>
      </c>
      <c r="H39" s="8">
        <v>0</v>
      </c>
      <c r="I39" s="12">
        <v>0</v>
      </c>
    </row>
    <row r="40" spans="2:9" ht="15" customHeight="1" x14ac:dyDescent="0.2">
      <c r="B40" t="s">
        <v>254</v>
      </c>
      <c r="C40" s="12">
        <v>1</v>
      </c>
      <c r="D40" s="8">
        <v>1.43</v>
      </c>
      <c r="E40" s="12">
        <v>0</v>
      </c>
      <c r="F40" s="8">
        <v>0</v>
      </c>
      <c r="G40" s="12">
        <v>1</v>
      </c>
      <c r="H40" s="8">
        <v>2.78</v>
      </c>
      <c r="I40" s="12">
        <v>0</v>
      </c>
    </row>
    <row r="41" spans="2:9" ht="15" customHeight="1" x14ac:dyDescent="0.2">
      <c r="B41" t="s">
        <v>253</v>
      </c>
      <c r="C41" s="12">
        <v>1</v>
      </c>
      <c r="D41" s="8">
        <v>1.43</v>
      </c>
      <c r="E41" s="12">
        <v>1</v>
      </c>
      <c r="F41" s="8">
        <v>3.03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268</v>
      </c>
      <c r="C42" s="12">
        <v>1</v>
      </c>
      <c r="D42" s="8">
        <v>1.43</v>
      </c>
      <c r="E42" s="12">
        <v>0</v>
      </c>
      <c r="F42" s="8">
        <v>0</v>
      </c>
      <c r="G42" s="12">
        <v>1</v>
      </c>
      <c r="H42" s="8">
        <v>2.78</v>
      </c>
      <c r="I42" s="12">
        <v>0</v>
      </c>
    </row>
    <row r="43" spans="2:9" ht="15" customHeight="1" x14ac:dyDescent="0.2">
      <c r="B43" t="s">
        <v>261</v>
      </c>
      <c r="C43" s="12">
        <v>1</v>
      </c>
      <c r="D43" s="8">
        <v>1.43</v>
      </c>
      <c r="E43" s="12">
        <v>0</v>
      </c>
      <c r="F43" s="8">
        <v>0</v>
      </c>
      <c r="G43" s="12">
        <v>1</v>
      </c>
      <c r="H43" s="8">
        <v>2.78</v>
      </c>
      <c r="I43" s="12">
        <v>0</v>
      </c>
    </row>
    <row r="44" spans="2:9" ht="15" customHeight="1" x14ac:dyDescent="0.2">
      <c r="B44" t="s">
        <v>266</v>
      </c>
      <c r="C44" s="12">
        <v>1</v>
      </c>
      <c r="D44" s="8">
        <v>1.43</v>
      </c>
      <c r="E44" s="12">
        <v>0</v>
      </c>
      <c r="F44" s="8">
        <v>0</v>
      </c>
      <c r="G44" s="12">
        <v>1</v>
      </c>
      <c r="H44" s="8">
        <v>2.78</v>
      </c>
      <c r="I44" s="12">
        <v>0</v>
      </c>
    </row>
    <row r="45" spans="2:9" ht="15" customHeight="1" x14ac:dyDescent="0.2">
      <c r="B45" t="s">
        <v>220</v>
      </c>
      <c r="C45" s="12">
        <v>1</v>
      </c>
      <c r="D45" s="8">
        <v>1.43</v>
      </c>
      <c r="E45" s="12">
        <v>1</v>
      </c>
      <c r="F45" s="8">
        <v>3.03</v>
      </c>
      <c r="G45" s="12">
        <v>0</v>
      </c>
      <c r="H45" s="8">
        <v>0</v>
      </c>
      <c r="I45" s="12">
        <v>0</v>
      </c>
    </row>
    <row r="46" spans="2:9" ht="15" customHeight="1" x14ac:dyDescent="0.2">
      <c r="B46" t="s">
        <v>247</v>
      </c>
      <c r="C46" s="12">
        <v>1</v>
      </c>
      <c r="D46" s="8">
        <v>1.43</v>
      </c>
      <c r="E46" s="12">
        <v>0</v>
      </c>
      <c r="F46" s="8">
        <v>0</v>
      </c>
      <c r="G46" s="12">
        <v>1</v>
      </c>
      <c r="H46" s="8">
        <v>2.78</v>
      </c>
      <c r="I46" s="12">
        <v>0</v>
      </c>
    </row>
    <row r="47" spans="2:9" ht="15" customHeight="1" x14ac:dyDescent="0.2">
      <c r="B47" t="s">
        <v>249</v>
      </c>
      <c r="C47" s="12">
        <v>1</v>
      </c>
      <c r="D47" s="8">
        <v>1.43</v>
      </c>
      <c r="E47" s="12">
        <v>0</v>
      </c>
      <c r="F47" s="8">
        <v>0</v>
      </c>
      <c r="G47" s="12">
        <v>1</v>
      </c>
      <c r="H47" s="8">
        <v>2.78</v>
      </c>
      <c r="I47" s="12">
        <v>0</v>
      </c>
    </row>
    <row r="48" spans="2:9" ht="15" customHeight="1" x14ac:dyDescent="0.2">
      <c r="B48" t="s">
        <v>240</v>
      </c>
      <c r="C48" s="12">
        <v>1</v>
      </c>
      <c r="D48" s="8">
        <v>1.43</v>
      </c>
      <c r="E48" s="12">
        <v>0</v>
      </c>
      <c r="F48" s="8">
        <v>0</v>
      </c>
      <c r="G48" s="12">
        <v>1</v>
      </c>
      <c r="H48" s="8">
        <v>2.78</v>
      </c>
      <c r="I48" s="12">
        <v>0</v>
      </c>
    </row>
    <row r="49" spans="2:9" ht="15" customHeight="1" x14ac:dyDescent="0.2">
      <c r="B49" t="s">
        <v>270</v>
      </c>
      <c r="C49" s="12">
        <v>1</v>
      </c>
      <c r="D49" s="8">
        <v>1.43</v>
      </c>
      <c r="E49" s="12">
        <v>0</v>
      </c>
      <c r="F49" s="8">
        <v>0</v>
      </c>
      <c r="G49" s="12">
        <v>1</v>
      </c>
      <c r="H49" s="8">
        <v>2.78</v>
      </c>
      <c r="I49" s="12">
        <v>0</v>
      </c>
    </row>
    <row r="50" spans="2:9" ht="15" customHeight="1" x14ac:dyDescent="0.2">
      <c r="B50" t="s">
        <v>234</v>
      </c>
      <c r="C50" s="12">
        <v>1</v>
      </c>
      <c r="D50" s="8">
        <v>1.43</v>
      </c>
      <c r="E50" s="12">
        <v>0</v>
      </c>
      <c r="F50" s="8">
        <v>0</v>
      </c>
      <c r="G50" s="12">
        <v>1</v>
      </c>
      <c r="H50" s="8">
        <v>2.78</v>
      </c>
      <c r="I50" s="12">
        <v>0</v>
      </c>
    </row>
    <row r="53" spans="2:9" ht="33" customHeight="1" x14ac:dyDescent="0.2">
      <c r="B53" t="s">
        <v>531</v>
      </c>
      <c r="C53" s="10" t="s">
        <v>206</v>
      </c>
      <c r="D53" s="10" t="s">
        <v>207</v>
      </c>
      <c r="E53" s="10" t="s">
        <v>208</v>
      </c>
      <c r="F53" s="10" t="s">
        <v>209</v>
      </c>
      <c r="G53" s="10" t="s">
        <v>210</v>
      </c>
      <c r="H53" s="10" t="s">
        <v>211</v>
      </c>
      <c r="I53" s="10" t="s">
        <v>212</v>
      </c>
    </row>
    <row r="54" spans="2:9" ht="15" customHeight="1" x14ac:dyDescent="0.2">
      <c r="B54" t="s">
        <v>337</v>
      </c>
      <c r="C54" s="12">
        <v>4</v>
      </c>
      <c r="D54" s="8">
        <v>5.71</v>
      </c>
      <c r="E54" s="12">
        <v>4</v>
      </c>
      <c r="F54" s="8">
        <v>12.12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300</v>
      </c>
      <c r="C55" s="12">
        <v>4</v>
      </c>
      <c r="D55" s="8">
        <v>5.71</v>
      </c>
      <c r="E55" s="12">
        <v>3</v>
      </c>
      <c r="F55" s="8">
        <v>9.09</v>
      </c>
      <c r="G55" s="12">
        <v>1</v>
      </c>
      <c r="H55" s="8">
        <v>2.78</v>
      </c>
      <c r="I55" s="12">
        <v>0</v>
      </c>
    </row>
    <row r="56" spans="2:9" ht="15" customHeight="1" x14ac:dyDescent="0.2">
      <c r="B56" t="s">
        <v>289</v>
      </c>
      <c r="C56" s="12">
        <v>3</v>
      </c>
      <c r="D56" s="8">
        <v>4.29</v>
      </c>
      <c r="E56" s="12">
        <v>0</v>
      </c>
      <c r="F56" s="8">
        <v>0</v>
      </c>
      <c r="G56" s="12">
        <v>3</v>
      </c>
      <c r="H56" s="8">
        <v>8.33</v>
      </c>
      <c r="I56" s="12">
        <v>0</v>
      </c>
    </row>
    <row r="57" spans="2:9" ht="15" customHeight="1" x14ac:dyDescent="0.2">
      <c r="B57" t="s">
        <v>292</v>
      </c>
      <c r="C57" s="12">
        <v>3</v>
      </c>
      <c r="D57" s="8">
        <v>4.29</v>
      </c>
      <c r="E57" s="12">
        <v>2</v>
      </c>
      <c r="F57" s="8">
        <v>6.06</v>
      </c>
      <c r="G57" s="12">
        <v>1</v>
      </c>
      <c r="H57" s="8">
        <v>2.78</v>
      </c>
      <c r="I57" s="12">
        <v>0</v>
      </c>
    </row>
    <row r="58" spans="2:9" ht="15" customHeight="1" x14ac:dyDescent="0.2">
      <c r="B58" t="s">
        <v>297</v>
      </c>
      <c r="C58" s="12">
        <v>3</v>
      </c>
      <c r="D58" s="8">
        <v>4.29</v>
      </c>
      <c r="E58" s="12">
        <v>3</v>
      </c>
      <c r="F58" s="8">
        <v>9.09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325</v>
      </c>
      <c r="C59" s="12">
        <v>3</v>
      </c>
      <c r="D59" s="8">
        <v>4.29</v>
      </c>
      <c r="E59" s="12">
        <v>0</v>
      </c>
      <c r="F59" s="8">
        <v>0</v>
      </c>
      <c r="G59" s="12">
        <v>3</v>
      </c>
      <c r="H59" s="8">
        <v>8.33</v>
      </c>
      <c r="I59" s="12">
        <v>0</v>
      </c>
    </row>
    <row r="60" spans="2:9" ht="15" customHeight="1" x14ac:dyDescent="0.2">
      <c r="B60" t="s">
        <v>347</v>
      </c>
      <c r="C60" s="12">
        <v>3</v>
      </c>
      <c r="D60" s="8">
        <v>4.29</v>
      </c>
      <c r="E60" s="12">
        <v>0</v>
      </c>
      <c r="F60" s="8">
        <v>0</v>
      </c>
      <c r="G60" s="12">
        <v>3</v>
      </c>
      <c r="H60" s="8">
        <v>8.33</v>
      </c>
      <c r="I60" s="12">
        <v>0</v>
      </c>
    </row>
    <row r="61" spans="2:9" ht="15" customHeight="1" x14ac:dyDescent="0.2">
      <c r="B61" t="s">
        <v>328</v>
      </c>
      <c r="C61" s="12">
        <v>2</v>
      </c>
      <c r="D61" s="8">
        <v>2.86</v>
      </c>
      <c r="E61" s="12">
        <v>0</v>
      </c>
      <c r="F61" s="8">
        <v>0</v>
      </c>
      <c r="G61" s="12">
        <v>2</v>
      </c>
      <c r="H61" s="8">
        <v>5.56</v>
      </c>
      <c r="I61" s="12">
        <v>0</v>
      </c>
    </row>
    <row r="62" spans="2:9" ht="15" customHeight="1" x14ac:dyDescent="0.2">
      <c r="B62" t="s">
        <v>329</v>
      </c>
      <c r="C62" s="12">
        <v>2</v>
      </c>
      <c r="D62" s="8">
        <v>2.86</v>
      </c>
      <c r="E62" s="12">
        <v>1</v>
      </c>
      <c r="F62" s="8">
        <v>3.03</v>
      </c>
      <c r="G62" s="12">
        <v>1</v>
      </c>
      <c r="H62" s="8">
        <v>2.78</v>
      </c>
      <c r="I62" s="12">
        <v>0</v>
      </c>
    </row>
    <row r="63" spans="2:9" ht="15" customHeight="1" x14ac:dyDescent="0.2">
      <c r="B63" t="s">
        <v>294</v>
      </c>
      <c r="C63" s="12">
        <v>2</v>
      </c>
      <c r="D63" s="8">
        <v>2.86</v>
      </c>
      <c r="E63" s="12">
        <v>0</v>
      </c>
      <c r="F63" s="8">
        <v>0</v>
      </c>
      <c r="G63" s="12">
        <v>2</v>
      </c>
      <c r="H63" s="8">
        <v>5.56</v>
      </c>
      <c r="I63" s="12">
        <v>0</v>
      </c>
    </row>
    <row r="64" spans="2:9" ht="15" customHeight="1" x14ac:dyDescent="0.2">
      <c r="B64" t="s">
        <v>299</v>
      </c>
      <c r="C64" s="12">
        <v>2</v>
      </c>
      <c r="D64" s="8">
        <v>2.86</v>
      </c>
      <c r="E64" s="12">
        <v>2</v>
      </c>
      <c r="F64" s="8">
        <v>6.06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304</v>
      </c>
      <c r="C65" s="12">
        <v>2</v>
      </c>
      <c r="D65" s="8">
        <v>2.86</v>
      </c>
      <c r="E65" s="12">
        <v>2</v>
      </c>
      <c r="F65" s="8">
        <v>6.06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305</v>
      </c>
      <c r="C66" s="12">
        <v>2</v>
      </c>
      <c r="D66" s="8">
        <v>2.86</v>
      </c>
      <c r="E66" s="12">
        <v>2</v>
      </c>
      <c r="F66" s="8">
        <v>6.06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319</v>
      </c>
      <c r="C67" s="12">
        <v>1</v>
      </c>
      <c r="D67" s="8">
        <v>1.43</v>
      </c>
      <c r="E67" s="12">
        <v>1</v>
      </c>
      <c r="F67" s="8">
        <v>3.03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450</v>
      </c>
      <c r="C68" s="12">
        <v>1</v>
      </c>
      <c r="D68" s="8">
        <v>1.43</v>
      </c>
      <c r="E68" s="12">
        <v>1</v>
      </c>
      <c r="F68" s="8">
        <v>3.03</v>
      </c>
      <c r="G68" s="12">
        <v>0</v>
      </c>
      <c r="H68" s="8">
        <v>0</v>
      </c>
      <c r="I68" s="12">
        <v>0</v>
      </c>
    </row>
    <row r="69" spans="2:9" ht="15" customHeight="1" x14ac:dyDescent="0.2">
      <c r="B69" t="s">
        <v>393</v>
      </c>
      <c r="C69" s="12">
        <v>1</v>
      </c>
      <c r="D69" s="8">
        <v>1.43</v>
      </c>
      <c r="E69" s="12">
        <v>1</v>
      </c>
      <c r="F69" s="8">
        <v>3.03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343</v>
      </c>
      <c r="C70" s="12">
        <v>1</v>
      </c>
      <c r="D70" s="8">
        <v>1.43</v>
      </c>
      <c r="E70" s="12">
        <v>0</v>
      </c>
      <c r="F70" s="8">
        <v>0</v>
      </c>
      <c r="G70" s="12">
        <v>1</v>
      </c>
      <c r="H70" s="8">
        <v>2.78</v>
      </c>
      <c r="I70" s="12">
        <v>0</v>
      </c>
    </row>
    <row r="71" spans="2:9" ht="15" customHeight="1" x14ac:dyDescent="0.2">
      <c r="B71" t="s">
        <v>333</v>
      </c>
      <c r="C71" s="12">
        <v>1</v>
      </c>
      <c r="D71" s="8">
        <v>1.43</v>
      </c>
      <c r="E71" s="12">
        <v>1</v>
      </c>
      <c r="F71" s="8">
        <v>3.03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320</v>
      </c>
      <c r="C72" s="12">
        <v>1</v>
      </c>
      <c r="D72" s="8">
        <v>1.43</v>
      </c>
      <c r="E72" s="12">
        <v>1</v>
      </c>
      <c r="F72" s="8">
        <v>3.03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290</v>
      </c>
      <c r="C73" s="12">
        <v>1</v>
      </c>
      <c r="D73" s="8">
        <v>1.43</v>
      </c>
      <c r="E73" s="12">
        <v>0</v>
      </c>
      <c r="F73" s="8">
        <v>0</v>
      </c>
      <c r="G73" s="12">
        <v>1</v>
      </c>
      <c r="H73" s="8">
        <v>2.78</v>
      </c>
      <c r="I73" s="12">
        <v>0</v>
      </c>
    </row>
    <row r="74" spans="2:9" ht="15" customHeight="1" x14ac:dyDescent="0.2">
      <c r="B74" t="s">
        <v>291</v>
      </c>
      <c r="C74" s="12">
        <v>1</v>
      </c>
      <c r="D74" s="8">
        <v>1.43</v>
      </c>
      <c r="E74" s="12">
        <v>0</v>
      </c>
      <c r="F74" s="8">
        <v>0</v>
      </c>
      <c r="G74" s="12">
        <v>1</v>
      </c>
      <c r="H74" s="8">
        <v>2.78</v>
      </c>
      <c r="I74" s="12">
        <v>0</v>
      </c>
    </row>
    <row r="75" spans="2:9" ht="15" customHeight="1" x14ac:dyDescent="0.2">
      <c r="B75" t="s">
        <v>351</v>
      </c>
      <c r="C75" s="12">
        <v>1</v>
      </c>
      <c r="D75" s="8">
        <v>1.43</v>
      </c>
      <c r="E75" s="12">
        <v>0</v>
      </c>
      <c r="F75" s="8">
        <v>0</v>
      </c>
      <c r="G75" s="12">
        <v>1</v>
      </c>
      <c r="H75" s="8">
        <v>2.78</v>
      </c>
      <c r="I75" s="12">
        <v>0</v>
      </c>
    </row>
    <row r="76" spans="2:9" ht="15" customHeight="1" x14ac:dyDescent="0.2">
      <c r="B76" t="s">
        <v>443</v>
      </c>
      <c r="C76" s="12">
        <v>1</v>
      </c>
      <c r="D76" s="8">
        <v>1.43</v>
      </c>
      <c r="E76" s="12">
        <v>0</v>
      </c>
      <c r="F76" s="8">
        <v>0</v>
      </c>
      <c r="G76" s="12">
        <v>1</v>
      </c>
      <c r="H76" s="8">
        <v>2.78</v>
      </c>
      <c r="I76" s="12">
        <v>0</v>
      </c>
    </row>
    <row r="77" spans="2:9" ht="15" customHeight="1" x14ac:dyDescent="0.2">
      <c r="B77" t="s">
        <v>378</v>
      </c>
      <c r="C77" s="12">
        <v>1</v>
      </c>
      <c r="D77" s="8">
        <v>1.43</v>
      </c>
      <c r="E77" s="12">
        <v>0</v>
      </c>
      <c r="F77" s="8">
        <v>0</v>
      </c>
      <c r="G77" s="12">
        <v>1</v>
      </c>
      <c r="H77" s="8">
        <v>2.78</v>
      </c>
      <c r="I77" s="12">
        <v>0</v>
      </c>
    </row>
    <row r="78" spans="2:9" ht="15" customHeight="1" x14ac:dyDescent="0.2">
      <c r="B78" t="s">
        <v>384</v>
      </c>
      <c r="C78" s="12">
        <v>1</v>
      </c>
      <c r="D78" s="8">
        <v>1.43</v>
      </c>
      <c r="E78" s="12">
        <v>0</v>
      </c>
      <c r="F78" s="8">
        <v>0</v>
      </c>
      <c r="G78" s="12">
        <v>1</v>
      </c>
      <c r="H78" s="8">
        <v>2.78</v>
      </c>
      <c r="I78" s="12">
        <v>0</v>
      </c>
    </row>
    <row r="79" spans="2:9" ht="15" customHeight="1" x14ac:dyDescent="0.2">
      <c r="B79" t="s">
        <v>381</v>
      </c>
      <c r="C79" s="12">
        <v>1</v>
      </c>
      <c r="D79" s="8">
        <v>1.43</v>
      </c>
      <c r="E79" s="12">
        <v>1</v>
      </c>
      <c r="F79" s="8">
        <v>3.03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385</v>
      </c>
      <c r="C80" s="12">
        <v>1</v>
      </c>
      <c r="D80" s="8">
        <v>1.43</v>
      </c>
      <c r="E80" s="12">
        <v>0</v>
      </c>
      <c r="F80" s="8">
        <v>0</v>
      </c>
      <c r="G80" s="12">
        <v>1</v>
      </c>
      <c r="H80" s="8">
        <v>2.78</v>
      </c>
      <c r="I80" s="12">
        <v>0</v>
      </c>
    </row>
    <row r="81" spans="2:9" ht="15" customHeight="1" x14ac:dyDescent="0.2">
      <c r="B81" t="s">
        <v>457</v>
      </c>
      <c r="C81" s="12">
        <v>1</v>
      </c>
      <c r="D81" s="8">
        <v>1.43</v>
      </c>
      <c r="E81" s="12">
        <v>1</v>
      </c>
      <c r="F81" s="8">
        <v>3.03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435</v>
      </c>
      <c r="C82" s="12">
        <v>1</v>
      </c>
      <c r="D82" s="8">
        <v>1.43</v>
      </c>
      <c r="E82" s="12">
        <v>0</v>
      </c>
      <c r="F82" s="8">
        <v>0</v>
      </c>
      <c r="G82" s="12">
        <v>1</v>
      </c>
      <c r="H82" s="8">
        <v>2.78</v>
      </c>
      <c r="I82" s="12">
        <v>0</v>
      </c>
    </row>
    <row r="83" spans="2:9" ht="15" customHeight="1" x14ac:dyDescent="0.2">
      <c r="B83" t="s">
        <v>364</v>
      </c>
      <c r="C83" s="12">
        <v>1</v>
      </c>
      <c r="D83" s="8">
        <v>1.43</v>
      </c>
      <c r="E83" s="12">
        <v>0</v>
      </c>
      <c r="F83" s="8">
        <v>0</v>
      </c>
      <c r="G83" s="12">
        <v>1</v>
      </c>
      <c r="H83" s="8">
        <v>2.78</v>
      </c>
      <c r="I83" s="12">
        <v>0</v>
      </c>
    </row>
    <row r="84" spans="2:9" ht="15" customHeight="1" x14ac:dyDescent="0.2">
      <c r="B84" t="s">
        <v>458</v>
      </c>
      <c r="C84" s="12">
        <v>1</v>
      </c>
      <c r="D84" s="8">
        <v>1.43</v>
      </c>
      <c r="E84" s="12">
        <v>0</v>
      </c>
      <c r="F84" s="8">
        <v>0</v>
      </c>
      <c r="G84" s="12">
        <v>1</v>
      </c>
      <c r="H84" s="8">
        <v>2.78</v>
      </c>
      <c r="I84" s="12">
        <v>0</v>
      </c>
    </row>
    <row r="85" spans="2:9" ht="15" customHeight="1" x14ac:dyDescent="0.2">
      <c r="B85" t="s">
        <v>382</v>
      </c>
      <c r="C85" s="12">
        <v>1</v>
      </c>
      <c r="D85" s="8">
        <v>1.43</v>
      </c>
      <c r="E85" s="12">
        <v>1</v>
      </c>
      <c r="F85" s="8">
        <v>3.03</v>
      </c>
      <c r="G85" s="12">
        <v>0</v>
      </c>
      <c r="H85" s="8">
        <v>0</v>
      </c>
      <c r="I85" s="12">
        <v>0</v>
      </c>
    </row>
    <row r="86" spans="2:9" ht="15" customHeight="1" x14ac:dyDescent="0.2">
      <c r="B86" t="s">
        <v>354</v>
      </c>
      <c r="C86" s="12">
        <v>1</v>
      </c>
      <c r="D86" s="8">
        <v>1.43</v>
      </c>
      <c r="E86" s="12">
        <v>1</v>
      </c>
      <c r="F86" s="8">
        <v>3.03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366</v>
      </c>
      <c r="C87" s="12">
        <v>1</v>
      </c>
      <c r="D87" s="8">
        <v>1.43</v>
      </c>
      <c r="E87" s="12">
        <v>0</v>
      </c>
      <c r="F87" s="8">
        <v>0</v>
      </c>
      <c r="G87" s="12">
        <v>1</v>
      </c>
      <c r="H87" s="8">
        <v>2.78</v>
      </c>
      <c r="I87" s="12">
        <v>0</v>
      </c>
    </row>
    <row r="88" spans="2:9" ht="15" customHeight="1" x14ac:dyDescent="0.2">
      <c r="B88" t="s">
        <v>372</v>
      </c>
      <c r="C88" s="12">
        <v>1</v>
      </c>
      <c r="D88" s="8">
        <v>1.43</v>
      </c>
      <c r="E88" s="12">
        <v>0</v>
      </c>
      <c r="F88" s="8">
        <v>0</v>
      </c>
      <c r="G88" s="12">
        <v>1</v>
      </c>
      <c r="H88" s="8">
        <v>2.78</v>
      </c>
      <c r="I88" s="12">
        <v>0</v>
      </c>
    </row>
    <row r="89" spans="2:9" ht="15" customHeight="1" x14ac:dyDescent="0.2">
      <c r="B89" t="s">
        <v>295</v>
      </c>
      <c r="C89" s="12">
        <v>1</v>
      </c>
      <c r="D89" s="8">
        <v>1.43</v>
      </c>
      <c r="E89" s="12">
        <v>0</v>
      </c>
      <c r="F89" s="8">
        <v>0</v>
      </c>
      <c r="G89" s="12">
        <v>1</v>
      </c>
      <c r="H89" s="8">
        <v>2.78</v>
      </c>
      <c r="I89" s="12">
        <v>0</v>
      </c>
    </row>
    <row r="90" spans="2:9" ht="15" customHeight="1" x14ac:dyDescent="0.2">
      <c r="B90" t="s">
        <v>334</v>
      </c>
      <c r="C90" s="12">
        <v>1</v>
      </c>
      <c r="D90" s="8">
        <v>1.43</v>
      </c>
      <c r="E90" s="12">
        <v>1</v>
      </c>
      <c r="F90" s="8">
        <v>3.03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419</v>
      </c>
      <c r="C91" s="12">
        <v>1</v>
      </c>
      <c r="D91" s="8">
        <v>1.43</v>
      </c>
      <c r="E91" s="12">
        <v>1</v>
      </c>
      <c r="F91" s="8">
        <v>3.03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303</v>
      </c>
      <c r="C92" s="12">
        <v>1</v>
      </c>
      <c r="D92" s="8">
        <v>1.43</v>
      </c>
      <c r="E92" s="12">
        <v>1</v>
      </c>
      <c r="F92" s="8">
        <v>3.03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391</v>
      </c>
      <c r="C93" s="12">
        <v>1</v>
      </c>
      <c r="D93" s="8">
        <v>1.43</v>
      </c>
      <c r="E93" s="12">
        <v>1</v>
      </c>
      <c r="F93" s="8">
        <v>3.03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352</v>
      </c>
      <c r="C94" s="12">
        <v>1</v>
      </c>
      <c r="D94" s="8">
        <v>1.43</v>
      </c>
      <c r="E94" s="12">
        <v>1</v>
      </c>
      <c r="F94" s="8">
        <v>3.03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459</v>
      </c>
      <c r="C95" s="12">
        <v>1</v>
      </c>
      <c r="D95" s="8">
        <v>1.43</v>
      </c>
      <c r="E95" s="12">
        <v>0</v>
      </c>
      <c r="F95" s="8">
        <v>0</v>
      </c>
      <c r="G95" s="12">
        <v>1</v>
      </c>
      <c r="H95" s="8">
        <v>2.78</v>
      </c>
      <c r="I95" s="12">
        <v>0</v>
      </c>
    </row>
    <row r="96" spans="2:9" ht="15" customHeight="1" x14ac:dyDescent="0.2">
      <c r="B96" t="s">
        <v>340</v>
      </c>
      <c r="C96" s="12">
        <v>1</v>
      </c>
      <c r="D96" s="8">
        <v>1.43</v>
      </c>
      <c r="E96" s="12">
        <v>0</v>
      </c>
      <c r="F96" s="8">
        <v>0</v>
      </c>
      <c r="G96" s="12">
        <v>0</v>
      </c>
      <c r="H96" s="8">
        <v>0</v>
      </c>
      <c r="I96" s="12">
        <v>0</v>
      </c>
    </row>
    <row r="97" spans="2:9" ht="15" customHeight="1" x14ac:dyDescent="0.2">
      <c r="B97" t="s">
        <v>447</v>
      </c>
      <c r="C97" s="12">
        <v>1</v>
      </c>
      <c r="D97" s="8">
        <v>1.43</v>
      </c>
      <c r="E97" s="12">
        <v>0</v>
      </c>
      <c r="F97" s="8">
        <v>0</v>
      </c>
      <c r="G97" s="12">
        <v>1</v>
      </c>
      <c r="H97" s="8">
        <v>2.78</v>
      </c>
      <c r="I97" s="12">
        <v>0</v>
      </c>
    </row>
    <row r="98" spans="2:9" ht="15" customHeight="1" x14ac:dyDescent="0.2">
      <c r="B98" t="s">
        <v>370</v>
      </c>
      <c r="C98" s="12">
        <v>1</v>
      </c>
      <c r="D98" s="8">
        <v>1.43</v>
      </c>
      <c r="E98" s="12">
        <v>0</v>
      </c>
      <c r="F98" s="8">
        <v>0</v>
      </c>
      <c r="G98" s="12">
        <v>1</v>
      </c>
      <c r="H98" s="8">
        <v>2.78</v>
      </c>
      <c r="I98" s="12">
        <v>0</v>
      </c>
    </row>
    <row r="99" spans="2:9" ht="15" customHeight="1" x14ac:dyDescent="0.2">
      <c r="B99" t="s">
        <v>307</v>
      </c>
      <c r="C99" s="12">
        <v>1</v>
      </c>
      <c r="D99" s="8">
        <v>1.43</v>
      </c>
      <c r="E99" s="12">
        <v>0</v>
      </c>
      <c r="F99" s="8">
        <v>0</v>
      </c>
      <c r="G99" s="12">
        <v>1</v>
      </c>
      <c r="H99" s="8">
        <v>2.78</v>
      </c>
      <c r="I99" s="12">
        <v>0</v>
      </c>
    </row>
    <row r="100" spans="2:9" ht="15" customHeight="1" x14ac:dyDescent="0.2">
      <c r="B100" t="s">
        <v>460</v>
      </c>
      <c r="C100" s="12">
        <v>1</v>
      </c>
      <c r="D100" s="8">
        <v>1.43</v>
      </c>
      <c r="E100" s="12">
        <v>0</v>
      </c>
      <c r="F100" s="8">
        <v>0</v>
      </c>
      <c r="G100" s="12">
        <v>1</v>
      </c>
      <c r="H100" s="8">
        <v>2.78</v>
      </c>
      <c r="I100" s="12">
        <v>0</v>
      </c>
    </row>
    <row r="101" spans="2:9" ht="15" customHeight="1" x14ac:dyDescent="0.2">
      <c r="B101" t="s">
        <v>348</v>
      </c>
      <c r="C101" s="12">
        <v>1</v>
      </c>
      <c r="D101" s="8">
        <v>1.43</v>
      </c>
      <c r="E101" s="12">
        <v>0</v>
      </c>
      <c r="F101" s="8">
        <v>0</v>
      </c>
      <c r="G101" s="12">
        <v>1</v>
      </c>
      <c r="H101" s="8">
        <v>2.78</v>
      </c>
      <c r="I101" s="12">
        <v>0</v>
      </c>
    </row>
    <row r="103" spans="2:9" ht="15" customHeight="1" x14ac:dyDescent="0.2">
      <c r="B10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23472-4C5B-457B-ABA0-C683979AB246}">
  <sheetPr>
    <pageSetUpPr fitToPage="1"/>
  </sheetPr>
  <dimension ref="B2:I86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622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6</v>
      </c>
      <c r="D6" s="8">
        <v>13.95</v>
      </c>
      <c r="E6" s="12">
        <v>1</v>
      </c>
      <c r="F6" s="8">
        <v>6.25</v>
      </c>
      <c r="G6" s="12">
        <v>5</v>
      </c>
      <c r="H6" s="8">
        <v>20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13.95</v>
      </c>
      <c r="E7" s="12">
        <v>2</v>
      </c>
      <c r="F7" s="8">
        <v>12.5</v>
      </c>
      <c r="G7" s="12">
        <v>4</v>
      </c>
      <c r="H7" s="8">
        <v>16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2.33</v>
      </c>
      <c r="E10" s="12">
        <v>0</v>
      </c>
      <c r="F10" s="8">
        <v>0</v>
      </c>
      <c r="G10" s="12">
        <v>1</v>
      </c>
      <c r="H10" s="8">
        <v>4</v>
      </c>
      <c r="I10" s="12">
        <v>0</v>
      </c>
    </row>
    <row r="11" spans="2:9" ht="15" customHeight="1" x14ac:dyDescent="0.2">
      <c r="B11" t="s">
        <v>196</v>
      </c>
      <c r="C11" s="12">
        <v>12</v>
      </c>
      <c r="D11" s="8">
        <v>27.91</v>
      </c>
      <c r="E11" s="12">
        <v>4</v>
      </c>
      <c r="F11" s="8">
        <v>25</v>
      </c>
      <c r="G11" s="12">
        <v>8</v>
      </c>
      <c r="H11" s="8">
        <v>32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1</v>
      </c>
      <c r="D14" s="8">
        <v>2.33</v>
      </c>
      <c r="E14" s="12">
        <v>1</v>
      </c>
      <c r="F14" s="8">
        <v>6.25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5</v>
      </c>
      <c r="D15" s="8">
        <v>11.63</v>
      </c>
      <c r="E15" s="12">
        <v>1</v>
      </c>
      <c r="F15" s="8">
        <v>6.25</v>
      </c>
      <c r="G15" s="12">
        <v>4</v>
      </c>
      <c r="H15" s="8">
        <v>16</v>
      </c>
      <c r="I15" s="12">
        <v>0</v>
      </c>
    </row>
    <row r="16" spans="2:9" ht="15" customHeight="1" x14ac:dyDescent="0.2">
      <c r="B16" t="s">
        <v>201</v>
      </c>
      <c r="C16" s="12">
        <v>4</v>
      </c>
      <c r="D16" s="8">
        <v>9.3000000000000007</v>
      </c>
      <c r="E16" s="12">
        <v>3</v>
      </c>
      <c r="F16" s="8">
        <v>18.75</v>
      </c>
      <c r="G16" s="12">
        <v>0</v>
      </c>
      <c r="H16" s="8">
        <v>0</v>
      </c>
      <c r="I16" s="12">
        <v>0</v>
      </c>
    </row>
    <row r="17" spans="2:9" ht="15" customHeight="1" x14ac:dyDescent="0.2">
      <c r="B17" t="s">
        <v>202</v>
      </c>
      <c r="C17" s="12">
        <v>3</v>
      </c>
      <c r="D17" s="8">
        <v>6.98</v>
      </c>
      <c r="E17" s="12">
        <v>2</v>
      </c>
      <c r="F17" s="8">
        <v>12.5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1</v>
      </c>
      <c r="D18" s="8">
        <v>2.33</v>
      </c>
      <c r="E18" s="12">
        <v>1</v>
      </c>
      <c r="F18" s="8">
        <v>6.25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4</v>
      </c>
      <c r="D19" s="8">
        <v>9.3000000000000007</v>
      </c>
      <c r="E19" s="12">
        <v>1</v>
      </c>
      <c r="F19" s="8">
        <v>6.25</v>
      </c>
      <c r="G19" s="12">
        <v>3</v>
      </c>
      <c r="H19" s="8">
        <v>12</v>
      </c>
      <c r="I19" s="12">
        <v>0</v>
      </c>
    </row>
    <row r="20" spans="2:9" ht="15" customHeight="1" x14ac:dyDescent="0.2">
      <c r="B20" s="9" t="s">
        <v>529</v>
      </c>
      <c r="C20" s="12">
        <f>SUM(LTBL_01431[総数／事業所数])</f>
        <v>43</v>
      </c>
      <c r="E20" s="12">
        <f>SUBTOTAL(109,LTBL_01431[個人／事業所数])</f>
        <v>16</v>
      </c>
      <c r="G20" s="12">
        <f>SUBTOTAL(109,LTBL_01431[法人／事業所数])</f>
        <v>25</v>
      </c>
      <c r="I20" s="12">
        <f>SUBTOTAL(109,LTBL_01431[法人以外の団体／事業所数])</f>
        <v>0</v>
      </c>
    </row>
    <row r="21" spans="2:9" ht="15" customHeight="1" x14ac:dyDescent="0.2">
      <c r="E21" s="11">
        <f>LTBL_01431[[#Totals],[個人／事業所数]]/LTBL_01431[[#Totals],[総数／事業所数]]</f>
        <v>0.37209302325581395</v>
      </c>
      <c r="G21" s="11">
        <f>LTBL_01431[[#Totals],[法人／事業所数]]/LTBL_01431[[#Totals],[総数／事業所数]]</f>
        <v>0.58139534883720934</v>
      </c>
      <c r="I21" s="11">
        <f>LTBL_01431[[#Totals],[法人以外の団体／事業所数]]/LTBL_01431[[#Totals],[総数／事業所数]]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5</v>
      </c>
      <c r="D24" s="8">
        <v>11.63</v>
      </c>
      <c r="E24" s="12">
        <v>2</v>
      </c>
      <c r="F24" s="8">
        <v>12.5</v>
      </c>
      <c r="G24" s="12">
        <v>3</v>
      </c>
      <c r="H24" s="8">
        <v>12</v>
      </c>
      <c r="I24" s="12">
        <v>0</v>
      </c>
    </row>
    <row r="25" spans="2:9" ht="15" customHeight="1" x14ac:dyDescent="0.2">
      <c r="B25" t="s">
        <v>227</v>
      </c>
      <c r="C25" s="12">
        <v>5</v>
      </c>
      <c r="D25" s="8">
        <v>11.63</v>
      </c>
      <c r="E25" s="12">
        <v>1</v>
      </c>
      <c r="F25" s="8">
        <v>6.25</v>
      </c>
      <c r="G25" s="12">
        <v>4</v>
      </c>
      <c r="H25" s="8">
        <v>16</v>
      </c>
      <c r="I25" s="12">
        <v>0</v>
      </c>
    </row>
    <row r="26" spans="2:9" ht="15" customHeight="1" x14ac:dyDescent="0.2">
      <c r="B26" t="s">
        <v>221</v>
      </c>
      <c r="C26" s="12">
        <v>4</v>
      </c>
      <c r="D26" s="8">
        <v>9.3000000000000007</v>
      </c>
      <c r="E26" s="12">
        <v>0</v>
      </c>
      <c r="F26" s="8">
        <v>0</v>
      </c>
      <c r="G26" s="12">
        <v>4</v>
      </c>
      <c r="H26" s="8">
        <v>16</v>
      </c>
      <c r="I26" s="12">
        <v>0</v>
      </c>
    </row>
    <row r="27" spans="2:9" ht="15" customHeight="1" x14ac:dyDescent="0.2">
      <c r="B27" t="s">
        <v>213</v>
      </c>
      <c r="C27" s="12">
        <v>3</v>
      </c>
      <c r="D27" s="8">
        <v>6.98</v>
      </c>
      <c r="E27" s="12">
        <v>0</v>
      </c>
      <c r="F27" s="8">
        <v>0</v>
      </c>
      <c r="G27" s="12">
        <v>3</v>
      </c>
      <c r="H27" s="8">
        <v>12</v>
      </c>
      <c r="I27" s="12">
        <v>0</v>
      </c>
    </row>
    <row r="28" spans="2:9" ht="15" customHeight="1" x14ac:dyDescent="0.2">
      <c r="B28" t="s">
        <v>228</v>
      </c>
      <c r="C28" s="12">
        <v>3</v>
      </c>
      <c r="D28" s="8">
        <v>6.98</v>
      </c>
      <c r="E28" s="12">
        <v>3</v>
      </c>
      <c r="F28" s="8">
        <v>18.75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230</v>
      </c>
      <c r="C29" s="12">
        <v>3</v>
      </c>
      <c r="D29" s="8">
        <v>6.98</v>
      </c>
      <c r="E29" s="12">
        <v>2</v>
      </c>
      <c r="F29" s="8">
        <v>12.5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214</v>
      </c>
      <c r="C30" s="12">
        <v>2</v>
      </c>
      <c r="D30" s="8">
        <v>4.6500000000000004</v>
      </c>
      <c r="E30" s="12">
        <v>1</v>
      </c>
      <c r="F30" s="8">
        <v>6.25</v>
      </c>
      <c r="G30" s="12">
        <v>1</v>
      </c>
      <c r="H30" s="8">
        <v>4</v>
      </c>
      <c r="I30" s="12">
        <v>0</v>
      </c>
    </row>
    <row r="31" spans="2:9" ht="15" customHeight="1" x14ac:dyDescent="0.2">
      <c r="B31" t="s">
        <v>218</v>
      </c>
      <c r="C31" s="12">
        <v>2</v>
      </c>
      <c r="D31" s="8">
        <v>4.6500000000000004</v>
      </c>
      <c r="E31" s="12">
        <v>1</v>
      </c>
      <c r="F31" s="8">
        <v>6.25</v>
      </c>
      <c r="G31" s="12">
        <v>1</v>
      </c>
      <c r="H31" s="8">
        <v>4</v>
      </c>
      <c r="I31" s="12">
        <v>0</v>
      </c>
    </row>
    <row r="32" spans="2:9" ht="15" customHeight="1" x14ac:dyDescent="0.2">
      <c r="B32" t="s">
        <v>240</v>
      </c>
      <c r="C32" s="12">
        <v>2</v>
      </c>
      <c r="D32" s="8">
        <v>4.6500000000000004</v>
      </c>
      <c r="E32" s="12">
        <v>0</v>
      </c>
      <c r="F32" s="8">
        <v>0</v>
      </c>
      <c r="G32" s="12">
        <v>2</v>
      </c>
      <c r="H32" s="8">
        <v>8</v>
      </c>
      <c r="I32" s="12">
        <v>0</v>
      </c>
    </row>
    <row r="33" spans="2:9" ht="15" customHeight="1" x14ac:dyDescent="0.2">
      <c r="B33" t="s">
        <v>215</v>
      </c>
      <c r="C33" s="12">
        <v>1</v>
      </c>
      <c r="D33" s="8">
        <v>2.33</v>
      </c>
      <c r="E33" s="12">
        <v>0</v>
      </c>
      <c r="F33" s="8">
        <v>0</v>
      </c>
      <c r="G33" s="12">
        <v>1</v>
      </c>
      <c r="H33" s="8">
        <v>4</v>
      </c>
      <c r="I33" s="12">
        <v>0</v>
      </c>
    </row>
    <row r="34" spans="2:9" ht="15" customHeight="1" x14ac:dyDescent="0.2">
      <c r="B34" t="s">
        <v>241</v>
      </c>
      <c r="C34" s="12">
        <v>1</v>
      </c>
      <c r="D34" s="8">
        <v>2.33</v>
      </c>
      <c r="E34" s="12">
        <v>0</v>
      </c>
      <c r="F34" s="8">
        <v>0</v>
      </c>
      <c r="G34" s="12">
        <v>1</v>
      </c>
      <c r="H34" s="8">
        <v>4</v>
      </c>
      <c r="I34" s="12">
        <v>0</v>
      </c>
    </row>
    <row r="35" spans="2:9" ht="15" customHeight="1" x14ac:dyDescent="0.2">
      <c r="B35" t="s">
        <v>262</v>
      </c>
      <c r="C35" s="12">
        <v>1</v>
      </c>
      <c r="D35" s="8">
        <v>2.33</v>
      </c>
      <c r="E35" s="12">
        <v>0</v>
      </c>
      <c r="F35" s="8">
        <v>0</v>
      </c>
      <c r="G35" s="12">
        <v>1</v>
      </c>
      <c r="H35" s="8">
        <v>4</v>
      </c>
      <c r="I35" s="12">
        <v>0</v>
      </c>
    </row>
    <row r="36" spans="2:9" ht="15" customHeight="1" x14ac:dyDescent="0.2">
      <c r="B36" t="s">
        <v>244</v>
      </c>
      <c r="C36" s="12">
        <v>1</v>
      </c>
      <c r="D36" s="8">
        <v>2.33</v>
      </c>
      <c r="E36" s="12">
        <v>1</v>
      </c>
      <c r="F36" s="8">
        <v>6.25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259</v>
      </c>
      <c r="C37" s="12">
        <v>1</v>
      </c>
      <c r="D37" s="8">
        <v>2.33</v>
      </c>
      <c r="E37" s="12">
        <v>0</v>
      </c>
      <c r="F37" s="8">
        <v>0</v>
      </c>
      <c r="G37" s="12">
        <v>1</v>
      </c>
      <c r="H37" s="8">
        <v>4</v>
      </c>
      <c r="I37" s="12">
        <v>0</v>
      </c>
    </row>
    <row r="38" spans="2:9" ht="15" customHeight="1" x14ac:dyDescent="0.2">
      <c r="B38" t="s">
        <v>253</v>
      </c>
      <c r="C38" s="12">
        <v>1</v>
      </c>
      <c r="D38" s="8">
        <v>2.33</v>
      </c>
      <c r="E38" s="12">
        <v>1</v>
      </c>
      <c r="F38" s="8">
        <v>6.25</v>
      </c>
      <c r="G38" s="12">
        <v>0</v>
      </c>
      <c r="H38" s="8">
        <v>0</v>
      </c>
      <c r="I38" s="12">
        <v>0</v>
      </c>
    </row>
    <row r="39" spans="2:9" ht="15" customHeight="1" x14ac:dyDescent="0.2">
      <c r="B39" t="s">
        <v>276</v>
      </c>
      <c r="C39" s="12">
        <v>1</v>
      </c>
      <c r="D39" s="8">
        <v>2.33</v>
      </c>
      <c r="E39" s="12">
        <v>0</v>
      </c>
      <c r="F39" s="8">
        <v>0</v>
      </c>
      <c r="G39" s="12">
        <v>1</v>
      </c>
      <c r="H39" s="8">
        <v>4</v>
      </c>
      <c r="I39" s="12">
        <v>0</v>
      </c>
    </row>
    <row r="40" spans="2:9" ht="15" customHeight="1" x14ac:dyDescent="0.2">
      <c r="B40" t="s">
        <v>238</v>
      </c>
      <c r="C40" s="12">
        <v>1</v>
      </c>
      <c r="D40" s="8">
        <v>2.33</v>
      </c>
      <c r="E40" s="12">
        <v>0</v>
      </c>
      <c r="F40" s="8">
        <v>0</v>
      </c>
      <c r="G40" s="12">
        <v>1</v>
      </c>
      <c r="H40" s="8">
        <v>4</v>
      </c>
      <c r="I40" s="12">
        <v>0</v>
      </c>
    </row>
    <row r="41" spans="2:9" ht="15" customHeight="1" x14ac:dyDescent="0.2">
      <c r="B41" t="s">
        <v>220</v>
      </c>
      <c r="C41" s="12">
        <v>1</v>
      </c>
      <c r="D41" s="8">
        <v>2.33</v>
      </c>
      <c r="E41" s="12">
        <v>1</v>
      </c>
      <c r="F41" s="8">
        <v>6.25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225</v>
      </c>
      <c r="C42" s="12">
        <v>1</v>
      </c>
      <c r="D42" s="8">
        <v>2.33</v>
      </c>
      <c r="E42" s="12">
        <v>1</v>
      </c>
      <c r="F42" s="8">
        <v>6.25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247</v>
      </c>
      <c r="C43" s="12">
        <v>1</v>
      </c>
      <c r="D43" s="8">
        <v>2.33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231</v>
      </c>
      <c r="C44" s="12">
        <v>1</v>
      </c>
      <c r="D44" s="8">
        <v>2.33</v>
      </c>
      <c r="E44" s="12">
        <v>1</v>
      </c>
      <c r="F44" s="8">
        <v>6.25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249</v>
      </c>
      <c r="C45" s="12">
        <v>1</v>
      </c>
      <c r="D45" s="8">
        <v>2.33</v>
      </c>
      <c r="E45" s="12">
        <v>0</v>
      </c>
      <c r="F45" s="8">
        <v>0</v>
      </c>
      <c r="G45" s="12">
        <v>1</v>
      </c>
      <c r="H45" s="8">
        <v>4</v>
      </c>
      <c r="I45" s="12">
        <v>0</v>
      </c>
    </row>
    <row r="46" spans="2:9" ht="15" customHeight="1" x14ac:dyDescent="0.2">
      <c r="B46" t="s">
        <v>242</v>
      </c>
      <c r="C46" s="12">
        <v>1</v>
      </c>
      <c r="D46" s="8">
        <v>2.33</v>
      </c>
      <c r="E46" s="12">
        <v>1</v>
      </c>
      <c r="F46" s="8">
        <v>6.25</v>
      </c>
      <c r="G46" s="12">
        <v>0</v>
      </c>
      <c r="H46" s="8">
        <v>0</v>
      </c>
      <c r="I46" s="12">
        <v>0</v>
      </c>
    </row>
    <row r="49" spans="2:9" ht="33" customHeight="1" x14ac:dyDescent="0.2">
      <c r="B49" t="s">
        <v>531</v>
      </c>
      <c r="C49" s="10" t="s">
        <v>206</v>
      </c>
      <c r="D49" s="10" t="s">
        <v>207</v>
      </c>
      <c r="E49" s="10" t="s">
        <v>208</v>
      </c>
      <c r="F49" s="10" t="s">
        <v>209</v>
      </c>
      <c r="G49" s="10" t="s">
        <v>210</v>
      </c>
      <c r="H49" s="10" t="s">
        <v>211</v>
      </c>
      <c r="I49" s="10" t="s">
        <v>212</v>
      </c>
    </row>
    <row r="50" spans="2:9" ht="15" customHeight="1" x14ac:dyDescent="0.2">
      <c r="B50" t="s">
        <v>330</v>
      </c>
      <c r="C50" s="12">
        <v>3</v>
      </c>
      <c r="D50" s="8">
        <v>6.98</v>
      </c>
      <c r="E50" s="12">
        <v>0</v>
      </c>
      <c r="F50" s="8">
        <v>0</v>
      </c>
      <c r="G50" s="12">
        <v>3</v>
      </c>
      <c r="H50" s="8">
        <v>12</v>
      </c>
      <c r="I50" s="12">
        <v>0</v>
      </c>
    </row>
    <row r="51" spans="2:9" ht="15" customHeight="1" x14ac:dyDescent="0.2">
      <c r="B51" t="s">
        <v>332</v>
      </c>
      <c r="C51" s="12">
        <v>2</v>
      </c>
      <c r="D51" s="8">
        <v>4.6500000000000004</v>
      </c>
      <c r="E51" s="12">
        <v>0</v>
      </c>
      <c r="F51" s="8">
        <v>0</v>
      </c>
      <c r="G51" s="12">
        <v>2</v>
      </c>
      <c r="H51" s="8">
        <v>8</v>
      </c>
      <c r="I51" s="12">
        <v>0</v>
      </c>
    </row>
    <row r="52" spans="2:9" ht="15" customHeight="1" x14ac:dyDescent="0.2">
      <c r="B52" t="s">
        <v>334</v>
      </c>
      <c r="C52" s="12">
        <v>2</v>
      </c>
      <c r="D52" s="8">
        <v>4.6500000000000004</v>
      </c>
      <c r="E52" s="12">
        <v>1</v>
      </c>
      <c r="F52" s="8">
        <v>6.25</v>
      </c>
      <c r="G52" s="12">
        <v>1</v>
      </c>
      <c r="H52" s="8">
        <v>4</v>
      </c>
      <c r="I52" s="12">
        <v>0</v>
      </c>
    </row>
    <row r="53" spans="2:9" ht="15" customHeight="1" x14ac:dyDescent="0.2">
      <c r="B53" t="s">
        <v>299</v>
      </c>
      <c r="C53" s="12">
        <v>2</v>
      </c>
      <c r="D53" s="8">
        <v>4.6500000000000004</v>
      </c>
      <c r="E53" s="12">
        <v>0</v>
      </c>
      <c r="F53" s="8">
        <v>0</v>
      </c>
      <c r="G53" s="12">
        <v>2</v>
      </c>
      <c r="H53" s="8">
        <v>8</v>
      </c>
      <c r="I53" s="12">
        <v>0</v>
      </c>
    </row>
    <row r="54" spans="2:9" ht="15" customHeight="1" x14ac:dyDescent="0.2">
      <c r="B54" t="s">
        <v>304</v>
      </c>
      <c r="C54" s="12">
        <v>2</v>
      </c>
      <c r="D54" s="8">
        <v>4.6500000000000004</v>
      </c>
      <c r="E54" s="12">
        <v>2</v>
      </c>
      <c r="F54" s="8">
        <v>12.5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305</v>
      </c>
      <c r="C55" s="12">
        <v>2</v>
      </c>
      <c r="D55" s="8">
        <v>4.6500000000000004</v>
      </c>
      <c r="E55" s="12">
        <v>2</v>
      </c>
      <c r="F55" s="8">
        <v>12.5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307</v>
      </c>
      <c r="C56" s="12">
        <v>2</v>
      </c>
      <c r="D56" s="8">
        <v>4.6500000000000004</v>
      </c>
      <c r="E56" s="12">
        <v>0</v>
      </c>
      <c r="F56" s="8">
        <v>0</v>
      </c>
      <c r="G56" s="12">
        <v>2</v>
      </c>
      <c r="H56" s="8">
        <v>8</v>
      </c>
      <c r="I56" s="12">
        <v>0</v>
      </c>
    </row>
    <row r="57" spans="2:9" ht="15" customHeight="1" x14ac:dyDescent="0.2">
      <c r="B57" t="s">
        <v>442</v>
      </c>
      <c r="C57" s="12">
        <v>1</v>
      </c>
      <c r="D57" s="8">
        <v>2.33</v>
      </c>
      <c r="E57" s="12">
        <v>0</v>
      </c>
      <c r="F57" s="8">
        <v>0</v>
      </c>
      <c r="G57" s="12">
        <v>1</v>
      </c>
      <c r="H57" s="8">
        <v>4</v>
      </c>
      <c r="I57" s="12">
        <v>0</v>
      </c>
    </row>
    <row r="58" spans="2:9" ht="15" customHeight="1" x14ac:dyDescent="0.2">
      <c r="B58" t="s">
        <v>288</v>
      </c>
      <c r="C58" s="12">
        <v>1</v>
      </c>
      <c r="D58" s="8">
        <v>2.33</v>
      </c>
      <c r="E58" s="12">
        <v>0</v>
      </c>
      <c r="F58" s="8">
        <v>0</v>
      </c>
      <c r="G58" s="12">
        <v>1</v>
      </c>
      <c r="H58" s="8">
        <v>4</v>
      </c>
      <c r="I58" s="12">
        <v>0</v>
      </c>
    </row>
    <row r="59" spans="2:9" ht="15" customHeight="1" x14ac:dyDescent="0.2">
      <c r="B59" t="s">
        <v>289</v>
      </c>
      <c r="C59" s="12">
        <v>1</v>
      </c>
      <c r="D59" s="8">
        <v>2.33</v>
      </c>
      <c r="E59" s="12">
        <v>0</v>
      </c>
      <c r="F59" s="8">
        <v>0</v>
      </c>
      <c r="G59" s="12">
        <v>1</v>
      </c>
      <c r="H59" s="8">
        <v>4</v>
      </c>
      <c r="I59" s="12">
        <v>0</v>
      </c>
    </row>
    <row r="60" spans="2:9" ht="15" customHeight="1" x14ac:dyDescent="0.2">
      <c r="B60" t="s">
        <v>343</v>
      </c>
      <c r="C60" s="12">
        <v>1</v>
      </c>
      <c r="D60" s="8">
        <v>2.33</v>
      </c>
      <c r="E60" s="12">
        <v>1</v>
      </c>
      <c r="F60" s="8">
        <v>6.25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320</v>
      </c>
      <c r="C61" s="12">
        <v>1</v>
      </c>
      <c r="D61" s="8">
        <v>2.33</v>
      </c>
      <c r="E61" s="12">
        <v>0</v>
      </c>
      <c r="F61" s="8">
        <v>0</v>
      </c>
      <c r="G61" s="12">
        <v>1</v>
      </c>
      <c r="H61" s="8">
        <v>4</v>
      </c>
      <c r="I61" s="12">
        <v>0</v>
      </c>
    </row>
    <row r="62" spans="2:9" ht="15" customHeight="1" x14ac:dyDescent="0.2">
      <c r="B62" t="s">
        <v>291</v>
      </c>
      <c r="C62" s="12">
        <v>1</v>
      </c>
      <c r="D62" s="8">
        <v>2.33</v>
      </c>
      <c r="E62" s="12">
        <v>0</v>
      </c>
      <c r="F62" s="8">
        <v>0</v>
      </c>
      <c r="G62" s="12">
        <v>1</v>
      </c>
      <c r="H62" s="8">
        <v>4</v>
      </c>
      <c r="I62" s="12">
        <v>0</v>
      </c>
    </row>
    <row r="63" spans="2:9" ht="15" customHeight="1" x14ac:dyDescent="0.2">
      <c r="B63" t="s">
        <v>413</v>
      </c>
      <c r="C63" s="12">
        <v>1</v>
      </c>
      <c r="D63" s="8">
        <v>2.33</v>
      </c>
      <c r="E63" s="12">
        <v>0</v>
      </c>
      <c r="F63" s="8">
        <v>0</v>
      </c>
      <c r="G63" s="12">
        <v>1</v>
      </c>
      <c r="H63" s="8">
        <v>4</v>
      </c>
      <c r="I63" s="12">
        <v>0</v>
      </c>
    </row>
    <row r="64" spans="2:9" ht="15" customHeight="1" x14ac:dyDescent="0.2">
      <c r="B64" t="s">
        <v>443</v>
      </c>
      <c r="C64" s="12">
        <v>1</v>
      </c>
      <c r="D64" s="8">
        <v>2.33</v>
      </c>
      <c r="E64" s="12">
        <v>0</v>
      </c>
      <c r="F64" s="8">
        <v>0</v>
      </c>
      <c r="G64" s="12">
        <v>1</v>
      </c>
      <c r="H64" s="8">
        <v>4</v>
      </c>
      <c r="I64" s="12">
        <v>0</v>
      </c>
    </row>
    <row r="65" spans="2:9" ht="15" customHeight="1" x14ac:dyDescent="0.2">
      <c r="B65" t="s">
        <v>461</v>
      </c>
      <c r="C65" s="12">
        <v>1</v>
      </c>
      <c r="D65" s="8">
        <v>2.33</v>
      </c>
      <c r="E65" s="12">
        <v>1</v>
      </c>
      <c r="F65" s="8">
        <v>6.25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360</v>
      </c>
      <c r="C66" s="12">
        <v>1</v>
      </c>
      <c r="D66" s="8">
        <v>2.33</v>
      </c>
      <c r="E66" s="12">
        <v>0</v>
      </c>
      <c r="F66" s="8">
        <v>0</v>
      </c>
      <c r="G66" s="12">
        <v>1</v>
      </c>
      <c r="H66" s="8">
        <v>4</v>
      </c>
      <c r="I66" s="12">
        <v>0</v>
      </c>
    </row>
    <row r="67" spans="2:9" ht="15" customHeight="1" x14ac:dyDescent="0.2">
      <c r="B67" t="s">
        <v>374</v>
      </c>
      <c r="C67" s="12">
        <v>1</v>
      </c>
      <c r="D67" s="8">
        <v>2.33</v>
      </c>
      <c r="E67" s="12">
        <v>1</v>
      </c>
      <c r="F67" s="8">
        <v>6.25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462</v>
      </c>
      <c r="C68" s="12">
        <v>1</v>
      </c>
      <c r="D68" s="8">
        <v>2.33</v>
      </c>
      <c r="E68" s="12">
        <v>0</v>
      </c>
      <c r="F68" s="8">
        <v>0</v>
      </c>
      <c r="G68" s="12">
        <v>1</v>
      </c>
      <c r="H68" s="8">
        <v>4</v>
      </c>
      <c r="I68" s="12">
        <v>0</v>
      </c>
    </row>
    <row r="69" spans="2:9" ht="15" customHeight="1" x14ac:dyDescent="0.2">
      <c r="B69" t="s">
        <v>463</v>
      </c>
      <c r="C69" s="12">
        <v>1</v>
      </c>
      <c r="D69" s="8">
        <v>2.33</v>
      </c>
      <c r="E69" s="12">
        <v>0</v>
      </c>
      <c r="F69" s="8">
        <v>0</v>
      </c>
      <c r="G69" s="12">
        <v>1</v>
      </c>
      <c r="H69" s="8">
        <v>4</v>
      </c>
      <c r="I69" s="12">
        <v>0</v>
      </c>
    </row>
    <row r="70" spans="2:9" ht="15" customHeight="1" x14ac:dyDescent="0.2">
      <c r="B70" t="s">
        <v>321</v>
      </c>
      <c r="C70" s="12">
        <v>1</v>
      </c>
      <c r="D70" s="8">
        <v>2.33</v>
      </c>
      <c r="E70" s="12">
        <v>0</v>
      </c>
      <c r="F70" s="8">
        <v>0</v>
      </c>
      <c r="G70" s="12">
        <v>1</v>
      </c>
      <c r="H70" s="8">
        <v>4</v>
      </c>
      <c r="I70" s="12">
        <v>0</v>
      </c>
    </row>
    <row r="71" spans="2:9" ht="15" customHeight="1" x14ac:dyDescent="0.2">
      <c r="B71" t="s">
        <v>421</v>
      </c>
      <c r="C71" s="12">
        <v>1</v>
      </c>
      <c r="D71" s="8">
        <v>2.33</v>
      </c>
      <c r="E71" s="12">
        <v>1</v>
      </c>
      <c r="F71" s="8">
        <v>6.25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314</v>
      </c>
      <c r="C72" s="12">
        <v>1</v>
      </c>
      <c r="D72" s="8">
        <v>2.33</v>
      </c>
      <c r="E72" s="12">
        <v>1</v>
      </c>
      <c r="F72" s="8">
        <v>6.25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329</v>
      </c>
      <c r="C73" s="12">
        <v>1</v>
      </c>
      <c r="D73" s="8">
        <v>2.33</v>
      </c>
      <c r="E73" s="12">
        <v>0</v>
      </c>
      <c r="F73" s="8">
        <v>0</v>
      </c>
      <c r="G73" s="12">
        <v>1</v>
      </c>
      <c r="H73" s="8">
        <v>4</v>
      </c>
      <c r="I73" s="12">
        <v>0</v>
      </c>
    </row>
    <row r="74" spans="2:9" ht="15" customHeight="1" x14ac:dyDescent="0.2">
      <c r="B74" t="s">
        <v>292</v>
      </c>
      <c r="C74" s="12">
        <v>1</v>
      </c>
      <c r="D74" s="8">
        <v>2.33</v>
      </c>
      <c r="E74" s="12">
        <v>0</v>
      </c>
      <c r="F74" s="8">
        <v>0</v>
      </c>
      <c r="G74" s="12">
        <v>1</v>
      </c>
      <c r="H74" s="8">
        <v>4</v>
      </c>
      <c r="I74" s="12">
        <v>0</v>
      </c>
    </row>
    <row r="75" spans="2:9" ht="15" customHeight="1" x14ac:dyDescent="0.2">
      <c r="B75" t="s">
        <v>294</v>
      </c>
      <c r="C75" s="12">
        <v>1</v>
      </c>
      <c r="D75" s="8">
        <v>2.33</v>
      </c>
      <c r="E75" s="12">
        <v>1</v>
      </c>
      <c r="F75" s="8">
        <v>6.25</v>
      </c>
      <c r="G75" s="12">
        <v>0</v>
      </c>
      <c r="H75" s="8">
        <v>0</v>
      </c>
      <c r="I75" s="12">
        <v>0</v>
      </c>
    </row>
    <row r="76" spans="2:9" ht="15" customHeight="1" x14ac:dyDescent="0.2">
      <c r="B76" t="s">
        <v>337</v>
      </c>
      <c r="C76" s="12">
        <v>1</v>
      </c>
      <c r="D76" s="8">
        <v>2.33</v>
      </c>
      <c r="E76" s="12">
        <v>1</v>
      </c>
      <c r="F76" s="8">
        <v>6.25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429</v>
      </c>
      <c r="C77" s="12">
        <v>1</v>
      </c>
      <c r="D77" s="8">
        <v>2.33</v>
      </c>
      <c r="E77" s="12">
        <v>1</v>
      </c>
      <c r="F77" s="8">
        <v>6.25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419</v>
      </c>
      <c r="C78" s="12">
        <v>1</v>
      </c>
      <c r="D78" s="8">
        <v>2.33</v>
      </c>
      <c r="E78" s="12">
        <v>0</v>
      </c>
      <c r="F78" s="8">
        <v>0</v>
      </c>
      <c r="G78" s="12">
        <v>1</v>
      </c>
      <c r="H78" s="8">
        <v>4</v>
      </c>
      <c r="I78" s="12">
        <v>0</v>
      </c>
    </row>
    <row r="79" spans="2:9" ht="15" customHeight="1" x14ac:dyDescent="0.2">
      <c r="B79" t="s">
        <v>303</v>
      </c>
      <c r="C79" s="12">
        <v>1</v>
      </c>
      <c r="D79" s="8">
        <v>2.33</v>
      </c>
      <c r="E79" s="12">
        <v>1</v>
      </c>
      <c r="F79" s="8">
        <v>6.25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368</v>
      </c>
      <c r="C80" s="12">
        <v>1</v>
      </c>
      <c r="D80" s="8">
        <v>2.33</v>
      </c>
      <c r="E80" s="12">
        <v>0</v>
      </c>
      <c r="F80" s="8">
        <v>0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340</v>
      </c>
      <c r="C81" s="12">
        <v>1</v>
      </c>
      <c r="D81" s="8">
        <v>2.33</v>
      </c>
      <c r="E81" s="12">
        <v>0</v>
      </c>
      <c r="F81" s="8">
        <v>0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306</v>
      </c>
      <c r="C82" s="12">
        <v>1</v>
      </c>
      <c r="D82" s="8">
        <v>2.33</v>
      </c>
      <c r="E82" s="12">
        <v>1</v>
      </c>
      <c r="F82" s="8">
        <v>6.25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370</v>
      </c>
      <c r="C83" s="12">
        <v>1</v>
      </c>
      <c r="D83" s="8">
        <v>2.33</v>
      </c>
      <c r="E83" s="12">
        <v>0</v>
      </c>
      <c r="F83" s="8">
        <v>0</v>
      </c>
      <c r="G83" s="12">
        <v>1</v>
      </c>
      <c r="H83" s="8">
        <v>4</v>
      </c>
      <c r="I83" s="12">
        <v>0</v>
      </c>
    </row>
    <row r="84" spans="2:9" ht="15" customHeight="1" x14ac:dyDescent="0.2">
      <c r="B84" t="s">
        <v>371</v>
      </c>
      <c r="C84" s="12">
        <v>1</v>
      </c>
      <c r="D84" s="8">
        <v>2.33</v>
      </c>
      <c r="E84" s="12">
        <v>1</v>
      </c>
      <c r="F84" s="8">
        <v>6.25</v>
      </c>
      <c r="G84" s="12">
        <v>0</v>
      </c>
      <c r="H84" s="8">
        <v>0</v>
      </c>
      <c r="I84" s="12">
        <v>0</v>
      </c>
    </row>
    <row r="86" spans="2:9" ht="15" customHeight="1" x14ac:dyDescent="0.2">
      <c r="B86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CE68-CF9D-45EA-B4B7-13B67466060C}">
  <sheetPr>
    <pageSetUpPr fitToPage="1"/>
  </sheetPr>
  <dimension ref="B2:I10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623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24</v>
      </c>
      <c r="D6" s="8">
        <v>28.24</v>
      </c>
      <c r="E6" s="12">
        <v>5</v>
      </c>
      <c r="F6" s="8">
        <v>12.5</v>
      </c>
      <c r="G6" s="12">
        <v>19</v>
      </c>
      <c r="H6" s="8">
        <v>43.18</v>
      </c>
      <c r="I6" s="12">
        <v>0</v>
      </c>
    </row>
    <row r="7" spans="2:9" ht="15" customHeight="1" x14ac:dyDescent="0.2">
      <c r="B7" t="s">
        <v>192</v>
      </c>
      <c r="C7" s="12">
        <v>7</v>
      </c>
      <c r="D7" s="8">
        <v>8.24</v>
      </c>
      <c r="E7" s="12">
        <v>2</v>
      </c>
      <c r="F7" s="8">
        <v>5</v>
      </c>
      <c r="G7" s="12">
        <v>5</v>
      </c>
      <c r="H7" s="8">
        <v>11.36</v>
      </c>
      <c r="I7" s="12">
        <v>0</v>
      </c>
    </row>
    <row r="8" spans="2:9" ht="15" customHeight="1" x14ac:dyDescent="0.2">
      <c r="B8" t="s">
        <v>193</v>
      </c>
      <c r="C8" s="12">
        <v>0</v>
      </c>
      <c r="D8" s="8">
        <v>0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1.18</v>
      </c>
      <c r="E10" s="12">
        <v>0</v>
      </c>
      <c r="F10" s="8">
        <v>0</v>
      </c>
      <c r="G10" s="12">
        <v>1</v>
      </c>
      <c r="H10" s="8">
        <v>2.27</v>
      </c>
      <c r="I10" s="12">
        <v>0</v>
      </c>
    </row>
    <row r="11" spans="2:9" ht="15" customHeight="1" x14ac:dyDescent="0.2">
      <c r="B11" t="s">
        <v>196</v>
      </c>
      <c r="C11" s="12">
        <v>18</v>
      </c>
      <c r="D11" s="8">
        <v>21.18</v>
      </c>
      <c r="E11" s="12">
        <v>8</v>
      </c>
      <c r="F11" s="8">
        <v>20</v>
      </c>
      <c r="G11" s="12">
        <v>10</v>
      </c>
      <c r="H11" s="8">
        <v>22.73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7</v>
      </c>
      <c r="D13" s="8">
        <v>8.24</v>
      </c>
      <c r="E13" s="12">
        <v>5</v>
      </c>
      <c r="F13" s="8">
        <v>12.5</v>
      </c>
      <c r="G13" s="12">
        <v>2</v>
      </c>
      <c r="H13" s="8">
        <v>4.55</v>
      </c>
      <c r="I13" s="12">
        <v>0</v>
      </c>
    </row>
    <row r="14" spans="2:9" ht="15" customHeight="1" x14ac:dyDescent="0.2">
      <c r="B14" t="s">
        <v>199</v>
      </c>
      <c r="C14" s="12">
        <v>0</v>
      </c>
      <c r="D14" s="8">
        <v>0</v>
      </c>
      <c r="E14" s="12">
        <v>0</v>
      </c>
      <c r="F14" s="8">
        <v>0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8</v>
      </c>
      <c r="D15" s="8">
        <v>9.41</v>
      </c>
      <c r="E15" s="12">
        <v>6</v>
      </c>
      <c r="F15" s="8">
        <v>15</v>
      </c>
      <c r="G15" s="12">
        <v>1</v>
      </c>
      <c r="H15" s="8">
        <v>2.27</v>
      </c>
      <c r="I15" s="12">
        <v>0</v>
      </c>
    </row>
    <row r="16" spans="2:9" ht="15" customHeight="1" x14ac:dyDescent="0.2">
      <c r="B16" t="s">
        <v>201</v>
      </c>
      <c r="C16" s="12">
        <v>10</v>
      </c>
      <c r="D16" s="8">
        <v>11.76</v>
      </c>
      <c r="E16" s="12">
        <v>9</v>
      </c>
      <c r="F16" s="8">
        <v>22.5</v>
      </c>
      <c r="G16" s="12">
        <v>1</v>
      </c>
      <c r="H16" s="8">
        <v>2.27</v>
      </c>
      <c r="I16" s="12">
        <v>0</v>
      </c>
    </row>
    <row r="17" spans="2:9" ht="15" customHeight="1" x14ac:dyDescent="0.2">
      <c r="B17" t="s">
        <v>202</v>
      </c>
      <c r="C17" s="12">
        <v>2</v>
      </c>
      <c r="D17" s="8">
        <v>2.35</v>
      </c>
      <c r="E17" s="12">
        <v>2</v>
      </c>
      <c r="F17" s="8">
        <v>5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2</v>
      </c>
      <c r="D18" s="8">
        <v>2.35</v>
      </c>
      <c r="E18" s="12">
        <v>1</v>
      </c>
      <c r="F18" s="8">
        <v>2.5</v>
      </c>
      <c r="G18" s="12">
        <v>1</v>
      </c>
      <c r="H18" s="8">
        <v>2.27</v>
      </c>
      <c r="I18" s="12">
        <v>0</v>
      </c>
    </row>
    <row r="19" spans="2:9" ht="15" customHeight="1" x14ac:dyDescent="0.2">
      <c r="B19" t="s">
        <v>204</v>
      </c>
      <c r="C19" s="12">
        <v>6</v>
      </c>
      <c r="D19" s="8">
        <v>7.06</v>
      </c>
      <c r="E19" s="12">
        <v>2</v>
      </c>
      <c r="F19" s="8">
        <v>5</v>
      </c>
      <c r="G19" s="12">
        <v>4</v>
      </c>
      <c r="H19" s="8">
        <v>9.09</v>
      </c>
      <c r="I19" s="12">
        <v>0</v>
      </c>
    </row>
    <row r="20" spans="2:9" ht="15" customHeight="1" x14ac:dyDescent="0.2">
      <c r="B20" s="9" t="s">
        <v>529</v>
      </c>
      <c r="C20" s="12">
        <f>SUM(LTBL_01432[総数／事業所数])</f>
        <v>85</v>
      </c>
      <c r="E20" s="12">
        <f>SUBTOTAL(109,LTBL_01432[個人／事業所数])</f>
        <v>40</v>
      </c>
      <c r="G20" s="12">
        <f>SUBTOTAL(109,LTBL_01432[法人／事業所数])</f>
        <v>44</v>
      </c>
      <c r="I20" s="12">
        <f>SUBTOTAL(109,LTBL_01432[法人以外の団体／事業所数])</f>
        <v>0</v>
      </c>
    </row>
    <row r="21" spans="2:9" ht="15" customHeight="1" x14ac:dyDescent="0.2">
      <c r="E21" s="11">
        <f>LTBL_01432[[#Totals],[個人／事業所数]]/LTBL_01432[[#Totals],[総数／事業所数]]</f>
        <v>0.47058823529411764</v>
      </c>
      <c r="G21" s="11">
        <f>LTBL_01432[[#Totals],[法人／事業所数]]/LTBL_01432[[#Totals],[総数／事業所数]]</f>
        <v>0.51764705882352946</v>
      </c>
      <c r="I21" s="11">
        <f>LTBL_01432[[#Totals],[法人以外の団体／事業所数]]/LTBL_01432[[#Totals],[総数／事業所数]]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213</v>
      </c>
      <c r="C24" s="12">
        <v>11</v>
      </c>
      <c r="D24" s="8">
        <v>12.94</v>
      </c>
      <c r="E24" s="12">
        <v>1</v>
      </c>
      <c r="F24" s="8">
        <v>2.5</v>
      </c>
      <c r="G24" s="12">
        <v>10</v>
      </c>
      <c r="H24" s="8">
        <v>22.73</v>
      </c>
      <c r="I24" s="12">
        <v>0</v>
      </c>
    </row>
    <row r="25" spans="2:9" ht="15" customHeight="1" x14ac:dyDescent="0.2">
      <c r="B25" t="s">
        <v>214</v>
      </c>
      <c r="C25" s="12">
        <v>11</v>
      </c>
      <c r="D25" s="8">
        <v>12.94</v>
      </c>
      <c r="E25" s="12">
        <v>4</v>
      </c>
      <c r="F25" s="8">
        <v>10</v>
      </c>
      <c r="G25" s="12">
        <v>7</v>
      </c>
      <c r="H25" s="8">
        <v>15.91</v>
      </c>
      <c r="I25" s="12">
        <v>0</v>
      </c>
    </row>
    <row r="26" spans="2:9" ht="15" customHeight="1" x14ac:dyDescent="0.2">
      <c r="B26" t="s">
        <v>228</v>
      </c>
      <c r="C26" s="12">
        <v>9</v>
      </c>
      <c r="D26" s="8">
        <v>10.59</v>
      </c>
      <c r="E26" s="12">
        <v>8</v>
      </c>
      <c r="F26" s="8">
        <v>20</v>
      </c>
      <c r="G26" s="12">
        <v>1</v>
      </c>
      <c r="H26" s="8">
        <v>2.27</v>
      </c>
      <c r="I26" s="12">
        <v>0</v>
      </c>
    </row>
    <row r="27" spans="2:9" ht="15" customHeight="1" x14ac:dyDescent="0.2">
      <c r="B27" t="s">
        <v>223</v>
      </c>
      <c r="C27" s="12">
        <v>7</v>
      </c>
      <c r="D27" s="8">
        <v>8.24</v>
      </c>
      <c r="E27" s="12">
        <v>5</v>
      </c>
      <c r="F27" s="8">
        <v>12.5</v>
      </c>
      <c r="G27" s="12">
        <v>2</v>
      </c>
      <c r="H27" s="8">
        <v>4.55</v>
      </c>
      <c r="I27" s="12">
        <v>0</v>
      </c>
    </row>
    <row r="28" spans="2:9" ht="15" customHeight="1" x14ac:dyDescent="0.2">
      <c r="B28" t="s">
        <v>227</v>
      </c>
      <c r="C28" s="12">
        <v>7</v>
      </c>
      <c r="D28" s="8">
        <v>8.24</v>
      </c>
      <c r="E28" s="12">
        <v>6</v>
      </c>
      <c r="F28" s="8">
        <v>15</v>
      </c>
      <c r="G28" s="12">
        <v>1</v>
      </c>
      <c r="H28" s="8">
        <v>2.27</v>
      </c>
      <c r="I28" s="12">
        <v>0</v>
      </c>
    </row>
    <row r="29" spans="2:9" ht="15" customHeight="1" x14ac:dyDescent="0.2">
      <c r="B29" t="s">
        <v>224</v>
      </c>
      <c r="C29" s="12">
        <v>6</v>
      </c>
      <c r="D29" s="8">
        <v>7.06</v>
      </c>
      <c r="E29" s="12">
        <v>5</v>
      </c>
      <c r="F29" s="8">
        <v>12.5</v>
      </c>
      <c r="G29" s="12">
        <v>1</v>
      </c>
      <c r="H29" s="8">
        <v>2.27</v>
      </c>
      <c r="I29" s="12">
        <v>0</v>
      </c>
    </row>
    <row r="30" spans="2:9" ht="15" customHeight="1" x14ac:dyDescent="0.2">
      <c r="B30" t="s">
        <v>221</v>
      </c>
      <c r="C30" s="12">
        <v>4</v>
      </c>
      <c r="D30" s="8">
        <v>4.71</v>
      </c>
      <c r="E30" s="12">
        <v>3</v>
      </c>
      <c r="F30" s="8">
        <v>7.5</v>
      </c>
      <c r="G30" s="12">
        <v>1</v>
      </c>
      <c r="H30" s="8">
        <v>2.27</v>
      </c>
      <c r="I30" s="12">
        <v>0</v>
      </c>
    </row>
    <row r="31" spans="2:9" ht="15" customHeight="1" x14ac:dyDescent="0.2">
      <c r="B31" t="s">
        <v>234</v>
      </c>
      <c r="C31" s="12">
        <v>3</v>
      </c>
      <c r="D31" s="8">
        <v>3.53</v>
      </c>
      <c r="E31" s="12">
        <v>1</v>
      </c>
      <c r="F31" s="8">
        <v>2.5</v>
      </c>
      <c r="G31" s="12">
        <v>2</v>
      </c>
      <c r="H31" s="8">
        <v>4.55</v>
      </c>
      <c r="I31" s="12">
        <v>0</v>
      </c>
    </row>
    <row r="32" spans="2:9" ht="15" customHeight="1" x14ac:dyDescent="0.2">
      <c r="B32" t="s">
        <v>215</v>
      </c>
      <c r="C32" s="12">
        <v>2</v>
      </c>
      <c r="D32" s="8">
        <v>2.35</v>
      </c>
      <c r="E32" s="12">
        <v>0</v>
      </c>
      <c r="F32" s="8">
        <v>0</v>
      </c>
      <c r="G32" s="12">
        <v>2</v>
      </c>
      <c r="H32" s="8">
        <v>4.55</v>
      </c>
      <c r="I32" s="12">
        <v>0</v>
      </c>
    </row>
    <row r="33" spans="2:9" ht="15" customHeight="1" x14ac:dyDescent="0.2">
      <c r="B33" t="s">
        <v>217</v>
      </c>
      <c r="C33" s="12">
        <v>2</v>
      </c>
      <c r="D33" s="8">
        <v>2.35</v>
      </c>
      <c r="E33" s="12">
        <v>0</v>
      </c>
      <c r="F33" s="8">
        <v>0</v>
      </c>
      <c r="G33" s="12">
        <v>2</v>
      </c>
      <c r="H33" s="8">
        <v>4.55</v>
      </c>
      <c r="I33" s="12">
        <v>0</v>
      </c>
    </row>
    <row r="34" spans="2:9" ht="15" customHeight="1" x14ac:dyDescent="0.2">
      <c r="B34" t="s">
        <v>222</v>
      </c>
      <c r="C34" s="12">
        <v>2</v>
      </c>
      <c r="D34" s="8">
        <v>2.35</v>
      </c>
      <c r="E34" s="12">
        <v>0</v>
      </c>
      <c r="F34" s="8">
        <v>0</v>
      </c>
      <c r="G34" s="12">
        <v>2</v>
      </c>
      <c r="H34" s="8">
        <v>4.55</v>
      </c>
      <c r="I34" s="12">
        <v>0</v>
      </c>
    </row>
    <row r="35" spans="2:9" ht="15" customHeight="1" x14ac:dyDescent="0.2">
      <c r="B35" t="s">
        <v>230</v>
      </c>
      <c r="C35" s="12">
        <v>2</v>
      </c>
      <c r="D35" s="8">
        <v>2.35</v>
      </c>
      <c r="E35" s="12">
        <v>2</v>
      </c>
      <c r="F35" s="8">
        <v>5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231</v>
      </c>
      <c r="C36" s="12">
        <v>2</v>
      </c>
      <c r="D36" s="8">
        <v>2.35</v>
      </c>
      <c r="E36" s="12">
        <v>1</v>
      </c>
      <c r="F36" s="8">
        <v>2.5</v>
      </c>
      <c r="G36" s="12">
        <v>1</v>
      </c>
      <c r="H36" s="8">
        <v>2.27</v>
      </c>
      <c r="I36" s="12">
        <v>0</v>
      </c>
    </row>
    <row r="37" spans="2:9" ht="15" customHeight="1" x14ac:dyDescent="0.2">
      <c r="B37" t="s">
        <v>240</v>
      </c>
      <c r="C37" s="12">
        <v>2</v>
      </c>
      <c r="D37" s="8">
        <v>2.35</v>
      </c>
      <c r="E37" s="12">
        <v>0</v>
      </c>
      <c r="F37" s="8">
        <v>0</v>
      </c>
      <c r="G37" s="12">
        <v>2</v>
      </c>
      <c r="H37" s="8">
        <v>4.55</v>
      </c>
      <c r="I37" s="12">
        <v>0</v>
      </c>
    </row>
    <row r="38" spans="2:9" ht="15" customHeight="1" x14ac:dyDescent="0.2">
      <c r="B38" t="s">
        <v>241</v>
      </c>
      <c r="C38" s="12">
        <v>1</v>
      </c>
      <c r="D38" s="8">
        <v>1.18</v>
      </c>
      <c r="E38" s="12">
        <v>0</v>
      </c>
      <c r="F38" s="8">
        <v>0</v>
      </c>
      <c r="G38" s="12">
        <v>1</v>
      </c>
      <c r="H38" s="8">
        <v>2.27</v>
      </c>
      <c r="I38" s="12">
        <v>0</v>
      </c>
    </row>
    <row r="39" spans="2:9" ht="15" customHeight="1" x14ac:dyDescent="0.2">
      <c r="B39" t="s">
        <v>262</v>
      </c>
      <c r="C39" s="12">
        <v>1</v>
      </c>
      <c r="D39" s="8">
        <v>1.18</v>
      </c>
      <c r="E39" s="12">
        <v>0</v>
      </c>
      <c r="F39" s="8">
        <v>0</v>
      </c>
      <c r="G39" s="12">
        <v>1</v>
      </c>
      <c r="H39" s="8">
        <v>2.27</v>
      </c>
      <c r="I39" s="12">
        <v>0</v>
      </c>
    </row>
    <row r="40" spans="2:9" ht="15" customHeight="1" x14ac:dyDescent="0.2">
      <c r="B40" t="s">
        <v>264</v>
      </c>
      <c r="C40" s="12">
        <v>1</v>
      </c>
      <c r="D40" s="8">
        <v>1.18</v>
      </c>
      <c r="E40" s="12">
        <v>0</v>
      </c>
      <c r="F40" s="8">
        <v>0</v>
      </c>
      <c r="G40" s="12">
        <v>1</v>
      </c>
      <c r="H40" s="8">
        <v>2.27</v>
      </c>
      <c r="I40" s="12">
        <v>0</v>
      </c>
    </row>
    <row r="41" spans="2:9" ht="15" customHeight="1" x14ac:dyDescent="0.2">
      <c r="B41" t="s">
        <v>254</v>
      </c>
      <c r="C41" s="12">
        <v>1</v>
      </c>
      <c r="D41" s="8">
        <v>1.18</v>
      </c>
      <c r="E41" s="12">
        <v>1</v>
      </c>
      <c r="F41" s="8">
        <v>2.5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272</v>
      </c>
      <c r="C42" s="12">
        <v>1</v>
      </c>
      <c r="D42" s="8">
        <v>1.18</v>
      </c>
      <c r="E42" s="12">
        <v>1</v>
      </c>
      <c r="F42" s="8">
        <v>2.5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253</v>
      </c>
      <c r="C43" s="12">
        <v>1</v>
      </c>
      <c r="D43" s="8">
        <v>1.18</v>
      </c>
      <c r="E43" s="12">
        <v>0</v>
      </c>
      <c r="F43" s="8">
        <v>0</v>
      </c>
      <c r="G43" s="12">
        <v>1</v>
      </c>
      <c r="H43" s="8">
        <v>2.27</v>
      </c>
      <c r="I43" s="12">
        <v>0</v>
      </c>
    </row>
    <row r="44" spans="2:9" ht="15" customHeight="1" x14ac:dyDescent="0.2">
      <c r="B44" t="s">
        <v>268</v>
      </c>
      <c r="C44" s="12">
        <v>1</v>
      </c>
      <c r="D44" s="8">
        <v>1.18</v>
      </c>
      <c r="E44" s="12">
        <v>0</v>
      </c>
      <c r="F44" s="8">
        <v>0</v>
      </c>
      <c r="G44" s="12">
        <v>1</v>
      </c>
      <c r="H44" s="8">
        <v>2.27</v>
      </c>
      <c r="I44" s="12">
        <v>0</v>
      </c>
    </row>
    <row r="45" spans="2:9" ht="15" customHeight="1" x14ac:dyDescent="0.2">
      <c r="B45" t="s">
        <v>238</v>
      </c>
      <c r="C45" s="12">
        <v>1</v>
      </c>
      <c r="D45" s="8">
        <v>1.18</v>
      </c>
      <c r="E45" s="12">
        <v>0</v>
      </c>
      <c r="F45" s="8">
        <v>0</v>
      </c>
      <c r="G45" s="12">
        <v>1</v>
      </c>
      <c r="H45" s="8">
        <v>2.27</v>
      </c>
      <c r="I45" s="12">
        <v>0</v>
      </c>
    </row>
    <row r="46" spans="2:9" ht="15" customHeight="1" x14ac:dyDescent="0.2">
      <c r="B46" t="s">
        <v>216</v>
      </c>
      <c r="C46" s="12">
        <v>1</v>
      </c>
      <c r="D46" s="8">
        <v>1.18</v>
      </c>
      <c r="E46" s="12">
        <v>0</v>
      </c>
      <c r="F46" s="8">
        <v>0</v>
      </c>
      <c r="G46" s="12">
        <v>1</v>
      </c>
      <c r="H46" s="8">
        <v>2.27</v>
      </c>
      <c r="I46" s="12">
        <v>0</v>
      </c>
    </row>
    <row r="47" spans="2:9" ht="15" customHeight="1" x14ac:dyDescent="0.2">
      <c r="B47" t="s">
        <v>218</v>
      </c>
      <c r="C47" s="12">
        <v>1</v>
      </c>
      <c r="D47" s="8">
        <v>1.18</v>
      </c>
      <c r="E47" s="12">
        <v>0</v>
      </c>
      <c r="F47" s="8">
        <v>0</v>
      </c>
      <c r="G47" s="12">
        <v>1</v>
      </c>
      <c r="H47" s="8">
        <v>2.27</v>
      </c>
      <c r="I47" s="12">
        <v>0</v>
      </c>
    </row>
    <row r="48" spans="2:9" ht="15" customHeight="1" x14ac:dyDescent="0.2">
      <c r="B48" t="s">
        <v>220</v>
      </c>
      <c r="C48" s="12">
        <v>1</v>
      </c>
      <c r="D48" s="8">
        <v>1.18</v>
      </c>
      <c r="E48" s="12">
        <v>0</v>
      </c>
      <c r="F48" s="8">
        <v>0</v>
      </c>
      <c r="G48" s="12">
        <v>1</v>
      </c>
      <c r="H48" s="8">
        <v>2.27</v>
      </c>
      <c r="I48" s="12">
        <v>0</v>
      </c>
    </row>
    <row r="49" spans="2:9" ht="15" customHeight="1" x14ac:dyDescent="0.2">
      <c r="B49" t="s">
        <v>246</v>
      </c>
      <c r="C49" s="12">
        <v>1</v>
      </c>
      <c r="D49" s="8">
        <v>1.18</v>
      </c>
      <c r="E49" s="12">
        <v>0</v>
      </c>
      <c r="F49" s="8">
        <v>0</v>
      </c>
      <c r="G49" s="12">
        <v>1</v>
      </c>
      <c r="H49" s="8">
        <v>2.27</v>
      </c>
      <c r="I49" s="12">
        <v>0</v>
      </c>
    </row>
    <row r="50" spans="2:9" ht="15" customHeight="1" x14ac:dyDescent="0.2">
      <c r="B50" t="s">
        <v>239</v>
      </c>
      <c r="C50" s="12">
        <v>1</v>
      </c>
      <c r="D50" s="8">
        <v>1.18</v>
      </c>
      <c r="E50" s="12">
        <v>0</v>
      </c>
      <c r="F50" s="8">
        <v>0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229</v>
      </c>
      <c r="C51" s="12">
        <v>1</v>
      </c>
      <c r="D51" s="8">
        <v>1.18</v>
      </c>
      <c r="E51" s="12">
        <v>1</v>
      </c>
      <c r="F51" s="8">
        <v>2.5</v>
      </c>
      <c r="G51" s="12">
        <v>0</v>
      </c>
      <c r="H51" s="8">
        <v>0</v>
      </c>
      <c r="I51" s="12">
        <v>0</v>
      </c>
    </row>
    <row r="52" spans="2:9" ht="15" customHeight="1" x14ac:dyDescent="0.2">
      <c r="B52" t="s">
        <v>242</v>
      </c>
      <c r="C52" s="12">
        <v>1</v>
      </c>
      <c r="D52" s="8">
        <v>1.18</v>
      </c>
      <c r="E52" s="12">
        <v>1</v>
      </c>
      <c r="F52" s="8">
        <v>2.5</v>
      </c>
      <c r="G52" s="12">
        <v>0</v>
      </c>
      <c r="H52" s="8">
        <v>0</v>
      </c>
      <c r="I52" s="12">
        <v>0</v>
      </c>
    </row>
    <row r="55" spans="2:9" ht="33" customHeight="1" x14ac:dyDescent="0.2">
      <c r="B55" t="s">
        <v>531</v>
      </c>
      <c r="C55" s="10" t="s">
        <v>206</v>
      </c>
      <c r="D55" s="10" t="s">
        <v>207</v>
      </c>
      <c r="E55" s="10" t="s">
        <v>208</v>
      </c>
      <c r="F55" s="10" t="s">
        <v>209</v>
      </c>
      <c r="G55" s="10" t="s">
        <v>210</v>
      </c>
      <c r="H55" s="10" t="s">
        <v>211</v>
      </c>
      <c r="I55" s="10" t="s">
        <v>212</v>
      </c>
    </row>
    <row r="56" spans="2:9" ht="15" customHeight="1" x14ac:dyDescent="0.2">
      <c r="B56" t="s">
        <v>289</v>
      </c>
      <c r="C56" s="12">
        <v>6</v>
      </c>
      <c r="D56" s="8">
        <v>7.06</v>
      </c>
      <c r="E56" s="12">
        <v>0</v>
      </c>
      <c r="F56" s="8">
        <v>0</v>
      </c>
      <c r="G56" s="12">
        <v>6</v>
      </c>
      <c r="H56" s="8">
        <v>13.64</v>
      </c>
      <c r="I56" s="12">
        <v>0</v>
      </c>
    </row>
    <row r="57" spans="2:9" ht="15" customHeight="1" x14ac:dyDescent="0.2">
      <c r="B57" t="s">
        <v>303</v>
      </c>
      <c r="C57" s="12">
        <v>6</v>
      </c>
      <c r="D57" s="8">
        <v>7.06</v>
      </c>
      <c r="E57" s="12">
        <v>6</v>
      </c>
      <c r="F57" s="8">
        <v>15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288</v>
      </c>
      <c r="C58" s="12">
        <v>4</v>
      </c>
      <c r="D58" s="8">
        <v>4.71</v>
      </c>
      <c r="E58" s="12">
        <v>1</v>
      </c>
      <c r="F58" s="8">
        <v>2.5</v>
      </c>
      <c r="G58" s="12">
        <v>3</v>
      </c>
      <c r="H58" s="8">
        <v>6.82</v>
      </c>
      <c r="I58" s="12">
        <v>0</v>
      </c>
    </row>
    <row r="59" spans="2:9" ht="15" customHeight="1" x14ac:dyDescent="0.2">
      <c r="B59" t="s">
        <v>297</v>
      </c>
      <c r="C59" s="12">
        <v>4</v>
      </c>
      <c r="D59" s="8">
        <v>4.71</v>
      </c>
      <c r="E59" s="12">
        <v>4</v>
      </c>
      <c r="F59" s="8">
        <v>10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450</v>
      </c>
      <c r="C60" s="12">
        <v>3</v>
      </c>
      <c r="D60" s="8">
        <v>3.53</v>
      </c>
      <c r="E60" s="12">
        <v>0</v>
      </c>
      <c r="F60" s="8">
        <v>0</v>
      </c>
      <c r="G60" s="12">
        <v>3</v>
      </c>
      <c r="H60" s="8">
        <v>6.82</v>
      </c>
      <c r="I60" s="12">
        <v>0</v>
      </c>
    </row>
    <row r="61" spans="2:9" ht="15" customHeight="1" x14ac:dyDescent="0.2">
      <c r="B61" t="s">
        <v>333</v>
      </c>
      <c r="C61" s="12">
        <v>3</v>
      </c>
      <c r="D61" s="8">
        <v>3.53</v>
      </c>
      <c r="E61" s="12">
        <v>2</v>
      </c>
      <c r="F61" s="8">
        <v>5</v>
      </c>
      <c r="G61" s="12">
        <v>1</v>
      </c>
      <c r="H61" s="8">
        <v>2.27</v>
      </c>
      <c r="I61" s="12">
        <v>0</v>
      </c>
    </row>
    <row r="62" spans="2:9" ht="15" customHeight="1" x14ac:dyDescent="0.2">
      <c r="B62" t="s">
        <v>372</v>
      </c>
      <c r="C62" s="12">
        <v>3</v>
      </c>
      <c r="D62" s="8">
        <v>3.53</v>
      </c>
      <c r="E62" s="12">
        <v>3</v>
      </c>
      <c r="F62" s="8">
        <v>7.5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334</v>
      </c>
      <c r="C63" s="12">
        <v>3</v>
      </c>
      <c r="D63" s="8">
        <v>3.53</v>
      </c>
      <c r="E63" s="12">
        <v>2</v>
      </c>
      <c r="F63" s="8">
        <v>5</v>
      </c>
      <c r="G63" s="12">
        <v>1</v>
      </c>
      <c r="H63" s="8">
        <v>2.27</v>
      </c>
      <c r="I63" s="12">
        <v>0</v>
      </c>
    </row>
    <row r="64" spans="2:9" ht="15" customHeight="1" x14ac:dyDescent="0.2">
      <c r="B64" t="s">
        <v>304</v>
      </c>
      <c r="C64" s="12">
        <v>3</v>
      </c>
      <c r="D64" s="8">
        <v>3.53</v>
      </c>
      <c r="E64" s="12">
        <v>2</v>
      </c>
      <c r="F64" s="8">
        <v>5</v>
      </c>
      <c r="G64" s="12">
        <v>1</v>
      </c>
      <c r="H64" s="8">
        <v>2.27</v>
      </c>
      <c r="I64" s="12">
        <v>0</v>
      </c>
    </row>
    <row r="65" spans="2:9" ht="15" customHeight="1" x14ac:dyDescent="0.2">
      <c r="B65" t="s">
        <v>318</v>
      </c>
      <c r="C65" s="12">
        <v>3</v>
      </c>
      <c r="D65" s="8">
        <v>3.53</v>
      </c>
      <c r="E65" s="12">
        <v>1</v>
      </c>
      <c r="F65" s="8">
        <v>2.5</v>
      </c>
      <c r="G65" s="12">
        <v>2</v>
      </c>
      <c r="H65" s="8">
        <v>4.55</v>
      </c>
      <c r="I65" s="12">
        <v>0</v>
      </c>
    </row>
    <row r="66" spans="2:9" ht="15" customHeight="1" x14ac:dyDescent="0.2">
      <c r="B66" t="s">
        <v>343</v>
      </c>
      <c r="C66" s="12">
        <v>2</v>
      </c>
      <c r="D66" s="8">
        <v>2.35</v>
      </c>
      <c r="E66" s="12">
        <v>0</v>
      </c>
      <c r="F66" s="8">
        <v>0</v>
      </c>
      <c r="G66" s="12">
        <v>2</v>
      </c>
      <c r="H66" s="8">
        <v>4.55</v>
      </c>
      <c r="I66" s="12">
        <v>0</v>
      </c>
    </row>
    <row r="67" spans="2:9" ht="15" customHeight="1" x14ac:dyDescent="0.2">
      <c r="B67" t="s">
        <v>308</v>
      </c>
      <c r="C67" s="12">
        <v>2</v>
      </c>
      <c r="D67" s="8">
        <v>2.35</v>
      </c>
      <c r="E67" s="12">
        <v>2</v>
      </c>
      <c r="F67" s="8">
        <v>5</v>
      </c>
      <c r="G67" s="12">
        <v>0</v>
      </c>
      <c r="H67" s="8">
        <v>0</v>
      </c>
      <c r="I67" s="12">
        <v>0</v>
      </c>
    </row>
    <row r="68" spans="2:9" ht="15" customHeight="1" x14ac:dyDescent="0.2">
      <c r="B68" t="s">
        <v>336</v>
      </c>
      <c r="C68" s="12">
        <v>2</v>
      </c>
      <c r="D68" s="8">
        <v>2.35</v>
      </c>
      <c r="E68" s="12">
        <v>1</v>
      </c>
      <c r="F68" s="8">
        <v>2.5</v>
      </c>
      <c r="G68" s="12">
        <v>1</v>
      </c>
      <c r="H68" s="8">
        <v>2.27</v>
      </c>
      <c r="I68" s="12">
        <v>0</v>
      </c>
    </row>
    <row r="69" spans="2:9" ht="15" customHeight="1" x14ac:dyDescent="0.2">
      <c r="B69" t="s">
        <v>292</v>
      </c>
      <c r="C69" s="12">
        <v>2</v>
      </c>
      <c r="D69" s="8">
        <v>2.35</v>
      </c>
      <c r="E69" s="12">
        <v>2</v>
      </c>
      <c r="F69" s="8">
        <v>5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296</v>
      </c>
      <c r="C70" s="12">
        <v>2</v>
      </c>
      <c r="D70" s="8">
        <v>2.35</v>
      </c>
      <c r="E70" s="12">
        <v>1</v>
      </c>
      <c r="F70" s="8">
        <v>2.5</v>
      </c>
      <c r="G70" s="12">
        <v>1</v>
      </c>
      <c r="H70" s="8">
        <v>2.27</v>
      </c>
      <c r="I70" s="12">
        <v>0</v>
      </c>
    </row>
    <row r="71" spans="2:9" ht="15" customHeight="1" x14ac:dyDescent="0.2">
      <c r="B71" t="s">
        <v>305</v>
      </c>
      <c r="C71" s="12">
        <v>2</v>
      </c>
      <c r="D71" s="8">
        <v>2.35</v>
      </c>
      <c r="E71" s="12">
        <v>2</v>
      </c>
      <c r="F71" s="8">
        <v>5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307</v>
      </c>
      <c r="C72" s="12">
        <v>2</v>
      </c>
      <c r="D72" s="8">
        <v>2.35</v>
      </c>
      <c r="E72" s="12">
        <v>0</v>
      </c>
      <c r="F72" s="8">
        <v>0</v>
      </c>
      <c r="G72" s="12">
        <v>2</v>
      </c>
      <c r="H72" s="8">
        <v>4.55</v>
      </c>
      <c r="I72" s="12">
        <v>0</v>
      </c>
    </row>
    <row r="73" spans="2:9" ht="15" customHeight="1" x14ac:dyDescent="0.2">
      <c r="B73" t="s">
        <v>328</v>
      </c>
      <c r="C73" s="12">
        <v>1</v>
      </c>
      <c r="D73" s="8">
        <v>1.18</v>
      </c>
      <c r="E73" s="12">
        <v>0</v>
      </c>
      <c r="F73" s="8">
        <v>0</v>
      </c>
      <c r="G73" s="12">
        <v>1</v>
      </c>
      <c r="H73" s="8">
        <v>2.27</v>
      </c>
      <c r="I73" s="12">
        <v>0</v>
      </c>
    </row>
    <row r="74" spans="2:9" ht="15" customHeight="1" x14ac:dyDescent="0.2">
      <c r="B74" t="s">
        <v>375</v>
      </c>
      <c r="C74" s="12">
        <v>1</v>
      </c>
      <c r="D74" s="8">
        <v>1.18</v>
      </c>
      <c r="E74" s="12">
        <v>0</v>
      </c>
      <c r="F74" s="8">
        <v>0</v>
      </c>
      <c r="G74" s="12">
        <v>1</v>
      </c>
      <c r="H74" s="8">
        <v>2.27</v>
      </c>
      <c r="I74" s="12">
        <v>0</v>
      </c>
    </row>
    <row r="75" spans="2:9" ht="15" customHeight="1" x14ac:dyDescent="0.2">
      <c r="B75" t="s">
        <v>290</v>
      </c>
      <c r="C75" s="12">
        <v>1</v>
      </c>
      <c r="D75" s="8">
        <v>1.18</v>
      </c>
      <c r="E75" s="12">
        <v>0</v>
      </c>
      <c r="F75" s="8">
        <v>0</v>
      </c>
      <c r="G75" s="12">
        <v>1</v>
      </c>
      <c r="H75" s="8">
        <v>2.27</v>
      </c>
      <c r="I75" s="12">
        <v>0</v>
      </c>
    </row>
    <row r="76" spans="2:9" ht="15" customHeight="1" x14ac:dyDescent="0.2">
      <c r="B76" t="s">
        <v>437</v>
      </c>
      <c r="C76" s="12">
        <v>1</v>
      </c>
      <c r="D76" s="8">
        <v>1.18</v>
      </c>
      <c r="E76" s="12">
        <v>0</v>
      </c>
      <c r="F76" s="8">
        <v>0</v>
      </c>
      <c r="G76" s="12">
        <v>1</v>
      </c>
      <c r="H76" s="8">
        <v>2.27</v>
      </c>
      <c r="I76" s="12">
        <v>0</v>
      </c>
    </row>
    <row r="77" spans="2:9" ht="15" customHeight="1" x14ac:dyDescent="0.2">
      <c r="B77" t="s">
        <v>376</v>
      </c>
      <c r="C77" s="12">
        <v>1</v>
      </c>
      <c r="D77" s="8">
        <v>1.18</v>
      </c>
      <c r="E77" s="12">
        <v>0</v>
      </c>
      <c r="F77" s="8">
        <v>0</v>
      </c>
      <c r="G77" s="12">
        <v>1</v>
      </c>
      <c r="H77" s="8">
        <v>2.27</v>
      </c>
      <c r="I77" s="12">
        <v>0</v>
      </c>
    </row>
    <row r="78" spans="2:9" ht="15" customHeight="1" x14ac:dyDescent="0.2">
      <c r="B78" t="s">
        <v>395</v>
      </c>
      <c r="C78" s="12">
        <v>1</v>
      </c>
      <c r="D78" s="8">
        <v>1.18</v>
      </c>
      <c r="E78" s="12">
        <v>0</v>
      </c>
      <c r="F78" s="8">
        <v>0</v>
      </c>
      <c r="G78" s="12">
        <v>1</v>
      </c>
      <c r="H78" s="8">
        <v>2.27</v>
      </c>
      <c r="I78" s="12">
        <v>0</v>
      </c>
    </row>
    <row r="79" spans="2:9" ht="15" customHeight="1" x14ac:dyDescent="0.2">
      <c r="B79" t="s">
        <v>434</v>
      </c>
      <c r="C79" s="12">
        <v>1</v>
      </c>
      <c r="D79" s="8">
        <v>1.18</v>
      </c>
      <c r="E79" s="12">
        <v>0</v>
      </c>
      <c r="F79" s="8">
        <v>0</v>
      </c>
      <c r="G79" s="12">
        <v>1</v>
      </c>
      <c r="H79" s="8">
        <v>2.27</v>
      </c>
      <c r="I79" s="12">
        <v>0</v>
      </c>
    </row>
    <row r="80" spans="2:9" ht="15" customHeight="1" x14ac:dyDescent="0.2">
      <c r="B80" t="s">
        <v>464</v>
      </c>
      <c r="C80" s="12">
        <v>1</v>
      </c>
      <c r="D80" s="8">
        <v>1.18</v>
      </c>
      <c r="E80" s="12">
        <v>1</v>
      </c>
      <c r="F80" s="8">
        <v>2.5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465</v>
      </c>
      <c r="C81" s="12">
        <v>1</v>
      </c>
      <c r="D81" s="8">
        <v>1.18</v>
      </c>
      <c r="E81" s="12">
        <v>1</v>
      </c>
      <c r="F81" s="8">
        <v>2.5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374</v>
      </c>
      <c r="C82" s="12">
        <v>1</v>
      </c>
      <c r="D82" s="8">
        <v>1.18</v>
      </c>
      <c r="E82" s="12">
        <v>0</v>
      </c>
      <c r="F82" s="8">
        <v>0</v>
      </c>
      <c r="G82" s="12">
        <v>1</v>
      </c>
      <c r="H82" s="8">
        <v>2.27</v>
      </c>
      <c r="I82" s="12">
        <v>0</v>
      </c>
    </row>
    <row r="83" spans="2:9" ht="15" customHeight="1" x14ac:dyDescent="0.2">
      <c r="B83" t="s">
        <v>435</v>
      </c>
      <c r="C83" s="12">
        <v>1</v>
      </c>
      <c r="D83" s="8">
        <v>1.18</v>
      </c>
      <c r="E83" s="12">
        <v>0</v>
      </c>
      <c r="F83" s="8">
        <v>0</v>
      </c>
      <c r="G83" s="12">
        <v>1</v>
      </c>
      <c r="H83" s="8">
        <v>2.27</v>
      </c>
      <c r="I83" s="12">
        <v>0</v>
      </c>
    </row>
    <row r="84" spans="2:9" ht="15" customHeight="1" x14ac:dyDescent="0.2">
      <c r="B84" t="s">
        <v>466</v>
      </c>
      <c r="C84" s="12">
        <v>1</v>
      </c>
      <c r="D84" s="8">
        <v>1.18</v>
      </c>
      <c r="E84" s="12">
        <v>0</v>
      </c>
      <c r="F84" s="8">
        <v>0</v>
      </c>
      <c r="G84" s="12">
        <v>1</v>
      </c>
      <c r="H84" s="8">
        <v>2.27</v>
      </c>
      <c r="I84" s="12">
        <v>0</v>
      </c>
    </row>
    <row r="85" spans="2:9" ht="15" customHeight="1" x14ac:dyDescent="0.2">
      <c r="B85" t="s">
        <v>324</v>
      </c>
      <c r="C85" s="12">
        <v>1</v>
      </c>
      <c r="D85" s="8">
        <v>1.18</v>
      </c>
      <c r="E85" s="12">
        <v>0</v>
      </c>
      <c r="F85" s="8">
        <v>0</v>
      </c>
      <c r="G85" s="12">
        <v>1</v>
      </c>
      <c r="H85" s="8">
        <v>2.27</v>
      </c>
      <c r="I85" s="12">
        <v>0</v>
      </c>
    </row>
    <row r="86" spans="2:9" ht="15" customHeight="1" x14ac:dyDescent="0.2">
      <c r="B86" t="s">
        <v>346</v>
      </c>
      <c r="C86" s="12">
        <v>1</v>
      </c>
      <c r="D86" s="8">
        <v>1.18</v>
      </c>
      <c r="E86" s="12">
        <v>0</v>
      </c>
      <c r="F86" s="8">
        <v>0</v>
      </c>
      <c r="G86" s="12">
        <v>1</v>
      </c>
      <c r="H86" s="8">
        <v>2.27</v>
      </c>
      <c r="I86" s="12">
        <v>0</v>
      </c>
    </row>
    <row r="87" spans="2:9" ht="15" customHeight="1" x14ac:dyDescent="0.2">
      <c r="B87" t="s">
        <v>452</v>
      </c>
      <c r="C87" s="12">
        <v>1</v>
      </c>
      <c r="D87" s="8">
        <v>1.18</v>
      </c>
      <c r="E87" s="12">
        <v>0</v>
      </c>
      <c r="F87" s="8">
        <v>0</v>
      </c>
      <c r="G87" s="12">
        <v>1</v>
      </c>
      <c r="H87" s="8">
        <v>2.27</v>
      </c>
      <c r="I87" s="12">
        <v>0</v>
      </c>
    </row>
    <row r="88" spans="2:9" ht="15" customHeight="1" x14ac:dyDescent="0.2">
      <c r="B88" t="s">
        <v>321</v>
      </c>
      <c r="C88" s="12">
        <v>1</v>
      </c>
      <c r="D88" s="8">
        <v>1.18</v>
      </c>
      <c r="E88" s="12">
        <v>0</v>
      </c>
      <c r="F88" s="8">
        <v>0</v>
      </c>
      <c r="G88" s="12">
        <v>1</v>
      </c>
      <c r="H88" s="8">
        <v>2.27</v>
      </c>
      <c r="I88" s="12">
        <v>0</v>
      </c>
    </row>
    <row r="89" spans="2:9" ht="15" customHeight="1" x14ac:dyDescent="0.2">
      <c r="B89" t="s">
        <v>314</v>
      </c>
      <c r="C89" s="12">
        <v>1</v>
      </c>
      <c r="D89" s="8">
        <v>1.18</v>
      </c>
      <c r="E89" s="12">
        <v>0</v>
      </c>
      <c r="F89" s="8">
        <v>0</v>
      </c>
      <c r="G89" s="12">
        <v>1</v>
      </c>
      <c r="H89" s="8">
        <v>2.27</v>
      </c>
      <c r="I89" s="12">
        <v>0</v>
      </c>
    </row>
    <row r="90" spans="2:9" ht="15" customHeight="1" x14ac:dyDescent="0.2">
      <c r="B90" t="s">
        <v>467</v>
      </c>
      <c r="C90" s="12">
        <v>1</v>
      </c>
      <c r="D90" s="8">
        <v>1.18</v>
      </c>
      <c r="E90" s="12">
        <v>0</v>
      </c>
      <c r="F90" s="8">
        <v>0</v>
      </c>
      <c r="G90" s="12">
        <v>1</v>
      </c>
      <c r="H90" s="8">
        <v>2.27</v>
      </c>
      <c r="I90" s="12">
        <v>0</v>
      </c>
    </row>
    <row r="91" spans="2:9" ht="15" customHeight="1" x14ac:dyDescent="0.2">
      <c r="B91" t="s">
        <v>293</v>
      </c>
      <c r="C91" s="12">
        <v>1</v>
      </c>
      <c r="D91" s="8">
        <v>1.18</v>
      </c>
      <c r="E91" s="12">
        <v>0</v>
      </c>
      <c r="F91" s="8">
        <v>0</v>
      </c>
      <c r="G91" s="12">
        <v>1</v>
      </c>
      <c r="H91" s="8">
        <v>2.27</v>
      </c>
      <c r="I91" s="12">
        <v>0</v>
      </c>
    </row>
    <row r="92" spans="2:9" ht="15" customHeight="1" x14ac:dyDescent="0.2">
      <c r="B92" t="s">
        <v>401</v>
      </c>
      <c r="C92" s="12">
        <v>1</v>
      </c>
      <c r="D92" s="8">
        <v>1.18</v>
      </c>
      <c r="E92" s="12">
        <v>0</v>
      </c>
      <c r="F92" s="8">
        <v>0</v>
      </c>
      <c r="G92" s="12">
        <v>1</v>
      </c>
      <c r="H92" s="8">
        <v>2.27</v>
      </c>
      <c r="I92" s="12">
        <v>0</v>
      </c>
    </row>
    <row r="93" spans="2:9" ht="15" customHeight="1" x14ac:dyDescent="0.2">
      <c r="B93" t="s">
        <v>402</v>
      </c>
      <c r="C93" s="12">
        <v>1</v>
      </c>
      <c r="D93" s="8">
        <v>1.18</v>
      </c>
      <c r="E93" s="12">
        <v>1</v>
      </c>
      <c r="F93" s="8">
        <v>2.5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337</v>
      </c>
      <c r="C94" s="12">
        <v>1</v>
      </c>
      <c r="D94" s="8">
        <v>1.18</v>
      </c>
      <c r="E94" s="12">
        <v>0</v>
      </c>
      <c r="F94" s="8">
        <v>0</v>
      </c>
      <c r="G94" s="12">
        <v>1</v>
      </c>
      <c r="H94" s="8">
        <v>2.27</v>
      </c>
      <c r="I94" s="12">
        <v>0</v>
      </c>
    </row>
    <row r="95" spans="2:9" ht="15" customHeight="1" x14ac:dyDescent="0.2">
      <c r="B95" t="s">
        <v>338</v>
      </c>
      <c r="C95" s="12">
        <v>1</v>
      </c>
      <c r="D95" s="8">
        <v>1.18</v>
      </c>
      <c r="E95" s="12">
        <v>1</v>
      </c>
      <c r="F95" s="8">
        <v>2.5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396</v>
      </c>
      <c r="C96" s="12">
        <v>1</v>
      </c>
      <c r="D96" s="8">
        <v>1.18</v>
      </c>
      <c r="E96" s="12">
        <v>0</v>
      </c>
      <c r="F96" s="8">
        <v>0</v>
      </c>
      <c r="G96" s="12">
        <v>1</v>
      </c>
      <c r="H96" s="8">
        <v>2.27</v>
      </c>
      <c r="I96" s="12">
        <v>0</v>
      </c>
    </row>
    <row r="97" spans="2:9" ht="15" customHeight="1" x14ac:dyDescent="0.2">
      <c r="B97" t="s">
        <v>299</v>
      </c>
      <c r="C97" s="12">
        <v>1</v>
      </c>
      <c r="D97" s="8">
        <v>1.18</v>
      </c>
      <c r="E97" s="12">
        <v>1</v>
      </c>
      <c r="F97" s="8">
        <v>2.5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349</v>
      </c>
      <c r="C98" s="12">
        <v>1</v>
      </c>
      <c r="D98" s="8">
        <v>1.18</v>
      </c>
      <c r="E98" s="12">
        <v>1</v>
      </c>
      <c r="F98" s="8">
        <v>2.5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300</v>
      </c>
      <c r="C99" s="12">
        <v>1</v>
      </c>
      <c r="D99" s="8">
        <v>1.18</v>
      </c>
      <c r="E99" s="12">
        <v>1</v>
      </c>
      <c r="F99" s="8">
        <v>2.5</v>
      </c>
      <c r="G99" s="12">
        <v>0</v>
      </c>
      <c r="H99" s="8">
        <v>0</v>
      </c>
      <c r="I99" s="12">
        <v>0</v>
      </c>
    </row>
    <row r="100" spans="2:9" ht="15" customHeight="1" x14ac:dyDescent="0.2">
      <c r="B100" t="s">
        <v>302</v>
      </c>
      <c r="C100" s="12">
        <v>1</v>
      </c>
      <c r="D100" s="8">
        <v>1.18</v>
      </c>
      <c r="E100" s="12">
        <v>1</v>
      </c>
      <c r="F100" s="8">
        <v>2.5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325</v>
      </c>
      <c r="C101" s="12">
        <v>1</v>
      </c>
      <c r="D101" s="8">
        <v>1.18</v>
      </c>
      <c r="E101" s="12">
        <v>0</v>
      </c>
      <c r="F101" s="8">
        <v>0</v>
      </c>
      <c r="G101" s="12">
        <v>0</v>
      </c>
      <c r="H101" s="8">
        <v>0</v>
      </c>
      <c r="I101" s="12">
        <v>0</v>
      </c>
    </row>
    <row r="102" spans="2:9" ht="15" customHeight="1" x14ac:dyDescent="0.2">
      <c r="B102" t="s">
        <v>468</v>
      </c>
      <c r="C102" s="12">
        <v>1</v>
      </c>
      <c r="D102" s="8">
        <v>1.18</v>
      </c>
      <c r="E102" s="12">
        <v>1</v>
      </c>
      <c r="F102" s="8">
        <v>2.5</v>
      </c>
      <c r="G102" s="12">
        <v>0</v>
      </c>
      <c r="H102" s="8">
        <v>0</v>
      </c>
      <c r="I102" s="12">
        <v>0</v>
      </c>
    </row>
    <row r="103" spans="2:9" ht="15" customHeight="1" x14ac:dyDescent="0.2">
      <c r="B103" t="s">
        <v>306</v>
      </c>
      <c r="C103" s="12">
        <v>1</v>
      </c>
      <c r="D103" s="8">
        <v>1.18</v>
      </c>
      <c r="E103" s="12">
        <v>1</v>
      </c>
      <c r="F103" s="8">
        <v>2.5</v>
      </c>
      <c r="G103" s="12">
        <v>0</v>
      </c>
      <c r="H103" s="8">
        <v>0</v>
      </c>
      <c r="I103" s="12">
        <v>0</v>
      </c>
    </row>
    <row r="104" spans="2:9" ht="15" customHeight="1" x14ac:dyDescent="0.2">
      <c r="B104" t="s">
        <v>469</v>
      </c>
      <c r="C104" s="12">
        <v>1</v>
      </c>
      <c r="D104" s="8">
        <v>1.18</v>
      </c>
      <c r="E104" s="12">
        <v>0</v>
      </c>
      <c r="F104" s="8">
        <v>0</v>
      </c>
      <c r="G104" s="12">
        <v>1</v>
      </c>
      <c r="H104" s="8">
        <v>2.27</v>
      </c>
      <c r="I104" s="12">
        <v>0</v>
      </c>
    </row>
    <row r="105" spans="2:9" ht="15" customHeight="1" x14ac:dyDescent="0.2">
      <c r="B105" t="s">
        <v>371</v>
      </c>
      <c r="C105" s="12">
        <v>1</v>
      </c>
      <c r="D105" s="8">
        <v>1.18</v>
      </c>
      <c r="E105" s="12">
        <v>1</v>
      </c>
      <c r="F105" s="8">
        <v>2.5</v>
      </c>
      <c r="G105" s="12">
        <v>0</v>
      </c>
      <c r="H105" s="8">
        <v>0</v>
      </c>
      <c r="I105" s="12">
        <v>0</v>
      </c>
    </row>
    <row r="107" spans="2:9" ht="15" customHeight="1" x14ac:dyDescent="0.2">
      <c r="B10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E86E4-625A-4F9B-B9BA-EF1CE38BE463}">
  <sheetPr>
    <pageSetUpPr fitToPage="1"/>
  </sheetPr>
  <dimension ref="B2:I103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624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15</v>
      </c>
      <c r="D6" s="8">
        <v>18.52</v>
      </c>
      <c r="E6" s="12">
        <v>4</v>
      </c>
      <c r="F6" s="8">
        <v>8.89</v>
      </c>
      <c r="G6" s="12">
        <v>11</v>
      </c>
      <c r="H6" s="8">
        <v>36.67</v>
      </c>
      <c r="I6" s="12">
        <v>0</v>
      </c>
    </row>
    <row r="7" spans="2:9" ht="15" customHeight="1" x14ac:dyDescent="0.2">
      <c r="B7" t="s">
        <v>192</v>
      </c>
      <c r="C7" s="12">
        <v>6</v>
      </c>
      <c r="D7" s="8">
        <v>7.41</v>
      </c>
      <c r="E7" s="12">
        <v>2</v>
      </c>
      <c r="F7" s="8">
        <v>4.4400000000000004</v>
      </c>
      <c r="G7" s="12">
        <v>3</v>
      </c>
      <c r="H7" s="8">
        <v>10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1.23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1.23</v>
      </c>
      <c r="E10" s="12">
        <v>0</v>
      </c>
      <c r="F10" s="8">
        <v>0</v>
      </c>
      <c r="G10" s="12">
        <v>1</v>
      </c>
      <c r="H10" s="8">
        <v>3.33</v>
      </c>
      <c r="I10" s="12">
        <v>0</v>
      </c>
    </row>
    <row r="11" spans="2:9" ht="15" customHeight="1" x14ac:dyDescent="0.2">
      <c r="B11" t="s">
        <v>196</v>
      </c>
      <c r="C11" s="12">
        <v>23</v>
      </c>
      <c r="D11" s="8">
        <v>28.4</v>
      </c>
      <c r="E11" s="12">
        <v>13</v>
      </c>
      <c r="F11" s="8">
        <v>28.89</v>
      </c>
      <c r="G11" s="12">
        <v>10</v>
      </c>
      <c r="H11" s="8">
        <v>33.33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2.4700000000000002</v>
      </c>
      <c r="E14" s="12">
        <v>1</v>
      </c>
      <c r="F14" s="8">
        <v>2.2200000000000002</v>
      </c>
      <c r="G14" s="12">
        <v>1</v>
      </c>
      <c r="H14" s="8">
        <v>3.33</v>
      </c>
      <c r="I14" s="12">
        <v>0</v>
      </c>
    </row>
    <row r="15" spans="2:9" ht="15" customHeight="1" x14ac:dyDescent="0.2">
      <c r="B15" t="s">
        <v>200</v>
      </c>
      <c r="C15" s="12">
        <v>10</v>
      </c>
      <c r="D15" s="8">
        <v>12.35</v>
      </c>
      <c r="E15" s="12">
        <v>10</v>
      </c>
      <c r="F15" s="8">
        <v>22.22</v>
      </c>
      <c r="G15" s="12">
        <v>0</v>
      </c>
      <c r="H15" s="8">
        <v>0</v>
      </c>
      <c r="I15" s="12">
        <v>0</v>
      </c>
    </row>
    <row r="16" spans="2:9" ht="15" customHeight="1" x14ac:dyDescent="0.2">
      <c r="B16" t="s">
        <v>201</v>
      </c>
      <c r="C16" s="12">
        <v>10</v>
      </c>
      <c r="D16" s="8">
        <v>12.35</v>
      </c>
      <c r="E16" s="12">
        <v>9</v>
      </c>
      <c r="F16" s="8">
        <v>20</v>
      </c>
      <c r="G16" s="12">
        <v>1</v>
      </c>
      <c r="H16" s="8">
        <v>3.33</v>
      </c>
      <c r="I16" s="12">
        <v>0</v>
      </c>
    </row>
    <row r="17" spans="2:9" ht="15" customHeight="1" x14ac:dyDescent="0.2">
      <c r="B17" t="s">
        <v>202</v>
      </c>
      <c r="C17" s="12">
        <v>6</v>
      </c>
      <c r="D17" s="8">
        <v>7.41</v>
      </c>
      <c r="E17" s="12">
        <v>5</v>
      </c>
      <c r="F17" s="8">
        <v>11.11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5</v>
      </c>
      <c r="D18" s="8">
        <v>6.17</v>
      </c>
      <c r="E18" s="12">
        <v>1</v>
      </c>
      <c r="F18" s="8">
        <v>2.2200000000000002</v>
      </c>
      <c r="G18" s="12">
        <v>2</v>
      </c>
      <c r="H18" s="8">
        <v>6.67</v>
      </c>
      <c r="I18" s="12">
        <v>0</v>
      </c>
    </row>
    <row r="19" spans="2:9" ht="15" customHeight="1" x14ac:dyDescent="0.2">
      <c r="B19" t="s">
        <v>204</v>
      </c>
      <c r="C19" s="12">
        <v>2</v>
      </c>
      <c r="D19" s="8">
        <v>2.4700000000000002</v>
      </c>
      <c r="E19" s="12">
        <v>0</v>
      </c>
      <c r="F19" s="8">
        <v>0</v>
      </c>
      <c r="G19" s="12">
        <v>1</v>
      </c>
      <c r="H19" s="8">
        <v>3.33</v>
      </c>
      <c r="I19" s="12">
        <v>0</v>
      </c>
    </row>
    <row r="20" spans="2:9" ht="15" customHeight="1" x14ac:dyDescent="0.2">
      <c r="B20" s="9" t="s">
        <v>529</v>
      </c>
      <c r="C20" s="12">
        <f>SUM(LTBL_01433[総数／事業所数])</f>
        <v>81</v>
      </c>
      <c r="E20" s="12">
        <f>SUBTOTAL(109,LTBL_01433[個人／事業所数])</f>
        <v>45</v>
      </c>
      <c r="G20" s="12">
        <f>SUBTOTAL(109,LTBL_01433[法人／事業所数])</f>
        <v>30</v>
      </c>
      <c r="I20" s="12">
        <f>SUBTOTAL(109,LTBL_01433[法人以外の団体／事業所数])</f>
        <v>0</v>
      </c>
    </row>
    <row r="21" spans="2:9" ht="15" customHeight="1" x14ac:dyDescent="0.2">
      <c r="E21" s="11">
        <f>LTBL_01433[[#Totals],[個人／事業所数]]/LTBL_01433[[#Totals],[総数／事業所数]]</f>
        <v>0.55555555555555558</v>
      </c>
      <c r="G21" s="11">
        <f>LTBL_01433[[#Totals],[法人／事業所数]]/LTBL_01433[[#Totals],[総数／事業所数]]</f>
        <v>0.37037037037037035</v>
      </c>
      <c r="I21" s="11">
        <f>LTBL_01433[[#Totals],[法人以外の団体／事業所数]]/LTBL_01433[[#Totals],[総数／事業所数]]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223</v>
      </c>
      <c r="C24" s="12">
        <v>9</v>
      </c>
      <c r="D24" s="8">
        <v>11.11</v>
      </c>
      <c r="E24" s="12">
        <v>5</v>
      </c>
      <c r="F24" s="8">
        <v>11.11</v>
      </c>
      <c r="G24" s="12">
        <v>4</v>
      </c>
      <c r="H24" s="8">
        <v>13.33</v>
      </c>
      <c r="I24" s="12">
        <v>0</v>
      </c>
    </row>
    <row r="25" spans="2:9" ht="15" customHeight="1" x14ac:dyDescent="0.2">
      <c r="B25" t="s">
        <v>227</v>
      </c>
      <c r="C25" s="12">
        <v>9</v>
      </c>
      <c r="D25" s="8">
        <v>11.11</v>
      </c>
      <c r="E25" s="12">
        <v>9</v>
      </c>
      <c r="F25" s="8">
        <v>20</v>
      </c>
      <c r="G25" s="12">
        <v>0</v>
      </c>
      <c r="H25" s="8">
        <v>0</v>
      </c>
      <c r="I25" s="12">
        <v>0</v>
      </c>
    </row>
    <row r="26" spans="2:9" ht="15" customHeight="1" x14ac:dyDescent="0.2">
      <c r="B26" t="s">
        <v>228</v>
      </c>
      <c r="C26" s="12">
        <v>9</v>
      </c>
      <c r="D26" s="8">
        <v>11.11</v>
      </c>
      <c r="E26" s="12">
        <v>8</v>
      </c>
      <c r="F26" s="8">
        <v>17.78</v>
      </c>
      <c r="G26" s="12">
        <v>1</v>
      </c>
      <c r="H26" s="8">
        <v>3.33</v>
      </c>
      <c r="I26" s="12">
        <v>0</v>
      </c>
    </row>
    <row r="27" spans="2:9" ht="15" customHeight="1" x14ac:dyDescent="0.2">
      <c r="B27" t="s">
        <v>213</v>
      </c>
      <c r="C27" s="12">
        <v>6</v>
      </c>
      <c r="D27" s="8">
        <v>7.41</v>
      </c>
      <c r="E27" s="12">
        <v>1</v>
      </c>
      <c r="F27" s="8">
        <v>2.2200000000000002</v>
      </c>
      <c r="G27" s="12">
        <v>5</v>
      </c>
      <c r="H27" s="8">
        <v>16.670000000000002</v>
      </c>
      <c r="I27" s="12">
        <v>0</v>
      </c>
    </row>
    <row r="28" spans="2:9" ht="15" customHeight="1" x14ac:dyDescent="0.2">
      <c r="B28" t="s">
        <v>214</v>
      </c>
      <c r="C28" s="12">
        <v>6</v>
      </c>
      <c r="D28" s="8">
        <v>7.41</v>
      </c>
      <c r="E28" s="12">
        <v>3</v>
      </c>
      <c r="F28" s="8">
        <v>6.67</v>
      </c>
      <c r="G28" s="12">
        <v>3</v>
      </c>
      <c r="H28" s="8">
        <v>10</v>
      </c>
      <c r="I28" s="12">
        <v>0</v>
      </c>
    </row>
    <row r="29" spans="2:9" ht="15" customHeight="1" x14ac:dyDescent="0.2">
      <c r="B29" t="s">
        <v>230</v>
      </c>
      <c r="C29" s="12">
        <v>6</v>
      </c>
      <c r="D29" s="8">
        <v>7.41</v>
      </c>
      <c r="E29" s="12">
        <v>5</v>
      </c>
      <c r="F29" s="8">
        <v>11.11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220</v>
      </c>
      <c r="C30" s="12">
        <v>5</v>
      </c>
      <c r="D30" s="8">
        <v>6.17</v>
      </c>
      <c r="E30" s="12">
        <v>3</v>
      </c>
      <c r="F30" s="8">
        <v>6.67</v>
      </c>
      <c r="G30" s="12">
        <v>2</v>
      </c>
      <c r="H30" s="8">
        <v>6.67</v>
      </c>
      <c r="I30" s="12">
        <v>0</v>
      </c>
    </row>
    <row r="31" spans="2:9" ht="15" customHeight="1" x14ac:dyDescent="0.2">
      <c r="B31" t="s">
        <v>222</v>
      </c>
      <c r="C31" s="12">
        <v>5</v>
      </c>
      <c r="D31" s="8">
        <v>6.17</v>
      </c>
      <c r="E31" s="12">
        <v>4</v>
      </c>
      <c r="F31" s="8">
        <v>8.89</v>
      </c>
      <c r="G31" s="12">
        <v>1</v>
      </c>
      <c r="H31" s="8">
        <v>3.33</v>
      </c>
      <c r="I31" s="12">
        <v>0</v>
      </c>
    </row>
    <row r="32" spans="2:9" ht="15" customHeight="1" x14ac:dyDescent="0.2">
      <c r="B32" t="s">
        <v>215</v>
      </c>
      <c r="C32" s="12">
        <v>3</v>
      </c>
      <c r="D32" s="8">
        <v>3.7</v>
      </c>
      <c r="E32" s="12">
        <v>0</v>
      </c>
      <c r="F32" s="8">
        <v>0</v>
      </c>
      <c r="G32" s="12">
        <v>3</v>
      </c>
      <c r="H32" s="8">
        <v>10</v>
      </c>
      <c r="I32" s="12">
        <v>0</v>
      </c>
    </row>
    <row r="33" spans="2:9" ht="15" customHeight="1" x14ac:dyDescent="0.2">
      <c r="B33" t="s">
        <v>221</v>
      </c>
      <c r="C33" s="12">
        <v>3</v>
      </c>
      <c r="D33" s="8">
        <v>3.7</v>
      </c>
      <c r="E33" s="12">
        <v>1</v>
      </c>
      <c r="F33" s="8">
        <v>2.2200000000000002</v>
      </c>
      <c r="G33" s="12">
        <v>2</v>
      </c>
      <c r="H33" s="8">
        <v>6.67</v>
      </c>
      <c r="I33" s="12">
        <v>0</v>
      </c>
    </row>
    <row r="34" spans="2:9" ht="15" customHeight="1" x14ac:dyDescent="0.2">
      <c r="B34" t="s">
        <v>232</v>
      </c>
      <c r="C34" s="12">
        <v>3</v>
      </c>
      <c r="D34" s="8">
        <v>3.7</v>
      </c>
      <c r="E34" s="12">
        <v>0</v>
      </c>
      <c r="F34" s="8">
        <v>0</v>
      </c>
      <c r="G34" s="12">
        <v>1</v>
      </c>
      <c r="H34" s="8">
        <v>3.33</v>
      </c>
      <c r="I34" s="12">
        <v>0</v>
      </c>
    </row>
    <row r="35" spans="2:9" ht="15" customHeight="1" x14ac:dyDescent="0.2">
      <c r="B35" t="s">
        <v>241</v>
      </c>
      <c r="C35" s="12">
        <v>2</v>
      </c>
      <c r="D35" s="8">
        <v>2.4700000000000002</v>
      </c>
      <c r="E35" s="12">
        <v>1</v>
      </c>
      <c r="F35" s="8">
        <v>2.2200000000000002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226</v>
      </c>
      <c r="C36" s="12">
        <v>2</v>
      </c>
      <c r="D36" s="8">
        <v>2.4700000000000002</v>
      </c>
      <c r="E36" s="12">
        <v>1</v>
      </c>
      <c r="F36" s="8">
        <v>2.2200000000000002</v>
      </c>
      <c r="G36" s="12">
        <v>1</v>
      </c>
      <c r="H36" s="8">
        <v>3.33</v>
      </c>
      <c r="I36" s="12">
        <v>0</v>
      </c>
    </row>
    <row r="37" spans="2:9" ht="15" customHeight="1" x14ac:dyDescent="0.2">
      <c r="B37" t="s">
        <v>231</v>
      </c>
      <c r="C37" s="12">
        <v>2</v>
      </c>
      <c r="D37" s="8">
        <v>2.4700000000000002</v>
      </c>
      <c r="E37" s="12">
        <v>1</v>
      </c>
      <c r="F37" s="8">
        <v>2.2200000000000002</v>
      </c>
      <c r="G37" s="12">
        <v>1</v>
      </c>
      <c r="H37" s="8">
        <v>3.33</v>
      </c>
      <c r="I37" s="12">
        <v>0</v>
      </c>
    </row>
    <row r="38" spans="2:9" ht="15" customHeight="1" x14ac:dyDescent="0.2">
      <c r="B38" t="s">
        <v>249</v>
      </c>
      <c r="C38" s="12">
        <v>2</v>
      </c>
      <c r="D38" s="8">
        <v>2.4700000000000002</v>
      </c>
      <c r="E38" s="12">
        <v>0</v>
      </c>
      <c r="F38" s="8">
        <v>0</v>
      </c>
      <c r="G38" s="12">
        <v>1</v>
      </c>
      <c r="H38" s="8">
        <v>3.33</v>
      </c>
      <c r="I38" s="12">
        <v>0</v>
      </c>
    </row>
    <row r="39" spans="2:9" ht="15" customHeight="1" x14ac:dyDescent="0.2">
      <c r="B39" t="s">
        <v>251</v>
      </c>
      <c r="C39" s="12">
        <v>1</v>
      </c>
      <c r="D39" s="8">
        <v>1.23</v>
      </c>
      <c r="E39" s="12">
        <v>0</v>
      </c>
      <c r="F39" s="8">
        <v>0</v>
      </c>
      <c r="G39" s="12">
        <v>1</v>
      </c>
      <c r="H39" s="8">
        <v>3.33</v>
      </c>
      <c r="I39" s="12">
        <v>0</v>
      </c>
    </row>
    <row r="40" spans="2:9" ht="15" customHeight="1" x14ac:dyDescent="0.2">
      <c r="B40" t="s">
        <v>252</v>
      </c>
      <c r="C40" s="12">
        <v>1</v>
      </c>
      <c r="D40" s="8">
        <v>1.23</v>
      </c>
      <c r="E40" s="12">
        <v>1</v>
      </c>
      <c r="F40" s="8">
        <v>2.2200000000000002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253</v>
      </c>
      <c r="C41" s="12">
        <v>1</v>
      </c>
      <c r="D41" s="8">
        <v>1.23</v>
      </c>
      <c r="E41" s="12">
        <v>0</v>
      </c>
      <c r="F41" s="8">
        <v>0</v>
      </c>
      <c r="G41" s="12">
        <v>1</v>
      </c>
      <c r="H41" s="8">
        <v>3.33</v>
      </c>
      <c r="I41" s="12">
        <v>0</v>
      </c>
    </row>
    <row r="42" spans="2:9" ht="15" customHeight="1" x14ac:dyDescent="0.2">
      <c r="B42" t="s">
        <v>245</v>
      </c>
      <c r="C42" s="12">
        <v>1</v>
      </c>
      <c r="D42" s="8">
        <v>1.23</v>
      </c>
      <c r="E42" s="12">
        <v>0</v>
      </c>
      <c r="F42" s="8">
        <v>0</v>
      </c>
      <c r="G42" s="12">
        <v>1</v>
      </c>
      <c r="H42" s="8">
        <v>3.33</v>
      </c>
      <c r="I42" s="12">
        <v>0</v>
      </c>
    </row>
    <row r="43" spans="2:9" ht="15" customHeight="1" x14ac:dyDescent="0.2">
      <c r="B43" t="s">
        <v>255</v>
      </c>
      <c r="C43" s="12">
        <v>1</v>
      </c>
      <c r="D43" s="8">
        <v>1.23</v>
      </c>
      <c r="E43" s="12">
        <v>0</v>
      </c>
      <c r="F43" s="8">
        <v>0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260</v>
      </c>
      <c r="C44" s="12">
        <v>1</v>
      </c>
      <c r="D44" s="8">
        <v>1.23</v>
      </c>
      <c r="E44" s="12">
        <v>0</v>
      </c>
      <c r="F44" s="8">
        <v>0</v>
      </c>
      <c r="G44" s="12">
        <v>1</v>
      </c>
      <c r="H44" s="8">
        <v>3.33</v>
      </c>
      <c r="I44" s="12">
        <v>0</v>
      </c>
    </row>
    <row r="45" spans="2:9" ht="15" customHeight="1" x14ac:dyDescent="0.2">
      <c r="B45" t="s">
        <v>219</v>
      </c>
      <c r="C45" s="12">
        <v>1</v>
      </c>
      <c r="D45" s="8">
        <v>1.23</v>
      </c>
      <c r="E45" s="12">
        <v>0</v>
      </c>
      <c r="F45" s="8">
        <v>0</v>
      </c>
      <c r="G45" s="12">
        <v>1</v>
      </c>
      <c r="H45" s="8">
        <v>3.33</v>
      </c>
      <c r="I45" s="12">
        <v>0</v>
      </c>
    </row>
    <row r="46" spans="2:9" ht="15" customHeight="1" x14ac:dyDescent="0.2">
      <c r="B46" t="s">
        <v>243</v>
      </c>
      <c r="C46" s="12">
        <v>1</v>
      </c>
      <c r="D46" s="8">
        <v>1.23</v>
      </c>
      <c r="E46" s="12">
        <v>1</v>
      </c>
      <c r="F46" s="8">
        <v>2.2200000000000002</v>
      </c>
      <c r="G46" s="12">
        <v>0</v>
      </c>
      <c r="H46" s="8">
        <v>0</v>
      </c>
      <c r="I46" s="12">
        <v>0</v>
      </c>
    </row>
    <row r="47" spans="2:9" ht="15" customHeight="1" x14ac:dyDescent="0.2">
      <c r="B47" t="s">
        <v>247</v>
      </c>
      <c r="C47" s="12">
        <v>1</v>
      </c>
      <c r="D47" s="8">
        <v>1.23</v>
      </c>
      <c r="E47" s="12">
        <v>1</v>
      </c>
      <c r="F47" s="8">
        <v>2.2200000000000002</v>
      </c>
      <c r="G47" s="12">
        <v>0</v>
      </c>
      <c r="H47" s="8">
        <v>0</v>
      </c>
      <c r="I47" s="12">
        <v>0</v>
      </c>
    </row>
    <row r="50" spans="2:9" ht="33" customHeight="1" x14ac:dyDescent="0.2">
      <c r="B50" t="s">
        <v>531</v>
      </c>
      <c r="C50" s="10" t="s">
        <v>206</v>
      </c>
      <c r="D50" s="10" t="s">
        <v>207</v>
      </c>
      <c r="E50" s="10" t="s">
        <v>208</v>
      </c>
      <c r="F50" s="10" t="s">
        <v>209</v>
      </c>
      <c r="G50" s="10" t="s">
        <v>210</v>
      </c>
      <c r="H50" s="10" t="s">
        <v>211</v>
      </c>
      <c r="I50" s="10" t="s">
        <v>212</v>
      </c>
    </row>
    <row r="51" spans="2:9" ht="15" customHeight="1" x14ac:dyDescent="0.2">
      <c r="B51" t="s">
        <v>304</v>
      </c>
      <c r="C51" s="12">
        <v>5</v>
      </c>
      <c r="D51" s="8">
        <v>6.17</v>
      </c>
      <c r="E51" s="12">
        <v>4</v>
      </c>
      <c r="F51" s="8">
        <v>8.89</v>
      </c>
      <c r="G51" s="12">
        <v>1</v>
      </c>
      <c r="H51" s="8">
        <v>3.33</v>
      </c>
      <c r="I51" s="12">
        <v>0</v>
      </c>
    </row>
    <row r="52" spans="2:9" ht="15" customHeight="1" x14ac:dyDescent="0.2">
      <c r="B52" t="s">
        <v>303</v>
      </c>
      <c r="C52" s="12">
        <v>4</v>
      </c>
      <c r="D52" s="8">
        <v>4.9400000000000004</v>
      </c>
      <c r="E52" s="12">
        <v>4</v>
      </c>
      <c r="F52" s="8">
        <v>8.89</v>
      </c>
      <c r="G52" s="12">
        <v>0</v>
      </c>
      <c r="H52" s="8">
        <v>0</v>
      </c>
      <c r="I52" s="12">
        <v>0</v>
      </c>
    </row>
    <row r="53" spans="2:9" ht="15" customHeight="1" x14ac:dyDescent="0.2">
      <c r="B53" t="s">
        <v>305</v>
      </c>
      <c r="C53" s="12">
        <v>4</v>
      </c>
      <c r="D53" s="8">
        <v>4.9400000000000004</v>
      </c>
      <c r="E53" s="12">
        <v>4</v>
      </c>
      <c r="F53" s="8">
        <v>8.89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289</v>
      </c>
      <c r="C54" s="12">
        <v>3</v>
      </c>
      <c r="D54" s="8">
        <v>3.7</v>
      </c>
      <c r="E54" s="12">
        <v>0</v>
      </c>
      <c r="F54" s="8">
        <v>0</v>
      </c>
      <c r="G54" s="12">
        <v>3</v>
      </c>
      <c r="H54" s="8">
        <v>10</v>
      </c>
      <c r="I54" s="12">
        <v>0</v>
      </c>
    </row>
    <row r="55" spans="2:9" ht="15" customHeight="1" x14ac:dyDescent="0.2">
      <c r="B55" t="s">
        <v>332</v>
      </c>
      <c r="C55" s="12">
        <v>3</v>
      </c>
      <c r="D55" s="8">
        <v>3.7</v>
      </c>
      <c r="E55" s="12">
        <v>1</v>
      </c>
      <c r="F55" s="8">
        <v>2.2200000000000002</v>
      </c>
      <c r="G55" s="12">
        <v>2</v>
      </c>
      <c r="H55" s="8">
        <v>6.67</v>
      </c>
      <c r="I55" s="12">
        <v>0</v>
      </c>
    </row>
    <row r="56" spans="2:9" ht="15" customHeight="1" x14ac:dyDescent="0.2">
      <c r="B56" t="s">
        <v>335</v>
      </c>
      <c r="C56" s="12">
        <v>3</v>
      </c>
      <c r="D56" s="8">
        <v>3.7</v>
      </c>
      <c r="E56" s="12">
        <v>3</v>
      </c>
      <c r="F56" s="8">
        <v>6.67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330</v>
      </c>
      <c r="C57" s="12">
        <v>3</v>
      </c>
      <c r="D57" s="8">
        <v>3.7</v>
      </c>
      <c r="E57" s="12">
        <v>0</v>
      </c>
      <c r="F57" s="8">
        <v>0</v>
      </c>
      <c r="G57" s="12">
        <v>3</v>
      </c>
      <c r="H57" s="8">
        <v>10</v>
      </c>
      <c r="I57" s="12">
        <v>0</v>
      </c>
    </row>
    <row r="58" spans="2:9" ht="15" customHeight="1" x14ac:dyDescent="0.2">
      <c r="B58" t="s">
        <v>300</v>
      </c>
      <c r="C58" s="12">
        <v>3</v>
      </c>
      <c r="D58" s="8">
        <v>3.7</v>
      </c>
      <c r="E58" s="12">
        <v>3</v>
      </c>
      <c r="F58" s="8">
        <v>6.67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301</v>
      </c>
      <c r="C59" s="12">
        <v>3</v>
      </c>
      <c r="D59" s="8">
        <v>3.7</v>
      </c>
      <c r="E59" s="12">
        <v>3</v>
      </c>
      <c r="F59" s="8">
        <v>6.67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328</v>
      </c>
      <c r="C60" s="12">
        <v>2</v>
      </c>
      <c r="D60" s="8">
        <v>2.4700000000000002</v>
      </c>
      <c r="E60" s="12">
        <v>1</v>
      </c>
      <c r="F60" s="8">
        <v>2.2200000000000002</v>
      </c>
      <c r="G60" s="12">
        <v>1</v>
      </c>
      <c r="H60" s="8">
        <v>3.33</v>
      </c>
      <c r="I60" s="12">
        <v>0</v>
      </c>
    </row>
    <row r="61" spans="2:9" ht="15" customHeight="1" x14ac:dyDescent="0.2">
      <c r="B61" t="s">
        <v>365</v>
      </c>
      <c r="C61" s="12">
        <v>2</v>
      </c>
      <c r="D61" s="8">
        <v>2.4700000000000002</v>
      </c>
      <c r="E61" s="12">
        <v>2</v>
      </c>
      <c r="F61" s="8">
        <v>4.4400000000000004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382</v>
      </c>
      <c r="C62" s="12">
        <v>2</v>
      </c>
      <c r="D62" s="8">
        <v>2.4700000000000002</v>
      </c>
      <c r="E62" s="12">
        <v>0</v>
      </c>
      <c r="F62" s="8">
        <v>0</v>
      </c>
      <c r="G62" s="12">
        <v>2</v>
      </c>
      <c r="H62" s="8">
        <v>6.67</v>
      </c>
      <c r="I62" s="12">
        <v>0</v>
      </c>
    </row>
    <row r="63" spans="2:9" ht="15" customHeight="1" x14ac:dyDescent="0.2">
      <c r="B63" t="s">
        <v>293</v>
      </c>
      <c r="C63" s="12">
        <v>2</v>
      </c>
      <c r="D63" s="8">
        <v>2.4700000000000002</v>
      </c>
      <c r="E63" s="12">
        <v>1</v>
      </c>
      <c r="F63" s="8">
        <v>2.2200000000000002</v>
      </c>
      <c r="G63" s="12">
        <v>1</v>
      </c>
      <c r="H63" s="8">
        <v>3.33</v>
      </c>
      <c r="I63" s="12">
        <v>0</v>
      </c>
    </row>
    <row r="64" spans="2:9" ht="15" customHeight="1" x14ac:dyDescent="0.2">
      <c r="B64" t="s">
        <v>294</v>
      </c>
      <c r="C64" s="12">
        <v>2</v>
      </c>
      <c r="D64" s="8">
        <v>2.4700000000000002</v>
      </c>
      <c r="E64" s="12">
        <v>2</v>
      </c>
      <c r="F64" s="8">
        <v>4.4400000000000004</v>
      </c>
      <c r="G64" s="12">
        <v>0</v>
      </c>
      <c r="H64" s="8">
        <v>0</v>
      </c>
      <c r="I64" s="12">
        <v>0</v>
      </c>
    </row>
    <row r="65" spans="2:9" ht="15" customHeight="1" x14ac:dyDescent="0.2">
      <c r="B65" t="s">
        <v>338</v>
      </c>
      <c r="C65" s="12">
        <v>2</v>
      </c>
      <c r="D65" s="8">
        <v>2.4700000000000002</v>
      </c>
      <c r="E65" s="12">
        <v>2</v>
      </c>
      <c r="F65" s="8">
        <v>4.4400000000000004</v>
      </c>
      <c r="G65" s="12">
        <v>0</v>
      </c>
      <c r="H65" s="8">
        <v>0</v>
      </c>
      <c r="I65" s="12">
        <v>0</v>
      </c>
    </row>
    <row r="66" spans="2:9" ht="15" customHeight="1" x14ac:dyDescent="0.2">
      <c r="B66" t="s">
        <v>331</v>
      </c>
      <c r="C66" s="12">
        <v>2</v>
      </c>
      <c r="D66" s="8">
        <v>2.4700000000000002</v>
      </c>
      <c r="E66" s="12">
        <v>0</v>
      </c>
      <c r="F66" s="8">
        <v>0</v>
      </c>
      <c r="G66" s="12">
        <v>0</v>
      </c>
      <c r="H66" s="8">
        <v>0</v>
      </c>
      <c r="I66" s="12">
        <v>0</v>
      </c>
    </row>
    <row r="67" spans="2:9" ht="15" customHeight="1" x14ac:dyDescent="0.2">
      <c r="B67" t="s">
        <v>370</v>
      </c>
      <c r="C67" s="12">
        <v>2</v>
      </c>
      <c r="D67" s="8">
        <v>2.4700000000000002</v>
      </c>
      <c r="E67" s="12">
        <v>0</v>
      </c>
      <c r="F67" s="8">
        <v>0</v>
      </c>
      <c r="G67" s="12">
        <v>1</v>
      </c>
      <c r="H67" s="8">
        <v>3.33</v>
      </c>
      <c r="I67" s="12">
        <v>0</v>
      </c>
    </row>
    <row r="68" spans="2:9" ht="15" customHeight="1" x14ac:dyDescent="0.2">
      <c r="B68" t="s">
        <v>288</v>
      </c>
      <c r="C68" s="12">
        <v>1</v>
      </c>
      <c r="D68" s="8">
        <v>1.23</v>
      </c>
      <c r="E68" s="12">
        <v>0</v>
      </c>
      <c r="F68" s="8">
        <v>0</v>
      </c>
      <c r="G68" s="12">
        <v>1</v>
      </c>
      <c r="H68" s="8">
        <v>3.33</v>
      </c>
      <c r="I68" s="12">
        <v>0</v>
      </c>
    </row>
    <row r="69" spans="2:9" ht="15" customHeight="1" x14ac:dyDescent="0.2">
      <c r="B69" t="s">
        <v>353</v>
      </c>
      <c r="C69" s="12">
        <v>1</v>
      </c>
      <c r="D69" s="8">
        <v>1.23</v>
      </c>
      <c r="E69" s="12">
        <v>1</v>
      </c>
      <c r="F69" s="8">
        <v>2.2200000000000002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375</v>
      </c>
      <c r="C70" s="12">
        <v>1</v>
      </c>
      <c r="D70" s="8">
        <v>1.23</v>
      </c>
      <c r="E70" s="12">
        <v>0</v>
      </c>
      <c r="F70" s="8">
        <v>0</v>
      </c>
      <c r="G70" s="12">
        <v>1</v>
      </c>
      <c r="H70" s="8">
        <v>3.33</v>
      </c>
      <c r="I70" s="12">
        <v>0</v>
      </c>
    </row>
    <row r="71" spans="2:9" ht="15" customHeight="1" x14ac:dyDescent="0.2">
      <c r="B71" t="s">
        <v>450</v>
      </c>
      <c r="C71" s="12">
        <v>1</v>
      </c>
      <c r="D71" s="8">
        <v>1.23</v>
      </c>
      <c r="E71" s="12">
        <v>0</v>
      </c>
      <c r="F71" s="8">
        <v>0</v>
      </c>
      <c r="G71" s="12">
        <v>1</v>
      </c>
      <c r="H71" s="8">
        <v>3.33</v>
      </c>
      <c r="I71" s="12">
        <v>0</v>
      </c>
    </row>
    <row r="72" spans="2:9" ht="15" customHeight="1" x14ac:dyDescent="0.2">
      <c r="B72" t="s">
        <v>393</v>
      </c>
      <c r="C72" s="12">
        <v>1</v>
      </c>
      <c r="D72" s="8">
        <v>1.23</v>
      </c>
      <c r="E72" s="12">
        <v>1</v>
      </c>
      <c r="F72" s="8">
        <v>2.2200000000000002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343</v>
      </c>
      <c r="C73" s="12">
        <v>1</v>
      </c>
      <c r="D73" s="8">
        <v>1.23</v>
      </c>
      <c r="E73" s="12">
        <v>1</v>
      </c>
      <c r="F73" s="8">
        <v>2.2200000000000002</v>
      </c>
      <c r="G73" s="12">
        <v>0</v>
      </c>
      <c r="H73" s="8">
        <v>0</v>
      </c>
      <c r="I73" s="12">
        <v>0</v>
      </c>
    </row>
    <row r="74" spans="2:9" ht="15" customHeight="1" x14ac:dyDescent="0.2">
      <c r="B74" t="s">
        <v>333</v>
      </c>
      <c r="C74" s="12">
        <v>1</v>
      </c>
      <c r="D74" s="8">
        <v>1.23</v>
      </c>
      <c r="E74" s="12">
        <v>0</v>
      </c>
      <c r="F74" s="8">
        <v>0</v>
      </c>
      <c r="G74" s="12">
        <v>1</v>
      </c>
      <c r="H74" s="8">
        <v>3.33</v>
      </c>
      <c r="I74" s="12">
        <v>0</v>
      </c>
    </row>
    <row r="75" spans="2:9" ht="15" customHeight="1" x14ac:dyDescent="0.2">
      <c r="B75" t="s">
        <v>290</v>
      </c>
      <c r="C75" s="12">
        <v>1</v>
      </c>
      <c r="D75" s="8">
        <v>1.23</v>
      </c>
      <c r="E75" s="12">
        <v>0</v>
      </c>
      <c r="F75" s="8">
        <v>0</v>
      </c>
      <c r="G75" s="12">
        <v>1</v>
      </c>
      <c r="H75" s="8">
        <v>3.33</v>
      </c>
      <c r="I75" s="12">
        <v>0</v>
      </c>
    </row>
    <row r="76" spans="2:9" ht="15" customHeight="1" x14ac:dyDescent="0.2">
      <c r="B76" t="s">
        <v>291</v>
      </c>
      <c r="C76" s="12">
        <v>1</v>
      </c>
      <c r="D76" s="8">
        <v>1.23</v>
      </c>
      <c r="E76" s="12">
        <v>0</v>
      </c>
      <c r="F76" s="8">
        <v>0</v>
      </c>
      <c r="G76" s="12">
        <v>1</v>
      </c>
      <c r="H76" s="8">
        <v>3.33</v>
      </c>
      <c r="I76" s="12">
        <v>0</v>
      </c>
    </row>
    <row r="77" spans="2:9" ht="15" customHeight="1" x14ac:dyDescent="0.2">
      <c r="B77" t="s">
        <v>437</v>
      </c>
      <c r="C77" s="12">
        <v>1</v>
      </c>
      <c r="D77" s="8">
        <v>1.23</v>
      </c>
      <c r="E77" s="12">
        <v>0</v>
      </c>
      <c r="F77" s="8">
        <v>0</v>
      </c>
      <c r="G77" s="12">
        <v>1</v>
      </c>
      <c r="H77" s="8">
        <v>3.33</v>
      </c>
      <c r="I77" s="12">
        <v>0</v>
      </c>
    </row>
    <row r="78" spans="2:9" ht="15" customHeight="1" x14ac:dyDescent="0.2">
      <c r="B78" t="s">
        <v>376</v>
      </c>
      <c r="C78" s="12">
        <v>1</v>
      </c>
      <c r="D78" s="8">
        <v>1.23</v>
      </c>
      <c r="E78" s="12">
        <v>0</v>
      </c>
      <c r="F78" s="8">
        <v>0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351</v>
      </c>
      <c r="C79" s="12">
        <v>1</v>
      </c>
      <c r="D79" s="8">
        <v>1.23</v>
      </c>
      <c r="E79" s="12">
        <v>1</v>
      </c>
      <c r="F79" s="8">
        <v>2.2200000000000002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424</v>
      </c>
      <c r="C80" s="12">
        <v>1</v>
      </c>
      <c r="D80" s="8">
        <v>1.23</v>
      </c>
      <c r="E80" s="12">
        <v>0</v>
      </c>
      <c r="F80" s="8">
        <v>0</v>
      </c>
      <c r="G80" s="12">
        <v>1</v>
      </c>
      <c r="H80" s="8">
        <v>3.33</v>
      </c>
      <c r="I80" s="12">
        <v>0</v>
      </c>
    </row>
    <row r="81" spans="2:9" ht="15" customHeight="1" x14ac:dyDescent="0.2">
      <c r="B81" t="s">
        <v>399</v>
      </c>
      <c r="C81" s="12">
        <v>1</v>
      </c>
      <c r="D81" s="8">
        <v>1.23</v>
      </c>
      <c r="E81" s="12">
        <v>1</v>
      </c>
      <c r="F81" s="8">
        <v>2.2200000000000002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457</v>
      </c>
      <c r="C82" s="12">
        <v>1</v>
      </c>
      <c r="D82" s="8">
        <v>1.23</v>
      </c>
      <c r="E82" s="12">
        <v>0</v>
      </c>
      <c r="F82" s="8">
        <v>0</v>
      </c>
      <c r="G82" s="12">
        <v>1</v>
      </c>
      <c r="H82" s="8">
        <v>3.33</v>
      </c>
      <c r="I82" s="12">
        <v>0</v>
      </c>
    </row>
    <row r="83" spans="2:9" ht="15" customHeight="1" x14ac:dyDescent="0.2">
      <c r="B83" t="s">
        <v>470</v>
      </c>
      <c r="C83" s="12">
        <v>1</v>
      </c>
      <c r="D83" s="8">
        <v>1.23</v>
      </c>
      <c r="E83" s="12">
        <v>0</v>
      </c>
      <c r="F83" s="8">
        <v>0</v>
      </c>
      <c r="G83" s="12">
        <v>1</v>
      </c>
      <c r="H83" s="8">
        <v>3.33</v>
      </c>
      <c r="I83" s="12">
        <v>0</v>
      </c>
    </row>
    <row r="84" spans="2:9" ht="15" customHeight="1" x14ac:dyDescent="0.2">
      <c r="B84" t="s">
        <v>362</v>
      </c>
      <c r="C84" s="12">
        <v>1</v>
      </c>
      <c r="D84" s="8">
        <v>1.23</v>
      </c>
      <c r="E84" s="12">
        <v>0</v>
      </c>
      <c r="F84" s="8">
        <v>0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363</v>
      </c>
      <c r="C85" s="12">
        <v>1</v>
      </c>
      <c r="D85" s="8">
        <v>1.23</v>
      </c>
      <c r="E85" s="12">
        <v>0</v>
      </c>
      <c r="F85" s="8">
        <v>0</v>
      </c>
      <c r="G85" s="12">
        <v>1</v>
      </c>
      <c r="H85" s="8">
        <v>3.33</v>
      </c>
      <c r="I85" s="12">
        <v>0</v>
      </c>
    </row>
    <row r="86" spans="2:9" ht="15" customHeight="1" x14ac:dyDescent="0.2">
      <c r="B86" t="s">
        <v>471</v>
      </c>
      <c r="C86" s="12">
        <v>1</v>
      </c>
      <c r="D86" s="8">
        <v>1.23</v>
      </c>
      <c r="E86" s="12">
        <v>0</v>
      </c>
      <c r="F86" s="8">
        <v>0</v>
      </c>
      <c r="G86" s="12">
        <v>1</v>
      </c>
      <c r="H86" s="8">
        <v>3.33</v>
      </c>
      <c r="I86" s="12">
        <v>0</v>
      </c>
    </row>
    <row r="87" spans="2:9" ht="15" customHeight="1" x14ac:dyDescent="0.2">
      <c r="B87" t="s">
        <v>314</v>
      </c>
      <c r="C87" s="12">
        <v>1</v>
      </c>
      <c r="D87" s="8">
        <v>1.23</v>
      </c>
      <c r="E87" s="12">
        <v>1</v>
      </c>
      <c r="F87" s="8">
        <v>2.2200000000000002</v>
      </c>
      <c r="G87" s="12">
        <v>0</v>
      </c>
      <c r="H87" s="8">
        <v>0</v>
      </c>
      <c r="I87" s="12">
        <v>0</v>
      </c>
    </row>
    <row r="88" spans="2:9" ht="15" customHeight="1" x14ac:dyDescent="0.2">
      <c r="B88" t="s">
        <v>402</v>
      </c>
      <c r="C88" s="12">
        <v>1</v>
      </c>
      <c r="D88" s="8">
        <v>1.23</v>
      </c>
      <c r="E88" s="12">
        <v>0</v>
      </c>
      <c r="F88" s="8">
        <v>0</v>
      </c>
      <c r="G88" s="12">
        <v>1</v>
      </c>
      <c r="H88" s="8">
        <v>3.33</v>
      </c>
      <c r="I88" s="12">
        <v>0</v>
      </c>
    </row>
    <row r="89" spans="2:9" ht="15" customHeight="1" x14ac:dyDescent="0.2">
      <c r="B89" t="s">
        <v>295</v>
      </c>
      <c r="C89" s="12">
        <v>1</v>
      </c>
      <c r="D89" s="8">
        <v>1.23</v>
      </c>
      <c r="E89" s="12">
        <v>1</v>
      </c>
      <c r="F89" s="8">
        <v>2.2200000000000002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298</v>
      </c>
      <c r="C90" s="12">
        <v>1</v>
      </c>
      <c r="D90" s="8">
        <v>1.23</v>
      </c>
      <c r="E90" s="12">
        <v>0</v>
      </c>
      <c r="F90" s="8">
        <v>0</v>
      </c>
      <c r="G90" s="12">
        <v>1</v>
      </c>
      <c r="H90" s="8">
        <v>3.33</v>
      </c>
      <c r="I90" s="12">
        <v>0</v>
      </c>
    </row>
    <row r="91" spans="2:9" ht="15" customHeight="1" x14ac:dyDescent="0.2">
      <c r="B91" t="s">
        <v>409</v>
      </c>
      <c r="C91" s="12">
        <v>1</v>
      </c>
      <c r="D91" s="8">
        <v>1.23</v>
      </c>
      <c r="E91" s="12">
        <v>1</v>
      </c>
      <c r="F91" s="8">
        <v>2.2200000000000002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339</v>
      </c>
      <c r="C92" s="12">
        <v>1</v>
      </c>
      <c r="D92" s="8">
        <v>1.23</v>
      </c>
      <c r="E92" s="12">
        <v>1</v>
      </c>
      <c r="F92" s="8">
        <v>2.2200000000000002</v>
      </c>
      <c r="G92" s="12">
        <v>0</v>
      </c>
      <c r="H92" s="8">
        <v>0</v>
      </c>
      <c r="I92" s="12">
        <v>0</v>
      </c>
    </row>
    <row r="93" spans="2:9" ht="15" customHeight="1" x14ac:dyDescent="0.2">
      <c r="B93" t="s">
        <v>299</v>
      </c>
      <c r="C93" s="12">
        <v>1</v>
      </c>
      <c r="D93" s="8">
        <v>1.23</v>
      </c>
      <c r="E93" s="12">
        <v>1</v>
      </c>
      <c r="F93" s="8">
        <v>2.2200000000000002</v>
      </c>
      <c r="G93" s="12">
        <v>0</v>
      </c>
      <c r="H93" s="8">
        <v>0</v>
      </c>
      <c r="I93" s="12">
        <v>0</v>
      </c>
    </row>
    <row r="94" spans="2:9" ht="15" customHeight="1" x14ac:dyDescent="0.2">
      <c r="B94" t="s">
        <v>349</v>
      </c>
      <c r="C94" s="12">
        <v>1</v>
      </c>
      <c r="D94" s="8">
        <v>1.23</v>
      </c>
      <c r="E94" s="12">
        <v>1</v>
      </c>
      <c r="F94" s="8">
        <v>2.2200000000000002</v>
      </c>
      <c r="G94" s="12">
        <v>0</v>
      </c>
      <c r="H94" s="8">
        <v>0</v>
      </c>
      <c r="I94" s="12">
        <v>0</v>
      </c>
    </row>
    <row r="95" spans="2:9" ht="15" customHeight="1" x14ac:dyDescent="0.2">
      <c r="B95" t="s">
        <v>302</v>
      </c>
      <c r="C95" s="12">
        <v>1</v>
      </c>
      <c r="D95" s="8">
        <v>1.23</v>
      </c>
      <c r="E95" s="12">
        <v>1</v>
      </c>
      <c r="F95" s="8">
        <v>2.2200000000000002</v>
      </c>
      <c r="G95" s="12">
        <v>0</v>
      </c>
      <c r="H95" s="8">
        <v>0</v>
      </c>
      <c r="I95" s="12">
        <v>0</v>
      </c>
    </row>
    <row r="96" spans="2:9" ht="15" customHeight="1" x14ac:dyDescent="0.2">
      <c r="B96" t="s">
        <v>411</v>
      </c>
      <c r="C96" s="12">
        <v>1</v>
      </c>
      <c r="D96" s="8">
        <v>1.23</v>
      </c>
      <c r="E96" s="12">
        <v>1</v>
      </c>
      <c r="F96" s="8">
        <v>2.2200000000000002</v>
      </c>
      <c r="G96" s="12">
        <v>0</v>
      </c>
      <c r="H96" s="8">
        <v>0</v>
      </c>
      <c r="I96" s="12">
        <v>0</v>
      </c>
    </row>
    <row r="97" spans="2:9" ht="15" customHeight="1" x14ac:dyDescent="0.2">
      <c r="B97" t="s">
        <v>340</v>
      </c>
      <c r="C97" s="12">
        <v>1</v>
      </c>
      <c r="D97" s="8">
        <v>1.23</v>
      </c>
      <c r="E97" s="12">
        <v>0</v>
      </c>
      <c r="F97" s="8">
        <v>0</v>
      </c>
      <c r="G97" s="12">
        <v>0</v>
      </c>
      <c r="H97" s="8">
        <v>0</v>
      </c>
      <c r="I97" s="12">
        <v>0</v>
      </c>
    </row>
    <row r="98" spans="2:9" ht="15" customHeight="1" x14ac:dyDescent="0.2">
      <c r="B98" t="s">
        <v>327</v>
      </c>
      <c r="C98" s="12">
        <v>1</v>
      </c>
      <c r="D98" s="8">
        <v>1.23</v>
      </c>
      <c r="E98" s="12">
        <v>1</v>
      </c>
      <c r="F98" s="8">
        <v>2.2200000000000002</v>
      </c>
      <c r="G98" s="12">
        <v>0</v>
      </c>
      <c r="H98" s="8">
        <v>0</v>
      </c>
      <c r="I98" s="12">
        <v>0</v>
      </c>
    </row>
    <row r="99" spans="2:9" ht="15" customHeight="1" x14ac:dyDescent="0.2">
      <c r="B99" t="s">
        <v>312</v>
      </c>
      <c r="C99" s="12">
        <v>1</v>
      </c>
      <c r="D99" s="8">
        <v>1.23</v>
      </c>
      <c r="E99" s="12">
        <v>0</v>
      </c>
      <c r="F99" s="8">
        <v>0</v>
      </c>
      <c r="G99" s="12">
        <v>1</v>
      </c>
      <c r="H99" s="8">
        <v>3.33</v>
      </c>
      <c r="I99" s="12">
        <v>0</v>
      </c>
    </row>
    <row r="100" spans="2:9" ht="15" customHeight="1" x14ac:dyDescent="0.2">
      <c r="B100" t="s">
        <v>306</v>
      </c>
      <c r="C100" s="12">
        <v>1</v>
      </c>
      <c r="D100" s="8">
        <v>1.23</v>
      </c>
      <c r="E100" s="12">
        <v>1</v>
      </c>
      <c r="F100" s="8">
        <v>2.2200000000000002</v>
      </c>
      <c r="G100" s="12">
        <v>0</v>
      </c>
      <c r="H100" s="8">
        <v>0</v>
      </c>
      <c r="I100" s="12">
        <v>0</v>
      </c>
    </row>
    <row r="101" spans="2:9" ht="15" customHeight="1" x14ac:dyDescent="0.2">
      <c r="B101" t="s">
        <v>347</v>
      </c>
      <c r="C101" s="12">
        <v>1</v>
      </c>
      <c r="D101" s="8">
        <v>1.23</v>
      </c>
      <c r="E101" s="12">
        <v>0</v>
      </c>
      <c r="F101" s="8">
        <v>0</v>
      </c>
      <c r="G101" s="12">
        <v>1</v>
      </c>
      <c r="H101" s="8">
        <v>3.33</v>
      </c>
      <c r="I101" s="12">
        <v>0</v>
      </c>
    </row>
    <row r="103" spans="2:9" ht="15" customHeight="1" x14ac:dyDescent="0.2">
      <c r="B103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B1B5E-7108-4442-80A9-405C24EB972C}">
  <sheetPr>
    <pageSetUpPr fitToPage="1"/>
  </sheetPr>
  <dimension ref="B2:I9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625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5</v>
      </c>
      <c r="D6" s="8">
        <v>7.69</v>
      </c>
      <c r="E6" s="12">
        <v>2</v>
      </c>
      <c r="F6" s="8">
        <v>4.76</v>
      </c>
      <c r="G6" s="12">
        <v>3</v>
      </c>
      <c r="H6" s="8">
        <v>15</v>
      </c>
      <c r="I6" s="12">
        <v>0</v>
      </c>
    </row>
    <row r="7" spans="2:9" ht="15" customHeight="1" x14ac:dyDescent="0.2">
      <c r="B7" t="s">
        <v>192</v>
      </c>
      <c r="C7" s="12">
        <v>4</v>
      </c>
      <c r="D7" s="8">
        <v>6.15</v>
      </c>
      <c r="E7" s="12">
        <v>1</v>
      </c>
      <c r="F7" s="8">
        <v>2.38</v>
      </c>
      <c r="G7" s="12">
        <v>2</v>
      </c>
      <c r="H7" s="8">
        <v>10</v>
      </c>
      <c r="I7" s="12">
        <v>1</v>
      </c>
    </row>
    <row r="8" spans="2:9" ht="15" customHeight="1" x14ac:dyDescent="0.2">
      <c r="B8" t="s">
        <v>193</v>
      </c>
      <c r="C8" s="12">
        <v>1</v>
      </c>
      <c r="D8" s="8">
        <v>1.54</v>
      </c>
      <c r="E8" s="12">
        <v>0</v>
      </c>
      <c r="F8" s="8">
        <v>0</v>
      </c>
      <c r="G8" s="12">
        <v>0</v>
      </c>
      <c r="H8" s="8">
        <v>0</v>
      </c>
      <c r="I8" s="12">
        <v>0</v>
      </c>
    </row>
    <row r="9" spans="2:9" ht="15" customHeight="1" x14ac:dyDescent="0.2">
      <c r="B9" t="s">
        <v>194</v>
      </c>
      <c r="C9" s="12">
        <v>1</v>
      </c>
      <c r="D9" s="8">
        <v>1.54</v>
      </c>
      <c r="E9" s="12">
        <v>0</v>
      </c>
      <c r="F9" s="8">
        <v>0</v>
      </c>
      <c r="G9" s="12">
        <v>1</v>
      </c>
      <c r="H9" s="8">
        <v>5</v>
      </c>
      <c r="I9" s="12">
        <v>0</v>
      </c>
    </row>
    <row r="10" spans="2:9" ht="15" customHeight="1" x14ac:dyDescent="0.2">
      <c r="B10" t="s">
        <v>195</v>
      </c>
      <c r="C10" s="12">
        <v>1</v>
      </c>
      <c r="D10" s="8">
        <v>1.54</v>
      </c>
      <c r="E10" s="12">
        <v>1</v>
      </c>
      <c r="F10" s="8">
        <v>2.38</v>
      </c>
      <c r="G10" s="12">
        <v>0</v>
      </c>
      <c r="H10" s="8">
        <v>0</v>
      </c>
      <c r="I10" s="12">
        <v>0</v>
      </c>
    </row>
    <row r="11" spans="2:9" ht="15" customHeight="1" x14ac:dyDescent="0.2">
      <c r="B11" t="s">
        <v>196</v>
      </c>
      <c r="C11" s="12">
        <v>17</v>
      </c>
      <c r="D11" s="8">
        <v>26.15</v>
      </c>
      <c r="E11" s="12">
        <v>13</v>
      </c>
      <c r="F11" s="8">
        <v>30.95</v>
      </c>
      <c r="G11" s="12">
        <v>4</v>
      </c>
      <c r="H11" s="8">
        <v>20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3</v>
      </c>
      <c r="D13" s="8">
        <v>4.62</v>
      </c>
      <c r="E13" s="12">
        <v>1</v>
      </c>
      <c r="F13" s="8">
        <v>2.38</v>
      </c>
      <c r="G13" s="12">
        <v>2</v>
      </c>
      <c r="H13" s="8">
        <v>10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3.08</v>
      </c>
      <c r="E14" s="12">
        <v>1</v>
      </c>
      <c r="F14" s="8">
        <v>2.38</v>
      </c>
      <c r="G14" s="12">
        <v>1</v>
      </c>
      <c r="H14" s="8">
        <v>5</v>
      </c>
      <c r="I14" s="12">
        <v>0</v>
      </c>
    </row>
    <row r="15" spans="2:9" ht="15" customHeight="1" x14ac:dyDescent="0.2">
      <c r="B15" t="s">
        <v>200</v>
      </c>
      <c r="C15" s="12">
        <v>11</v>
      </c>
      <c r="D15" s="8">
        <v>16.920000000000002</v>
      </c>
      <c r="E15" s="12">
        <v>11</v>
      </c>
      <c r="F15" s="8">
        <v>26.19</v>
      </c>
      <c r="G15" s="12">
        <v>0</v>
      </c>
      <c r="H15" s="8">
        <v>0</v>
      </c>
      <c r="I15" s="12">
        <v>0</v>
      </c>
    </row>
    <row r="16" spans="2:9" ht="15" customHeight="1" x14ac:dyDescent="0.2">
      <c r="B16" t="s">
        <v>201</v>
      </c>
      <c r="C16" s="12">
        <v>11</v>
      </c>
      <c r="D16" s="8">
        <v>16.920000000000002</v>
      </c>
      <c r="E16" s="12">
        <v>9</v>
      </c>
      <c r="F16" s="8">
        <v>21.43</v>
      </c>
      <c r="G16" s="12">
        <v>2</v>
      </c>
      <c r="H16" s="8">
        <v>10</v>
      </c>
      <c r="I16" s="12">
        <v>0</v>
      </c>
    </row>
    <row r="17" spans="2:9" ht="15" customHeight="1" x14ac:dyDescent="0.2">
      <c r="B17" t="s">
        <v>202</v>
      </c>
      <c r="C17" s="12">
        <v>1</v>
      </c>
      <c r="D17" s="8">
        <v>1.54</v>
      </c>
      <c r="E17" s="12">
        <v>0</v>
      </c>
      <c r="F17" s="8">
        <v>0</v>
      </c>
      <c r="G17" s="12">
        <v>1</v>
      </c>
      <c r="H17" s="8">
        <v>5</v>
      </c>
      <c r="I17" s="12">
        <v>0</v>
      </c>
    </row>
    <row r="18" spans="2:9" ht="15" customHeight="1" x14ac:dyDescent="0.2">
      <c r="B18" t="s">
        <v>203</v>
      </c>
      <c r="C18" s="12">
        <v>7</v>
      </c>
      <c r="D18" s="8">
        <v>10.77</v>
      </c>
      <c r="E18" s="12">
        <v>3</v>
      </c>
      <c r="F18" s="8">
        <v>7.14</v>
      </c>
      <c r="G18" s="12">
        <v>3</v>
      </c>
      <c r="H18" s="8">
        <v>15</v>
      </c>
      <c r="I18" s="12">
        <v>0</v>
      </c>
    </row>
    <row r="19" spans="2:9" ht="15" customHeight="1" x14ac:dyDescent="0.2">
      <c r="B19" t="s">
        <v>204</v>
      </c>
      <c r="C19" s="12">
        <v>1</v>
      </c>
      <c r="D19" s="8">
        <v>1.54</v>
      </c>
      <c r="E19" s="12">
        <v>0</v>
      </c>
      <c r="F19" s="8">
        <v>0</v>
      </c>
      <c r="G19" s="12">
        <v>1</v>
      </c>
      <c r="H19" s="8">
        <v>5</v>
      </c>
      <c r="I19" s="12">
        <v>0</v>
      </c>
    </row>
    <row r="20" spans="2:9" ht="15" customHeight="1" x14ac:dyDescent="0.2">
      <c r="B20" s="9" t="s">
        <v>529</v>
      </c>
      <c r="C20" s="12">
        <f>SUM(LTBL_01434[総数／事業所数])</f>
        <v>65</v>
      </c>
      <c r="E20" s="12">
        <f>SUBTOTAL(109,LTBL_01434[個人／事業所数])</f>
        <v>42</v>
      </c>
      <c r="G20" s="12">
        <f>SUBTOTAL(109,LTBL_01434[法人／事業所数])</f>
        <v>20</v>
      </c>
      <c r="I20" s="12">
        <f>SUBTOTAL(109,LTBL_01434[法人以外の団体／事業所数])</f>
        <v>1</v>
      </c>
    </row>
    <row r="21" spans="2:9" ht="15" customHeight="1" x14ac:dyDescent="0.2">
      <c r="E21" s="11">
        <f>LTBL_01434[[#Totals],[個人／事業所数]]/LTBL_01434[[#Totals],[総数／事業所数]]</f>
        <v>0.64615384615384619</v>
      </c>
      <c r="G21" s="11">
        <f>LTBL_01434[[#Totals],[法人／事業所数]]/LTBL_01434[[#Totals],[総数／事業所数]]</f>
        <v>0.30769230769230771</v>
      </c>
      <c r="I21" s="11">
        <f>LTBL_01434[[#Totals],[法人以外の団体／事業所数]]/LTBL_01434[[#Totals],[総数／事業所数]]</f>
        <v>1.5384615384615385E-2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227</v>
      </c>
      <c r="C24" s="12">
        <v>11</v>
      </c>
      <c r="D24" s="8">
        <v>16.920000000000002</v>
      </c>
      <c r="E24" s="12">
        <v>11</v>
      </c>
      <c r="F24" s="8">
        <v>26.19</v>
      </c>
      <c r="G24" s="12">
        <v>0</v>
      </c>
      <c r="H24" s="8">
        <v>0</v>
      </c>
      <c r="I24" s="12">
        <v>0</v>
      </c>
    </row>
    <row r="25" spans="2:9" ht="15" customHeight="1" x14ac:dyDescent="0.2">
      <c r="B25" t="s">
        <v>228</v>
      </c>
      <c r="C25" s="12">
        <v>10</v>
      </c>
      <c r="D25" s="8">
        <v>15.38</v>
      </c>
      <c r="E25" s="12">
        <v>9</v>
      </c>
      <c r="F25" s="8">
        <v>21.43</v>
      </c>
      <c r="G25" s="12">
        <v>1</v>
      </c>
      <c r="H25" s="8">
        <v>5</v>
      </c>
      <c r="I25" s="12">
        <v>0</v>
      </c>
    </row>
    <row r="26" spans="2:9" ht="15" customHeight="1" x14ac:dyDescent="0.2">
      <c r="B26" t="s">
        <v>222</v>
      </c>
      <c r="C26" s="12">
        <v>5</v>
      </c>
      <c r="D26" s="8">
        <v>7.69</v>
      </c>
      <c r="E26" s="12">
        <v>5</v>
      </c>
      <c r="F26" s="8">
        <v>11.9</v>
      </c>
      <c r="G26" s="12">
        <v>0</v>
      </c>
      <c r="H26" s="8">
        <v>0</v>
      </c>
      <c r="I26" s="12">
        <v>0</v>
      </c>
    </row>
    <row r="27" spans="2:9" ht="15" customHeight="1" x14ac:dyDescent="0.2">
      <c r="B27" t="s">
        <v>223</v>
      </c>
      <c r="C27" s="12">
        <v>4</v>
      </c>
      <c r="D27" s="8">
        <v>6.15</v>
      </c>
      <c r="E27" s="12">
        <v>2</v>
      </c>
      <c r="F27" s="8">
        <v>4.76</v>
      </c>
      <c r="G27" s="12">
        <v>2</v>
      </c>
      <c r="H27" s="8">
        <v>10</v>
      </c>
      <c r="I27" s="12">
        <v>0</v>
      </c>
    </row>
    <row r="28" spans="2:9" ht="15" customHeight="1" x14ac:dyDescent="0.2">
      <c r="B28" t="s">
        <v>231</v>
      </c>
      <c r="C28" s="12">
        <v>4</v>
      </c>
      <c r="D28" s="8">
        <v>6.15</v>
      </c>
      <c r="E28" s="12">
        <v>3</v>
      </c>
      <c r="F28" s="8">
        <v>7.14</v>
      </c>
      <c r="G28" s="12">
        <v>0</v>
      </c>
      <c r="H28" s="8">
        <v>0</v>
      </c>
      <c r="I28" s="12">
        <v>0</v>
      </c>
    </row>
    <row r="29" spans="2:9" ht="15" customHeight="1" x14ac:dyDescent="0.2">
      <c r="B29" t="s">
        <v>221</v>
      </c>
      <c r="C29" s="12">
        <v>3</v>
      </c>
      <c r="D29" s="8">
        <v>4.62</v>
      </c>
      <c r="E29" s="12">
        <v>3</v>
      </c>
      <c r="F29" s="8">
        <v>7.14</v>
      </c>
      <c r="G29" s="12">
        <v>0</v>
      </c>
      <c r="H29" s="8">
        <v>0</v>
      </c>
      <c r="I29" s="12">
        <v>0</v>
      </c>
    </row>
    <row r="30" spans="2:9" ht="15" customHeight="1" x14ac:dyDescent="0.2">
      <c r="B30" t="s">
        <v>232</v>
      </c>
      <c r="C30" s="12">
        <v>3</v>
      </c>
      <c r="D30" s="8">
        <v>4.62</v>
      </c>
      <c r="E30" s="12">
        <v>0</v>
      </c>
      <c r="F30" s="8">
        <v>0</v>
      </c>
      <c r="G30" s="12">
        <v>3</v>
      </c>
      <c r="H30" s="8">
        <v>15</v>
      </c>
      <c r="I30" s="12">
        <v>0</v>
      </c>
    </row>
    <row r="31" spans="2:9" ht="15" customHeight="1" x14ac:dyDescent="0.2">
      <c r="B31" t="s">
        <v>213</v>
      </c>
      <c r="C31" s="12">
        <v>2</v>
      </c>
      <c r="D31" s="8">
        <v>3.08</v>
      </c>
      <c r="E31" s="12">
        <v>0</v>
      </c>
      <c r="F31" s="8">
        <v>0</v>
      </c>
      <c r="G31" s="12">
        <v>2</v>
      </c>
      <c r="H31" s="8">
        <v>10</v>
      </c>
      <c r="I31" s="12">
        <v>0</v>
      </c>
    </row>
    <row r="32" spans="2:9" ht="15" customHeight="1" x14ac:dyDescent="0.2">
      <c r="B32" t="s">
        <v>214</v>
      </c>
      <c r="C32" s="12">
        <v>2</v>
      </c>
      <c r="D32" s="8">
        <v>3.08</v>
      </c>
      <c r="E32" s="12">
        <v>2</v>
      </c>
      <c r="F32" s="8">
        <v>4.76</v>
      </c>
      <c r="G32" s="12">
        <v>0</v>
      </c>
      <c r="H32" s="8">
        <v>0</v>
      </c>
      <c r="I32" s="12">
        <v>0</v>
      </c>
    </row>
    <row r="33" spans="2:9" ht="15" customHeight="1" x14ac:dyDescent="0.2">
      <c r="B33" t="s">
        <v>253</v>
      </c>
      <c r="C33" s="12">
        <v>2</v>
      </c>
      <c r="D33" s="8">
        <v>3.08</v>
      </c>
      <c r="E33" s="12">
        <v>1</v>
      </c>
      <c r="F33" s="8">
        <v>2.38</v>
      </c>
      <c r="G33" s="12">
        <v>1</v>
      </c>
      <c r="H33" s="8">
        <v>5</v>
      </c>
      <c r="I33" s="12">
        <v>0</v>
      </c>
    </row>
    <row r="34" spans="2:9" ht="15" customHeight="1" x14ac:dyDescent="0.2">
      <c r="B34" t="s">
        <v>236</v>
      </c>
      <c r="C34" s="12">
        <v>2</v>
      </c>
      <c r="D34" s="8">
        <v>3.08</v>
      </c>
      <c r="E34" s="12">
        <v>2</v>
      </c>
      <c r="F34" s="8">
        <v>4.76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224</v>
      </c>
      <c r="C35" s="12">
        <v>2</v>
      </c>
      <c r="D35" s="8">
        <v>3.08</v>
      </c>
      <c r="E35" s="12">
        <v>1</v>
      </c>
      <c r="F35" s="8">
        <v>2.38</v>
      </c>
      <c r="G35" s="12">
        <v>1</v>
      </c>
      <c r="H35" s="8">
        <v>5</v>
      </c>
      <c r="I35" s="12">
        <v>0</v>
      </c>
    </row>
    <row r="36" spans="2:9" ht="15" customHeight="1" x14ac:dyDescent="0.2">
      <c r="B36" t="s">
        <v>226</v>
      </c>
      <c r="C36" s="12">
        <v>2</v>
      </c>
      <c r="D36" s="8">
        <v>3.08</v>
      </c>
      <c r="E36" s="12">
        <v>1</v>
      </c>
      <c r="F36" s="8">
        <v>2.38</v>
      </c>
      <c r="G36" s="12">
        <v>1</v>
      </c>
      <c r="H36" s="8">
        <v>5</v>
      </c>
      <c r="I36" s="12">
        <v>0</v>
      </c>
    </row>
    <row r="37" spans="2:9" ht="15" customHeight="1" x14ac:dyDescent="0.2">
      <c r="B37" t="s">
        <v>215</v>
      </c>
      <c r="C37" s="12">
        <v>1</v>
      </c>
      <c r="D37" s="8">
        <v>1.54</v>
      </c>
      <c r="E37" s="12">
        <v>0</v>
      </c>
      <c r="F37" s="8">
        <v>0</v>
      </c>
      <c r="G37" s="12">
        <v>1</v>
      </c>
      <c r="H37" s="8">
        <v>5</v>
      </c>
      <c r="I37" s="12">
        <v>0</v>
      </c>
    </row>
    <row r="38" spans="2:9" ht="15" customHeight="1" x14ac:dyDescent="0.2">
      <c r="B38" t="s">
        <v>241</v>
      </c>
      <c r="C38" s="12">
        <v>1</v>
      </c>
      <c r="D38" s="8">
        <v>1.54</v>
      </c>
      <c r="E38" s="12">
        <v>0</v>
      </c>
      <c r="F38" s="8">
        <v>0</v>
      </c>
      <c r="G38" s="12">
        <v>0</v>
      </c>
      <c r="H38" s="8">
        <v>0</v>
      </c>
      <c r="I38" s="12">
        <v>1</v>
      </c>
    </row>
    <row r="39" spans="2:9" ht="15" customHeight="1" x14ac:dyDescent="0.2">
      <c r="B39" t="s">
        <v>244</v>
      </c>
      <c r="C39" s="12">
        <v>1</v>
      </c>
      <c r="D39" s="8">
        <v>1.54</v>
      </c>
      <c r="E39" s="12">
        <v>0</v>
      </c>
      <c r="F39" s="8">
        <v>0</v>
      </c>
      <c r="G39" s="12">
        <v>1</v>
      </c>
      <c r="H39" s="8">
        <v>5</v>
      </c>
      <c r="I39" s="12">
        <v>0</v>
      </c>
    </row>
    <row r="40" spans="2:9" ht="15" customHeight="1" x14ac:dyDescent="0.2">
      <c r="B40" t="s">
        <v>255</v>
      </c>
      <c r="C40" s="12">
        <v>1</v>
      </c>
      <c r="D40" s="8">
        <v>1.54</v>
      </c>
      <c r="E40" s="12">
        <v>0</v>
      </c>
      <c r="F40" s="8">
        <v>0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277</v>
      </c>
      <c r="C41" s="12">
        <v>1</v>
      </c>
      <c r="D41" s="8">
        <v>1.54</v>
      </c>
      <c r="E41" s="12">
        <v>0</v>
      </c>
      <c r="F41" s="8">
        <v>0</v>
      </c>
      <c r="G41" s="12">
        <v>1</v>
      </c>
      <c r="H41" s="8">
        <v>5</v>
      </c>
      <c r="I41" s="12">
        <v>0</v>
      </c>
    </row>
    <row r="42" spans="2:9" ht="15" customHeight="1" x14ac:dyDescent="0.2">
      <c r="B42" t="s">
        <v>248</v>
      </c>
      <c r="C42" s="12">
        <v>1</v>
      </c>
      <c r="D42" s="8">
        <v>1.54</v>
      </c>
      <c r="E42" s="12">
        <v>1</v>
      </c>
      <c r="F42" s="8">
        <v>2.38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216</v>
      </c>
      <c r="C43" s="12">
        <v>1</v>
      </c>
      <c r="D43" s="8">
        <v>1.54</v>
      </c>
      <c r="E43" s="12">
        <v>0</v>
      </c>
      <c r="F43" s="8">
        <v>0</v>
      </c>
      <c r="G43" s="12">
        <v>1</v>
      </c>
      <c r="H43" s="8">
        <v>5</v>
      </c>
      <c r="I43" s="12">
        <v>0</v>
      </c>
    </row>
    <row r="44" spans="2:9" ht="15" customHeight="1" x14ac:dyDescent="0.2">
      <c r="B44" t="s">
        <v>217</v>
      </c>
      <c r="C44" s="12">
        <v>1</v>
      </c>
      <c r="D44" s="8">
        <v>1.54</v>
      </c>
      <c r="E44" s="12">
        <v>1</v>
      </c>
      <c r="F44" s="8">
        <v>2.38</v>
      </c>
      <c r="G44" s="12">
        <v>0</v>
      </c>
      <c r="H44" s="8">
        <v>0</v>
      </c>
      <c r="I44" s="12">
        <v>0</v>
      </c>
    </row>
    <row r="45" spans="2:9" ht="15" customHeight="1" x14ac:dyDescent="0.2">
      <c r="B45" t="s">
        <v>218</v>
      </c>
      <c r="C45" s="12">
        <v>1</v>
      </c>
      <c r="D45" s="8">
        <v>1.54</v>
      </c>
      <c r="E45" s="12">
        <v>0</v>
      </c>
      <c r="F45" s="8">
        <v>0</v>
      </c>
      <c r="G45" s="12">
        <v>1</v>
      </c>
      <c r="H45" s="8">
        <v>5</v>
      </c>
      <c r="I45" s="12">
        <v>0</v>
      </c>
    </row>
    <row r="46" spans="2:9" ht="15" customHeight="1" x14ac:dyDescent="0.2">
      <c r="B46" t="s">
        <v>246</v>
      </c>
      <c r="C46" s="12">
        <v>1</v>
      </c>
      <c r="D46" s="8">
        <v>1.54</v>
      </c>
      <c r="E46" s="12">
        <v>0</v>
      </c>
      <c r="F46" s="8">
        <v>0</v>
      </c>
      <c r="G46" s="12">
        <v>1</v>
      </c>
      <c r="H46" s="8">
        <v>5</v>
      </c>
      <c r="I46" s="12">
        <v>0</v>
      </c>
    </row>
    <row r="47" spans="2:9" ht="15" customHeight="1" x14ac:dyDescent="0.2">
      <c r="B47" t="s">
        <v>247</v>
      </c>
      <c r="C47" s="12">
        <v>1</v>
      </c>
      <c r="D47" s="8">
        <v>1.54</v>
      </c>
      <c r="E47" s="12">
        <v>0</v>
      </c>
      <c r="F47" s="8">
        <v>0</v>
      </c>
      <c r="G47" s="12">
        <v>1</v>
      </c>
      <c r="H47" s="8">
        <v>5</v>
      </c>
      <c r="I47" s="12">
        <v>0</v>
      </c>
    </row>
    <row r="48" spans="2:9" ht="15" customHeight="1" x14ac:dyDescent="0.2">
      <c r="B48" t="s">
        <v>230</v>
      </c>
      <c r="C48" s="12">
        <v>1</v>
      </c>
      <c r="D48" s="8">
        <v>1.54</v>
      </c>
      <c r="E48" s="12">
        <v>0</v>
      </c>
      <c r="F48" s="8">
        <v>0</v>
      </c>
      <c r="G48" s="12">
        <v>1</v>
      </c>
      <c r="H48" s="8">
        <v>5</v>
      </c>
      <c r="I48" s="12">
        <v>0</v>
      </c>
    </row>
    <row r="49" spans="2:9" ht="15" customHeight="1" x14ac:dyDescent="0.2">
      <c r="B49" t="s">
        <v>249</v>
      </c>
      <c r="C49" s="12">
        <v>1</v>
      </c>
      <c r="D49" s="8">
        <v>1.54</v>
      </c>
      <c r="E49" s="12">
        <v>0</v>
      </c>
      <c r="F49" s="8">
        <v>0</v>
      </c>
      <c r="G49" s="12">
        <v>1</v>
      </c>
      <c r="H49" s="8">
        <v>5</v>
      </c>
      <c r="I49" s="12">
        <v>0</v>
      </c>
    </row>
    <row r="52" spans="2:9" ht="33" customHeight="1" x14ac:dyDescent="0.2">
      <c r="B52" t="s">
        <v>531</v>
      </c>
      <c r="C52" s="10" t="s">
        <v>206</v>
      </c>
      <c r="D52" s="10" t="s">
        <v>207</v>
      </c>
      <c r="E52" s="10" t="s">
        <v>208</v>
      </c>
      <c r="F52" s="10" t="s">
        <v>209</v>
      </c>
      <c r="G52" s="10" t="s">
        <v>210</v>
      </c>
      <c r="H52" s="10" t="s">
        <v>211</v>
      </c>
      <c r="I52" s="10" t="s">
        <v>212</v>
      </c>
    </row>
    <row r="53" spans="2:9" ht="15" customHeight="1" x14ac:dyDescent="0.2">
      <c r="B53" t="s">
        <v>304</v>
      </c>
      <c r="C53" s="12">
        <v>6</v>
      </c>
      <c r="D53" s="8">
        <v>9.23</v>
      </c>
      <c r="E53" s="12">
        <v>5</v>
      </c>
      <c r="F53" s="8">
        <v>11.9</v>
      </c>
      <c r="G53" s="12">
        <v>1</v>
      </c>
      <c r="H53" s="8">
        <v>5</v>
      </c>
      <c r="I53" s="12">
        <v>0</v>
      </c>
    </row>
    <row r="54" spans="2:9" ht="15" customHeight="1" x14ac:dyDescent="0.2">
      <c r="B54" t="s">
        <v>300</v>
      </c>
      <c r="C54" s="12">
        <v>5</v>
      </c>
      <c r="D54" s="8">
        <v>7.69</v>
      </c>
      <c r="E54" s="12">
        <v>5</v>
      </c>
      <c r="F54" s="8">
        <v>11.9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293</v>
      </c>
      <c r="C55" s="12">
        <v>3</v>
      </c>
      <c r="D55" s="8">
        <v>4.62</v>
      </c>
      <c r="E55" s="12">
        <v>3</v>
      </c>
      <c r="F55" s="8">
        <v>7.14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301</v>
      </c>
      <c r="C56" s="12">
        <v>3</v>
      </c>
      <c r="D56" s="8">
        <v>4.62</v>
      </c>
      <c r="E56" s="12">
        <v>3</v>
      </c>
      <c r="F56" s="8">
        <v>7.14</v>
      </c>
      <c r="G56" s="12">
        <v>0</v>
      </c>
      <c r="H56" s="8">
        <v>0</v>
      </c>
      <c r="I56" s="12">
        <v>0</v>
      </c>
    </row>
    <row r="57" spans="2:9" ht="15" customHeight="1" x14ac:dyDescent="0.2">
      <c r="B57" t="s">
        <v>303</v>
      </c>
      <c r="C57" s="12">
        <v>3</v>
      </c>
      <c r="D57" s="8">
        <v>4.62</v>
      </c>
      <c r="E57" s="12">
        <v>3</v>
      </c>
      <c r="F57" s="8">
        <v>7.14</v>
      </c>
      <c r="G57" s="12">
        <v>0</v>
      </c>
      <c r="H57" s="8">
        <v>0</v>
      </c>
      <c r="I57" s="12">
        <v>0</v>
      </c>
    </row>
    <row r="58" spans="2:9" ht="15" customHeight="1" x14ac:dyDescent="0.2">
      <c r="B58" t="s">
        <v>343</v>
      </c>
      <c r="C58" s="12">
        <v>2</v>
      </c>
      <c r="D58" s="8">
        <v>3.08</v>
      </c>
      <c r="E58" s="12">
        <v>2</v>
      </c>
      <c r="F58" s="8">
        <v>4.76</v>
      </c>
      <c r="G58" s="12">
        <v>0</v>
      </c>
      <c r="H58" s="8">
        <v>0</v>
      </c>
      <c r="I58" s="12">
        <v>0</v>
      </c>
    </row>
    <row r="59" spans="2:9" ht="15" customHeight="1" x14ac:dyDescent="0.2">
      <c r="B59" t="s">
        <v>344</v>
      </c>
      <c r="C59" s="12">
        <v>2</v>
      </c>
      <c r="D59" s="8">
        <v>3.08</v>
      </c>
      <c r="E59" s="12">
        <v>2</v>
      </c>
      <c r="F59" s="8">
        <v>4.76</v>
      </c>
      <c r="G59" s="12">
        <v>0</v>
      </c>
      <c r="H59" s="8">
        <v>0</v>
      </c>
      <c r="I59" s="12">
        <v>0</v>
      </c>
    </row>
    <row r="60" spans="2:9" ht="15" customHeight="1" x14ac:dyDescent="0.2">
      <c r="B60" t="s">
        <v>297</v>
      </c>
      <c r="C60" s="12">
        <v>2</v>
      </c>
      <c r="D60" s="8">
        <v>3.08</v>
      </c>
      <c r="E60" s="12">
        <v>1</v>
      </c>
      <c r="F60" s="8">
        <v>2.38</v>
      </c>
      <c r="G60" s="12">
        <v>1</v>
      </c>
      <c r="H60" s="8">
        <v>5</v>
      </c>
      <c r="I60" s="12">
        <v>0</v>
      </c>
    </row>
    <row r="61" spans="2:9" ht="15" customHeight="1" x14ac:dyDescent="0.2">
      <c r="B61" t="s">
        <v>299</v>
      </c>
      <c r="C61" s="12">
        <v>2</v>
      </c>
      <c r="D61" s="8">
        <v>3.08</v>
      </c>
      <c r="E61" s="12">
        <v>2</v>
      </c>
      <c r="F61" s="8">
        <v>4.76</v>
      </c>
      <c r="G61" s="12">
        <v>0</v>
      </c>
      <c r="H61" s="8">
        <v>0</v>
      </c>
      <c r="I61" s="12">
        <v>0</v>
      </c>
    </row>
    <row r="62" spans="2:9" ht="15" customHeight="1" x14ac:dyDescent="0.2">
      <c r="B62" t="s">
        <v>312</v>
      </c>
      <c r="C62" s="12">
        <v>2</v>
      </c>
      <c r="D62" s="8">
        <v>3.08</v>
      </c>
      <c r="E62" s="12">
        <v>1</v>
      </c>
      <c r="F62" s="8">
        <v>2.38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306</v>
      </c>
      <c r="C63" s="12">
        <v>2</v>
      </c>
      <c r="D63" s="8">
        <v>3.08</v>
      </c>
      <c r="E63" s="12">
        <v>2</v>
      </c>
      <c r="F63" s="8">
        <v>4.76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331</v>
      </c>
      <c r="C64" s="12">
        <v>2</v>
      </c>
      <c r="D64" s="8">
        <v>3.08</v>
      </c>
      <c r="E64" s="12">
        <v>0</v>
      </c>
      <c r="F64" s="8">
        <v>0</v>
      </c>
      <c r="G64" s="12">
        <v>2</v>
      </c>
      <c r="H64" s="8">
        <v>10</v>
      </c>
      <c r="I64" s="12">
        <v>0</v>
      </c>
    </row>
    <row r="65" spans="2:9" ht="15" customHeight="1" x14ac:dyDescent="0.2">
      <c r="B65" t="s">
        <v>328</v>
      </c>
      <c r="C65" s="12">
        <v>1</v>
      </c>
      <c r="D65" s="8">
        <v>1.54</v>
      </c>
      <c r="E65" s="12">
        <v>0</v>
      </c>
      <c r="F65" s="8">
        <v>0</v>
      </c>
      <c r="G65" s="12">
        <v>1</v>
      </c>
      <c r="H65" s="8">
        <v>5</v>
      </c>
      <c r="I65" s="12">
        <v>0</v>
      </c>
    </row>
    <row r="66" spans="2:9" ht="15" customHeight="1" x14ac:dyDescent="0.2">
      <c r="B66" t="s">
        <v>319</v>
      </c>
      <c r="C66" s="12">
        <v>1</v>
      </c>
      <c r="D66" s="8">
        <v>1.54</v>
      </c>
      <c r="E66" s="12">
        <v>0</v>
      </c>
      <c r="F66" s="8">
        <v>0</v>
      </c>
      <c r="G66" s="12">
        <v>1</v>
      </c>
      <c r="H66" s="8">
        <v>5</v>
      </c>
      <c r="I66" s="12">
        <v>0</v>
      </c>
    </row>
    <row r="67" spans="2:9" ht="15" customHeight="1" x14ac:dyDescent="0.2">
      <c r="B67" t="s">
        <v>290</v>
      </c>
      <c r="C67" s="12">
        <v>1</v>
      </c>
      <c r="D67" s="8">
        <v>1.54</v>
      </c>
      <c r="E67" s="12">
        <v>0</v>
      </c>
      <c r="F67" s="8">
        <v>0</v>
      </c>
      <c r="G67" s="12">
        <v>1</v>
      </c>
      <c r="H67" s="8">
        <v>5</v>
      </c>
      <c r="I67" s="12">
        <v>0</v>
      </c>
    </row>
    <row r="68" spans="2:9" ht="15" customHeight="1" x14ac:dyDescent="0.2">
      <c r="B68" t="s">
        <v>394</v>
      </c>
      <c r="C68" s="12">
        <v>1</v>
      </c>
      <c r="D68" s="8">
        <v>1.54</v>
      </c>
      <c r="E68" s="12">
        <v>0</v>
      </c>
      <c r="F68" s="8">
        <v>0</v>
      </c>
      <c r="G68" s="12">
        <v>0</v>
      </c>
      <c r="H68" s="8">
        <v>0</v>
      </c>
      <c r="I68" s="12">
        <v>1</v>
      </c>
    </row>
    <row r="69" spans="2:9" ht="15" customHeight="1" x14ac:dyDescent="0.2">
      <c r="B69" t="s">
        <v>384</v>
      </c>
      <c r="C69" s="12">
        <v>1</v>
      </c>
      <c r="D69" s="8">
        <v>1.54</v>
      </c>
      <c r="E69" s="12">
        <v>0</v>
      </c>
      <c r="F69" s="8">
        <v>0</v>
      </c>
      <c r="G69" s="12">
        <v>1</v>
      </c>
      <c r="H69" s="8">
        <v>5</v>
      </c>
      <c r="I69" s="12">
        <v>0</v>
      </c>
    </row>
    <row r="70" spans="2:9" ht="15" customHeight="1" x14ac:dyDescent="0.2">
      <c r="B70" t="s">
        <v>457</v>
      </c>
      <c r="C70" s="12">
        <v>1</v>
      </c>
      <c r="D70" s="8">
        <v>1.54</v>
      </c>
      <c r="E70" s="12">
        <v>0</v>
      </c>
      <c r="F70" s="8">
        <v>0</v>
      </c>
      <c r="G70" s="12">
        <v>1</v>
      </c>
      <c r="H70" s="8">
        <v>5</v>
      </c>
      <c r="I70" s="12">
        <v>0</v>
      </c>
    </row>
    <row r="71" spans="2:9" ht="15" customHeight="1" x14ac:dyDescent="0.2">
      <c r="B71" t="s">
        <v>374</v>
      </c>
      <c r="C71" s="12">
        <v>1</v>
      </c>
      <c r="D71" s="8">
        <v>1.54</v>
      </c>
      <c r="E71" s="12">
        <v>1</v>
      </c>
      <c r="F71" s="8">
        <v>2.38</v>
      </c>
      <c r="G71" s="12">
        <v>0</v>
      </c>
      <c r="H71" s="8">
        <v>0</v>
      </c>
      <c r="I71" s="12">
        <v>0</v>
      </c>
    </row>
    <row r="72" spans="2:9" ht="15" customHeight="1" x14ac:dyDescent="0.2">
      <c r="B72" t="s">
        <v>362</v>
      </c>
      <c r="C72" s="12">
        <v>1</v>
      </c>
      <c r="D72" s="8">
        <v>1.54</v>
      </c>
      <c r="E72" s="12">
        <v>0</v>
      </c>
      <c r="F72" s="8">
        <v>0</v>
      </c>
      <c r="G72" s="12">
        <v>0</v>
      </c>
      <c r="H72" s="8">
        <v>0</v>
      </c>
      <c r="I72" s="12">
        <v>0</v>
      </c>
    </row>
    <row r="73" spans="2:9" ht="15" customHeight="1" x14ac:dyDescent="0.2">
      <c r="B73" t="s">
        <v>472</v>
      </c>
      <c r="C73" s="12">
        <v>1</v>
      </c>
      <c r="D73" s="8">
        <v>1.54</v>
      </c>
      <c r="E73" s="12">
        <v>0</v>
      </c>
      <c r="F73" s="8">
        <v>0</v>
      </c>
      <c r="G73" s="12">
        <v>1</v>
      </c>
      <c r="H73" s="8">
        <v>5</v>
      </c>
      <c r="I73" s="12">
        <v>0</v>
      </c>
    </row>
    <row r="74" spans="2:9" ht="15" customHeight="1" x14ac:dyDescent="0.2">
      <c r="B74" t="s">
        <v>350</v>
      </c>
      <c r="C74" s="12">
        <v>1</v>
      </c>
      <c r="D74" s="8">
        <v>1.54</v>
      </c>
      <c r="E74" s="12">
        <v>1</v>
      </c>
      <c r="F74" s="8">
        <v>2.38</v>
      </c>
      <c r="G74" s="12">
        <v>0</v>
      </c>
      <c r="H74" s="8">
        <v>0</v>
      </c>
      <c r="I74" s="12">
        <v>0</v>
      </c>
    </row>
    <row r="75" spans="2:9" ht="15" customHeight="1" x14ac:dyDescent="0.2">
      <c r="B75" t="s">
        <v>324</v>
      </c>
      <c r="C75" s="12">
        <v>1</v>
      </c>
      <c r="D75" s="8">
        <v>1.54</v>
      </c>
      <c r="E75" s="12">
        <v>0</v>
      </c>
      <c r="F75" s="8">
        <v>0</v>
      </c>
      <c r="G75" s="12">
        <v>1</v>
      </c>
      <c r="H75" s="8">
        <v>5</v>
      </c>
      <c r="I75" s="12">
        <v>0</v>
      </c>
    </row>
    <row r="76" spans="2:9" ht="15" customHeight="1" x14ac:dyDescent="0.2">
      <c r="B76" t="s">
        <v>446</v>
      </c>
      <c r="C76" s="12">
        <v>1</v>
      </c>
      <c r="D76" s="8">
        <v>1.54</v>
      </c>
      <c r="E76" s="12">
        <v>1</v>
      </c>
      <c r="F76" s="8">
        <v>2.38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421</v>
      </c>
      <c r="C77" s="12">
        <v>1</v>
      </c>
      <c r="D77" s="8">
        <v>1.54</v>
      </c>
      <c r="E77" s="12">
        <v>0</v>
      </c>
      <c r="F77" s="8">
        <v>0</v>
      </c>
      <c r="G77" s="12">
        <v>1</v>
      </c>
      <c r="H77" s="8">
        <v>5</v>
      </c>
      <c r="I77" s="12">
        <v>0</v>
      </c>
    </row>
    <row r="78" spans="2:9" ht="15" customHeight="1" x14ac:dyDescent="0.2">
      <c r="B78" t="s">
        <v>332</v>
      </c>
      <c r="C78" s="12">
        <v>1</v>
      </c>
      <c r="D78" s="8">
        <v>1.54</v>
      </c>
      <c r="E78" s="12">
        <v>1</v>
      </c>
      <c r="F78" s="8">
        <v>2.38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329</v>
      </c>
      <c r="C79" s="12">
        <v>1</v>
      </c>
      <c r="D79" s="8">
        <v>1.54</v>
      </c>
      <c r="E79" s="12">
        <v>1</v>
      </c>
      <c r="F79" s="8">
        <v>2.38</v>
      </c>
      <c r="G79" s="12">
        <v>0</v>
      </c>
      <c r="H79" s="8">
        <v>0</v>
      </c>
      <c r="I79" s="12">
        <v>0</v>
      </c>
    </row>
    <row r="80" spans="2:9" ht="15" customHeight="1" x14ac:dyDescent="0.2">
      <c r="B80" t="s">
        <v>292</v>
      </c>
      <c r="C80" s="12">
        <v>1</v>
      </c>
      <c r="D80" s="8">
        <v>1.54</v>
      </c>
      <c r="E80" s="12">
        <v>1</v>
      </c>
      <c r="F80" s="8">
        <v>2.38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389</v>
      </c>
      <c r="C81" s="12">
        <v>1</v>
      </c>
      <c r="D81" s="8">
        <v>1.54</v>
      </c>
      <c r="E81" s="12">
        <v>1</v>
      </c>
      <c r="F81" s="8">
        <v>2.38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335</v>
      </c>
      <c r="C82" s="12">
        <v>1</v>
      </c>
      <c r="D82" s="8">
        <v>1.54</v>
      </c>
      <c r="E82" s="12">
        <v>1</v>
      </c>
      <c r="F82" s="8">
        <v>2.38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401</v>
      </c>
      <c r="C83" s="12">
        <v>1</v>
      </c>
      <c r="D83" s="8">
        <v>1.54</v>
      </c>
      <c r="E83" s="12">
        <v>1</v>
      </c>
      <c r="F83" s="8">
        <v>2.38</v>
      </c>
      <c r="G83" s="12">
        <v>0</v>
      </c>
      <c r="H83" s="8">
        <v>0</v>
      </c>
      <c r="I83" s="12">
        <v>0</v>
      </c>
    </row>
    <row r="84" spans="2:9" ht="15" customHeight="1" x14ac:dyDescent="0.2">
      <c r="B84" t="s">
        <v>402</v>
      </c>
      <c r="C84" s="12">
        <v>1</v>
      </c>
      <c r="D84" s="8">
        <v>1.54</v>
      </c>
      <c r="E84" s="12">
        <v>0</v>
      </c>
      <c r="F84" s="8">
        <v>0</v>
      </c>
      <c r="G84" s="12">
        <v>1</v>
      </c>
      <c r="H84" s="8">
        <v>5</v>
      </c>
      <c r="I84" s="12">
        <v>0</v>
      </c>
    </row>
    <row r="85" spans="2:9" ht="15" customHeight="1" x14ac:dyDescent="0.2">
      <c r="B85" t="s">
        <v>294</v>
      </c>
      <c r="C85" s="12">
        <v>1</v>
      </c>
      <c r="D85" s="8">
        <v>1.54</v>
      </c>
      <c r="E85" s="12">
        <v>0</v>
      </c>
      <c r="F85" s="8">
        <v>0</v>
      </c>
      <c r="G85" s="12">
        <v>1</v>
      </c>
      <c r="H85" s="8">
        <v>5</v>
      </c>
      <c r="I85" s="12">
        <v>0</v>
      </c>
    </row>
    <row r="86" spans="2:9" ht="15" customHeight="1" x14ac:dyDescent="0.2">
      <c r="B86" t="s">
        <v>372</v>
      </c>
      <c r="C86" s="12">
        <v>1</v>
      </c>
      <c r="D86" s="8">
        <v>1.54</v>
      </c>
      <c r="E86" s="12">
        <v>1</v>
      </c>
      <c r="F86" s="8">
        <v>2.38</v>
      </c>
      <c r="G86" s="12">
        <v>0</v>
      </c>
      <c r="H86" s="8">
        <v>0</v>
      </c>
      <c r="I86" s="12">
        <v>0</v>
      </c>
    </row>
    <row r="87" spans="2:9" ht="15" customHeight="1" x14ac:dyDescent="0.2">
      <c r="B87" t="s">
        <v>415</v>
      </c>
      <c r="C87" s="12">
        <v>1</v>
      </c>
      <c r="D87" s="8">
        <v>1.54</v>
      </c>
      <c r="E87" s="12">
        <v>0</v>
      </c>
      <c r="F87" s="8">
        <v>0</v>
      </c>
      <c r="G87" s="12">
        <v>1</v>
      </c>
      <c r="H87" s="8">
        <v>5</v>
      </c>
      <c r="I87" s="12">
        <v>0</v>
      </c>
    </row>
    <row r="88" spans="2:9" ht="15" customHeight="1" x14ac:dyDescent="0.2">
      <c r="B88" t="s">
        <v>298</v>
      </c>
      <c r="C88" s="12">
        <v>1</v>
      </c>
      <c r="D88" s="8">
        <v>1.54</v>
      </c>
      <c r="E88" s="12">
        <v>0</v>
      </c>
      <c r="F88" s="8">
        <v>0</v>
      </c>
      <c r="G88" s="12">
        <v>1</v>
      </c>
      <c r="H88" s="8">
        <v>5</v>
      </c>
      <c r="I88" s="12">
        <v>0</v>
      </c>
    </row>
    <row r="89" spans="2:9" ht="15" customHeight="1" x14ac:dyDescent="0.2">
      <c r="B89" t="s">
        <v>409</v>
      </c>
      <c r="C89" s="12">
        <v>1</v>
      </c>
      <c r="D89" s="8">
        <v>1.54</v>
      </c>
      <c r="E89" s="12">
        <v>1</v>
      </c>
      <c r="F89" s="8">
        <v>2.38</v>
      </c>
      <c r="G89" s="12">
        <v>0</v>
      </c>
      <c r="H89" s="8">
        <v>0</v>
      </c>
      <c r="I89" s="12">
        <v>0</v>
      </c>
    </row>
    <row r="90" spans="2:9" ht="15" customHeight="1" x14ac:dyDescent="0.2">
      <c r="B90" t="s">
        <v>349</v>
      </c>
      <c r="C90" s="12">
        <v>1</v>
      </c>
      <c r="D90" s="8">
        <v>1.54</v>
      </c>
      <c r="E90" s="12">
        <v>1</v>
      </c>
      <c r="F90" s="8">
        <v>2.38</v>
      </c>
      <c r="G90" s="12">
        <v>0</v>
      </c>
      <c r="H90" s="8">
        <v>0</v>
      </c>
      <c r="I90" s="12">
        <v>0</v>
      </c>
    </row>
    <row r="91" spans="2:9" ht="15" customHeight="1" x14ac:dyDescent="0.2">
      <c r="B91" t="s">
        <v>323</v>
      </c>
      <c r="C91" s="12">
        <v>1</v>
      </c>
      <c r="D91" s="8">
        <v>1.54</v>
      </c>
      <c r="E91" s="12">
        <v>1</v>
      </c>
      <c r="F91" s="8">
        <v>2.38</v>
      </c>
      <c r="G91" s="12">
        <v>0</v>
      </c>
      <c r="H91" s="8">
        <v>0</v>
      </c>
      <c r="I91" s="12">
        <v>0</v>
      </c>
    </row>
    <row r="92" spans="2:9" ht="15" customHeight="1" x14ac:dyDescent="0.2">
      <c r="B92" t="s">
        <v>411</v>
      </c>
      <c r="C92" s="12">
        <v>1</v>
      </c>
      <c r="D92" s="8">
        <v>1.54</v>
      </c>
      <c r="E92" s="12">
        <v>0</v>
      </c>
      <c r="F92" s="8">
        <v>0</v>
      </c>
      <c r="G92" s="12">
        <v>1</v>
      </c>
      <c r="H92" s="8">
        <v>5</v>
      </c>
      <c r="I92" s="12">
        <v>0</v>
      </c>
    </row>
    <row r="93" spans="2:9" ht="15" customHeight="1" x14ac:dyDescent="0.2">
      <c r="B93" t="s">
        <v>340</v>
      </c>
      <c r="C93" s="12">
        <v>1</v>
      </c>
      <c r="D93" s="8">
        <v>1.54</v>
      </c>
      <c r="E93" s="12">
        <v>0</v>
      </c>
      <c r="F93" s="8">
        <v>0</v>
      </c>
      <c r="G93" s="12">
        <v>1</v>
      </c>
      <c r="H93" s="8">
        <v>5</v>
      </c>
      <c r="I93" s="12">
        <v>0</v>
      </c>
    </row>
    <row r="94" spans="2:9" ht="15" customHeight="1" x14ac:dyDescent="0.2">
      <c r="B94" t="s">
        <v>369</v>
      </c>
      <c r="C94" s="12">
        <v>1</v>
      </c>
      <c r="D94" s="8">
        <v>1.54</v>
      </c>
      <c r="E94" s="12">
        <v>0</v>
      </c>
      <c r="F94" s="8">
        <v>0</v>
      </c>
      <c r="G94" s="12">
        <v>1</v>
      </c>
      <c r="H94" s="8">
        <v>5</v>
      </c>
      <c r="I94" s="12">
        <v>0</v>
      </c>
    </row>
    <row r="95" spans="2:9" ht="15" customHeight="1" x14ac:dyDescent="0.2">
      <c r="B95" t="s">
        <v>370</v>
      </c>
      <c r="C95" s="12">
        <v>1</v>
      </c>
      <c r="D95" s="8">
        <v>1.54</v>
      </c>
      <c r="E95" s="12">
        <v>0</v>
      </c>
      <c r="F95" s="8">
        <v>0</v>
      </c>
      <c r="G95" s="12">
        <v>1</v>
      </c>
      <c r="H95" s="8">
        <v>5</v>
      </c>
      <c r="I95" s="12">
        <v>0</v>
      </c>
    </row>
    <row r="97" spans="2:2" ht="15" customHeight="1" x14ac:dyDescent="0.2">
      <c r="B9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BC30A-77BE-4397-91C6-3FB1AD02156E}">
  <sheetPr>
    <pageSetUpPr fitToPage="1"/>
  </sheetPr>
  <dimension ref="B2:I87"/>
  <sheetViews>
    <sheetView workbookViewId="0">
      <selection activeCell="B2" sqref="B2"/>
    </sheetView>
  </sheetViews>
  <sheetFormatPr defaultRowHeight="15" customHeight="1" x14ac:dyDescent="0.2"/>
  <cols>
    <col min="1" max="1" width="3.6640625" customWidth="1"/>
    <col min="2" max="2" width="40.77734375" customWidth="1"/>
    <col min="3" max="9" width="13.5546875" customWidth="1"/>
  </cols>
  <sheetData>
    <row r="2" spans="2:9" ht="15" customHeight="1" x14ac:dyDescent="0.2">
      <c r="B2" t="s">
        <v>626</v>
      </c>
    </row>
    <row r="4" spans="2:9" ht="33" customHeight="1" x14ac:dyDescent="0.2">
      <c r="B4" t="s">
        <v>528</v>
      </c>
      <c r="C4" s="10" t="s">
        <v>206</v>
      </c>
      <c r="D4" s="10" t="s">
        <v>207</v>
      </c>
      <c r="E4" s="10" t="s">
        <v>208</v>
      </c>
      <c r="F4" s="10" t="s">
        <v>209</v>
      </c>
      <c r="G4" s="10" t="s">
        <v>210</v>
      </c>
      <c r="H4" s="10" t="s">
        <v>211</v>
      </c>
      <c r="I4" s="10" t="s">
        <v>212</v>
      </c>
    </row>
    <row r="5" spans="2:9" ht="15" customHeight="1" x14ac:dyDescent="0.2">
      <c r="B5" t="s">
        <v>190</v>
      </c>
      <c r="C5" s="12">
        <v>0</v>
      </c>
      <c r="D5" s="8">
        <v>0</v>
      </c>
      <c r="E5" s="12">
        <v>0</v>
      </c>
      <c r="F5" s="8">
        <v>0</v>
      </c>
      <c r="G5" s="12">
        <v>0</v>
      </c>
      <c r="H5" s="8">
        <v>0</v>
      </c>
      <c r="I5" s="12">
        <v>0</v>
      </c>
    </row>
    <row r="6" spans="2:9" ht="15" customHeight="1" x14ac:dyDescent="0.2">
      <c r="B6" t="s">
        <v>191</v>
      </c>
      <c r="C6" s="12">
        <v>10</v>
      </c>
      <c r="D6" s="8">
        <v>19.61</v>
      </c>
      <c r="E6" s="12">
        <v>3</v>
      </c>
      <c r="F6" s="8">
        <v>10.71</v>
      </c>
      <c r="G6" s="12">
        <v>7</v>
      </c>
      <c r="H6" s="8">
        <v>30.43</v>
      </c>
      <c r="I6" s="12">
        <v>0</v>
      </c>
    </row>
    <row r="7" spans="2:9" ht="15" customHeight="1" x14ac:dyDescent="0.2">
      <c r="B7" t="s">
        <v>192</v>
      </c>
      <c r="C7" s="12">
        <v>1</v>
      </c>
      <c r="D7" s="8">
        <v>1.96</v>
      </c>
      <c r="E7" s="12">
        <v>1</v>
      </c>
      <c r="F7" s="8">
        <v>3.57</v>
      </c>
      <c r="G7" s="12">
        <v>0</v>
      </c>
      <c r="H7" s="8">
        <v>0</v>
      </c>
      <c r="I7" s="12">
        <v>0</v>
      </c>
    </row>
    <row r="8" spans="2:9" ht="15" customHeight="1" x14ac:dyDescent="0.2">
      <c r="B8" t="s">
        <v>193</v>
      </c>
      <c r="C8" s="12">
        <v>1</v>
      </c>
      <c r="D8" s="8">
        <v>1.96</v>
      </c>
      <c r="E8" s="12">
        <v>0</v>
      </c>
      <c r="F8" s="8">
        <v>0</v>
      </c>
      <c r="G8" s="12">
        <v>1</v>
      </c>
      <c r="H8" s="8">
        <v>4.3499999999999996</v>
      </c>
      <c r="I8" s="12">
        <v>0</v>
      </c>
    </row>
    <row r="9" spans="2:9" ht="15" customHeight="1" x14ac:dyDescent="0.2">
      <c r="B9" t="s">
        <v>194</v>
      </c>
      <c r="C9" s="12">
        <v>0</v>
      </c>
      <c r="D9" s="8">
        <v>0</v>
      </c>
      <c r="E9" s="12">
        <v>0</v>
      </c>
      <c r="F9" s="8">
        <v>0</v>
      </c>
      <c r="G9" s="12">
        <v>0</v>
      </c>
      <c r="H9" s="8">
        <v>0</v>
      </c>
      <c r="I9" s="12">
        <v>0</v>
      </c>
    </row>
    <row r="10" spans="2:9" ht="15" customHeight="1" x14ac:dyDescent="0.2">
      <c r="B10" t="s">
        <v>195</v>
      </c>
      <c r="C10" s="12">
        <v>2</v>
      </c>
      <c r="D10" s="8">
        <v>3.92</v>
      </c>
      <c r="E10" s="12">
        <v>0</v>
      </c>
      <c r="F10" s="8">
        <v>0</v>
      </c>
      <c r="G10" s="12">
        <v>2</v>
      </c>
      <c r="H10" s="8">
        <v>8.6999999999999993</v>
      </c>
      <c r="I10" s="12">
        <v>0</v>
      </c>
    </row>
    <row r="11" spans="2:9" ht="15" customHeight="1" x14ac:dyDescent="0.2">
      <c r="B11" t="s">
        <v>196</v>
      </c>
      <c r="C11" s="12">
        <v>14</v>
      </c>
      <c r="D11" s="8">
        <v>27.45</v>
      </c>
      <c r="E11" s="12">
        <v>5</v>
      </c>
      <c r="F11" s="8">
        <v>17.86</v>
      </c>
      <c r="G11" s="12">
        <v>9</v>
      </c>
      <c r="H11" s="8">
        <v>39.130000000000003</v>
      </c>
      <c r="I11" s="12">
        <v>0</v>
      </c>
    </row>
    <row r="12" spans="2:9" ht="15" customHeight="1" x14ac:dyDescent="0.2">
      <c r="B12" t="s">
        <v>197</v>
      </c>
      <c r="C12" s="12">
        <v>0</v>
      </c>
      <c r="D12" s="8">
        <v>0</v>
      </c>
      <c r="E12" s="12">
        <v>0</v>
      </c>
      <c r="F12" s="8">
        <v>0</v>
      </c>
      <c r="G12" s="12">
        <v>0</v>
      </c>
      <c r="H12" s="8">
        <v>0</v>
      </c>
      <c r="I12" s="12">
        <v>0</v>
      </c>
    </row>
    <row r="13" spans="2:9" ht="15" customHeight="1" x14ac:dyDescent="0.2">
      <c r="B13" t="s">
        <v>198</v>
      </c>
      <c r="C13" s="12">
        <v>0</v>
      </c>
      <c r="D13" s="8">
        <v>0</v>
      </c>
      <c r="E13" s="12">
        <v>0</v>
      </c>
      <c r="F13" s="8">
        <v>0</v>
      </c>
      <c r="G13" s="12">
        <v>0</v>
      </c>
      <c r="H13" s="8">
        <v>0</v>
      </c>
      <c r="I13" s="12">
        <v>0</v>
      </c>
    </row>
    <row r="14" spans="2:9" ht="15" customHeight="1" x14ac:dyDescent="0.2">
      <c r="B14" t="s">
        <v>199</v>
      </c>
      <c r="C14" s="12">
        <v>2</v>
      </c>
      <c r="D14" s="8">
        <v>3.92</v>
      </c>
      <c r="E14" s="12">
        <v>2</v>
      </c>
      <c r="F14" s="8">
        <v>7.14</v>
      </c>
      <c r="G14" s="12">
        <v>0</v>
      </c>
      <c r="H14" s="8">
        <v>0</v>
      </c>
      <c r="I14" s="12">
        <v>0</v>
      </c>
    </row>
    <row r="15" spans="2:9" ht="15" customHeight="1" x14ac:dyDescent="0.2">
      <c r="B15" t="s">
        <v>200</v>
      </c>
      <c r="C15" s="12">
        <v>6</v>
      </c>
      <c r="D15" s="8">
        <v>11.76</v>
      </c>
      <c r="E15" s="12">
        <v>5</v>
      </c>
      <c r="F15" s="8">
        <v>17.86</v>
      </c>
      <c r="G15" s="12">
        <v>1</v>
      </c>
      <c r="H15" s="8">
        <v>4.3499999999999996</v>
      </c>
      <c r="I15" s="12">
        <v>0</v>
      </c>
    </row>
    <row r="16" spans="2:9" ht="15" customHeight="1" x14ac:dyDescent="0.2">
      <c r="B16" t="s">
        <v>201</v>
      </c>
      <c r="C16" s="12">
        <v>9</v>
      </c>
      <c r="D16" s="8">
        <v>17.649999999999999</v>
      </c>
      <c r="E16" s="12">
        <v>8</v>
      </c>
      <c r="F16" s="8">
        <v>28.57</v>
      </c>
      <c r="G16" s="12">
        <v>1</v>
      </c>
      <c r="H16" s="8">
        <v>4.3499999999999996</v>
      </c>
      <c r="I16" s="12">
        <v>0</v>
      </c>
    </row>
    <row r="17" spans="2:9" ht="15" customHeight="1" x14ac:dyDescent="0.2">
      <c r="B17" t="s">
        <v>202</v>
      </c>
      <c r="C17" s="12">
        <v>0</v>
      </c>
      <c r="D17" s="8">
        <v>0</v>
      </c>
      <c r="E17" s="12">
        <v>0</v>
      </c>
      <c r="F17" s="8">
        <v>0</v>
      </c>
      <c r="G17" s="12">
        <v>0</v>
      </c>
      <c r="H17" s="8">
        <v>0</v>
      </c>
      <c r="I17" s="12">
        <v>0</v>
      </c>
    </row>
    <row r="18" spans="2:9" ht="15" customHeight="1" x14ac:dyDescent="0.2">
      <c r="B18" t="s">
        <v>203</v>
      </c>
      <c r="C18" s="12">
        <v>3</v>
      </c>
      <c r="D18" s="8">
        <v>5.88</v>
      </c>
      <c r="E18" s="12">
        <v>3</v>
      </c>
      <c r="F18" s="8">
        <v>10.71</v>
      </c>
      <c r="G18" s="12">
        <v>0</v>
      </c>
      <c r="H18" s="8">
        <v>0</v>
      </c>
      <c r="I18" s="12">
        <v>0</v>
      </c>
    </row>
    <row r="19" spans="2:9" ht="15" customHeight="1" x14ac:dyDescent="0.2">
      <c r="B19" t="s">
        <v>204</v>
      </c>
      <c r="C19" s="12">
        <v>3</v>
      </c>
      <c r="D19" s="8">
        <v>5.88</v>
      </c>
      <c r="E19" s="12">
        <v>1</v>
      </c>
      <c r="F19" s="8">
        <v>3.57</v>
      </c>
      <c r="G19" s="12">
        <v>2</v>
      </c>
      <c r="H19" s="8">
        <v>8.6999999999999993</v>
      </c>
      <c r="I19" s="12">
        <v>0</v>
      </c>
    </row>
    <row r="20" spans="2:9" ht="15" customHeight="1" x14ac:dyDescent="0.2">
      <c r="B20" s="9" t="s">
        <v>529</v>
      </c>
      <c r="C20" s="12">
        <f>SUM(LTBL_01436[総数／事業所数])</f>
        <v>51</v>
      </c>
      <c r="E20" s="12">
        <f>SUBTOTAL(109,LTBL_01436[個人／事業所数])</f>
        <v>28</v>
      </c>
      <c r="G20" s="12">
        <f>SUBTOTAL(109,LTBL_01436[法人／事業所数])</f>
        <v>23</v>
      </c>
      <c r="I20" s="12">
        <f>SUBTOTAL(109,LTBL_01436[法人以外の団体／事業所数])</f>
        <v>0</v>
      </c>
    </row>
    <row r="21" spans="2:9" ht="15" customHeight="1" x14ac:dyDescent="0.2">
      <c r="E21" s="11">
        <f>LTBL_01436[[#Totals],[個人／事業所数]]/LTBL_01436[[#Totals],[総数／事業所数]]</f>
        <v>0.5490196078431373</v>
      </c>
      <c r="G21" s="11">
        <f>LTBL_01436[[#Totals],[法人／事業所数]]/LTBL_01436[[#Totals],[総数／事業所数]]</f>
        <v>0.45098039215686275</v>
      </c>
      <c r="I21" s="11">
        <f>LTBL_01436[[#Totals],[法人以外の団体／事業所数]]/LTBL_01436[[#Totals],[総数／事業所数]]</f>
        <v>0</v>
      </c>
    </row>
    <row r="23" spans="2:9" ht="33" customHeight="1" x14ac:dyDescent="0.2">
      <c r="B23" t="s">
        <v>530</v>
      </c>
      <c r="C23" s="10" t="s">
        <v>206</v>
      </c>
      <c r="D23" s="10" t="s">
        <v>207</v>
      </c>
      <c r="E23" s="10" t="s">
        <v>208</v>
      </c>
      <c r="F23" s="10" t="s">
        <v>209</v>
      </c>
      <c r="G23" s="10" t="s">
        <v>210</v>
      </c>
      <c r="H23" s="10" t="s">
        <v>211</v>
      </c>
      <c r="I23" s="10" t="s">
        <v>212</v>
      </c>
    </row>
    <row r="24" spans="2:9" ht="15" customHeight="1" x14ac:dyDescent="0.2">
      <c r="B24" t="s">
        <v>228</v>
      </c>
      <c r="C24" s="12">
        <v>8</v>
      </c>
      <c r="D24" s="8">
        <v>15.69</v>
      </c>
      <c r="E24" s="12">
        <v>7</v>
      </c>
      <c r="F24" s="8">
        <v>25</v>
      </c>
      <c r="G24" s="12">
        <v>1</v>
      </c>
      <c r="H24" s="8">
        <v>4.3499999999999996</v>
      </c>
      <c r="I24" s="12">
        <v>0</v>
      </c>
    </row>
    <row r="25" spans="2:9" ht="15" customHeight="1" x14ac:dyDescent="0.2">
      <c r="B25" t="s">
        <v>213</v>
      </c>
      <c r="C25" s="12">
        <v>6</v>
      </c>
      <c r="D25" s="8">
        <v>11.76</v>
      </c>
      <c r="E25" s="12">
        <v>1</v>
      </c>
      <c r="F25" s="8">
        <v>3.57</v>
      </c>
      <c r="G25" s="12">
        <v>5</v>
      </c>
      <c r="H25" s="8">
        <v>21.74</v>
      </c>
      <c r="I25" s="12">
        <v>0</v>
      </c>
    </row>
    <row r="26" spans="2:9" ht="15" customHeight="1" x14ac:dyDescent="0.2">
      <c r="B26" t="s">
        <v>223</v>
      </c>
      <c r="C26" s="12">
        <v>5</v>
      </c>
      <c r="D26" s="8">
        <v>9.8000000000000007</v>
      </c>
      <c r="E26" s="12">
        <v>1</v>
      </c>
      <c r="F26" s="8">
        <v>3.57</v>
      </c>
      <c r="G26" s="12">
        <v>4</v>
      </c>
      <c r="H26" s="8">
        <v>17.39</v>
      </c>
      <c r="I26" s="12">
        <v>0</v>
      </c>
    </row>
    <row r="27" spans="2:9" ht="15" customHeight="1" x14ac:dyDescent="0.2">
      <c r="B27" t="s">
        <v>227</v>
      </c>
      <c r="C27" s="12">
        <v>4</v>
      </c>
      <c r="D27" s="8">
        <v>7.84</v>
      </c>
      <c r="E27" s="12">
        <v>3</v>
      </c>
      <c r="F27" s="8">
        <v>10.71</v>
      </c>
      <c r="G27" s="12">
        <v>1</v>
      </c>
      <c r="H27" s="8">
        <v>4.3499999999999996</v>
      </c>
      <c r="I27" s="12">
        <v>0</v>
      </c>
    </row>
    <row r="28" spans="2:9" ht="15" customHeight="1" x14ac:dyDescent="0.2">
      <c r="B28" t="s">
        <v>214</v>
      </c>
      <c r="C28" s="12">
        <v>3</v>
      </c>
      <c r="D28" s="8">
        <v>5.88</v>
      </c>
      <c r="E28" s="12">
        <v>1</v>
      </c>
      <c r="F28" s="8">
        <v>3.57</v>
      </c>
      <c r="G28" s="12">
        <v>2</v>
      </c>
      <c r="H28" s="8">
        <v>8.6999999999999993</v>
      </c>
      <c r="I28" s="12">
        <v>0</v>
      </c>
    </row>
    <row r="29" spans="2:9" ht="15" customHeight="1" x14ac:dyDescent="0.2">
      <c r="B29" t="s">
        <v>222</v>
      </c>
      <c r="C29" s="12">
        <v>3</v>
      </c>
      <c r="D29" s="8">
        <v>5.88</v>
      </c>
      <c r="E29" s="12">
        <v>2</v>
      </c>
      <c r="F29" s="8">
        <v>7.14</v>
      </c>
      <c r="G29" s="12">
        <v>1</v>
      </c>
      <c r="H29" s="8">
        <v>4.3499999999999996</v>
      </c>
      <c r="I29" s="12">
        <v>0</v>
      </c>
    </row>
    <row r="30" spans="2:9" ht="15" customHeight="1" x14ac:dyDescent="0.2">
      <c r="B30" t="s">
        <v>231</v>
      </c>
      <c r="C30" s="12">
        <v>3</v>
      </c>
      <c r="D30" s="8">
        <v>5.88</v>
      </c>
      <c r="E30" s="12">
        <v>3</v>
      </c>
      <c r="F30" s="8">
        <v>10.71</v>
      </c>
      <c r="G30" s="12">
        <v>0</v>
      </c>
      <c r="H30" s="8">
        <v>0</v>
      </c>
      <c r="I30" s="12">
        <v>0</v>
      </c>
    </row>
    <row r="31" spans="2:9" ht="15" customHeight="1" x14ac:dyDescent="0.2">
      <c r="B31" t="s">
        <v>240</v>
      </c>
      <c r="C31" s="12">
        <v>3</v>
      </c>
      <c r="D31" s="8">
        <v>5.88</v>
      </c>
      <c r="E31" s="12">
        <v>1</v>
      </c>
      <c r="F31" s="8">
        <v>3.57</v>
      </c>
      <c r="G31" s="12">
        <v>2</v>
      </c>
      <c r="H31" s="8">
        <v>8.6999999999999993</v>
      </c>
      <c r="I31" s="12">
        <v>0</v>
      </c>
    </row>
    <row r="32" spans="2:9" ht="15" customHeight="1" x14ac:dyDescent="0.2">
      <c r="B32" t="s">
        <v>216</v>
      </c>
      <c r="C32" s="12">
        <v>2</v>
      </c>
      <c r="D32" s="8">
        <v>3.92</v>
      </c>
      <c r="E32" s="12">
        <v>0</v>
      </c>
      <c r="F32" s="8">
        <v>0</v>
      </c>
      <c r="G32" s="12">
        <v>2</v>
      </c>
      <c r="H32" s="8">
        <v>8.6999999999999993</v>
      </c>
      <c r="I32" s="12">
        <v>0</v>
      </c>
    </row>
    <row r="33" spans="2:9" ht="15" customHeight="1" x14ac:dyDescent="0.2">
      <c r="B33" t="s">
        <v>219</v>
      </c>
      <c r="C33" s="12">
        <v>2</v>
      </c>
      <c r="D33" s="8">
        <v>3.92</v>
      </c>
      <c r="E33" s="12">
        <v>0</v>
      </c>
      <c r="F33" s="8">
        <v>0</v>
      </c>
      <c r="G33" s="12">
        <v>2</v>
      </c>
      <c r="H33" s="8">
        <v>8.6999999999999993</v>
      </c>
      <c r="I33" s="12">
        <v>0</v>
      </c>
    </row>
    <row r="34" spans="2:9" ht="15" customHeight="1" x14ac:dyDescent="0.2">
      <c r="B34" t="s">
        <v>243</v>
      </c>
      <c r="C34" s="12">
        <v>2</v>
      </c>
      <c r="D34" s="8">
        <v>3.92</v>
      </c>
      <c r="E34" s="12">
        <v>2</v>
      </c>
      <c r="F34" s="8">
        <v>7.14</v>
      </c>
      <c r="G34" s="12">
        <v>0</v>
      </c>
      <c r="H34" s="8">
        <v>0</v>
      </c>
      <c r="I34" s="12">
        <v>0</v>
      </c>
    </row>
    <row r="35" spans="2:9" ht="15" customHeight="1" x14ac:dyDescent="0.2">
      <c r="B35" t="s">
        <v>215</v>
      </c>
      <c r="C35" s="12">
        <v>1</v>
      </c>
      <c r="D35" s="8">
        <v>1.96</v>
      </c>
      <c r="E35" s="12">
        <v>1</v>
      </c>
      <c r="F35" s="8">
        <v>3.57</v>
      </c>
      <c r="G35" s="12">
        <v>0</v>
      </c>
      <c r="H35" s="8">
        <v>0</v>
      </c>
      <c r="I35" s="12">
        <v>0</v>
      </c>
    </row>
    <row r="36" spans="2:9" ht="15" customHeight="1" x14ac:dyDescent="0.2">
      <c r="B36" t="s">
        <v>241</v>
      </c>
      <c r="C36" s="12">
        <v>1</v>
      </c>
      <c r="D36" s="8">
        <v>1.96</v>
      </c>
      <c r="E36" s="12">
        <v>1</v>
      </c>
      <c r="F36" s="8">
        <v>3.57</v>
      </c>
      <c r="G36" s="12">
        <v>0</v>
      </c>
      <c r="H36" s="8">
        <v>0</v>
      </c>
      <c r="I36" s="12">
        <v>0</v>
      </c>
    </row>
    <row r="37" spans="2:9" ht="15" customHeight="1" x14ac:dyDescent="0.2">
      <c r="B37" t="s">
        <v>255</v>
      </c>
      <c r="C37" s="12">
        <v>1</v>
      </c>
      <c r="D37" s="8">
        <v>1.96</v>
      </c>
      <c r="E37" s="12">
        <v>0</v>
      </c>
      <c r="F37" s="8">
        <v>0</v>
      </c>
      <c r="G37" s="12">
        <v>1</v>
      </c>
      <c r="H37" s="8">
        <v>4.3499999999999996</v>
      </c>
      <c r="I37" s="12">
        <v>0</v>
      </c>
    </row>
    <row r="38" spans="2:9" ht="15" customHeight="1" x14ac:dyDescent="0.2">
      <c r="B38" t="s">
        <v>238</v>
      </c>
      <c r="C38" s="12">
        <v>1</v>
      </c>
      <c r="D38" s="8">
        <v>1.96</v>
      </c>
      <c r="E38" s="12">
        <v>0</v>
      </c>
      <c r="F38" s="8">
        <v>0</v>
      </c>
      <c r="G38" s="12">
        <v>1</v>
      </c>
      <c r="H38" s="8">
        <v>4.3499999999999996</v>
      </c>
      <c r="I38" s="12">
        <v>0</v>
      </c>
    </row>
    <row r="39" spans="2:9" ht="15" customHeight="1" x14ac:dyDescent="0.2">
      <c r="B39" t="s">
        <v>248</v>
      </c>
      <c r="C39" s="12">
        <v>1</v>
      </c>
      <c r="D39" s="8">
        <v>1.96</v>
      </c>
      <c r="E39" s="12">
        <v>0</v>
      </c>
      <c r="F39" s="8">
        <v>0</v>
      </c>
      <c r="G39" s="12">
        <v>1</v>
      </c>
      <c r="H39" s="8">
        <v>4.3499999999999996</v>
      </c>
      <c r="I39" s="12">
        <v>0</v>
      </c>
    </row>
    <row r="40" spans="2:9" ht="15" customHeight="1" x14ac:dyDescent="0.2">
      <c r="B40" t="s">
        <v>220</v>
      </c>
      <c r="C40" s="12">
        <v>1</v>
      </c>
      <c r="D40" s="8">
        <v>1.96</v>
      </c>
      <c r="E40" s="12">
        <v>1</v>
      </c>
      <c r="F40" s="8">
        <v>3.57</v>
      </c>
      <c r="G40" s="12">
        <v>0</v>
      </c>
      <c r="H40" s="8">
        <v>0</v>
      </c>
      <c r="I40" s="12">
        <v>0</v>
      </c>
    </row>
    <row r="41" spans="2:9" ht="15" customHeight="1" x14ac:dyDescent="0.2">
      <c r="B41" t="s">
        <v>221</v>
      </c>
      <c r="C41" s="12">
        <v>1</v>
      </c>
      <c r="D41" s="8">
        <v>1.96</v>
      </c>
      <c r="E41" s="12">
        <v>1</v>
      </c>
      <c r="F41" s="8">
        <v>3.57</v>
      </c>
      <c r="G41" s="12">
        <v>0</v>
      </c>
      <c r="H41" s="8">
        <v>0</v>
      </c>
      <c r="I41" s="12">
        <v>0</v>
      </c>
    </row>
    <row r="42" spans="2:9" ht="15" customHeight="1" x14ac:dyDescent="0.2">
      <c r="B42" t="s">
        <v>225</v>
      </c>
      <c r="C42" s="12">
        <v>1</v>
      </c>
      <c r="D42" s="8">
        <v>1.96</v>
      </c>
      <c r="E42" s="12">
        <v>1</v>
      </c>
      <c r="F42" s="8">
        <v>3.57</v>
      </c>
      <c r="G42" s="12">
        <v>0</v>
      </c>
      <c r="H42" s="8">
        <v>0</v>
      </c>
      <c r="I42" s="12">
        <v>0</v>
      </c>
    </row>
    <row r="43" spans="2:9" ht="15" customHeight="1" x14ac:dyDescent="0.2">
      <c r="B43" t="s">
        <v>226</v>
      </c>
      <c r="C43" s="12">
        <v>1</v>
      </c>
      <c r="D43" s="8">
        <v>1.96</v>
      </c>
      <c r="E43" s="12">
        <v>1</v>
      </c>
      <c r="F43" s="8">
        <v>3.57</v>
      </c>
      <c r="G43" s="12">
        <v>0</v>
      </c>
      <c r="H43" s="8">
        <v>0</v>
      </c>
      <c r="I43" s="12">
        <v>0</v>
      </c>
    </row>
    <row r="44" spans="2:9" ht="15" customHeight="1" x14ac:dyDescent="0.2">
      <c r="B44" t="s">
        <v>247</v>
      </c>
      <c r="C44" s="12">
        <v>1</v>
      </c>
      <c r="D44" s="8">
        <v>1.96</v>
      </c>
      <c r="E44" s="12">
        <v>1</v>
      </c>
      <c r="F44" s="8">
        <v>3.57</v>
      </c>
      <c r="G44" s="12">
        <v>0</v>
      </c>
      <c r="H44" s="8">
        <v>0</v>
      </c>
      <c r="I44" s="12">
        <v>0</v>
      </c>
    </row>
    <row r="47" spans="2:9" ht="33" customHeight="1" x14ac:dyDescent="0.2">
      <c r="B47" t="s">
        <v>531</v>
      </c>
      <c r="C47" s="10" t="s">
        <v>206</v>
      </c>
      <c r="D47" s="10" t="s">
        <v>207</v>
      </c>
      <c r="E47" s="10" t="s">
        <v>208</v>
      </c>
      <c r="F47" s="10" t="s">
        <v>209</v>
      </c>
      <c r="G47" s="10" t="s">
        <v>210</v>
      </c>
      <c r="H47" s="10" t="s">
        <v>211</v>
      </c>
      <c r="I47" s="10" t="s">
        <v>212</v>
      </c>
    </row>
    <row r="48" spans="2:9" ht="15" customHeight="1" x14ac:dyDescent="0.2">
      <c r="B48" t="s">
        <v>304</v>
      </c>
      <c r="C48" s="12">
        <v>4</v>
      </c>
      <c r="D48" s="8">
        <v>7.84</v>
      </c>
      <c r="E48" s="12">
        <v>4</v>
      </c>
      <c r="F48" s="8">
        <v>14.29</v>
      </c>
      <c r="G48" s="12">
        <v>0</v>
      </c>
      <c r="H48" s="8">
        <v>0</v>
      </c>
      <c r="I48" s="12">
        <v>0</v>
      </c>
    </row>
    <row r="49" spans="2:9" ht="15" customHeight="1" x14ac:dyDescent="0.2">
      <c r="B49" t="s">
        <v>288</v>
      </c>
      <c r="C49" s="12">
        <v>3</v>
      </c>
      <c r="D49" s="8">
        <v>5.88</v>
      </c>
      <c r="E49" s="12">
        <v>1</v>
      </c>
      <c r="F49" s="8">
        <v>3.57</v>
      </c>
      <c r="G49" s="12">
        <v>2</v>
      </c>
      <c r="H49" s="8">
        <v>8.6999999999999993</v>
      </c>
      <c r="I49" s="12">
        <v>0</v>
      </c>
    </row>
    <row r="50" spans="2:9" ht="15" customHeight="1" x14ac:dyDescent="0.2">
      <c r="B50" t="s">
        <v>303</v>
      </c>
      <c r="C50" s="12">
        <v>3</v>
      </c>
      <c r="D50" s="8">
        <v>5.88</v>
      </c>
      <c r="E50" s="12">
        <v>3</v>
      </c>
      <c r="F50" s="8">
        <v>10.71</v>
      </c>
      <c r="G50" s="12">
        <v>0</v>
      </c>
      <c r="H50" s="8">
        <v>0</v>
      </c>
      <c r="I50" s="12">
        <v>0</v>
      </c>
    </row>
    <row r="51" spans="2:9" ht="15" customHeight="1" x14ac:dyDescent="0.2">
      <c r="B51" t="s">
        <v>307</v>
      </c>
      <c r="C51" s="12">
        <v>3</v>
      </c>
      <c r="D51" s="8">
        <v>5.88</v>
      </c>
      <c r="E51" s="12">
        <v>1</v>
      </c>
      <c r="F51" s="8">
        <v>3.57</v>
      </c>
      <c r="G51" s="12">
        <v>2</v>
      </c>
      <c r="H51" s="8">
        <v>8.6999999999999993</v>
      </c>
      <c r="I51" s="12">
        <v>0</v>
      </c>
    </row>
    <row r="52" spans="2:9" ht="15" customHeight="1" x14ac:dyDescent="0.2">
      <c r="B52" t="s">
        <v>324</v>
      </c>
      <c r="C52" s="12">
        <v>2</v>
      </c>
      <c r="D52" s="8">
        <v>3.92</v>
      </c>
      <c r="E52" s="12">
        <v>0</v>
      </c>
      <c r="F52" s="8">
        <v>0</v>
      </c>
      <c r="G52" s="12">
        <v>2</v>
      </c>
      <c r="H52" s="8">
        <v>8.6999999999999993</v>
      </c>
      <c r="I52" s="12">
        <v>0</v>
      </c>
    </row>
    <row r="53" spans="2:9" ht="15" customHeight="1" x14ac:dyDescent="0.2">
      <c r="B53" t="s">
        <v>335</v>
      </c>
      <c r="C53" s="12">
        <v>2</v>
      </c>
      <c r="D53" s="8">
        <v>3.92</v>
      </c>
      <c r="E53" s="12">
        <v>2</v>
      </c>
      <c r="F53" s="8">
        <v>7.14</v>
      </c>
      <c r="G53" s="12">
        <v>0</v>
      </c>
      <c r="H53" s="8">
        <v>0</v>
      </c>
      <c r="I53" s="12">
        <v>0</v>
      </c>
    </row>
    <row r="54" spans="2:9" ht="15" customHeight="1" x14ac:dyDescent="0.2">
      <c r="B54" t="s">
        <v>339</v>
      </c>
      <c r="C54" s="12">
        <v>2</v>
      </c>
      <c r="D54" s="8">
        <v>3.92</v>
      </c>
      <c r="E54" s="12">
        <v>2</v>
      </c>
      <c r="F54" s="8">
        <v>7.14</v>
      </c>
      <c r="G54" s="12">
        <v>0</v>
      </c>
      <c r="H54" s="8">
        <v>0</v>
      </c>
      <c r="I54" s="12">
        <v>0</v>
      </c>
    </row>
    <row r="55" spans="2:9" ht="15" customHeight="1" x14ac:dyDescent="0.2">
      <c r="B55" t="s">
        <v>306</v>
      </c>
      <c r="C55" s="12">
        <v>2</v>
      </c>
      <c r="D55" s="8">
        <v>3.92</v>
      </c>
      <c r="E55" s="12">
        <v>2</v>
      </c>
      <c r="F55" s="8">
        <v>7.14</v>
      </c>
      <c r="G55" s="12">
        <v>0</v>
      </c>
      <c r="H55" s="8">
        <v>0</v>
      </c>
      <c r="I55" s="12">
        <v>0</v>
      </c>
    </row>
    <row r="56" spans="2:9" ht="15" customHeight="1" x14ac:dyDescent="0.2">
      <c r="B56" t="s">
        <v>289</v>
      </c>
      <c r="C56" s="12">
        <v>1</v>
      </c>
      <c r="D56" s="8">
        <v>1.96</v>
      </c>
      <c r="E56" s="12">
        <v>0</v>
      </c>
      <c r="F56" s="8">
        <v>0</v>
      </c>
      <c r="G56" s="12">
        <v>1</v>
      </c>
      <c r="H56" s="8">
        <v>4.3499999999999996</v>
      </c>
      <c r="I56" s="12">
        <v>0</v>
      </c>
    </row>
    <row r="57" spans="2:9" ht="15" customHeight="1" x14ac:dyDescent="0.2">
      <c r="B57" t="s">
        <v>328</v>
      </c>
      <c r="C57" s="12">
        <v>1</v>
      </c>
      <c r="D57" s="8">
        <v>1.96</v>
      </c>
      <c r="E57" s="12">
        <v>0</v>
      </c>
      <c r="F57" s="8">
        <v>0</v>
      </c>
      <c r="G57" s="12">
        <v>1</v>
      </c>
      <c r="H57" s="8">
        <v>4.3499999999999996</v>
      </c>
      <c r="I57" s="12">
        <v>0</v>
      </c>
    </row>
    <row r="58" spans="2:9" ht="15" customHeight="1" x14ac:dyDescent="0.2">
      <c r="B58" t="s">
        <v>319</v>
      </c>
      <c r="C58" s="12">
        <v>1</v>
      </c>
      <c r="D58" s="8">
        <v>1.96</v>
      </c>
      <c r="E58" s="12">
        <v>0</v>
      </c>
      <c r="F58" s="8">
        <v>0</v>
      </c>
      <c r="G58" s="12">
        <v>1</v>
      </c>
      <c r="H58" s="8">
        <v>4.3499999999999996</v>
      </c>
      <c r="I58" s="12">
        <v>0</v>
      </c>
    </row>
    <row r="59" spans="2:9" ht="15" customHeight="1" x14ac:dyDescent="0.2">
      <c r="B59" t="s">
        <v>353</v>
      </c>
      <c r="C59" s="12">
        <v>1</v>
      </c>
      <c r="D59" s="8">
        <v>1.96</v>
      </c>
      <c r="E59" s="12">
        <v>0</v>
      </c>
      <c r="F59" s="8">
        <v>0</v>
      </c>
      <c r="G59" s="12">
        <v>1</v>
      </c>
      <c r="H59" s="8">
        <v>4.3499999999999996</v>
      </c>
      <c r="I59" s="12">
        <v>0</v>
      </c>
    </row>
    <row r="60" spans="2:9" ht="15" customHeight="1" x14ac:dyDescent="0.2">
      <c r="B60" t="s">
        <v>393</v>
      </c>
      <c r="C60" s="12">
        <v>1</v>
      </c>
      <c r="D60" s="8">
        <v>1.96</v>
      </c>
      <c r="E60" s="12">
        <v>1</v>
      </c>
      <c r="F60" s="8">
        <v>3.57</v>
      </c>
      <c r="G60" s="12">
        <v>0</v>
      </c>
      <c r="H60" s="8">
        <v>0</v>
      </c>
      <c r="I60" s="12">
        <v>0</v>
      </c>
    </row>
    <row r="61" spans="2:9" ht="15" customHeight="1" x14ac:dyDescent="0.2">
      <c r="B61" t="s">
        <v>333</v>
      </c>
      <c r="C61" s="12">
        <v>1</v>
      </c>
      <c r="D61" s="8">
        <v>1.96</v>
      </c>
      <c r="E61" s="12">
        <v>0</v>
      </c>
      <c r="F61" s="8">
        <v>0</v>
      </c>
      <c r="G61" s="12">
        <v>1</v>
      </c>
      <c r="H61" s="8">
        <v>4.3499999999999996</v>
      </c>
      <c r="I61" s="12">
        <v>0</v>
      </c>
    </row>
    <row r="62" spans="2:9" ht="15" customHeight="1" x14ac:dyDescent="0.2">
      <c r="B62" t="s">
        <v>290</v>
      </c>
      <c r="C62" s="12">
        <v>1</v>
      </c>
      <c r="D62" s="8">
        <v>1.96</v>
      </c>
      <c r="E62" s="12">
        <v>1</v>
      </c>
      <c r="F62" s="8">
        <v>3.57</v>
      </c>
      <c r="G62" s="12">
        <v>0</v>
      </c>
      <c r="H62" s="8">
        <v>0</v>
      </c>
      <c r="I62" s="12">
        <v>0</v>
      </c>
    </row>
    <row r="63" spans="2:9" ht="15" customHeight="1" x14ac:dyDescent="0.2">
      <c r="B63" t="s">
        <v>376</v>
      </c>
      <c r="C63" s="12">
        <v>1</v>
      </c>
      <c r="D63" s="8">
        <v>1.96</v>
      </c>
      <c r="E63" s="12">
        <v>1</v>
      </c>
      <c r="F63" s="8">
        <v>3.57</v>
      </c>
      <c r="G63" s="12">
        <v>0</v>
      </c>
      <c r="H63" s="8">
        <v>0</v>
      </c>
      <c r="I63" s="12">
        <v>0</v>
      </c>
    </row>
    <row r="64" spans="2:9" ht="15" customHeight="1" x14ac:dyDescent="0.2">
      <c r="B64" t="s">
        <v>407</v>
      </c>
      <c r="C64" s="12">
        <v>1</v>
      </c>
      <c r="D64" s="8">
        <v>1.96</v>
      </c>
      <c r="E64" s="12">
        <v>0</v>
      </c>
      <c r="F64" s="8">
        <v>0</v>
      </c>
      <c r="G64" s="12">
        <v>1</v>
      </c>
      <c r="H64" s="8">
        <v>4.3499999999999996</v>
      </c>
      <c r="I64" s="12">
        <v>0</v>
      </c>
    </row>
    <row r="65" spans="2:9" ht="15" customHeight="1" x14ac:dyDescent="0.2">
      <c r="B65" t="s">
        <v>326</v>
      </c>
      <c r="C65" s="12">
        <v>1</v>
      </c>
      <c r="D65" s="8">
        <v>1.96</v>
      </c>
      <c r="E65" s="12">
        <v>0</v>
      </c>
      <c r="F65" s="8">
        <v>0</v>
      </c>
      <c r="G65" s="12">
        <v>1</v>
      </c>
      <c r="H65" s="8">
        <v>4.3499999999999996</v>
      </c>
      <c r="I65" s="12">
        <v>0</v>
      </c>
    </row>
    <row r="66" spans="2:9" ht="15" customHeight="1" x14ac:dyDescent="0.2">
      <c r="B66" t="s">
        <v>350</v>
      </c>
      <c r="C66" s="12">
        <v>1</v>
      </c>
      <c r="D66" s="8">
        <v>1.96</v>
      </c>
      <c r="E66" s="12">
        <v>0</v>
      </c>
      <c r="F66" s="8">
        <v>0</v>
      </c>
      <c r="G66" s="12">
        <v>1</v>
      </c>
      <c r="H66" s="8">
        <v>4.3499999999999996</v>
      </c>
      <c r="I66" s="12">
        <v>0</v>
      </c>
    </row>
    <row r="67" spans="2:9" ht="15" customHeight="1" x14ac:dyDescent="0.2">
      <c r="B67" t="s">
        <v>388</v>
      </c>
      <c r="C67" s="12">
        <v>1</v>
      </c>
      <c r="D67" s="8">
        <v>1.96</v>
      </c>
      <c r="E67" s="12">
        <v>0</v>
      </c>
      <c r="F67" s="8">
        <v>0</v>
      </c>
      <c r="G67" s="12">
        <v>1</v>
      </c>
      <c r="H67" s="8">
        <v>4.3499999999999996</v>
      </c>
      <c r="I67" s="12">
        <v>0</v>
      </c>
    </row>
    <row r="68" spans="2:9" ht="15" customHeight="1" x14ac:dyDescent="0.2">
      <c r="B68" t="s">
        <v>309</v>
      </c>
      <c r="C68" s="12">
        <v>1</v>
      </c>
      <c r="D68" s="8">
        <v>1.96</v>
      </c>
      <c r="E68" s="12">
        <v>0</v>
      </c>
      <c r="F68" s="8">
        <v>0</v>
      </c>
      <c r="G68" s="12">
        <v>1</v>
      </c>
      <c r="H68" s="8">
        <v>4.3499999999999996</v>
      </c>
      <c r="I68" s="12">
        <v>0</v>
      </c>
    </row>
    <row r="69" spans="2:9" ht="15" customHeight="1" x14ac:dyDescent="0.2">
      <c r="B69" t="s">
        <v>428</v>
      </c>
      <c r="C69" s="12">
        <v>1</v>
      </c>
      <c r="D69" s="8">
        <v>1.96</v>
      </c>
      <c r="E69" s="12">
        <v>1</v>
      </c>
      <c r="F69" s="8">
        <v>3.57</v>
      </c>
      <c r="G69" s="12">
        <v>0</v>
      </c>
      <c r="H69" s="8">
        <v>0</v>
      </c>
      <c r="I69" s="12">
        <v>0</v>
      </c>
    </row>
    <row r="70" spans="2:9" ht="15" customHeight="1" x14ac:dyDescent="0.2">
      <c r="B70" t="s">
        <v>332</v>
      </c>
      <c r="C70" s="12">
        <v>1</v>
      </c>
      <c r="D70" s="8">
        <v>1.96</v>
      </c>
      <c r="E70" s="12">
        <v>1</v>
      </c>
      <c r="F70" s="8">
        <v>3.57</v>
      </c>
      <c r="G70" s="12">
        <v>0</v>
      </c>
      <c r="H70" s="8">
        <v>0</v>
      </c>
      <c r="I70" s="12">
        <v>0</v>
      </c>
    </row>
    <row r="71" spans="2:9" ht="15" customHeight="1" x14ac:dyDescent="0.2">
      <c r="B71" t="s">
        <v>293</v>
      </c>
      <c r="C71" s="12">
        <v>1</v>
      </c>
      <c r="D71" s="8">
        <v>1.96</v>
      </c>
      <c r="E71" s="12">
        <v>0</v>
      </c>
      <c r="F71" s="8">
        <v>0</v>
      </c>
      <c r="G71" s="12">
        <v>1</v>
      </c>
      <c r="H71" s="8">
        <v>4.3499999999999996</v>
      </c>
      <c r="I71" s="12">
        <v>0</v>
      </c>
    </row>
    <row r="72" spans="2:9" ht="15" customHeight="1" x14ac:dyDescent="0.2">
      <c r="B72" t="s">
        <v>402</v>
      </c>
      <c r="C72" s="12">
        <v>1</v>
      </c>
      <c r="D72" s="8">
        <v>1.96</v>
      </c>
      <c r="E72" s="12">
        <v>0</v>
      </c>
      <c r="F72" s="8">
        <v>0</v>
      </c>
      <c r="G72" s="12">
        <v>1</v>
      </c>
      <c r="H72" s="8">
        <v>4.3499999999999996</v>
      </c>
      <c r="I72" s="12">
        <v>0</v>
      </c>
    </row>
    <row r="73" spans="2:9" ht="15" customHeight="1" x14ac:dyDescent="0.2">
      <c r="B73" t="s">
        <v>372</v>
      </c>
      <c r="C73" s="12">
        <v>1</v>
      </c>
      <c r="D73" s="8">
        <v>1.96</v>
      </c>
      <c r="E73" s="12">
        <v>0</v>
      </c>
      <c r="F73" s="8">
        <v>0</v>
      </c>
      <c r="G73" s="12">
        <v>1</v>
      </c>
      <c r="H73" s="8">
        <v>4.3499999999999996</v>
      </c>
      <c r="I73" s="12">
        <v>0</v>
      </c>
    </row>
    <row r="74" spans="2:9" ht="15" customHeight="1" x14ac:dyDescent="0.2">
      <c r="B74" t="s">
        <v>330</v>
      </c>
      <c r="C74" s="12">
        <v>1</v>
      </c>
      <c r="D74" s="8">
        <v>1.96</v>
      </c>
      <c r="E74" s="12">
        <v>0</v>
      </c>
      <c r="F74" s="8">
        <v>0</v>
      </c>
      <c r="G74" s="12">
        <v>1</v>
      </c>
      <c r="H74" s="8">
        <v>4.3499999999999996</v>
      </c>
      <c r="I74" s="12">
        <v>0</v>
      </c>
    </row>
    <row r="75" spans="2:9" ht="15" customHeight="1" x14ac:dyDescent="0.2">
      <c r="B75" t="s">
        <v>337</v>
      </c>
      <c r="C75" s="12">
        <v>1</v>
      </c>
      <c r="D75" s="8">
        <v>1.96</v>
      </c>
      <c r="E75" s="12">
        <v>0</v>
      </c>
      <c r="F75" s="8">
        <v>0</v>
      </c>
      <c r="G75" s="12">
        <v>1</v>
      </c>
      <c r="H75" s="8">
        <v>4.3499999999999996</v>
      </c>
      <c r="I75" s="12">
        <v>0</v>
      </c>
    </row>
    <row r="76" spans="2:9" ht="15" customHeight="1" x14ac:dyDescent="0.2">
      <c r="B76" t="s">
        <v>295</v>
      </c>
      <c r="C76" s="12">
        <v>1</v>
      </c>
      <c r="D76" s="8">
        <v>1.96</v>
      </c>
      <c r="E76" s="12">
        <v>1</v>
      </c>
      <c r="F76" s="8">
        <v>3.57</v>
      </c>
      <c r="G76" s="12">
        <v>0</v>
      </c>
      <c r="H76" s="8">
        <v>0</v>
      </c>
      <c r="I76" s="12">
        <v>0</v>
      </c>
    </row>
    <row r="77" spans="2:9" ht="15" customHeight="1" x14ac:dyDescent="0.2">
      <c r="B77" t="s">
        <v>416</v>
      </c>
      <c r="C77" s="12">
        <v>1</v>
      </c>
      <c r="D77" s="8">
        <v>1.96</v>
      </c>
      <c r="E77" s="12">
        <v>1</v>
      </c>
      <c r="F77" s="8">
        <v>3.57</v>
      </c>
      <c r="G77" s="12">
        <v>0</v>
      </c>
      <c r="H77" s="8">
        <v>0</v>
      </c>
      <c r="I77" s="12">
        <v>0</v>
      </c>
    </row>
    <row r="78" spans="2:9" ht="15" customHeight="1" x14ac:dyDescent="0.2">
      <c r="B78" t="s">
        <v>409</v>
      </c>
      <c r="C78" s="12">
        <v>1</v>
      </c>
      <c r="D78" s="8">
        <v>1.96</v>
      </c>
      <c r="E78" s="12">
        <v>1</v>
      </c>
      <c r="F78" s="8">
        <v>3.57</v>
      </c>
      <c r="G78" s="12">
        <v>0</v>
      </c>
      <c r="H78" s="8">
        <v>0</v>
      </c>
      <c r="I78" s="12">
        <v>0</v>
      </c>
    </row>
    <row r="79" spans="2:9" ht="15" customHeight="1" x14ac:dyDescent="0.2">
      <c r="B79" t="s">
        <v>419</v>
      </c>
      <c r="C79" s="12">
        <v>1</v>
      </c>
      <c r="D79" s="8">
        <v>1.96</v>
      </c>
      <c r="E79" s="12">
        <v>0</v>
      </c>
      <c r="F79" s="8">
        <v>0</v>
      </c>
      <c r="G79" s="12">
        <v>1</v>
      </c>
      <c r="H79" s="8">
        <v>4.3499999999999996</v>
      </c>
      <c r="I79" s="12">
        <v>0</v>
      </c>
    </row>
    <row r="80" spans="2:9" ht="15" customHeight="1" x14ac:dyDescent="0.2">
      <c r="B80" t="s">
        <v>349</v>
      </c>
      <c r="C80" s="12">
        <v>1</v>
      </c>
      <c r="D80" s="8">
        <v>1.96</v>
      </c>
      <c r="E80" s="12">
        <v>1</v>
      </c>
      <c r="F80" s="8">
        <v>3.57</v>
      </c>
      <c r="G80" s="12">
        <v>0</v>
      </c>
      <c r="H80" s="8">
        <v>0</v>
      </c>
      <c r="I80" s="12">
        <v>0</v>
      </c>
    </row>
    <row r="81" spans="2:9" ht="15" customHeight="1" x14ac:dyDescent="0.2">
      <c r="B81" t="s">
        <v>300</v>
      </c>
      <c r="C81" s="12">
        <v>1</v>
      </c>
      <c r="D81" s="8">
        <v>1.96</v>
      </c>
      <c r="E81" s="12">
        <v>1</v>
      </c>
      <c r="F81" s="8">
        <v>3.57</v>
      </c>
      <c r="G81" s="12">
        <v>0</v>
      </c>
      <c r="H81" s="8">
        <v>0</v>
      </c>
      <c r="I81" s="12">
        <v>0</v>
      </c>
    </row>
    <row r="82" spans="2:9" ht="15" customHeight="1" x14ac:dyDescent="0.2">
      <c r="B82" t="s">
        <v>301</v>
      </c>
      <c r="C82" s="12">
        <v>1</v>
      </c>
      <c r="D82" s="8">
        <v>1.96</v>
      </c>
      <c r="E82" s="12">
        <v>1</v>
      </c>
      <c r="F82" s="8">
        <v>3.57</v>
      </c>
      <c r="G82" s="12">
        <v>0</v>
      </c>
      <c r="H82" s="8">
        <v>0</v>
      </c>
      <c r="I82" s="12">
        <v>0</v>
      </c>
    </row>
    <row r="83" spans="2:9" ht="15" customHeight="1" x14ac:dyDescent="0.2">
      <c r="B83" t="s">
        <v>323</v>
      </c>
      <c r="C83" s="12">
        <v>1</v>
      </c>
      <c r="D83" s="8">
        <v>1.96</v>
      </c>
      <c r="E83" s="12">
        <v>0</v>
      </c>
      <c r="F83" s="8">
        <v>0</v>
      </c>
      <c r="G83" s="12">
        <v>1</v>
      </c>
      <c r="H83" s="8">
        <v>4.3499999999999996</v>
      </c>
      <c r="I83" s="12">
        <v>0</v>
      </c>
    </row>
    <row r="84" spans="2:9" ht="15" customHeight="1" x14ac:dyDescent="0.2">
      <c r="B84" t="s">
        <v>473</v>
      </c>
      <c r="C84" s="12">
        <v>1</v>
      </c>
      <c r="D84" s="8">
        <v>1.96</v>
      </c>
      <c r="E84" s="12">
        <v>1</v>
      </c>
      <c r="F84" s="8">
        <v>3.57</v>
      </c>
      <c r="G84" s="12">
        <v>0</v>
      </c>
      <c r="H84" s="8">
        <v>0</v>
      </c>
      <c r="I84" s="12">
        <v>0</v>
      </c>
    </row>
    <row r="85" spans="2:9" ht="15" customHeight="1" x14ac:dyDescent="0.2">
      <c r="B85" t="s">
        <v>312</v>
      </c>
      <c r="C85" s="12">
        <v>1</v>
      </c>
      <c r="D85" s="8">
        <v>1.96</v>
      </c>
      <c r="E85" s="12">
        <v>1</v>
      </c>
      <c r="F85" s="8">
        <v>3.57</v>
      </c>
      <c r="G85" s="12">
        <v>0</v>
      </c>
      <c r="H85" s="8">
        <v>0</v>
      </c>
      <c r="I85" s="12">
        <v>0</v>
      </c>
    </row>
    <row r="87" spans="2:9" ht="15" customHeight="1" x14ac:dyDescent="0.2">
      <c r="B87" t="s">
        <v>532</v>
      </c>
    </row>
  </sheetData>
  <phoneticPr fontId="1"/>
  <pageMargins left="0.70866141732283505" right="0.70866141732283505" top="0.74803149606299202" bottom="0.74803149606299202" header="0.31496062992126" footer="0.31496062992126"/>
  <pageSetup paperSize="12" orientation="portrait" cellComments="atEnd" r:id="rId1"/>
  <tableParts count="3"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194</vt:i4>
      </vt:variant>
      <vt:variant>
        <vt:lpstr>名前付き一覧</vt:lpstr>
      </vt:variant>
      <vt:variant>
        <vt:i4>3</vt:i4>
      </vt:variant>
    </vt:vector>
  </HeadingPairs>
  <TitlesOfParts>
    <vt:vector size="197" baseType="lpstr">
      <vt:lpstr>目次</vt:lpstr>
      <vt:lpstr>産業大分類</vt:lpstr>
      <vt:lpstr>産業中分類</vt:lpstr>
      <vt:lpstr>産業小分類</vt:lpstr>
      <vt:lpstr>北海道</vt:lpstr>
      <vt:lpstr>札幌市</vt:lpstr>
      <vt:lpstr>札幌市中央区</vt:lpstr>
      <vt:lpstr>札幌市北区</vt:lpstr>
      <vt:lpstr>札幌市東区</vt:lpstr>
      <vt:lpstr>札幌市白石区</vt:lpstr>
      <vt:lpstr>札幌市豊平区</vt:lpstr>
      <vt:lpstr>札幌市南区</vt:lpstr>
      <vt:lpstr>札幌市西区</vt:lpstr>
      <vt:lpstr>札幌市厚別区</vt:lpstr>
      <vt:lpstr>札幌市手稲区</vt:lpstr>
      <vt:lpstr>札幌市清田区</vt:lpstr>
      <vt:lpstr>函館市</vt:lpstr>
      <vt:lpstr>小樽市</vt:lpstr>
      <vt:lpstr>旭川市</vt:lpstr>
      <vt:lpstr>室蘭市</vt:lpstr>
      <vt:lpstr>釧路市</vt:lpstr>
      <vt:lpstr>帯広市</vt:lpstr>
      <vt:lpstr>北見市</vt:lpstr>
      <vt:lpstr>夕張市</vt:lpstr>
      <vt:lpstr>岩見沢市</vt:lpstr>
      <vt:lpstr>網走市</vt:lpstr>
      <vt:lpstr>留萌市</vt:lpstr>
      <vt:lpstr>苫小牧市</vt:lpstr>
      <vt:lpstr>稚内市</vt:lpstr>
      <vt:lpstr>美唄市</vt:lpstr>
      <vt:lpstr>芦別市</vt:lpstr>
      <vt:lpstr>江別市</vt:lpstr>
      <vt:lpstr>赤平市</vt:lpstr>
      <vt:lpstr>紋別市</vt:lpstr>
      <vt:lpstr>士別市</vt:lpstr>
      <vt:lpstr>名寄市</vt:lpstr>
      <vt:lpstr>三笠市</vt:lpstr>
      <vt:lpstr>根室市</vt:lpstr>
      <vt:lpstr>千歳市</vt:lpstr>
      <vt:lpstr>滝川市</vt:lpstr>
      <vt:lpstr>砂川市</vt:lpstr>
      <vt:lpstr>歌志内市</vt:lpstr>
      <vt:lpstr>深川市</vt:lpstr>
      <vt:lpstr>富良野市</vt:lpstr>
      <vt:lpstr>登別市</vt:lpstr>
      <vt:lpstr>恵庭市</vt:lpstr>
      <vt:lpstr>伊達市</vt:lpstr>
      <vt:lpstr>北広島市</vt:lpstr>
      <vt:lpstr>石狩市</vt:lpstr>
      <vt:lpstr>北斗市</vt:lpstr>
      <vt:lpstr>石狩郡当別町</vt:lpstr>
      <vt:lpstr>石狩郡新篠津村</vt:lpstr>
      <vt:lpstr>松前郡松前町</vt:lpstr>
      <vt:lpstr>松前郡福島町</vt:lpstr>
      <vt:lpstr>上磯郡知内町</vt:lpstr>
      <vt:lpstr>上磯郡木古内町</vt:lpstr>
      <vt:lpstr>亀田郡七飯町</vt:lpstr>
      <vt:lpstr>茅部郡鹿部町</vt:lpstr>
      <vt:lpstr>茅部郡森町</vt:lpstr>
      <vt:lpstr>二海郡八雲町</vt:lpstr>
      <vt:lpstr>山越郡長万部町</vt:lpstr>
      <vt:lpstr>檜山郡江差町</vt:lpstr>
      <vt:lpstr>檜山郡上ノ国町</vt:lpstr>
      <vt:lpstr>檜山郡厚沢部町</vt:lpstr>
      <vt:lpstr>爾志郡乙部町</vt:lpstr>
      <vt:lpstr>奥尻郡奥尻町</vt:lpstr>
      <vt:lpstr>瀬棚郡今金町</vt:lpstr>
      <vt:lpstr>久遠郡せたな町</vt:lpstr>
      <vt:lpstr>島牧郡島牧村</vt:lpstr>
      <vt:lpstr>寿都郡寿都町</vt:lpstr>
      <vt:lpstr>寿都郡黒松内町</vt:lpstr>
      <vt:lpstr>磯谷郡蘭越町</vt:lpstr>
      <vt:lpstr>虻田郡ニセコ町</vt:lpstr>
      <vt:lpstr>虻田郡真狩村</vt:lpstr>
      <vt:lpstr>虻田郡留寿都村</vt:lpstr>
      <vt:lpstr>虻田郡喜茂別町</vt:lpstr>
      <vt:lpstr>虻田郡京極町</vt:lpstr>
      <vt:lpstr>虻田郡倶知安町</vt:lpstr>
      <vt:lpstr>岩内郡共和町</vt:lpstr>
      <vt:lpstr>岩内郡岩内町</vt:lpstr>
      <vt:lpstr>古宇郡泊村</vt:lpstr>
      <vt:lpstr>古宇郡神恵内村</vt:lpstr>
      <vt:lpstr>積丹郡積丹町</vt:lpstr>
      <vt:lpstr>古平郡古平町</vt:lpstr>
      <vt:lpstr>余市郡仁木町</vt:lpstr>
      <vt:lpstr>余市郡余市町</vt:lpstr>
      <vt:lpstr>余市郡赤井川村</vt:lpstr>
      <vt:lpstr>空知郡南幌町</vt:lpstr>
      <vt:lpstr>空知郡奈井江町</vt:lpstr>
      <vt:lpstr>空知郡上砂川町</vt:lpstr>
      <vt:lpstr>夕張郡由仁町</vt:lpstr>
      <vt:lpstr>夕張郡長沼町</vt:lpstr>
      <vt:lpstr>夕張郡栗山町</vt:lpstr>
      <vt:lpstr>樺戸郡月形町</vt:lpstr>
      <vt:lpstr>樺戸郡浦臼町</vt:lpstr>
      <vt:lpstr>樺戸郡新十津川町</vt:lpstr>
      <vt:lpstr>雨竜郡妹背牛町</vt:lpstr>
      <vt:lpstr>雨竜郡秩父別町</vt:lpstr>
      <vt:lpstr>雨竜郡雨竜町</vt:lpstr>
      <vt:lpstr>雨竜郡北竜町</vt:lpstr>
      <vt:lpstr>雨竜郡沼田町</vt:lpstr>
      <vt:lpstr>上川郡鷹栖町</vt:lpstr>
      <vt:lpstr>上川郡東神楽町</vt:lpstr>
      <vt:lpstr>上川郡当麻町</vt:lpstr>
      <vt:lpstr>上川郡比布町</vt:lpstr>
      <vt:lpstr>上川郡愛別町</vt:lpstr>
      <vt:lpstr>上川郡上川町</vt:lpstr>
      <vt:lpstr>上川郡東川町</vt:lpstr>
      <vt:lpstr>上川郡美瑛町</vt:lpstr>
      <vt:lpstr>空知郡上富良野町</vt:lpstr>
      <vt:lpstr>空知郡中富良野町</vt:lpstr>
      <vt:lpstr>空知郡南富良野町</vt:lpstr>
      <vt:lpstr>勇払郡占冠村</vt:lpstr>
      <vt:lpstr>上川郡和寒町</vt:lpstr>
      <vt:lpstr>上川郡剣淵町</vt:lpstr>
      <vt:lpstr>上川郡下川町</vt:lpstr>
      <vt:lpstr>中川郡美深町</vt:lpstr>
      <vt:lpstr>中川郡音威子府村</vt:lpstr>
      <vt:lpstr>中川郡中川町</vt:lpstr>
      <vt:lpstr>雨竜郡幌加内町</vt:lpstr>
      <vt:lpstr>増毛郡増毛町</vt:lpstr>
      <vt:lpstr>留萌郡小平町</vt:lpstr>
      <vt:lpstr>苫前郡苫前町</vt:lpstr>
      <vt:lpstr>苫前郡羽幌町</vt:lpstr>
      <vt:lpstr>苫前郡初山別村</vt:lpstr>
      <vt:lpstr>天塩郡遠別町</vt:lpstr>
      <vt:lpstr>天塩郡天塩町</vt:lpstr>
      <vt:lpstr>宗谷郡猿払村</vt:lpstr>
      <vt:lpstr>枝幸郡浜頓別町</vt:lpstr>
      <vt:lpstr>枝幸郡中頓別町</vt:lpstr>
      <vt:lpstr>枝幸郡枝幸町</vt:lpstr>
      <vt:lpstr>天塩郡豊富町</vt:lpstr>
      <vt:lpstr>礼文郡礼文町</vt:lpstr>
      <vt:lpstr>利尻郡利尻町</vt:lpstr>
      <vt:lpstr>利尻郡利尻富士町</vt:lpstr>
      <vt:lpstr>天塩郡幌延町</vt:lpstr>
      <vt:lpstr>網走郡美幌町</vt:lpstr>
      <vt:lpstr>網走郡津別町</vt:lpstr>
      <vt:lpstr>斜里郡斜里町</vt:lpstr>
      <vt:lpstr>斜里郡清里町</vt:lpstr>
      <vt:lpstr>斜里郡小清水町</vt:lpstr>
      <vt:lpstr>常呂郡訓子府町</vt:lpstr>
      <vt:lpstr>常呂郡置戸町</vt:lpstr>
      <vt:lpstr>常呂郡佐呂間町</vt:lpstr>
      <vt:lpstr>紋別郡遠軽町</vt:lpstr>
      <vt:lpstr>紋別郡湧別町</vt:lpstr>
      <vt:lpstr>紋別郡滝上町</vt:lpstr>
      <vt:lpstr>紋別郡興部町</vt:lpstr>
      <vt:lpstr>紋別郡西興部村</vt:lpstr>
      <vt:lpstr>紋別郡雄武町</vt:lpstr>
      <vt:lpstr>網走郡大空町</vt:lpstr>
      <vt:lpstr>虻田郡豊浦町</vt:lpstr>
      <vt:lpstr>有珠郡壮瞥町</vt:lpstr>
      <vt:lpstr>白老郡白老町</vt:lpstr>
      <vt:lpstr>勇払郡厚真町</vt:lpstr>
      <vt:lpstr>虻田郡洞爺湖町</vt:lpstr>
      <vt:lpstr>勇払郡安平町</vt:lpstr>
      <vt:lpstr>勇払郡むかわ町</vt:lpstr>
      <vt:lpstr>沙流郡日高町</vt:lpstr>
      <vt:lpstr>沙流郡平取町</vt:lpstr>
      <vt:lpstr>新冠郡新冠町</vt:lpstr>
      <vt:lpstr>浦河郡浦河町</vt:lpstr>
      <vt:lpstr>様似郡様似町</vt:lpstr>
      <vt:lpstr>幌泉郡えりも町</vt:lpstr>
      <vt:lpstr>日高郡新ひだか町</vt:lpstr>
      <vt:lpstr>河東郡音更町</vt:lpstr>
      <vt:lpstr>河東郡士幌町</vt:lpstr>
      <vt:lpstr>河東郡上士幌町</vt:lpstr>
      <vt:lpstr>河東郡鹿追町</vt:lpstr>
      <vt:lpstr>上川郡新得町</vt:lpstr>
      <vt:lpstr>上川郡清水町</vt:lpstr>
      <vt:lpstr>河西郡芽室町</vt:lpstr>
      <vt:lpstr>河西郡中札内村</vt:lpstr>
      <vt:lpstr>河西郡更別村</vt:lpstr>
      <vt:lpstr>広尾郡大樹町</vt:lpstr>
      <vt:lpstr>広尾郡広尾町</vt:lpstr>
      <vt:lpstr>中川郡幕別町</vt:lpstr>
      <vt:lpstr>中川郡池田町</vt:lpstr>
      <vt:lpstr>中川郡豊頃町</vt:lpstr>
      <vt:lpstr>中川郡本別町</vt:lpstr>
      <vt:lpstr>足寄郡足寄町</vt:lpstr>
      <vt:lpstr>足寄郡陸別町</vt:lpstr>
      <vt:lpstr>十勝郡浦幌町</vt:lpstr>
      <vt:lpstr>釧路郡釧路町</vt:lpstr>
      <vt:lpstr>厚岸郡厚岸町</vt:lpstr>
      <vt:lpstr>厚岸郡浜中町</vt:lpstr>
      <vt:lpstr>川上郡標茶町</vt:lpstr>
      <vt:lpstr>川上郡弟子屈町</vt:lpstr>
      <vt:lpstr>阿寒郡鶴居村</vt:lpstr>
      <vt:lpstr>白糠郡白糠町</vt:lpstr>
      <vt:lpstr>野付郡別海町</vt:lpstr>
      <vt:lpstr>標津郡中標津町</vt:lpstr>
      <vt:lpstr>標津郡標津町</vt:lpstr>
      <vt:lpstr>目梨郡羅臼町</vt:lpstr>
      <vt:lpstr>産業小分類!Print_Titles</vt:lpstr>
      <vt:lpstr>産業大分類!Print_Titles</vt:lpstr>
      <vt:lpstr>産業中分類!Print_Titles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2023-08-17T02:22:00Z</dcterms:created>
  <dcterms:modified xsi:type="dcterms:W3CDTF">2023-08-17T02:22:00Z</dcterms:modified>
</cp:coreProperties>
</file>